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085" yWindow="225" windowWidth="10455" windowHeight="5355" tabRatio="901" activeTab="1"/>
  </bookViews>
  <sheets>
    <sheet name="Invoice-" sheetId="26" r:id="rId1"/>
    <sheet name="SUMMARY" sheetId="45" r:id="rId2"/>
    <sheet name=" ABS BH (2)" sheetId="52" r:id="rId3"/>
    <sheet name=" ABS BH" sheetId="17" state="hidden" r:id="rId4"/>
    <sheet name="ABS GH (2)" sheetId="53" r:id="rId5"/>
    <sheet name="ABS GH" sheetId="47" state="hidden" r:id="rId6"/>
    <sheet name="MB BH" sheetId="34" r:id="rId7"/>
    <sheet name="ROAD SAND FILLING" sheetId="54" r:id="rId8"/>
    <sheet name="MB GIRLS HOSTEL" sheetId="48" r:id="rId9"/>
    <sheet name="BBS-Boys Hostel" sheetId="50" r:id="rId10"/>
    <sheet name="BBS RA2" sheetId="46"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s>
  <definedNames>
    <definedName name="\0" localSheetId="4">#REF!</definedName>
    <definedName name="\0" localSheetId="9">#REF!</definedName>
    <definedName name="\0" localSheetId="8">#REF!</definedName>
    <definedName name="\0">#REF!</definedName>
    <definedName name="\a" localSheetId="4">#REF!</definedName>
    <definedName name="\a" localSheetId="9">#REF!</definedName>
    <definedName name="\a" localSheetId="8">#REF!</definedName>
    <definedName name="\a">#REF!</definedName>
    <definedName name="\b">#N/A</definedName>
    <definedName name="\C" localSheetId="4">#REF!</definedName>
    <definedName name="\C" localSheetId="9">#REF!</definedName>
    <definedName name="\C" localSheetId="8">#REF!</definedName>
    <definedName name="\C">#REF!</definedName>
    <definedName name="\C_1" localSheetId="4">#REF!</definedName>
    <definedName name="\C_1" localSheetId="9">#REF!</definedName>
    <definedName name="\C_1" localSheetId="8">#REF!</definedName>
    <definedName name="\C_1">#REF!</definedName>
    <definedName name="\c_7" localSheetId="4">#REF!</definedName>
    <definedName name="\c_7" localSheetId="9">#REF!</definedName>
    <definedName name="\c_7" localSheetId="8">#REF!</definedName>
    <definedName name="\c_7">#REF!</definedName>
    <definedName name="\d" localSheetId="4">#REF!</definedName>
    <definedName name="\d" localSheetId="9">#REF!</definedName>
    <definedName name="\d" localSheetId="8">#REF!</definedName>
    <definedName name="\d">#REF!</definedName>
    <definedName name="\e" localSheetId="4">#REF!</definedName>
    <definedName name="\e" localSheetId="9">#REF!</definedName>
    <definedName name="\e" localSheetId="8">#REF!</definedName>
    <definedName name="\e">#REF!</definedName>
    <definedName name="\e_7" localSheetId="4">#REF!</definedName>
    <definedName name="\e_7" localSheetId="9">#REF!</definedName>
    <definedName name="\e_7" localSheetId="8">#REF!</definedName>
    <definedName name="\e_7">#REF!</definedName>
    <definedName name="\EXT" localSheetId="4">#REF!</definedName>
    <definedName name="\EXT" localSheetId="9">#REF!</definedName>
    <definedName name="\EXT" localSheetId="8">#REF!</definedName>
    <definedName name="\EXT">#REF!</definedName>
    <definedName name="\f" localSheetId="4">#REF!</definedName>
    <definedName name="\f" localSheetId="9">#REF!</definedName>
    <definedName name="\f" localSheetId="8">#REF!</definedName>
    <definedName name="\f">#REF!</definedName>
    <definedName name="\g" localSheetId="4">#REF!</definedName>
    <definedName name="\g" localSheetId="9">#REF!</definedName>
    <definedName name="\g" localSheetId="8">#REF!</definedName>
    <definedName name="\g">#REF!</definedName>
    <definedName name="\GUARD" localSheetId="4">#REF!</definedName>
    <definedName name="\GUARD" localSheetId="9">#REF!</definedName>
    <definedName name="\GUARD" localSheetId="8">#REF!</definedName>
    <definedName name="\GUARD">#REF!</definedName>
    <definedName name="\h" localSheetId="4">[1]電気設備表!#REF!</definedName>
    <definedName name="\h" localSheetId="9">[1]電気設備表!#REF!</definedName>
    <definedName name="\h" localSheetId="8">[1]電気設備表!#REF!</definedName>
    <definedName name="\h">[1]電気設備表!#REF!</definedName>
    <definedName name="\i" localSheetId="4">#REF!</definedName>
    <definedName name="\i" localSheetId="9">#REF!</definedName>
    <definedName name="\i" localSheetId="8">#REF!</definedName>
    <definedName name="\i">#REF!</definedName>
    <definedName name="\l" localSheetId="4">#REF!</definedName>
    <definedName name="\l" localSheetId="9">#REF!</definedName>
    <definedName name="\l" localSheetId="8">#REF!</definedName>
    <definedName name="\l">#REF!</definedName>
    <definedName name="\l_7" localSheetId="4">#REF!</definedName>
    <definedName name="\l_7" localSheetId="9">#REF!</definedName>
    <definedName name="\l_7" localSheetId="8">#REF!</definedName>
    <definedName name="\l_7">#REF!</definedName>
    <definedName name="\m" localSheetId="4">#REF!</definedName>
    <definedName name="\m" localSheetId="9">#REF!</definedName>
    <definedName name="\m" localSheetId="8">#REF!</definedName>
    <definedName name="\m">#REF!</definedName>
    <definedName name="\n" localSheetId="4">[1]電気設備表!#REF!</definedName>
    <definedName name="\n" localSheetId="9">[1]電気設備表!#REF!</definedName>
    <definedName name="\n" localSheetId="8">[1]電気設備表!#REF!</definedName>
    <definedName name="\n">[1]電気設備表!#REF!</definedName>
    <definedName name="\o" localSheetId="4">#REF!</definedName>
    <definedName name="\o" localSheetId="9">#REF!</definedName>
    <definedName name="\o" localSheetId="8">#REF!</definedName>
    <definedName name="\o">#REF!</definedName>
    <definedName name="\p" localSheetId="4">#REF!</definedName>
    <definedName name="\p" localSheetId="9">#REF!</definedName>
    <definedName name="\p" localSheetId="8">#REF!</definedName>
    <definedName name="\p">#REF!</definedName>
    <definedName name="\PUMP" localSheetId="4">#REF!</definedName>
    <definedName name="\PUMP" localSheetId="9">#REF!</definedName>
    <definedName name="\PUMP" localSheetId="8">#REF!</definedName>
    <definedName name="\PUMP">#REF!</definedName>
    <definedName name="\q" localSheetId="4">[1]電気設備表!#REF!</definedName>
    <definedName name="\q" localSheetId="9">[1]電気設備表!#REF!</definedName>
    <definedName name="\q" localSheetId="8">[1]電気設備表!#REF!</definedName>
    <definedName name="\q">[1]電気設備表!#REF!</definedName>
    <definedName name="\r" localSheetId="4">[1]電気設備表!#REF!</definedName>
    <definedName name="\r" localSheetId="9">[1]電気設備表!#REF!</definedName>
    <definedName name="\r" localSheetId="8">[1]電気設備表!#REF!</definedName>
    <definedName name="\r">[1]電気設備表!#REF!</definedName>
    <definedName name="\s" localSheetId="4">#REF!</definedName>
    <definedName name="\s" localSheetId="9">#REF!</definedName>
    <definedName name="\s" localSheetId="6">"#REF!"</definedName>
    <definedName name="\s" localSheetId="8">"#REF!"</definedName>
    <definedName name="\s">#REF!</definedName>
    <definedName name="\s_3">"#REF!"</definedName>
    <definedName name="\t" localSheetId="4">#REF!</definedName>
    <definedName name="\t" localSheetId="9">#REF!</definedName>
    <definedName name="\t" localSheetId="8">#REF!</definedName>
    <definedName name="\t">#REF!</definedName>
    <definedName name="\v" localSheetId="4">[1]電気設備表!#REF!</definedName>
    <definedName name="\v" localSheetId="9">[1]電気設備表!#REF!</definedName>
    <definedName name="\v" localSheetId="8">[1]電気設備表!#REF!</definedName>
    <definedName name="\v">[1]電気設備表!#REF!</definedName>
    <definedName name="\w" localSheetId="4">[1]電気設備表!#REF!</definedName>
    <definedName name="\w" localSheetId="9">[1]電気設備表!#REF!</definedName>
    <definedName name="\w" localSheetId="8">[1]電気設備表!#REF!</definedName>
    <definedName name="\w">[1]電気設備表!#REF!</definedName>
    <definedName name="\x" localSheetId="4">[1]電気設備表!#REF!</definedName>
    <definedName name="\x" localSheetId="9">[1]電気設備表!#REF!</definedName>
    <definedName name="\x" localSheetId="8">[1]電気設備表!#REF!</definedName>
    <definedName name="\x">[1]電気設備表!#REF!</definedName>
    <definedName name="\y" localSheetId="4">[1]電気設備表!#REF!</definedName>
    <definedName name="\y" localSheetId="9">[1]電気設備表!#REF!</definedName>
    <definedName name="\y" localSheetId="8">[1]電気設備表!#REF!</definedName>
    <definedName name="\y">[1]電気設備表!#REF!</definedName>
    <definedName name="\z" localSheetId="4">#REF!</definedName>
    <definedName name="\z" localSheetId="9">#REF!</definedName>
    <definedName name="\z" localSheetId="8">#REF!</definedName>
    <definedName name="\z">#REF!</definedName>
    <definedName name="____ALT3" localSheetId="4">#REF!</definedName>
    <definedName name="____ALT3" localSheetId="9">#REF!</definedName>
    <definedName name="____ALT3" localSheetId="8">#REF!</definedName>
    <definedName name="____ALT3">#REF!</definedName>
    <definedName name="____CON1" localSheetId="4">#REF!</definedName>
    <definedName name="____CON1" localSheetId="9">#REF!</definedName>
    <definedName name="____CON1" localSheetId="8">#REF!</definedName>
    <definedName name="____CON1">#REF!</definedName>
    <definedName name="____CON2" localSheetId="4">#REF!</definedName>
    <definedName name="____CON2" localSheetId="9">#REF!</definedName>
    <definedName name="____CON2" localSheetId="8">#REF!</definedName>
    <definedName name="____CON2">#REF!</definedName>
    <definedName name="____K85167" localSheetId="4">#REF!</definedName>
    <definedName name="____K85167" localSheetId="9">#REF!</definedName>
    <definedName name="____K85167" localSheetId="8">#REF!</definedName>
    <definedName name="____K85167">#REF!</definedName>
    <definedName name="____ML1">'[2]Material List '!$M$4:$M$5</definedName>
    <definedName name="____ML2" localSheetId="4">#REF!</definedName>
    <definedName name="____ML2" localSheetId="9">#REF!</definedName>
    <definedName name="____ML2" localSheetId="8">#REF!</definedName>
    <definedName name="____ML2">#REF!</definedName>
    <definedName name="____ph1">[3]NPV!$B$40</definedName>
    <definedName name="___A655600" localSheetId="4">#REF!</definedName>
    <definedName name="___A655600" localSheetId="9">#REF!</definedName>
    <definedName name="___A655600" localSheetId="8">#REF!</definedName>
    <definedName name="___A655600">#REF!</definedName>
    <definedName name="___A65999" localSheetId="4">#REF!</definedName>
    <definedName name="___A65999" localSheetId="9">#REF!</definedName>
    <definedName name="___A65999" localSheetId="8">#REF!</definedName>
    <definedName name="___A65999">#REF!</definedName>
    <definedName name="___alt1" localSheetId="4">#REF!</definedName>
    <definedName name="___alt1" localSheetId="9">#REF!</definedName>
    <definedName name="___alt1" localSheetId="8">#REF!</definedName>
    <definedName name="___alt1">#REF!</definedName>
    <definedName name="___ALT2" localSheetId="4">#REF!</definedName>
    <definedName name="___ALT2" localSheetId="9">#REF!</definedName>
    <definedName name="___ALT2" localSheetId="8">#REF!</definedName>
    <definedName name="___ALT2">#REF!</definedName>
    <definedName name="___ALT4" localSheetId="4">#REF!</definedName>
    <definedName name="___ALT4" localSheetId="9">#REF!</definedName>
    <definedName name="___ALT4" localSheetId="8">#REF!</definedName>
    <definedName name="___ALT4">#REF!</definedName>
    <definedName name="___ans987" localSheetId="9" hidden="1">{#N/A,#N/A,FALSE,"VARIATIONS";#N/A,#N/A,FALSE,"BUDGET";#N/A,#N/A,FALSE,"CIVIL QNTY VAR";#N/A,#N/A,FALSE,"SUMMARY";#N/A,#N/A,FALSE,"MATERIAL VAR"}</definedName>
    <definedName name="___ans987" localSheetId="0" hidden="1">{#N/A,#N/A,FALSE,"VARIATIONS";#N/A,#N/A,FALSE,"BUDGET";#N/A,#N/A,FALSE,"CIVIL QNTY VAR";#N/A,#N/A,FALSE,"SUMMARY";#N/A,#N/A,FALSE,"MATERIAL VAR"}</definedName>
    <definedName name="___ans987" hidden="1">{#N/A,#N/A,FALSE,"VARIATIONS";#N/A,#N/A,FALSE,"BUDGET";#N/A,#N/A,FALSE,"CIVIL QNTY VAR";#N/A,#N/A,FALSE,"SUMMARY";#N/A,#N/A,FALSE,"MATERIAL VAR"}</definedName>
    <definedName name="___b111121" localSheetId="4">#REF!</definedName>
    <definedName name="___b111121" localSheetId="9">#REF!</definedName>
    <definedName name="___b111121" localSheetId="8">#REF!</definedName>
    <definedName name="___b111121">#REF!</definedName>
    <definedName name="___can430">40.73</definedName>
    <definedName name="___can435">43.3</definedName>
    <definedName name="___CON1" localSheetId="4">#REF!</definedName>
    <definedName name="___CON1" localSheetId="9">#REF!</definedName>
    <definedName name="___CON1" localSheetId="8">#REF!</definedName>
    <definedName name="___CON1">#REF!</definedName>
    <definedName name="___CON2" localSheetId="4">#REF!</definedName>
    <definedName name="___CON2" localSheetId="9">#REF!</definedName>
    <definedName name="___CON2" localSheetId="8">#REF!</definedName>
    <definedName name="___CON2">#REF!</definedName>
    <definedName name="___d1" localSheetId="9" hidden="1">{#N/A,#N/A,FALSE,"VARIATIONS";#N/A,#N/A,FALSE,"BUDGET";#N/A,#N/A,FALSE,"CIVIL QNTY VAR";#N/A,#N/A,FALSE,"SUMMARY";#N/A,#N/A,FALSE,"MATERIAL VAR"}</definedName>
    <definedName name="___d1" localSheetId="0" hidden="1">{#N/A,#N/A,FALSE,"VARIATIONS";#N/A,#N/A,FALSE,"BUDGET";#N/A,#N/A,FALSE,"CIVIL QNTY VAR";#N/A,#N/A,FALSE,"SUMMARY";#N/A,#N/A,FALSE,"MATERIAL VAR"}</definedName>
    <definedName name="___d1" hidden="1">{#N/A,#N/A,FALSE,"VARIATIONS";#N/A,#N/A,FALSE,"BUDGET";#N/A,#N/A,FALSE,"CIVIL QNTY VAR";#N/A,#N/A,FALSE,"SUMMARY";#N/A,#N/A,FALSE,"MATERIAL VAR"}</definedName>
    <definedName name="___dd5" localSheetId="9" hidden="1">{#N/A,#N/A,FALSE,"VARIATIONS";#N/A,#N/A,FALSE,"BUDGET";#N/A,#N/A,FALSE,"CIVIL QNTY VAR";#N/A,#N/A,FALSE,"SUMMARY";#N/A,#N/A,FALSE,"MATERIAL VAR"}</definedName>
    <definedName name="___dd5" localSheetId="0" hidden="1">{#N/A,#N/A,FALSE,"VARIATIONS";#N/A,#N/A,FALSE,"BUDGET";#N/A,#N/A,FALSE,"CIVIL QNTY VAR";#N/A,#N/A,FALSE,"SUMMARY";#N/A,#N/A,FALSE,"MATERIAL VAR"}</definedName>
    <definedName name="___dd5" hidden="1">{#N/A,#N/A,FALSE,"VARIATIONS";#N/A,#N/A,FALSE,"BUDGET";#N/A,#N/A,FALSE,"CIVIL QNTY VAR";#N/A,#N/A,FALSE,"SUMMARY";#N/A,#N/A,FALSE,"MATERIAL VAR"}</definedName>
    <definedName name="___exc1" localSheetId="4">#REF!</definedName>
    <definedName name="___exc1" localSheetId="9">#REF!</definedName>
    <definedName name="___exc1" localSheetId="8">#REF!</definedName>
    <definedName name="___exc1">#REF!</definedName>
    <definedName name="___exc11" localSheetId="4">#REF!</definedName>
    <definedName name="___exc11" localSheetId="9">#REF!</definedName>
    <definedName name="___exc11" localSheetId="8">#REF!</definedName>
    <definedName name="___exc11">#REF!</definedName>
    <definedName name="___exc2" localSheetId="4">#REF!</definedName>
    <definedName name="___exc2" localSheetId="9">#REF!</definedName>
    <definedName name="___exc2" localSheetId="8">#REF!</definedName>
    <definedName name="___exc2">#REF!</definedName>
    <definedName name="___EXC3" localSheetId="4">#REF!</definedName>
    <definedName name="___EXC3" localSheetId="9">#REF!</definedName>
    <definedName name="___EXC3" localSheetId="8">#REF!</definedName>
    <definedName name="___EXC3">#REF!</definedName>
    <definedName name="___EXC4" localSheetId="4">#REF!</definedName>
    <definedName name="___EXC4" localSheetId="9">#REF!</definedName>
    <definedName name="___EXC4" localSheetId="8">#REF!</definedName>
    <definedName name="___EXC4">#REF!</definedName>
    <definedName name="___f1" localSheetId="9" hidden="1">{#N/A,#N/A,FALSE,"VARIATIONS";#N/A,#N/A,FALSE,"BUDGET";#N/A,#N/A,FALSE,"CIVIL QNTY VAR";#N/A,#N/A,FALSE,"SUMMARY";#N/A,#N/A,FALSE,"MATERIAL VAR"}</definedName>
    <definedName name="___f1" localSheetId="0" hidden="1">{#N/A,#N/A,FALSE,"VARIATIONS";#N/A,#N/A,FALSE,"BUDGET";#N/A,#N/A,FALSE,"CIVIL QNTY VAR";#N/A,#N/A,FALSE,"SUMMARY";#N/A,#N/A,FALSE,"MATERIAL VAR"}</definedName>
    <definedName name="___f1" hidden="1">{#N/A,#N/A,FALSE,"VARIATIONS";#N/A,#N/A,FALSE,"BUDGET";#N/A,#N/A,FALSE,"CIVIL QNTY VAR";#N/A,#N/A,FALSE,"SUMMARY";#N/A,#N/A,FALSE,"MATERIAL VAR"}</definedName>
    <definedName name="___fco2" localSheetId="9" hidden="1">{#N/A,#N/A,FALSE,"gc (2)"}</definedName>
    <definedName name="___fco2" localSheetId="0" hidden="1">{#N/A,#N/A,FALSE,"gc (2)"}</definedName>
    <definedName name="___fco2" hidden="1">{#N/A,#N/A,FALSE,"gc (2)"}</definedName>
    <definedName name="___Feb06" localSheetId="9" hidden="1">{#N/A,#N/A,TRUE,"Front";#N/A,#N/A,TRUE,"Simple Letter";#N/A,#N/A,TRUE,"Inside";#N/A,#N/A,TRUE,"Contents";#N/A,#N/A,TRUE,"Basis";#N/A,#N/A,TRUE,"Inclusions";#N/A,#N/A,TRUE,"Exclusions";#N/A,#N/A,TRUE,"Areas";#N/A,#N/A,TRUE,"Summary";#N/A,#N/A,TRUE,"Detail"}</definedName>
    <definedName name="___Feb06" localSheetId="0" hidden="1">{#N/A,#N/A,TRUE,"Front";#N/A,#N/A,TRUE,"Simple Letter";#N/A,#N/A,TRUE,"Inside";#N/A,#N/A,TRUE,"Contents";#N/A,#N/A,TRUE,"Basis";#N/A,#N/A,TRUE,"Inclusions";#N/A,#N/A,TRUE,"Exclusions";#N/A,#N/A,TRUE,"Areas";#N/A,#N/A,TRUE,"Summary";#N/A,#N/A,TRUE,"Detail"}</definedName>
    <definedName name="___Feb06" hidden="1">{#N/A,#N/A,TRUE,"Front";#N/A,#N/A,TRUE,"Simple Letter";#N/A,#N/A,TRUE,"Inside";#N/A,#N/A,TRUE,"Contents";#N/A,#N/A,TRUE,"Basis";#N/A,#N/A,TRUE,"Inclusions";#N/A,#N/A,TRUE,"Exclusions";#N/A,#N/A,TRUE,"Areas";#N/A,#N/A,TRUE,"Summary";#N/A,#N/A,TRUE,"Detail"}</definedName>
    <definedName name="___foo1" localSheetId="4">#REF!</definedName>
    <definedName name="___foo1" localSheetId="9">#REF!</definedName>
    <definedName name="___foo1" localSheetId="8">#REF!</definedName>
    <definedName name="___foo1">#REF!</definedName>
    <definedName name="___foo2" localSheetId="4">#REF!</definedName>
    <definedName name="___foo2" localSheetId="9">#REF!</definedName>
    <definedName name="___foo2" localSheetId="8">#REF!</definedName>
    <definedName name="___foo2">#REF!</definedName>
    <definedName name="___foo3" localSheetId="4">#REF!</definedName>
    <definedName name="___foo3" localSheetId="9">#REF!</definedName>
    <definedName name="___foo3" localSheetId="8">#REF!</definedName>
    <definedName name="___foo3">#REF!</definedName>
    <definedName name="___FOO4" localSheetId="4">#REF!</definedName>
    <definedName name="___FOO4" localSheetId="9">#REF!</definedName>
    <definedName name="___FOO4" localSheetId="8">#REF!</definedName>
    <definedName name="___FOO4">#REF!</definedName>
    <definedName name="___hp10" localSheetId="9" hidden="1">{#N/A,#N/A,TRUE,"Front";#N/A,#N/A,TRUE,"Simple Letter";#N/A,#N/A,TRUE,"Inside";#N/A,#N/A,TRUE,"Contents";#N/A,#N/A,TRUE,"Basis";#N/A,#N/A,TRUE,"Inclusions";#N/A,#N/A,TRUE,"Exclusions";#N/A,#N/A,TRUE,"Areas";#N/A,#N/A,TRUE,"Summary";#N/A,#N/A,TRUE,"Detail"}</definedName>
    <definedName name="___hp10" localSheetId="0" hidden="1">{#N/A,#N/A,TRUE,"Front";#N/A,#N/A,TRUE,"Simple Letter";#N/A,#N/A,TRUE,"Inside";#N/A,#N/A,TRUE,"Contents";#N/A,#N/A,TRUE,"Basis";#N/A,#N/A,TRUE,"Inclusions";#N/A,#N/A,TRUE,"Exclusions";#N/A,#N/A,TRUE,"Areas";#N/A,#N/A,TRUE,"Summary";#N/A,#N/A,TRUE,"Detail"}</definedName>
    <definedName name="___hp10" hidden="1">{#N/A,#N/A,TRUE,"Front";#N/A,#N/A,TRUE,"Simple Letter";#N/A,#N/A,TRUE,"Inside";#N/A,#N/A,TRUE,"Contents";#N/A,#N/A,TRUE,"Basis";#N/A,#N/A,TRUE,"Inclusions";#N/A,#N/A,TRUE,"Exclusions";#N/A,#N/A,TRUE,"Areas";#N/A,#N/A,TRUE,"Summary";#N/A,#N/A,TRUE,"Detail"}</definedName>
    <definedName name="___IDC2" localSheetId="9">City&amp;" "&amp;State</definedName>
    <definedName name="___IDC2" localSheetId="0">City&amp;" "&amp;State</definedName>
    <definedName name="___IDC2">City&amp;" "&amp;State</definedName>
    <definedName name="___IDC2_7" localSheetId="9">City&amp;" "&amp;State</definedName>
    <definedName name="___IDC2_7" localSheetId="0">City&amp;" "&amp;State</definedName>
    <definedName name="___IDC2_7">City&amp;" "&amp;State</definedName>
    <definedName name="___INDEX_SHEET___ASAP_Utilities" localSheetId="4">#REF!</definedName>
    <definedName name="___INDEX_SHEET___ASAP_Utilities" localSheetId="9">#REF!</definedName>
    <definedName name="___INDEX_SHEET___ASAP_Utilities" localSheetId="8">#REF!</definedName>
    <definedName name="___INDEX_SHEET___ASAP_Utilities">#REF!</definedName>
    <definedName name="___K85167" localSheetId="4">#REF!</definedName>
    <definedName name="___K85167" localSheetId="9">#REF!</definedName>
    <definedName name="___K85167" localSheetId="8">#REF!</definedName>
    <definedName name="___K85167">#REF!</definedName>
    <definedName name="___key1" localSheetId="4" hidden="1">[4]sheet6!#REF!</definedName>
    <definedName name="___key1" localSheetId="9" hidden="1">[4]sheet6!#REF!</definedName>
    <definedName name="___key1" localSheetId="8" hidden="1">[4]sheet6!#REF!</definedName>
    <definedName name="___key1" hidden="1">[4]sheet6!#REF!</definedName>
    <definedName name="___key2" localSheetId="4" hidden="1">#REF!</definedName>
    <definedName name="___key2" localSheetId="9" hidden="1">#REF!</definedName>
    <definedName name="___key2" localSheetId="8" hidden="1">#REF!</definedName>
    <definedName name="___key2" hidden="1">#REF!</definedName>
    <definedName name="___Ki1" localSheetId="4">#REF!</definedName>
    <definedName name="___Ki1" localSheetId="9">#REF!</definedName>
    <definedName name="___Ki1" localSheetId="8">#REF!</definedName>
    <definedName name="___Ki1">#REF!</definedName>
    <definedName name="___Ki2" localSheetId="4">#REF!</definedName>
    <definedName name="___Ki2" localSheetId="9">#REF!</definedName>
    <definedName name="___Ki2" localSheetId="8">#REF!</definedName>
    <definedName name="___Ki2">#REF!</definedName>
    <definedName name="___loc1" localSheetId="9">City&amp;" "&amp;State</definedName>
    <definedName name="___loc1" localSheetId="0">City&amp;" "&amp;State</definedName>
    <definedName name="___loc1">City&amp;" "&amp;State</definedName>
    <definedName name="___loc1_7" localSheetId="9">City&amp;" "&amp;State</definedName>
    <definedName name="___loc1_7" localSheetId="0">City&amp;" "&amp;State</definedName>
    <definedName name="___loc1_7">City&amp;" "&amp;State</definedName>
    <definedName name="___MAN1" localSheetId="4">#REF!</definedName>
    <definedName name="___MAN1" localSheetId="9">#REF!</definedName>
    <definedName name="___MAN1" localSheetId="8">#REF!</definedName>
    <definedName name="___MAN1">#REF!</definedName>
    <definedName name="___ML1" localSheetId="4">'[5]Material List '!#REF!</definedName>
    <definedName name="___ML1" localSheetId="9">'[5]Material List '!#REF!</definedName>
    <definedName name="___ML1" localSheetId="8">'[5]Material List '!#REF!</definedName>
    <definedName name="___ML1">'[5]Material List '!#REF!</definedName>
    <definedName name="___ML2" localSheetId="4">#REF!</definedName>
    <definedName name="___ML2" localSheetId="9">#REF!</definedName>
    <definedName name="___ML2" localSheetId="8">#REF!</definedName>
    <definedName name="___ML2">#REF!</definedName>
    <definedName name="___PB1" localSheetId="4">#REF!</definedName>
    <definedName name="___PB1" localSheetId="9">#REF!</definedName>
    <definedName name="___PB1" localSheetId="8">#REF!</definedName>
    <definedName name="___PB1">#REF!</definedName>
    <definedName name="___pcc1" localSheetId="4">#REF!</definedName>
    <definedName name="___pcc1" localSheetId="9">#REF!</definedName>
    <definedName name="___pcc1" localSheetId="8">#REF!</definedName>
    <definedName name="___pcc1">#REF!</definedName>
    <definedName name="___pcc2" localSheetId="4">#REF!</definedName>
    <definedName name="___pcc2" localSheetId="9">#REF!</definedName>
    <definedName name="___pcc2" localSheetId="8">#REF!</definedName>
    <definedName name="___pcc2">#REF!</definedName>
    <definedName name="___pcc3" localSheetId="4">#REF!</definedName>
    <definedName name="___pcc3" localSheetId="9">#REF!</definedName>
    <definedName name="___pcc3" localSheetId="8">#REF!</definedName>
    <definedName name="___pcc3">#REF!</definedName>
    <definedName name="___PCC4" localSheetId="4">#REF!</definedName>
    <definedName name="___PCC4" localSheetId="9">#REF!</definedName>
    <definedName name="___PCC4" localSheetId="8">#REF!</definedName>
    <definedName name="___PCC4">#REF!</definedName>
    <definedName name="___ph1">[3]NPV!$B$40</definedName>
    <definedName name="___plb1" localSheetId="4">#REF!</definedName>
    <definedName name="___plb1" localSheetId="9">#REF!</definedName>
    <definedName name="___plb1" localSheetId="8">#REF!</definedName>
    <definedName name="___plb1">#REF!</definedName>
    <definedName name="___plb2" localSheetId="4">#REF!</definedName>
    <definedName name="___plb2" localSheetId="9">#REF!</definedName>
    <definedName name="___plb2" localSheetId="8">#REF!</definedName>
    <definedName name="___plb2">#REF!</definedName>
    <definedName name="___plb3" localSheetId="4">#REF!</definedName>
    <definedName name="___plb3" localSheetId="9">#REF!</definedName>
    <definedName name="___plb3" localSheetId="8">#REF!</definedName>
    <definedName name="___plb3">#REF!</definedName>
    <definedName name="___plb4" localSheetId="4">#REF!</definedName>
    <definedName name="___plb4" localSheetId="9">#REF!</definedName>
    <definedName name="___plb4" localSheetId="8">#REF!</definedName>
    <definedName name="___plb4">#REF!</definedName>
    <definedName name="___ram1" localSheetId="9" hidden="1">{#N/A,#N/A,FALSE,"gc (2)"}</definedName>
    <definedName name="___ram1" localSheetId="0" hidden="1">{#N/A,#N/A,FALSE,"gc (2)"}</definedName>
    <definedName name="___ram1" hidden="1">{#N/A,#N/A,FALSE,"gc (2)"}</definedName>
    <definedName name="___RAT1" localSheetId="4">#REF!</definedName>
    <definedName name="___RAT1" localSheetId="9">#REF!</definedName>
    <definedName name="___RAT1" localSheetId="8">#REF!</definedName>
    <definedName name="___RAT1">#REF!</definedName>
    <definedName name="___RAT2" localSheetId="4">#REF!</definedName>
    <definedName name="___RAT2" localSheetId="9">#REF!</definedName>
    <definedName name="___RAT2" localSheetId="8">#REF!</definedName>
    <definedName name="___RAT2">#REF!</definedName>
    <definedName name="___sch1" localSheetId="4">#REF!</definedName>
    <definedName name="___sch1" localSheetId="9">#REF!</definedName>
    <definedName name="___sch1" localSheetId="8">#REF!</definedName>
    <definedName name="___sch1">#REF!</definedName>
    <definedName name="___sch2" localSheetId="4">#REF!</definedName>
    <definedName name="___sch2" localSheetId="9">#REF!</definedName>
    <definedName name="___sch2" localSheetId="8">#REF!</definedName>
    <definedName name="___sch2">#REF!</definedName>
    <definedName name="___sti02" localSheetId="9" hidden="1">{#N/A,#N/A,FALSE,"gc (2)"}</definedName>
    <definedName name="___sti02" localSheetId="0" hidden="1">{#N/A,#N/A,FALSE,"gc (2)"}</definedName>
    <definedName name="___sti02" hidden="1">{#N/A,#N/A,FALSE,"gc (2)"}</definedName>
    <definedName name="___t1" localSheetId="9"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_t1"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_t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_t2" localSheetId="9"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_t2"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_t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_ta1" localSheetId="9" hidden="1">{#N/A,#N/A,TRUE,"Financials";#N/A,#N/A,TRUE,"Operating Statistics";#N/A,#N/A,TRUE,"Capex &amp; Depreciation";#N/A,#N/A,TRUE,"Debt"}</definedName>
    <definedName name="___ta1" localSheetId="0" hidden="1">{#N/A,#N/A,TRUE,"Financials";#N/A,#N/A,TRUE,"Operating Statistics";#N/A,#N/A,TRUE,"Capex &amp; Depreciation";#N/A,#N/A,TRUE,"Debt"}</definedName>
    <definedName name="___ta1" hidden="1">{#N/A,#N/A,TRUE,"Financials";#N/A,#N/A,TRUE,"Operating Statistics";#N/A,#N/A,TRUE,"Capex &amp; Depreciation";#N/A,#N/A,TRUE,"Debt"}</definedName>
    <definedName name="___tb1" localSheetId="9" hidden="1">{#N/A,#N/A,FALSE,"One Pager";#N/A,#N/A,FALSE,"Technical"}</definedName>
    <definedName name="___tb1" localSheetId="0" hidden="1">{#N/A,#N/A,FALSE,"One Pager";#N/A,#N/A,FALSE,"Technical"}</definedName>
    <definedName name="___tb1" hidden="1">{#N/A,#N/A,FALSE,"One Pager";#N/A,#N/A,FALSE,"Technical"}</definedName>
    <definedName name="___TB2" localSheetId="4">#REF!</definedName>
    <definedName name="___TB2" localSheetId="9">#REF!</definedName>
    <definedName name="___TB2" localSheetId="8">#REF!</definedName>
    <definedName name="___TB2">#REF!</definedName>
    <definedName name="___xlfn.BAHTTEXT" hidden="1">#NAME?</definedName>
    <definedName name="___xlnm.Database">"#REF!"</definedName>
    <definedName name="___xlnm.Print_Area">"#REF!"</definedName>
    <definedName name="___xlnm.Print_Area_1">"'Plan-Activity (3)'!$A$1:$L$64"</definedName>
    <definedName name="___xlnm.Print_Area_2">"'Plan-Activity (2)'!$A$1:$L$66"</definedName>
    <definedName name="___xlnm.Print_Area_3">"'Plan-Activity'!$A$1:$L$198"</definedName>
    <definedName name="___xlnm.Print_Area_6">"'Progress Summary'!$A$1:$L$12"</definedName>
    <definedName name="___xlnm.Print_Area_7">"'Deck Sheet, Roof Program'!$A$1:$L$18"</definedName>
    <definedName name="___xlnm.Print_Titles_1">"'Plan-Activity (3)'!$1:$2"</definedName>
    <definedName name="___xlnm.Print_Titles_2">"'Plan-Activity (2)'!$3:$4"</definedName>
    <definedName name="___xlnm.Print_Titles_3">"'Plan-Activity'!$1:$2"</definedName>
    <definedName name="___xlnm.Print_Titles_4">"'MPR-Qty'!$1:$3"</definedName>
    <definedName name="___xlnm.Print_Titles_7">"'Deck Sheet, Roof Program'!$1:$2"</definedName>
    <definedName name="__123Graph_A" hidden="1">'[6]1'!$D$20:$D$31</definedName>
    <definedName name="__123Graph_ACURVE" hidden="1">'[6]1'!$D$20:$D$31</definedName>
    <definedName name="__123Graph_AIncome" localSheetId="4" hidden="1">#REF!</definedName>
    <definedName name="__123Graph_AIncome" localSheetId="9" hidden="1">#REF!</definedName>
    <definedName name="__123Graph_AIncome" localSheetId="8" hidden="1">#REF!</definedName>
    <definedName name="__123Graph_AIncome" hidden="1">#REF!</definedName>
    <definedName name="__123Graph_APAY" hidden="1">'[6]1'!$I$20:$I$46</definedName>
    <definedName name="__123Graph_ASummary" localSheetId="4" hidden="1">#REF!</definedName>
    <definedName name="__123Graph_ASummary" localSheetId="9" hidden="1">#REF!</definedName>
    <definedName name="__123Graph_ASummary" localSheetId="8" hidden="1">#REF!</definedName>
    <definedName name="__123Graph_ASummary" hidden="1">#REF!</definedName>
    <definedName name="__123Graph_B" localSheetId="4" hidden="1">#REF!</definedName>
    <definedName name="__123Graph_B" localSheetId="9" hidden="1">#REF!</definedName>
    <definedName name="__123Graph_B" localSheetId="8" hidden="1">#REF!</definedName>
    <definedName name="__123Graph_B" hidden="1">#REF!</definedName>
    <definedName name="__123Graph_BIncome" localSheetId="4" hidden="1">#REF!</definedName>
    <definedName name="__123Graph_BIncome" localSheetId="9" hidden="1">#REF!</definedName>
    <definedName name="__123Graph_BIncome" localSheetId="8" hidden="1">#REF!</definedName>
    <definedName name="__123Graph_BIncome" hidden="1">#REF!</definedName>
    <definedName name="__123Graph_BSummary" localSheetId="4" hidden="1">#REF!</definedName>
    <definedName name="__123Graph_BSummary" localSheetId="9" hidden="1">#REF!</definedName>
    <definedName name="__123Graph_BSummary" localSheetId="8" hidden="1">#REF!</definedName>
    <definedName name="__123Graph_BSummary" hidden="1">#REF!</definedName>
    <definedName name="__123Graph_D" localSheetId="4" hidden="1">#REF!</definedName>
    <definedName name="__123Graph_D" localSheetId="9" hidden="1">#REF!</definedName>
    <definedName name="__123Graph_D" localSheetId="8" hidden="1">#REF!</definedName>
    <definedName name="__123Graph_D" hidden="1">#REF!</definedName>
    <definedName name="__123Graph_F" localSheetId="4" hidden="1">#REF!</definedName>
    <definedName name="__123Graph_F" localSheetId="9" hidden="1">#REF!</definedName>
    <definedName name="__123Graph_F" localSheetId="8" hidden="1">#REF!</definedName>
    <definedName name="__123Graph_F" hidden="1">#REF!</definedName>
    <definedName name="__123Graph_X" hidden="1">'[6]1'!$B$20:$B$31</definedName>
    <definedName name="__123Graph_XCURVE" hidden="1">'[6]1'!$B$20:$B$31</definedName>
    <definedName name="__123Graph_XIncome" localSheetId="4" hidden="1">#REF!</definedName>
    <definedName name="__123Graph_XIncome" localSheetId="9" hidden="1">#REF!</definedName>
    <definedName name="__123Graph_XIncome" localSheetId="8" hidden="1">#REF!</definedName>
    <definedName name="__123Graph_XIncome" hidden="1">#REF!</definedName>
    <definedName name="__123Graph_XPAY" hidden="1">'[6]1'!$B$20:$B$46</definedName>
    <definedName name="__a1" localSheetId="9" hidden="1">{#N/A,#N/A,FALSE,"VARIATIONS";#N/A,#N/A,FALSE,"BUDGET";#N/A,#N/A,FALSE,"CIVIL QNTY VAR";#N/A,#N/A,FALSE,"SUMMARY";#N/A,#N/A,FALSE,"MATERIAL VAR"}</definedName>
    <definedName name="__a1" localSheetId="0" hidden="1">{#N/A,#N/A,FALSE,"VARIATIONS";#N/A,#N/A,FALSE,"BUDGET";#N/A,#N/A,FALSE,"CIVIL QNTY VAR";#N/A,#N/A,FALSE,"SUMMARY";#N/A,#N/A,FALSE,"MATERIAL VAR"}</definedName>
    <definedName name="__a1" hidden="1">{#N/A,#N/A,FALSE,"VARIATIONS";#N/A,#N/A,FALSE,"BUDGET";#N/A,#N/A,FALSE,"CIVIL QNTY VAR";#N/A,#N/A,FALSE,"SUMMARY";#N/A,#N/A,FALSE,"MATERIAL VAR"}</definedName>
    <definedName name="__A100000" localSheetId="4">#REF!</definedName>
    <definedName name="__A100000" localSheetId="9">#REF!</definedName>
    <definedName name="__A100000" localSheetId="8">#REF!</definedName>
    <definedName name="__A100000">#REF!</definedName>
    <definedName name="__A31" localSheetId="4">#REF!</definedName>
    <definedName name="__A31" localSheetId="9">#REF!</definedName>
    <definedName name="__A31" localSheetId="8">#REF!</definedName>
    <definedName name="__A31">#REF!</definedName>
    <definedName name="__A655600" localSheetId="4">#REF!</definedName>
    <definedName name="__A655600" localSheetId="9">#REF!</definedName>
    <definedName name="__A655600" localSheetId="8">#REF!</definedName>
    <definedName name="__A655600">#REF!</definedName>
    <definedName name="__A65999" localSheetId="4">#REF!</definedName>
    <definedName name="__A65999" localSheetId="9">#REF!</definedName>
    <definedName name="__A65999" localSheetId="8">#REF!</definedName>
    <definedName name="__A65999">#REF!</definedName>
    <definedName name="__A70000" localSheetId="4">#REF!</definedName>
    <definedName name="__A70000" localSheetId="9">#REF!</definedName>
    <definedName name="__A70000" localSheetId="8">#REF!</definedName>
    <definedName name="__A70000">#REF!</definedName>
    <definedName name="__A80000" localSheetId="4">#REF!</definedName>
    <definedName name="__A80000" localSheetId="9">#REF!</definedName>
    <definedName name="__A80000" localSheetId="8">#REF!</definedName>
    <definedName name="__A80000">#REF!</definedName>
    <definedName name="__A99999" localSheetId="4">#REF!</definedName>
    <definedName name="__A99999" localSheetId="9">#REF!</definedName>
    <definedName name="__A99999" localSheetId="8">#REF!</definedName>
    <definedName name="__A99999">#REF!</definedName>
    <definedName name="__A999999" localSheetId="4">#REF!</definedName>
    <definedName name="__A999999" localSheetId="9">#REF!</definedName>
    <definedName name="__A999999" localSheetId="8">#REF!</definedName>
    <definedName name="__A999999">#REF!</definedName>
    <definedName name="__AA1" localSheetId="4">#REF!</definedName>
    <definedName name="__AA1" localSheetId="9">#REF!</definedName>
    <definedName name="__AA1" localSheetId="8">#REF!</definedName>
    <definedName name="__AA1">#REF!</definedName>
    <definedName name="__alt1" localSheetId="4">#REF!</definedName>
    <definedName name="__alt1" localSheetId="9">#REF!</definedName>
    <definedName name="__alt1" localSheetId="8">#REF!</definedName>
    <definedName name="__alt1">#REF!</definedName>
    <definedName name="__ALT2" localSheetId="4">#REF!</definedName>
    <definedName name="__ALT2" localSheetId="9">#REF!</definedName>
    <definedName name="__ALT2" localSheetId="8">#REF!</definedName>
    <definedName name="__ALT2">#REF!</definedName>
    <definedName name="__ALT3" localSheetId="4">#REF!</definedName>
    <definedName name="__ALT3" localSheetId="9">#REF!</definedName>
    <definedName name="__ALT3" localSheetId="8">#REF!</definedName>
    <definedName name="__ALT3">#REF!</definedName>
    <definedName name="__ALT4" localSheetId="4">#REF!</definedName>
    <definedName name="__ALT4" localSheetId="9">#REF!</definedName>
    <definedName name="__ALT4" localSheetId="8">#REF!</definedName>
    <definedName name="__ALT4">#REF!</definedName>
    <definedName name="__ans987" localSheetId="9" hidden="1">{#N/A,#N/A,FALSE,"VARIATIONS";#N/A,#N/A,FALSE,"BUDGET";#N/A,#N/A,FALSE,"CIVIL QNTY VAR";#N/A,#N/A,FALSE,"SUMMARY";#N/A,#N/A,FALSE,"MATERIAL VAR"}</definedName>
    <definedName name="__ans987" localSheetId="0" hidden="1">{#N/A,#N/A,FALSE,"VARIATIONS";#N/A,#N/A,FALSE,"BUDGET";#N/A,#N/A,FALSE,"CIVIL QNTY VAR";#N/A,#N/A,FALSE,"SUMMARY";#N/A,#N/A,FALSE,"MATERIAL VAR"}</definedName>
    <definedName name="__ans987" hidden="1">{#N/A,#N/A,FALSE,"VARIATIONS";#N/A,#N/A,FALSE,"BUDGET";#N/A,#N/A,FALSE,"CIVIL QNTY VAR";#N/A,#N/A,FALSE,"SUMMARY";#N/A,#N/A,FALSE,"MATERIAL VAR"}</definedName>
    <definedName name="__aoc10" localSheetId="4">#REF!</definedName>
    <definedName name="__aoc10" localSheetId="9">#REF!</definedName>
    <definedName name="__aoc10" localSheetId="8">#REF!</definedName>
    <definedName name="__aoc10">#REF!</definedName>
    <definedName name="__aoc11" localSheetId="4">#REF!</definedName>
    <definedName name="__aoc11" localSheetId="9">#REF!</definedName>
    <definedName name="__aoc11" localSheetId="8">#REF!</definedName>
    <definedName name="__aoc11">#REF!</definedName>
    <definedName name="__aoc2" localSheetId="4">'[7]02'!#REF!</definedName>
    <definedName name="__aoc2" localSheetId="9">'[7]02'!#REF!</definedName>
    <definedName name="__aoc2" localSheetId="8">'[7]02'!#REF!</definedName>
    <definedName name="__aoc2">'[7]02'!#REF!</definedName>
    <definedName name="__aoc3" localSheetId="4">'[7]03'!#REF!</definedName>
    <definedName name="__aoc3" localSheetId="9">'[7]03'!#REF!</definedName>
    <definedName name="__aoc3" localSheetId="8">'[7]03'!#REF!</definedName>
    <definedName name="__aoc3">'[7]03'!#REF!</definedName>
    <definedName name="__aoc4" localSheetId="4">'[7]04'!#REF!</definedName>
    <definedName name="__aoc4" localSheetId="9">'[7]04'!#REF!</definedName>
    <definedName name="__aoc4" localSheetId="8">'[7]04'!#REF!</definedName>
    <definedName name="__aoc4">'[7]04'!#REF!</definedName>
    <definedName name="__aoc7" localSheetId="4">#REF!</definedName>
    <definedName name="__aoc7" localSheetId="9">#REF!</definedName>
    <definedName name="__aoc7" localSheetId="8">#REF!</definedName>
    <definedName name="__aoc7">#REF!</definedName>
    <definedName name="__aoc8" localSheetId="4">#REF!</definedName>
    <definedName name="__aoc8" localSheetId="9">#REF!</definedName>
    <definedName name="__aoc8" localSheetId="8">#REF!</definedName>
    <definedName name="__aoc8">#REF!</definedName>
    <definedName name="__aoc9" localSheetId="4">#REF!</definedName>
    <definedName name="__aoc9" localSheetId="9">#REF!</definedName>
    <definedName name="__aoc9" localSheetId="8">#REF!</definedName>
    <definedName name="__aoc9">#REF!</definedName>
    <definedName name="__b111121" localSheetId="4">#REF!</definedName>
    <definedName name="__b111121" localSheetId="9">#REF!</definedName>
    <definedName name="__b111121" localSheetId="8">#REF!</definedName>
    <definedName name="__b111121">#REF!</definedName>
    <definedName name="__can430">40.73</definedName>
    <definedName name="__can435">43.3</definedName>
    <definedName name="__CON1" localSheetId="4">#REF!</definedName>
    <definedName name="__CON1" localSheetId="9">#REF!</definedName>
    <definedName name="__CON1" localSheetId="8">#REF!</definedName>
    <definedName name="__CON1">#REF!</definedName>
    <definedName name="__CON2" localSheetId="4">#REF!</definedName>
    <definedName name="__CON2" localSheetId="9">#REF!</definedName>
    <definedName name="__CON2" localSheetId="8">#REF!</definedName>
    <definedName name="__CON2">#REF!</definedName>
    <definedName name="__d1" localSheetId="9" hidden="1">{#N/A,#N/A,FALSE,"VARIATIONS";#N/A,#N/A,FALSE,"BUDGET";#N/A,#N/A,FALSE,"CIVIL QNTY VAR";#N/A,#N/A,FALSE,"SUMMARY";#N/A,#N/A,FALSE,"MATERIAL VAR"}</definedName>
    <definedName name="__d1" localSheetId="0" hidden="1">{#N/A,#N/A,FALSE,"VARIATIONS";#N/A,#N/A,FALSE,"BUDGET";#N/A,#N/A,FALSE,"CIVIL QNTY VAR";#N/A,#N/A,FALSE,"SUMMARY";#N/A,#N/A,FALSE,"MATERIAL VAR"}</definedName>
    <definedName name="__d1" hidden="1">{#N/A,#N/A,FALSE,"VARIATIONS";#N/A,#N/A,FALSE,"BUDGET";#N/A,#N/A,FALSE,"CIVIL QNTY VAR";#N/A,#N/A,FALSE,"SUMMARY";#N/A,#N/A,FALSE,"MATERIAL VAR"}</definedName>
    <definedName name="__dd5" localSheetId="9" hidden="1">{#N/A,#N/A,FALSE,"VARIATIONS";#N/A,#N/A,FALSE,"BUDGET";#N/A,#N/A,FALSE,"CIVIL QNTY VAR";#N/A,#N/A,FALSE,"SUMMARY";#N/A,#N/A,FALSE,"MATERIAL VAR"}</definedName>
    <definedName name="__dd5" localSheetId="0" hidden="1">{#N/A,#N/A,FALSE,"VARIATIONS";#N/A,#N/A,FALSE,"BUDGET";#N/A,#N/A,FALSE,"CIVIL QNTY VAR";#N/A,#N/A,FALSE,"SUMMARY";#N/A,#N/A,FALSE,"MATERIAL VAR"}</definedName>
    <definedName name="__dd5" hidden="1">{#N/A,#N/A,FALSE,"VARIATIONS";#N/A,#N/A,FALSE,"BUDGET";#N/A,#N/A,FALSE,"CIVIL QNTY VAR";#N/A,#N/A,FALSE,"SUMMARY";#N/A,#N/A,FALSE,"MATERIAL VAR"}</definedName>
    <definedName name="__dim4" localSheetId="4">#REF!</definedName>
    <definedName name="__dim4" localSheetId="9">#REF!</definedName>
    <definedName name="__dim4" localSheetId="8">#REF!</definedName>
    <definedName name="__dim4">#REF!</definedName>
    <definedName name="__Eg616103" localSheetId="4">#REF!</definedName>
    <definedName name="__Eg616103" localSheetId="9">#REF!</definedName>
    <definedName name="__Eg616103" localSheetId="8">#REF!</definedName>
    <definedName name="__Eg616103">#REF!</definedName>
    <definedName name="__exc1" localSheetId="4">#REF!</definedName>
    <definedName name="__exc1" localSheetId="9">#REF!</definedName>
    <definedName name="__exc1" localSheetId="8">#REF!</definedName>
    <definedName name="__exc1">#REF!</definedName>
    <definedName name="__exc11" localSheetId="4">#REF!</definedName>
    <definedName name="__exc11" localSheetId="9">#REF!</definedName>
    <definedName name="__exc11" localSheetId="8">#REF!</definedName>
    <definedName name="__exc11">#REF!</definedName>
    <definedName name="__exc2" localSheetId="4">#REF!</definedName>
    <definedName name="__exc2" localSheetId="9">#REF!</definedName>
    <definedName name="__exc2" localSheetId="8">#REF!</definedName>
    <definedName name="__exc2">#REF!</definedName>
    <definedName name="__EXC3" localSheetId="4">#REF!</definedName>
    <definedName name="__EXC3" localSheetId="9">#REF!</definedName>
    <definedName name="__EXC3" localSheetId="8">#REF!</definedName>
    <definedName name="__EXC3">#REF!</definedName>
    <definedName name="__EXC4" localSheetId="4">#REF!</definedName>
    <definedName name="__EXC4" localSheetId="9">#REF!</definedName>
    <definedName name="__EXC4" localSheetId="8">#REF!</definedName>
    <definedName name="__EXC4">#REF!</definedName>
    <definedName name="__f1" localSheetId="9" hidden="1">{#N/A,#N/A,FALSE,"VARIATIONS";#N/A,#N/A,FALSE,"BUDGET";#N/A,#N/A,FALSE,"CIVIL QNTY VAR";#N/A,#N/A,FALSE,"SUMMARY";#N/A,#N/A,FALSE,"MATERIAL VAR"}</definedName>
    <definedName name="__f1" localSheetId="0" hidden="1">{#N/A,#N/A,FALSE,"VARIATIONS";#N/A,#N/A,FALSE,"BUDGET";#N/A,#N/A,FALSE,"CIVIL QNTY VAR";#N/A,#N/A,FALSE,"SUMMARY";#N/A,#N/A,FALSE,"MATERIAL VAR"}</definedName>
    <definedName name="__f1" hidden="1">{#N/A,#N/A,FALSE,"VARIATIONS";#N/A,#N/A,FALSE,"BUDGET";#N/A,#N/A,FALSE,"CIVIL QNTY VAR";#N/A,#N/A,FALSE,"SUMMARY";#N/A,#N/A,FALSE,"MATERIAL VAR"}</definedName>
    <definedName name="__FDS_HYPERLINK_TOGGLE_STATE__" hidden="1">"ON"</definedName>
    <definedName name="__Feb06" localSheetId="9" hidden="1">{#N/A,#N/A,TRUE,"Front";#N/A,#N/A,TRUE,"Simple Letter";#N/A,#N/A,TRUE,"Inside";#N/A,#N/A,TRUE,"Contents";#N/A,#N/A,TRUE,"Basis";#N/A,#N/A,TRUE,"Inclusions";#N/A,#N/A,TRUE,"Exclusions";#N/A,#N/A,TRUE,"Areas";#N/A,#N/A,TRUE,"Summary";#N/A,#N/A,TRUE,"Detail"}</definedName>
    <definedName name="__Feb06" localSheetId="0" hidden="1">{#N/A,#N/A,TRUE,"Front";#N/A,#N/A,TRUE,"Simple Letter";#N/A,#N/A,TRUE,"Inside";#N/A,#N/A,TRUE,"Contents";#N/A,#N/A,TRUE,"Basis";#N/A,#N/A,TRUE,"Inclusions";#N/A,#N/A,TRUE,"Exclusions";#N/A,#N/A,TRUE,"Areas";#N/A,#N/A,TRUE,"Summary";#N/A,#N/A,TRUE,"Detail"}</definedName>
    <definedName name="__Feb06" hidden="1">{#N/A,#N/A,TRUE,"Front";#N/A,#N/A,TRUE,"Simple Letter";#N/A,#N/A,TRUE,"Inside";#N/A,#N/A,TRUE,"Contents";#N/A,#N/A,TRUE,"Basis";#N/A,#N/A,TRUE,"Inclusions";#N/A,#N/A,TRUE,"Exclusions";#N/A,#N/A,TRUE,"Areas";#N/A,#N/A,TRUE,"Summary";#N/A,#N/A,TRUE,"Detail"}</definedName>
    <definedName name="__foo1" localSheetId="4">#REF!</definedName>
    <definedName name="__foo1" localSheetId="9">#REF!</definedName>
    <definedName name="__foo1" localSheetId="8">#REF!</definedName>
    <definedName name="__foo1">#REF!</definedName>
    <definedName name="__foo2" localSheetId="4">#REF!</definedName>
    <definedName name="__foo2" localSheetId="9">#REF!</definedName>
    <definedName name="__foo2" localSheetId="8">#REF!</definedName>
    <definedName name="__foo2">#REF!</definedName>
    <definedName name="__foo3" localSheetId="4">#REF!</definedName>
    <definedName name="__foo3" localSheetId="9">#REF!</definedName>
    <definedName name="__foo3" localSheetId="8">#REF!</definedName>
    <definedName name="__foo3">#REF!</definedName>
    <definedName name="__FOO4" localSheetId="4">#REF!</definedName>
    <definedName name="__FOO4" localSheetId="9">#REF!</definedName>
    <definedName name="__FOO4" localSheetId="8">#REF!</definedName>
    <definedName name="__FOO4">#REF!</definedName>
    <definedName name="__hp10" localSheetId="9" hidden="1">{#N/A,#N/A,TRUE,"Front";#N/A,#N/A,TRUE,"Simple Letter";#N/A,#N/A,TRUE,"Inside";#N/A,#N/A,TRUE,"Contents";#N/A,#N/A,TRUE,"Basis";#N/A,#N/A,TRUE,"Inclusions";#N/A,#N/A,TRUE,"Exclusions";#N/A,#N/A,TRUE,"Areas";#N/A,#N/A,TRUE,"Summary";#N/A,#N/A,TRUE,"Detail"}</definedName>
    <definedName name="__hp10" localSheetId="0" hidden="1">{#N/A,#N/A,TRUE,"Front";#N/A,#N/A,TRUE,"Simple Letter";#N/A,#N/A,TRUE,"Inside";#N/A,#N/A,TRUE,"Contents";#N/A,#N/A,TRUE,"Basis";#N/A,#N/A,TRUE,"Inclusions";#N/A,#N/A,TRUE,"Exclusions";#N/A,#N/A,TRUE,"Areas";#N/A,#N/A,TRUE,"Summary";#N/A,#N/A,TRUE,"Detail"}</definedName>
    <definedName name="__hp10" hidden="1">{#N/A,#N/A,TRUE,"Front";#N/A,#N/A,TRUE,"Simple Letter";#N/A,#N/A,TRUE,"Inside";#N/A,#N/A,TRUE,"Contents";#N/A,#N/A,TRUE,"Basis";#N/A,#N/A,TRUE,"Inclusions";#N/A,#N/A,TRUE,"Exclusions";#N/A,#N/A,TRUE,"Areas";#N/A,#N/A,TRUE,"Summary";#N/A,#N/A,TRUE,"Detail"}</definedName>
    <definedName name="__IDC2" localSheetId="9">City&amp;" "&amp;State</definedName>
    <definedName name="__IDC2" localSheetId="0">City&amp;" "&amp;State</definedName>
    <definedName name="__IDC2">City&amp;" "&amp;State</definedName>
    <definedName name="__IDC2_7" localSheetId="9">City&amp;" "&amp;State</definedName>
    <definedName name="__IDC2_7" localSheetId="0">City&amp;" "&amp;State</definedName>
    <definedName name="__IDC2_7">City&amp;" "&amp;State</definedName>
    <definedName name="__IntlFixup" hidden="1">TRUE</definedName>
    <definedName name="__IntlFixupTable" localSheetId="4" hidden="1">#REF!</definedName>
    <definedName name="__IntlFixupTable" localSheetId="9" hidden="1">#REF!</definedName>
    <definedName name="__IntlFixupTable" localSheetId="8" hidden="1">#REF!</definedName>
    <definedName name="__IntlFixupTable" hidden="1">#REF!</definedName>
    <definedName name="__jj300" localSheetId="4">#REF!</definedName>
    <definedName name="__jj300" localSheetId="9">#REF!</definedName>
    <definedName name="__jj300" localSheetId="8">#REF!</definedName>
    <definedName name="__jj300">#REF!</definedName>
    <definedName name="__jj300_7" localSheetId="4">#REF!</definedName>
    <definedName name="__jj300_7" localSheetId="9">#REF!</definedName>
    <definedName name="__jj300_7" localSheetId="8">#REF!</definedName>
    <definedName name="__jj300_7">#REF!</definedName>
    <definedName name="__K85167" localSheetId="4">#REF!</definedName>
    <definedName name="__K85167" localSheetId="9">#REF!</definedName>
    <definedName name="__K85167" localSheetId="8">#REF!</definedName>
    <definedName name="__K85167">#REF!</definedName>
    <definedName name="__key1" localSheetId="4" hidden="1">[4]sheet6!#REF!</definedName>
    <definedName name="__key1" localSheetId="9" hidden="1">[4]sheet6!#REF!</definedName>
    <definedName name="__key1" localSheetId="8" hidden="1">[4]sheet6!#REF!</definedName>
    <definedName name="__key1" hidden="1">[4]sheet6!#REF!</definedName>
    <definedName name="__key2" localSheetId="4" hidden="1">#REF!</definedName>
    <definedName name="__key2" localSheetId="9" hidden="1">#REF!</definedName>
    <definedName name="__key2" localSheetId="8" hidden="1">#REF!</definedName>
    <definedName name="__key2" hidden="1">#REF!</definedName>
    <definedName name="__Ki1" localSheetId="4">#REF!</definedName>
    <definedName name="__Ki1" localSheetId="9">#REF!</definedName>
    <definedName name="__Ki1" localSheetId="8">#REF!</definedName>
    <definedName name="__Ki1">#REF!</definedName>
    <definedName name="__Ki2" localSheetId="4">#REF!</definedName>
    <definedName name="__Ki2" localSheetId="9">#REF!</definedName>
    <definedName name="__Ki2" localSheetId="8">#REF!</definedName>
    <definedName name="__Ki2">#REF!</definedName>
    <definedName name="__loc1" localSheetId="9">City&amp;" "&amp;State</definedName>
    <definedName name="__loc1" localSheetId="0">City&amp;" "&amp;State</definedName>
    <definedName name="__loc1">City&amp;" "&amp;State</definedName>
    <definedName name="__loc1_7" localSheetId="9">City&amp;" "&amp;State</definedName>
    <definedName name="__loc1_7" localSheetId="0">City&amp;" "&amp;State</definedName>
    <definedName name="__loc1_7">City&amp;" "&amp;State</definedName>
    <definedName name="__MAN1" localSheetId="4">#REF!</definedName>
    <definedName name="__MAN1" localSheetId="9">#REF!</definedName>
    <definedName name="__MAN1" localSheetId="8">#REF!</definedName>
    <definedName name="__MAN1">#REF!</definedName>
    <definedName name="__ML1" localSheetId="4">'[8]Material List '!#REF!</definedName>
    <definedName name="__ML1" localSheetId="9">'[8]Material List '!#REF!</definedName>
    <definedName name="__ML1" localSheetId="8">'[8]Material List '!#REF!</definedName>
    <definedName name="__ML1">'[8]Material List '!#REF!</definedName>
    <definedName name="__ML2" localSheetId="4">#REF!</definedName>
    <definedName name="__ML2" localSheetId="9">#REF!</definedName>
    <definedName name="__ML2" localSheetId="8">#REF!</definedName>
    <definedName name="__ML2">#REF!</definedName>
    <definedName name="__MR10" localSheetId="9"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MR10"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MR1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PB1" localSheetId="4">#REF!</definedName>
    <definedName name="__PB1" localSheetId="9">#REF!</definedName>
    <definedName name="__PB1" localSheetId="8">#REF!</definedName>
    <definedName name="__PB1">#REF!</definedName>
    <definedName name="__pcc1" localSheetId="4">#REF!</definedName>
    <definedName name="__pcc1" localSheetId="9">#REF!</definedName>
    <definedName name="__pcc1" localSheetId="8">#REF!</definedName>
    <definedName name="__pcc1">#REF!</definedName>
    <definedName name="__pcc2" localSheetId="4">#REF!</definedName>
    <definedName name="__pcc2" localSheetId="9">#REF!</definedName>
    <definedName name="__pcc2" localSheetId="8">#REF!</definedName>
    <definedName name="__pcc2">#REF!</definedName>
    <definedName name="__pcc3" localSheetId="4">#REF!</definedName>
    <definedName name="__pcc3" localSheetId="9">#REF!</definedName>
    <definedName name="__pcc3" localSheetId="8">#REF!</definedName>
    <definedName name="__pcc3">#REF!</definedName>
    <definedName name="__PCC4" localSheetId="4">#REF!</definedName>
    <definedName name="__PCC4" localSheetId="9">#REF!</definedName>
    <definedName name="__PCC4" localSheetId="8">#REF!</definedName>
    <definedName name="__PCC4">#REF!</definedName>
    <definedName name="__ph1">[3]NPV!$B$40</definedName>
    <definedName name="__plb1" localSheetId="4">#REF!</definedName>
    <definedName name="__plb1" localSheetId="9">#REF!</definedName>
    <definedName name="__plb1" localSheetId="8">#REF!</definedName>
    <definedName name="__plb1">#REF!</definedName>
    <definedName name="__plb2" localSheetId="4">#REF!</definedName>
    <definedName name="__plb2" localSheetId="9">#REF!</definedName>
    <definedName name="__plb2" localSheetId="8">#REF!</definedName>
    <definedName name="__plb2">#REF!</definedName>
    <definedName name="__plb3" localSheetId="4">#REF!</definedName>
    <definedName name="__plb3" localSheetId="9">#REF!</definedName>
    <definedName name="__plb3" localSheetId="8">#REF!</definedName>
    <definedName name="__plb3">#REF!</definedName>
    <definedName name="__plb4" localSheetId="4">#REF!</definedName>
    <definedName name="__plb4" localSheetId="9">#REF!</definedName>
    <definedName name="__plb4" localSheetId="8">#REF!</definedName>
    <definedName name="__plb4">#REF!</definedName>
    <definedName name="__RAT1" localSheetId="4">#REF!</definedName>
    <definedName name="__RAT1" localSheetId="9">#REF!</definedName>
    <definedName name="__RAT1" localSheetId="8">#REF!</definedName>
    <definedName name="__RAT1">#REF!</definedName>
    <definedName name="__RAT2" localSheetId="4">#REF!</definedName>
    <definedName name="__RAT2" localSheetId="9">#REF!</definedName>
    <definedName name="__RAT2" localSheetId="8">#REF!</definedName>
    <definedName name="__RAT2">#REF!</definedName>
    <definedName name="__rim4" localSheetId="4">#REF!</definedName>
    <definedName name="__rim4" localSheetId="9">#REF!</definedName>
    <definedName name="__rim4" localSheetId="8">#REF!</definedName>
    <definedName name="__rim4">#REF!</definedName>
    <definedName name="__rm4" localSheetId="4">#REF!</definedName>
    <definedName name="__rm4" localSheetId="9">#REF!</definedName>
    <definedName name="__rm4" localSheetId="8">#REF!</definedName>
    <definedName name="__rm4">#REF!</definedName>
    <definedName name="__sch1" localSheetId="4">#REF!</definedName>
    <definedName name="__sch1" localSheetId="9">#REF!</definedName>
    <definedName name="__sch1" localSheetId="8">#REF!</definedName>
    <definedName name="__sch1">#REF!</definedName>
    <definedName name="__sch2" localSheetId="4">#REF!</definedName>
    <definedName name="__sch2" localSheetId="9">#REF!</definedName>
    <definedName name="__sch2" localSheetId="8">#REF!</definedName>
    <definedName name="__sch2">#REF!</definedName>
    <definedName name="__sdb2" localSheetId="4">#REF!</definedName>
    <definedName name="__sdb2" localSheetId="9">#REF!</definedName>
    <definedName name="__sdb2" localSheetId="8">#REF!</definedName>
    <definedName name="__sdb2">#REF!</definedName>
    <definedName name="__t1" localSheetId="9"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t1"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t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ta1" localSheetId="9" hidden="1">{#N/A,#N/A,TRUE,"Financials";#N/A,#N/A,TRUE,"Operating Statistics";#N/A,#N/A,TRUE,"Capex &amp; Depreciation";#N/A,#N/A,TRUE,"Debt"}</definedName>
    <definedName name="__ta1" localSheetId="0" hidden="1">{#N/A,#N/A,TRUE,"Financials";#N/A,#N/A,TRUE,"Operating Statistics";#N/A,#N/A,TRUE,"Capex &amp; Depreciation";#N/A,#N/A,TRUE,"Debt"}</definedName>
    <definedName name="__ta1" hidden="1">{#N/A,#N/A,TRUE,"Financials";#N/A,#N/A,TRUE,"Operating Statistics";#N/A,#N/A,TRUE,"Capex &amp; Depreciation";#N/A,#N/A,TRUE,"Debt"}</definedName>
    <definedName name="__tb1" localSheetId="9" hidden="1">{#N/A,#N/A,FALSE,"One Pager";#N/A,#N/A,FALSE,"Technical"}</definedName>
    <definedName name="__tb1" localSheetId="0" hidden="1">{#N/A,#N/A,FALSE,"One Pager";#N/A,#N/A,FALSE,"Technical"}</definedName>
    <definedName name="__tb1" hidden="1">{#N/A,#N/A,FALSE,"One Pager";#N/A,#N/A,FALSE,"Technical"}</definedName>
    <definedName name="__TB2" localSheetId="4">#REF!</definedName>
    <definedName name="__TB2" localSheetId="9">#REF!</definedName>
    <definedName name="__TB2" localSheetId="8">#REF!</definedName>
    <definedName name="__TB2">#REF!</definedName>
    <definedName name="__TTL1" localSheetId="4">#REF!</definedName>
    <definedName name="__TTL1" localSheetId="9">#REF!</definedName>
    <definedName name="__TTL1" localSheetId="8">#REF!</definedName>
    <definedName name="__TTL1">#REF!</definedName>
    <definedName name="__TTL2" localSheetId="4">#REF!</definedName>
    <definedName name="__TTL2" localSheetId="9">#REF!</definedName>
    <definedName name="__TTL2" localSheetId="8">#REF!</definedName>
    <definedName name="__TTL2">#REF!</definedName>
    <definedName name="__TTL3" localSheetId="4">#REF!</definedName>
    <definedName name="__TTL3" localSheetId="9">#REF!</definedName>
    <definedName name="__TTL3" localSheetId="8">#REF!</definedName>
    <definedName name="__TTL3">#REF!</definedName>
    <definedName name="__TTL4" localSheetId="4">#REF!</definedName>
    <definedName name="__TTL4" localSheetId="9">#REF!</definedName>
    <definedName name="__TTL4" localSheetId="8">#REF!</definedName>
    <definedName name="__TTL4">#REF!</definedName>
    <definedName name="__TTL5" localSheetId="4">#REF!</definedName>
    <definedName name="__TTL5" localSheetId="9">#REF!</definedName>
    <definedName name="__TTL5" localSheetId="8">#REF!</definedName>
    <definedName name="__TTL5">#REF!</definedName>
    <definedName name="__TTL6" localSheetId="4">#REF!</definedName>
    <definedName name="__TTL6" localSheetId="9">#REF!</definedName>
    <definedName name="__TTL6" localSheetId="8">#REF!</definedName>
    <definedName name="__TTL6">#REF!</definedName>
    <definedName name="__xlfn.BAHTTEXT" hidden="1">#NAME?</definedName>
    <definedName name="__xlnm._FilterDatabase" localSheetId="4">#REF!</definedName>
    <definedName name="__xlnm._FilterDatabase" localSheetId="9">#REF!</definedName>
    <definedName name="__xlnm._FilterDatabase" localSheetId="8">#REF!</definedName>
    <definedName name="__xlnm._FilterDatabase">#REF!</definedName>
    <definedName name="__xlnm.Database">"#REF!"</definedName>
    <definedName name="__xlnm.Print_Area" localSheetId="6">"#REF!"</definedName>
    <definedName name="__xlnm.Print_Area" localSheetId="8">"#REF!"</definedName>
    <definedName name="__xlnm.Print_Area">"$#REF!.$A$2:$I$161"</definedName>
    <definedName name="__xlnm.Print_Area_1" localSheetId="4">#REF!</definedName>
    <definedName name="__xlnm.Print_Area_1" localSheetId="9">#REF!</definedName>
    <definedName name="__xlnm.Print_Area_1" localSheetId="6">"'Plan-Activity (3)'!$A$1:$L$64"</definedName>
    <definedName name="__xlnm.Print_Area_1" localSheetId="8">"'Plan-Activity (3)'!$A$1:$L$64"</definedName>
    <definedName name="__xlnm.Print_Area_1">#REF!</definedName>
    <definedName name="__xlnm.Print_Area_2">"'Plan-Activity (2)'!$A$1:$L$66"</definedName>
    <definedName name="__xlnm.Print_Area_3">"'Plan-Activity'!$A$1:$L$198"</definedName>
    <definedName name="__xlnm.Print_Area_4">"'Daily Concrete Program_2'!$A$1:$Q$136"</definedName>
    <definedName name="__xlnm.Print_Area_6">"'Progress Summary'!$A$1:$L$12"</definedName>
    <definedName name="__xlnm.Print_Area_7">"'Deck Sheet, Roof Program'!$A$1:$L$18"</definedName>
    <definedName name="__xlnm.Print_Titles">"$'Hard landscape'.$A$4:$AMJ$5"</definedName>
    <definedName name="__xlnm.Print_Titles_1" localSheetId="6">"'Plan-Activity (3)'!$1:$2"</definedName>
    <definedName name="__xlnm.Print_Titles_1" localSheetId="8">"'Plan-Activity (3)'!$1:$2"</definedName>
    <definedName name="__xlnm.Print_Titles_1">"$'Soft landscape'.$A$4:$AMJ$5"</definedName>
    <definedName name="__xlnm.Print_Titles_2">"'Plan-Activity (2)'!$3:$4"</definedName>
    <definedName name="__xlnm.Print_Titles_3">"'Plan-Activity'!$1:$2"</definedName>
    <definedName name="__xlnm.Print_Titles_4">"'MPR-Qty'!$1:$3"</definedName>
    <definedName name="__xlnm.Print_Titles_7">"'Deck Sheet, Roof Program'!$1:$2"</definedName>
    <definedName name="_0" localSheetId="4">#REF!</definedName>
    <definedName name="_0" localSheetId="9">#REF!</definedName>
    <definedName name="_0" localSheetId="8">#REF!</definedName>
    <definedName name="_0">#REF!</definedName>
    <definedName name="_0___0" localSheetId="4">#REF!</definedName>
    <definedName name="_0___0" localSheetId="9">#REF!</definedName>
    <definedName name="_0___0" localSheetId="8">#REF!</definedName>
    <definedName name="_0___0">#REF!</definedName>
    <definedName name="_06_26_03">'[9]MASTER_RATE ANALYSIS'!$B$188:$G$188</definedName>
    <definedName name="_1">'[9]MASTER_RATE ANALYSIS'!$A$2477:$I$2907</definedName>
    <definedName name="_1__123Graph_AAdmin_Expenses" localSheetId="4" hidden="1">#REF!</definedName>
    <definedName name="_1__123Graph_AAdmin_Expenses" localSheetId="9" hidden="1">#REF!</definedName>
    <definedName name="_1__123Graph_AAdmin_Expenses" localSheetId="8" hidden="1">#REF!</definedName>
    <definedName name="_1__123Graph_AAdmin_Expenses" hidden="1">#REF!</definedName>
    <definedName name="_1_a_1" localSheetId="4">#REF!</definedName>
    <definedName name="_1_a_1" localSheetId="9">#REF!</definedName>
    <definedName name="_1_a_1" localSheetId="8">#REF!</definedName>
    <definedName name="_1_a_1">#REF!</definedName>
    <definedName name="_1_Excel_BuiltIn_Print_Area_1_1_1" localSheetId="4">#REF!</definedName>
    <definedName name="_1_Excel_BuiltIn_Print_Area_1_1_1" localSheetId="9">#REF!</definedName>
    <definedName name="_1_Excel_BuiltIn_Print_Area_1_1_1" localSheetId="8">#REF!</definedName>
    <definedName name="_1_Excel_BuiltIn_Print_Area_1_1_1">#REF!</definedName>
    <definedName name="_10">'[9]MASTER_RATE ANALYSIS'!$A$592:$H$619</definedName>
    <definedName name="_10.1" localSheetId="4">#REF!</definedName>
    <definedName name="_10.1" localSheetId="9">#REF!</definedName>
    <definedName name="_10.1" localSheetId="8">#REF!</definedName>
    <definedName name="_10.1">#REF!</definedName>
    <definedName name="_100ContAmt_4_1" localSheetId="4">#REF!</definedName>
    <definedName name="_100ContAmt_4_1" localSheetId="9">#REF!</definedName>
    <definedName name="_100ContAmt_4_1" localSheetId="8">#REF!</definedName>
    <definedName name="_100ContAmt_4_1">#REF!</definedName>
    <definedName name="_100SalesMgr_4_1" localSheetId="4">#REF!</definedName>
    <definedName name="_100SalesMgr_4_1" localSheetId="9">#REF!</definedName>
    <definedName name="_100SalesMgr_4_1" localSheetId="8">#REF!</definedName>
    <definedName name="_100SalesMgr_4_1">#REF!</definedName>
    <definedName name="_101saud_4_1" localSheetId="4">#REF!</definedName>
    <definedName name="_101saud_4_1" localSheetId="9">#REF!</definedName>
    <definedName name="_101saud_4_1" localSheetId="8">#REF!</definedName>
    <definedName name="_101saud_4_1">#REF!</definedName>
    <definedName name="_102sauf_4_1" localSheetId="4">#REF!</definedName>
    <definedName name="_102sauf_4_1" localSheetId="9">#REF!</definedName>
    <definedName name="_102sauf_4_1" localSheetId="8">#REF!</definedName>
    <definedName name="_102sauf_4_1">#REF!</definedName>
    <definedName name="_103sauif_4_1" localSheetId="4">#REF!</definedName>
    <definedName name="_103sauif_4_1" localSheetId="9">#REF!</definedName>
    <definedName name="_103sauif_4_1" localSheetId="8">#REF!</definedName>
    <definedName name="_103sauif_4_1">#REF!</definedName>
    <definedName name="_104SelectedLanguage_4_1" localSheetId="4">#REF!</definedName>
    <definedName name="_104SelectedLanguage_4_1" localSheetId="9">#REF!</definedName>
    <definedName name="_104SelectedLanguage_4_1" localSheetId="8">#REF!</definedName>
    <definedName name="_104SelectedLanguage_4_1">#REF!</definedName>
    <definedName name="_105SiteID_4_1" localSheetId="4">#REF!</definedName>
    <definedName name="_105SiteID_4_1" localSheetId="9">#REF!</definedName>
    <definedName name="_105SiteID_4_1" localSheetId="8">#REF!</definedName>
    <definedName name="_105SiteID_4_1">#REF!</definedName>
    <definedName name="_106SiteType_4_1" localSheetId="4">#REF!</definedName>
    <definedName name="_106SiteType_4_1" localSheetId="9">#REF!</definedName>
    <definedName name="_106SiteType_4_1" localSheetId="8">#REF!</definedName>
    <definedName name="_106SiteType_4_1">#REF!</definedName>
    <definedName name="_107SmallProj_4_1" localSheetId="4">#REF!</definedName>
    <definedName name="_107SmallProj_4_1" localSheetId="9">#REF!</definedName>
    <definedName name="_107SmallProj_4_1" localSheetId="8">#REF!</definedName>
    <definedName name="_107SmallProj_4_1">#REF!</definedName>
    <definedName name="_108SmallProj_Text_4_1" localSheetId="4">#REF!</definedName>
    <definedName name="_108SmallProj_Text_4_1" localSheetId="9">#REF!</definedName>
    <definedName name="_108SmallProj_Text_4_1" localSheetId="8">#REF!</definedName>
    <definedName name="_108SmallProj_Text_4_1">#REF!</definedName>
    <definedName name="_109SP1Branch_4_1" localSheetId="4">#REF!</definedName>
    <definedName name="_109SP1Branch_4_1" localSheetId="9">#REF!</definedName>
    <definedName name="_109SP1Branch_4_1" localSheetId="8">#REF!</definedName>
    <definedName name="_109SP1Branch_4_1">#REF!</definedName>
    <definedName name="_10BidClass_4_1" localSheetId="4">#REF!</definedName>
    <definedName name="_10BidClass_4_1" localSheetId="9">#REF!</definedName>
    <definedName name="_10BidClass_4_1" localSheetId="8">#REF!</definedName>
    <definedName name="_10BidClass_4_1">#REF!</definedName>
    <definedName name="_11">'[9]MASTER_RATE ANALYSIS'!$A$678:$H$700</definedName>
    <definedName name="_11_a_1" localSheetId="4">#REF!</definedName>
    <definedName name="_11_a_1" localSheetId="9">#REF!</definedName>
    <definedName name="_11_a_1" localSheetId="8">#REF!</definedName>
    <definedName name="_11_a_1">#REF!</definedName>
    <definedName name="_110SP1Credit_4_1" localSheetId="4">#REF!</definedName>
    <definedName name="_110SP1Credit_4_1" localSheetId="9">#REF!</definedName>
    <definedName name="_110SP1Credit_4_1" localSheetId="8">#REF!</definedName>
    <definedName name="_110SP1Credit_4_1">#REF!</definedName>
    <definedName name="_111ContWithAcct_4_1" localSheetId="4">#REF!</definedName>
    <definedName name="_111ContWithAcct_4_1" localSheetId="9">#REF!</definedName>
    <definedName name="_111ContWithAcct_4_1" localSheetId="8">#REF!</definedName>
    <definedName name="_111ContWithAcct_4_1">#REF!</definedName>
    <definedName name="_111SP1Name_4_1" localSheetId="4">#REF!</definedName>
    <definedName name="_111SP1Name_4_1" localSheetId="9">#REF!</definedName>
    <definedName name="_111SP1Name_4_1" localSheetId="8">#REF!</definedName>
    <definedName name="_111SP1Name_4_1">#REF!</definedName>
    <definedName name="_112ContWithName_4_1" localSheetId="4">#REF!</definedName>
    <definedName name="_112ContWithName_4_1" localSheetId="9">#REF!</definedName>
    <definedName name="_112ContWithName_4_1" localSheetId="8">#REF!</definedName>
    <definedName name="_112ContWithName_4_1">#REF!</definedName>
    <definedName name="_112SP1Number_4_1" localSheetId="4">#REF!</definedName>
    <definedName name="_112SP1Number_4_1" localSheetId="9">#REF!</definedName>
    <definedName name="_112SP1Number_4_1" localSheetId="8">#REF!</definedName>
    <definedName name="_112SP1Number_4_1">#REF!</definedName>
    <definedName name="_113ContWithPrio_4_1" localSheetId="4">#REF!</definedName>
    <definedName name="_113ContWithPrio_4_1" localSheetId="9">#REF!</definedName>
    <definedName name="_113ContWithPrio_4_1" localSheetId="8">#REF!</definedName>
    <definedName name="_113ContWithPrio_4_1">#REF!</definedName>
    <definedName name="_113SP2Branch_4_1" localSheetId="4">#REF!</definedName>
    <definedName name="_113SP2Branch_4_1" localSheetId="9">#REF!</definedName>
    <definedName name="_113SP2Branch_4_1" localSheetId="8">#REF!</definedName>
    <definedName name="_113SP2Branch_4_1">#REF!</definedName>
    <definedName name="_114ContWithPrio_Text_4_1" localSheetId="4">#REF!</definedName>
    <definedName name="_114ContWithPrio_Text_4_1" localSheetId="9">#REF!</definedName>
    <definedName name="_114ContWithPrio_Text_4_1" localSheetId="8">#REF!</definedName>
    <definedName name="_114ContWithPrio_Text_4_1">#REF!</definedName>
    <definedName name="_114SP2Credit_4_1" localSheetId="4">#REF!</definedName>
    <definedName name="_114SP2Credit_4_1" localSheetId="9">#REF!</definedName>
    <definedName name="_114SP2Credit_4_1" localSheetId="8">#REF!</definedName>
    <definedName name="_114SP2Credit_4_1">#REF!</definedName>
    <definedName name="_115CONum_4_1" localSheetId="4">#REF!</definedName>
    <definedName name="_115CONum_4_1" localSheetId="9">#REF!</definedName>
    <definedName name="_115CONum_4_1" localSheetId="8">#REF!</definedName>
    <definedName name="_115CONum_4_1">#REF!</definedName>
    <definedName name="_115SP2Name_4_1" localSheetId="4">#REF!</definedName>
    <definedName name="_115SP2Name_4_1" localSheetId="9">#REF!</definedName>
    <definedName name="_115SP2Name_4_1" localSheetId="8">#REF!</definedName>
    <definedName name="_115SP2Name_4_1">#REF!</definedName>
    <definedName name="_116CorpClient_4_1" localSheetId="4">#REF!</definedName>
    <definedName name="_116CorpClient_4_1" localSheetId="9">#REF!</definedName>
    <definedName name="_116CorpClient_4_1" localSheetId="8">#REF!</definedName>
    <definedName name="_116CorpClient_4_1">#REF!</definedName>
    <definedName name="_116SP2Number_4_1" localSheetId="4">#REF!</definedName>
    <definedName name="_116SP2Number_4_1" localSheetId="9">#REF!</definedName>
    <definedName name="_116SP2Number_4_1" localSheetId="8">#REF!</definedName>
    <definedName name="_116SP2Number_4_1">#REF!</definedName>
    <definedName name="_117CorpClient_Text_4_1" localSheetId="4">#REF!</definedName>
    <definedName name="_117CorpClient_Text_4_1" localSheetId="9">#REF!</definedName>
    <definedName name="_117CorpClient_Text_4_1" localSheetId="8">#REF!</definedName>
    <definedName name="_117CorpClient_Text_4_1">#REF!</definedName>
    <definedName name="_117SP3Branch_4_1" localSheetId="4">#REF!</definedName>
    <definedName name="_117SP3Branch_4_1" localSheetId="9">#REF!</definedName>
    <definedName name="_117SP3Branch_4_1" localSheetId="8">#REF!</definedName>
    <definedName name="_117SP3Branch_4_1">#REF!</definedName>
    <definedName name="_118CURR_4_1" localSheetId="4">#REF!</definedName>
    <definedName name="_118CURR_4_1" localSheetId="9">#REF!</definedName>
    <definedName name="_118CURR_4_1" localSheetId="8">#REF!</definedName>
    <definedName name="_118CURR_4_1">#REF!</definedName>
    <definedName name="_118SP3Credit_4_1" localSheetId="4">#REF!</definedName>
    <definedName name="_118SP3Credit_4_1" localSheetId="9">#REF!</definedName>
    <definedName name="_118SP3Credit_4_1" localSheetId="8">#REF!</definedName>
    <definedName name="_118SP3Credit_4_1">#REF!</definedName>
    <definedName name="_119SP3Name_4_1" localSheetId="4">#REF!</definedName>
    <definedName name="_119SP3Name_4_1" localSheetId="9">#REF!</definedName>
    <definedName name="_119SP3Name_4_1" localSheetId="8">#REF!</definedName>
    <definedName name="_119SP3Name_4_1">#REF!</definedName>
    <definedName name="_11BidClass_Text_4_1" localSheetId="4">#REF!</definedName>
    <definedName name="_11BidClass_Text_4_1" localSheetId="9">#REF!</definedName>
    <definedName name="_11BidClass_Text_4_1" localSheetId="8">#REF!</definedName>
    <definedName name="_11BidClass_Text_4_1">#REF!</definedName>
    <definedName name="_12">'[9]MASTER_RATE ANALYSIS'!$A$702:$H$724</definedName>
    <definedName name="_120SP3Number_4_1" localSheetId="4">#REF!</definedName>
    <definedName name="_120SP3Number_4_1" localSheetId="9">#REF!</definedName>
    <definedName name="_120SP3Number_4_1" localSheetId="8">#REF!</definedName>
    <definedName name="_120SP3Number_4_1">#REF!</definedName>
    <definedName name="_121SP4Branch_4_1" localSheetId="4">#REF!</definedName>
    <definedName name="_121SP4Branch_4_1" localSheetId="9">#REF!</definedName>
    <definedName name="_121SP4Branch_4_1" localSheetId="8">#REF!</definedName>
    <definedName name="_121SP4Branch_4_1">#REF!</definedName>
    <definedName name="_122SP4Credit_4_1" localSheetId="4">#REF!</definedName>
    <definedName name="_122SP4Credit_4_1" localSheetId="9">#REF!</definedName>
    <definedName name="_122SP4Credit_4_1" localSheetId="8">#REF!</definedName>
    <definedName name="_122SP4Credit_4_1">#REF!</definedName>
    <definedName name="_123SP4Name_4_1" localSheetId="4">#REF!</definedName>
    <definedName name="_123SP4Name_4_1" localSheetId="9">#REF!</definedName>
    <definedName name="_123SP4Name_4_1" localSheetId="8">#REF!</definedName>
    <definedName name="_123SP4Name_4_1">#REF!</definedName>
    <definedName name="_124SP4Number_4_1" localSheetId="4">#REF!</definedName>
    <definedName name="_124SP4Number_4_1" localSheetId="9">#REF!</definedName>
    <definedName name="_124SP4Number_4_1" localSheetId="8">#REF!</definedName>
    <definedName name="_124SP4Number_4_1">#REF!</definedName>
    <definedName name="_125SP5Branch_4_1" localSheetId="4">#REF!</definedName>
    <definedName name="_125SP5Branch_4_1" localSheetId="9">#REF!</definedName>
    <definedName name="_125SP5Branch_4_1" localSheetId="8">#REF!</definedName>
    <definedName name="_125SP5Branch_4_1">#REF!</definedName>
    <definedName name="_126SP5Credit_4_1" localSheetId="4">#REF!</definedName>
    <definedName name="_126SP5Credit_4_1" localSheetId="9">#REF!</definedName>
    <definedName name="_126SP5Credit_4_1" localSheetId="8">#REF!</definedName>
    <definedName name="_126SP5Credit_4_1">#REF!</definedName>
    <definedName name="_127SP5Name_4_1" localSheetId="4">#REF!</definedName>
    <definedName name="_127SP5Name_4_1" localSheetId="9">#REF!</definedName>
    <definedName name="_127SP5Name_4_1" localSheetId="8">#REF!</definedName>
    <definedName name="_127SP5Name_4_1">#REF!</definedName>
    <definedName name="_128SP5Number_4_1" localSheetId="4">#REF!</definedName>
    <definedName name="_128SP5Number_4_1" localSheetId="9">#REF!</definedName>
    <definedName name="_128SP5Number_4_1" localSheetId="8">#REF!</definedName>
    <definedName name="_128SP5Number_4_1">#REF!</definedName>
    <definedName name="_129CurrencyRate_4_1" localSheetId="4">#REF!</definedName>
    <definedName name="_129CurrencyRate_4_1" localSheetId="9">#REF!</definedName>
    <definedName name="_129CurrencyRate_4_1" localSheetId="8">#REF!</definedName>
    <definedName name="_129CurrencyRate_4_1">#REF!</definedName>
    <definedName name="_129SpecClass_4_1" localSheetId="4">#REF!</definedName>
    <definedName name="_129SpecClass_4_1" localSheetId="9">#REF!</definedName>
    <definedName name="_129SpecClass_4_1" localSheetId="8">#REF!</definedName>
    <definedName name="_129SpecClass_4_1">#REF!</definedName>
    <definedName name="_12BillingFreq_4_1" localSheetId="4">#REF!</definedName>
    <definedName name="_12BillingFreq_4_1" localSheetId="9">#REF!</definedName>
    <definedName name="_12BillingFreq_4_1" localSheetId="8">#REF!</definedName>
    <definedName name="_12BillingFreq_4_1">#REF!</definedName>
    <definedName name="_13">'[9]MASTER_RATE ANALYSIS'!$A$726:$H$748</definedName>
    <definedName name="_130dim4_4_1" localSheetId="4">#REF!</definedName>
    <definedName name="_130dim4_4_1" localSheetId="9">#REF!</definedName>
    <definedName name="_130dim4_4_1" localSheetId="8">#REF!</definedName>
    <definedName name="_130dim4_4_1">#REF!</definedName>
    <definedName name="_130SpecClass_Text_4_1" localSheetId="4">#REF!</definedName>
    <definedName name="_130SpecClass_Text_4_1" localSheetId="9">#REF!</definedName>
    <definedName name="_130SpecClass_Text_4_1" localSheetId="8">#REF!</definedName>
    <definedName name="_130SpecClass_Text_4_1">#REF!</definedName>
    <definedName name="_131EngAddress_4_1" localSheetId="4">#REF!</definedName>
    <definedName name="_131EngAddress_4_1" localSheetId="9">#REF!</definedName>
    <definedName name="_131EngAddress_4_1" localSheetId="8">#REF!</definedName>
    <definedName name="_131EngAddress_4_1">#REF!</definedName>
    <definedName name="_131SpecEnv1_4_1" localSheetId="4">#REF!</definedName>
    <definedName name="_131SpecEnv1_4_1" localSheetId="9">#REF!</definedName>
    <definedName name="_131SpecEnv1_4_1" localSheetId="8">#REF!</definedName>
    <definedName name="_131SpecEnv1_4_1">#REF!</definedName>
    <definedName name="_132EngCity_4_1" localSheetId="4">#REF!</definedName>
    <definedName name="_132EngCity_4_1" localSheetId="9">#REF!</definedName>
    <definedName name="_132EngCity_4_1" localSheetId="8">#REF!</definedName>
    <definedName name="_132EngCity_4_1">#REF!</definedName>
    <definedName name="_132SpecEnv1_Text_4_1" localSheetId="4">#REF!</definedName>
    <definedName name="_132SpecEnv1_Text_4_1" localSheetId="9">#REF!</definedName>
    <definedName name="_132SpecEnv1_Text_4_1" localSheetId="8">#REF!</definedName>
    <definedName name="_132SpecEnv1_Text_4_1">#REF!</definedName>
    <definedName name="_133EngName_4_1" localSheetId="4">#REF!</definedName>
    <definedName name="_133EngName_4_1" localSheetId="9">#REF!</definedName>
    <definedName name="_133EngName_4_1" localSheetId="8">#REF!</definedName>
    <definedName name="_133EngName_4_1">#REF!</definedName>
    <definedName name="_133SpecEnv2_4_1" localSheetId="4">#REF!</definedName>
    <definedName name="_133SpecEnv2_4_1" localSheetId="9">#REF!</definedName>
    <definedName name="_133SpecEnv2_4_1" localSheetId="8">#REF!</definedName>
    <definedName name="_133SpecEnv2_4_1">#REF!</definedName>
    <definedName name="_134EngPostal_4_1" localSheetId="4">#REF!</definedName>
    <definedName name="_134EngPostal_4_1" localSheetId="9">#REF!</definedName>
    <definedName name="_134EngPostal_4_1" localSheetId="8">#REF!</definedName>
    <definedName name="_134EngPostal_4_1">#REF!</definedName>
    <definedName name="_134SpecEnv2_Text_4_1" localSheetId="4">#REF!</definedName>
    <definedName name="_134SpecEnv2_Text_4_1" localSheetId="9">#REF!</definedName>
    <definedName name="_134SpecEnv2_Text_4_1" localSheetId="8">#REF!</definedName>
    <definedName name="_134SpecEnv2_Text_4_1">#REF!</definedName>
    <definedName name="_135EngPrio_4_1" localSheetId="4">#REF!</definedName>
    <definedName name="_135EngPrio_4_1" localSheetId="9">#REF!</definedName>
    <definedName name="_135EngPrio_4_1" localSheetId="8">#REF!</definedName>
    <definedName name="_135EngPrio_4_1">#REF!</definedName>
    <definedName name="_135SPLR_4_1" localSheetId="4">#REF!</definedName>
    <definedName name="_135SPLR_4_1" localSheetId="9">#REF!</definedName>
    <definedName name="_135SPLR_4_1" localSheetId="8">#REF!</definedName>
    <definedName name="_135SPLR_4_1">#REF!</definedName>
    <definedName name="_136EngPrio_Text_4_1" localSheetId="4">#REF!</definedName>
    <definedName name="_136EngPrio_Text_4_1" localSheetId="9">#REF!</definedName>
    <definedName name="_136EngPrio_Text_4_1" localSheetId="8">#REF!</definedName>
    <definedName name="_136EngPrio_Text_4_1">#REF!</definedName>
    <definedName name="_136SrvcCode1_4_1" localSheetId="4">#REF!</definedName>
    <definedName name="_136SrvcCode1_4_1" localSheetId="9">#REF!</definedName>
    <definedName name="_136SrvcCode1_4_1" localSheetId="8">#REF!</definedName>
    <definedName name="_136SrvcCode1_4_1">#REF!</definedName>
    <definedName name="_137EngState_4_1" localSheetId="4">#REF!</definedName>
    <definedName name="_137EngState_4_1" localSheetId="9">#REF!</definedName>
    <definedName name="_137EngState_4_1" localSheetId="8">#REF!</definedName>
    <definedName name="_137EngState_4_1">#REF!</definedName>
    <definedName name="_137SrvcCode1_Text_4_1" localSheetId="4">#REF!</definedName>
    <definedName name="_137SrvcCode1_Text_4_1" localSheetId="9">#REF!</definedName>
    <definedName name="_137SrvcCode1_Text_4_1" localSheetId="8">#REF!</definedName>
    <definedName name="_137SrvcCode1_Text_4_1">#REF!</definedName>
    <definedName name="_138EstCost_4_1" localSheetId="4">#REF!</definedName>
    <definedName name="_138EstCost_4_1" localSheetId="9">#REF!</definedName>
    <definedName name="_138EstCost_4_1" localSheetId="8">#REF!</definedName>
    <definedName name="_138EstCost_4_1">#REF!</definedName>
    <definedName name="_138SrvcCode2_4_1" localSheetId="4">#REF!</definedName>
    <definedName name="_138SrvcCode2_4_1" localSheetId="9">#REF!</definedName>
    <definedName name="_138SrvcCode2_4_1" localSheetId="8">#REF!</definedName>
    <definedName name="_138SrvcCode2_4_1">#REF!</definedName>
    <definedName name="_139eu_4_1" localSheetId="4">#REF!</definedName>
    <definedName name="_139eu_4_1" localSheetId="9">#REF!</definedName>
    <definedName name="_139eu_4_1" localSheetId="8">#REF!</definedName>
    <definedName name="_139eu_4_1">#REF!</definedName>
    <definedName name="_139SrvcCode2_Text_4_1" localSheetId="4">#REF!</definedName>
    <definedName name="_139SrvcCode2_Text_4_1" localSheetId="9">#REF!</definedName>
    <definedName name="_139SrvcCode2_Text_4_1" localSheetId="8">#REF!</definedName>
    <definedName name="_139SrvcCode2_Text_4_1">#REF!</definedName>
    <definedName name="_13BillingTiming_4_1" localSheetId="4">#REF!</definedName>
    <definedName name="_13BillingTiming_4_1" localSheetId="9">#REF!</definedName>
    <definedName name="_13BillingTiming_4_1" localSheetId="8">#REF!</definedName>
    <definedName name="_13BillingTiming_4_1">#REF!</definedName>
    <definedName name="_14">'[9]MASTER_RATE ANALYSIS'!$A$773:$H$794</definedName>
    <definedName name="_140Excel_BuiltIn_Print_Area_1" localSheetId="4">#REF!</definedName>
    <definedName name="_140Excel_BuiltIn_Print_Area_1" localSheetId="9">#REF!</definedName>
    <definedName name="_140Excel_BuiltIn_Print_Area_1" localSheetId="8">#REF!</definedName>
    <definedName name="_140Excel_BuiltIn_Print_Area_1">#REF!</definedName>
    <definedName name="_140SrvcCode3_4_1" localSheetId="4">#REF!</definedName>
    <definedName name="_140SrvcCode3_4_1" localSheetId="9">#REF!</definedName>
    <definedName name="_140SrvcCode3_4_1" localSheetId="8">#REF!</definedName>
    <definedName name="_140SrvcCode3_4_1">#REF!</definedName>
    <definedName name="_141SrvcCode3_Text_4_1" localSheetId="4">#REF!</definedName>
    <definedName name="_141SrvcCode3_Text_4_1" localSheetId="9">#REF!</definedName>
    <definedName name="_141SrvcCode3_Text_4_1" localSheetId="8">#REF!</definedName>
    <definedName name="_141SrvcCode3_Text_4_1">#REF!</definedName>
    <definedName name="_142SrvcCode4_4_1" localSheetId="4">#REF!</definedName>
    <definedName name="_142SrvcCode4_4_1" localSheetId="9">#REF!</definedName>
    <definedName name="_142SrvcCode4_4_1" localSheetId="8">#REF!</definedName>
    <definedName name="_142SrvcCode4_4_1">#REF!</definedName>
    <definedName name="_143SrvcCode4_Text_4_1" localSheetId="4">#REF!</definedName>
    <definedName name="_143SrvcCode4_Text_4_1" localSheetId="9">#REF!</definedName>
    <definedName name="_143SrvcCode4_Text_4_1" localSheetId="8">#REF!</definedName>
    <definedName name="_143SrvcCode4_Text_4_1">#REF!</definedName>
    <definedName name="_144SrvcCode5_4_1" localSheetId="4">#REF!</definedName>
    <definedName name="_144SrvcCode5_4_1" localSheetId="9">#REF!</definedName>
    <definedName name="_144SrvcCode5_4_1" localSheetId="8">#REF!</definedName>
    <definedName name="_144SrvcCode5_4_1">#REF!</definedName>
    <definedName name="_145SrvcCode5_Text_4_1" localSheetId="4">#REF!</definedName>
    <definedName name="_145SrvcCode5_Text_4_1" localSheetId="9">#REF!</definedName>
    <definedName name="_145SrvcCode5_Text_4_1" localSheetId="8">#REF!</definedName>
    <definedName name="_145SrvcCode5_Text_4_1">#REF!</definedName>
    <definedName name="_146StartDate_4_1" localSheetId="4">#REF!</definedName>
    <definedName name="_146StartDate_4_1" localSheetId="9">#REF!</definedName>
    <definedName name="_146StartDate_4_1" localSheetId="8">#REF!</definedName>
    <definedName name="_146StartDate_4_1">#REF!</definedName>
    <definedName name="_147swf_4_1" localSheetId="4">#REF!</definedName>
    <definedName name="_147swf_4_1" localSheetId="9">#REF!</definedName>
    <definedName name="_147swf_4_1" localSheetId="8">#REF!</definedName>
    <definedName name="_147swf_4_1">#REF!</definedName>
    <definedName name="_148TierCode_4_1" localSheetId="4">#REF!</definedName>
    <definedName name="_148TierCode_4_1" localSheetId="9">#REF!</definedName>
    <definedName name="_148TierCode_4_1" localSheetId="8">#REF!</definedName>
    <definedName name="_148TierCode_4_1">#REF!</definedName>
    <definedName name="_149TierCode_Text_4_1" localSheetId="4">#REF!</definedName>
    <definedName name="_149TierCode_Text_4_1" localSheetId="9">#REF!</definedName>
    <definedName name="_149TierCode_Text_4_1" localSheetId="8">#REF!</definedName>
    <definedName name="_149TierCode_Text_4_1">#REF!</definedName>
    <definedName name="_14BusType_4_1" localSheetId="4">#REF!</definedName>
    <definedName name="_14BusType_4_1" localSheetId="9">#REF!</definedName>
    <definedName name="_14BusType_4_1" localSheetId="8">#REF!</definedName>
    <definedName name="_14BusType_4_1">#REF!</definedName>
    <definedName name="_15">'[9]MASTER_RATE ANALYSIS'!$A$796:$H$817</definedName>
    <definedName name="_150vatf_4_1" localSheetId="4">#REF!</definedName>
    <definedName name="_150vatf_4_1" localSheetId="9">#REF!</definedName>
    <definedName name="_150vatf_4_1" localSheetId="8">#REF!</definedName>
    <definedName name="_150vatf_4_1">#REF!</definedName>
    <definedName name="_151Excel_BuiltIn_Print_Titles_3_4_1" localSheetId="4">'[10]INDIGINEOUS ITEMS '!#REF!</definedName>
    <definedName name="_151Excel_BuiltIn_Print_Titles_3_4_1" localSheetId="9">'[10]INDIGINEOUS ITEMS '!#REF!</definedName>
    <definedName name="_151Excel_BuiltIn_Print_Titles_3_4_1" localSheetId="8">'[10]INDIGINEOUS ITEMS '!#REF!</definedName>
    <definedName name="_151Excel_BuiltIn_Print_Titles_3_4_1">'[10]INDIGINEOUS ITEMS '!#REF!</definedName>
    <definedName name="_15BusType_Text_4_1" localSheetId="4">#REF!</definedName>
    <definedName name="_15BusType_Text_4_1" localSheetId="9">#REF!</definedName>
    <definedName name="_15BusType_Text_4_1" localSheetId="8">#REF!</definedName>
    <definedName name="_15BusType_Text_4_1">#REF!</definedName>
    <definedName name="_16">'[9]MASTER_RATE ANALYSIS'!$A$845:$H$871</definedName>
    <definedName name="_162FiscalIDNum_4_1" localSheetId="4">#REF!</definedName>
    <definedName name="_162FiscalIDNum_4_1" localSheetId="9">#REF!</definedName>
    <definedName name="_162FiscalIDNum_4_1" localSheetId="8">#REF!</definedName>
    <definedName name="_162FiscalIDNum_4_1">#REF!</definedName>
    <definedName name="_163FormTitle_4_1" localSheetId="4">#REF!</definedName>
    <definedName name="_163FormTitle_4_1" localSheetId="9">#REF!</definedName>
    <definedName name="_163FormTitle_4_1" localSheetId="8">#REF!</definedName>
    <definedName name="_163FormTitle_4_1">#REF!</definedName>
    <definedName name="_164GMAmount_4_1" localSheetId="4">#REF!</definedName>
    <definedName name="_164GMAmount_4_1" localSheetId="9">#REF!</definedName>
    <definedName name="_164GMAmount_4_1" localSheetId="8">#REF!</definedName>
    <definedName name="_164GMAmount_4_1">#REF!</definedName>
    <definedName name="_165GMPercent_4_1" localSheetId="4">#REF!</definedName>
    <definedName name="_165GMPercent_4_1" localSheetId="9">#REF!</definedName>
    <definedName name="_165GMPercent_4_1" localSheetId="8">#REF!</definedName>
    <definedName name="_165GMPercent_4_1">#REF!</definedName>
    <definedName name="_166Headings_4_1">[11]Headings!$A$2:$K$123</definedName>
    <definedName name="_167indf_4_1" localSheetId="4">#REF!</definedName>
    <definedName name="_167indf_4_1" localSheetId="9">#REF!</definedName>
    <definedName name="_167indf_4_1" localSheetId="8">#REF!</definedName>
    <definedName name="_167indf_4_1">#REF!</definedName>
    <definedName name="_16cab21.5tp_4_1" localSheetId="4">#REF!</definedName>
    <definedName name="_16cab21.5tp_4_1" localSheetId="9">#REF!</definedName>
    <definedName name="_16cab21.5tp_4_1" localSheetId="8">#REF!</definedName>
    <definedName name="_16cab21.5tp_4_1">#REF!</definedName>
    <definedName name="_17">'[9]MASTER_RATE ANALYSIS'!$A$874:$H$899</definedName>
    <definedName name="_178InstBillingMethod_4_1" localSheetId="4">#REF!</definedName>
    <definedName name="_178InstBillingMethod_4_1" localSheetId="9">#REF!</definedName>
    <definedName name="_178InstBillingMethod_4_1" localSheetId="8">#REF!</definedName>
    <definedName name="_178InstBillingMethod_4_1">#REF!</definedName>
    <definedName name="_179instf_4_1" localSheetId="4">#REF!</definedName>
    <definedName name="_179instf_4_1" localSheetId="9">#REF!</definedName>
    <definedName name="_179instf_4_1" localSheetId="8">#REF!</definedName>
    <definedName name="_179instf_4_1">#REF!</definedName>
    <definedName name="_17cab21s_4_1" localSheetId="4">#REF!</definedName>
    <definedName name="_17cab21s_4_1" localSheetId="9">#REF!</definedName>
    <definedName name="_17cab21s_4_1" localSheetId="8">#REF!</definedName>
    <definedName name="_17cab21s_4_1">#REF!</definedName>
    <definedName name="_18">'[9]MASTER_RATE ANALYSIS'!$A$901:$H$922</definedName>
    <definedName name="_180MarketType_4_1" localSheetId="4">#REF!</definedName>
    <definedName name="_180MarketType_4_1" localSheetId="9">#REF!</definedName>
    <definedName name="_180MarketType_4_1" localSheetId="8">#REF!</definedName>
    <definedName name="_180MarketType_4_1">#REF!</definedName>
    <definedName name="_181MarketType_Text_4_1" localSheetId="4">#REF!</definedName>
    <definedName name="_181MarketType_Text_4_1" localSheetId="9">#REF!</definedName>
    <definedName name="_181MarketType_Text_4_1" localSheetId="8">#REF!</definedName>
    <definedName name="_181MarketType_Text_4_1">#REF!</definedName>
    <definedName name="_182nonmodular_4_1" localSheetId="4">#REF!</definedName>
    <definedName name="_182nonmodular_4_1" localSheetId="9">#REF!</definedName>
    <definedName name="_182nonmodular_4_1" localSheetId="8">#REF!</definedName>
    <definedName name="_182nonmodular_4_1">#REF!</definedName>
    <definedName name="_183OwnAcctNum_4_1" localSheetId="4">#REF!</definedName>
    <definedName name="_183OwnAcctNum_4_1" localSheetId="9">#REF!</definedName>
    <definedName name="_183OwnAcctNum_4_1" localSheetId="8">#REF!</definedName>
    <definedName name="_183OwnAcctNum_4_1">#REF!</definedName>
    <definedName name="_184po_4_1" localSheetId="4">#REF!</definedName>
    <definedName name="_184po_4_1" localSheetId="9">#REF!</definedName>
    <definedName name="_184po_4_1" localSheetId="8">#REF!</definedName>
    <definedName name="_184po_4_1">#REF!</definedName>
    <definedName name="_185PrimeAddress_4_1" localSheetId="4">#REF!</definedName>
    <definedName name="_185PrimeAddress_4_1" localSheetId="9">#REF!</definedName>
    <definedName name="_185PrimeAddress_4_1" localSheetId="8">#REF!</definedName>
    <definedName name="_185PrimeAddress_4_1">#REF!</definedName>
    <definedName name="_186PrimeCity_4_1" localSheetId="4">#REF!</definedName>
    <definedName name="_186PrimeCity_4_1" localSheetId="9">#REF!</definedName>
    <definedName name="_186PrimeCity_4_1" localSheetId="8">#REF!</definedName>
    <definedName name="_186PrimeCity_4_1">#REF!</definedName>
    <definedName name="_187PrimeName_4_1" localSheetId="4">#REF!</definedName>
    <definedName name="_187PrimeName_4_1" localSheetId="9">#REF!</definedName>
    <definedName name="_187PrimeName_4_1" localSheetId="8">#REF!</definedName>
    <definedName name="_187PrimeName_4_1">#REF!</definedName>
    <definedName name="_188PrimePostal_4_1" localSheetId="4">#REF!</definedName>
    <definedName name="_188PrimePostal_4_1" localSheetId="9">#REF!</definedName>
    <definedName name="_188PrimePostal_4_1" localSheetId="8">#REF!</definedName>
    <definedName name="_188PrimePostal_4_1">#REF!</definedName>
    <definedName name="_189PrimePrio_4_1" localSheetId="4">#REF!</definedName>
    <definedName name="_189PrimePrio_4_1" localSheetId="9">#REF!</definedName>
    <definedName name="_189PrimePrio_4_1" localSheetId="8">#REF!</definedName>
    <definedName name="_189PrimePrio_4_1">#REF!</definedName>
    <definedName name="_18cab21us_4_1" localSheetId="4">#REF!</definedName>
    <definedName name="_18cab21us_4_1" localSheetId="9">#REF!</definedName>
    <definedName name="_18cab21us_4_1" localSheetId="8">#REF!</definedName>
    <definedName name="_18cab21us_4_1">#REF!</definedName>
    <definedName name="_19">'[9]MASTER_RATE ANALYSIS'!$A$924:$H$950</definedName>
    <definedName name="_190PrimePrio_Text_4_1" localSheetId="4">#REF!</definedName>
    <definedName name="_190PrimePrio_Text_4_1" localSheetId="9">#REF!</definedName>
    <definedName name="_190PrimePrio_Text_4_1" localSheetId="8">#REF!</definedName>
    <definedName name="_190PrimePrio_Text_4_1">#REF!</definedName>
    <definedName name="_191PrimeState_4_1" localSheetId="4">#REF!</definedName>
    <definedName name="_191PrimeState_4_1" localSheetId="9">#REF!</definedName>
    <definedName name="_191PrimeState_4_1" localSheetId="8">#REF!</definedName>
    <definedName name="_191PrimeState_4_1">#REF!</definedName>
    <definedName name="_192PRINT_AREA_MI_4_1" localSheetId="4">#REF!</definedName>
    <definedName name="_192PRINT_AREA_MI_4_1" localSheetId="9">#REF!</definedName>
    <definedName name="_192PRINT_AREA_MI_4_1" localSheetId="8">#REF!</definedName>
    <definedName name="_192PRINT_AREA_MI_4_1">#REF!</definedName>
    <definedName name="_193PROD_4_1" localSheetId="4">#REF!</definedName>
    <definedName name="_193PROD_4_1" localSheetId="9">#REF!</definedName>
    <definedName name="_193PROD_4_1" localSheetId="8">#REF!</definedName>
    <definedName name="_193PROD_4_1">#REF!</definedName>
    <definedName name="_194ProdCode1_4_1" localSheetId="4">#REF!</definedName>
    <definedName name="_194ProdCode1_4_1" localSheetId="9">#REF!</definedName>
    <definedName name="_194ProdCode1_4_1" localSheetId="8">#REF!</definedName>
    <definedName name="_194ProdCode1_4_1">#REF!</definedName>
    <definedName name="_195ProdCode1_Text_4_1" localSheetId="4">#REF!</definedName>
    <definedName name="_195ProdCode1_Text_4_1" localSheetId="9">#REF!</definedName>
    <definedName name="_195ProdCode1_Text_4_1" localSheetId="8">#REF!</definedName>
    <definedName name="_195ProdCode1_Text_4_1">#REF!</definedName>
    <definedName name="_196ProdCode2_4_1" localSheetId="4">#REF!</definedName>
    <definedName name="_196ProdCode2_4_1" localSheetId="9">#REF!</definedName>
    <definedName name="_196ProdCode2_4_1" localSheetId="8">#REF!</definedName>
    <definedName name="_196ProdCode2_4_1">#REF!</definedName>
    <definedName name="_197ProdCode2_Text_4_1" localSheetId="4">#REF!</definedName>
    <definedName name="_197ProdCode2_Text_4_1" localSheetId="9">#REF!</definedName>
    <definedName name="_197ProdCode2_Text_4_1" localSheetId="8">#REF!</definedName>
    <definedName name="_197ProdCode2_Text_4_1">#REF!</definedName>
    <definedName name="_19cab31s_4_1" localSheetId="4">#REF!</definedName>
    <definedName name="_19cab31s_4_1" localSheetId="9">#REF!</definedName>
    <definedName name="_19cab31s_4_1" localSheetId="8">#REF!</definedName>
    <definedName name="_19cab31s_4_1">#REF!</definedName>
    <definedName name="_1Excel_BuiltIn_Print_Area_1_1_1" localSheetId="4">#REF!</definedName>
    <definedName name="_1Excel_BuiltIn_Print_Area_1_1_1" localSheetId="9">#REF!</definedName>
    <definedName name="_1Excel_BuiltIn_Print_Area_1_1_1" localSheetId="8">#REF!</definedName>
    <definedName name="_1Excel_BuiltIn_Print_Area_1_1_1">#REF!</definedName>
    <definedName name="_1Excel_BuiltIn_Print_Titles_1_1_1_1" localSheetId="4">#REF!</definedName>
    <definedName name="_1Excel_BuiltIn_Print_Titles_1_1_1_1" localSheetId="9">#REF!</definedName>
    <definedName name="_1Excel_BuiltIn_Print_Titles_1_1_1_1" localSheetId="6">#REF!</definedName>
    <definedName name="_1Excel_BuiltIn_Print_Titles_1_1_1_1" localSheetId="8">#REF!</definedName>
    <definedName name="_1Excel_BuiltIn_Print_Titles_1_1_1_1">#REF!</definedName>
    <definedName name="_1Excel_BuiltIn_Print_Titles_1_1_1_1_10">"#REF!"</definedName>
    <definedName name="_1Excel_BuiltIn_Print_Titles_1_1_1_1_3">"#REF!"</definedName>
    <definedName name="_2">'[9]MASTER_RATE ANALYSIS'!$A$380:$H$402</definedName>
    <definedName name="_2__123Graph_AChart_1AJ" localSheetId="4" hidden="1">#REF!</definedName>
    <definedName name="_2__123Graph_AChart_1AJ" localSheetId="9" hidden="1">#REF!</definedName>
    <definedName name="_2__123Graph_AChart_1AJ" localSheetId="8" hidden="1">#REF!</definedName>
    <definedName name="_2__123Graph_AChart_1AJ" hidden="1">#REF!</definedName>
    <definedName name="_2__123Graph_AService_Expense" localSheetId="4" hidden="1">#REF!</definedName>
    <definedName name="_2__123Graph_AService_Expense" localSheetId="9" hidden="1">#REF!</definedName>
    <definedName name="_2__123Graph_AService_Expense" localSheetId="8" hidden="1">#REF!</definedName>
    <definedName name="_2__123Graph_AService_Expense" hidden="1">#REF!</definedName>
    <definedName name="_2_a_4_1" localSheetId="4">#REF!</definedName>
    <definedName name="_2_a_4_1" localSheetId="9">#REF!</definedName>
    <definedName name="_2_a_4_1" localSheetId="8">#REF!</definedName>
    <definedName name="_2_a_4_1">#REF!</definedName>
    <definedName name="_2_Excel_BuiltIn_Print_Area_1_1_1_1" localSheetId="4">#REF!</definedName>
    <definedName name="_2_Excel_BuiltIn_Print_Area_1_1_1_1" localSheetId="9">#REF!</definedName>
    <definedName name="_2_Excel_BuiltIn_Print_Area_1_1_1_1" localSheetId="8">#REF!</definedName>
    <definedName name="_2_Excel_BuiltIn_Print_Area_1_1_1_1">#REF!</definedName>
    <definedName name="_20">'[9]MASTER_RATE ANALYSIS'!$A$952:$H$978</definedName>
    <definedName name="_208ProdCode3_4_1" localSheetId="4">#REF!</definedName>
    <definedName name="_208ProdCode3_4_1" localSheetId="9">#REF!</definedName>
    <definedName name="_208ProdCode3_4_1" localSheetId="8">#REF!</definedName>
    <definedName name="_208ProdCode3_4_1">#REF!</definedName>
    <definedName name="_20cab31us_4_1" localSheetId="4">#REF!</definedName>
    <definedName name="_20cab31us_4_1" localSheetId="9">#REF!</definedName>
    <definedName name="_20cab31us_4_1" localSheetId="8">#REF!</definedName>
    <definedName name="_20cab31us_4_1">#REF!</definedName>
    <definedName name="_21">'[9]MASTER_RATE ANALYSIS'!$A$980:$H$1009</definedName>
    <definedName name="_219ProdCode3_Text_4_1" localSheetId="4">#REF!</definedName>
    <definedName name="_219ProdCode3_Text_4_1" localSheetId="9">#REF!</definedName>
    <definedName name="_219ProdCode3_Text_4_1" localSheetId="8">#REF!</definedName>
    <definedName name="_219ProdCode3_Text_4_1">#REF!</definedName>
    <definedName name="_21cab41s_4_1" localSheetId="4">#REF!</definedName>
    <definedName name="_21cab41s_4_1" localSheetId="9">#REF!</definedName>
    <definedName name="_21cab41s_4_1" localSheetId="8">#REF!</definedName>
    <definedName name="_21cab41s_4_1">#REF!</definedName>
    <definedName name="_22">'[9]MASTER_RATE ANALYSIS'!$A$1033:$H$1053</definedName>
    <definedName name="_22_a_4_1" localSheetId="4">#REF!</definedName>
    <definedName name="_22_a_4_1" localSheetId="9">#REF!</definedName>
    <definedName name="_22_a_4_1" localSheetId="8">#REF!</definedName>
    <definedName name="_22_a_4_1">#REF!</definedName>
    <definedName name="_22cab41us_4_1" localSheetId="4">#REF!</definedName>
    <definedName name="_22cab41us_4_1" localSheetId="9">#REF!</definedName>
    <definedName name="_22cab41us_4_1" localSheetId="8">#REF!</definedName>
    <definedName name="_22cab41us_4_1">#REF!</definedName>
    <definedName name="_23">'[9]MASTER_RATE ANALYSIS'!$A$1055:$H$1081</definedName>
    <definedName name="_23_l_1" localSheetId="4">#REF!</definedName>
    <definedName name="_23_l_1" localSheetId="9">#REF!</definedName>
    <definedName name="_23_l_1" localSheetId="8">#REF!</definedName>
    <definedName name="_23_l_1">#REF!</definedName>
    <definedName name="_230ProdCode4_4_1" localSheetId="4">#REF!</definedName>
    <definedName name="_230ProdCode4_4_1" localSheetId="9">#REF!</definedName>
    <definedName name="_230ProdCode4_4_1" localSheetId="8">#REF!</definedName>
    <definedName name="_230ProdCode4_4_1">#REF!</definedName>
    <definedName name="_23cabf_4_1" localSheetId="4">#REF!</definedName>
    <definedName name="_23cabf_4_1" localSheetId="9">#REF!</definedName>
    <definedName name="_23cabf_4_1" localSheetId="8">#REF!</definedName>
    <definedName name="_23cabf_4_1">#REF!</definedName>
    <definedName name="_24">'[9]MASTER_RATE ANALYSIS'!$A$1110:$H$1132</definedName>
    <definedName name="_24_l_4_1" localSheetId="4">#REF!</definedName>
    <definedName name="_24_l_4_1" localSheetId="9">#REF!</definedName>
    <definedName name="_24_l_4_1" localSheetId="8">#REF!</definedName>
    <definedName name="_24_l_4_1">#REF!</definedName>
    <definedName name="_241ProdCode4_Text_4_1" localSheetId="4">#REF!</definedName>
    <definedName name="_241ProdCode4_Text_4_1" localSheetId="9">#REF!</definedName>
    <definedName name="_241ProdCode4_Text_4_1" localSheetId="8">#REF!</definedName>
    <definedName name="_241ProdCode4_Text_4_1">#REF!</definedName>
    <definedName name="_242ProdCode5_4_1" localSheetId="4">#REF!</definedName>
    <definedName name="_242ProdCode5_4_1" localSheetId="9">#REF!</definedName>
    <definedName name="_242ProdCode5_4_1" localSheetId="8">#REF!</definedName>
    <definedName name="_242ProdCode5_4_1">#REF!</definedName>
    <definedName name="_243ProdCode5_Text_4_1" localSheetId="4">#REF!</definedName>
    <definedName name="_243ProdCode5_Text_4_1" localSheetId="9">#REF!</definedName>
    <definedName name="_243ProdCode5_Text_4_1" localSheetId="8">#REF!</definedName>
    <definedName name="_243ProdCode5_Text_4_1">#REF!</definedName>
    <definedName name="_24CABLE_4_1" localSheetId="4">#REF!</definedName>
    <definedName name="_24CABLE_4_1" localSheetId="9">#REF!</definedName>
    <definedName name="_24CABLE_4_1" localSheetId="8">#REF!</definedName>
    <definedName name="_24CABLE_4_1">#REF!</definedName>
    <definedName name="_25">'[9]MASTER_RATE ANALYSIS'!$A$1134:$H$1153</definedName>
    <definedName name="_25_p_1" localSheetId="4">#REF!</definedName>
    <definedName name="_25_p_1" localSheetId="9">#REF!</definedName>
    <definedName name="_25_p_1" localSheetId="8">#REF!</definedName>
    <definedName name="_25_p_1">#REF!</definedName>
    <definedName name="_254ProdPct1_4_1" localSheetId="4">#REF!</definedName>
    <definedName name="_254ProdPct1_4_1" localSheetId="9">#REF!</definedName>
    <definedName name="_254ProdPct1_4_1" localSheetId="8">#REF!</definedName>
    <definedName name="_254ProdPct1_4_1">#REF!</definedName>
    <definedName name="_25CALf_4_1" localSheetId="4">#REF!</definedName>
    <definedName name="_25CALf_4_1" localSheetId="9">#REF!</definedName>
    <definedName name="_25CALf_4_1" localSheetId="8">#REF!</definedName>
    <definedName name="_25CALf_4_1">#REF!</definedName>
    <definedName name="_26">'[9]MASTER_RATE ANALYSIS'!$A$1155:$H$1176</definedName>
    <definedName name="_26_p_4_1" localSheetId="4">#REF!</definedName>
    <definedName name="_26_p_4_1" localSheetId="9">#REF!</definedName>
    <definedName name="_26_p_4_1" localSheetId="8">#REF!</definedName>
    <definedName name="_26_p_4_1">#REF!</definedName>
    <definedName name="_265ProdPct2_4_1" localSheetId="4">#REF!</definedName>
    <definedName name="_265ProdPct2_4_1" localSheetId="9">#REF!</definedName>
    <definedName name="_265ProdPct2_4_1" localSheetId="8">#REF!</definedName>
    <definedName name="_265ProdPct2_4_1">#REF!</definedName>
    <definedName name="_26ChangeBy_4_1" localSheetId="4">#REF!</definedName>
    <definedName name="_26ChangeBy_4_1" localSheetId="9">#REF!</definedName>
    <definedName name="_26ChangeBy_4_1" localSheetId="8">#REF!</definedName>
    <definedName name="_26ChangeBy_4_1">#REF!</definedName>
    <definedName name="_27">'[9]MASTER_RATE ANALYSIS'!$A$1178:$H$1205</definedName>
    <definedName name="_276ProdPct3_4_1" localSheetId="4">#REF!</definedName>
    <definedName name="_276ProdPct3_4_1" localSheetId="9">#REF!</definedName>
    <definedName name="_276ProdPct3_4_1" localSheetId="8">#REF!</definedName>
    <definedName name="_276ProdPct3_4_1">#REF!</definedName>
    <definedName name="_277ProdPct4_4_1" localSheetId="4">#REF!</definedName>
    <definedName name="_277ProdPct4_4_1" localSheetId="9">#REF!</definedName>
    <definedName name="_277ProdPct4_4_1" localSheetId="8">#REF!</definedName>
    <definedName name="_277ProdPct4_4_1">#REF!</definedName>
    <definedName name="_278ProdPct5_4_1" localSheetId="4">#REF!</definedName>
    <definedName name="_278ProdPct5_4_1" localSheetId="9">#REF!</definedName>
    <definedName name="_278ProdPct5_4_1" localSheetId="8">#REF!</definedName>
    <definedName name="_278ProdPct5_4_1">#REF!</definedName>
    <definedName name="_279ProjAddress1_4_1" localSheetId="4">#REF!</definedName>
    <definedName name="_279ProjAddress1_4_1" localSheetId="9">#REF!</definedName>
    <definedName name="_279ProjAddress1_4_1" localSheetId="8">#REF!</definedName>
    <definedName name="_279ProjAddress1_4_1">#REF!</definedName>
    <definedName name="_27ChangeDate_4_1" localSheetId="4">#REF!</definedName>
    <definedName name="_27ChangeDate_4_1" localSheetId="9">#REF!</definedName>
    <definedName name="_27ChangeDate_4_1" localSheetId="8">#REF!</definedName>
    <definedName name="_27ChangeDate_4_1">#REF!</definedName>
    <definedName name="_28">'[9]MASTER_RATE ANALYSIS'!$A$1207:$H$1229</definedName>
    <definedName name="_280ProjAddress2_4_1" localSheetId="4">#REF!</definedName>
    <definedName name="_280ProjAddress2_4_1" localSheetId="9">#REF!</definedName>
    <definedName name="_280ProjAddress2_4_1" localSheetId="8">#REF!</definedName>
    <definedName name="_280ProjAddress2_4_1">#REF!</definedName>
    <definedName name="_281ProjCity_4_1" localSheetId="4">#REF!</definedName>
    <definedName name="_281ProjCity_4_1" localSheetId="9">#REF!</definedName>
    <definedName name="_281ProjCity_4_1" localSheetId="8">#REF!</definedName>
    <definedName name="_281ProjCity_4_1">#REF!</definedName>
    <definedName name="_282ProjCountry_4_1" localSheetId="4">#REF!</definedName>
    <definedName name="_282ProjCountry_4_1" localSheetId="9">#REF!</definedName>
    <definedName name="_282ProjCountry_4_1" localSheetId="8">#REF!</definedName>
    <definedName name="_282ProjCountry_4_1">#REF!</definedName>
    <definedName name="_283ProjCounty_4_1" localSheetId="4">#REF!</definedName>
    <definedName name="_283ProjCounty_4_1" localSheetId="9">#REF!</definedName>
    <definedName name="_283ProjCounty_4_1" localSheetId="8">#REF!</definedName>
    <definedName name="_283ProjCounty_4_1">#REF!</definedName>
    <definedName name="_284ProjName_4_1" localSheetId="4">#REF!</definedName>
    <definedName name="_284ProjName_4_1" localSheetId="9">#REF!</definedName>
    <definedName name="_284ProjName_4_1" localSheetId="8">#REF!</definedName>
    <definedName name="_284ProjName_4_1">#REF!</definedName>
    <definedName name="_285ProjNum_4_1" localSheetId="4">#REF!</definedName>
    <definedName name="_285ProjNum_4_1" localSheetId="9">#REF!</definedName>
    <definedName name="_285ProjNum_4_1" localSheetId="8">#REF!</definedName>
    <definedName name="_285ProjNum_4_1">#REF!</definedName>
    <definedName name="_286ProjPostal_4_1" localSheetId="4">#REF!</definedName>
    <definedName name="_286ProjPostal_4_1" localSheetId="9">#REF!</definedName>
    <definedName name="_286ProjPostal_4_1" localSheetId="8">#REF!</definedName>
    <definedName name="_286ProjPostal_4_1">#REF!</definedName>
    <definedName name="_287ProjState_4_1" localSheetId="4">#REF!</definedName>
    <definedName name="_287ProjState_4_1" localSheetId="9">#REF!</definedName>
    <definedName name="_287ProjState_4_1" localSheetId="8">#REF!</definedName>
    <definedName name="_287ProjState_4_1">#REF!</definedName>
    <definedName name="_28CompDate_4_1" localSheetId="4">#REF!</definedName>
    <definedName name="_28CompDate_4_1" localSheetId="9">#REF!</definedName>
    <definedName name="_28CompDate_4_1" localSheetId="8">#REF!</definedName>
    <definedName name="_28CompDate_4_1">#REF!</definedName>
    <definedName name="_29">'[9]MASTER_RATE ANALYSIS'!$A$1641:$H$1666</definedName>
    <definedName name="_298PSABillingMethod_4_1" localSheetId="4">#REF!</definedName>
    <definedName name="_298PSABillingMethod_4_1" localSheetId="9">#REF!</definedName>
    <definedName name="_298PSABillingMethod_4_1" localSheetId="8">#REF!</definedName>
    <definedName name="_298PSABillingMethod_4_1">#REF!</definedName>
    <definedName name="_299rim4_4_1" localSheetId="4">#REF!</definedName>
    <definedName name="_299rim4_4_1" localSheetId="9">#REF!</definedName>
    <definedName name="_299rim4_4_1" localSheetId="8">#REF!</definedName>
    <definedName name="_299rim4_4_1">#REF!</definedName>
    <definedName name="_29conf_4_1" localSheetId="4">#REF!</definedName>
    <definedName name="_29conf_4_1" localSheetId="9">#REF!</definedName>
    <definedName name="_29conf_4_1" localSheetId="8">#REF!</definedName>
    <definedName name="_29conf_4_1">#REF!</definedName>
    <definedName name="_2Excel_BuiltIn_Print_Area_1_1_1_1" localSheetId="4">#REF!</definedName>
    <definedName name="_2Excel_BuiltIn_Print_Area_1_1_1_1" localSheetId="9">#REF!</definedName>
    <definedName name="_2Excel_BuiltIn_Print_Area_1_1_1_1" localSheetId="8">#REF!</definedName>
    <definedName name="_2Excel_BuiltIn_Print_Area_1_1_1_1">#REF!</definedName>
    <definedName name="_2m_100" localSheetId="4">#REF!</definedName>
    <definedName name="_2m_100" localSheetId="9">#REF!</definedName>
    <definedName name="_2m_100" localSheetId="8">#REF!</definedName>
    <definedName name="_2m_100">#REF!</definedName>
    <definedName name="_2m_150" localSheetId="4">#REF!</definedName>
    <definedName name="_2m_150" localSheetId="9">#REF!</definedName>
    <definedName name="_2m_150" localSheetId="8">#REF!</definedName>
    <definedName name="_2m_150">#REF!</definedName>
    <definedName name="_2m_200" localSheetId="4">#REF!</definedName>
    <definedName name="_2m_200" localSheetId="9">#REF!</definedName>
    <definedName name="_2m_200" localSheetId="8">#REF!</definedName>
    <definedName name="_2m_200">#REF!</definedName>
    <definedName name="_2m_25" localSheetId="4">#REF!</definedName>
    <definedName name="_2m_25" localSheetId="9">#REF!</definedName>
    <definedName name="_2m_25" localSheetId="8">#REF!</definedName>
    <definedName name="_2m_25">#REF!</definedName>
    <definedName name="_2m_250" localSheetId="4">#REF!</definedName>
    <definedName name="_2m_250" localSheetId="9">#REF!</definedName>
    <definedName name="_2m_250" localSheetId="8">#REF!</definedName>
    <definedName name="_2m_250">#REF!</definedName>
    <definedName name="_2m_300" localSheetId="4">#REF!</definedName>
    <definedName name="_2m_300" localSheetId="9">#REF!</definedName>
    <definedName name="_2m_300" localSheetId="8">#REF!</definedName>
    <definedName name="_2m_300">#REF!</definedName>
    <definedName name="_2m_32" localSheetId="4">#REF!</definedName>
    <definedName name="_2m_32" localSheetId="9">#REF!</definedName>
    <definedName name="_2m_32" localSheetId="8">#REF!</definedName>
    <definedName name="_2m_32">#REF!</definedName>
    <definedName name="_2m_40" localSheetId="4">#REF!</definedName>
    <definedName name="_2m_40" localSheetId="9">#REF!</definedName>
    <definedName name="_2m_40" localSheetId="8">#REF!</definedName>
    <definedName name="_2m_40">#REF!</definedName>
    <definedName name="_2m_50" localSheetId="4">#REF!</definedName>
    <definedName name="_2m_50" localSheetId="9">#REF!</definedName>
    <definedName name="_2m_50" localSheetId="8">#REF!</definedName>
    <definedName name="_2m_50">#REF!</definedName>
    <definedName name="_2m_65" localSheetId="4">#REF!</definedName>
    <definedName name="_2m_65" localSheetId="9">#REF!</definedName>
    <definedName name="_2m_65" localSheetId="8">#REF!</definedName>
    <definedName name="_2m_65">#REF!</definedName>
    <definedName name="_2m_80" localSheetId="4">#REF!</definedName>
    <definedName name="_2m_80" localSheetId="9">#REF!</definedName>
    <definedName name="_2m_80" localSheetId="8">#REF!</definedName>
    <definedName name="_2m_80">#REF!</definedName>
    <definedName name="_3">'[9]MASTER_RATE ANALYSIS'!$A$404:$H$424</definedName>
    <definedName name="_3.1" localSheetId="4">#REF!</definedName>
    <definedName name="_3.1" localSheetId="9">#REF!</definedName>
    <definedName name="_3.1" localSheetId="8">#REF!</definedName>
    <definedName name="_3.1">#REF!</definedName>
    <definedName name="_3.10" localSheetId="4">#REF!</definedName>
    <definedName name="_3.10" localSheetId="9">#REF!</definedName>
    <definedName name="_3.10" localSheetId="8">#REF!</definedName>
    <definedName name="_3.10">#REF!</definedName>
    <definedName name="_3.11" localSheetId="4">#REF!</definedName>
    <definedName name="_3.11" localSheetId="9">#REF!</definedName>
    <definedName name="_3.11" localSheetId="8">#REF!</definedName>
    <definedName name="_3.11">#REF!</definedName>
    <definedName name="_3.12" localSheetId="4">#REF!</definedName>
    <definedName name="_3.12" localSheetId="9">#REF!</definedName>
    <definedName name="_3.12" localSheetId="8">#REF!</definedName>
    <definedName name="_3.12">#REF!</definedName>
    <definedName name="_3.13" localSheetId="4">#REF!</definedName>
    <definedName name="_3.13" localSheetId="9">#REF!</definedName>
    <definedName name="_3.13" localSheetId="8">#REF!</definedName>
    <definedName name="_3.13">#REF!</definedName>
    <definedName name="_3.14" localSheetId="4">#REF!</definedName>
    <definedName name="_3.14" localSheetId="9">#REF!</definedName>
    <definedName name="_3.14" localSheetId="8">#REF!</definedName>
    <definedName name="_3.14">#REF!</definedName>
    <definedName name="_3.15" localSheetId="4">#REF!</definedName>
    <definedName name="_3.15" localSheetId="9">#REF!</definedName>
    <definedName name="_3.15" localSheetId="8">#REF!</definedName>
    <definedName name="_3.15">#REF!</definedName>
    <definedName name="_3.16" localSheetId="4">#REF!</definedName>
    <definedName name="_3.16" localSheetId="9">#REF!</definedName>
    <definedName name="_3.16" localSheetId="8">#REF!</definedName>
    <definedName name="_3.16">#REF!</definedName>
    <definedName name="_3.17" localSheetId="4">#REF!</definedName>
    <definedName name="_3.17" localSheetId="9">#REF!</definedName>
    <definedName name="_3.17" localSheetId="8">#REF!</definedName>
    <definedName name="_3.17">#REF!</definedName>
    <definedName name="_3.2" localSheetId="4">#REF!</definedName>
    <definedName name="_3.2" localSheetId="9">#REF!</definedName>
    <definedName name="_3.2" localSheetId="8">#REF!</definedName>
    <definedName name="_3.2">#REF!</definedName>
    <definedName name="_3.3" localSheetId="4">#REF!</definedName>
    <definedName name="_3.3" localSheetId="9">#REF!</definedName>
    <definedName name="_3.3" localSheetId="8">#REF!</definedName>
    <definedName name="_3.3">#REF!</definedName>
    <definedName name="_3.4" localSheetId="4">#REF!</definedName>
    <definedName name="_3.4" localSheetId="9">#REF!</definedName>
    <definedName name="_3.4" localSheetId="8">#REF!</definedName>
    <definedName name="_3.4">#REF!</definedName>
    <definedName name="_3.5" localSheetId="4">#REF!</definedName>
    <definedName name="_3.5" localSheetId="9">#REF!</definedName>
    <definedName name="_3.5" localSheetId="8">#REF!</definedName>
    <definedName name="_3.5">#REF!</definedName>
    <definedName name="_3.6" localSheetId="4">#REF!</definedName>
    <definedName name="_3.6" localSheetId="9">#REF!</definedName>
    <definedName name="_3.6" localSheetId="8">#REF!</definedName>
    <definedName name="_3.6">#REF!</definedName>
    <definedName name="_3.7" localSheetId="4">#REF!</definedName>
    <definedName name="_3.7" localSheetId="9">#REF!</definedName>
    <definedName name="_3.7" localSheetId="8">#REF!</definedName>
    <definedName name="_3.7">#REF!</definedName>
    <definedName name="_3.8" localSheetId="4">#REF!</definedName>
    <definedName name="_3.8" localSheetId="9">#REF!</definedName>
    <definedName name="_3.8" localSheetId="8">#REF!</definedName>
    <definedName name="_3.8">#REF!</definedName>
    <definedName name="_3.9" localSheetId="4">#REF!</definedName>
    <definedName name="_3.9" localSheetId="9">#REF!</definedName>
    <definedName name="_3.9" localSheetId="8">#REF!</definedName>
    <definedName name="_3.9">#REF!</definedName>
    <definedName name="_3__123Graph_AChart_1Q" localSheetId="4" hidden="1">#REF!</definedName>
    <definedName name="_3__123Graph_AChart_1Q" localSheetId="9" hidden="1">#REF!</definedName>
    <definedName name="_3__123Graph_AChart_1Q" localSheetId="8" hidden="1">#REF!</definedName>
    <definedName name="_3__123Graph_AChart_1Q" hidden="1">#REF!</definedName>
    <definedName name="_3__123Graph_BAdmin_Expenses" localSheetId="4" hidden="1">#REF!</definedName>
    <definedName name="_3__123Graph_BAdmin_Expenses" localSheetId="9" hidden="1">#REF!</definedName>
    <definedName name="_3__123Graph_BAdmin_Expenses" localSheetId="8" hidden="1">#REF!</definedName>
    <definedName name="_3__123Graph_BAdmin_Expenses" hidden="1">#REF!</definedName>
    <definedName name="_3_l_1" localSheetId="4">#REF!</definedName>
    <definedName name="_3_l_1" localSheetId="9">#REF!</definedName>
    <definedName name="_3_l_1" localSheetId="8">#REF!</definedName>
    <definedName name="_3_l_1">#REF!</definedName>
    <definedName name="_30">'[9]MASTER_RATE ANALYSIS'!$A$1668:$H$1692</definedName>
    <definedName name="_300SalesMgr_4_1" localSheetId="4">#REF!</definedName>
    <definedName name="_300SalesMgr_4_1" localSheetId="9">#REF!</definedName>
    <definedName name="_300SalesMgr_4_1" localSheetId="8">#REF!</definedName>
    <definedName name="_300SalesMgr_4_1">#REF!</definedName>
    <definedName name="_301saud_4_1" localSheetId="4">#REF!</definedName>
    <definedName name="_301saud_4_1" localSheetId="9">#REF!</definedName>
    <definedName name="_301saud_4_1" localSheetId="8">#REF!</definedName>
    <definedName name="_301saud_4_1">#REF!</definedName>
    <definedName name="_302sauf_4_1" localSheetId="4">#REF!</definedName>
    <definedName name="_302sauf_4_1" localSheetId="9">#REF!</definedName>
    <definedName name="_302sauf_4_1" localSheetId="8">#REF!</definedName>
    <definedName name="_302sauf_4_1">#REF!</definedName>
    <definedName name="_303sauif_4_1" localSheetId="4">#REF!</definedName>
    <definedName name="_303sauif_4_1" localSheetId="9">#REF!</definedName>
    <definedName name="_303sauif_4_1" localSheetId="8">#REF!</definedName>
    <definedName name="_303sauif_4_1">#REF!</definedName>
    <definedName name="_304SelectedLanguage_4_1" localSheetId="4">#REF!</definedName>
    <definedName name="_304SelectedLanguage_4_1" localSheetId="9">#REF!</definedName>
    <definedName name="_304SelectedLanguage_4_1" localSheetId="8">#REF!</definedName>
    <definedName name="_304SelectedLanguage_4_1">#REF!</definedName>
    <definedName name="_30ContAmt_4_1" localSheetId="4">#REF!</definedName>
    <definedName name="_30ContAmt_4_1" localSheetId="9">#REF!</definedName>
    <definedName name="_30ContAmt_4_1" localSheetId="8">#REF!</definedName>
    <definedName name="_30ContAmt_4_1">#REF!</definedName>
    <definedName name="_31">'[9]MASTER_RATE ANALYSIS'!$A$1282:$H$1304</definedName>
    <definedName name="_315SiteID_4_1" localSheetId="4">#REF!</definedName>
    <definedName name="_315SiteID_4_1" localSheetId="9">#REF!</definedName>
    <definedName name="_315SiteID_4_1" localSheetId="8">#REF!</definedName>
    <definedName name="_315SiteID_4_1">#REF!</definedName>
    <definedName name="_31ContWithAcct_4_1" localSheetId="4">#REF!</definedName>
    <definedName name="_31ContWithAcct_4_1" localSheetId="9">#REF!</definedName>
    <definedName name="_31ContWithAcct_4_1" localSheetId="8">#REF!</definedName>
    <definedName name="_31ContWithAcct_4_1">#REF!</definedName>
    <definedName name="_32">'[9]MASTER_RATE ANALYSIS'!$A$1359:$H$1380</definedName>
    <definedName name="_326SiteType_4_1" localSheetId="4">#REF!</definedName>
    <definedName name="_326SiteType_4_1" localSheetId="9">#REF!</definedName>
    <definedName name="_326SiteType_4_1" localSheetId="8">#REF!</definedName>
    <definedName name="_326SiteType_4_1">#REF!</definedName>
    <definedName name="_327SmallProj_4_1" localSheetId="4">#REF!</definedName>
    <definedName name="_327SmallProj_4_1" localSheetId="9">#REF!</definedName>
    <definedName name="_327SmallProj_4_1" localSheetId="8">#REF!</definedName>
    <definedName name="_327SmallProj_4_1">#REF!</definedName>
    <definedName name="_328SmallProj_Text_4_1" localSheetId="4">#REF!</definedName>
    <definedName name="_328SmallProj_Text_4_1" localSheetId="9">#REF!</definedName>
    <definedName name="_328SmallProj_Text_4_1" localSheetId="8">#REF!</definedName>
    <definedName name="_328SmallProj_Text_4_1">#REF!</definedName>
    <definedName name="_329SP1Branch_4_1" localSheetId="4">#REF!</definedName>
    <definedName name="_329SP1Branch_4_1" localSheetId="9">#REF!</definedName>
    <definedName name="_329SP1Branch_4_1" localSheetId="8">#REF!</definedName>
    <definedName name="_329SP1Branch_4_1">#REF!</definedName>
    <definedName name="_32ContWithName_4_1" localSheetId="4">#REF!</definedName>
    <definedName name="_32ContWithName_4_1" localSheetId="9">#REF!</definedName>
    <definedName name="_32ContWithName_4_1" localSheetId="8">#REF!</definedName>
    <definedName name="_32ContWithName_4_1">#REF!</definedName>
    <definedName name="_33">'[9]MASTER_RATE ANALYSIS'!$A$1383:$H$1405</definedName>
    <definedName name="_330SP1Credit_4_1" localSheetId="4">#REF!</definedName>
    <definedName name="_330SP1Credit_4_1" localSheetId="9">#REF!</definedName>
    <definedName name="_330SP1Credit_4_1" localSheetId="8">#REF!</definedName>
    <definedName name="_330SP1Credit_4_1">#REF!</definedName>
    <definedName name="_331SP1Name_4_1" localSheetId="4">#REF!</definedName>
    <definedName name="_331SP1Name_4_1" localSheetId="9">#REF!</definedName>
    <definedName name="_331SP1Name_4_1" localSheetId="8">#REF!</definedName>
    <definedName name="_331SP1Name_4_1">#REF!</definedName>
    <definedName name="_332SP1Number_4_1" localSheetId="4">#REF!</definedName>
    <definedName name="_332SP1Number_4_1" localSheetId="9">#REF!</definedName>
    <definedName name="_332SP1Number_4_1" localSheetId="8">#REF!</definedName>
    <definedName name="_332SP1Number_4_1">#REF!</definedName>
    <definedName name="_33ContWithPrio_4_1" localSheetId="4">#REF!</definedName>
    <definedName name="_33ContWithPrio_4_1" localSheetId="9">#REF!</definedName>
    <definedName name="_33ContWithPrio_4_1" localSheetId="8">#REF!</definedName>
    <definedName name="_33ContWithPrio_4_1">#REF!</definedName>
    <definedName name="_34">'[9]MASTER_RATE ANALYSIS'!$A$1407:$H$1429</definedName>
    <definedName name="_343SP2Branch_4_1" localSheetId="4">#REF!</definedName>
    <definedName name="_343SP2Branch_4_1" localSheetId="9">#REF!</definedName>
    <definedName name="_343SP2Branch_4_1" localSheetId="8">#REF!</definedName>
    <definedName name="_343SP2Branch_4_1">#REF!</definedName>
    <definedName name="_34ContWithPrio_Text_4_1" localSheetId="4">#REF!</definedName>
    <definedName name="_34ContWithPrio_Text_4_1" localSheetId="9">#REF!</definedName>
    <definedName name="_34ContWithPrio_Text_4_1" localSheetId="8">#REF!</definedName>
    <definedName name="_34ContWithPrio_Text_4_1">#REF!</definedName>
    <definedName name="_35">'[9]MASTER_RATE ANALYSIS'!$A$1563:$H$1588</definedName>
    <definedName name="_354SP2Credit_4_1" localSheetId="4">#REF!</definedName>
    <definedName name="_354SP2Credit_4_1" localSheetId="9">#REF!</definedName>
    <definedName name="_354SP2Credit_4_1" localSheetId="8">#REF!</definedName>
    <definedName name="_354SP2Credit_4_1">#REF!</definedName>
    <definedName name="_35CONum_4_1" localSheetId="4">#REF!</definedName>
    <definedName name="_35CONum_4_1" localSheetId="9">#REF!</definedName>
    <definedName name="_35CONum_4_1" localSheetId="8">#REF!</definedName>
    <definedName name="_35CONum_4_1">#REF!</definedName>
    <definedName name="_36">'[9]MASTER_RATE ANALYSIS'!$A$1590:$H$1611</definedName>
    <definedName name="_365SP2Name_4_1" localSheetId="4">#REF!</definedName>
    <definedName name="_365SP2Name_4_1" localSheetId="9">#REF!</definedName>
    <definedName name="_365SP2Name_4_1" localSheetId="8">#REF!</definedName>
    <definedName name="_365SP2Name_4_1">#REF!</definedName>
    <definedName name="_36CorpClient_4_1" localSheetId="4">#REF!</definedName>
    <definedName name="_36CorpClient_4_1" localSheetId="9">#REF!</definedName>
    <definedName name="_36CorpClient_4_1" localSheetId="8">#REF!</definedName>
    <definedName name="_36CorpClient_4_1">#REF!</definedName>
    <definedName name="_37">'[9]MASTER_RATE ANALYSIS'!$A$1613:$H$1639</definedName>
    <definedName name="_376SP2Number_4_1" localSheetId="4">#REF!</definedName>
    <definedName name="_376SP2Number_4_1" localSheetId="9">#REF!</definedName>
    <definedName name="_376SP2Number_4_1" localSheetId="8">#REF!</definedName>
    <definedName name="_376SP2Number_4_1">#REF!</definedName>
    <definedName name="_37AcctName_4_1" localSheetId="4">#REF!</definedName>
    <definedName name="_37AcctName_4_1" localSheetId="9">#REF!</definedName>
    <definedName name="_37AcctName_4_1" localSheetId="8">#REF!</definedName>
    <definedName name="_37AcctName_4_1">#REF!</definedName>
    <definedName name="_37CorpClient_Text_4_1" localSheetId="4">#REF!</definedName>
    <definedName name="_37CorpClient_Text_4_1" localSheetId="9">#REF!</definedName>
    <definedName name="_37CorpClient_Text_4_1" localSheetId="8">#REF!</definedName>
    <definedName name="_37CorpClient_Text_4_1">#REF!</definedName>
    <definedName name="_38">'[9]MASTER_RATE ANALYSIS'!$A$1694:$H$1716</definedName>
    <definedName name="_387SP3Branch_4_1" localSheetId="4">#REF!</definedName>
    <definedName name="_387SP3Branch_4_1" localSheetId="9">#REF!</definedName>
    <definedName name="_387SP3Branch_4_1" localSheetId="8">#REF!</definedName>
    <definedName name="_387SP3Branch_4_1">#REF!</definedName>
    <definedName name="_38CURR_4_1" localSheetId="4">#REF!</definedName>
    <definedName name="_38CURR_4_1" localSheetId="9">#REF!</definedName>
    <definedName name="_38CURR_4_1" localSheetId="8">#REF!</definedName>
    <definedName name="_38CURR_4_1">#REF!</definedName>
    <definedName name="_39">'[9]MASTER_RATE ANALYSIS'!$A$1769:$H$1792</definedName>
    <definedName name="_398SP3Credit_4_1" localSheetId="4">#REF!</definedName>
    <definedName name="_398SP3Credit_4_1" localSheetId="9">#REF!</definedName>
    <definedName name="_398SP3Credit_4_1" localSheetId="8">#REF!</definedName>
    <definedName name="_398SP3Credit_4_1">#REF!</definedName>
    <definedName name="_39CurrencyRate_4_1" localSheetId="4">#REF!</definedName>
    <definedName name="_39CurrencyRate_4_1" localSheetId="9">#REF!</definedName>
    <definedName name="_39CurrencyRate_4_1" localSheetId="8">#REF!</definedName>
    <definedName name="_39CurrencyRate_4_1">#REF!</definedName>
    <definedName name="_3m_100" localSheetId="4">#REF!</definedName>
    <definedName name="_3m_100" localSheetId="9">#REF!</definedName>
    <definedName name="_3m_100" localSheetId="8">#REF!</definedName>
    <definedName name="_3m_100">#REF!</definedName>
    <definedName name="_3m_150" localSheetId="4">#REF!</definedName>
    <definedName name="_3m_150" localSheetId="9">#REF!</definedName>
    <definedName name="_3m_150" localSheetId="8">#REF!</definedName>
    <definedName name="_3m_150">#REF!</definedName>
    <definedName name="_3m_200" localSheetId="4">#REF!</definedName>
    <definedName name="_3m_200" localSheetId="9">#REF!</definedName>
    <definedName name="_3m_200" localSheetId="8">#REF!</definedName>
    <definedName name="_3m_200">#REF!</definedName>
    <definedName name="_3m_25" localSheetId="4">#REF!</definedName>
    <definedName name="_3m_25" localSheetId="9">#REF!</definedName>
    <definedName name="_3m_25" localSheetId="8">#REF!</definedName>
    <definedName name="_3m_25">#REF!</definedName>
    <definedName name="_3m_250" localSheetId="4">#REF!</definedName>
    <definedName name="_3m_250" localSheetId="9">#REF!</definedName>
    <definedName name="_3m_250" localSheetId="8">#REF!</definedName>
    <definedName name="_3m_250">#REF!</definedName>
    <definedName name="_3m_300" localSheetId="4">#REF!</definedName>
    <definedName name="_3m_300" localSheetId="9">#REF!</definedName>
    <definedName name="_3m_300" localSheetId="8">#REF!</definedName>
    <definedName name="_3m_300">#REF!</definedName>
    <definedName name="_3m_32" localSheetId="4">#REF!</definedName>
    <definedName name="_3m_32" localSheetId="9">#REF!</definedName>
    <definedName name="_3m_32" localSheetId="8">#REF!</definedName>
    <definedName name="_3m_32">#REF!</definedName>
    <definedName name="_3m_40" localSheetId="4">#REF!</definedName>
    <definedName name="_3m_40" localSheetId="9">#REF!</definedName>
    <definedName name="_3m_40" localSheetId="8">#REF!</definedName>
    <definedName name="_3m_40">#REF!</definedName>
    <definedName name="_3m_50" localSheetId="4">#REF!</definedName>
    <definedName name="_3m_50" localSheetId="9">#REF!</definedName>
    <definedName name="_3m_50" localSheetId="8">#REF!</definedName>
    <definedName name="_3m_50">#REF!</definedName>
    <definedName name="_3m_65" localSheetId="4">#REF!</definedName>
    <definedName name="_3m_65" localSheetId="9">#REF!</definedName>
    <definedName name="_3m_65" localSheetId="8">#REF!</definedName>
    <definedName name="_3m_65">#REF!</definedName>
    <definedName name="_3m_80" localSheetId="4">#REF!</definedName>
    <definedName name="_3m_80" localSheetId="9">#REF!</definedName>
    <definedName name="_3m_80" localSheetId="8">#REF!</definedName>
    <definedName name="_3m_80">#REF!</definedName>
    <definedName name="_4">'[9]MASTER_RATE ANALYSIS'!$A$426:$H$448</definedName>
    <definedName name="_4__123Graph_BChart_1Q" localSheetId="4" hidden="1">#REF!</definedName>
    <definedName name="_4__123Graph_BChart_1Q" localSheetId="9" hidden="1">#REF!</definedName>
    <definedName name="_4__123Graph_BChart_1Q" localSheetId="8" hidden="1">#REF!</definedName>
    <definedName name="_4__123Graph_BChart_1Q" hidden="1">#REF!</definedName>
    <definedName name="_4__123Graph_BService_Expense" localSheetId="4" hidden="1">#REF!</definedName>
    <definedName name="_4__123Graph_BService_Expense" localSheetId="9" hidden="1">#REF!</definedName>
    <definedName name="_4__123Graph_BService_Expense" localSheetId="8" hidden="1">#REF!</definedName>
    <definedName name="_4__123Graph_BService_Expense" hidden="1">#REF!</definedName>
    <definedName name="_4_l_4_1" localSheetId="4">#REF!</definedName>
    <definedName name="_4_l_4_1" localSheetId="9">#REF!</definedName>
    <definedName name="_4_l_4_1" localSheetId="8">#REF!</definedName>
    <definedName name="_4_l_4_1">#REF!</definedName>
    <definedName name="_40">'[9]MASTER_RATE ANALYSIS'!$A$1794:$H$1816</definedName>
    <definedName name="_409SP3Name_4_1" localSheetId="4">#REF!</definedName>
    <definedName name="_409SP3Name_4_1" localSheetId="9">#REF!</definedName>
    <definedName name="_409SP3Name_4_1" localSheetId="8">#REF!</definedName>
    <definedName name="_409SP3Name_4_1">#REF!</definedName>
    <definedName name="_40dim4_4_1" localSheetId="4">#REF!</definedName>
    <definedName name="_40dim4_4_1" localSheetId="9">#REF!</definedName>
    <definedName name="_40dim4_4_1" localSheetId="8">#REF!</definedName>
    <definedName name="_40dim4_4_1">#REF!</definedName>
    <definedName name="_41">'[9]MASTER_RATE ANALYSIS'!$A$1431:$H$1456</definedName>
    <definedName name="_41EngAddress_4_1" localSheetId="4">#REF!</definedName>
    <definedName name="_41EngAddress_4_1" localSheetId="9">#REF!</definedName>
    <definedName name="_41EngAddress_4_1" localSheetId="8">#REF!</definedName>
    <definedName name="_41EngAddress_4_1">#REF!</definedName>
    <definedName name="_42">'[9]MASTER_RATE ANALYSIS'!$A$1458:$H$1482</definedName>
    <definedName name="_420SP3Number_4_1" localSheetId="4">#REF!</definedName>
    <definedName name="_420SP3Number_4_1" localSheetId="9">#REF!</definedName>
    <definedName name="_420SP3Number_4_1" localSheetId="8">#REF!</definedName>
    <definedName name="_420SP3Number_4_1">#REF!</definedName>
    <definedName name="_42EngCity_4_1" localSheetId="4">#REF!</definedName>
    <definedName name="_42EngCity_4_1" localSheetId="9">#REF!</definedName>
    <definedName name="_42EngCity_4_1" localSheetId="8">#REF!</definedName>
    <definedName name="_42EngCity_4_1">#REF!</definedName>
    <definedName name="_43">'[9]MASTER_RATE ANALYSIS'!$A$1818:$H$1840</definedName>
    <definedName name="_431SP4Branch_4_1" localSheetId="4">#REF!</definedName>
    <definedName name="_431SP4Branch_4_1" localSheetId="9">#REF!</definedName>
    <definedName name="_431SP4Branch_4_1" localSheetId="8">#REF!</definedName>
    <definedName name="_431SP4Branch_4_1">#REF!</definedName>
    <definedName name="_43EngName_4_1" localSheetId="4">#REF!</definedName>
    <definedName name="_43EngName_4_1" localSheetId="9">#REF!</definedName>
    <definedName name="_43EngName_4_1" localSheetId="8">#REF!</definedName>
    <definedName name="_43EngName_4_1">#REF!</definedName>
    <definedName name="_44">'[9]MASTER_RATE ANALYSIS'!$A$1537:$H$1561</definedName>
    <definedName name="_442SP4Credit_4_1" localSheetId="4">#REF!</definedName>
    <definedName name="_442SP4Credit_4_1" localSheetId="9">#REF!</definedName>
    <definedName name="_442SP4Credit_4_1" localSheetId="8">#REF!</definedName>
    <definedName name="_442SP4Credit_4_1">#REF!</definedName>
    <definedName name="_443SP4Name_4_1" localSheetId="4">#REF!</definedName>
    <definedName name="_443SP4Name_4_1" localSheetId="9">#REF!</definedName>
    <definedName name="_443SP4Name_4_1" localSheetId="8">#REF!</definedName>
    <definedName name="_443SP4Name_4_1">#REF!</definedName>
    <definedName name="_44EngPostal_4_1" localSheetId="4">#REF!</definedName>
    <definedName name="_44EngPostal_4_1" localSheetId="9">#REF!</definedName>
    <definedName name="_44EngPostal_4_1" localSheetId="8">#REF!</definedName>
    <definedName name="_44EngPostal_4_1">#REF!</definedName>
    <definedName name="_45">'[9]MASTER_RATE ANALYSIS'!$A$1842:$H$1864</definedName>
    <definedName name="_454SP4Number_4_1" localSheetId="4">#REF!</definedName>
    <definedName name="_454SP4Number_4_1" localSheetId="9">#REF!</definedName>
    <definedName name="_454SP4Number_4_1" localSheetId="8">#REF!</definedName>
    <definedName name="_454SP4Number_4_1">#REF!</definedName>
    <definedName name="_45EngPrio_4_1" localSheetId="4">#REF!</definedName>
    <definedName name="_45EngPrio_4_1" localSheetId="9">#REF!</definedName>
    <definedName name="_45EngPrio_4_1" localSheetId="8">#REF!</definedName>
    <definedName name="_45EngPrio_4_1">#REF!</definedName>
    <definedName name="_46">'[9]MASTER_RATE ANALYSIS'!$A$1866:$H$1889</definedName>
    <definedName name="_465SP5Branch_4_1" localSheetId="4">#REF!</definedName>
    <definedName name="_465SP5Branch_4_1" localSheetId="9">#REF!</definedName>
    <definedName name="_465SP5Branch_4_1" localSheetId="8">#REF!</definedName>
    <definedName name="_465SP5Branch_4_1">#REF!</definedName>
    <definedName name="_46EngPrio_Text_4_1" localSheetId="4">#REF!</definedName>
    <definedName name="_46EngPrio_Text_4_1" localSheetId="9">#REF!</definedName>
    <definedName name="_46EngPrio_Text_4_1" localSheetId="8">#REF!</definedName>
    <definedName name="_46EngPrio_Text_4_1">#REF!</definedName>
    <definedName name="_47">'[9]MASTER_RATE ANALYSIS'!$A$1913:$H$1938</definedName>
    <definedName name="_476SP5Credit_4_1" localSheetId="4">#REF!</definedName>
    <definedName name="_476SP5Credit_4_1" localSheetId="9">#REF!</definedName>
    <definedName name="_476SP5Credit_4_1" localSheetId="8">#REF!</definedName>
    <definedName name="_476SP5Credit_4_1">#REF!</definedName>
    <definedName name="_47EngState_4_1" localSheetId="4">#REF!</definedName>
    <definedName name="_47EngState_4_1" localSheetId="9">#REF!</definedName>
    <definedName name="_47EngState_4_1" localSheetId="8">#REF!</definedName>
    <definedName name="_47EngState_4_1">#REF!</definedName>
    <definedName name="_48">'[9]MASTER_RATE ANALYSIS'!$A$1940:$H$1962</definedName>
    <definedName name="_487SP5Name_4_1" localSheetId="4">#REF!</definedName>
    <definedName name="_487SP5Name_4_1" localSheetId="9">#REF!</definedName>
    <definedName name="_487SP5Name_4_1" localSheetId="8">#REF!</definedName>
    <definedName name="_487SP5Name_4_1">#REF!</definedName>
    <definedName name="_48AcctPrio_4_1" localSheetId="4">#REF!</definedName>
    <definedName name="_48AcctPrio_4_1" localSheetId="9">#REF!</definedName>
    <definedName name="_48AcctPrio_4_1" localSheetId="8">#REF!</definedName>
    <definedName name="_48AcctPrio_4_1">#REF!</definedName>
    <definedName name="_48EstCost_4_1" localSheetId="4">#REF!</definedName>
    <definedName name="_48EstCost_4_1" localSheetId="9">#REF!</definedName>
    <definedName name="_48EstCost_4_1" localSheetId="8">#REF!</definedName>
    <definedName name="_48EstCost_4_1">#REF!</definedName>
    <definedName name="_49">'[9]MASTER_RATE ANALYSIS'!$A$1964:$H$1986</definedName>
    <definedName name="_498SP5Number_4_1" localSheetId="4">#REF!</definedName>
    <definedName name="_498SP5Number_4_1" localSheetId="9">#REF!</definedName>
    <definedName name="_498SP5Number_4_1" localSheetId="8">#REF!</definedName>
    <definedName name="_498SP5Number_4_1">#REF!</definedName>
    <definedName name="_499SpecClass_4_1" localSheetId="4">#REF!</definedName>
    <definedName name="_499SpecClass_4_1" localSheetId="9">#REF!</definedName>
    <definedName name="_499SpecClass_4_1" localSheetId="8">#REF!</definedName>
    <definedName name="_499SpecClass_4_1">#REF!</definedName>
    <definedName name="_49eu_4_1" localSheetId="4">#REF!</definedName>
    <definedName name="_49eu_4_1" localSheetId="9">#REF!</definedName>
    <definedName name="_49eu_4_1" localSheetId="8">#REF!</definedName>
    <definedName name="_49eu_4_1">#REF!</definedName>
    <definedName name="_5">'[9]MASTER_RATE ANALYSIS'!$A$474:$H$495</definedName>
    <definedName name="_5.0_Hire_and_running_charges_of_winch___grab" localSheetId="4">[12]SOR!#REF!</definedName>
    <definedName name="_5.0_Hire_and_running_charges_of_winch___grab" localSheetId="9">[12]SOR!#REF!</definedName>
    <definedName name="_5.0_Hire_and_running_charges_of_winch___grab" localSheetId="8">[12]SOR!#REF!</definedName>
    <definedName name="_5.0_Hire_and_running_charges_of_winch___grab">[12]SOR!#REF!</definedName>
    <definedName name="_5__123Graph_XAdmin_Expenses" localSheetId="4" hidden="1">#REF!</definedName>
    <definedName name="_5__123Graph_XAdmin_Expenses" localSheetId="9" hidden="1">#REF!</definedName>
    <definedName name="_5__123Graph_XAdmin_Expenses" localSheetId="8" hidden="1">#REF!</definedName>
    <definedName name="_5__123Graph_XAdmin_Expenses" hidden="1">#REF!</definedName>
    <definedName name="_5_p_1" localSheetId="4">#REF!</definedName>
    <definedName name="_5_p_1" localSheetId="9">#REF!</definedName>
    <definedName name="_5_p_1" localSheetId="8">#REF!</definedName>
    <definedName name="_5_p_1">#REF!</definedName>
    <definedName name="_50">'[9]MASTER_RATE ANALYSIS'!$A$1988:$H$2010</definedName>
    <definedName name="_500SpecClass_Text_4_1" localSheetId="4">#REF!</definedName>
    <definedName name="_500SpecClass_Text_4_1" localSheetId="9">#REF!</definedName>
    <definedName name="_500SpecClass_Text_4_1" localSheetId="8">#REF!</definedName>
    <definedName name="_500SpecClass_Text_4_1">#REF!</definedName>
    <definedName name="_50Excel_BuiltIn_Print_Area_1" localSheetId="4">#REF!</definedName>
    <definedName name="_50Excel_BuiltIn_Print_Area_1" localSheetId="9">#REF!</definedName>
    <definedName name="_50Excel_BuiltIn_Print_Area_1" localSheetId="8">#REF!</definedName>
    <definedName name="_50Excel_BuiltIn_Print_Area_1">#REF!</definedName>
    <definedName name="_51">'[9]MASTER_RATE ANALYSIS'!$A$2012:$H$2037</definedName>
    <definedName name="_511SpecEnv1_4_1" localSheetId="4">#REF!</definedName>
    <definedName name="_511SpecEnv1_4_1" localSheetId="9">#REF!</definedName>
    <definedName name="_511SpecEnv1_4_1" localSheetId="8">#REF!</definedName>
    <definedName name="_511SpecEnv1_4_1">#REF!</definedName>
    <definedName name="_51Excel_BuiltIn_Print_Titles_3_4_1" localSheetId="4">'[10]INDIGINEOUS ITEMS '!#REF!</definedName>
    <definedName name="_51Excel_BuiltIn_Print_Titles_3_4_1" localSheetId="9">'[10]INDIGINEOUS ITEMS '!#REF!</definedName>
    <definedName name="_51Excel_BuiltIn_Print_Titles_3_4_1" localSheetId="8">'[10]INDIGINEOUS ITEMS '!#REF!</definedName>
    <definedName name="_51Excel_BuiltIn_Print_Titles_3_4_1">'[10]INDIGINEOUS ITEMS '!#REF!</definedName>
    <definedName name="_52">'[9]MASTER_RATE ANALYSIS'!$A$2039:$H$2060</definedName>
    <definedName name="_522SpecEnv1_Text_4_1" localSheetId="4">#REF!</definedName>
    <definedName name="_522SpecEnv1_Text_4_1" localSheetId="9">#REF!</definedName>
    <definedName name="_522SpecEnv1_Text_4_1" localSheetId="8">#REF!</definedName>
    <definedName name="_522SpecEnv1_Text_4_1">#REF!</definedName>
    <definedName name="_52FiscalIDNum_4_1" localSheetId="4">#REF!</definedName>
    <definedName name="_52FiscalIDNum_4_1" localSheetId="9">#REF!</definedName>
    <definedName name="_52FiscalIDNum_4_1" localSheetId="8">#REF!</definedName>
    <definedName name="_52FiscalIDNum_4_1">#REF!</definedName>
    <definedName name="_53">'[9]MASTER_RATE ANALYSIS'!$A$2062:$H$2086</definedName>
    <definedName name="_533SpecEnv2_4_1" localSheetId="4">#REF!</definedName>
    <definedName name="_533SpecEnv2_4_1" localSheetId="9">#REF!</definedName>
    <definedName name="_533SpecEnv2_4_1" localSheetId="8">#REF!</definedName>
    <definedName name="_533SpecEnv2_4_1">#REF!</definedName>
    <definedName name="_53FormTitle_4_1" localSheetId="4">#REF!</definedName>
    <definedName name="_53FormTitle_4_1" localSheetId="9">#REF!</definedName>
    <definedName name="_53FormTitle_4_1" localSheetId="8">#REF!</definedName>
    <definedName name="_53FormTitle_4_1">#REF!</definedName>
    <definedName name="_54">'[9]MASTER_RATE ANALYSIS'!$A$2089:$H$2112</definedName>
    <definedName name="_544SpecEnv2_Text_4_1" localSheetId="4">#REF!</definedName>
    <definedName name="_544SpecEnv2_Text_4_1" localSheetId="9">#REF!</definedName>
    <definedName name="_544SpecEnv2_Text_4_1" localSheetId="8">#REF!</definedName>
    <definedName name="_544SpecEnv2_Text_4_1">#REF!</definedName>
    <definedName name="_545SPLR_4_1" localSheetId="4">#REF!</definedName>
    <definedName name="_545SPLR_4_1" localSheetId="9">#REF!</definedName>
    <definedName name="_545SPLR_4_1" localSheetId="8">#REF!</definedName>
    <definedName name="_545SPLR_4_1">#REF!</definedName>
    <definedName name="_54GMAmount_4_1" localSheetId="4">#REF!</definedName>
    <definedName name="_54GMAmount_4_1" localSheetId="9">#REF!</definedName>
    <definedName name="_54GMAmount_4_1" localSheetId="8">#REF!</definedName>
    <definedName name="_54GMAmount_4_1">#REF!</definedName>
    <definedName name="_55">'[9]MASTER_RATE ANALYSIS'!$A$2115:$H$2138</definedName>
    <definedName name="_556SrvcCode1_4_1" localSheetId="4">#REF!</definedName>
    <definedName name="_556SrvcCode1_4_1" localSheetId="9">#REF!</definedName>
    <definedName name="_556SrvcCode1_4_1" localSheetId="8">#REF!</definedName>
    <definedName name="_556SrvcCode1_4_1">#REF!</definedName>
    <definedName name="_55GMPercent_4_1" localSheetId="4">#REF!</definedName>
    <definedName name="_55GMPercent_4_1" localSheetId="9">#REF!</definedName>
    <definedName name="_55GMPercent_4_1" localSheetId="8">#REF!</definedName>
    <definedName name="_55GMPercent_4_1">#REF!</definedName>
    <definedName name="_56">'[9]MASTER_RATE ANALYSIS'!$A$2140:$H$2163</definedName>
    <definedName name="_567SrvcCode1_Text_4_1" localSheetId="4">#REF!</definedName>
    <definedName name="_567SrvcCode1_Text_4_1" localSheetId="9">#REF!</definedName>
    <definedName name="_567SrvcCode1_Text_4_1" localSheetId="8">#REF!</definedName>
    <definedName name="_567SrvcCode1_Text_4_1">#REF!</definedName>
    <definedName name="_56Headings_4_1">[11]Headings!$A$2:$K$123</definedName>
    <definedName name="_57">'[9]MASTER_RATE ANALYSIS'!$A$2165:$H$2187</definedName>
    <definedName name="_578SrvcCode2_4_1" localSheetId="4">#REF!</definedName>
    <definedName name="_578SrvcCode2_4_1" localSheetId="9">#REF!</definedName>
    <definedName name="_578SrvcCode2_4_1" localSheetId="8">#REF!</definedName>
    <definedName name="_578SrvcCode2_4_1">#REF!</definedName>
    <definedName name="_57indf_4_1" localSheetId="4">#REF!</definedName>
    <definedName name="_57indf_4_1" localSheetId="9">#REF!</definedName>
    <definedName name="_57indf_4_1" localSheetId="8">#REF!</definedName>
    <definedName name="_57indf_4_1">#REF!</definedName>
    <definedName name="_58">'[9]MASTER_RATE ANALYSIS'!$A$2190:$H$2214</definedName>
    <definedName name="_589SrvcCode2_Text_4_1" localSheetId="4">#REF!</definedName>
    <definedName name="_589SrvcCode2_Text_4_1" localSheetId="9">#REF!</definedName>
    <definedName name="_589SrvcCode2_Text_4_1" localSheetId="8">#REF!</definedName>
    <definedName name="_589SrvcCode2_Text_4_1">#REF!</definedName>
    <definedName name="_58InstBillingMethod_4_1" localSheetId="4">#REF!</definedName>
    <definedName name="_58InstBillingMethod_4_1" localSheetId="9">#REF!</definedName>
    <definedName name="_58InstBillingMethod_4_1" localSheetId="8">#REF!</definedName>
    <definedName name="_58InstBillingMethod_4_1">#REF!</definedName>
    <definedName name="_59">'[9]MASTER_RATE ANALYSIS'!$A$2216:$H$2242</definedName>
    <definedName name="_59AcctPrio_Text_4_1" localSheetId="4">#REF!</definedName>
    <definedName name="_59AcctPrio_Text_4_1" localSheetId="9">#REF!</definedName>
    <definedName name="_59AcctPrio_Text_4_1" localSheetId="8">#REF!</definedName>
    <definedName name="_59AcctPrio_Text_4_1">#REF!</definedName>
    <definedName name="_59instf_4_1" localSheetId="4">#REF!</definedName>
    <definedName name="_59instf_4_1" localSheetId="9">#REF!</definedName>
    <definedName name="_59instf_4_1" localSheetId="8">#REF!</definedName>
    <definedName name="_59instf_4_1">#REF!</definedName>
    <definedName name="_6">'[9]MASTER_RATE ANALYSIS'!$A$497:$H$518</definedName>
    <definedName name="_6__123Graph_XService_Expense" localSheetId="4" hidden="1">#REF!</definedName>
    <definedName name="_6__123Graph_XService_Expense" localSheetId="9" hidden="1">#REF!</definedName>
    <definedName name="_6__123Graph_XService_Expense" localSheetId="8" hidden="1">#REF!</definedName>
    <definedName name="_6__123Graph_XService_Expense" hidden="1">#REF!</definedName>
    <definedName name="_6_p_4_1" localSheetId="4">#REF!</definedName>
    <definedName name="_6_p_4_1" localSheetId="9">#REF!</definedName>
    <definedName name="_6_p_4_1" localSheetId="8">#REF!</definedName>
    <definedName name="_6_p_4_1">#REF!</definedName>
    <definedName name="_60">'[9]MASTER_RATE ANALYSIS'!$A$2244:$H$2272</definedName>
    <definedName name="_600SrvcCode3_4_1" localSheetId="4">#REF!</definedName>
    <definedName name="_600SrvcCode3_4_1" localSheetId="9">#REF!</definedName>
    <definedName name="_600SrvcCode3_4_1" localSheetId="8">#REF!</definedName>
    <definedName name="_600SrvcCode3_4_1">#REF!</definedName>
    <definedName name="_60BidClass_4_1" localSheetId="4">#REF!</definedName>
    <definedName name="_60BidClass_4_1" localSheetId="9">#REF!</definedName>
    <definedName name="_60BidClass_4_1" localSheetId="8">#REF!</definedName>
    <definedName name="_60BidClass_4_1">#REF!</definedName>
    <definedName name="_60MarketType_4_1" localSheetId="4">#REF!</definedName>
    <definedName name="_60MarketType_4_1" localSheetId="9">#REF!</definedName>
    <definedName name="_60MarketType_4_1" localSheetId="8">#REF!</definedName>
    <definedName name="_60MarketType_4_1">#REF!</definedName>
    <definedName name="_61">'[9]MASTER_RATE ANALYSIS'!$A$2303:$H$2331</definedName>
    <definedName name="_611SrvcCode3_Text_4_1" localSheetId="4">#REF!</definedName>
    <definedName name="_611SrvcCode3_Text_4_1" localSheetId="9">#REF!</definedName>
    <definedName name="_611SrvcCode3_Text_4_1" localSheetId="8">#REF!</definedName>
    <definedName name="_611SrvcCode3_Text_4_1">#REF!</definedName>
    <definedName name="_612SrvcCode4_4_1" localSheetId="4">#REF!</definedName>
    <definedName name="_612SrvcCode4_4_1" localSheetId="9">#REF!</definedName>
    <definedName name="_612SrvcCode4_4_1" localSheetId="8">#REF!</definedName>
    <definedName name="_612SrvcCode4_4_1">#REF!</definedName>
    <definedName name="_613SrvcCode4_Text_4_1" localSheetId="4">#REF!</definedName>
    <definedName name="_613SrvcCode4_Text_4_1" localSheetId="9">#REF!</definedName>
    <definedName name="_613SrvcCode4_Text_4_1" localSheetId="8">#REF!</definedName>
    <definedName name="_613SrvcCode4_Text_4_1">#REF!</definedName>
    <definedName name="_614SrvcCode5_4_1" localSheetId="4">#REF!</definedName>
    <definedName name="_614SrvcCode5_4_1" localSheetId="9">#REF!</definedName>
    <definedName name="_614SrvcCode5_4_1" localSheetId="8">#REF!</definedName>
    <definedName name="_614SrvcCode5_4_1">#REF!</definedName>
    <definedName name="_615SrvcCode5_Text_4_1" localSheetId="4">#REF!</definedName>
    <definedName name="_615SrvcCode5_Text_4_1" localSheetId="9">#REF!</definedName>
    <definedName name="_615SrvcCode5_Text_4_1" localSheetId="8">#REF!</definedName>
    <definedName name="_615SrvcCode5_Text_4_1">#REF!</definedName>
    <definedName name="_616StartDate_4_1" localSheetId="4">#REF!</definedName>
    <definedName name="_616StartDate_4_1" localSheetId="9">#REF!</definedName>
    <definedName name="_616StartDate_4_1" localSheetId="8">#REF!</definedName>
    <definedName name="_616StartDate_4_1">#REF!</definedName>
    <definedName name="_617swf_4_1" localSheetId="4">#REF!</definedName>
    <definedName name="_617swf_4_1" localSheetId="9">#REF!</definedName>
    <definedName name="_617swf_4_1" localSheetId="8">#REF!</definedName>
    <definedName name="_617swf_4_1">#REF!</definedName>
    <definedName name="_618TierCode_4_1" localSheetId="4">#REF!</definedName>
    <definedName name="_618TierCode_4_1" localSheetId="9">#REF!</definedName>
    <definedName name="_618TierCode_4_1" localSheetId="8">#REF!</definedName>
    <definedName name="_618TierCode_4_1">#REF!</definedName>
    <definedName name="_619TierCode_Text_4_1" localSheetId="4">#REF!</definedName>
    <definedName name="_619TierCode_Text_4_1" localSheetId="9">#REF!</definedName>
    <definedName name="_619TierCode_Text_4_1" localSheetId="8">#REF!</definedName>
    <definedName name="_619TierCode_Text_4_1">#REF!</definedName>
    <definedName name="_61BidClass_Text_4_1" localSheetId="4">#REF!</definedName>
    <definedName name="_61BidClass_Text_4_1" localSheetId="9">#REF!</definedName>
    <definedName name="_61BidClass_Text_4_1" localSheetId="8">#REF!</definedName>
    <definedName name="_61BidClass_Text_4_1">#REF!</definedName>
    <definedName name="_61MarketType_Text_4_1" localSheetId="4">#REF!</definedName>
    <definedName name="_61MarketType_Text_4_1" localSheetId="9">#REF!</definedName>
    <definedName name="_61MarketType_Text_4_1" localSheetId="8">#REF!</definedName>
    <definedName name="_61MarketType_Text_4_1">#REF!</definedName>
    <definedName name="_62">'[9]MASTER_RATE ANALYSIS'!$A$2333:$H$2361</definedName>
    <definedName name="_620vatf_4_1" localSheetId="4">#REF!</definedName>
    <definedName name="_620vatf_4_1" localSheetId="9">#REF!</definedName>
    <definedName name="_620vatf_4_1" localSheetId="8">#REF!</definedName>
    <definedName name="_620vatf_4_1">#REF!</definedName>
    <definedName name="_62nonmodular_4_1" localSheetId="4">#REF!</definedName>
    <definedName name="_62nonmodular_4_1" localSheetId="9">#REF!</definedName>
    <definedName name="_62nonmodular_4_1" localSheetId="8">#REF!</definedName>
    <definedName name="_62nonmodular_4_1">#REF!</definedName>
    <definedName name="_63">'[9]MASTER_RATE ANALYSIS'!$A$2363:$H$2391</definedName>
    <definedName name="_63OwnAcctNum_4_1" localSheetId="4">#REF!</definedName>
    <definedName name="_63OwnAcctNum_4_1" localSheetId="9">#REF!</definedName>
    <definedName name="_63OwnAcctNum_4_1" localSheetId="8">#REF!</definedName>
    <definedName name="_63OwnAcctNum_4_1">#REF!</definedName>
    <definedName name="_64">'[9]MASTER_RATE ANALYSIS'!$A$2393:$H$2418</definedName>
    <definedName name="_64po_4_1" localSheetId="4">#REF!</definedName>
    <definedName name="_64po_4_1" localSheetId="9">#REF!</definedName>
    <definedName name="_64po_4_1" localSheetId="8">#REF!</definedName>
    <definedName name="_64po_4_1">#REF!</definedName>
    <definedName name="_65">'[9]MASTER_RATE ANALYSIS'!$A$2420:$H$2447</definedName>
    <definedName name="_65PrimeAddress_4_1" localSheetId="4">#REF!</definedName>
    <definedName name="_65PrimeAddress_4_1" localSheetId="9">#REF!</definedName>
    <definedName name="_65PrimeAddress_4_1" localSheetId="8">#REF!</definedName>
    <definedName name="_65PrimeAddress_4_1">#REF!</definedName>
    <definedName name="_66">'[9]MASTER_RATE ANALYSIS'!$A$2449:$H$2476</definedName>
    <definedName name="_66PrimeCity_4_1" localSheetId="4">#REF!</definedName>
    <definedName name="_66PrimeCity_4_1" localSheetId="9">#REF!</definedName>
    <definedName name="_66PrimeCity_4_1" localSheetId="8">#REF!</definedName>
    <definedName name="_66PrimeCity_4_1">#REF!</definedName>
    <definedName name="_67">'[9]MASTER_RATE ANALYSIS'!$A$2504:$H$2551</definedName>
    <definedName name="_67PrimeName_4_1" localSheetId="4">#REF!</definedName>
    <definedName name="_67PrimeName_4_1" localSheetId="9">#REF!</definedName>
    <definedName name="_67PrimeName_4_1" localSheetId="8">#REF!</definedName>
    <definedName name="_67PrimeName_4_1">#REF!</definedName>
    <definedName name="_68">'[9]MASTER_RATE ANALYSIS'!$A$2553:$H$2601</definedName>
    <definedName name="_68PrimePostal_4_1" localSheetId="4">#REF!</definedName>
    <definedName name="_68PrimePostal_4_1" localSheetId="9">#REF!</definedName>
    <definedName name="_68PrimePostal_4_1" localSheetId="8">#REF!</definedName>
    <definedName name="_68PrimePostal_4_1">#REF!</definedName>
    <definedName name="_69">'[9]MASTER_RATE ANALYSIS'!$A$2603:$H$2648</definedName>
    <definedName name="_69PrimePrio_4_1" localSheetId="4">#REF!</definedName>
    <definedName name="_69PrimePrio_4_1" localSheetId="9">#REF!</definedName>
    <definedName name="_69PrimePrio_4_1" localSheetId="8">#REF!</definedName>
    <definedName name="_69PrimePrio_4_1">#REF!</definedName>
    <definedName name="_7">'[9]MASTER_RATE ANALYSIS'!$A$520:$H$541</definedName>
    <definedName name="_70">'[9]MASTER_RATE ANALYSIS'!$A$2650:$H$2697</definedName>
    <definedName name="_70PrimePrio_Text_4_1" localSheetId="4">#REF!</definedName>
    <definedName name="_70PrimePrio_Text_4_1" localSheetId="9">#REF!</definedName>
    <definedName name="_70PrimePrio_Text_4_1" localSheetId="8">#REF!</definedName>
    <definedName name="_70PrimePrio_Text_4_1">#REF!</definedName>
    <definedName name="_71">'[9]MASTER_RATE ANALYSIS'!$A$2699:$H$2748</definedName>
    <definedName name="_71PrimeState_4_1" localSheetId="4">#REF!</definedName>
    <definedName name="_71PrimeState_4_1" localSheetId="9">#REF!</definedName>
    <definedName name="_71PrimeState_4_1" localSheetId="8">#REF!</definedName>
    <definedName name="_71PrimeState_4_1">#REF!</definedName>
    <definedName name="_72">'[9]MASTER_RATE ANALYSIS'!$A$2750:$H$2795</definedName>
    <definedName name="_72BillingFreq_4_1" localSheetId="4">#REF!</definedName>
    <definedName name="_72BillingFreq_4_1" localSheetId="9">#REF!</definedName>
    <definedName name="_72BillingFreq_4_1" localSheetId="8">#REF!</definedName>
    <definedName name="_72BillingFreq_4_1">#REF!</definedName>
    <definedName name="_72PRINT_AREA_MI_4_1" localSheetId="4">#REF!</definedName>
    <definedName name="_72PRINT_AREA_MI_4_1" localSheetId="9">#REF!</definedName>
    <definedName name="_72PRINT_AREA_MI_4_1" localSheetId="8">#REF!</definedName>
    <definedName name="_72PRINT_AREA_MI_4_1">#REF!</definedName>
    <definedName name="_73">'[9]MASTER_RATE ANALYSIS'!$A$2478:$H$2502</definedName>
    <definedName name="_73PROD_4_1" localSheetId="4">#REF!</definedName>
    <definedName name="_73PROD_4_1" localSheetId="9">#REF!</definedName>
    <definedName name="_73PROD_4_1" localSheetId="8">#REF!</definedName>
    <definedName name="_73PROD_4_1">#REF!</definedName>
    <definedName name="_74">'[9]MASTER_RATE ANALYSIS'!$A$2797:$H$2822</definedName>
    <definedName name="_74ProdCode1_4_1" localSheetId="4">#REF!</definedName>
    <definedName name="_74ProdCode1_4_1" localSheetId="9">#REF!</definedName>
    <definedName name="_74ProdCode1_4_1" localSheetId="8">#REF!</definedName>
    <definedName name="_74ProdCode1_4_1">#REF!</definedName>
    <definedName name="_75">'[9]MASTER_RATE ANALYSIS'!$A$2879:$H$2909</definedName>
    <definedName name="_75ProdCode1_Text_4_1" localSheetId="4">#REF!</definedName>
    <definedName name="_75ProdCode1_Text_4_1" localSheetId="9">#REF!</definedName>
    <definedName name="_75ProdCode1_Text_4_1" localSheetId="8">#REF!</definedName>
    <definedName name="_75ProdCode1_Text_4_1">#REF!</definedName>
    <definedName name="_76ProdCode2_4_1" localSheetId="4">#REF!</definedName>
    <definedName name="_76ProdCode2_4_1" localSheetId="9">#REF!</definedName>
    <definedName name="_76ProdCode2_4_1" localSheetId="8">#REF!</definedName>
    <definedName name="_76ProdCode2_4_1">#REF!</definedName>
    <definedName name="_77ProdCode2_Text_4_1" localSheetId="4">#REF!</definedName>
    <definedName name="_77ProdCode2_Text_4_1" localSheetId="9">#REF!</definedName>
    <definedName name="_77ProdCode2_Text_4_1" localSheetId="8">#REF!</definedName>
    <definedName name="_77ProdCode2_Text_4_1">#REF!</definedName>
    <definedName name="_78ProdCode3_4_1" localSheetId="4">#REF!</definedName>
    <definedName name="_78ProdCode3_4_1" localSheetId="9">#REF!</definedName>
    <definedName name="_78ProdCode3_4_1" localSheetId="8">#REF!</definedName>
    <definedName name="_78ProdCode3_4_1">#REF!</definedName>
    <definedName name="_79ProdCode3_Text_4_1" localSheetId="4">#REF!</definedName>
    <definedName name="_79ProdCode3_Text_4_1" localSheetId="9">#REF!</definedName>
    <definedName name="_79ProdCode3_Text_4_1" localSheetId="8">#REF!</definedName>
    <definedName name="_79ProdCode3_Text_4_1">#REF!</definedName>
    <definedName name="_7AcctName_4_1" localSheetId="4">#REF!</definedName>
    <definedName name="_7AcctName_4_1" localSheetId="9">#REF!</definedName>
    <definedName name="_7AcctName_4_1" localSheetId="8">#REF!</definedName>
    <definedName name="_7AcctName_4_1">#REF!</definedName>
    <definedName name="_8">'[9]MASTER_RATE ANALYSIS'!$A$544:$H$566</definedName>
    <definedName name="_80ProdCode4_4_1" localSheetId="4">#REF!</definedName>
    <definedName name="_80ProdCode4_4_1" localSheetId="9">#REF!</definedName>
    <definedName name="_80ProdCode4_4_1" localSheetId="8">#REF!</definedName>
    <definedName name="_80ProdCode4_4_1">#REF!</definedName>
    <definedName name="_81ProdCode4_Text_4_1" localSheetId="4">#REF!</definedName>
    <definedName name="_81ProdCode4_Text_4_1" localSheetId="9">#REF!</definedName>
    <definedName name="_81ProdCode4_Text_4_1" localSheetId="8">#REF!</definedName>
    <definedName name="_81ProdCode4_Text_4_1">#REF!</definedName>
    <definedName name="_82ProdCode5_4_1" localSheetId="4">#REF!</definedName>
    <definedName name="_82ProdCode5_4_1" localSheetId="9">#REF!</definedName>
    <definedName name="_82ProdCode5_4_1" localSheetId="8">#REF!</definedName>
    <definedName name="_82ProdCode5_4_1">#REF!</definedName>
    <definedName name="_83BillingTiming_4_1" localSheetId="4">#REF!</definedName>
    <definedName name="_83BillingTiming_4_1" localSheetId="9">#REF!</definedName>
    <definedName name="_83BillingTiming_4_1" localSheetId="8">#REF!</definedName>
    <definedName name="_83BillingTiming_4_1">#REF!</definedName>
    <definedName name="_83ProdCode5_Text_4_1" localSheetId="4">#REF!</definedName>
    <definedName name="_83ProdCode5_Text_4_1" localSheetId="9">#REF!</definedName>
    <definedName name="_83ProdCode5_Text_4_1" localSheetId="8">#REF!</definedName>
    <definedName name="_83ProdCode5_Text_4_1">#REF!</definedName>
    <definedName name="_84BusType_4_1" localSheetId="4">#REF!</definedName>
    <definedName name="_84BusType_4_1" localSheetId="9">#REF!</definedName>
    <definedName name="_84BusType_4_1" localSheetId="8">#REF!</definedName>
    <definedName name="_84BusType_4_1">#REF!</definedName>
    <definedName name="_84ProdPct1_4_1" localSheetId="4">#REF!</definedName>
    <definedName name="_84ProdPct1_4_1" localSheetId="9">#REF!</definedName>
    <definedName name="_84ProdPct1_4_1" localSheetId="8">#REF!</definedName>
    <definedName name="_84ProdPct1_4_1">#REF!</definedName>
    <definedName name="_85BusType_Text_4_1" localSheetId="4">#REF!</definedName>
    <definedName name="_85BusType_Text_4_1" localSheetId="9">#REF!</definedName>
    <definedName name="_85BusType_Text_4_1" localSheetId="8">#REF!</definedName>
    <definedName name="_85BusType_Text_4_1">#REF!</definedName>
    <definedName name="_85ProdPct2_4_1" localSheetId="4">#REF!</definedName>
    <definedName name="_85ProdPct2_4_1" localSheetId="9">#REF!</definedName>
    <definedName name="_85ProdPct2_4_1" localSheetId="8">#REF!</definedName>
    <definedName name="_85ProdPct2_4_1">#REF!</definedName>
    <definedName name="_86cab21.5tp_4_1" localSheetId="4">#REF!</definedName>
    <definedName name="_86cab21.5tp_4_1" localSheetId="9">#REF!</definedName>
    <definedName name="_86cab21.5tp_4_1" localSheetId="8">#REF!</definedName>
    <definedName name="_86cab21.5tp_4_1">#REF!</definedName>
    <definedName name="_86ProdPct3_4_1" localSheetId="4">#REF!</definedName>
    <definedName name="_86ProdPct3_4_1" localSheetId="9">#REF!</definedName>
    <definedName name="_86ProdPct3_4_1" localSheetId="8">#REF!</definedName>
    <definedName name="_86ProdPct3_4_1">#REF!</definedName>
    <definedName name="_87cab21s_4_1" localSheetId="4">#REF!</definedName>
    <definedName name="_87cab21s_4_1" localSheetId="9">#REF!</definedName>
    <definedName name="_87cab21s_4_1" localSheetId="8">#REF!</definedName>
    <definedName name="_87cab21s_4_1">#REF!</definedName>
    <definedName name="_87ProdPct4_4_1" localSheetId="4">#REF!</definedName>
    <definedName name="_87ProdPct4_4_1" localSheetId="9">#REF!</definedName>
    <definedName name="_87ProdPct4_4_1" localSheetId="8">#REF!</definedName>
    <definedName name="_87ProdPct4_4_1">#REF!</definedName>
    <definedName name="_88cab21us_4_1" localSheetId="4">#REF!</definedName>
    <definedName name="_88cab21us_4_1" localSheetId="9">#REF!</definedName>
    <definedName name="_88cab21us_4_1" localSheetId="8">#REF!</definedName>
    <definedName name="_88cab21us_4_1">#REF!</definedName>
    <definedName name="_88ProdPct5_4_1" localSheetId="4">#REF!</definedName>
    <definedName name="_88ProdPct5_4_1" localSheetId="9">#REF!</definedName>
    <definedName name="_88ProdPct5_4_1" localSheetId="8">#REF!</definedName>
    <definedName name="_88ProdPct5_4_1">#REF!</definedName>
    <definedName name="_89cab31s_4_1" localSheetId="4">#REF!</definedName>
    <definedName name="_89cab31s_4_1" localSheetId="9">#REF!</definedName>
    <definedName name="_89cab31s_4_1" localSheetId="8">#REF!</definedName>
    <definedName name="_89cab31s_4_1">#REF!</definedName>
    <definedName name="_89ProjAddress1_4_1" localSheetId="4">#REF!</definedName>
    <definedName name="_89ProjAddress1_4_1" localSheetId="9">#REF!</definedName>
    <definedName name="_89ProjAddress1_4_1" localSheetId="8">#REF!</definedName>
    <definedName name="_89ProjAddress1_4_1">#REF!</definedName>
    <definedName name="_8AcctPrio_4_1" localSheetId="4">#REF!</definedName>
    <definedName name="_8AcctPrio_4_1" localSheetId="9">#REF!</definedName>
    <definedName name="_8AcctPrio_4_1" localSheetId="8">#REF!</definedName>
    <definedName name="_8AcctPrio_4_1">#REF!</definedName>
    <definedName name="_9">'[9]MASTER_RATE ANALYSIS'!$A$568:$H$590</definedName>
    <definedName name="_90cab31us_4_1" localSheetId="4">#REF!</definedName>
    <definedName name="_90cab31us_4_1" localSheetId="9">#REF!</definedName>
    <definedName name="_90cab31us_4_1" localSheetId="8">#REF!</definedName>
    <definedName name="_90cab31us_4_1">#REF!</definedName>
    <definedName name="_90ProjAddress2_4_1" localSheetId="4">#REF!</definedName>
    <definedName name="_90ProjAddress2_4_1" localSheetId="9">#REF!</definedName>
    <definedName name="_90ProjAddress2_4_1" localSheetId="8">#REF!</definedName>
    <definedName name="_90ProjAddress2_4_1">#REF!</definedName>
    <definedName name="_91cab41s_4_1" localSheetId="4">#REF!</definedName>
    <definedName name="_91cab41s_4_1" localSheetId="9">#REF!</definedName>
    <definedName name="_91cab41s_4_1" localSheetId="8">#REF!</definedName>
    <definedName name="_91cab41s_4_1">#REF!</definedName>
    <definedName name="_91ProjCity_4_1" localSheetId="4">#REF!</definedName>
    <definedName name="_91ProjCity_4_1" localSheetId="9">#REF!</definedName>
    <definedName name="_91ProjCity_4_1" localSheetId="8">#REF!</definedName>
    <definedName name="_91ProjCity_4_1">#REF!</definedName>
    <definedName name="_92cab41us_4_1" localSheetId="4">#REF!</definedName>
    <definedName name="_92cab41us_4_1" localSheetId="9">#REF!</definedName>
    <definedName name="_92cab41us_4_1" localSheetId="8">#REF!</definedName>
    <definedName name="_92cab41us_4_1">#REF!</definedName>
    <definedName name="_92ProjCountry_4_1" localSheetId="4">#REF!</definedName>
    <definedName name="_92ProjCountry_4_1" localSheetId="9">#REF!</definedName>
    <definedName name="_92ProjCountry_4_1" localSheetId="8">#REF!</definedName>
    <definedName name="_92ProjCountry_4_1">#REF!</definedName>
    <definedName name="_93cabf_4_1" localSheetId="4">#REF!</definedName>
    <definedName name="_93cabf_4_1" localSheetId="9">#REF!</definedName>
    <definedName name="_93cabf_4_1" localSheetId="8">#REF!</definedName>
    <definedName name="_93cabf_4_1">#REF!</definedName>
    <definedName name="_93ProjCounty_4_1" localSheetId="4">#REF!</definedName>
    <definedName name="_93ProjCounty_4_1" localSheetId="9">#REF!</definedName>
    <definedName name="_93ProjCounty_4_1" localSheetId="8">#REF!</definedName>
    <definedName name="_93ProjCounty_4_1">#REF!</definedName>
    <definedName name="_94CABLE_4_1" localSheetId="4">#REF!</definedName>
    <definedName name="_94CABLE_4_1" localSheetId="9">#REF!</definedName>
    <definedName name="_94CABLE_4_1" localSheetId="8">#REF!</definedName>
    <definedName name="_94CABLE_4_1">#REF!</definedName>
    <definedName name="_94ProjName_4_1" localSheetId="4">#REF!</definedName>
    <definedName name="_94ProjName_4_1" localSheetId="9">#REF!</definedName>
    <definedName name="_94ProjName_4_1" localSheetId="8">#REF!</definedName>
    <definedName name="_94ProjName_4_1">#REF!</definedName>
    <definedName name="_95CALf_4_1" localSheetId="4">#REF!</definedName>
    <definedName name="_95CALf_4_1" localSheetId="9">#REF!</definedName>
    <definedName name="_95CALf_4_1" localSheetId="8">#REF!</definedName>
    <definedName name="_95CALf_4_1">#REF!</definedName>
    <definedName name="_95ProjNum_4_1" localSheetId="4">#REF!</definedName>
    <definedName name="_95ProjNum_4_1" localSheetId="9">#REF!</definedName>
    <definedName name="_95ProjNum_4_1" localSheetId="8">#REF!</definedName>
    <definedName name="_95ProjNum_4_1">#REF!</definedName>
    <definedName name="_96ChangeBy_4_1" localSheetId="4">#REF!</definedName>
    <definedName name="_96ChangeBy_4_1" localSheetId="9">#REF!</definedName>
    <definedName name="_96ChangeBy_4_1" localSheetId="8">#REF!</definedName>
    <definedName name="_96ChangeBy_4_1">#REF!</definedName>
    <definedName name="_96ProjPostal_4_1" localSheetId="4">#REF!</definedName>
    <definedName name="_96ProjPostal_4_1" localSheetId="9">#REF!</definedName>
    <definedName name="_96ProjPostal_4_1" localSheetId="8">#REF!</definedName>
    <definedName name="_96ProjPostal_4_1">#REF!</definedName>
    <definedName name="_97ChangeDate_4_1" localSheetId="4">#REF!</definedName>
    <definedName name="_97ChangeDate_4_1" localSheetId="9">#REF!</definedName>
    <definedName name="_97ChangeDate_4_1" localSheetId="8">#REF!</definedName>
    <definedName name="_97ChangeDate_4_1">#REF!</definedName>
    <definedName name="_97ProjState_4_1" localSheetId="4">#REF!</definedName>
    <definedName name="_97ProjState_4_1" localSheetId="9">#REF!</definedName>
    <definedName name="_97ProjState_4_1" localSheetId="8">#REF!</definedName>
    <definedName name="_97ProjState_4_1">#REF!</definedName>
    <definedName name="_98CompDate_4_1" localSheetId="4">#REF!</definedName>
    <definedName name="_98CompDate_4_1" localSheetId="9">#REF!</definedName>
    <definedName name="_98CompDate_4_1" localSheetId="8">#REF!</definedName>
    <definedName name="_98CompDate_4_1">#REF!</definedName>
    <definedName name="_98PSABillingMethod_4_1" localSheetId="4">#REF!</definedName>
    <definedName name="_98PSABillingMethod_4_1" localSheetId="9">#REF!</definedName>
    <definedName name="_98PSABillingMethod_4_1" localSheetId="8">#REF!</definedName>
    <definedName name="_98PSABillingMethod_4_1">#REF!</definedName>
    <definedName name="_99conf_4_1" localSheetId="4">#REF!</definedName>
    <definedName name="_99conf_4_1" localSheetId="9">#REF!</definedName>
    <definedName name="_99conf_4_1" localSheetId="8">#REF!</definedName>
    <definedName name="_99conf_4_1">#REF!</definedName>
    <definedName name="_99rim4_4_1" localSheetId="4">#REF!</definedName>
    <definedName name="_99rim4_4_1" localSheetId="9">#REF!</definedName>
    <definedName name="_99rim4_4_1" localSheetId="8">#REF!</definedName>
    <definedName name="_99rim4_4_1">#REF!</definedName>
    <definedName name="_9AcctPrio_Text_4_1" localSheetId="4">#REF!</definedName>
    <definedName name="_9AcctPrio_Text_4_1" localSheetId="9">#REF!</definedName>
    <definedName name="_9AcctPrio_Text_4_1" localSheetId="8">#REF!</definedName>
    <definedName name="_9AcctPrio_Text_4_1">#REF!</definedName>
    <definedName name="_a" localSheetId="4">#REF!</definedName>
    <definedName name="_a" localSheetId="9">#REF!</definedName>
    <definedName name="_a" localSheetId="8">#REF!</definedName>
    <definedName name="_a">#REF!</definedName>
    <definedName name="_a_4" localSheetId="4">#REF!</definedName>
    <definedName name="_a_4" localSheetId="9">#REF!</definedName>
    <definedName name="_a_4" localSheetId="8">#REF!</definedName>
    <definedName name="_a_4">#REF!</definedName>
    <definedName name="_a_6" localSheetId="4">#REF!</definedName>
    <definedName name="_a_6" localSheetId="9">#REF!</definedName>
    <definedName name="_a_6" localSheetId="8">#REF!</definedName>
    <definedName name="_a_6">#REF!</definedName>
    <definedName name="_a1" localSheetId="9" hidden="1">{#N/A,#N/A,FALSE,"VARIATIONS";#N/A,#N/A,FALSE,"BUDGET";#N/A,#N/A,FALSE,"CIVIL QNTY VAR";#N/A,#N/A,FALSE,"SUMMARY";#N/A,#N/A,FALSE,"MATERIAL VAR"}</definedName>
    <definedName name="_a1" localSheetId="0" hidden="1">{#N/A,#N/A,FALSE,"VARIATIONS";#N/A,#N/A,FALSE,"BUDGET";#N/A,#N/A,FALSE,"CIVIL QNTY VAR";#N/A,#N/A,FALSE,"SUMMARY";#N/A,#N/A,FALSE,"MATERIAL VAR"}</definedName>
    <definedName name="_a1" hidden="1">{#N/A,#N/A,FALSE,"VARIATIONS";#N/A,#N/A,FALSE,"BUDGET";#N/A,#N/A,FALSE,"CIVIL QNTY VAR";#N/A,#N/A,FALSE,"SUMMARY";#N/A,#N/A,FALSE,"MATERIAL VAR"}</definedName>
    <definedName name="_A100000" localSheetId="4">#REF!</definedName>
    <definedName name="_A100000" localSheetId="9">#REF!</definedName>
    <definedName name="_A100000" localSheetId="8">#REF!</definedName>
    <definedName name="_A100000">#REF!</definedName>
    <definedName name="_A31" localSheetId="4">#REF!</definedName>
    <definedName name="_A31" localSheetId="9">#REF!</definedName>
    <definedName name="_A31" localSheetId="8">#REF!</definedName>
    <definedName name="_A31">#REF!</definedName>
    <definedName name="_A655600" localSheetId="4">#REF!</definedName>
    <definedName name="_A655600" localSheetId="9">#REF!</definedName>
    <definedName name="_A655600" localSheetId="8">#REF!</definedName>
    <definedName name="_A655600">#REF!</definedName>
    <definedName name="_A65999" localSheetId="4">#REF!</definedName>
    <definedName name="_A65999" localSheetId="9">#REF!</definedName>
    <definedName name="_A65999" localSheetId="8">#REF!</definedName>
    <definedName name="_A65999">#REF!</definedName>
    <definedName name="_A70000" localSheetId="4">#REF!</definedName>
    <definedName name="_A70000" localSheetId="9">#REF!</definedName>
    <definedName name="_A70000" localSheetId="8">#REF!</definedName>
    <definedName name="_A70000">#REF!</definedName>
    <definedName name="_A80000" localSheetId="4">#REF!</definedName>
    <definedName name="_A80000" localSheetId="9">#REF!</definedName>
    <definedName name="_A80000" localSheetId="8">#REF!</definedName>
    <definedName name="_A80000">#REF!</definedName>
    <definedName name="_A99999" localSheetId="4">#REF!</definedName>
    <definedName name="_A99999" localSheetId="9">#REF!</definedName>
    <definedName name="_A99999" localSheetId="8">#REF!</definedName>
    <definedName name="_A99999">#REF!</definedName>
    <definedName name="_A999999" localSheetId="4">#REF!</definedName>
    <definedName name="_A999999" localSheetId="9">#REF!</definedName>
    <definedName name="_A999999" localSheetId="8">#REF!</definedName>
    <definedName name="_A999999">#REF!</definedName>
    <definedName name="_AA1" localSheetId="4">#REF!</definedName>
    <definedName name="_AA1" localSheetId="9">#REF!</definedName>
    <definedName name="_AA1" localSheetId="8">#REF!</definedName>
    <definedName name="_AA1">#REF!</definedName>
    <definedName name="_abb10" localSheetId="4">[13]Cost_Any.!#REF!</definedName>
    <definedName name="_abb10" localSheetId="9">[13]Cost_Any.!#REF!</definedName>
    <definedName name="_abb10" localSheetId="8">[13]Cost_Any.!#REF!</definedName>
    <definedName name="_abb10">[13]Cost_Any.!#REF!</definedName>
    <definedName name="_abb15" localSheetId="4">[13]Cost_Any.!#REF!</definedName>
    <definedName name="_abb15" localSheetId="9">[13]Cost_Any.!#REF!</definedName>
    <definedName name="_abb15" localSheetId="8">[13]Cost_Any.!#REF!</definedName>
    <definedName name="_abb15">[13]Cost_Any.!#REF!</definedName>
    <definedName name="_abb5" localSheetId="4">[13]Cost_Any.!#REF!</definedName>
    <definedName name="_abb5" localSheetId="9">[13]Cost_Any.!#REF!</definedName>
    <definedName name="_abb5" localSheetId="8">[13]Cost_Any.!#REF!</definedName>
    <definedName name="_abb5">[13]Cost_Any.!#REF!</definedName>
    <definedName name="_acb1250" localSheetId="4">[14]Costing!#REF!</definedName>
    <definedName name="_acb1250" localSheetId="9">[14]Costing!#REF!</definedName>
    <definedName name="_acb1250" localSheetId="8">[14]Costing!#REF!</definedName>
    <definedName name="_acb1250">[14]Costing!#REF!</definedName>
    <definedName name="_ACB2000" localSheetId="4">#REF!</definedName>
    <definedName name="_ACB2000" localSheetId="9">#REF!</definedName>
    <definedName name="_ACB2000" localSheetId="8">#REF!</definedName>
    <definedName name="_ACB2000">#REF!</definedName>
    <definedName name="_ACB2500" localSheetId="4">[14]Costing!#REF!</definedName>
    <definedName name="_ACB2500" localSheetId="9">[14]Costing!#REF!</definedName>
    <definedName name="_ACB2500" localSheetId="8">[14]Costing!#REF!</definedName>
    <definedName name="_ACB2500">[14]Costing!#REF!</definedName>
    <definedName name="_ACB3200" localSheetId="4">#REF!</definedName>
    <definedName name="_ACB3200" localSheetId="9">#REF!</definedName>
    <definedName name="_ACB3200" localSheetId="8">#REF!</definedName>
    <definedName name="_ACB3200">#REF!</definedName>
    <definedName name="_ACB630" localSheetId="4">[15]ABB!#REF!</definedName>
    <definedName name="_ACB630" localSheetId="9">[15]ABB!#REF!</definedName>
    <definedName name="_ACB630" localSheetId="8">[15]ABB!#REF!</definedName>
    <definedName name="_ACB630">[15]ABB!#REF!</definedName>
    <definedName name="_ACB80" localSheetId="4">#REF!</definedName>
    <definedName name="_ACB80" localSheetId="9">#REF!</definedName>
    <definedName name="_ACB80" localSheetId="8">#REF!</definedName>
    <definedName name="_ACB80">#REF!</definedName>
    <definedName name="_ACB800" localSheetId="4">#REF!</definedName>
    <definedName name="_ACB800" localSheetId="9">#REF!</definedName>
    <definedName name="_ACB800" localSheetId="8">#REF!</definedName>
    <definedName name="_ACB800">#REF!</definedName>
    <definedName name="_AFL1" localSheetId="4">#REF!</definedName>
    <definedName name="_AFL1" localSheetId="9">#REF!</definedName>
    <definedName name="_AFL1" localSheetId="8">#REF!</definedName>
    <definedName name="_AFL1">#REF!</definedName>
    <definedName name="_AFU250" localSheetId="4">[14]Costing!#REF!</definedName>
    <definedName name="_AFU250" localSheetId="9">[14]Costing!#REF!</definedName>
    <definedName name="_AFU250" localSheetId="8">[14]Costing!#REF!</definedName>
    <definedName name="_AFU250">[14]Costing!#REF!</definedName>
    <definedName name="_alt1" localSheetId="4">#REF!</definedName>
    <definedName name="_alt1" localSheetId="9">#REF!</definedName>
    <definedName name="_alt1" localSheetId="8">#REF!</definedName>
    <definedName name="_alt1">#REF!</definedName>
    <definedName name="_ALT2" localSheetId="4">#REF!</definedName>
    <definedName name="_ALT2" localSheetId="9">#REF!</definedName>
    <definedName name="_ALT2" localSheetId="8">#REF!</definedName>
    <definedName name="_ALT2">#REF!</definedName>
    <definedName name="_ALT3" localSheetId="4">#REF!</definedName>
    <definedName name="_ALT3" localSheetId="9">#REF!</definedName>
    <definedName name="_ALT3" localSheetId="8">#REF!</definedName>
    <definedName name="_ALT3">#REF!</definedName>
    <definedName name="_ALT4" localSheetId="4">#REF!</definedName>
    <definedName name="_ALT4" localSheetId="9">#REF!</definedName>
    <definedName name="_ALT4" localSheetId="8">#REF!</definedName>
    <definedName name="_ALT4">#REF!</definedName>
    <definedName name="_ans987" localSheetId="9" hidden="1">{#N/A,#N/A,FALSE,"VARIATIONS";#N/A,#N/A,FALSE,"BUDGET";#N/A,#N/A,FALSE,"CIVIL QNTY VAR";#N/A,#N/A,FALSE,"SUMMARY";#N/A,#N/A,FALSE,"MATERIAL VAR"}</definedName>
    <definedName name="_ans987" localSheetId="0" hidden="1">{#N/A,#N/A,FALSE,"VARIATIONS";#N/A,#N/A,FALSE,"BUDGET";#N/A,#N/A,FALSE,"CIVIL QNTY VAR";#N/A,#N/A,FALSE,"SUMMARY";#N/A,#N/A,FALSE,"MATERIAL VAR"}</definedName>
    <definedName name="_ans987" hidden="1">{#N/A,#N/A,FALSE,"VARIATIONS";#N/A,#N/A,FALSE,"BUDGET";#N/A,#N/A,FALSE,"CIVIL QNTY VAR";#N/A,#N/A,FALSE,"SUMMARY";#N/A,#N/A,FALSE,"MATERIAL VAR"}</definedName>
    <definedName name="_aoc1" localSheetId="4">'[7]01'!#REF!</definedName>
    <definedName name="_aoc1" localSheetId="9">'[7]01'!#REF!</definedName>
    <definedName name="_aoc1" localSheetId="8">'[7]01'!#REF!</definedName>
    <definedName name="_aoc1">'[7]01'!#REF!</definedName>
    <definedName name="_aoc10" localSheetId="4">#REF!</definedName>
    <definedName name="_aoc10" localSheetId="9">#REF!</definedName>
    <definedName name="_aoc10" localSheetId="8">#REF!</definedName>
    <definedName name="_aoc10">#REF!</definedName>
    <definedName name="_aoc11" localSheetId="4">#REF!</definedName>
    <definedName name="_aoc11" localSheetId="9">#REF!</definedName>
    <definedName name="_aoc11" localSheetId="8">#REF!</definedName>
    <definedName name="_aoc11">#REF!</definedName>
    <definedName name="_aoc2" localSheetId="4">'[7]02'!#REF!</definedName>
    <definedName name="_aoc2" localSheetId="9">'[7]02'!#REF!</definedName>
    <definedName name="_aoc2" localSheetId="8">'[7]02'!#REF!</definedName>
    <definedName name="_aoc2">'[7]02'!#REF!</definedName>
    <definedName name="_aoc3" localSheetId="4">'[7]03'!#REF!</definedName>
    <definedName name="_aoc3" localSheetId="9">'[7]03'!#REF!</definedName>
    <definedName name="_aoc3" localSheetId="8">'[7]03'!#REF!</definedName>
    <definedName name="_aoc3">'[7]03'!#REF!</definedName>
    <definedName name="_aoc4" localSheetId="4">'[7]04'!#REF!</definedName>
    <definedName name="_aoc4" localSheetId="9">'[7]04'!#REF!</definedName>
    <definedName name="_aoc4" localSheetId="8">'[7]04'!#REF!</definedName>
    <definedName name="_aoc4">'[7]04'!#REF!</definedName>
    <definedName name="_aoc7" localSheetId="4">#REF!</definedName>
    <definedName name="_aoc7" localSheetId="9">#REF!</definedName>
    <definedName name="_aoc7" localSheetId="8">#REF!</definedName>
    <definedName name="_aoc7">#REF!</definedName>
    <definedName name="_aoc8" localSheetId="4">#REF!</definedName>
    <definedName name="_aoc8" localSheetId="9">#REF!</definedName>
    <definedName name="_aoc8" localSheetId="8">#REF!</definedName>
    <definedName name="_aoc8">#REF!</definedName>
    <definedName name="_aoc9" localSheetId="4">#REF!</definedName>
    <definedName name="_aoc9" localSheetId="9">#REF!</definedName>
    <definedName name="_aoc9" localSheetId="8">#REF!</definedName>
    <definedName name="_aoc9">#REF!</definedName>
    <definedName name="_ATS1000" localSheetId="4">#REF!</definedName>
    <definedName name="_ATS1000" localSheetId="9">#REF!</definedName>
    <definedName name="_ATS1000" localSheetId="8">#REF!</definedName>
    <definedName name="_ATS1000">#REF!</definedName>
    <definedName name="_ATS1250" localSheetId="4">[13]Cost_Any.!#REF!</definedName>
    <definedName name="_ATS1250" localSheetId="9">[13]Cost_Any.!#REF!</definedName>
    <definedName name="_ATS1250" localSheetId="8">[13]Cost_Any.!#REF!</definedName>
    <definedName name="_ATS1250">[13]Cost_Any.!#REF!</definedName>
    <definedName name="_ATS150" localSheetId="4">#REF!</definedName>
    <definedName name="_ATS150" localSheetId="9">#REF!</definedName>
    <definedName name="_ATS150" localSheetId="8">#REF!</definedName>
    <definedName name="_ATS150">#REF!</definedName>
    <definedName name="_ATS250" localSheetId="4">[13]Cost_Any.!#REF!</definedName>
    <definedName name="_ATS250" localSheetId="9">[13]Cost_Any.!#REF!</definedName>
    <definedName name="_ATS250" localSheetId="8">[13]Cost_Any.!#REF!</definedName>
    <definedName name="_ATS250">[13]Cost_Any.!#REF!</definedName>
    <definedName name="_ATS260" localSheetId="4">#REF!</definedName>
    <definedName name="_ATS260" localSheetId="9">#REF!</definedName>
    <definedName name="_ATS260" localSheetId="8">#REF!</definedName>
    <definedName name="_ATS260">#REF!</definedName>
    <definedName name="_ATS400" localSheetId="4">#REF!</definedName>
    <definedName name="_ATS400" localSheetId="9">#REF!</definedName>
    <definedName name="_ATS400" localSheetId="8">#REF!</definedName>
    <definedName name="_ATS400">#REF!</definedName>
    <definedName name="_ATS600" localSheetId="4">#REF!</definedName>
    <definedName name="_ATS600" localSheetId="9">#REF!</definedName>
    <definedName name="_ATS600" localSheetId="8">#REF!</definedName>
    <definedName name="_ATS600">#REF!</definedName>
    <definedName name="_ATS630" localSheetId="4">#REF!</definedName>
    <definedName name="_ATS630" localSheetId="9">#REF!</definedName>
    <definedName name="_ATS630" localSheetId="8">#REF!</definedName>
    <definedName name="_ATS630">#REF!</definedName>
    <definedName name="_ATS800" localSheetId="4">#REF!</definedName>
    <definedName name="_ATS800" localSheetId="9">#REF!</definedName>
    <definedName name="_ATS800" localSheetId="8">#REF!</definedName>
    <definedName name="_ATS800">#REF!</definedName>
    <definedName name="_AXX1" localSheetId="4">#REF!</definedName>
    <definedName name="_AXX1" localSheetId="9">#REF!</definedName>
    <definedName name="_AXX1" localSheetId="8">#REF!</definedName>
    <definedName name="_AXX1">#REF!</definedName>
    <definedName name="_axx2" localSheetId="4">#REF!</definedName>
    <definedName name="_axx2" localSheetId="9">#REF!</definedName>
    <definedName name="_axx2" localSheetId="8">#REF!</definedName>
    <definedName name="_axx2">#REF!</definedName>
    <definedName name="_axx3" localSheetId="4">#REF!</definedName>
    <definedName name="_axx3" localSheetId="9">#REF!</definedName>
    <definedName name="_axx3" localSheetId="8">#REF!</definedName>
    <definedName name="_axx3">#REF!</definedName>
    <definedName name="_axx4" localSheetId="4">#REF!</definedName>
    <definedName name="_axx4" localSheetId="9">#REF!</definedName>
    <definedName name="_axx4" localSheetId="8">#REF!</definedName>
    <definedName name="_axx4">#REF!</definedName>
    <definedName name="_b111121" localSheetId="4">#REF!</definedName>
    <definedName name="_b111121" localSheetId="9">#REF!</definedName>
    <definedName name="_b111121" localSheetId="8">#REF!</definedName>
    <definedName name="_b111121">#REF!</definedName>
    <definedName name="_BLK1" localSheetId="4">#REF!</definedName>
    <definedName name="_BLK1" localSheetId="9">#REF!</definedName>
    <definedName name="_BLK1" localSheetId="8">#REF!</definedName>
    <definedName name="_BLK1">#REF!</definedName>
    <definedName name="_BLK2" localSheetId="4">#REF!</definedName>
    <definedName name="_BLK2" localSheetId="9">#REF!</definedName>
    <definedName name="_BLK2" localSheetId="8">#REF!</definedName>
    <definedName name="_BLK2">#REF!</definedName>
    <definedName name="_bol1" localSheetId="4">#REF!</definedName>
    <definedName name="_bol1" localSheetId="9">#REF!</definedName>
    <definedName name="_bol1" localSheetId="8">#REF!</definedName>
    <definedName name="_bol1">#REF!</definedName>
    <definedName name="_C" localSheetId="4">#REF!</definedName>
    <definedName name="_C" localSheetId="9">#REF!</definedName>
    <definedName name="_C" localSheetId="8">#REF!</definedName>
    <definedName name="_C">#REF!</definedName>
    <definedName name="_C___0" localSheetId="4">#REF!</definedName>
    <definedName name="_C___0" localSheetId="9">#REF!</definedName>
    <definedName name="_C___0" localSheetId="8">#REF!</definedName>
    <definedName name="_C___0">#REF!</definedName>
    <definedName name="_C___13" localSheetId="4">#REF!</definedName>
    <definedName name="_C___13" localSheetId="9">#REF!</definedName>
    <definedName name="_C___13" localSheetId="8">#REF!</definedName>
    <definedName name="_C___13">#REF!</definedName>
    <definedName name="_can430">40.73</definedName>
    <definedName name="_can435">43.3</definedName>
    <definedName name="_CON1" localSheetId="4">#REF!</definedName>
    <definedName name="_CON1" localSheetId="9">#REF!</definedName>
    <definedName name="_CON1" localSheetId="8">#REF!</definedName>
    <definedName name="_CON1">#REF!</definedName>
    <definedName name="_CON100" localSheetId="4">[15]GE!#REF!</definedName>
    <definedName name="_CON100" localSheetId="9">[15]GE!#REF!</definedName>
    <definedName name="_CON100" localSheetId="8">[15]GE!#REF!</definedName>
    <definedName name="_CON100">[15]GE!#REF!</definedName>
    <definedName name="_CON12" localSheetId="4">#REF!</definedName>
    <definedName name="_CON12" localSheetId="9">#REF!</definedName>
    <definedName name="_CON12" localSheetId="8">#REF!</definedName>
    <definedName name="_CON12">#REF!</definedName>
    <definedName name="_CON120" localSheetId="4">#REF!</definedName>
    <definedName name="_CON120" localSheetId="9">#REF!</definedName>
    <definedName name="_CON120" localSheetId="8">#REF!</definedName>
    <definedName name="_CON120">#REF!</definedName>
    <definedName name="_CON130" localSheetId="4">#REF!</definedName>
    <definedName name="_CON130" localSheetId="9">#REF!</definedName>
    <definedName name="_CON130" localSheetId="8">#REF!</definedName>
    <definedName name="_CON130">#REF!</definedName>
    <definedName name="_con145" localSheetId="4">[14]Costing!#REF!</definedName>
    <definedName name="_con145" localSheetId="9">[14]Costing!#REF!</definedName>
    <definedName name="_con145" localSheetId="8">[14]Costing!#REF!</definedName>
    <definedName name="_con145">[14]Costing!#REF!</definedName>
    <definedName name="_CON150">[16]Cost_any!$B$14</definedName>
    <definedName name="_CON16" localSheetId="4">#REF!</definedName>
    <definedName name="_CON16" localSheetId="9">#REF!</definedName>
    <definedName name="_CON16" localSheetId="8">#REF!</definedName>
    <definedName name="_CON16">#REF!</definedName>
    <definedName name="_CON160" localSheetId="4">#REF!</definedName>
    <definedName name="_CON160" localSheetId="9">#REF!</definedName>
    <definedName name="_CON160" localSheetId="8">#REF!</definedName>
    <definedName name="_CON160">#REF!</definedName>
    <definedName name="_CON2" localSheetId="4">#REF!</definedName>
    <definedName name="_CON2" localSheetId="9">#REF!</definedName>
    <definedName name="_CON2" localSheetId="8">#REF!</definedName>
    <definedName name="_CON2">#REF!</definedName>
    <definedName name="_CON200" localSheetId="4">#REF!</definedName>
    <definedName name="_CON200" localSheetId="9">#REF!</definedName>
    <definedName name="_CON200" localSheetId="8">#REF!</definedName>
    <definedName name="_CON200">#REF!</definedName>
    <definedName name="_CON300" localSheetId="4">#REF!</definedName>
    <definedName name="_CON300" localSheetId="9">#REF!</definedName>
    <definedName name="_CON300" localSheetId="8">#REF!</definedName>
    <definedName name="_CON300">#REF!</definedName>
    <definedName name="_CON32" localSheetId="4">#REF!</definedName>
    <definedName name="_CON32" localSheetId="9">#REF!</definedName>
    <definedName name="_CON32" localSheetId="8">#REF!</definedName>
    <definedName name="_CON32">#REF!</definedName>
    <definedName name="_CON40" localSheetId="4">#REF!</definedName>
    <definedName name="_CON40" localSheetId="9">#REF!</definedName>
    <definedName name="_CON40" localSheetId="8">#REF!</definedName>
    <definedName name="_CON40">#REF!</definedName>
    <definedName name="_CON400" localSheetId="4">#REF!</definedName>
    <definedName name="_CON400" localSheetId="9">#REF!</definedName>
    <definedName name="_CON400" localSheetId="8">#REF!</definedName>
    <definedName name="_CON400">#REF!</definedName>
    <definedName name="_CON60" localSheetId="4">#REF!</definedName>
    <definedName name="_CON60" localSheetId="9">#REF!</definedName>
    <definedName name="_CON60" localSheetId="8">#REF!</definedName>
    <definedName name="_CON60">#REF!</definedName>
    <definedName name="_CON63" localSheetId="4">#REF!</definedName>
    <definedName name="_CON63" localSheetId="9">#REF!</definedName>
    <definedName name="_CON63" localSheetId="8">#REF!</definedName>
    <definedName name="_CON63">#REF!</definedName>
    <definedName name="_con631" localSheetId="4">#REF!</definedName>
    <definedName name="_con631" localSheetId="9">#REF!</definedName>
    <definedName name="_con631" localSheetId="8">#REF!</definedName>
    <definedName name="_con631">#REF!</definedName>
    <definedName name="_con65" localSheetId="4">[17]Costing!#REF!</definedName>
    <definedName name="_con65" localSheetId="9">[17]Costing!#REF!</definedName>
    <definedName name="_con65" localSheetId="8">[17]Costing!#REF!</definedName>
    <definedName name="_con65">[17]Costing!#REF!</definedName>
    <definedName name="_CON70" localSheetId="4">#REF!</definedName>
    <definedName name="_CON70" localSheetId="9">#REF!</definedName>
    <definedName name="_CON70" localSheetId="8">#REF!</definedName>
    <definedName name="_CON70">#REF!</definedName>
    <definedName name="_CON80" localSheetId="4">#REF!</definedName>
    <definedName name="_CON80" localSheetId="9">#REF!</definedName>
    <definedName name="_CON80" localSheetId="8">#REF!</definedName>
    <definedName name="_CON80">#REF!</definedName>
    <definedName name="_COS100">[18]Costing!$D$39</definedName>
    <definedName name="_COS1000">[18]Costing!$B$39</definedName>
    <definedName name="_COS125" localSheetId="4">[14]Costing!#REF!</definedName>
    <definedName name="_COS125" localSheetId="9">[14]Costing!#REF!</definedName>
    <definedName name="_COS125" localSheetId="8">[14]Costing!#REF!</definedName>
    <definedName name="_COS125">[14]Costing!#REF!</definedName>
    <definedName name="_COS160" localSheetId="4">[14]Costing!#REF!</definedName>
    <definedName name="_COS160" localSheetId="9">[14]Costing!#REF!</definedName>
    <definedName name="_COS160" localSheetId="8">[14]Costing!#REF!</definedName>
    <definedName name="_COS160">[14]Costing!#REF!</definedName>
    <definedName name="_COS200" localSheetId="4">#REF!</definedName>
    <definedName name="_COS200" localSheetId="9">#REF!</definedName>
    <definedName name="_COS200" localSheetId="8">#REF!</definedName>
    <definedName name="_COS200">#REF!</definedName>
    <definedName name="_COS2500" localSheetId="4">[15]GE!#REF!</definedName>
    <definedName name="_COS2500" localSheetId="9">[15]GE!#REF!</definedName>
    <definedName name="_COS2500" localSheetId="8">[15]GE!#REF!</definedName>
    <definedName name="_COS2500">[15]GE!#REF!</definedName>
    <definedName name="_COS32" localSheetId="4">[14]Costing!#REF!</definedName>
    <definedName name="_COS32" localSheetId="9">[14]Costing!#REF!</definedName>
    <definedName name="_COS32" localSheetId="8">[14]Costing!#REF!</definedName>
    <definedName name="_COS32">[14]Costing!#REF!</definedName>
    <definedName name="_cos400" localSheetId="4">#REF!</definedName>
    <definedName name="_cos400" localSheetId="9">#REF!</definedName>
    <definedName name="_cos400" localSheetId="8">#REF!</definedName>
    <definedName name="_cos400">#REF!</definedName>
    <definedName name="_COS63" localSheetId="4">#REF!</definedName>
    <definedName name="_COS63" localSheetId="9">#REF!</definedName>
    <definedName name="_COS63" localSheetId="8">#REF!</definedName>
    <definedName name="_COS63">#REF!</definedName>
    <definedName name="_cos800" localSheetId="4">#REF!</definedName>
    <definedName name="_cos800" localSheetId="9">#REF!</definedName>
    <definedName name="_cos800" localSheetId="8">#REF!</definedName>
    <definedName name="_cos800">#REF!</definedName>
    <definedName name="_CUR1" localSheetId="4">#REF!</definedName>
    <definedName name="_CUR1" localSheetId="9">#REF!</definedName>
    <definedName name="_CUR1" localSheetId="8">#REF!</definedName>
    <definedName name="_CUR1">#REF!</definedName>
    <definedName name="_CUR2" localSheetId="4">#REF!</definedName>
    <definedName name="_CUR2" localSheetId="9">#REF!</definedName>
    <definedName name="_CUR2" localSheetId="8">#REF!</definedName>
    <definedName name="_CUR2">#REF!</definedName>
    <definedName name="_d1" localSheetId="9" hidden="1">{#N/A,#N/A,FALSE,"VARIATIONS";#N/A,#N/A,FALSE,"BUDGET";#N/A,#N/A,FALSE,"CIVIL QNTY VAR";#N/A,#N/A,FALSE,"SUMMARY";#N/A,#N/A,FALSE,"MATERIAL VAR"}</definedName>
    <definedName name="_d1" localSheetId="0" hidden="1">{#N/A,#N/A,FALSE,"VARIATIONS";#N/A,#N/A,FALSE,"BUDGET";#N/A,#N/A,FALSE,"CIVIL QNTY VAR";#N/A,#N/A,FALSE,"SUMMARY";#N/A,#N/A,FALSE,"MATERIAL VAR"}</definedName>
    <definedName name="_d1" hidden="1">{#N/A,#N/A,FALSE,"VARIATIONS";#N/A,#N/A,FALSE,"BUDGET";#N/A,#N/A,FALSE,"CIVIL QNTY VAR";#N/A,#N/A,FALSE,"SUMMARY";#N/A,#N/A,FALSE,"MATERIAL VAR"}</definedName>
    <definedName name="_DAT1" localSheetId="4">#REF!</definedName>
    <definedName name="_DAT1" localSheetId="9">#REF!</definedName>
    <definedName name="_DAT1" localSheetId="8">#REF!</definedName>
    <definedName name="_DAT1">#REF!</definedName>
    <definedName name="_DAT10" localSheetId="4">#REF!</definedName>
    <definedName name="_DAT10" localSheetId="9">#REF!</definedName>
    <definedName name="_DAT10" localSheetId="8">#REF!</definedName>
    <definedName name="_DAT10">#REF!</definedName>
    <definedName name="_DAT11" localSheetId="4">#REF!</definedName>
    <definedName name="_DAT11" localSheetId="9">#REF!</definedName>
    <definedName name="_DAT11" localSheetId="8">#REF!</definedName>
    <definedName name="_DAT11">#REF!</definedName>
    <definedName name="_DAT12" localSheetId="4">#REF!</definedName>
    <definedName name="_DAT12" localSheetId="9">#REF!</definedName>
    <definedName name="_DAT12" localSheetId="8">#REF!</definedName>
    <definedName name="_DAT12">#REF!</definedName>
    <definedName name="_DAT13" localSheetId="4">#REF!</definedName>
    <definedName name="_DAT13" localSheetId="9">#REF!</definedName>
    <definedName name="_DAT13" localSheetId="8">#REF!</definedName>
    <definedName name="_DAT13">#REF!</definedName>
    <definedName name="_DAT14" localSheetId="4">#REF!</definedName>
    <definedName name="_DAT14" localSheetId="9">#REF!</definedName>
    <definedName name="_DAT14" localSheetId="8">#REF!</definedName>
    <definedName name="_DAT14">#REF!</definedName>
    <definedName name="_DAT2" localSheetId="4">#REF!</definedName>
    <definedName name="_DAT2" localSheetId="9">#REF!</definedName>
    <definedName name="_DAT2" localSheetId="8">#REF!</definedName>
    <definedName name="_DAT2">#REF!</definedName>
    <definedName name="_DAT3" localSheetId="4">#REF!</definedName>
    <definedName name="_DAT3" localSheetId="9">#REF!</definedName>
    <definedName name="_DAT3" localSheetId="8">#REF!</definedName>
    <definedName name="_DAT3">#REF!</definedName>
    <definedName name="_DAT4" localSheetId="4">#REF!</definedName>
    <definedName name="_DAT4" localSheetId="9">#REF!</definedName>
    <definedName name="_DAT4" localSheetId="8">#REF!</definedName>
    <definedName name="_DAT4">#REF!</definedName>
    <definedName name="_DAT5" localSheetId="4">#REF!</definedName>
    <definedName name="_DAT5" localSheetId="9">#REF!</definedName>
    <definedName name="_DAT5" localSheetId="8">#REF!</definedName>
    <definedName name="_DAT5">#REF!</definedName>
    <definedName name="_DAT6" localSheetId="4">#REF!</definedName>
    <definedName name="_DAT6" localSheetId="9">#REF!</definedName>
    <definedName name="_DAT6" localSheetId="8">#REF!</definedName>
    <definedName name="_DAT6">#REF!</definedName>
    <definedName name="_DAT7" localSheetId="4">#REF!</definedName>
    <definedName name="_DAT7" localSheetId="9">#REF!</definedName>
    <definedName name="_DAT7" localSheetId="8">#REF!</definedName>
    <definedName name="_DAT7">#REF!</definedName>
    <definedName name="_DAT8" localSheetId="4">#REF!</definedName>
    <definedName name="_DAT8" localSheetId="9">#REF!</definedName>
    <definedName name="_DAT8" localSheetId="8">#REF!</definedName>
    <definedName name="_DAT8">#REF!</definedName>
    <definedName name="_DAT9" localSheetId="4">#REF!</definedName>
    <definedName name="_DAT9" localSheetId="9">#REF!</definedName>
    <definedName name="_DAT9" localSheetId="8">#REF!</definedName>
    <definedName name="_DAT9">#REF!</definedName>
    <definedName name="_dd5" localSheetId="9" hidden="1">{#N/A,#N/A,FALSE,"VARIATIONS";#N/A,#N/A,FALSE,"BUDGET";#N/A,#N/A,FALSE,"CIVIL QNTY VAR";#N/A,#N/A,FALSE,"SUMMARY";#N/A,#N/A,FALSE,"MATERIAL VAR"}</definedName>
    <definedName name="_dd5" localSheetId="0" hidden="1">{#N/A,#N/A,FALSE,"VARIATIONS";#N/A,#N/A,FALSE,"BUDGET";#N/A,#N/A,FALSE,"CIVIL QNTY VAR";#N/A,#N/A,FALSE,"SUMMARY";#N/A,#N/A,FALSE,"MATERIAL VAR"}</definedName>
    <definedName name="_dd5" hidden="1">{#N/A,#N/A,FALSE,"VARIATIONS";#N/A,#N/A,FALSE,"BUDGET";#N/A,#N/A,FALSE,"CIVIL QNTY VAR";#N/A,#N/A,FALSE,"SUMMARY";#N/A,#N/A,FALSE,"MATERIAL VAR"}</definedName>
    <definedName name="_dim4" localSheetId="4">#REF!</definedName>
    <definedName name="_dim4" localSheetId="9">#REF!</definedName>
    <definedName name="_dim4" localSheetId="8">#REF!</definedName>
    <definedName name="_dim4">#REF!</definedName>
    <definedName name="_Dist_Values" localSheetId="4" hidden="1">'[19]MN T.B.'!#REF!</definedName>
    <definedName name="_Dist_Values" localSheetId="9" hidden="1">'[19]MN T.B.'!#REF!</definedName>
    <definedName name="_Dist_Values" localSheetId="8" hidden="1">'[19]MN T.B.'!#REF!</definedName>
    <definedName name="_Dist_Values" hidden="1">'[19]MN T.B.'!#REF!</definedName>
    <definedName name="_DP4">[20]Costing!$I$179</definedName>
    <definedName name="_e" localSheetId="4">#REF!</definedName>
    <definedName name="_e" localSheetId="9">#REF!</definedName>
    <definedName name="_e" localSheetId="8">#REF!</definedName>
    <definedName name="_e">#REF!</definedName>
    <definedName name="_Eg616103" localSheetId="4">#REF!</definedName>
    <definedName name="_Eg616103" localSheetId="9">#REF!</definedName>
    <definedName name="_Eg616103" localSheetId="8">#REF!</definedName>
    <definedName name="_Eg616103">#REF!</definedName>
    <definedName name="_exc1" localSheetId="4">#REF!</definedName>
    <definedName name="_exc1" localSheetId="9">#REF!</definedName>
    <definedName name="_exc1" localSheetId="8">#REF!</definedName>
    <definedName name="_exc1">#REF!</definedName>
    <definedName name="_exc11" localSheetId="4">#REF!</definedName>
    <definedName name="_exc11" localSheetId="9">#REF!</definedName>
    <definedName name="_exc11" localSheetId="8">#REF!</definedName>
    <definedName name="_exc11">#REF!</definedName>
    <definedName name="_exc2" localSheetId="4">#REF!</definedName>
    <definedName name="_exc2" localSheetId="9">#REF!</definedName>
    <definedName name="_exc2" localSheetId="8">#REF!</definedName>
    <definedName name="_exc2">#REF!</definedName>
    <definedName name="_EXC3" localSheetId="4">#REF!</definedName>
    <definedName name="_EXC3" localSheetId="9">#REF!</definedName>
    <definedName name="_EXC3" localSheetId="8">#REF!</definedName>
    <definedName name="_EXC3">#REF!</definedName>
    <definedName name="_EXC4" localSheetId="4">#REF!</definedName>
    <definedName name="_EXC4" localSheetId="9">#REF!</definedName>
    <definedName name="_EXC4" localSheetId="8">#REF!</definedName>
    <definedName name="_EXC4">#REF!</definedName>
    <definedName name="_f1" localSheetId="9" hidden="1">{#N/A,#N/A,FALSE,"VARIATIONS";#N/A,#N/A,FALSE,"BUDGET";#N/A,#N/A,FALSE,"CIVIL QNTY VAR";#N/A,#N/A,FALSE,"SUMMARY";#N/A,#N/A,FALSE,"MATERIAL VAR"}</definedName>
    <definedName name="_f1" localSheetId="0" hidden="1">{#N/A,#N/A,FALSE,"VARIATIONS";#N/A,#N/A,FALSE,"BUDGET";#N/A,#N/A,FALSE,"CIVIL QNTY VAR";#N/A,#N/A,FALSE,"SUMMARY";#N/A,#N/A,FALSE,"MATERIAL VAR"}</definedName>
    <definedName name="_f1" hidden="1">{#N/A,#N/A,FALSE,"VARIATIONS";#N/A,#N/A,FALSE,"BUDGET";#N/A,#N/A,FALSE,"CIVIL QNTY VAR";#N/A,#N/A,FALSE,"SUMMARY";#N/A,#N/A,FALSE,"MATERIAL VAR"}</definedName>
    <definedName name="_fco2" localSheetId="9" hidden="1">{#N/A,#N/A,FALSE,"gc (2)"}</definedName>
    <definedName name="_fco2" localSheetId="0" hidden="1">{#N/A,#N/A,FALSE,"gc (2)"}</definedName>
    <definedName name="_fco2" hidden="1">{#N/A,#N/A,FALSE,"gc (2)"}</definedName>
    <definedName name="_fii1" localSheetId="4">#REF!</definedName>
    <definedName name="_fii1" localSheetId="9">#REF!</definedName>
    <definedName name="_fii1" localSheetId="8">#REF!</definedName>
    <definedName name="_fii1">#REF!</definedName>
    <definedName name="_fii2" localSheetId="4">#REF!</definedName>
    <definedName name="_fii2" localSheetId="9">#REF!</definedName>
    <definedName name="_fii2" localSheetId="8">#REF!</definedName>
    <definedName name="_fii2">#REF!</definedName>
    <definedName name="_fii3" localSheetId="4">#REF!</definedName>
    <definedName name="_fii3" localSheetId="9">#REF!</definedName>
    <definedName name="_fii3" localSheetId="8">#REF!</definedName>
    <definedName name="_fii3">#REF!</definedName>
    <definedName name="_Fill" localSheetId="4" hidden="1">#REF!</definedName>
    <definedName name="_Fill" localSheetId="9" hidden="1">#REF!</definedName>
    <definedName name="_Fill" localSheetId="8" hidden="1">#REF!</definedName>
    <definedName name="_Fill" hidden="1">#REF!</definedName>
    <definedName name="_xlnm._FilterDatabase" localSheetId="3" hidden="1">' ABS BH'!$A$5:$K$97</definedName>
    <definedName name="_xlnm._FilterDatabase" localSheetId="2" hidden="1">' ABS BH (2)'!$A$54:$N$54</definedName>
    <definedName name="_xlnm._FilterDatabase" localSheetId="4">#REF!</definedName>
    <definedName name="_xlnm._FilterDatabase" localSheetId="10" hidden="1">'BBS RA2'!$A$10:$U$679</definedName>
    <definedName name="_xlnm._FilterDatabase" localSheetId="9" hidden="1">'BBS-Boys Hostel'!$A$9:$X$678</definedName>
    <definedName name="_xlnm._FilterDatabase" localSheetId="6" hidden="1">'MB BH'!$A$7:$P$7</definedName>
    <definedName name="_xlnm._FilterDatabase" localSheetId="8" hidden="1">'MB GIRLS HOSTEL'!$A$6:$WVK$6</definedName>
    <definedName name="_xlnm._FilterDatabase">#REF!</definedName>
    <definedName name="_FIT1" localSheetId="4">#REF!</definedName>
    <definedName name="_FIT1" localSheetId="9">#REF!</definedName>
    <definedName name="_FIT1" localSheetId="8">#REF!</definedName>
    <definedName name="_FIT1">#REF!</definedName>
    <definedName name="_FIT2" localSheetId="4">#REF!</definedName>
    <definedName name="_FIT2" localSheetId="9">#REF!</definedName>
    <definedName name="_FIT2" localSheetId="8">#REF!</definedName>
    <definedName name="_FIT2">#REF!</definedName>
    <definedName name="_flx200" localSheetId="4">#REF!</definedName>
    <definedName name="_flx200" localSheetId="9">#REF!</definedName>
    <definedName name="_flx200" localSheetId="8">#REF!</definedName>
    <definedName name="_flx200">#REF!</definedName>
    <definedName name="_flx250" localSheetId="4">#REF!</definedName>
    <definedName name="_flx250" localSheetId="9">#REF!</definedName>
    <definedName name="_flx250" localSheetId="8">#REF!</definedName>
    <definedName name="_flx250">#REF!</definedName>
    <definedName name="_flx300" localSheetId="4">#REF!</definedName>
    <definedName name="_flx300" localSheetId="9">#REF!</definedName>
    <definedName name="_flx300" localSheetId="8">#REF!</definedName>
    <definedName name="_flx300">#REF!</definedName>
    <definedName name="_foo1" localSheetId="4">#REF!</definedName>
    <definedName name="_foo1" localSheetId="9">#REF!</definedName>
    <definedName name="_foo1" localSheetId="8">#REF!</definedName>
    <definedName name="_foo1">#REF!</definedName>
    <definedName name="_foo2" localSheetId="4">#REF!</definedName>
    <definedName name="_foo2" localSheetId="9">#REF!</definedName>
    <definedName name="_foo2" localSheetId="8">#REF!</definedName>
    <definedName name="_foo2">#REF!</definedName>
    <definedName name="_foo3" localSheetId="4">#REF!</definedName>
    <definedName name="_foo3" localSheetId="9">#REF!</definedName>
    <definedName name="_foo3" localSheetId="8">#REF!</definedName>
    <definedName name="_foo3">#REF!</definedName>
    <definedName name="_FOO4" localSheetId="4">#REF!</definedName>
    <definedName name="_FOO4" localSheetId="9">#REF!</definedName>
    <definedName name="_FOO4" localSheetId="8">#REF!</definedName>
    <definedName name="_FOO4">#REF!</definedName>
    <definedName name="_FP4">[20]Costing!$H$179</definedName>
    <definedName name="_GoBack" localSheetId="4">#REF!</definedName>
    <definedName name="_GoBack" localSheetId="9">#REF!</definedName>
    <definedName name="_GoBack" localSheetId="8">#REF!</definedName>
    <definedName name="_GoBack">#REF!</definedName>
    <definedName name="_hfi04" localSheetId="4">#REF!</definedName>
    <definedName name="_hfi04" localSheetId="9">#REF!</definedName>
    <definedName name="_hfi04" localSheetId="8">#REF!</definedName>
    <definedName name="_hfi04">#REF!</definedName>
    <definedName name="_hfi1" localSheetId="4">#REF!</definedName>
    <definedName name="_hfi1" localSheetId="9">#REF!</definedName>
    <definedName name="_hfi1" localSheetId="8">#REF!</definedName>
    <definedName name="_hfi1">#REF!</definedName>
    <definedName name="_hfi2" localSheetId="4">#REF!</definedName>
    <definedName name="_hfi2" localSheetId="9">#REF!</definedName>
    <definedName name="_hfi2" localSheetId="8">#REF!</definedName>
    <definedName name="_hfi2">#REF!</definedName>
    <definedName name="_hp10" localSheetId="9" hidden="1">{#N/A,#N/A,TRUE,"Front";#N/A,#N/A,TRUE,"Simple Letter";#N/A,#N/A,TRUE,"Inside";#N/A,#N/A,TRUE,"Contents";#N/A,#N/A,TRUE,"Basis";#N/A,#N/A,TRUE,"Inclusions";#N/A,#N/A,TRUE,"Exclusions";#N/A,#N/A,TRUE,"Areas";#N/A,#N/A,TRUE,"Summary";#N/A,#N/A,TRUE,"Detail"}</definedName>
    <definedName name="_hp10" localSheetId="0" hidden="1">{#N/A,#N/A,TRUE,"Front";#N/A,#N/A,TRUE,"Simple Letter";#N/A,#N/A,TRUE,"Inside";#N/A,#N/A,TRUE,"Contents";#N/A,#N/A,TRUE,"Basis";#N/A,#N/A,TRUE,"Inclusions";#N/A,#N/A,TRUE,"Exclusions";#N/A,#N/A,TRUE,"Areas";#N/A,#N/A,TRUE,"Summary";#N/A,#N/A,TRUE,"Detail"}</definedName>
    <definedName name="_hp10" hidden="1">{#N/A,#N/A,TRUE,"Front";#N/A,#N/A,TRUE,"Simple Letter";#N/A,#N/A,TRUE,"Inside";#N/A,#N/A,TRUE,"Contents";#N/A,#N/A,TRUE,"Basis";#N/A,#N/A,TRUE,"Inclusions";#N/A,#N/A,TRUE,"Exclusions";#N/A,#N/A,TRUE,"Areas";#N/A,#N/A,TRUE,"Summary";#N/A,#N/A,TRUE,"Detail"}</definedName>
    <definedName name="_I" localSheetId="4">#REF!</definedName>
    <definedName name="_I" localSheetId="9">#REF!</definedName>
    <definedName name="_I" localSheetId="8">#REF!</definedName>
    <definedName name="_I">#REF!</definedName>
    <definedName name="_INT200" localSheetId="4">#REF!</definedName>
    <definedName name="_INT200" localSheetId="9">#REF!</definedName>
    <definedName name="_INT200" localSheetId="8">#REF!</definedName>
    <definedName name="_INT200">#REF!</definedName>
    <definedName name="_INT400" localSheetId="4">#REF!</definedName>
    <definedName name="_INT400" localSheetId="9">#REF!</definedName>
    <definedName name="_INT400" localSheetId="8">#REF!</definedName>
    <definedName name="_INT400">#REF!</definedName>
    <definedName name="_ISO1000" localSheetId="4">[15]GE!#REF!</definedName>
    <definedName name="_ISO1000" localSheetId="9">[15]GE!#REF!</definedName>
    <definedName name="_ISO1000" localSheetId="8">[15]GE!#REF!</definedName>
    <definedName name="_ISO1000">[15]GE!#REF!</definedName>
    <definedName name="_ISO1200" localSheetId="4">#REF!</definedName>
    <definedName name="_ISO1200" localSheetId="9">#REF!</definedName>
    <definedName name="_ISO1200" localSheetId="8">#REF!</definedName>
    <definedName name="_ISO1200">#REF!</definedName>
    <definedName name="_ISO200" localSheetId="4">#REF!</definedName>
    <definedName name="_ISO200" localSheetId="9">#REF!</definedName>
    <definedName name="_ISO200" localSheetId="8">#REF!</definedName>
    <definedName name="_ISO200">#REF!</definedName>
    <definedName name="_ISO250" localSheetId="4">[14]Costing!#REF!</definedName>
    <definedName name="_ISO250" localSheetId="9">[14]Costing!#REF!</definedName>
    <definedName name="_ISO250" localSheetId="8">[14]Costing!#REF!</definedName>
    <definedName name="_ISO250">[14]Costing!#REF!</definedName>
    <definedName name="_ISO3150" localSheetId="4">[17]Costing!#REF!</definedName>
    <definedName name="_ISO3150" localSheetId="9">[17]Costing!#REF!</definedName>
    <definedName name="_ISO3150" localSheetId="8">[17]Costing!#REF!</definedName>
    <definedName name="_ISO3150">[17]Costing!#REF!</definedName>
    <definedName name="_ISO400" localSheetId="4">#REF!</definedName>
    <definedName name="_ISO400" localSheetId="9">#REF!</definedName>
    <definedName name="_ISO400" localSheetId="8">#REF!</definedName>
    <definedName name="_ISO400">#REF!</definedName>
    <definedName name="_ISO630" localSheetId="4">[13]Cost_Any.!#REF!</definedName>
    <definedName name="_ISO630" localSheetId="9">[13]Cost_Any.!#REF!</definedName>
    <definedName name="_ISO630" localSheetId="8">[13]Cost_Any.!#REF!</definedName>
    <definedName name="_ISO630">[13]Cost_Any.!#REF!</definedName>
    <definedName name="_ISO800" localSheetId="4">#REF!</definedName>
    <definedName name="_ISO800" localSheetId="9">#REF!</definedName>
    <definedName name="_ISO800" localSheetId="8">#REF!</definedName>
    <definedName name="_ISO800">#REF!</definedName>
    <definedName name="_jj300" localSheetId="4">#REF!</definedName>
    <definedName name="_jj300" localSheetId="9">#REF!</definedName>
    <definedName name="_jj300" localSheetId="8">#REF!</definedName>
    <definedName name="_jj300">#REF!</definedName>
    <definedName name="_K85167" localSheetId="4">#REF!</definedName>
    <definedName name="_K85167" localSheetId="9">#REF!</definedName>
    <definedName name="_K85167" localSheetId="8">#REF!</definedName>
    <definedName name="_K85167">#REF!</definedName>
    <definedName name="_Key1" localSheetId="4" hidden="1">#REF!</definedName>
    <definedName name="_Key1" localSheetId="9" hidden="1">#REF!</definedName>
    <definedName name="_Key1" localSheetId="8" hidden="1">#REF!</definedName>
    <definedName name="_Key1" hidden="1">#REF!</definedName>
    <definedName name="_Key2" localSheetId="4" hidden="1">#REF!</definedName>
    <definedName name="_Key2" localSheetId="9" hidden="1">#REF!</definedName>
    <definedName name="_Key2" localSheetId="8" hidden="1">#REF!</definedName>
    <definedName name="_Key2" hidden="1">#REF!</definedName>
    <definedName name="_Ki1" localSheetId="4">#REF!</definedName>
    <definedName name="_Ki1" localSheetId="9">#REF!</definedName>
    <definedName name="_Ki1" localSheetId="8">#REF!</definedName>
    <definedName name="_Ki1">#REF!</definedName>
    <definedName name="_Ki2" localSheetId="4">#REF!</definedName>
    <definedName name="_Ki2" localSheetId="9">#REF!</definedName>
    <definedName name="_Ki2" localSheetId="8">#REF!</definedName>
    <definedName name="_Ki2">#REF!</definedName>
    <definedName name="_KR34" localSheetId="4">[13]Cost_Any.!#REF!</definedName>
    <definedName name="_KR34" localSheetId="9">[13]Cost_Any.!#REF!</definedName>
    <definedName name="_KR34" localSheetId="8">[13]Cost_Any.!#REF!</definedName>
    <definedName name="_KR34">[13]Cost_Any.!#REF!</definedName>
    <definedName name="_l" localSheetId="4">#REF!</definedName>
    <definedName name="_l" localSheetId="9">#REF!</definedName>
    <definedName name="_l" localSheetId="8">#REF!</definedName>
    <definedName name="_l">#REF!</definedName>
    <definedName name="_l_4" localSheetId="4">#REF!</definedName>
    <definedName name="_l_4" localSheetId="9">#REF!</definedName>
    <definedName name="_l_4" localSheetId="8">#REF!</definedName>
    <definedName name="_l_4">#REF!</definedName>
    <definedName name="_l_6" localSheetId="4">#REF!</definedName>
    <definedName name="_l_6" localSheetId="9">#REF!</definedName>
    <definedName name="_l_6" localSheetId="8">#REF!</definedName>
    <definedName name="_l_6">#REF!</definedName>
    <definedName name="_m" localSheetId="4">#REF!</definedName>
    <definedName name="_m" localSheetId="9">#REF!</definedName>
    <definedName name="_m" localSheetId="8">#REF!</definedName>
    <definedName name="_m">#REF!</definedName>
    <definedName name="_M1" localSheetId="4">#REF!</definedName>
    <definedName name="_M1" localSheetId="9">#REF!</definedName>
    <definedName name="_M1" localSheetId="8">#REF!</definedName>
    <definedName name="_M1">#REF!</definedName>
    <definedName name="_M10" localSheetId="4">#REF!</definedName>
    <definedName name="_M10" localSheetId="9">#REF!</definedName>
    <definedName name="_M10" localSheetId="8">#REF!</definedName>
    <definedName name="_M10">#REF!</definedName>
    <definedName name="_M15" localSheetId="4">#REF!</definedName>
    <definedName name="_M15" localSheetId="9">#REF!</definedName>
    <definedName name="_M15" localSheetId="8">#REF!</definedName>
    <definedName name="_M15">#REF!</definedName>
    <definedName name="_MAN1" localSheetId="4">#REF!</definedName>
    <definedName name="_MAN1" localSheetId="9">#REF!</definedName>
    <definedName name="_MAN1" localSheetId="8">#REF!</definedName>
    <definedName name="_MAN1">#REF!</definedName>
    <definedName name="_MatInverse_In" localSheetId="4" hidden="1">#REF!</definedName>
    <definedName name="_MatInverse_In" localSheetId="9" hidden="1">#REF!</definedName>
    <definedName name="_MatInverse_In" localSheetId="8" hidden="1">#REF!</definedName>
    <definedName name="_MatInverse_In" hidden="1">#REF!</definedName>
    <definedName name="_MB100" localSheetId="4">#REF!</definedName>
    <definedName name="_MB100" localSheetId="9">#REF!</definedName>
    <definedName name="_MB100" localSheetId="8">#REF!</definedName>
    <definedName name="_MB100">#REF!</definedName>
    <definedName name="_MB1000" localSheetId="4">[13]Cost_Any.!#REF!</definedName>
    <definedName name="_MB1000" localSheetId="9">[13]Cost_Any.!#REF!</definedName>
    <definedName name="_MB1000" localSheetId="8">[13]Cost_Any.!#REF!</definedName>
    <definedName name="_MB1000">[13]Cost_Any.!#REF!</definedName>
    <definedName name="_MB1001" localSheetId="4">[13]Cost_Any.!#REF!</definedName>
    <definedName name="_MB1001" localSheetId="9">[13]Cost_Any.!#REF!</definedName>
    <definedName name="_MB1001" localSheetId="8">[13]Cost_Any.!#REF!</definedName>
    <definedName name="_MB1001">[13]Cost_Any.!#REF!</definedName>
    <definedName name="_MB1200" localSheetId="4">#REF!</definedName>
    <definedName name="_MB1200" localSheetId="9">#REF!</definedName>
    <definedName name="_MB1200" localSheetId="8">#REF!</definedName>
    <definedName name="_MB1200">#REF!</definedName>
    <definedName name="_MB125" localSheetId="4">#REF!</definedName>
    <definedName name="_MB125" localSheetId="9">#REF!</definedName>
    <definedName name="_MB125" localSheetId="8">#REF!</definedName>
    <definedName name="_MB125">#REF!</definedName>
    <definedName name="_MB160" localSheetId="4">#REF!</definedName>
    <definedName name="_MB160" localSheetId="9">#REF!</definedName>
    <definedName name="_MB160" localSheetId="8">#REF!</definedName>
    <definedName name="_MB160">#REF!</definedName>
    <definedName name="_MB200" localSheetId="4">#REF!</definedName>
    <definedName name="_MB200" localSheetId="9">#REF!</definedName>
    <definedName name="_MB200" localSheetId="8">#REF!</definedName>
    <definedName name="_MB200">#REF!</definedName>
    <definedName name="_MB250" localSheetId="4">#REF!</definedName>
    <definedName name="_MB250" localSheetId="9">#REF!</definedName>
    <definedName name="_MB250" localSheetId="8">#REF!</definedName>
    <definedName name="_MB250">#REF!</definedName>
    <definedName name="_MB400" localSheetId="4">#REF!</definedName>
    <definedName name="_MB400" localSheetId="9">#REF!</definedName>
    <definedName name="_MB400" localSheetId="8">#REF!</definedName>
    <definedName name="_MB400">#REF!</definedName>
    <definedName name="_MB63" localSheetId="4">#REF!</definedName>
    <definedName name="_MB63" localSheetId="9">#REF!</definedName>
    <definedName name="_MB63" localSheetId="8">#REF!</definedName>
    <definedName name="_MB63">#REF!</definedName>
    <definedName name="_MB630" localSheetId="4">#REF!</definedName>
    <definedName name="_MB630" localSheetId="9">#REF!</definedName>
    <definedName name="_MB630" localSheetId="8">#REF!</definedName>
    <definedName name="_MB630">#REF!</definedName>
    <definedName name="_MB800" localSheetId="4">#REF!</definedName>
    <definedName name="_MB800" localSheetId="9">#REF!</definedName>
    <definedName name="_MB800" localSheetId="8">#REF!</definedName>
    <definedName name="_MB800">#REF!</definedName>
    <definedName name="_md8" localSheetId="4">#REF!</definedName>
    <definedName name="_md8" localSheetId="9">#REF!</definedName>
    <definedName name="_md8" localSheetId="8">#REF!</definedName>
    <definedName name="_md8">#REF!</definedName>
    <definedName name="_ME2" localSheetId="4">[1]電気設備表!#REF!</definedName>
    <definedName name="_ME2" localSheetId="9">[1]電気設備表!#REF!</definedName>
    <definedName name="_ME2" localSheetId="8">[1]電気設備表!#REF!</definedName>
    <definedName name="_ME2">[1]電気設備表!#REF!</definedName>
    <definedName name="_ME3" localSheetId="4">[1]電気設備表!#REF!</definedName>
    <definedName name="_ME3" localSheetId="9">[1]電気設備表!#REF!</definedName>
    <definedName name="_ME3" localSheetId="8">[1]電気設備表!#REF!</definedName>
    <definedName name="_ME3">[1]電気設備表!#REF!</definedName>
    <definedName name="_MG10" localSheetId="4">#REF!</definedName>
    <definedName name="_MG10" localSheetId="9">#REF!</definedName>
    <definedName name="_MG10" localSheetId="8">#REF!</definedName>
    <definedName name="_MG10">#REF!</definedName>
    <definedName name="_MG15" localSheetId="4">#REF!</definedName>
    <definedName name="_MG15" localSheetId="9">#REF!</definedName>
    <definedName name="_MG15" localSheetId="8">#REF!</definedName>
    <definedName name="_MG15">#REF!</definedName>
    <definedName name="_MG5" localSheetId="4">#REF!</definedName>
    <definedName name="_MG5" localSheetId="9">#REF!</definedName>
    <definedName name="_MG5" localSheetId="8">#REF!</definedName>
    <definedName name="_MG5">#REF!</definedName>
    <definedName name="_MI" localSheetId="4">[21]見積書!#REF!</definedName>
    <definedName name="_MI" localSheetId="9">[21]見積書!#REF!</definedName>
    <definedName name="_MI" localSheetId="8">[21]見積書!#REF!</definedName>
    <definedName name="_MI">[21]見積書!#REF!</definedName>
    <definedName name="_mi1" localSheetId="4">#REF!</definedName>
    <definedName name="_mi1" localSheetId="9">#REF!</definedName>
    <definedName name="_mi1" localSheetId="8">#REF!</definedName>
    <definedName name="_mi1">#REF!</definedName>
    <definedName name="_mi2" localSheetId="4">#REF!</definedName>
    <definedName name="_mi2" localSheetId="9">#REF!</definedName>
    <definedName name="_mi2" localSheetId="8">#REF!</definedName>
    <definedName name="_mi2">#REF!</definedName>
    <definedName name="_mi3" localSheetId="4">#REF!</definedName>
    <definedName name="_mi3" localSheetId="9">#REF!</definedName>
    <definedName name="_mi3" localSheetId="8">#REF!</definedName>
    <definedName name="_mi3">#REF!</definedName>
    <definedName name="_mi8" localSheetId="4">#REF!</definedName>
    <definedName name="_mi8" localSheetId="9">#REF!</definedName>
    <definedName name="_mi8" localSheetId="8">#REF!</definedName>
    <definedName name="_mi8">#REF!</definedName>
    <definedName name="_ML" localSheetId="4">#REF!</definedName>
    <definedName name="_ML" localSheetId="9">#REF!</definedName>
    <definedName name="_ML" localSheetId="8">#REF!</definedName>
    <definedName name="_ML">#REF!</definedName>
    <definedName name="_ML1">'[22]Material List '!$M$4:$M$6</definedName>
    <definedName name="_ML2" localSheetId="4">#REF!</definedName>
    <definedName name="_ML2" localSheetId="9">#REF!</definedName>
    <definedName name="_ML2" localSheetId="8">#REF!</definedName>
    <definedName name="_ML2">#REF!</definedName>
    <definedName name="_MM" localSheetId="4">#REF!</definedName>
    <definedName name="_MM" localSheetId="9">#REF!</definedName>
    <definedName name="_MM" localSheetId="8">#REF!</definedName>
    <definedName name="_MM">#REF!</definedName>
    <definedName name="_MP1" localSheetId="4">#REF!</definedName>
    <definedName name="_MP1" localSheetId="9">#REF!</definedName>
    <definedName name="_MP1" localSheetId="8">#REF!</definedName>
    <definedName name="_MP1">#REF!</definedName>
    <definedName name="_MP10" localSheetId="4">#REF!</definedName>
    <definedName name="_MP10" localSheetId="9">#REF!</definedName>
    <definedName name="_MP10" localSheetId="8">#REF!</definedName>
    <definedName name="_MP10">#REF!</definedName>
    <definedName name="_MP11" localSheetId="4">#REF!</definedName>
    <definedName name="_MP11" localSheetId="9">#REF!</definedName>
    <definedName name="_MP11" localSheetId="8">#REF!</definedName>
    <definedName name="_MP11">#REF!</definedName>
    <definedName name="_MP15" localSheetId="4">#REF!</definedName>
    <definedName name="_MP15" localSheetId="9">#REF!</definedName>
    <definedName name="_MP15" localSheetId="8">#REF!</definedName>
    <definedName name="_MP15">#REF!</definedName>
    <definedName name="_MP20" localSheetId="4">[14]Costing!#REF!</definedName>
    <definedName name="_MP20" localSheetId="9">[14]Costing!#REF!</definedName>
    <definedName name="_MP20" localSheetId="8">[14]Costing!#REF!</definedName>
    <definedName name="_MP20">[14]Costing!#REF!</definedName>
    <definedName name="_MP25" localSheetId="4">[14]Costing!#REF!</definedName>
    <definedName name="_MP25" localSheetId="9">[14]Costing!#REF!</definedName>
    <definedName name="_MP25" localSheetId="8">[14]Costing!#REF!</definedName>
    <definedName name="_MP25">[14]Costing!#REF!</definedName>
    <definedName name="_mp32" localSheetId="4">[14]Costing!#REF!</definedName>
    <definedName name="_mp32" localSheetId="9">[14]Costing!#REF!</definedName>
    <definedName name="_mp32" localSheetId="8">[14]Costing!#REF!</definedName>
    <definedName name="_mp32">[14]Costing!#REF!</definedName>
    <definedName name="_MP4" localSheetId="4">[13]Cost_Any.!#REF!</definedName>
    <definedName name="_MP4" localSheetId="9">[13]Cost_Any.!#REF!</definedName>
    <definedName name="_MP4" localSheetId="8">[13]Cost_Any.!#REF!</definedName>
    <definedName name="_MP4">[13]Cost_Any.!#REF!</definedName>
    <definedName name="_mp45" localSheetId="4">[14]Costing!#REF!</definedName>
    <definedName name="_mp45" localSheetId="9">[14]Costing!#REF!</definedName>
    <definedName name="_mp45" localSheetId="8">[14]Costing!#REF!</definedName>
    <definedName name="_mp45">[14]Costing!#REF!</definedName>
    <definedName name="_MP5" localSheetId="4">#REF!</definedName>
    <definedName name="_MP5" localSheetId="9">#REF!</definedName>
    <definedName name="_MP5" localSheetId="8">#REF!</definedName>
    <definedName name="_MP5">#REF!</definedName>
    <definedName name="_MR10" localSheetId="9"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MR10"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MR1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MRP2" localSheetId="4">#REF!</definedName>
    <definedName name="_MRP2" localSheetId="9">#REF!</definedName>
    <definedName name="_MRP2" localSheetId="8">#REF!</definedName>
    <definedName name="_MRP2">#REF!</definedName>
    <definedName name="_MS2" localSheetId="4">#REF!</definedName>
    <definedName name="_MS2" localSheetId="9">#REF!</definedName>
    <definedName name="_MS2" localSheetId="8">#REF!</definedName>
    <definedName name="_MS2">#REF!</definedName>
    <definedName name="_nn1" localSheetId="4">#REF!</definedName>
    <definedName name="_nn1" localSheetId="9">#REF!</definedName>
    <definedName name="_nn1" localSheetId="8">#REF!</definedName>
    <definedName name="_nn1">#REF!</definedName>
    <definedName name="_nn2" localSheetId="4">#REF!</definedName>
    <definedName name="_nn2" localSheetId="9">#REF!</definedName>
    <definedName name="_nn2" localSheetId="8">#REF!</definedName>
    <definedName name="_nn2">#REF!</definedName>
    <definedName name="_o" localSheetId="4">#REF!</definedName>
    <definedName name="_o" localSheetId="9">#REF!</definedName>
    <definedName name="_o" localSheetId="8">#REF!</definedName>
    <definedName name="_o">#REF!</definedName>
    <definedName name="_OLR1" localSheetId="4">#REF!</definedName>
    <definedName name="_OLR1" localSheetId="9">#REF!</definedName>
    <definedName name="_OLR1" localSheetId="8">#REF!</definedName>
    <definedName name="_OLR1">#REF!</definedName>
    <definedName name="_OLR2" localSheetId="4">#REF!</definedName>
    <definedName name="_OLR2" localSheetId="9">#REF!</definedName>
    <definedName name="_OLR2" localSheetId="8">#REF!</definedName>
    <definedName name="_OLR2">#REF!</definedName>
    <definedName name="_OLR3" localSheetId="4">#REF!</definedName>
    <definedName name="_OLR3" localSheetId="9">#REF!</definedName>
    <definedName name="_OLR3" localSheetId="8">#REF!</definedName>
    <definedName name="_OLR3">#REF!</definedName>
    <definedName name="_Order1" hidden="1">255</definedName>
    <definedName name="_Order2" hidden="1">0</definedName>
    <definedName name="_p" localSheetId="4">#REF!</definedName>
    <definedName name="_p" localSheetId="9">#REF!</definedName>
    <definedName name="_p" localSheetId="8">#REF!</definedName>
    <definedName name="_p">#REF!</definedName>
    <definedName name="_p_4" localSheetId="4">#REF!</definedName>
    <definedName name="_p_4" localSheetId="9">#REF!</definedName>
    <definedName name="_p_4" localSheetId="8">#REF!</definedName>
    <definedName name="_p_4">#REF!</definedName>
    <definedName name="_p_6" localSheetId="4">#REF!</definedName>
    <definedName name="_p_6" localSheetId="9">#REF!</definedName>
    <definedName name="_p_6" localSheetId="8">#REF!</definedName>
    <definedName name="_p_6">#REF!</definedName>
    <definedName name="_Parse_Out" localSheetId="4" hidden="1">#REF!</definedName>
    <definedName name="_Parse_Out" localSheetId="9" hidden="1">#REF!</definedName>
    <definedName name="_Parse_Out" localSheetId="8" hidden="1">#REF!</definedName>
    <definedName name="_Parse_Out" hidden="1">#REF!</definedName>
    <definedName name="_PB1" localSheetId="4">#REF!</definedName>
    <definedName name="_PB1" localSheetId="9">#REF!</definedName>
    <definedName name="_PB1" localSheetId="8">#REF!</definedName>
    <definedName name="_PB1">#REF!</definedName>
    <definedName name="_pcc1" localSheetId="4">#REF!</definedName>
    <definedName name="_pcc1" localSheetId="9">#REF!</definedName>
    <definedName name="_pcc1" localSheetId="8">#REF!</definedName>
    <definedName name="_pcc1">#REF!</definedName>
    <definedName name="_pcc2" localSheetId="4">#REF!</definedName>
    <definedName name="_pcc2" localSheetId="9">#REF!</definedName>
    <definedName name="_pcc2" localSheetId="8">#REF!</definedName>
    <definedName name="_pcc2">#REF!</definedName>
    <definedName name="_pcc3" localSheetId="4">#REF!</definedName>
    <definedName name="_pcc3" localSheetId="9">#REF!</definedName>
    <definedName name="_pcc3" localSheetId="8">#REF!</definedName>
    <definedName name="_pcc3">#REF!</definedName>
    <definedName name="_PCC4" localSheetId="4">#REF!</definedName>
    <definedName name="_PCC4" localSheetId="9">#REF!</definedName>
    <definedName name="_PCC4" localSheetId="8">#REF!</definedName>
    <definedName name="_PCC4">#REF!</definedName>
    <definedName name="_ph1">[3]NPV!$B$40</definedName>
    <definedName name="_plb1" localSheetId="4">#REF!</definedName>
    <definedName name="_plb1" localSheetId="9">#REF!</definedName>
    <definedName name="_plb1" localSheetId="8">#REF!</definedName>
    <definedName name="_plb1">#REF!</definedName>
    <definedName name="_plb2" localSheetId="4">#REF!</definedName>
    <definedName name="_plb2" localSheetId="9">#REF!</definedName>
    <definedName name="_plb2" localSheetId="8">#REF!</definedName>
    <definedName name="_plb2">#REF!</definedName>
    <definedName name="_plb3" localSheetId="4">#REF!</definedName>
    <definedName name="_plb3" localSheetId="9">#REF!</definedName>
    <definedName name="_plb3" localSheetId="8">#REF!</definedName>
    <definedName name="_plb3">#REF!</definedName>
    <definedName name="_plb4" localSheetId="4">#REF!</definedName>
    <definedName name="_plb4" localSheetId="9">#REF!</definedName>
    <definedName name="_plb4" localSheetId="8">#REF!</definedName>
    <definedName name="_plb4">#REF!</definedName>
    <definedName name="_PM111" localSheetId="4">#REF!</definedName>
    <definedName name="_PM111" localSheetId="9">#REF!</definedName>
    <definedName name="_PM111" localSheetId="8">#REF!</definedName>
    <definedName name="_PM111">#REF!</definedName>
    <definedName name="_pp1">[14]Mat.Cost!$B$52</definedName>
    <definedName name="_pp10" localSheetId="4">[14]Mat.Cost!#REF!</definedName>
    <definedName name="_pp10" localSheetId="9">[14]Mat.Cost!#REF!</definedName>
    <definedName name="_pp10" localSheetId="8">[14]Mat.Cost!#REF!</definedName>
    <definedName name="_pp10">[14]Mat.Cost!#REF!</definedName>
    <definedName name="_pp2" localSheetId="4">[14]Mat.Cost!#REF!</definedName>
    <definedName name="_pp2" localSheetId="9">[14]Mat.Cost!#REF!</definedName>
    <definedName name="_pp2" localSheetId="8">[14]Mat.Cost!#REF!</definedName>
    <definedName name="_pp2">[14]Mat.Cost!#REF!</definedName>
    <definedName name="_pp3" localSheetId="4">[14]Mat.Cost!#REF!</definedName>
    <definedName name="_pp3" localSheetId="9">[14]Mat.Cost!#REF!</definedName>
    <definedName name="_pp3" localSheetId="8">[14]Mat.Cost!#REF!</definedName>
    <definedName name="_pp3">[14]Mat.Cost!#REF!</definedName>
    <definedName name="_pp4" localSheetId="4">[14]Mat.Cost!#REF!</definedName>
    <definedName name="_pp4" localSheetId="9">[14]Mat.Cost!#REF!</definedName>
    <definedName name="_pp4" localSheetId="8">[14]Mat.Cost!#REF!</definedName>
    <definedName name="_pp4">[14]Mat.Cost!#REF!</definedName>
    <definedName name="_pp5" localSheetId="4">[14]Mat.Cost!#REF!</definedName>
    <definedName name="_pp5" localSheetId="9">[14]Mat.Cost!#REF!</definedName>
    <definedName name="_pp5" localSheetId="8">[14]Mat.Cost!#REF!</definedName>
    <definedName name="_pp5">[14]Mat.Cost!#REF!</definedName>
    <definedName name="_pp6" localSheetId="4">[14]Mat.Cost!#REF!</definedName>
    <definedName name="_pp6" localSheetId="9">[14]Mat.Cost!#REF!</definedName>
    <definedName name="_pp6" localSheetId="8">[14]Mat.Cost!#REF!</definedName>
    <definedName name="_pp6">[14]Mat.Cost!#REF!</definedName>
    <definedName name="_pp7" localSheetId="4">[14]Mat.Cost!#REF!</definedName>
    <definedName name="_pp7" localSheetId="9">[14]Mat.Cost!#REF!</definedName>
    <definedName name="_pp7" localSheetId="8">[14]Mat.Cost!#REF!</definedName>
    <definedName name="_pp7">[14]Mat.Cost!#REF!</definedName>
    <definedName name="_pp8" localSheetId="4">[14]Mat.Cost!#REF!</definedName>
    <definedName name="_pp8" localSheetId="9">[14]Mat.Cost!#REF!</definedName>
    <definedName name="_pp8" localSheetId="8">[14]Mat.Cost!#REF!</definedName>
    <definedName name="_pp8">[14]Mat.Cost!#REF!</definedName>
    <definedName name="_pp9" localSheetId="4">[14]Mat.Cost!#REF!</definedName>
    <definedName name="_pp9" localSheetId="9">[14]Mat.Cost!#REF!</definedName>
    <definedName name="_pp9" localSheetId="8">[14]Mat.Cost!#REF!</definedName>
    <definedName name="_pp9">[14]Mat.Cost!#REF!</definedName>
    <definedName name="_PSY2" localSheetId="4">#REF!</definedName>
    <definedName name="_PSY2" localSheetId="9">#REF!</definedName>
    <definedName name="_PSY2" localSheetId="8">#REF!</definedName>
    <definedName name="_PSY2">#REF!</definedName>
    <definedName name="_ram1" localSheetId="9" hidden="1">{#N/A,#N/A,FALSE,"gc (2)"}</definedName>
    <definedName name="_ram1" localSheetId="0" hidden="1">{#N/A,#N/A,FALSE,"gc (2)"}</definedName>
    <definedName name="_ram1" hidden="1">{#N/A,#N/A,FALSE,"gc (2)"}</definedName>
    <definedName name="_RAT1" localSheetId="4">#REF!</definedName>
    <definedName name="_RAT1" localSheetId="9">#REF!</definedName>
    <definedName name="_RAT1" localSheetId="8">#REF!</definedName>
    <definedName name="_RAT1">#REF!</definedName>
    <definedName name="_RAT2" localSheetId="4">#REF!</definedName>
    <definedName name="_RAT2" localSheetId="9">#REF!</definedName>
    <definedName name="_RAT2" localSheetId="8">#REF!</definedName>
    <definedName name="_RAT2">#REF!</definedName>
    <definedName name="_rim4" localSheetId="4">#REF!</definedName>
    <definedName name="_rim4" localSheetId="9">#REF!</definedName>
    <definedName name="_rim4" localSheetId="8">#REF!</definedName>
    <definedName name="_rim4">#REF!</definedName>
    <definedName name="_rm4" localSheetId="4">#REF!</definedName>
    <definedName name="_rm4" localSheetId="9">#REF!</definedName>
    <definedName name="_rm4" localSheetId="8">#REF!</definedName>
    <definedName name="_rm4">#REF!</definedName>
    <definedName name="_rt1">[14]Mat.Cost!$G$163</definedName>
    <definedName name="_rt10" localSheetId="4">[14]Mat.Cost!#REF!</definedName>
    <definedName name="_rt10" localSheetId="9">[14]Mat.Cost!#REF!</definedName>
    <definedName name="_rt10" localSheetId="8">[14]Mat.Cost!#REF!</definedName>
    <definedName name="_rt10">[14]Mat.Cost!#REF!</definedName>
    <definedName name="_rt2" localSheetId="4">[14]Mat.Cost!#REF!</definedName>
    <definedName name="_rt2" localSheetId="9">[14]Mat.Cost!#REF!</definedName>
    <definedName name="_rt2" localSheetId="8">[14]Mat.Cost!#REF!</definedName>
    <definedName name="_rt2">[14]Mat.Cost!#REF!</definedName>
    <definedName name="_rt3" localSheetId="4">[14]Mat.Cost!#REF!</definedName>
    <definedName name="_rt3" localSheetId="9">[14]Mat.Cost!#REF!</definedName>
    <definedName name="_rt3" localSheetId="8">[14]Mat.Cost!#REF!</definedName>
    <definedName name="_rt3">[14]Mat.Cost!#REF!</definedName>
    <definedName name="_rt4" localSheetId="4">[14]Mat.Cost!#REF!</definedName>
    <definedName name="_rt4" localSheetId="9">[14]Mat.Cost!#REF!</definedName>
    <definedName name="_rt4" localSheetId="8">[14]Mat.Cost!#REF!</definedName>
    <definedName name="_rt4">[14]Mat.Cost!#REF!</definedName>
    <definedName name="_rt5" localSheetId="4">[14]Mat.Cost!#REF!</definedName>
    <definedName name="_rt5" localSheetId="9">[14]Mat.Cost!#REF!</definedName>
    <definedName name="_rt5" localSheetId="8">[14]Mat.Cost!#REF!</definedName>
    <definedName name="_rt5">[14]Mat.Cost!#REF!</definedName>
    <definedName name="_rt6" localSheetId="4">[14]Mat.Cost!#REF!</definedName>
    <definedName name="_rt6" localSheetId="9">[14]Mat.Cost!#REF!</definedName>
    <definedName name="_rt6" localSheetId="8">[14]Mat.Cost!#REF!</definedName>
    <definedName name="_rt6">[14]Mat.Cost!#REF!</definedName>
    <definedName name="_rt7" localSheetId="4">[14]Mat.Cost!#REF!</definedName>
    <definedName name="_rt7" localSheetId="9">[14]Mat.Cost!#REF!</definedName>
    <definedName name="_rt7" localSheetId="8">[14]Mat.Cost!#REF!</definedName>
    <definedName name="_rt7">[14]Mat.Cost!#REF!</definedName>
    <definedName name="_rt8" localSheetId="4">[14]Mat.Cost!#REF!</definedName>
    <definedName name="_rt8" localSheetId="9">[14]Mat.Cost!#REF!</definedName>
    <definedName name="_rt8" localSheetId="8">[14]Mat.Cost!#REF!</definedName>
    <definedName name="_rt8">[14]Mat.Cost!#REF!</definedName>
    <definedName name="_rt9" localSheetId="4">[14]Mat.Cost!#REF!</definedName>
    <definedName name="_rt9" localSheetId="9">[14]Mat.Cost!#REF!</definedName>
    <definedName name="_rt9" localSheetId="8">[14]Mat.Cost!#REF!</definedName>
    <definedName name="_rt9">[14]Mat.Cost!#REF!</definedName>
    <definedName name="_ru2">[23]Sheet2!$E$7</definedName>
    <definedName name="_s" localSheetId="4">#REF!</definedName>
    <definedName name="_s" localSheetId="9">#REF!</definedName>
    <definedName name="_s" localSheetId="8">#REF!</definedName>
    <definedName name="_s">#REF!</definedName>
    <definedName name="_sch1" localSheetId="4">#REF!</definedName>
    <definedName name="_sch1" localSheetId="9">#REF!</definedName>
    <definedName name="_sch1" localSheetId="8">#REF!</definedName>
    <definedName name="_sch1">#REF!</definedName>
    <definedName name="_sch2" localSheetId="4">#REF!</definedName>
    <definedName name="_sch2" localSheetId="9">#REF!</definedName>
    <definedName name="_sch2" localSheetId="8">#REF!</definedName>
    <definedName name="_sch2">#REF!</definedName>
    <definedName name="_SD107">[24]MG!$H$83</definedName>
    <definedName name="_sdb2" localSheetId="4">#REF!</definedName>
    <definedName name="_sdb2" localSheetId="9">#REF!</definedName>
    <definedName name="_sdb2" localSheetId="8">#REF!</definedName>
    <definedName name="_sdb2">#REF!</definedName>
    <definedName name="_sep05" localSheetId="4">#REF!</definedName>
    <definedName name="_sep05" localSheetId="9">#REF!</definedName>
    <definedName name="_sep05" localSheetId="8">#REF!</definedName>
    <definedName name="_sep05">#REF!</definedName>
    <definedName name="_SFU125" localSheetId="4">#REF!</definedName>
    <definedName name="_SFU125" localSheetId="9">#REF!</definedName>
    <definedName name="_SFU125" localSheetId="8">#REF!</definedName>
    <definedName name="_SFU125">#REF!</definedName>
    <definedName name="_SFU160" localSheetId="4">[14]Costing!#REF!</definedName>
    <definedName name="_SFU160" localSheetId="9">[14]Costing!#REF!</definedName>
    <definedName name="_SFU160" localSheetId="8">[14]Costing!#REF!</definedName>
    <definedName name="_SFU160">[14]Costing!#REF!</definedName>
    <definedName name="_sfu200" localSheetId="4">#REF!</definedName>
    <definedName name="_sfu200" localSheetId="9">#REF!</definedName>
    <definedName name="_sfu200" localSheetId="8">#REF!</definedName>
    <definedName name="_sfu200">#REF!</definedName>
    <definedName name="_SFU250" localSheetId="4">#REF!</definedName>
    <definedName name="_SFU250" localSheetId="9">#REF!</definedName>
    <definedName name="_SFU250" localSheetId="8">#REF!</definedName>
    <definedName name="_SFU250">#REF!</definedName>
    <definedName name="_SFU32" localSheetId="4">#REF!</definedName>
    <definedName name="_SFU32" localSheetId="9">#REF!</definedName>
    <definedName name="_SFU32" localSheetId="8">#REF!</definedName>
    <definedName name="_SFU32">#REF!</definedName>
    <definedName name="_SFU400" localSheetId="4">#REF!</definedName>
    <definedName name="_SFU400" localSheetId="9">#REF!</definedName>
    <definedName name="_SFU400" localSheetId="8">#REF!</definedName>
    <definedName name="_SFU400">#REF!</definedName>
    <definedName name="_SFU63" localSheetId="4">#REF!</definedName>
    <definedName name="_SFU63" localSheetId="9">#REF!</definedName>
    <definedName name="_SFU63" localSheetId="8">#REF!</definedName>
    <definedName name="_SFU63">#REF!</definedName>
    <definedName name="_SFU630" localSheetId="4">#REF!</definedName>
    <definedName name="_SFU630" localSheetId="9">#REF!</definedName>
    <definedName name="_SFU630" localSheetId="8">#REF!</definedName>
    <definedName name="_SFU630">#REF!</definedName>
    <definedName name="_SFU800" localSheetId="4">#REF!</definedName>
    <definedName name="_SFU800" localSheetId="9">#REF!</definedName>
    <definedName name="_SFU800" localSheetId="8">#REF!</definedName>
    <definedName name="_SFU800">#REF!</definedName>
    <definedName name="_SH1" localSheetId="4">#REF!</definedName>
    <definedName name="_SH1" localSheetId="9">#REF!</definedName>
    <definedName name="_SH1" localSheetId="8">#REF!</definedName>
    <definedName name="_SH1">#REF!</definedName>
    <definedName name="_SH2" localSheetId="4">#REF!</definedName>
    <definedName name="_SH2" localSheetId="9">#REF!</definedName>
    <definedName name="_SH2" localSheetId="8">#REF!</definedName>
    <definedName name="_SH2">#REF!</definedName>
    <definedName name="_SH3" localSheetId="4">#REF!</definedName>
    <definedName name="_SH3" localSheetId="9">#REF!</definedName>
    <definedName name="_SH3" localSheetId="8">#REF!</definedName>
    <definedName name="_SH3">#REF!</definedName>
    <definedName name="_SH4" localSheetId="4">#REF!</definedName>
    <definedName name="_SH4" localSheetId="9">#REF!</definedName>
    <definedName name="_SH4" localSheetId="8">#REF!</definedName>
    <definedName name="_SH4">#REF!</definedName>
    <definedName name="_SH5" localSheetId="4">#REF!</definedName>
    <definedName name="_SH5" localSheetId="9">#REF!</definedName>
    <definedName name="_SH5" localSheetId="8">#REF!</definedName>
    <definedName name="_SH5">#REF!</definedName>
    <definedName name="_Sort" localSheetId="4" hidden="1">#REF!</definedName>
    <definedName name="_Sort" localSheetId="9" hidden="1">#REF!</definedName>
    <definedName name="_Sort" localSheetId="8" hidden="1">#REF!</definedName>
    <definedName name="_Sort" hidden="1">#REF!</definedName>
    <definedName name="_sti02" localSheetId="9" hidden="1">{#N/A,#N/A,FALSE,"gc (2)"}</definedName>
    <definedName name="_sti02" localSheetId="0" hidden="1">{#N/A,#N/A,FALSE,"gc (2)"}</definedName>
    <definedName name="_sti02" hidden="1">{#N/A,#N/A,FALSE,"gc (2)"}</definedName>
    <definedName name="_t1" localSheetId="9"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t1"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t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t2" localSheetId="9"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t2"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t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ta1" localSheetId="9" hidden="1">{#N/A,#N/A,TRUE,"Financials";#N/A,#N/A,TRUE,"Operating Statistics";#N/A,#N/A,TRUE,"Capex &amp; Depreciation";#N/A,#N/A,TRUE,"Debt"}</definedName>
    <definedName name="_ta1" localSheetId="0" hidden="1">{#N/A,#N/A,TRUE,"Financials";#N/A,#N/A,TRUE,"Operating Statistics";#N/A,#N/A,TRUE,"Capex &amp; Depreciation";#N/A,#N/A,TRUE,"Debt"}</definedName>
    <definedName name="_ta1" hidden="1">{#N/A,#N/A,TRUE,"Financials";#N/A,#N/A,TRUE,"Operating Statistics";#N/A,#N/A,TRUE,"Capex &amp; Depreciation";#N/A,#N/A,TRUE,"Debt"}</definedName>
    <definedName name="_Table2_In1" localSheetId="4" hidden="1">#REF!</definedName>
    <definedName name="_Table2_In1" localSheetId="9" hidden="1">#REF!</definedName>
    <definedName name="_Table2_In1" localSheetId="8" hidden="1">#REF!</definedName>
    <definedName name="_Table2_In1" hidden="1">#REF!</definedName>
    <definedName name="_Table2_In2" localSheetId="4" hidden="1">#REF!</definedName>
    <definedName name="_Table2_In2" localSheetId="9" hidden="1">#REF!</definedName>
    <definedName name="_Table2_In2" localSheetId="8" hidden="1">#REF!</definedName>
    <definedName name="_Table2_In2" hidden="1">#REF!</definedName>
    <definedName name="_Table2_Out" localSheetId="4" hidden="1">#REF!</definedName>
    <definedName name="_Table2_Out" localSheetId="9" hidden="1">#REF!</definedName>
    <definedName name="_Table2_Out" localSheetId="8" hidden="1">#REF!</definedName>
    <definedName name="_Table2_Out" hidden="1">#REF!</definedName>
    <definedName name="_tb1" localSheetId="9" hidden="1">{#N/A,#N/A,FALSE,"One Pager";#N/A,#N/A,FALSE,"Technical"}</definedName>
    <definedName name="_tb1" localSheetId="0" hidden="1">{#N/A,#N/A,FALSE,"One Pager";#N/A,#N/A,FALSE,"Technical"}</definedName>
    <definedName name="_tb1" hidden="1">{#N/A,#N/A,FALSE,"One Pager";#N/A,#N/A,FALSE,"Technical"}</definedName>
    <definedName name="_TB2">'[25]SPT vs PHI'!$B$2:$C$65</definedName>
    <definedName name="_te1" localSheetId="4">#REF!</definedName>
    <definedName name="_te1" localSheetId="9">#REF!</definedName>
    <definedName name="_te1" localSheetId="8">#REF!</definedName>
    <definedName name="_te1">#REF!</definedName>
    <definedName name="_TTL1" localSheetId="4">#REF!</definedName>
    <definedName name="_TTL1" localSheetId="9">#REF!</definedName>
    <definedName name="_TTL1" localSheetId="8">#REF!</definedName>
    <definedName name="_TTL1">#REF!</definedName>
    <definedName name="_TTL2" localSheetId="4">#REF!</definedName>
    <definedName name="_TTL2" localSheetId="9">#REF!</definedName>
    <definedName name="_TTL2" localSheetId="8">#REF!</definedName>
    <definedName name="_TTL2">#REF!</definedName>
    <definedName name="_TTL3" localSheetId="4">#REF!</definedName>
    <definedName name="_TTL3" localSheetId="9">#REF!</definedName>
    <definedName name="_TTL3" localSheetId="8">#REF!</definedName>
    <definedName name="_TTL3">#REF!</definedName>
    <definedName name="_TTL4" localSheetId="4">#REF!</definedName>
    <definedName name="_TTL4" localSheetId="9">#REF!</definedName>
    <definedName name="_TTL4" localSheetId="8">#REF!</definedName>
    <definedName name="_TTL4">#REF!</definedName>
    <definedName name="_TTL5" localSheetId="4">#REF!</definedName>
    <definedName name="_TTL5" localSheetId="9">#REF!</definedName>
    <definedName name="_TTL5" localSheetId="8">#REF!</definedName>
    <definedName name="_TTL5">#REF!</definedName>
    <definedName name="_TTL6" localSheetId="4">#REF!</definedName>
    <definedName name="_TTL6" localSheetId="9">#REF!</definedName>
    <definedName name="_TTL6" localSheetId="8">#REF!</definedName>
    <definedName name="_TTL6">#REF!</definedName>
    <definedName name="_VFD2" localSheetId="4">#REF!</definedName>
    <definedName name="_VFD2" localSheetId="9">#REF!</definedName>
    <definedName name="_VFD2" localSheetId="8">#REF!</definedName>
    <definedName name="_VFD2">#REF!</definedName>
    <definedName name="_VFD3" localSheetId="4">#REF!</definedName>
    <definedName name="_VFD3" localSheetId="9">#REF!</definedName>
    <definedName name="_VFD3" localSheetId="8">#REF!</definedName>
    <definedName name="_VFD3">#REF!</definedName>
    <definedName name="○" localSheetId="4">#REF!</definedName>
    <definedName name="○" localSheetId="9">#REF!</definedName>
    <definedName name="○" localSheetId="8">#REF!</definedName>
    <definedName name="○">#REF!</definedName>
    <definedName name="A" localSheetId="6">"#REF!"</definedName>
    <definedName name="A" localSheetId="8">"#REF!"</definedName>
    <definedName name="A">'[26]PRECAST lightconc-II'!$J$19</definedName>
    <definedName name="a._Trimmer" localSheetId="4">[12]SOR!#REF!</definedName>
    <definedName name="a._Trimmer" localSheetId="9">[12]SOR!#REF!</definedName>
    <definedName name="a._Trimmer" localSheetId="8">[12]SOR!#REF!</definedName>
    <definedName name="a._Trimmer">[12]SOR!#REF!</definedName>
    <definedName name="a___0" localSheetId="4">#REF!</definedName>
    <definedName name="a___0" localSheetId="9">#REF!</definedName>
    <definedName name="a___0" localSheetId="8">#REF!</definedName>
    <definedName name="a___0">#REF!</definedName>
    <definedName name="a___13" localSheetId="4">#REF!</definedName>
    <definedName name="a___13" localSheetId="9">#REF!</definedName>
    <definedName name="a___13" localSheetId="8">#REF!</definedName>
    <definedName name="a___13">#REF!</definedName>
    <definedName name="a__Labour_charges_for_cutting_bending__welding_including_materials." localSheetId="4">[12]SOR!#REF!</definedName>
    <definedName name="a__Labour_charges_for_cutting_bending__welding_including_materials." localSheetId="9">[12]SOR!#REF!</definedName>
    <definedName name="a__Labour_charges_for_cutting_bending__welding_including_materials." localSheetId="8">[12]SOR!#REF!</definedName>
    <definedName name="a__Labour_charges_for_cutting_bending__welding_including_materials.">[12]SOR!#REF!</definedName>
    <definedName name="A_10">"#REF!"</definedName>
    <definedName name="a_1000_edo" localSheetId="4">#REF!</definedName>
    <definedName name="a_1000_edo" localSheetId="9">#REF!</definedName>
    <definedName name="a_1000_edo" localSheetId="8">#REF!</definedName>
    <definedName name="a_1000_edo">#REF!</definedName>
    <definedName name="a_2">#N/A</definedName>
    <definedName name="A_3">"#REF!"</definedName>
    <definedName name="A_6">"#REF!"</definedName>
    <definedName name="A_8">"#REF!"</definedName>
    <definedName name="A_MENU" localSheetId="4">[1]電気設備表!#REF!</definedName>
    <definedName name="A_MENU" localSheetId="9">[1]電気設備表!#REF!</definedName>
    <definedName name="A_MENU" localSheetId="8">[1]電気設備表!#REF!</definedName>
    <definedName name="A_MENU">[1]電気設備表!#REF!</definedName>
    <definedName name="A0" localSheetId="4">#REF!</definedName>
    <definedName name="A0" localSheetId="9">#REF!</definedName>
    <definedName name="A0" localSheetId="8">#REF!</definedName>
    <definedName name="A0">#REF!</definedName>
    <definedName name="A1_" localSheetId="4">#REF!</definedName>
    <definedName name="A1_" localSheetId="9">#REF!</definedName>
    <definedName name="A1_" localSheetId="8">#REF!</definedName>
    <definedName name="A1_">#REF!</definedName>
    <definedName name="A1____0" localSheetId="4">#REF!</definedName>
    <definedName name="A1____0" localSheetId="9">#REF!</definedName>
    <definedName name="A1____0" localSheetId="8">#REF!</definedName>
    <definedName name="A1____0">#REF!</definedName>
    <definedName name="A1____13" localSheetId="4">#REF!</definedName>
    <definedName name="A1____13" localSheetId="9">#REF!</definedName>
    <definedName name="A1____13" localSheetId="8">#REF!</definedName>
    <definedName name="A1____13">#REF!</definedName>
    <definedName name="A10_" localSheetId="4">#REF!</definedName>
    <definedName name="A10_" localSheetId="9">#REF!</definedName>
    <definedName name="A10_" localSheetId="8">#REF!</definedName>
    <definedName name="A10_">#REF!</definedName>
    <definedName name="A10____0" localSheetId="4">#REF!</definedName>
    <definedName name="A10____0" localSheetId="9">#REF!</definedName>
    <definedName name="A10____0" localSheetId="8">#REF!</definedName>
    <definedName name="A10____0">#REF!</definedName>
    <definedName name="A10____13" localSheetId="4">#REF!</definedName>
    <definedName name="A10____13" localSheetId="9">#REF!</definedName>
    <definedName name="A10____13" localSheetId="8">#REF!</definedName>
    <definedName name="A10____13">#REF!</definedName>
    <definedName name="A1000FE" localSheetId="4">#REF!</definedName>
    <definedName name="A1000FE" localSheetId="9">#REF!</definedName>
    <definedName name="A1000FE" localSheetId="8">#REF!</definedName>
    <definedName name="A1000FE">#REF!</definedName>
    <definedName name="A1000FEA" localSheetId="4">#REF!</definedName>
    <definedName name="A1000FEA" localSheetId="9">#REF!</definedName>
    <definedName name="A1000FEA" localSheetId="8">#REF!</definedName>
    <definedName name="A1000FEA">#REF!</definedName>
    <definedName name="A1000TE" localSheetId="4">#REF!</definedName>
    <definedName name="A1000TE" localSheetId="9">#REF!</definedName>
    <definedName name="A1000TE" localSheetId="8">#REF!</definedName>
    <definedName name="A1000TE">#REF!</definedName>
    <definedName name="A1000TEA" localSheetId="4">#REF!</definedName>
    <definedName name="A1000TEA" localSheetId="9">#REF!</definedName>
    <definedName name="A1000TEA" localSheetId="8">#REF!</definedName>
    <definedName name="A1000TEA">#REF!</definedName>
    <definedName name="A1250FE" localSheetId="4">#REF!</definedName>
    <definedName name="A1250FE" localSheetId="9">#REF!</definedName>
    <definedName name="A1250FE" localSheetId="8">#REF!</definedName>
    <definedName name="A1250FE">#REF!</definedName>
    <definedName name="A1250FEA" localSheetId="4">#REF!</definedName>
    <definedName name="A1250FEA" localSheetId="9">#REF!</definedName>
    <definedName name="A1250FEA" localSheetId="8">#REF!</definedName>
    <definedName name="A1250FEA">#REF!</definedName>
    <definedName name="a1250t" localSheetId="4">#REF!</definedName>
    <definedName name="a1250t" localSheetId="9">#REF!</definedName>
    <definedName name="a1250t" localSheetId="8">#REF!</definedName>
    <definedName name="a1250t">#REF!</definedName>
    <definedName name="A1250TE" localSheetId="4">#REF!</definedName>
    <definedName name="A1250TE" localSheetId="9">#REF!</definedName>
    <definedName name="A1250TE" localSheetId="8">#REF!</definedName>
    <definedName name="A1250TE">#REF!</definedName>
    <definedName name="A1250TEA" localSheetId="4">#REF!</definedName>
    <definedName name="A1250TEA" localSheetId="9">#REF!</definedName>
    <definedName name="A1250TEA" localSheetId="8">#REF!</definedName>
    <definedName name="A1250TEA">#REF!</definedName>
    <definedName name="A1250TM" localSheetId="4">#REF!</definedName>
    <definedName name="A1250TM" localSheetId="9">#REF!</definedName>
    <definedName name="A1250TM" localSheetId="8">#REF!</definedName>
    <definedName name="A1250TM">#REF!</definedName>
    <definedName name="A1250TMA" localSheetId="4">#REF!</definedName>
    <definedName name="A1250TMA" localSheetId="9">#REF!</definedName>
    <definedName name="A1250TMA" localSheetId="8">#REF!</definedName>
    <definedName name="A1250TMA">#REF!</definedName>
    <definedName name="A13_" localSheetId="4">#REF!</definedName>
    <definedName name="A13_" localSheetId="9">#REF!</definedName>
    <definedName name="A13_" localSheetId="8">#REF!</definedName>
    <definedName name="A13_">#REF!</definedName>
    <definedName name="A13____0" localSheetId="4">#REF!</definedName>
    <definedName name="A13____0" localSheetId="9">#REF!</definedName>
    <definedName name="A13____0" localSheetId="8">#REF!</definedName>
    <definedName name="A13____0">#REF!</definedName>
    <definedName name="A13____13" localSheetId="4">#REF!</definedName>
    <definedName name="A13____13" localSheetId="9">#REF!</definedName>
    <definedName name="A13____13" localSheetId="8">#REF!</definedName>
    <definedName name="A13____13">#REF!</definedName>
    <definedName name="A1595H50">'[27]BLOCK-A (MEA.SHEET)'!$A$1596</definedName>
    <definedName name="a1600f" localSheetId="4">#REF!</definedName>
    <definedName name="a1600f" localSheetId="9">#REF!</definedName>
    <definedName name="a1600f" localSheetId="8">#REF!</definedName>
    <definedName name="a1600f">#REF!</definedName>
    <definedName name="a1600t" localSheetId="4">#REF!</definedName>
    <definedName name="a1600t" localSheetId="9">#REF!</definedName>
    <definedName name="a1600t" localSheetId="8">#REF!</definedName>
    <definedName name="a1600t">#REF!</definedName>
    <definedName name="A1600TM" localSheetId="4">#REF!</definedName>
    <definedName name="A1600TM" localSheetId="9">#REF!</definedName>
    <definedName name="A1600TM" localSheetId="8">#REF!</definedName>
    <definedName name="A1600TM">#REF!</definedName>
    <definedName name="A2_" localSheetId="4">#REF!</definedName>
    <definedName name="A2_" localSheetId="9">#REF!</definedName>
    <definedName name="A2_" localSheetId="8">#REF!</definedName>
    <definedName name="A2_">#REF!</definedName>
    <definedName name="A2____0" localSheetId="4">#REF!</definedName>
    <definedName name="A2____0" localSheetId="9">#REF!</definedName>
    <definedName name="A2____0" localSheetId="8">#REF!</definedName>
    <definedName name="A2____0">#REF!</definedName>
    <definedName name="A2____13" localSheetId="4">#REF!</definedName>
    <definedName name="A2____13" localSheetId="9">#REF!</definedName>
    <definedName name="A2____13" localSheetId="8">#REF!</definedName>
    <definedName name="A2____13">#REF!</definedName>
    <definedName name="A2000FE" localSheetId="4">#REF!</definedName>
    <definedName name="A2000FE" localSheetId="9">#REF!</definedName>
    <definedName name="A2000FE" localSheetId="8">#REF!</definedName>
    <definedName name="A2000FE">#REF!</definedName>
    <definedName name="A2000FEA" localSheetId="4">#REF!</definedName>
    <definedName name="A2000FEA" localSheetId="9">#REF!</definedName>
    <definedName name="A2000FEA" localSheetId="8">#REF!</definedName>
    <definedName name="A2000FEA">#REF!</definedName>
    <definedName name="A2000TE" localSheetId="4">#REF!</definedName>
    <definedName name="A2000TE" localSheetId="9">#REF!</definedName>
    <definedName name="A2000TE" localSheetId="8">#REF!</definedName>
    <definedName name="A2000TE">#REF!</definedName>
    <definedName name="A2000TEA" localSheetId="4">#REF!</definedName>
    <definedName name="A2000TEA" localSheetId="9">#REF!</definedName>
    <definedName name="A2000TEA" localSheetId="8">#REF!</definedName>
    <definedName name="A2000TEA">#REF!</definedName>
    <definedName name="A3_" localSheetId="4">#REF!</definedName>
    <definedName name="A3_" localSheetId="9">#REF!</definedName>
    <definedName name="A3_" localSheetId="8">#REF!</definedName>
    <definedName name="A3_">#REF!</definedName>
    <definedName name="A3____0" localSheetId="4">#REF!</definedName>
    <definedName name="A3____0" localSheetId="9">#REF!</definedName>
    <definedName name="A3____0" localSheetId="8">#REF!</definedName>
    <definedName name="A3____0">#REF!</definedName>
    <definedName name="A3____13" localSheetId="4">#REF!</definedName>
    <definedName name="A3____13" localSheetId="9">#REF!</definedName>
    <definedName name="A3____13" localSheetId="8">#REF!</definedName>
    <definedName name="A3____13">#REF!</definedName>
    <definedName name="a3200f" localSheetId="4">#REF!</definedName>
    <definedName name="a3200f" localSheetId="9">#REF!</definedName>
    <definedName name="a3200f" localSheetId="8">#REF!</definedName>
    <definedName name="a3200f">#REF!</definedName>
    <definedName name="A4_" localSheetId="4">#REF!</definedName>
    <definedName name="A4_" localSheetId="9">#REF!</definedName>
    <definedName name="A4_" localSheetId="8">#REF!</definedName>
    <definedName name="A4_">#REF!</definedName>
    <definedName name="A4____0" localSheetId="4">#REF!</definedName>
    <definedName name="A4____0" localSheetId="9">#REF!</definedName>
    <definedName name="A4____0" localSheetId="8">#REF!</definedName>
    <definedName name="A4____0">#REF!</definedName>
    <definedName name="A4____13" localSheetId="4">#REF!</definedName>
    <definedName name="A4____13" localSheetId="9">#REF!</definedName>
    <definedName name="A4____13" localSheetId="8">#REF!</definedName>
    <definedName name="A4____13">#REF!</definedName>
    <definedName name="A5_" localSheetId="4">#REF!</definedName>
    <definedName name="A5_" localSheetId="9">#REF!</definedName>
    <definedName name="A5_" localSheetId="8">#REF!</definedName>
    <definedName name="A5_">#REF!</definedName>
    <definedName name="A5____0" localSheetId="4">#REF!</definedName>
    <definedName name="A5____0" localSheetId="9">#REF!</definedName>
    <definedName name="A5____0" localSheetId="8">#REF!</definedName>
    <definedName name="A5____0">#REF!</definedName>
    <definedName name="A5____13" localSheetId="4">#REF!</definedName>
    <definedName name="A5____13" localSheetId="9">#REF!</definedName>
    <definedName name="A5____13" localSheetId="8">#REF!</definedName>
    <definedName name="A5____13">#REF!</definedName>
    <definedName name="A6_" localSheetId="4">#REF!</definedName>
    <definedName name="A6_" localSheetId="9">#REF!</definedName>
    <definedName name="A6_" localSheetId="8">#REF!</definedName>
    <definedName name="A6_">#REF!</definedName>
    <definedName name="A6____0" localSheetId="4">#REF!</definedName>
    <definedName name="A6____0" localSheetId="9">#REF!</definedName>
    <definedName name="A6____0" localSheetId="8">#REF!</definedName>
    <definedName name="A6____0">#REF!</definedName>
    <definedName name="A6____13" localSheetId="4">#REF!</definedName>
    <definedName name="A6____13" localSheetId="9">#REF!</definedName>
    <definedName name="A6____13" localSheetId="8">#REF!</definedName>
    <definedName name="A6____13">#REF!</definedName>
    <definedName name="A630TE" localSheetId="4">#REF!</definedName>
    <definedName name="A630TE" localSheetId="9">#REF!</definedName>
    <definedName name="A630TE" localSheetId="8">#REF!</definedName>
    <definedName name="A630TE">#REF!</definedName>
    <definedName name="A7_" localSheetId="4">#REF!</definedName>
    <definedName name="A7_" localSheetId="9">#REF!</definedName>
    <definedName name="A7_" localSheetId="8">#REF!</definedName>
    <definedName name="A7_">#REF!</definedName>
    <definedName name="A7____0" localSheetId="4">#REF!</definedName>
    <definedName name="A7____0" localSheetId="9">#REF!</definedName>
    <definedName name="A7____0" localSheetId="8">#REF!</definedName>
    <definedName name="A7____0">#REF!</definedName>
    <definedName name="A7____13" localSheetId="4">#REF!</definedName>
    <definedName name="A7____13" localSheetId="9">#REF!</definedName>
    <definedName name="A7____13" localSheetId="8">#REF!</definedName>
    <definedName name="A7____13">#REF!</definedName>
    <definedName name="A8_" localSheetId="4">#REF!</definedName>
    <definedName name="A8_" localSheetId="9">#REF!</definedName>
    <definedName name="A8_" localSheetId="8">#REF!</definedName>
    <definedName name="A8_">#REF!</definedName>
    <definedName name="A8____0" localSheetId="4">#REF!</definedName>
    <definedName name="A8____0" localSheetId="9">#REF!</definedName>
    <definedName name="A8____0" localSheetId="8">#REF!</definedName>
    <definedName name="A8____0">#REF!</definedName>
    <definedName name="A8____13" localSheetId="4">#REF!</definedName>
    <definedName name="A8____13" localSheetId="9">#REF!</definedName>
    <definedName name="A8____13" localSheetId="8">#REF!</definedName>
    <definedName name="A8____13">#REF!</definedName>
    <definedName name="A800FE" localSheetId="4">#REF!</definedName>
    <definedName name="A800FE" localSheetId="9">#REF!</definedName>
    <definedName name="A800FE" localSheetId="8">#REF!</definedName>
    <definedName name="A800FE">#REF!</definedName>
    <definedName name="A800FM" localSheetId="4">#REF!</definedName>
    <definedName name="A800FM" localSheetId="9">#REF!</definedName>
    <definedName name="A800FM" localSheetId="8">#REF!</definedName>
    <definedName name="A800FM">#REF!</definedName>
    <definedName name="a800t" localSheetId="4">#REF!</definedName>
    <definedName name="a800t" localSheetId="9">#REF!</definedName>
    <definedName name="a800t" localSheetId="8">#REF!</definedName>
    <definedName name="a800t">#REF!</definedName>
    <definedName name="A800TM" localSheetId="4">#REF!</definedName>
    <definedName name="A800TM" localSheetId="9">#REF!</definedName>
    <definedName name="A800TM" localSheetId="8">#REF!</definedName>
    <definedName name="A800TM">#REF!</definedName>
    <definedName name="A800TMA" localSheetId="4">#REF!</definedName>
    <definedName name="A800TMA" localSheetId="9">#REF!</definedName>
    <definedName name="A800TMA" localSheetId="8">#REF!</definedName>
    <definedName name="A800TMA">#REF!</definedName>
    <definedName name="A9_" localSheetId="4">#REF!</definedName>
    <definedName name="A9_" localSheetId="9">#REF!</definedName>
    <definedName name="A9_" localSheetId="8">#REF!</definedName>
    <definedName name="A9_">#REF!</definedName>
    <definedName name="A9____0" localSheetId="4">#REF!</definedName>
    <definedName name="A9____0" localSheetId="9">#REF!</definedName>
    <definedName name="A9____0" localSheetId="8">#REF!</definedName>
    <definedName name="A9____0">#REF!</definedName>
    <definedName name="A9____13" localSheetId="4">#REF!</definedName>
    <definedName name="A9____13" localSheetId="9">#REF!</definedName>
    <definedName name="A9____13" localSheetId="8">#REF!</definedName>
    <definedName name="A9____13">#REF!</definedName>
    <definedName name="AA" localSheetId="9" hidden="1">{#N/A,#N/A,FALSE,"VARIATIONS";#N/A,#N/A,FALSE,"BUDGET";#N/A,#N/A,FALSE,"CIVIL QNTY VAR";#N/A,#N/A,FALSE,"SUMMARY";#N/A,#N/A,FALSE,"MATERIAL VAR"}</definedName>
    <definedName name="AA" localSheetId="0" hidden="1">{#N/A,#N/A,FALSE,"VARIATIONS";#N/A,#N/A,FALSE,"BUDGET";#N/A,#N/A,FALSE,"CIVIL QNTY VAR";#N/A,#N/A,FALSE,"SUMMARY";#N/A,#N/A,FALSE,"MATERIAL VAR"}</definedName>
    <definedName name="AA" hidden="1">{#N/A,#N/A,FALSE,"VARIATIONS";#N/A,#N/A,FALSE,"BUDGET";#N/A,#N/A,FALSE,"CIVIL QNTY VAR";#N/A,#N/A,FALSE,"SUMMARY";#N/A,#N/A,FALSE,"MATERIAL VAR"}</definedName>
    <definedName name="AA.Report.Files" localSheetId="4" hidden="1">#REF!</definedName>
    <definedName name="AA.Report.Files" localSheetId="9" hidden="1">#REF!</definedName>
    <definedName name="AA.Report.Files" localSheetId="8" hidden="1">#REF!</definedName>
    <definedName name="AA.Report.Files" hidden="1">#REF!</definedName>
    <definedName name="AA.Reports.Available" localSheetId="4" hidden="1">#REF!</definedName>
    <definedName name="AA.Reports.Available" localSheetId="9" hidden="1">#REF!</definedName>
    <definedName name="AA.Reports.Available" localSheetId="8" hidden="1">#REF!</definedName>
    <definedName name="AA.Reports.Available" hidden="1">#REF!</definedName>
    <definedName name="aaa" localSheetId="9" hidden="1">{#N/A,#N/A,FALSE,"VARIATIONS";#N/A,#N/A,FALSE,"BUDGET";#N/A,#N/A,FALSE,"CIVIL QNTY VAR";#N/A,#N/A,FALSE,"SUMMARY";#N/A,#N/A,FALSE,"MATERIAL VAR"}</definedName>
    <definedName name="aaa" localSheetId="0" hidden="1">{#N/A,#N/A,FALSE,"VARIATIONS";#N/A,#N/A,FALSE,"BUDGET";#N/A,#N/A,FALSE,"CIVIL QNTY VAR";#N/A,#N/A,FALSE,"SUMMARY";#N/A,#N/A,FALSE,"MATERIAL VAR"}</definedName>
    <definedName name="aaa" hidden="1">{#N/A,#N/A,FALSE,"VARIATIONS";#N/A,#N/A,FALSE,"BUDGET";#N/A,#N/A,FALSE,"CIVIL QNTY VAR";#N/A,#N/A,FALSE,"SUMMARY";#N/A,#N/A,FALSE,"MATERIAL VAR"}</definedName>
    <definedName name="aaaa" localSheetId="4">#REF!</definedName>
    <definedName name="aaaa" localSheetId="9">#REF!</definedName>
    <definedName name="aaaa" localSheetId="8">#REF!</definedName>
    <definedName name="aaaa">#REF!</definedName>
    <definedName name="AAAAA" localSheetId="4">#REF!</definedName>
    <definedName name="AAAAA" localSheetId="9">#REF!</definedName>
    <definedName name="AAAAA" localSheetId="8">#REF!</definedName>
    <definedName name="AAAAA">#REF!</definedName>
    <definedName name="AAC_Blocks" localSheetId="4">#REF!</definedName>
    <definedName name="AAC_Blocks" localSheetId="9">#REF!</definedName>
    <definedName name="AAC_Blocks" localSheetId="8">#REF!</definedName>
    <definedName name="AAC_Blocks">#REF!</definedName>
    <definedName name="aAXX1" localSheetId="4">#REF!</definedName>
    <definedName name="aAXX1" localSheetId="9">#REF!</definedName>
    <definedName name="aAXX1" localSheetId="8">#REF!</definedName>
    <definedName name="aAXX1">#REF!</definedName>
    <definedName name="AB" localSheetId="9" hidden="1">{#N/A,#N/A,FALSE,"VARIATIONS";#N/A,#N/A,FALSE,"BUDGET";#N/A,#N/A,FALSE,"CIVIL QNTY VAR";#N/A,#N/A,FALSE,"SUMMARY";#N/A,#N/A,FALSE,"MATERIAL VAR"}</definedName>
    <definedName name="AB" localSheetId="0" hidden="1">{#N/A,#N/A,FALSE,"VARIATIONS";#N/A,#N/A,FALSE,"BUDGET";#N/A,#N/A,FALSE,"CIVIL QNTY VAR";#N/A,#N/A,FALSE,"SUMMARY";#N/A,#N/A,FALSE,"MATERIAL VAR"}</definedName>
    <definedName name="AB" hidden="1">{#N/A,#N/A,FALSE,"VARIATIONS";#N/A,#N/A,FALSE,"BUDGET";#N/A,#N/A,FALSE,"CIVIL QNTY VAR";#N/A,#N/A,FALSE,"SUMMARY";#N/A,#N/A,FALSE,"MATERIAL VAR"}</definedName>
    <definedName name="AB1000EF" localSheetId="4">[15]GE!#REF!</definedName>
    <definedName name="AB1000EF" localSheetId="9">[15]GE!#REF!</definedName>
    <definedName name="AB1000EF" localSheetId="8">[15]GE!#REF!</definedName>
    <definedName name="AB1000EF">[15]GE!#REF!</definedName>
    <definedName name="AB1000ET" localSheetId="4">[15]GE!#REF!</definedName>
    <definedName name="AB1000ET" localSheetId="9">[15]GE!#REF!</definedName>
    <definedName name="AB1000ET" localSheetId="8">[15]GE!#REF!</definedName>
    <definedName name="AB1000ET">[15]GE!#REF!</definedName>
    <definedName name="ab1000tl" localSheetId="4">[15]ABB!#REF!</definedName>
    <definedName name="ab1000tl" localSheetId="9">[15]ABB!#REF!</definedName>
    <definedName name="ab1000tl" localSheetId="8">[15]ABB!#REF!</definedName>
    <definedName name="ab1000tl">[15]ABB!#REF!</definedName>
    <definedName name="AB100EF" localSheetId="4">[15]GE!#REF!</definedName>
    <definedName name="AB100EF" localSheetId="9">[15]GE!#REF!</definedName>
    <definedName name="AB100EF" localSheetId="8">[15]GE!#REF!</definedName>
    <definedName name="AB100EF">[15]GE!#REF!</definedName>
    <definedName name="AB100ET" localSheetId="4">[15]GE!#REF!</definedName>
    <definedName name="AB100ET" localSheetId="9">[15]GE!#REF!</definedName>
    <definedName name="AB100ET" localSheetId="8">[15]GE!#REF!</definedName>
    <definedName name="AB100ET">[15]GE!#REF!</definedName>
    <definedName name="AB1250MF" localSheetId="4">[15]GE!#REF!</definedName>
    <definedName name="AB1250MF" localSheetId="9">[15]GE!#REF!</definedName>
    <definedName name="AB1250MF" localSheetId="8">[15]GE!#REF!</definedName>
    <definedName name="AB1250MF">[15]GE!#REF!</definedName>
    <definedName name="AB1600EF" localSheetId="4">[17]Costing!#REF!</definedName>
    <definedName name="AB1600EF" localSheetId="9">[17]Costing!#REF!</definedName>
    <definedName name="AB1600EF" localSheetId="8">[17]Costing!#REF!</definedName>
    <definedName name="AB1600EF">[17]Costing!#REF!</definedName>
    <definedName name="AB2000F" localSheetId="4">#REF!</definedName>
    <definedName name="AB2000F" localSheetId="9">#REF!</definedName>
    <definedName name="AB2000F" localSheetId="8">#REF!</definedName>
    <definedName name="AB2000F">#REF!</definedName>
    <definedName name="AB2000F1" localSheetId="4">#REF!</definedName>
    <definedName name="AB2000F1" localSheetId="9">#REF!</definedName>
    <definedName name="AB2000F1" localSheetId="8">#REF!</definedName>
    <definedName name="AB2000F1">#REF!</definedName>
    <definedName name="AB2000FC" localSheetId="4">#REF!</definedName>
    <definedName name="AB2000FC" localSheetId="9">#REF!</definedName>
    <definedName name="AB2000FC" localSheetId="8">#REF!</definedName>
    <definedName name="AB2000FC">#REF!</definedName>
    <definedName name="AB2000FC1" localSheetId="4">#REF!</definedName>
    <definedName name="AB2000FC1" localSheetId="9">#REF!</definedName>
    <definedName name="AB2000FC1" localSheetId="8">#REF!</definedName>
    <definedName name="AB2000FC1">#REF!</definedName>
    <definedName name="AB2000T" localSheetId="4">#REF!</definedName>
    <definedName name="AB2000T" localSheetId="9">#REF!</definedName>
    <definedName name="AB2000T" localSheetId="8">#REF!</definedName>
    <definedName name="AB2000T">#REF!</definedName>
    <definedName name="AB2000T1" localSheetId="4">#REF!</definedName>
    <definedName name="AB2000T1" localSheetId="9">#REF!</definedName>
    <definedName name="AB2000T1" localSheetId="8">#REF!</definedName>
    <definedName name="AB2000T1">#REF!</definedName>
    <definedName name="AB2000TC" localSheetId="4">#REF!</definedName>
    <definedName name="AB2000TC" localSheetId="9">#REF!</definedName>
    <definedName name="AB2000TC" localSheetId="8">#REF!</definedName>
    <definedName name="AB2000TC">#REF!</definedName>
    <definedName name="AB2000TC1" localSheetId="4">#REF!</definedName>
    <definedName name="AB2000TC1" localSheetId="9">#REF!</definedName>
    <definedName name="AB2000TC1" localSheetId="8">#REF!</definedName>
    <definedName name="AB2000TC1">#REF!</definedName>
    <definedName name="AB2500ET" localSheetId="4">[15]GE!#REF!</definedName>
    <definedName name="AB2500ET" localSheetId="9">[15]GE!#REF!</definedName>
    <definedName name="AB2500ET" localSheetId="8">[15]GE!#REF!</definedName>
    <definedName name="AB2500ET">[15]GE!#REF!</definedName>
    <definedName name="AB3200E" localSheetId="4">[17]Costing!#REF!</definedName>
    <definedName name="AB3200E" localSheetId="9">[17]Costing!#REF!</definedName>
    <definedName name="AB3200E" localSheetId="8">[17]Costing!#REF!</definedName>
    <definedName name="AB3200E">[17]Costing!#REF!</definedName>
    <definedName name="ab3200es" localSheetId="4">#REF!</definedName>
    <definedName name="ab3200es" localSheetId="9">#REF!</definedName>
    <definedName name="ab3200es" localSheetId="8">#REF!</definedName>
    <definedName name="ab3200es">#REF!</definedName>
    <definedName name="ab630e" localSheetId="4">#REF!</definedName>
    <definedName name="ab630e" localSheetId="9">#REF!</definedName>
    <definedName name="ab630e" localSheetId="8">#REF!</definedName>
    <definedName name="ab630e">#REF!</definedName>
    <definedName name="ab630eGE" localSheetId="4">#REF!</definedName>
    <definedName name="ab630eGE" localSheetId="9">#REF!</definedName>
    <definedName name="ab630eGE" localSheetId="8">#REF!</definedName>
    <definedName name="ab630eGE">#REF!</definedName>
    <definedName name="ab630x" localSheetId="4">[15]GE!#REF!</definedName>
    <definedName name="ab630x" localSheetId="9">[15]GE!#REF!</definedName>
    <definedName name="ab630x" localSheetId="8">[15]GE!#REF!</definedName>
    <definedName name="ab630x">[15]GE!#REF!</definedName>
    <definedName name="AB630xl" localSheetId="4">[15]ABB!#REF!</definedName>
    <definedName name="AB630xl" localSheetId="9">[15]ABB!#REF!</definedName>
    <definedName name="AB630xl" localSheetId="8">[15]ABB!#REF!</definedName>
    <definedName name="AB630xl">[15]ABB!#REF!</definedName>
    <definedName name="AB800E" localSheetId="4">[17]Costing!#REF!</definedName>
    <definedName name="AB800E" localSheetId="9">[17]Costing!#REF!</definedName>
    <definedName name="AB800E" localSheetId="8">[17]Costing!#REF!</definedName>
    <definedName name="AB800E">[17]Costing!#REF!</definedName>
    <definedName name="AB800EF" localSheetId="4">[15]GE!#REF!</definedName>
    <definedName name="AB800EF" localSheetId="9">[15]GE!#REF!</definedName>
    <definedName name="AB800EF" localSheetId="8">[15]GE!#REF!</definedName>
    <definedName name="AB800EF">[15]GE!#REF!</definedName>
    <definedName name="ab800es" localSheetId="4">#REF!</definedName>
    <definedName name="ab800es" localSheetId="9">#REF!</definedName>
    <definedName name="ab800es" localSheetId="8">#REF!</definedName>
    <definedName name="ab800es">#REF!</definedName>
    <definedName name="AB800ET" localSheetId="4">[15]GE!#REF!</definedName>
    <definedName name="AB800ET" localSheetId="9">[15]GE!#REF!</definedName>
    <definedName name="AB800ET" localSheetId="8">[15]GE!#REF!</definedName>
    <definedName name="AB800ET">[15]GE!#REF!</definedName>
    <definedName name="ab800f" localSheetId="4">[15]GE!#REF!</definedName>
    <definedName name="ab800f" localSheetId="9">[15]GE!#REF!</definedName>
    <definedName name="ab800f" localSheetId="8">[15]GE!#REF!</definedName>
    <definedName name="ab800f">[15]GE!#REF!</definedName>
    <definedName name="AB800fl" localSheetId="4">[15]ABB!#REF!</definedName>
    <definedName name="AB800fl" localSheetId="9">[15]ABB!#REF!</definedName>
    <definedName name="AB800fl" localSheetId="8">[15]ABB!#REF!</definedName>
    <definedName name="AB800fl">[15]ABB!#REF!</definedName>
    <definedName name="AB800MF" localSheetId="4">[15]GE!#REF!</definedName>
    <definedName name="AB800MF" localSheetId="9">[15]GE!#REF!</definedName>
    <definedName name="AB800MF" localSheetId="8">[15]GE!#REF!</definedName>
    <definedName name="AB800MF">[15]GE!#REF!</definedName>
    <definedName name="AB800tl" localSheetId="4">[15]ABB!#REF!</definedName>
    <definedName name="AB800tl" localSheetId="9">[15]ABB!#REF!</definedName>
    <definedName name="AB800tl" localSheetId="8">[15]ABB!#REF!</definedName>
    <definedName name="AB800tl">[15]ABB!#REF!</definedName>
    <definedName name="AB800X" localSheetId="4">[13]Cost_Any.!#REF!</definedName>
    <definedName name="AB800X" localSheetId="9">[13]Cost_Any.!#REF!</definedName>
    <definedName name="AB800X" localSheetId="8">[13]Cost_Any.!#REF!</definedName>
    <definedName name="AB800X">[13]Cost_Any.!#REF!</definedName>
    <definedName name="abb125atpmccb" localSheetId="4">[13]Cost_Any.!#REF!</definedName>
    <definedName name="abb125atpmccb" localSheetId="9">[13]Cost_Any.!#REF!</definedName>
    <definedName name="abb125atpmccb" localSheetId="8">[13]Cost_Any.!#REF!</definedName>
    <definedName name="abb125atpmccb">[13]Cost_Any.!#REF!</definedName>
    <definedName name="ABB12ATPCON" localSheetId="4">[13]Cost_Any.!#REF!</definedName>
    <definedName name="ABB12ATPCON" localSheetId="9">[13]Cost_Any.!#REF!</definedName>
    <definedName name="ABB12ATPCON" localSheetId="8">[13]Cost_Any.!#REF!</definedName>
    <definedName name="ABB12ATPCON">[13]Cost_Any.!#REF!</definedName>
    <definedName name="ABB16ATPCON" localSheetId="4">[13]Cost_Any.!#REF!</definedName>
    <definedName name="ABB16ATPCON" localSheetId="9">[13]Cost_Any.!#REF!</definedName>
    <definedName name="ABB16ATPCON" localSheetId="8">[13]Cost_Any.!#REF!</definedName>
    <definedName name="ABB16ATPCON">[13]Cost_Any.!#REF!</definedName>
    <definedName name="abb1to3" localSheetId="4">[13]Cost_Any.!#REF!</definedName>
    <definedName name="abb1to3" localSheetId="9">[13]Cost_Any.!#REF!</definedName>
    <definedName name="abb1to3" localSheetId="8">[13]Cost_Any.!#REF!</definedName>
    <definedName name="abb1to3">[13]Cost_Any.!#REF!</definedName>
    <definedName name="ABB250AMCCB" localSheetId="4">#REF!</definedName>
    <definedName name="ABB250AMCCB" localSheetId="9">#REF!</definedName>
    <definedName name="ABB250AMCCB" localSheetId="8">#REF!</definedName>
    <definedName name="ABB250AMCCB">#REF!</definedName>
    <definedName name="ABB25ATPCON" localSheetId="4">[13]Cost_Any.!#REF!</definedName>
    <definedName name="ABB25ATPCON" localSheetId="9">[13]Cost_Any.!#REF!</definedName>
    <definedName name="ABB25ATPCON" localSheetId="8">[13]Cost_Any.!#REF!</definedName>
    <definedName name="ABB25ATPCON">[13]Cost_Any.!#REF!</definedName>
    <definedName name="ABB400AMCCB" localSheetId="4">#REF!</definedName>
    <definedName name="ABB400AMCCB" localSheetId="9">#REF!</definedName>
    <definedName name="ABB400AMCCB" localSheetId="8">#REF!</definedName>
    <definedName name="ABB400AMCCB">#REF!</definedName>
    <definedName name="ABB630AMCCB" localSheetId="4">#REF!</definedName>
    <definedName name="ABB630AMCCB" localSheetId="9">#REF!</definedName>
    <definedName name="ABB630AMCCB" localSheetId="8">#REF!</definedName>
    <definedName name="ABB630AMCCB">#REF!</definedName>
    <definedName name="ABB630AMCCBA" localSheetId="4">#REF!</definedName>
    <definedName name="ABB630AMCCBA" localSheetId="9">#REF!</definedName>
    <definedName name="ABB630AMCCBA" localSheetId="8">#REF!</definedName>
    <definedName name="ABB630AMCCBA">#REF!</definedName>
    <definedName name="ABB63AMCCB" localSheetId="4">#REF!</definedName>
    <definedName name="ABB63AMCCB" localSheetId="9">#REF!</definedName>
    <definedName name="ABB63AMCCB" localSheetId="8">#REF!</definedName>
    <definedName name="ABB63AMCCB">#REF!</definedName>
    <definedName name="abb7.5" localSheetId="4">[13]Cost_Any.!#REF!</definedName>
    <definedName name="abb7.5" localSheetId="9">[13]Cost_Any.!#REF!</definedName>
    <definedName name="abb7.5" localSheetId="8">[13]Cost_Any.!#REF!</definedName>
    <definedName name="abb7.5">[13]Cost_Any.!#REF!</definedName>
    <definedName name="abb70acon" localSheetId="4">#REF!</definedName>
    <definedName name="abb70acon" localSheetId="9">#REF!</definedName>
    <definedName name="abb70acon" localSheetId="8">#REF!</definedName>
    <definedName name="abb70acon">#REF!</definedName>
    <definedName name="ABB800AMCCB" localSheetId="4">#REF!</definedName>
    <definedName name="ABB800AMCCB" localSheetId="9">#REF!</definedName>
    <definedName name="ABB800AMCCB" localSheetId="8">#REF!</definedName>
    <definedName name="ABB800AMCCB">#REF!</definedName>
    <definedName name="ABB9ATPCON" localSheetId="4">[13]Cost_Any.!#REF!</definedName>
    <definedName name="ABB9ATPCON" localSheetId="9">[13]Cost_Any.!#REF!</definedName>
    <definedName name="ABB9ATPCON" localSheetId="8">[13]Cost_Any.!#REF!</definedName>
    <definedName name="ABB9ATPCON">[13]Cost_Any.!#REF!</definedName>
    <definedName name="abbmcc1mat" localSheetId="4">[13]Mat_Cost!#REF!</definedName>
    <definedName name="abbmcc1mat" localSheetId="9">[13]Mat_Cost!#REF!</definedName>
    <definedName name="abbmcc1mat" localSheetId="8">[13]Mat_Cost!#REF!</definedName>
    <definedName name="abbmcc1mat">[13]Mat_Cost!#REF!</definedName>
    <definedName name="ABC" localSheetId="9" hidden="1">{#N/A,#N/A,FALSE,"VARIATIONS";#N/A,#N/A,FALSE,"BUDGET";#N/A,#N/A,FALSE,"CIVIL QNTY VAR";#N/A,#N/A,FALSE,"SUMMARY";#N/A,#N/A,FALSE,"MATERIAL VAR"}</definedName>
    <definedName name="ABC" localSheetId="0" hidden="1">{#N/A,#N/A,FALSE,"VARIATIONS";#N/A,#N/A,FALSE,"BUDGET";#N/A,#N/A,FALSE,"CIVIL QNTY VAR";#N/A,#N/A,FALSE,"SUMMARY";#N/A,#N/A,FALSE,"MATERIAL VAR"}</definedName>
    <definedName name="ABC" hidden="1">{#N/A,#N/A,FALSE,"VARIATIONS";#N/A,#N/A,FALSE,"BUDGET";#N/A,#N/A,FALSE,"CIVIL QNTY VAR";#N/A,#N/A,FALSE,"SUMMARY";#N/A,#N/A,FALSE,"MATERIAL VAR"}</definedName>
    <definedName name="abcd" localSheetId="4">#REF!</definedName>
    <definedName name="abcd" localSheetId="9">#REF!</definedName>
    <definedName name="abcd" localSheetId="8">#REF!</definedName>
    <definedName name="abcd">#REF!</definedName>
    <definedName name="abcde" localSheetId="9" hidden="1">{#N/A,#N/A,FALSE,"VARIATIONS";#N/A,#N/A,FALSE,"BUDGET";#N/A,#N/A,FALSE,"CIVIL QNTY VAR";#N/A,#N/A,FALSE,"SUMMARY";#N/A,#N/A,FALSE,"MATERIAL VAR"}</definedName>
    <definedName name="abcde" localSheetId="0" hidden="1">{#N/A,#N/A,FALSE,"VARIATIONS";#N/A,#N/A,FALSE,"BUDGET";#N/A,#N/A,FALSE,"CIVIL QNTY VAR";#N/A,#N/A,FALSE,"SUMMARY";#N/A,#N/A,FALSE,"MATERIAL VAR"}</definedName>
    <definedName name="abcde" hidden="1">{#N/A,#N/A,FALSE,"VARIATIONS";#N/A,#N/A,FALSE,"BUDGET";#N/A,#N/A,FALSE,"CIVIL QNTY VAR";#N/A,#N/A,FALSE,"SUMMARY";#N/A,#N/A,FALSE,"MATERIAL VAR"}</definedName>
    <definedName name="ABSTRACT" localSheetId="4">#REF!</definedName>
    <definedName name="ABSTRACT" localSheetId="9">#REF!</definedName>
    <definedName name="ABSTRACT" localSheetId="8">#REF!</definedName>
    <definedName name="ABSTRACT">#REF!</definedName>
    <definedName name="Ac" localSheetId="4">#REF!</definedName>
    <definedName name="Ac" localSheetId="9">#REF!</definedName>
    <definedName name="Ac" localSheetId="8">#REF!</definedName>
    <definedName name="Ac">#REF!</definedName>
    <definedName name="acab" localSheetId="4">#REF!</definedName>
    <definedName name="acab" localSheetId="9">#REF!</definedName>
    <definedName name="acab" localSheetId="8">#REF!</definedName>
    <definedName name="acab">#REF!</definedName>
    <definedName name="acb1250edo_l" localSheetId="4">#REF!</definedName>
    <definedName name="acb1250edo_l" localSheetId="9">#REF!</definedName>
    <definedName name="acb1250edo_l" localSheetId="8">#REF!</definedName>
    <definedName name="acb1250edo_l">#REF!</definedName>
    <definedName name="acb1250edo_l_t" localSheetId="4">#REF!</definedName>
    <definedName name="acb1250edo_l_t" localSheetId="9">#REF!</definedName>
    <definedName name="acb1250edo_l_t" localSheetId="8">#REF!</definedName>
    <definedName name="acb1250edo_l_t">#REF!</definedName>
    <definedName name="acb1250edo_ltie" localSheetId="4">#REF!</definedName>
    <definedName name="acb1250edo_ltie" localSheetId="9">#REF!</definedName>
    <definedName name="acb1250edo_ltie" localSheetId="8">#REF!</definedName>
    <definedName name="acb1250edo_ltie">#REF!</definedName>
    <definedName name="acb1250edo_mg" localSheetId="4">[17]Costing!#REF!</definedName>
    <definedName name="acb1250edo_mg" localSheetId="9">[17]Costing!#REF!</definedName>
    <definedName name="acb1250edo_mg" localSheetId="8">[17]Costing!#REF!</definedName>
    <definedName name="acb1250edo_mg">[17]Costing!#REF!</definedName>
    <definedName name="acb1250edo_mgtie" localSheetId="4">[17]Costing!#REF!</definedName>
    <definedName name="acb1250edo_mgtie" localSheetId="9">[17]Costing!#REF!</definedName>
    <definedName name="acb1250edo_mgtie" localSheetId="8">[17]Costing!#REF!</definedName>
    <definedName name="acb1250edo_mgtie">[17]Costing!#REF!</definedName>
    <definedName name="acb1600e">[24]MG!$C$15</definedName>
    <definedName name="ACB1600FE" localSheetId="4">#REF!</definedName>
    <definedName name="ACB1600FE" localSheetId="9">#REF!</definedName>
    <definedName name="ACB1600FE" localSheetId="8">#REF!</definedName>
    <definedName name="ACB1600FE">#REF!</definedName>
    <definedName name="ACB1600FEA" localSheetId="4">#REF!</definedName>
    <definedName name="ACB1600FEA" localSheetId="9">#REF!</definedName>
    <definedName name="ACB1600FEA" localSheetId="8">#REF!</definedName>
    <definedName name="ACB1600FEA">#REF!</definedName>
    <definedName name="ACB1600FER" localSheetId="4">#REF!</definedName>
    <definedName name="ACB1600FER" localSheetId="9">#REF!</definedName>
    <definedName name="ACB1600FER" localSheetId="8">#REF!</definedName>
    <definedName name="ACB1600FER">#REF!</definedName>
    <definedName name="ACB1600FERA" localSheetId="4">#REF!</definedName>
    <definedName name="ACB1600FERA" localSheetId="9">#REF!</definedName>
    <definedName name="ACB1600FERA" localSheetId="8">#REF!</definedName>
    <definedName name="ACB1600FERA">#REF!</definedName>
    <definedName name="ACB800A" localSheetId="4">#REF!</definedName>
    <definedName name="ACB800A" localSheetId="9">#REF!</definedName>
    <definedName name="ACB800A" localSheetId="8">#REF!</definedName>
    <definedName name="ACB800A">#REF!</definedName>
    <definedName name="ACB800TER" localSheetId="4">#REF!</definedName>
    <definedName name="ACB800TER" localSheetId="9">#REF!</definedName>
    <definedName name="ACB800TER" localSheetId="8">#REF!</definedName>
    <definedName name="ACB800TER">#REF!</definedName>
    <definedName name="ACB800TERA" localSheetId="4">#REF!</definedName>
    <definedName name="ACB800TERA" localSheetId="9">#REF!</definedName>
    <definedName name="ACB800TERA" localSheetId="8">#REF!</definedName>
    <definedName name="ACB800TERA">#REF!</definedName>
    <definedName name="acBridge" localSheetId="4">#REF!</definedName>
    <definedName name="acBridge" localSheetId="9">#REF!</definedName>
    <definedName name="acBridge" localSheetId="8">#REF!</definedName>
    <definedName name="acBridge">#REF!</definedName>
    <definedName name="accab" localSheetId="4">#REF!</definedName>
    <definedName name="accab" localSheetId="9">#REF!</definedName>
    <definedName name="accab" localSheetId="8">#REF!</definedName>
    <definedName name="accab">#REF!</definedName>
    <definedName name="AccessDatabase" hidden="1">"D:\VOLTAGE DROP FOR THREE PHASE.mdb"</definedName>
    <definedName name="accp_abb_fab" localSheetId="4">[13]Mat_Cost!#REF!</definedName>
    <definedName name="accp_abb_fab" localSheetId="9">[13]Mat_Cost!#REF!</definedName>
    <definedName name="accp_abb_fab" localSheetId="8">[13]Mat_Cost!#REF!</definedName>
    <definedName name="accp_abb_fab">[13]Mat_Cost!#REF!</definedName>
    <definedName name="accp_abb_mat" localSheetId="4">[13]Mat_Cost!#REF!</definedName>
    <definedName name="accp_abb_mat" localSheetId="9">[13]Mat_Cost!#REF!</definedName>
    <definedName name="accp_abb_mat" localSheetId="8">[13]Mat_Cost!#REF!</definedName>
    <definedName name="accp_abb_mat">[13]Mat_Cost!#REF!</definedName>
    <definedName name="accp_mg_fab" localSheetId="4">[13]Mat_Cost!#REF!</definedName>
    <definedName name="accp_mg_fab" localSheetId="9">[13]Mat_Cost!#REF!</definedName>
    <definedName name="accp_mg_fab" localSheetId="8">[13]Mat_Cost!#REF!</definedName>
    <definedName name="accp_mg_fab">[13]Mat_Cost!#REF!</definedName>
    <definedName name="accp_mg_mat" localSheetId="4">[13]Mat_Cost!#REF!</definedName>
    <definedName name="accp_mg_mat" localSheetId="9">[13]Mat_Cost!#REF!</definedName>
    <definedName name="accp_mg_mat" localSheetId="8">[13]Mat_Cost!#REF!</definedName>
    <definedName name="accp_mg_mat">[13]Mat_Cost!#REF!</definedName>
    <definedName name="AcctName" localSheetId="4">#REF!</definedName>
    <definedName name="AcctName" localSheetId="9">#REF!</definedName>
    <definedName name="AcctName" localSheetId="8">#REF!</definedName>
    <definedName name="AcctName">#REF!</definedName>
    <definedName name="AcctName_4" localSheetId="4">#REF!</definedName>
    <definedName name="AcctName_4" localSheetId="9">#REF!</definedName>
    <definedName name="AcctName_4" localSheetId="8">#REF!</definedName>
    <definedName name="AcctName_4">#REF!</definedName>
    <definedName name="AcctName_6" localSheetId="4">#REF!</definedName>
    <definedName name="AcctName_6" localSheetId="9">#REF!</definedName>
    <definedName name="AcctName_6" localSheetId="8">#REF!</definedName>
    <definedName name="AcctName_6">#REF!</definedName>
    <definedName name="AcctPrio" localSheetId="4">#REF!</definedName>
    <definedName name="AcctPrio" localSheetId="9">#REF!</definedName>
    <definedName name="AcctPrio" localSheetId="8">#REF!</definedName>
    <definedName name="AcctPrio">#REF!</definedName>
    <definedName name="AcctPrio_4" localSheetId="4">#REF!</definedName>
    <definedName name="AcctPrio_4" localSheetId="9">#REF!</definedName>
    <definedName name="AcctPrio_4" localSheetId="8">#REF!</definedName>
    <definedName name="AcctPrio_4">#REF!</definedName>
    <definedName name="AcctPrio_6" localSheetId="4">#REF!</definedName>
    <definedName name="AcctPrio_6" localSheetId="9">#REF!</definedName>
    <definedName name="AcctPrio_6" localSheetId="8">#REF!</definedName>
    <definedName name="AcctPrio_6">#REF!</definedName>
    <definedName name="AcctPrio_Text" localSheetId="4">#REF!</definedName>
    <definedName name="AcctPrio_Text" localSheetId="9">#REF!</definedName>
    <definedName name="AcctPrio_Text" localSheetId="8">#REF!</definedName>
    <definedName name="AcctPrio_Text">#REF!</definedName>
    <definedName name="AcctPrio_Text_4" localSheetId="4">#REF!</definedName>
    <definedName name="AcctPrio_Text_4" localSheetId="9">#REF!</definedName>
    <definedName name="AcctPrio_Text_4" localSheetId="8">#REF!</definedName>
    <definedName name="AcctPrio_Text_4">#REF!</definedName>
    <definedName name="AcctPrio_Text_6" localSheetId="4">#REF!</definedName>
    <definedName name="AcctPrio_Text_6" localSheetId="9">#REF!</definedName>
    <definedName name="AcctPrio_Text_6" localSheetId="8">#REF!</definedName>
    <definedName name="AcctPrio_Text_6">#REF!</definedName>
    <definedName name="acon" localSheetId="4">#REF!</definedName>
    <definedName name="acon" localSheetId="9">#REF!</definedName>
    <definedName name="acon" localSheetId="8">#REF!</definedName>
    <definedName name="acon">#REF!</definedName>
    <definedName name="ADDRESS" localSheetId="4">#REF!</definedName>
    <definedName name="ADDRESS" localSheetId="9">#REF!</definedName>
    <definedName name="Address" localSheetId="6">"#REF!"</definedName>
    <definedName name="Address" localSheetId="8">"#REF!"</definedName>
    <definedName name="ADDRESS">#REF!</definedName>
    <definedName name="Address_3" localSheetId="4">#REF!</definedName>
    <definedName name="Address_3" localSheetId="9">#REF!</definedName>
    <definedName name="Address_3" localSheetId="6">#REF!</definedName>
    <definedName name="Address_3" localSheetId="8">#REF!</definedName>
    <definedName name="Address_3">#REF!</definedName>
    <definedName name="adj" localSheetId="4">#REF!</definedName>
    <definedName name="adj" localSheetId="9">#REF!</definedName>
    <definedName name="adj" localSheetId="8">#REF!</definedName>
    <definedName name="adj">#REF!</definedName>
    <definedName name="Adjustable_Span_ESOSI" localSheetId="4">#REF!</definedName>
    <definedName name="Adjustable_Span_ESOSI" localSheetId="9">#REF!</definedName>
    <definedName name="Adjustable_Span_ESOSI" localSheetId="8">#REF!</definedName>
    <definedName name="Adjustable_Span_ESOSI">#REF!</definedName>
    <definedName name="Adjustable_Telescopic_prop" localSheetId="4">#REF!</definedName>
    <definedName name="Adjustable_Telescopic_prop" localSheetId="9">#REF!</definedName>
    <definedName name="Adjustable_Telescopic_prop" localSheetId="8">#REF!</definedName>
    <definedName name="Adjustable_Telescopic_prop">#REF!</definedName>
    <definedName name="admn_off" localSheetId="4">#REF!</definedName>
    <definedName name="admn_off" localSheetId="9">#REF!</definedName>
    <definedName name="admn_off" localSheetId="8">#REF!</definedName>
    <definedName name="admn_off">#REF!</definedName>
    <definedName name="admn_site" localSheetId="4">#REF!</definedName>
    <definedName name="admn_site" localSheetId="9">#REF!</definedName>
    <definedName name="admn_site" localSheetId="8">#REF!</definedName>
    <definedName name="admn_site">#REF!</definedName>
    <definedName name="Advt." localSheetId="4">#REF!</definedName>
    <definedName name="Advt." localSheetId="9">#REF!</definedName>
    <definedName name="Advt." localSheetId="8">#REF!</definedName>
    <definedName name="Advt.">#REF!</definedName>
    <definedName name="Ag" localSheetId="4">[28]Design!#REF!</definedName>
    <definedName name="Ag" localSheetId="9">[28]Design!#REF!</definedName>
    <definedName name="Ag" localSheetId="8">[28]Design!#REF!</definedName>
    <definedName name="Ag">[28]Design!#REF!</definedName>
    <definedName name="Ag___0" localSheetId="4">#REF!</definedName>
    <definedName name="Ag___0" localSheetId="9">#REF!</definedName>
    <definedName name="Ag___0" localSheetId="8">#REF!</definedName>
    <definedName name="Ag___0">#REF!</definedName>
    <definedName name="Ag___13" localSheetId="4">#REF!</definedName>
    <definedName name="Ag___13" localSheetId="9">#REF!</definedName>
    <definedName name="Ag___13" localSheetId="8">#REF!</definedName>
    <definedName name="Ag___13">#REF!</definedName>
    <definedName name="ahu" localSheetId="4">#REF!</definedName>
    <definedName name="ahu" localSheetId="9">#REF!</definedName>
    <definedName name="ahu" localSheetId="8">#REF!</definedName>
    <definedName name="ahu">#REF!</definedName>
    <definedName name="AI" localSheetId="4">#REF!</definedName>
    <definedName name="AI" localSheetId="9">#REF!</definedName>
    <definedName name="AI" localSheetId="8">#REF!</definedName>
    <definedName name="AI">#REF!</definedName>
    <definedName name="AIR_CONDITIONERS" localSheetId="4">#REF!</definedName>
    <definedName name="AIR_CONDITIONERS" localSheetId="9">#REF!</definedName>
    <definedName name="AIR_CONDITIONERS" localSheetId="8">#REF!</definedName>
    <definedName name="AIR_CONDITIONERS">#REF!</definedName>
    <definedName name="Air_Conditioning" localSheetId="4">[29]Detail!#REF!</definedName>
    <definedName name="Air_Conditioning" localSheetId="9">[29]Detail!#REF!</definedName>
    <definedName name="Air_Conditioning" localSheetId="8">[29]Detail!#REF!</definedName>
    <definedName name="Air_Conditioning">[29]Detail!#REF!</definedName>
    <definedName name="aiv" localSheetId="4">'[30]Detail In Door Stad'!#REF!</definedName>
    <definedName name="aiv" localSheetId="9">'[30]Detail In Door Stad'!#REF!</definedName>
    <definedName name="aiv" localSheetId="8">'[30]Detail In Door Stad'!#REF!</definedName>
    <definedName name="aiv">'[30]Detail In Door Stad'!#REF!</definedName>
    <definedName name="aiv_2" localSheetId="4">'[31]Detail In Door Stad'!#REF!</definedName>
    <definedName name="aiv_2" localSheetId="9">'[31]Detail In Door Stad'!#REF!</definedName>
    <definedName name="aiv_2" localSheetId="8">'[31]Detail In Door Stad'!#REF!</definedName>
    <definedName name="aiv_2">'[31]Detail In Door Stad'!#REF!</definedName>
    <definedName name="ALL" localSheetId="4">#REF!</definedName>
    <definedName name="ALL" localSheetId="9">#REF!</definedName>
    <definedName name="ALL" localSheetId="8">#REF!</definedName>
    <definedName name="ALL">#REF!</definedName>
    <definedName name="alpha" localSheetId="4">#REF!</definedName>
    <definedName name="alpha" localSheetId="9">#REF!</definedName>
    <definedName name="alpha" localSheetId="8">#REF!</definedName>
    <definedName name="alpha">#REF!</definedName>
    <definedName name="Alterations" localSheetId="4">[29]Detail!#REF!</definedName>
    <definedName name="Alterations" localSheetId="9">[29]Detail!#REF!</definedName>
    <definedName name="Alterations" localSheetId="8">[29]Detail!#REF!</definedName>
    <definedName name="Alterations">[29]Detail!#REF!</definedName>
    <definedName name="Alw" localSheetId="4">#REF!</definedName>
    <definedName name="Alw" localSheetId="9">#REF!</definedName>
    <definedName name="Alw" localSheetId="8">#REF!</definedName>
    <definedName name="Alw">#REF!</definedName>
    <definedName name="am" localSheetId="4">#REF!</definedName>
    <definedName name="am" localSheetId="9">#REF!</definedName>
    <definedName name="am" localSheetId="8">#REF!</definedName>
    <definedName name="am">#REF!</definedName>
    <definedName name="AMFR">[32]Costing!$I$13</definedName>
    <definedName name="AMM" localSheetId="4">#REF!</definedName>
    <definedName name="AMM" localSheetId="9">#REF!</definedName>
    <definedName name="AMM" localSheetId="8">#REF!</definedName>
    <definedName name="AMM">#REF!</definedName>
    <definedName name="Analysis4">[33]labour!$C$7</definedName>
    <definedName name="ann" localSheetId="4">#REF!</definedName>
    <definedName name="ann" localSheetId="9">#REF!</definedName>
    <definedName name="ann" localSheetId="8">#REF!</definedName>
    <definedName name="ann">#REF!</definedName>
    <definedName name="anne" localSheetId="4">#REF!</definedName>
    <definedName name="anne" localSheetId="9">#REF!</definedName>
    <definedName name="anne" localSheetId="8">#REF!</definedName>
    <definedName name="anne">#REF!</definedName>
    <definedName name="annealing" localSheetId="4">#REF!</definedName>
    <definedName name="annealing" localSheetId="9">#REF!</definedName>
    <definedName name="annealing" localSheetId="8">#REF!</definedName>
    <definedName name="annealing">#REF!</definedName>
    <definedName name="annealing1" localSheetId="4">#REF!</definedName>
    <definedName name="annealing1" localSheetId="9">#REF!</definedName>
    <definedName name="annealing1" localSheetId="8">#REF!</definedName>
    <definedName name="annealing1">#REF!</definedName>
    <definedName name="anscount" hidden="1">1</definedName>
    <definedName name="antiicpated" localSheetId="4">#REF!</definedName>
    <definedName name="antiicpated" localSheetId="9">#REF!</definedName>
    <definedName name="antiicpated" localSheetId="8">#REF!</definedName>
    <definedName name="antiicpated">#REF!</definedName>
    <definedName name="app_q" localSheetId="4">#REF!</definedName>
    <definedName name="app_q" localSheetId="9">#REF!</definedName>
    <definedName name="app_q" localSheetId="8">#REF!</definedName>
    <definedName name="app_q">#REF!</definedName>
    <definedName name="appndx" localSheetId="4">#REF!</definedName>
    <definedName name="appndx" localSheetId="9">#REF!</definedName>
    <definedName name="appndx" localSheetId="8">#REF!</definedName>
    <definedName name="appndx">#REF!</definedName>
    <definedName name="apporx_quants" localSheetId="4">#REF!</definedName>
    <definedName name="apporx_quants" localSheetId="9">#REF!</definedName>
    <definedName name="apporx_quants" localSheetId="8">#REF!</definedName>
    <definedName name="apporx_quants">#REF!</definedName>
    <definedName name="Approachslab" localSheetId="4">#REF!</definedName>
    <definedName name="Approachslab" localSheetId="9">#REF!</definedName>
    <definedName name="Approachslab" localSheetId="8">#REF!</definedName>
    <definedName name="Approachslab">#REF!</definedName>
    <definedName name="april_qty" localSheetId="4">#REF!</definedName>
    <definedName name="april_qty" localSheetId="9">#REF!</definedName>
    <definedName name="april_qty" localSheetId="8">#REF!</definedName>
    <definedName name="april_qty">#REF!</definedName>
    <definedName name="ARCHITECT________M_s">'[9]MASTER_RATE ANALYSIS'!$B$186:$G$186</definedName>
    <definedName name="AREA" localSheetId="4">#REF!</definedName>
    <definedName name="AREA" localSheetId="9">#REF!</definedName>
    <definedName name="AREA" localSheetId="8">#REF!</definedName>
    <definedName name="AREA">#REF!</definedName>
    <definedName name="AREA_T" localSheetId="4">#REF!</definedName>
    <definedName name="AREA_T" localSheetId="9">#REF!</definedName>
    <definedName name="AREA_T" localSheetId="8">#REF!</definedName>
    <definedName name="AREA_T">#REF!</definedName>
    <definedName name="AREAS_CA_CANOPY__WAREHOUSE" localSheetId="4">#REF!</definedName>
    <definedName name="AREAS_CA_CANOPY__WAREHOUSE" localSheetId="9">#REF!</definedName>
    <definedName name="AREAS_CA_CANOPY__WAREHOUSE" localSheetId="8">#REF!</definedName>
    <definedName name="AREAS_CA_CANOPY__WAREHOUSE">#REF!</definedName>
    <definedName name="AREAS_CB_Canteen_Building" localSheetId="4">#REF!</definedName>
    <definedName name="AREAS_CB_Canteen_Building" localSheetId="9">#REF!</definedName>
    <definedName name="AREAS_CB_Canteen_Building" localSheetId="8">#REF!</definedName>
    <definedName name="AREAS_CB_Canteen_Building">#REF!</definedName>
    <definedName name="AREAS_CIPT_Tanker_CIP_Shed" localSheetId="4">#REF!</definedName>
    <definedName name="AREAS_CIPT_Tanker_CIP_Shed" localSheetId="9">#REF!</definedName>
    <definedName name="AREAS_CIPT_Tanker_CIP_Shed" localSheetId="8">#REF!</definedName>
    <definedName name="AREAS_CIPT_Tanker_CIP_Shed">#REF!</definedName>
    <definedName name="AREAS_CLRR_Contract_Labour_Rest_Room" localSheetId="4">#REF!</definedName>
    <definedName name="AREAS_CLRR_Contract_Labour_Rest_Room" localSheetId="9">#REF!</definedName>
    <definedName name="AREAS_CLRR_Contract_Labour_Rest_Room" localSheetId="8">#REF!</definedName>
    <definedName name="AREAS_CLRR_Contract_Labour_Rest_Room">#REF!</definedName>
    <definedName name="AREAS_CS_Chemical_Store" localSheetId="4">#REF!</definedName>
    <definedName name="AREAS_CS_Chemical_Store" localSheetId="9">#REF!</definedName>
    <definedName name="AREAS_CS_Chemical_Store" localSheetId="8">#REF!</definedName>
    <definedName name="AREAS_CS_Chemical_Store">#REF!</definedName>
    <definedName name="AREAS_ETPC_ETP_Civil_Works" localSheetId="4">#REF!</definedName>
    <definedName name="AREAS_ETPC_ETP_Civil_Works" localSheetId="9">#REF!</definedName>
    <definedName name="AREAS_ETPC_ETP_Civil_Works" localSheetId="8">#REF!</definedName>
    <definedName name="AREAS_ETPC_ETP_Civil_Works">#REF!</definedName>
    <definedName name="AREAS_EX_EXTERNAL_WORKS" localSheetId="4">#REF!</definedName>
    <definedName name="AREAS_EX_EXTERNAL_WORKS" localSheetId="9">#REF!</definedName>
    <definedName name="AREAS_EX_EXTERNAL_WORKS" localSheetId="8">#REF!</definedName>
    <definedName name="AREAS_EX_EXTERNAL_WORKS">#REF!</definedName>
    <definedName name="AREAS_FC_Farmer_s_Conference" localSheetId="4">#REF!</definedName>
    <definedName name="AREAS_FC_Farmer_s_Conference" localSheetId="9">#REF!</definedName>
    <definedName name="AREAS_FC_Farmer_s_Conference" localSheetId="8">#REF!</definedName>
    <definedName name="AREAS_FC_Farmer_s_Conference">#REF!</definedName>
    <definedName name="AREAS_FU_Fumigation" localSheetId="4">#REF!</definedName>
    <definedName name="AREAS_FU_Fumigation" localSheetId="9">#REF!</definedName>
    <definedName name="AREAS_FU_Fumigation" localSheetId="8">#REF!</definedName>
    <definedName name="AREAS_FU_Fumigation">#REF!</definedName>
    <definedName name="AREAS_GA_General_Area___Overall" localSheetId="4">#REF!</definedName>
    <definedName name="AREAS_GA_General_Area___Overall" localSheetId="9">#REF!</definedName>
    <definedName name="AREAS_GA_General_Area___Overall" localSheetId="8">#REF!</definedName>
    <definedName name="AREAS_GA_General_Area___Overall">#REF!</definedName>
    <definedName name="AREAS_GP_Guard_Posts" localSheetId="4">#REF!</definedName>
    <definedName name="AREAS_GP_Guard_Posts" localSheetId="9">#REF!</definedName>
    <definedName name="AREAS_GP_Guard_Posts" localSheetId="8">#REF!</definedName>
    <definedName name="AREAS_GP_Guard_Posts">#REF!</definedName>
    <definedName name="AREAS_LS_LubeOil_Stores" localSheetId="4">#REF!</definedName>
    <definedName name="AREAS_LS_LubeOil_Stores" localSheetId="9">#REF!</definedName>
    <definedName name="AREAS_LS_LubeOil_Stores" localSheetId="8">#REF!</definedName>
    <definedName name="AREAS_LS_LubeOil_Stores">#REF!</definedName>
    <definedName name="AREAS_MR_TB_Milk_Reception_Tanker_s_Bay" localSheetId="4">#REF!</definedName>
    <definedName name="AREAS_MR_TB_Milk_Reception_Tanker_s_Bay" localSheetId="9">#REF!</definedName>
    <definedName name="AREAS_MR_TB_Milk_Reception_Tanker_s_Bay" localSheetId="8">#REF!</definedName>
    <definedName name="AREAS_MR_TB_Milk_Reception_Tanker_s_Bay">#REF!</definedName>
    <definedName name="AREAS_MTF_Milk_Tank_Foundations" localSheetId="4">#REF!</definedName>
    <definedName name="AREAS_MTF_Milk_Tank_Foundations" localSheetId="9">#REF!</definedName>
    <definedName name="AREAS_MTF_Milk_Tank_Foundations" localSheetId="8">#REF!</definedName>
    <definedName name="AREAS_MTF_Milk_Tank_Foundations">#REF!</definedName>
    <definedName name="AREAS_PB_PROCESS_BUILDING" localSheetId="4">#REF!</definedName>
    <definedName name="AREAS_PB_PROCESS_BUILDING" localSheetId="9">#REF!</definedName>
    <definedName name="AREAS_PB_PROCESS_BUILDING" localSheetId="8">#REF!</definedName>
    <definedName name="AREAS_PB_PROCESS_BUILDING">#REF!</definedName>
    <definedName name="AREAS_PR_Pipe_Racks" localSheetId="4">#REF!</definedName>
    <definedName name="AREAS_PR_Pipe_Racks" localSheetId="9">#REF!</definedName>
    <definedName name="AREAS_PR_Pipe_Racks" localSheetId="8">#REF!</definedName>
    <definedName name="AREAS_PR_Pipe_Racks">#REF!</definedName>
    <definedName name="AREAS_SR_2_Security_Room___2" localSheetId="4">#REF!</definedName>
    <definedName name="AREAS_SR_2_Security_Room___2" localSheetId="9">#REF!</definedName>
    <definedName name="AREAS_SR_2_Security_Room___2" localSheetId="8">#REF!</definedName>
    <definedName name="AREAS_SR_2_Security_Room___2">#REF!</definedName>
    <definedName name="AREAS_SR_3_Store_Room" localSheetId="4">#REF!</definedName>
    <definedName name="AREAS_SR_3_Store_Room" localSheetId="9">#REF!</definedName>
    <definedName name="AREAS_SR_3_Store_Room" localSheetId="8">#REF!</definedName>
    <definedName name="AREAS_SR_3_Store_Room">#REF!</definedName>
    <definedName name="AREAS_ST_Stacks_near_Utility_Buildings" localSheetId="4">#REF!</definedName>
    <definedName name="AREAS_ST_Stacks_near_Utility_Buildings" localSheetId="9">#REF!</definedName>
    <definedName name="AREAS_ST_Stacks_near_Utility_Buildings" localSheetId="8">#REF!</definedName>
    <definedName name="AREAS_ST_Stacks_near_Utility_Buildings">#REF!</definedName>
    <definedName name="AREAS_SY_Scrap_Yard" localSheetId="4">#REF!</definedName>
    <definedName name="AREAS_SY_Scrap_Yard" localSheetId="9">#REF!</definedName>
    <definedName name="AREAS_SY_Scrap_Yard" localSheetId="8">#REF!</definedName>
    <definedName name="AREAS_SY_Scrap_Yard">#REF!</definedName>
    <definedName name="AREAS_TWW_Truck_Wheel_Wash" localSheetId="4">#REF!</definedName>
    <definedName name="AREAS_TWW_Truck_Wheel_Wash" localSheetId="9">#REF!</definedName>
    <definedName name="AREAS_TWW_Truck_Wheel_Wash" localSheetId="8">#REF!</definedName>
    <definedName name="AREAS_TWW_Truck_Wheel_Wash">#REF!</definedName>
    <definedName name="AREAS_TY_Transformer_Yard" localSheetId="4">#REF!</definedName>
    <definedName name="AREAS_TY_Transformer_Yard" localSheetId="9">#REF!</definedName>
    <definedName name="AREAS_TY_Transformer_Yard" localSheetId="8">#REF!</definedName>
    <definedName name="AREAS_TY_Transformer_Yard">#REF!</definedName>
    <definedName name="AREAS_UB_UTILITY_BLOCK" localSheetId="4">#REF!</definedName>
    <definedName name="AREAS_UB_UTILITY_BLOCK" localSheetId="9">#REF!</definedName>
    <definedName name="AREAS_UB_UTILITY_BLOCK" localSheetId="8">#REF!</definedName>
    <definedName name="AREAS_UB_UTILITY_BLOCK">#REF!</definedName>
    <definedName name="AREAS_WH_Ware_House_Area" localSheetId="4">#REF!</definedName>
    <definedName name="AREAS_WH_Ware_House_Area" localSheetId="9">#REF!</definedName>
    <definedName name="AREAS_WH_Ware_House_Area" localSheetId="8">#REF!</definedName>
    <definedName name="AREAS_WH_Ware_House_Area">#REF!</definedName>
    <definedName name="array1" localSheetId="4">#REF!</definedName>
    <definedName name="array1" localSheetId="9">#REF!</definedName>
    <definedName name="array1" localSheetId="8">#REF!</definedName>
    <definedName name="array1">#REF!</definedName>
    <definedName name="arvind" localSheetId="9" hidden="1">{#N/A,#N/A,FALSE,"VARIATIONS";#N/A,#N/A,FALSE,"BUDGET";#N/A,#N/A,FALSE,"CIVIL QNTY VAR";#N/A,#N/A,FALSE,"SUMMARY";#N/A,#N/A,FALSE,"MATERIAL VAR"}</definedName>
    <definedName name="arvind" localSheetId="0" hidden="1">{#N/A,#N/A,FALSE,"VARIATIONS";#N/A,#N/A,FALSE,"BUDGET";#N/A,#N/A,FALSE,"CIVIL QNTY VAR";#N/A,#N/A,FALSE,"SUMMARY";#N/A,#N/A,FALSE,"MATERIAL VAR"}</definedName>
    <definedName name="arvind" hidden="1">{#N/A,#N/A,FALSE,"VARIATIONS";#N/A,#N/A,FALSE,"BUDGET";#N/A,#N/A,FALSE,"CIVIL QNTY VAR";#N/A,#N/A,FALSE,"SUMMARY";#N/A,#N/A,FALSE,"MATERIAL VAR"}</definedName>
    <definedName name="as" localSheetId="9" hidden="1">{#N/A,#N/A,FALSE,"VARIATIONS";#N/A,#N/A,FALSE,"BUDGET";#N/A,#N/A,FALSE,"CIVIL QNTY VAR";#N/A,#N/A,FALSE,"SUMMARY";#N/A,#N/A,FALSE,"MATERIAL VAR"}</definedName>
    <definedName name="as" localSheetId="0" hidden="1">{#N/A,#N/A,FALSE,"VARIATIONS";#N/A,#N/A,FALSE,"BUDGET";#N/A,#N/A,FALSE,"CIVIL QNTY VAR";#N/A,#N/A,FALSE,"SUMMARY";#N/A,#N/A,FALSE,"MATERIAL VAR"}</definedName>
    <definedName name="as" hidden="1">{#N/A,#N/A,FALSE,"VARIATIONS";#N/A,#N/A,FALSE,"BUDGET";#N/A,#N/A,FALSE,"CIVIL QNTY VAR";#N/A,#N/A,FALSE,"SUMMARY";#N/A,#N/A,FALSE,"MATERIAL VAR"}</definedName>
    <definedName name="AS_PER_TALLY_31_09_04_ONYX_List1" localSheetId="4">#REF!</definedName>
    <definedName name="AS_PER_TALLY_31_09_04_ONYX_List1" localSheetId="9">#REF!</definedName>
    <definedName name="AS_PER_TALLY_31_09_04_ONYX_List1" localSheetId="8">#REF!</definedName>
    <definedName name="AS_PER_TALLY_31_09_04_ONYX_List1">#REF!</definedName>
    <definedName name="AS100T" localSheetId="4">#REF!</definedName>
    <definedName name="AS100T" localSheetId="9">#REF!</definedName>
    <definedName name="AS100T" localSheetId="8">#REF!</definedName>
    <definedName name="AS100T">#REF!</definedName>
    <definedName name="asd">[34]Sheet1!$K$21</definedName>
    <definedName name="ASHOKA" localSheetId="4">#REF!</definedName>
    <definedName name="ASHOKA" localSheetId="9">#REF!</definedName>
    <definedName name="ASHOKA" localSheetId="8">#REF!</definedName>
    <definedName name="ASHOKA">#REF!</definedName>
    <definedName name="ass">[35]Detail!$D$2948</definedName>
    <definedName name="assumption" localSheetId="4">#REF!</definedName>
    <definedName name="assumption" localSheetId="9">#REF!</definedName>
    <definedName name="assumption" localSheetId="8">#REF!</definedName>
    <definedName name="assumption">#REF!</definedName>
    <definedName name="asz" localSheetId="9" hidden="1">{#N/A,#N/A,FALSE,"VARIATIONS";#N/A,#N/A,FALSE,"BUDGET";#N/A,#N/A,FALSE,"CIVIL QNTY VAR";#N/A,#N/A,FALSE,"SUMMARY";#N/A,#N/A,FALSE,"MATERIAL VAR"}</definedName>
    <definedName name="asz" localSheetId="0" hidden="1">{#N/A,#N/A,FALSE,"VARIATIONS";#N/A,#N/A,FALSE,"BUDGET";#N/A,#N/A,FALSE,"CIVIL QNTY VAR";#N/A,#N/A,FALSE,"SUMMARY";#N/A,#N/A,FALSE,"MATERIAL VAR"}</definedName>
    <definedName name="asz" hidden="1">{#N/A,#N/A,FALSE,"VARIATIONS";#N/A,#N/A,FALSE,"BUDGET";#N/A,#N/A,FALSE,"CIVIL QNTY VAR";#N/A,#N/A,FALSE,"SUMMARY";#N/A,#N/A,FALSE,"MATERIAL VAR"}</definedName>
    <definedName name="AUX">[32]Costing!$G$13</definedName>
    <definedName name="auxlp" localSheetId="4">#REF!</definedName>
    <definedName name="auxlp" localSheetId="9">#REF!</definedName>
    <definedName name="auxlp" localSheetId="8">#REF!</definedName>
    <definedName name="auxlp">#REF!</definedName>
    <definedName name="auxtr" localSheetId="4">#REF!</definedName>
    <definedName name="auxtr" localSheetId="9">#REF!</definedName>
    <definedName name="auxtr" localSheetId="8">#REF!</definedName>
    <definedName name="auxtr">#REF!</definedName>
    <definedName name="aw" localSheetId="9" hidden="1">{#N/A,#N/A,FALSE,"VARIATIONS";#N/A,#N/A,FALSE,"BUDGET";#N/A,#N/A,FALSE,"CIVIL QNTY VAR";#N/A,#N/A,FALSE,"SUMMARY";#N/A,#N/A,FALSE,"MATERIAL VAR"}</definedName>
    <definedName name="aw" localSheetId="0" hidden="1">{#N/A,#N/A,FALSE,"VARIATIONS";#N/A,#N/A,FALSE,"BUDGET";#N/A,#N/A,FALSE,"CIVIL QNTY VAR";#N/A,#N/A,FALSE,"SUMMARY";#N/A,#N/A,FALSE,"MATERIAL VAR"}</definedName>
    <definedName name="aw" hidden="1">{#N/A,#N/A,FALSE,"VARIATIONS";#N/A,#N/A,FALSE,"BUDGET";#N/A,#N/A,FALSE,"CIVIL QNTY VAR";#N/A,#N/A,FALSE,"SUMMARY";#N/A,#N/A,FALSE,"MATERIAL VAR"}</definedName>
    <definedName name="b" localSheetId="6">"#REF!"</definedName>
    <definedName name="b" localSheetId="8">"#REF!"</definedName>
    <definedName name="B">'[26]PRECAST lightconc-II'!$K$19</definedName>
    <definedName name="B___0" localSheetId="4">#REF!</definedName>
    <definedName name="B___0" localSheetId="9">#REF!</definedName>
    <definedName name="B___0" localSheetId="8">#REF!</definedName>
    <definedName name="B___0">#REF!</definedName>
    <definedName name="B___13" localSheetId="4">#REF!</definedName>
    <definedName name="B___13" localSheetId="9">#REF!</definedName>
    <definedName name="B___13" localSheetId="8">#REF!</definedName>
    <definedName name="B___13">#REF!</definedName>
    <definedName name="B_PP" localSheetId="4">#REF!</definedName>
    <definedName name="B_PP" localSheetId="9">#REF!</definedName>
    <definedName name="B_PP" localSheetId="8">#REF!</definedName>
    <definedName name="B_PP">#REF!</definedName>
    <definedName name="B0Q_Shell_Core" localSheetId="4">#REF!</definedName>
    <definedName name="B0Q_Shell_Core" localSheetId="9">#REF!</definedName>
    <definedName name="B0Q_Shell_Core" localSheetId="8">#REF!</definedName>
    <definedName name="B0Q_Shell_Core">#REF!</definedName>
    <definedName name="b1x" localSheetId="4">#REF!</definedName>
    <definedName name="b1x" localSheetId="9">#REF!</definedName>
    <definedName name="b1x" localSheetId="8">#REF!</definedName>
    <definedName name="b1x">#REF!</definedName>
    <definedName name="b275." localSheetId="4">#REF!</definedName>
    <definedName name="b275." localSheetId="9">#REF!</definedName>
    <definedName name="b275." localSheetId="8">#REF!</definedName>
    <definedName name="b275.">#REF!</definedName>
    <definedName name="b2x" localSheetId="4">#REF!</definedName>
    <definedName name="b2x" localSheetId="9">#REF!</definedName>
    <definedName name="b2x" localSheetId="8">#REF!</definedName>
    <definedName name="b2x">#REF!</definedName>
    <definedName name="b6fv6fd" localSheetId="4">#REF!</definedName>
    <definedName name="b6fv6fd" localSheetId="9">#REF!</definedName>
    <definedName name="b6fv6fd" localSheetId="8">#REF!</definedName>
    <definedName name="b6fv6fd">#REF!</definedName>
    <definedName name="BAND" localSheetId="4">#REF!</definedName>
    <definedName name="BAND" localSheetId="9">#REF!</definedName>
    <definedName name="BAND" localSheetId="8">#REF!</definedName>
    <definedName name="BAND">#REF!</definedName>
    <definedName name="BarList">#N/A</definedName>
    <definedName name="BarList_10">NA()</definedName>
    <definedName name="BarList_2">#N/A</definedName>
    <definedName name="BarList_2_1">NA()</definedName>
    <definedName name="BarList_2_10">NA()</definedName>
    <definedName name="BarList_2_2">NA()</definedName>
    <definedName name="BarList_2_3">NA()</definedName>
    <definedName name="BarList_2_8">NA()</definedName>
    <definedName name="BarList_3">NA()</definedName>
    <definedName name="BarList_5">#N/A</definedName>
    <definedName name="BarList_5_10">NA()</definedName>
    <definedName name="BarList_5_2">NA()</definedName>
    <definedName name="BarList_5_3">NA()</definedName>
    <definedName name="BarList_5_8">NA()</definedName>
    <definedName name="BarList_6">#N/A</definedName>
    <definedName name="BarList_6_10">NA()</definedName>
    <definedName name="BarList_6_2">NA()</definedName>
    <definedName name="BarList_6_3">NA()</definedName>
    <definedName name="BarList_6_8">NA()</definedName>
    <definedName name="BarList_7">#N/A</definedName>
    <definedName name="BarList_7_10">NA()</definedName>
    <definedName name="BarList_7_2">NA()</definedName>
    <definedName name="BarList_7_3">NA()</definedName>
    <definedName name="BarList_7_8">NA()</definedName>
    <definedName name="BarList_8">NA()</definedName>
    <definedName name="Basement" localSheetId="4">#REF!</definedName>
    <definedName name="Basement" localSheetId="9">#REF!</definedName>
    <definedName name="Basement" localSheetId="8">#REF!</definedName>
    <definedName name="Basement">#REF!</definedName>
    <definedName name="BASIC">'[9]MASTER_RATE ANALYSIS'!$A$1:$H$346</definedName>
    <definedName name="bat" localSheetId="4">#REF!</definedName>
    <definedName name="bat" localSheetId="9">#REF!</definedName>
    <definedName name="bat" localSheetId="8">#REF!</definedName>
    <definedName name="bat">#REF!</definedName>
    <definedName name="Batching_hot_mix_plant" localSheetId="4">[12]SOR!#REF!</definedName>
    <definedName name="Batching_hot_mix_plant" localSheetId="9">[12]SOR!#REF!</definedName>
    <definedName name="Batching_hot_mix_plant" localSheetId="8">[12]SOR!#REF!</definedName>
    <definedName name="Batching_hot_mix_plant">[12]SOR!#REF!</definedName>
    <definedName name="bb" localSheetId="4">#REF!</definedName>
    <definedName name="bb" localSheetId="9">#REF!</definedName>
    <definedName name="bb" localSheetId="8">#REF!</definedName>
    <definedName name="bb">#REF!</definedName>
    <definedName name="bc" localSheetId="9" hidden="1">{#N/A,#N/A,FALSE,"One Pager";#N/A,#N/A,FALSE,"Technical"}</definedName>
    <definedName name="bc" localSheetId="0" hidden="1">{#N/A,#N/A,FALSE,"One Pager";#N/A,#N/A,FALSE,"Technical"}</definedName>
    <definedName name="bc" hidden="1">{#N/A,#N/A,FALSE,"One Pager";#N/A,#N/A,FALSE,"Technical"}</definedName>
    <definedName name="BCU" localSheetId="4">#REF!</definedName>
    <definedName name="BCU" localSheetId="9">#REF!</definedName>
    <definedName name="BCU" localSheetId="8">#REF!</definedName>
    <definedName name="BCU">#REF!</definedName>
    <definedName name="Beam_Clamp" localSheetId="4">#REF!</definedName>
    <definedName name="Beam_Clamp" localSheetId="9">#REF!</definedName>
    <definedName name="Beam_Clamp" localSheetId="8">#REF!</definedName>
    <definedName name="Beam_Clamp">#REF!</definedName>
    <definedName name="BeamLength" localSheetId="4">#REF!</definedName>
    <definedName name="BeamLength" localSheetId="9">#REF!</definedName>
    <definedName name="BeamLength" localSheetId="8">#REF!</definedName>
    <definedName name="BeamLength">#REF!</definedName>
    <definedName name="bebl" localSheetId="9" hidden="1">{#N/A,#N/A,FALSE,"VARIATIONS";#N/A,#N/A,FALSE,"BUDGET";#N/A,#N/A,FALSE,"CIVIL QNTY VAR";#N/A,#N/A,FALSE,"SUMMARY";#N/A,#N/A,FALSE,"MATERIAL VAR"}</definedName>
    <definedName name="bebl" localSheetId="0" hidden="1">{#N/A,#N/A,FALSE,"VARIATIONS";#N/A,#N/A,FALSE,"BUDGET";#N/A,#N/A,FALSE,"CIVIL QNTY VAR";#N/A,#N/A,FALSE,"SUMMARY";#N/A,#N/A,FALSE,"MATERIAL VAR"}</definedName>
    <definedName name="bebl" hidden="1">{#N/A,#N/A,FALSE,"VARIATIONS";#N/A,#N/A,FALSE,"BUDGET";#N/A,#N/A,FALSE,"CIVIL QNTY VAR";#N/A,#N/A,FALSE,"SUMMARY";#N/A,#N/A,FALSE,"MATERIAL VAR"}</definedName>
    <definedName name="beh1245632" localSheetId="4">#REF!</definedName>
    <definedName name="beh1245632" localSheetId="9">#REF!</definedName>
    <definedName name="beh1245632" localSheetId="8">#REF!</definedName>
    <definedName name="beh1245632">#REF!</definedName>
    <definedName name="BEL" localSheetId="4">#REF!</definedName>
    <definedName name="BEL" localSheetId="9">#REF!</definedName>
    <definedName name="BEL" localSheetId="8">#REF!</definedName>
    <definedName name="BEL">#REF!</definedName>
    <definedName name="bent" localSheetId="4">#REF!</definedName>
    <definedName name="bent" localSheetId="9">#REF!</definedName>
    <definedName name="bent" localSheetId="8">#REF!</definedName>
    <definedName name="bent">#REF!</definedName>
    <definedName name="beta" localSheetId="4">#REF!</definedName>
    <definedName name="beta" localSheetId="9">#REF!</definedName>
    <definedName name="beta" localSheetId="8">#REF!</definedName>
    <definedName name="beta">#REF!</definedName>
    <definedName name="BF" localSheetId="4">#REF!</definedName>
    <definedName name="BF" localSheetId="9">#REF!</definedName>
    <definedName name="BF" localSheetId="8">#REF!</definedName>
    <definedName name="BF">#REF!</definedName>
    <definedName name="BHIST" localSheetId="4">#REF!</definedName>
    <definedName name="BHIST" localSheetId="9">#REF!</definedName>
    <definedName name="BHIST" localSheetId="8">#REF!</definedName>
    <definedName name="BHIST">#REF!</definedName>
    <definedName name="BidClass" localSheetId="4">#REF!</definedName>
    <definedName name="BidClass" localSheetId="9">#REF!</definedName>
    <definedName name="BidClass" localSheetId="8">#REF!</definedName>
    <definedName name="BidClass">#REF!</definedName>
    <definedName name="BidClass_4" localSheetId="4">#REF!</definedName>
    <definedName name="BidClass_4" localSheetId="9">#REF!</definedName>
    <definedName name="BidClass_4" localSheetId="8">#REF!</definedName>
    <definedName name="BidClass_4">#REF!</definedName>
    <definedName name="BidClass_6" localSheetId="4">#REF!</definedName>
    <definedName name="BidClass_6" localSheetId="9">#REF!</definedName>
    <definedName name="BidClass_6" localSheetId="8">#REF!</definedName>
    <definedName name="BidClass_6">#REF!</definedName>
    <definedName name="BidClass_Text" localSheetId="4">#REF!</definedName>
    <definedName name="BidClass_Text" localSheetId="9">#REF!</definedName>
    <definedName name="BidClass_Text" localSheetId="8">#REF!</definedName>
    <definedName name="BidClass_Text">#REF!</definedName>
    <definedName name="BidClass_Text_4" localSheetId="4">#REF!</definedName>
    <definedName name="BidClass_Text_4" localSheetId="9">#REF!</definedName>
    <definedName name="BidClass_Text_4" localSheetId="8">#REF!</definedName>
    <definedName name="BidClass_Text_4">#REF!</definedName>
    <definedName name="BidClass_Text_6" localSheetId="4">#REF!</definedName>
    <definedName name="BidClass_Text_6" localSheetId="9">#REF!</definedName>
    <definedName name="BidClass_Text_6" localSheetId="8">#REF!</definedName>
    <definedName name="BidClass_Text_6">#REF!</definedName>
    <definedName name="bijalpur2" localSheetId="9"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bijalpur2"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bijalpur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BillingFreq" localSheetId="4">#REF!</definedName>
    <definedName name="BillingFreq" localSheetId="9">#REF!</definedName>
    <definedName name="BillingFreq" localSheetId="8">#REF!</definedName>
    <definedName name="BillingFreq">#REF!</definedName>
    <definedName name="BillingFreq_4" localSheetId="4">#REF!</definedName>
    <definedName name="BillingFreq_4" localSheetId="9">#REF!</definedName>
    <definedName name="BillingFreq_4" localSheetId="8">#REF!</definedName>
    <definedName name="BillingFreq_4">#REF!</definedName>
    <definedName name="BillingFreq_6" localSheetId="4">#REF!</definedName>
    <definedName name="BillingFreq_6" localSheetId="9">#REF!</definedName>
    <definedName name="BillingFreq_6" localSheetId="8">#REF!</definedName>
    <definedName name="BillingFreq_6">#REF!</definedName>
    <definedName name="BillingTiming" localSheetId="4">#REF!</definedName>
    <definedName name="BillingTiming" localSheetId="9">#REF!</definedName>
    <definedName name="BillingTiming" localSheetId="8">#REF!</definedName>
    <definedName name="BillingTiming">#REF!</definedName>
    <definedName name="BillingTiming_4" localSheetId="4">#REF!</definedName>
    <definedName name="BillingTiming_4" localSheetId="9">#REF!</definedName>
    <definedName name="BillingTiming_4" localSheetId="8">#REF!</definedName>
    <definedName name="BillingTiming_4">#REF!</definedName>
    <definedName name="BillingTiming_6" localSheetId="4">#REF!</definedName>
    <definedName name="BillingTiming_6" localSheetId="9">#REF!</definedName>
    <definedName name="BillingTiming_6" localSheetId="8">#REF!</definedName>
    <definedName name="BillingTiming_6">#REF!</definedName>
    <definedName name="bjlc" localSheetId="4">#REF!</definedName>
    <definedName name="bjlc" localSheetId="9">#REF!</definedName>
    <definedName name="bjlc" localSheetId="8">#REF!</definedName>
    <definedName name="bjlc">#REF!</definedName>
    <definedName name="BldgQty" localSheetId="4">#REF!</definedName>
    <definedName name="BldgQty" localSheetId="9">#REF!</definedName>
    <definedName name="BldgQty" localSheetId="8">#REF!</definedName>
    <definedName name="BldgQty">#REF!</definedName>
    <definedName name="blv_100" localSheetId="4">#REF!</definedName>
    <definedName name="blv_100" localSheetId="9">#REF!</definedName>
    <definedName name="blv_100" localSheetId="8">#REF!</definedName>
    <definedName name="blv_100">#REF!</definedName>
    <definedName name="blv_150" localSheetId="4">#REF!</definedName>
    <definedName name="blv_150" localSheetId="9">#REF!</definedName>
    <definedName name="blv_150" localSheetId="8">#REF!</definedName>
    <definedName name="blv_150">#REF!</definedName>
    <definedName name="blv_200" localSheetId="4">#REF!</definedName>
    <definedName name="blv_200" localSheetId="9">#REF!</definedName>
    <definedName name="blv_200" localSheetId="8">#REF!</definedName>
    <definedName name="blv_200">#REF!</definedName>
    <definedName name="blv_25" localSheetId="4">#REF!</definedName>
    <definedName name="blv_25" localSheetId="9">#REF!</definedName>
    <definedName name="blv_25" localSheetId="8">#REF!</definedName>
    <definedName name="blv_25">#REF!</definedName>
    <definedName name="blv_250" localSheetId="4">#REF!</definedName>
    <definedName name="blv_250" localSheetId="9">#REF!</definedName>
    <definedName name="blv_250" localSheetId="8">#REF!</definedName>
    <definedName name="blv_250">#REF!</definedName>
    <definedName name="blv_300" localSheetId="4">#REF!</definedName>
    <definedName name="blv_300" localSheetId="9">#REF!</definedName>
    <definedName name="blv_300" localSheetId="8">#REF!</definedName>
    <definedName name="blv_300">#REF!</definedName>
    <definedName name="blv_32" localSheetId="4">#REF!</definedName>
    <definedName name="blv_32" localSheetId="9">#REF!</definedName>
    <definedName name="blv_32" localSheetId="8">#REF!</definedName>
    <definedName name="blv_32">#REF!</definedName>
    <definedName name="blv_40" localSheetId="4">#REF!</definedName>
    <definedName name="blv_40" localSheetId="9">#REF!</definedName>
    <definedName name="blv_40" localSheetId="8">#REF!</definedName>
    <definedName name="blv_40">#REF!</definedName>
    <definedName name="blv_400" localSheetId="4">#REF!</definedName>
    <definedName name="blv_400" localSheetId="9">#REF!</definedName>
    <definedName name="blv_400" localSheetId="8">#REF!</definedName>
    <definedName name="blv_400">#REF!</definedName>
    <definedName name="blv_50" localSheetId="4">#REF!</definedName>
    <definedName name="blv_50" localSheetId="9">#REF!</definedName>
    <definedName name="blv_50" localSheetId="8">#REF!</definedName>
    <definedName name="blv_50">#REF!</definedName>
    <definedName name="blv_500" localSheetId="4">#REF!</definedName>
    <definedName name="blv_500" localSheetId="9">#REF!</definedName>
    <definedName name="blv_500" localSheetId="8">#REF!</definedName>
    <definedName name="blv_500">#REF!</definedName>
    <definedName name="blv_65" localSheetId="4">#REF!</definedName>
    <definedName name="blv_65" localSheetId="9">#REF!</definedName>
    <definedName name="blv_65" localSheetId="8">#REF!</definedName>
    <definedName name="blv_65">#REF!</definedName>
    <definedName name="blv_80" localSheetId="4">#REF!</definedName>
    <definedName name="blv_80" localSheetId="9">#REF!</definedName>
    <definedName name="blv_80" localSheetId="8">#REF!</definedName>
    <definedName name="blv_80">#REF!</definedName>
    <definedName name="BN" localSheetId="4">#REF!</definedName>
    <definedName name="BN" localSheetId="9">#REF!</definedName>
    <definedName name="BN" localSheetId="8">#REF!</definedName>
    <definedName name="BN">#REF!</definedName>
    <definedName name="BOC" localSheetId="4">'[36]01'!#REF!</definedName>
    <definedName name="BOC" localSheetId="9">'[36]01'!#REF!</definedName>
    <definedName name="BOC" localSheetId="8">'[36]01'!#REF!</definedName>
    <definedName name="BOC">'[36]01'!#REF!</definedName>
    <definedName name="bol" localSheetId="4">#REF!</definedName>
    <definedName name="bol" localSheetId="9">#REF!</definedName>
    <definedName name="bol" localSheetId="8">#REF!</definedName>
    <definedName name="bol">#REF!</definedName>
    <definedName name="boml" localSheetId="4">#REF!</definedName>
    <definedName name="boml" localSheetId="9">#REF!</definedName>
    <definedName name="boml" localSheetId="8">#REF!</definedName>
    <definedName name="boml">#REF!</definedName>
    <definedName name="boml1" localSheetId="4">#REF!</definedName>
    <definedName name="boml1" localSheetId="9">#REF!</definedName>
    <definedName name="boml1" localSheetId="8">#REF!</definedName>
    <definedName name="boml1">#REF!</definedName>
    <definedName name="BOQ" localSheetId="4">#REF!</definedName>
    <definedName name="BOQ" localSheetId="9">#REF!</definedName>
    <definedName name="BOQ" localSheetId="8">#REF!</definedName>
    <definedName name="BOQ">#REF!</definedName>
    <definedName name="boqii" localSheetId="4">#REF!</definedName>
    <definedName name="boqii" localSheetId="9">#REF!</definedName>
    <definedName name="boqii" localSheetId="8">#REF!</definedName>
    <definedName name="boqii">#REF!</definedName>
    <definedName name="botl" localSheetId="4">#REF!</definedName>
    <definedName name="botl" localSheetId="9">#REF!</definedName>
    <definedName name="botl" localSheetId="8">#REF!</definedName>
    <definedName name="botl">#REF!</definedName>
    <definedName name="botl1" localSheetId="4">#REF!</definedName>
    <definedName name="botl1" localSheetId="9">#REF!</definedName>
    <definedName name="botl1" localSheetId="8">#REF!</definedName>
    <definedName name="botl1">#REF!</definedName>
    <definedName name="botn" localSheetId="4">#REF!</definedName>
    <definedName name="botn" localSheetId="9">#REF!</definedName>
    <definedName name="botn" localSheetId="8">#REF!</definedName>
    <definedName name="botn">#REF!</definedName>
    <definedName name="boulder" localSheetId="4">#REF!</definedName>
    <definedName name="boulder" localSheetId="9">#REF!</definedName>
    <definedName name="boulder" localSheetId="8">#REF!</definedName>
    <definedName name="boulder">#REF!</definedName>
    <definedName name="Breaks" localSheetId="4">#REF!</definedName>
    <definedName name="Breaks" localSheetId="9">#REF!</definedName>
    <definedName name="Breaks" localSheetId="8">#REF!</definedName>
    <definedName name="Breaks">#REF!</definedName>
    <definedName name="Brick_Aggregate" localSheetId="4">#REF!</definedName>
    <definedName name="Brick_Aggregate" localSheetId="9">#REF!</definedName>
    <definedName name="Brick_Aggregate" localSheetId="8">#REF!</definedName>
    <definedName name="Brick_Aggregate">#REF!</definedName>
    <definedName name="Brick_Size" localSheetId="4">#REF!</definedName>
    <definedName name="Brick_Size" localSheetId="9">#REF!</definedName>
    <definedName name="Brick_Size" localSheetId="8">#REF!</definedName>
    <definedName name="Brick_Size">#REF!</definedName>
    <definedName name="Bricks" localSheetId="4">#REF!</definedName>
    <definedName name="Bricks" localSheetId="9">#REF!</definedName>
    <definedName name="Bricks" localSheetId="8">#REF!</definedName>
    <definedName name="Bricks">#REF!</definedName>
    <definedName name="BS" localSheetId="4">#REF!</definedName>
    <definedName name="BS" localSheetId="9">#REF!</definedName>
    <definedName name="BS" localSheetId="8">#REF!</definedName>
    <definedName name="BS">#REF!</definedName>
    <definedName name="BU" localSheetId="4">#REF!</definedName>
    <definedName name="BU" localSheetId="9">#REF!</definedName>
    <definedName name="BU" localSheetId="8">#REF!</definedName>
    <definedName name="BU">#REF!</definedName>
    <definedName name="bua" localSheetId="4">#REF!</definedName>
    <definedName name="bua" localSheetId="9">#REF!</definedName>
    <definedName name="bua" localSheetId="8">#REF!</definedName>
    <definedName name="bua">#REF!</definedName>
    <definedName name="BUDDHA" localSheetId="4">#REF!</definedName>
    <definedName name="BUDDHA" localSheetId="9">#REF!</definedName>
    <definedName name="BUDDHA" localSheetId="8">#REF!</definedName>
    <definedName name="BUDDHA">#REF!</definedName>
    <definedName name="BUDGET" localSheetId="4">#REF!</definedName>
    <definedName name="BUDGET" localSheetId="9">#REF!</definedName>
    <definedName name="BUDGET" localSheetId="8">#REF!</definedName>
    <definedName name="BUDGET">#REF!</definedName>
    <definedName name="building" localSheetId="4">#REF!</definedName>
    <definedName name="building" localSheetId="9">#REF!</definedName>
    <definedName name="building" localSheetId="8">#REF!</definedName>
    <definedName name="building">#REF!</definedName>
    <definedName name="building___0" localSheetId="4">#REF!</definedName>
    <definedName name="building___0" localSheetId="9">#REF!</definedName>
    <definedName name="building___0" localSheetId="8">#REF!</definedName>
    <definedName name="building___0">#REF!</definedName>
    <definedName name="building___11" localSheetId="4">#REF!</definedName>
    <definedName name="building___11" localSheetId="9">#REF!</definedName>
    <definedName name="building___11" localSheetId="8">#REF!</definedName>
    <definedName name="building___11">#REF!</definedName>
    <definedName name="building___12" localSheetId="4">#REF!</definedName>
    <definedName name="building___12" localSheetId="9">#REF!</definedName>
    <definedName name="building___12" localSheetId="8">#REF!</definedName>
    <definedName name="building___12">#REF!</definedName>
    <definedName name="BUILDINGS" localSheetId="4">#REF!</definedName>
    <definedName name="BUILDINGS" localSheetId="9">#REF!</definedName>
    <definedName name="BUILDINGS" localSheetId="8">#REF!</definedName>
    <definedName name="BUILDINGS">#REF!</definedName>
    <definedName name="BuiltIn_Print_Area" localSheetId="4">#REF!</definedName>
    <definedName name="BuiltIn_Print_Area" localSheetId="9">#REF!</definedName>
    <definedName name="BuiltIn_Print_Area" localSheetId="8">#REF!</definedName>
    <definedName name="BuiltIn_Print_Area">#REF!</definedName>
    <definedName name="BuiltIn_Print_Area___0" localSheetId="4">#REF!</definedName>
    <definedName name="BuiltIn_Print_Area___0" localSheetId="9">#REF!</definedName>
    <definedName name="BuiltIn_Print_Area___0" localSheetId="8">#REF!</definedName>
    <definedName name="BuiltIn_Print_Area___0">#REF!</definedName>
    <definedName name="BuiltIn_Print_Titles" localSheetId="4">#REF!</definedName>
    <definedName name="BuiltIn_Print_Titles" localSheetId="9">#REF!</definedName>
    <definedName name="BuiltIn_Print_Titles" localSheetId="8">#REF!</definedName>
    <definedName name="BuiltIn_Print_Titles">#REF!</definedName>
    <definedName name="BuiltIn_Print_Titles___0">#N/A</definedName>
    <definedName name="BUN" localSheetId="4">[21]見積書!#REF!</definedName>
    <definedName name="BUN" localSheetId="9">[21]見積書!#REF!</definedName>
    <definedName name="BUN" localSheetId="8">[21]見積書!#REF!</definedName>
    <definedName name="BUN">[21]見積書!#REF!</definedName>
    <definedName name="BusType" localSheetId="4">#REF!</definedName>
    <definedName name="BusType" localSheetId="9">#REF!</definedName>
    <definedName name="BusType" localSheetId="8">#REF!</definedName>
    <definedName name="BusType">#REF!</definedName>
    <definedName name="BusType_4" localSheetId="4">#REF!</definedName>
    <definedName name="BusType_4" localSheetId="9">#REF!</definedName>
    <definedName name="BusType_4" localSheetId="8">#REF!</definedName>
    <definedName name="BusType_4">#REF!</definedName>
    <definedName name="BusType_6" localSheetId="4">#REF!</definedName>
    <definedName name="BusType_6" localSheetId="9">#REF!</definedName>
    <definedName name="BusType_6" localSheetId="8">#REF!</definedName>
    <definedName name="BusType_6">#REF!</definedName>
    <definedName name="BusType_Text" localSheetId="4">#REF!</definedName>
    <definedName name="BusType_Text" localSheetId="9">#REF!</definedName>
    <definedName name="BusType_Text" localSheetId="8">#REF!</definedName>
    <definedName name="BusType_Text">#REF!</definedName>
    <definedName name="BusType_Text_4" localSheetId="4">#REF!</definedName>
    <definedName name="BusType_Text_4" localSheetId="9">#REF!</definedName>
    <definedName name="BusType_Text_4" localSheetId="8">#REF!</definedName>
    <definedName name="BusType_Text_4">#REF!</definedName>
    <definedName name="BusType_Text_6" localSheetId="4">#REF!</definedName>
    <definedName name="BusType_Text_6" localSheetId="9">#REF!</definedName>
    <definedName name="BusType_Text_6" localSheetId="8">#REF!</definedName>
    <definedName name="BusType_Text_6">#REF!</definedName>
    <definedName name="Button_1">"VOLTAGE_DROP_FOR_THREE_PHASE_Sheet2_List"</definedName>
    <definedName name="Button_5">"AS_PER_TALLY_31_09_04_ONYX_List"</definedName>
    <definedName name="Button_7">"AS_PER_TALLY_31_09_04_ONYX_List1"</definedName>
    <definedName name="Button_8">"AS_PER_TALLY_31_09_04_ONYX_List1"</definedName>
    <definedName name="Bx" localSheetId="4">#REF!</definedName>
    <definedName name="Bx" localSheetId="9">#REF!</definedName>
    <definedName name="Bx" localSheetId="8">#REF!</definedName>
    <definedName name="Bx">#REF!</definedName>
    <definedName name="Bx___0" localSheetId="4">#REF!</definedName>
    <definedName name="Bx___0" localSheetId="9">#REF!</definedName>
    <definedName name="Bx___0" localSheetId="8">#REF!</definedName>
    <definedName name="Bx___0">#REF!</definedName>
    <definedName name="Bx___13" localSheetId="4">#REF!</definedName>
    <definedName name="Bx___13" localSheetId="9">#REF!</definedName>
    <definedName name="Bx___13" localSheetId="8">#REF!</definedName>
    <definedName name="Bx___13">#REF!</definedName>
    <definedName name="bxevxed" localSheetId="4">#REF!</definedName>
    <definedName name="bxevxed" localSheetId="9">#REF!</definedName>
    <definedName name="bxevxed" localSheetId="8">#REF!</definedName>
    <definedName name="bxevxed">#REF!</definedName>
    <definedName name="bxnvxnd" localSheetId="4">#REF!</definedName>
    <definedName name="bxnvxnd" localSheetId="9">#REF!</definedName>
    <definedName name="bxnvxnd" localSheetId="8">#REF!</definedName>
    <definedName name="bxnvxnd">#REF!</definedName>
    <definedName name="C_">#N/A</definedName>
    <definedName name="℃１５" localSheetId="4">#REF!</definedName>
    <definedName name="℃１５" localSheetId="9">#REF!</definedName>
    <definedName name="℃１５" localSheetId="8">#REF!</definedName>
    <definedName name="℃１５">#REF!</definedName>
    <definedName name="℃２０" localSheetId="4">#REF!</definedName>
    <definedName name="℃２０" localSheetId="9">#REF!</definedName>
    <definedName name="℃２０" localSheetId="8">#REF!</definedName>
    <definedName name="℃２０">#REF!</definedName>
    <definedName name="℃22" localSheetId="4">#REF!</definedName>
    <definedName name="℃22" localSheetId="9">#REF!</definedName>
    <definedName name="℃22" localSheetId="8">#REF!</definedName>
    <definedName name="℃22">#REF!</definedName>
    <definedName name="℃２４">[37]外気負荷!$F$12</definedName>
    <definedName name="℃２５" localSheetId="4">#REF!</definedName>
    <definedName name="℃２５" localSheetId="9">#REF!</definedName>
    <definedName name="℃２５" localSheetId="8">#REF!</definedName>
    <definedName name="℃２５">#REF!</definedName>
    <definedName name="℃２６" localSheetId="4">#REF!</definedName>
    <definedName name="℃２６" localSheetId="9">#REF!</definedName>
    <definedName name="℃２６" localSheetId="8">#REF!</definedName>
    <definedName name="℃２６">#REF!</definedName>
    <definedName name="CA" localSheetId="4">#REF!</definedName>
    <definedName name="CA" localSheetId="9">#REF!</definedName>
    <definedName name="CA" localSheetId="8">#REF!</definedName>
    <definedName name="CA">#REF!</definedName>
    <definedName name="ca1boq" localSheetId="4">#REF!</definedName>
    <definedName name="ca1boq" localSheetId="9">#REF!</definedName>
    <definedName name="ca1boq" localSheetId="8">#REF!</definedName>
    <definedName name="ca1boq">#REF!</definedName>
    <definedName name="cab" localSheetId="4">#REF!</definedName>
    <definedName name="cab" localSheetId="9">#REF!</definedName>
    <definedName name="cab" localSheetId="8">#REF!</definedName>
    <definedName name="cab">#REF!</definedName>
    <definedName name="cab21.5tp" localSheetId="4">#REF!</definedName>
    <definedName name="cab21.5tp" localSheetId="9">#REF!</definedName>
    <definedName name="cab21.5tp" localSheetId="8">#REF!</definedName>
    <definedName name="cab21.5tp">#REF!</definedName>
    <definedName name="cab21.5tp_4" localSheetId="4">#REF!</definedName>
    <definedName name="cab21.5tp_4" localSheetId="9">#REF!</definedName>
    <definedName name="cab21.5tp_4" localSheetId="8">#REF!</definedName>
    <definedName name="cab21.5tp_4">#REF!</definedName>
    <definedName name="cab21.5tp_6" localSheetId="4">#REF!</definedName>
    <definedName name="cab21.5tp_6" localSheetId="9">#REF!</definedName>
    <definedName name="cab21.5tp_6" localSheetId="8">#REF!</definedName>
    <definedName name="cab21.5tp_6">#REF!</definedName>
    <definedName name="cab21s" localSheetId="4">#REF!</definedName>
    <definedName name="cab21s" localSheetId="9">#REF!</definedName>
    <definedName name="cab21s" localSheetId="8">#REF!</definedName>
    <definedName name="cab21s">#REF!</definedName>
    <definedName name="cab21s_4" localSheetId="4">#REF!</definedName>
    <definedName name="cab21s_4" localSheetId="9">#REF!</definedName>
    <definedName name="cab21s_4" localSheetId="8">#REF!</definedName>
    <definedName name="cab21s_4">#REF!</definedName>
    <definedName name="cab21s_6" localSheetId="4">#REF!</definedName>
    <definedName name="cab21s_6" localSheetId="9">#REF!</definedName>
    <definedName name="cab21s_6" localSheetId="8">#REF!</definedName>
    <definedName name="cab21s_6">#REF!</definedName>
    <definedName name="cab21us" localSheetId="4">#REF!</definedName>
    <definedName name="cab21us" localSheetId="9">#REF!</definedName>
    <definedName name="cab21us" localSheetId="8">#REF!</definedName>
    <definedName name="cab21us">#REF!</definedName>
    <definedName name="cab21us_4" localSheetId="4">#REF!</definedName>
    <definedName name="cab21us_4" localSheetId="9">#REF!</definedName>
    <definedName name="cab21us_4" localSheetId="8">#REF!</definedName>
    <definedName name="cab21us_4">#REF!</definedName>
    <definedName name="cab21us_6" localSheetId="4">#REF!</definedName>
    <definedName name="cab21us_6" localSheetId="9">#REF!</definedName>
    <definedName name="cab21us_6" localSheetId="8">#REF!</definedName>
    <definedName name="cab21us_6">#REF!</definedName>
    <definedName name="cab31s" localSheetId="4">#REF!</definedName>
    <definedName name="cab31s" localSheetId="9">#REF!</definedName>
    <definedName name="cab31s" localSheetId="8">#REF!</definedName>
    <definedName name="cab31s">#REF!</definedName>
    <definedName name="cab31s_4" localSheetId="4">#REF!</definedName>
    <definedName name="cab31s_4" localSheetId="9">#REF!</definedName>
    <definedName name="cab31s_4" localSheetId="8">#REF!</definedName>
    <definedName name="cab31s_4">#REF!</definedName>
    <definedName name="cab31s_6" localSheetId="4">#REF!</definedName>
    <definedName name="cab31s_6" localSheetId="9">#REF!</definedName>
    <definedName name="cab31s_6" localSheetId="8">#REF!</definedName>
    <definedName name="cab31s_6">#REF!</definedName>
    <definedName name="cab31us" localSheetId="4">#REF!</definedName>
    <definedName name="cab31us" localSheetId="9">#REF!</definedName>
    <definedName name="cab31us" localSheetId="8">#REF!</definedName>
    <definedName name="cab31us">#REF!</definedName>
    <definedName name="cab31us_4" localSheetId="4">#REF!</definedName>
    <definedName name="cab31us_4" localSheetId="9">#REF!</definedName>
    <definedName name="cab31us_4" localSheetId="8">#REF!</definedName>
    <definedName name="cab31us_4">#REF!</definedName>
    <definedName name="cab31us_6" localSheetId="4">#REF!</definedName>
    <definedName name="cab31us_6" localSheetId="9">#REF!</definedName>
    <definedName name="cab31us_6" localSheetId="8">#REF!</definedName>
    <definedName name="cab31us_6">#REF!</definedName>
    <definedName name="cab41s" localSheetId="4">#REF!</definedName>
    <definedName name="cab41s" localSheetId="9">#REF!</definedName>
    <definedName name="cab41s" localSheetId="8">#REF!</definedName>
    <definedName name="cab41s">#REF!</definedName>
    <definedName name="cab41s_4" localSheetId="4">#REF!</definedName>
    <definedName name="cab41s_4" localSheetId="9">#REF!</definedName>
    <definedName name="cab41s_4" localSheetId="8">#REF!</definedName>
    <definedName name="cab41s_4">#REF!</definedName>
    <definedName name="cab41s_6" localSheetId="4">#REF!</definedName>
    <definedName name="cab41s_6" localSheetId="9">#REF!</definedName>
    <definedName name="cab41s_6" localSheetId="8">#REF!</definedName>
    <definedName name="cab41s_6">#REF!</definedName>
    <definedName name="cab41us" localSheetId="4">#REF!</definedName>
    <definedName name="cab41us" localSheetId="9">#REF!</definedName>
    <definedName name="cab41us" localSheetId="8">#REF!</definedName>
    <definedName name="cab41us">#REF!</definedName>
    <definedName name="cab41us_4" localSheetId="4">#REF!</definedName>
    <definedName name="cab41us_4" localSheetId="9">#REF!</definedName>
    <definedName name="cab41us_4" localSheetId="8">#REF!</definedName>
    <definedName name="cab41us_4">#REF!</definedName>
    <definedName name="cab41us_6" localSheetId="4">#REF!</definedName>
    <definedName name="cab41us_6" localSheetId="9">#REF!</definedName>
    <definedName name="cab41us_6" localSheetId="8">#REF!</definedName>
    <definedName name="cab41us_6">#REF!</definedName>
    <definedName name="cabd" localSheetId="4">#REF!</definedName>
    <definedName name="cabd" localSheetId="9">#REF!</definedName>
    <definedName name="cabd" localSheetId="8">#REF!</definedName>
    <definedName name="cabd">#REF!</definedName>
    <definedName name="cabf" localSheetId="4">#REF!</definedName>
    <definedName name="cabf" localSheetId="9">#REF!</definedName>
    <definedName name="cabf" localSheetId="8">#REF!</definedName>
    <definedName name="cabf">#REF!</definedName>
    <definedName name="cabf_4" localSheetId="4">#REF!</definedName>
    <definedName name="cabf_4" localSheetId="9">#REF!</definedName>
    <definedName name="cabf_4" localSheetId="8">#REF!</definedName>
    <definedName name="cabf_4">#REF!</definedName>
    <definedName name="cabf_6" localSheetId="4">#REF!</definedName>
    <definedName name="cabf_6" localSheetId="9">#REF!</definedName>
    <definedName name="cabf_6" localSheetId="8">#REF!</definedName>
    <definedName name="cabf_6">#REF!</definedName>
    <definedName name="CABLE" localSheetId="4">#REF!</definedName>
    <definedName name="CABLE" localSheetId="9">#REF!</definedName>
    <definedName name="CABLE" localSheetId="8">#REF!</definedName>
    <definedName name="CABLE">#REF!</definedName>
    <definedName name="CABLE_4" localSheetId="4">#REF!</definedName>
    <definedName name="CABLE_4" localSheetId="9">#REF!</definedName>
    <definedName name="CABLE_4" localSheetId="8">#REF!</definedName>
    <definedName name="CABLE_4">#REF!</definedName>
    <definedName name="CABLE_6" localSheetId="4">#REF!</definedName>
    <definedName name="CABLE_6" localSheetId="9">#REF!</definedName>
    <definedName name="CABLE_6" localSheetId="8">#REF!</definedName>
    <definedName name="CABLE_6">#REF!</definedName>
    <definedName name="CalcTerm" localSheetId="4">#REF!</definedName>
    <definedName name="CalcTerm" localSheetId="9">#REF!</definedName>
    <definedName name="CalcTerm" localSheetId="8">#REF!</definedName>
    <definedName name="CalcTerm">#REF!</definedName>
    <definedName name="cald" localSheetId="4">#REF!</definedName>
    <definedName name="cald" localSheetId="9">#REF!</definedName>
    <definedName name="cald" localSheetId="8">#REF!</definedName>
    <definedName name="cald">#REF!</definedName>
    <definedName name="CALf" localSheetId="4">#REF!</definedName>
    <definedName name="CALf" localSheetId="9">#REF!</definedName>
    <definedName name="CALf" localSheetId="8">#REF!</definedName>
    <definedName name="CALf">#REF!</definedName>
    <definedName name="CALf_4" localSheetId="4">#REF!</definedName>
    <definedName name="CALf_4" localSheetId="9">#REF!</definedName>
    <definedName name="CALf_4" localSheetId="8">#REF!</definedName>
    <definedName name="CALf_4">#REF!</definedName>
    <definedName name="CALf_6" localSheetId="4">#REF!</definedName>
    <definedName name="CALf_6" localSheetId="9">#REF!</definedName>
    <definedName name="CALf_6" localSheetId="8">#REF!</definedName>
    <definedName name="CALf_6">#REF!</definedName>
    <definedName name="CALIMP" localSheetId="4">[38]factors!#REF!</definedName>
    <definedName name="CALIMP" localSheetId="9">[38]factors!#REF!</definedName>
    <definedName name="CALIMP" localSheetId="8">[38]factors!#REF!</definedName>
    <definedName name="CALIMP">[38]factors!#REF!</definedName>
    <definedName name="cant" localSheetId="4">'[39]Staff Acco.'!#REF!</definedName>
    <definedName name="cant" localSheetId="9">'[39]Staff Acco.'!#REF!</definedName>
    <definedName name="cant" localSheetId="8">'[39]Staff Acco.'!#REF!</definedName>
    <definedName name="cant">'[39]Staff Acco.'!#REF!</definedName>
    <definedName name="CAP" localSheetId="4">#REF!</definedName>
    <definedName name="CAP" localSheetId="9">#REF!</definedName>
    <definedName name="CAP" localSheetId="8">#REF!</definedName>
    <definedName name="CAP">#REF!</definedName>
    <definedName name="cap65kr_tm" localSheetId="4">#REF!</definedName>
    <definedName name="cap65kr_tm" localSheetId="9">#REF!</definedName>
    <definedName name="cap65kr_tm" localSheetId="8">#REF!</definedName>
    <definedName name="cap65kr_tm">#REF!</definedName>
    <definedName name="capital" localSheetId="4">#REF!</definedName>
    <definedName name="capital" localSheetId="9">#REF!</definedName>
    <definedName name="capital" localSheetId="8">#REF!</definedName>
    <definedName name="capital">#REF!</definedName>
    <definedName name="CARP" localSheetId="4">#REF!</definedName>
    <definedName name="CARP" localSheetId="9">#REF!</definedName>
    <definedName name="CARP" localSheetId="8">#REF!</definedName>
    <definedName name="CARP">#REF!</definedName>
    <definedName name="CARP1" localSheetId="4">#REF!</definedName>
    <definedName name="CARP1" localSheetId="9">#REF!</definedName>
    <definedName name="CARP1" localSheetId="8">#REF!</definedName>
    <definedName name="CARP1">#REF!</definedName>
    <definedName name="CARP2" localSheetId="4">#REF!</definedName>
    <definedName name="CARP2" localSheetId="9">#REF!</definedName>
    <definedName name="CARP2" localSheetId="8">#REF!</definedName>
    <definedName name="CARP2">#REF!</definedName>
    <definedName name="CARPARK" localSheetId="4">#REF!</definedName>
    <definedName name="CARPARK" localSheetId="9">#REF!</definedName>
    <definedName name="CARPARK" localSheetId="8">#REF!</definedName>
    <definedName name="CARPARK">#REF!</definedName>
    <definedName name="CARPARK_AREA" localSheetId="4">'[40]Area Statement'!#REF!</definedName>
    <definedName name="CARPARK_AREA" localSheetId="9">'[40]Area Statement'!#REF!</definedName>
    <definedName name="CARPARK_AREA" localSheetId="8">'[40]Area Statement'!#REF!</definedName>
    <definedName name="CARPARK_AREA">'[40]Area Statement'!#REF!</definedName>
    <definedName name="carpet" localSheetId="4">#REF!</definedName>
    <definedName name="carpet" localSheetId="9">#REF!</definedName>
    <definedName name="carpet" localSheetId="8">#REF!</definedName>
    <definedName name="carpet">#REF!</definedName>
    <definedName name="carpet___0" localSheetId="4">#REF!</definedName>
    <definedName name="carpet___0" localSheetId="9">#REF!</definedName>
    <definedName name="carpet___0" localSheetId="8">#REF!</definedName>
    <definedName name="carpet___0">#REF!</definedName>
    <definedName name="carpet___11" localSheetId="4">#REF!</definedName>
    <definedName name="carpet___11" localSheetId="9">#REF!</definedName>
    <definedName name="carpet___11" localSheetId="8">#REF!</definedName>
    <definedName name="carpet___11">#REF!</definedName>
    <definedName name="carpet___12" localSheetId="4">#REF!</definedName>
    <definedName name="carpet___12" localSheetId="9">#REF!</definedName>
    <definedName name="carpet___12" localSheetId="8">#REF!</definedName>
    <definedName name="carpet___12">#REF!</definedName>
    <definedName name="CARPI" localSheetId="4">[41]Sheet1!#REF!</definedName>
    <definedName name="CARPI" localSheetId="9">[41]Sheet1!#REF!</definedName>
    <definedName name="CARPI" localSheetId="8">[41]Sheet1!#REF!</definedName>
    <definedName name="CARPI">[41]Sheet1!#REF!</definedName>
    <definedName name="Carriage" localSheetId="4">#REF!</definedName>
    <definedName name="Carriage" localSheetId="9">#REF!</definedName>
    <definedName name="Carriage" localSheetId="8">#REF!</definedName>
    <definedName name="Carriage">#REF!</definedName>
    <definedName name="Carriage_AAC" localSheetId="4">#REF!</definedName>
    <definedName name="Carriage_AAC" localSheetId="9">#REF!</definedName>
    <definedName name="Carriage_AAC" localSheetId="8">#REF!</definedName>
    <definedName name="Carriage_AAC">#REF!</definedName>
    <definedName name="Carriage_Aggregate" localSheetId="4">#REF!</definedName>
    <definedName name="Carriage_Aggregate" localSheetId="9">#REF!</definedName>
    <definedName name="Carriage_Aggregate" localSheetId="8">#REF!</definedName>
    <definedName name="Carriage_Aggregate">#REF!</definedName>
    <definedName name="Carriage_Aggregate_20" localSheetId="4">#REF!</definedName>
    <definedName name="Carriage_Aggregate_20" localSheetId="9">#REF!</definedName>
    <definedName name="Carriage_Aggregate_20" localSheetId="8">#REF!</definedName>
    <definedName name="Carriage_Aggregate_20">#REF!</definedName>
    <definedName name="Carriage_Aggregate40" localSheetId="4">#REF!</definedName>
    <definedName name="Carriage_Aggregate40" localSheetId="9">#REF!</definedName>
    <definedName name="Carriage_Aggregate40" localSheetId="8">#REF!</definedName>
    <definedName name="Carriage_Aggregate40">#REF!</definedName>
    <definedName name="Carriage_Bitumen" localSheetId="4">#REF!</definedName>
    <definedName name="Carriage_Bitumen" localSheetId="9">#REF!</definedName>
    <definedName name="Carriage_Bitumen" localSheetId="8">#REF!</definedName>
    <definedName name="Carriage_Bitumen">#REF!</definedName>
    <definedName name="Carriage_Bricks" localSheetId="4">#REF!</definedName>
    <definedName name="Carriage_Bricks" localSheetId="9">#REF!</definedName>
    <definedName name="Carriage_Bricks" localSheetId="8">#REF!</definedName>
    <definedName name="Carriage_Bricks">#REF!</definedName>
    <definedName name="Carriage_cement" localSheetId="4">#REF!</definedName>
    <definedName name="Carriage_cement" localSheetId="9">#REF!</definedName>
    <definedName name="Carriage_cement" localSheetId="8">#REF!</definedName>
    <definedName name="Carriage_cement">#REF!</definedName>
    <definedName name="Carriage_Marble" localSheetId="4">#REF!</definedName>
    <definedName name="Carriage_Marble" localSheetId="9">#REF!</definedName>
    <definedName name="Carriage_Marble" localSheetId="8">#REF!</definedName>
    <definedName name="Carriage_Marble">#REF!</definedName>
    <definedName name="Carriage_MS_bar_6mm" localSheetId="4">#REF!</definedName>
    <definedName name="Carriage_MS_bar_6mm" localSheetId="9">#REF!</definedName>
    <definedName name="Carriage_MS_bar_6mm" localSheetId="8">#REF!</definedName>
    <definedName name="Carriage_MS_bar_6mm">#REF!</definedName>
    <definedName name="Carriage_of_Brick_Agg" localSheetId="4">#REF!</definedName>
    <definedName name="Carriage_of_Brick_Agg" localSheetId="9">#REF!</definedName>
    <definedName name="Carriage_of_Brick_Agg" localSheetId="8">#REF!</definedName>
    <definedName name="Carriage_of_Brick_Agg">#REF!</definedName>
    <definedName name="Carriage_RMC" localSheetId="4">#REF!</definedName>
    <definedName name="Carriage_RMC" localSheetId="9">#REF!</definedName>
    <definedName name="Carriage_RMC" localSheetId="8">#REF!</definedName>
    <definedName name="Carriage_RMC">#REF!</definedName>
    <definedName name="Carriage_Sand" localSheetId="4">#REF!</definedName>
    <definedName name="Carriage_Sand" localSheetId="9">#REF!</definedName>
    <definedName name="Carriage_Sand" localSheetId="8">#REF!</definedName>
    <definedName name="Carriage_Sand">#REF!</definedName>
    <definedName name="Carriage_Steel" localSheetId="4">#REF!</definedName>
    <definedName name="Carriage_Steel" localSheetId="9">#REF!</definedName>
    <definedName name="Carriage_Steel" localSheetId="8">#REF!</definedName>
    <definedName name="Carriage_Steel">#REF!</definedName>
    <definedName name="Carriage_tile" localSheetId="4">#REF!</definedName>
    <definedName name="Carriage_tile" localSheetId="9">#REF!</definedName>
    <definedName name="Carriage_tile" localSheetId="8">#REF!</definedName>
    <definedName name="Carriage_tile">#REF!</definedName>
    <definedName name="Carriage_Water_proof" localSheetId="4">#REF!</definedName>
    <definedName name="Carriage_Water_proof" localSheetId="9">#REF!</definedName>
    <definedName name="Carriage_Water_proof" localSheetId="8">#REF!</definedName>
    <definedName name="Carriage_Water_proof">#REF!</definedName>
    <definedName name="CARS" localSheetId="4">#REF!</definedName>
    <definedName name="CARS" localSheetId="9">#REF!</definedName>
    <definedName name="CARS" localSheetId="8">#REF!</definedName>
    <definedName name="CARS">#REF!</definedName>
    <definedName name="cash_bank" localSheetId="4">#REF!</definedName>
    <definedName name="cash_bank" localSheetId="9">#REF!</definedName>
    <definedName name="cash_bank" localSheetId="8">#REF!</definedName>
    <definedName name="cash_bank">#REF!</definedName>
    <definedName name="CASH_OUT" localSheetId="4">#REF!</definedName>
    <definedName name="CASH_OUT" localSheetId="9">#REF!</definedName>
    <definedName name="CASH_OUT" localSheetId="8">#REF!</definedName>
    <definedName name="CASH_OUT">#REF!</definedName>
    <definedName name="cbgl1" localSheetId="4">#REF!</definedName>
    <definedName name="cbgl1" localSheetId="9">#REF!</definedName>
    <definedName name="cbgl1" localSheetId="8">#REF!</definedName>
    <definedName name="cbgl1">#REF!</definedName>
    <definedName name="cbgl2" localSheetId="4">#REF!</definedName>
    <definedName name="cbgl2" localSheetId="9">#REF!</definedName>
    <definedName name="cbgl2" localSheetId="8">#REF!</definedName>
    <definedName name="cbgl2">#REF!</definedName>
    <definedName name="cbgl3" localSheetId="4">#REF!</definedName>
    <definedName name="cbgl3" localSheetId="9">#REF!</definedName>
    <definedName name="cbgl3" localSheetId="8">#REF!</definedName>
    <definedName name="cbgl3">#REF!</definedName>
    <definedName name="cbgl4" localSheetId="4">#REF!</definedName>
    <definedName name="cbgl4" localSheetId="9">#REF!</definedName>
    <definedName name="cbgl4" localSheetId="8">#REF!</definedName>
    <definedName name="cbgl4">#REF!</definedName>
    <definedName name="cc" localSheetId="9" hidden="1">{#N/A,#N/A,FALSE,"VARIATIONS";#N/A,#N/A,FALSE,"BUDGET";#N/A,#N/A,FALSE,"CIVIL QNTY VAR";#N/A,#N/A,FALSE,"SUMMARY";#N/A,#N/A,FALSE,"MATERIAL VAR"}</definedName>
    <definedName name="cc" localSheetId="0" hidden="1">{#N/A,#N/A,FALSE,"VARIATIONS";#N/A,#N/A,FALSE,"BUDGET";#N/A,#N/A,FALSE,"CIVIL QNTY VAR";#N/A,#N/A,FALSE,"SUMMARY";#N/A,#N/A,FALSE,"MATERIAL VAR"}</definedName>
    <definedName name="cc" hidden="1">{#N/A,#N/A,FALSE,"VARIATIONS";#N/A,#N/A,FALSE,"BUDGET";#N/A,#N/A,FALSE,"CIVIL QNTY VAR";#N/A,#N/A,FALSE,"SUMMARY";#N/A,#N/A,FALSE,"MATERIAL VAR"}</definedName>
    <definedName name="CCC">'[42]TBAL9697 -group wise  sdpl'!$A$214</definedName>
    <definedName name="cccc">'[43]TBAL9697 -group wise  sdpl'!$A$34</definedName>
    <definedName name="ccolagl" localSheetId="4">#REF!</definedName>
    <definedName name="ccolagl" localSheetId="9">#REF!</definedName>
    <definedName name="ccolagl" localSheetId="8">#REF!</definedName>
    <definedName name="ccolagl">#REF!</definedName>
    <definedName name="cdds">'[44]RA-markate'!$A$389:$B$1034</definedName>
    <definedName name="cdf" localSheetId="4">#REF!</definedName>
    <definedName name="cdf" localSheetId="9">#REF!</definedName>
    <definedName name="cdf" localSheetId="8">#REF!</definedName>
    <definedName name="cdf">#REF!</definedName>
    <definedName name="Ceiling_Fin">'[45]Fin Sum'!$H$1:$H$26</definedName>
    <definedName name="Ceiling_Plaster" localSheetId="4">#REF!</definedName>
    <definedName name="Ceiling_Plaster" localSheetId="9">#REF!</definedName>
    <definedName name="Ceiling_Plaster" localSheetId="8">#REF!</definedName>
    <definedName name="Ceiling_Plaster">#REF!</definedName>
    <definedName name="Cement" localSheetId="4">#REF!</definedName>
    <definedName name="Cement" localSheetId="9">#REF!</definedName>
    <definedName name="Cement" localSheetId="8">#REF!</definedName>
    <definedName name="Cement">#REF!</definedName>
    <definedName name="Central_Services" localSheetId="4">[29]Detail!#REF!</definedName>
    <definedName name="Central_Services" localSheetId="9">[29]Detail!#REF!</definedName>
    <definedName name="Central_Services" localSheetId="8">[29]Detail!#REF!</definedName>
    <definedName name="Central_Services">[29]Detail!#REF!</definedName>
    <definedName name="CF" localSheetId="4">#REF!</definedName>
    <definedName name="CF" localSheetId="9">#REF!</definedName>
    <definedName name="CF" localSheetId="8">#REF!</definedName>
    <definedName name="CF">#REF!</definedName>
    <definedName name="CF2_" localSheetId="4">#REF!</definedName>
    <definedName name="CF2_" localSheetId="9">#REF!</definedName>
    <definedName name="CF2_" localSheetId="8">#REF!</definedName>
    <definedName name="CF2_">#REF!</definedName>
    <definedName name="CF3_" localSheetId="4">#REF!</definedName>
    <definedName name="CF3_" localSheetId="9">#REF!</definedName>
    <definedName name="CF3_" localSheetId="8">#REF!</definedName>
    <definedName name="CF3_">#REF!</definedName>
    <definedName name="cfb" localSheetId="4">#REF!</definedName>
    <definedName name="cfb" localSheetId="9">#REF!</definedName>
    <definedName name="cfb" localSheetId="8">#REF!</definedName>
    <definedName name="cfb">#REF!</definedName>
    <definedName name="cfbeams" localSheetId="4">#REF!</definedName>
    <definedName name="cfbeams" localSheetId="9">#REF!</definedName>
    <definedName name="cfbeams" localSheetId="8">#REF!</definedName>
    <definedName name="cfbeams">#REF!</definedName>
    <definedName name="cfsalb" localSheetId="4">#REF!</definedName>
    <definedName name="cfsalb" localSheetId="9">#REF!</definedName>
    <definedName name="cfsalb" localSheetId="8">#REF!</definedName>
    <definedName name="cfsalb">#REF!</definedName>
    <definedName name="cfslab" localSheetId="4">#REF!</definedName>
    <definedName name="cfslab" localSheetId="9">#REF!</definedName>
    <definedName name="cfslab" localSheetId="8">#REF!</definedName>
    <definedName name="cfslab">#REF!</definedName>
    <definedName name="Cha" localSheetId="9" hidden="1">{#N/A,#N/A,FALSE,"gc (2)"}</definedName>
    <definedName name="Cha" localSheetId="0" hidden="1">{#N/A,#N/A,FALSE,"gc (2)"}</definedName>
    <definedName name="Cha" hidden="1">{#N/A,#N/A,FALSE,"gc (2)"}</definedName>
    <definedName name="change" localSheetId="4">#REF!</definedName>
    <definedName name="change" localSheetId="9">#REF!</definedName>
    <definedName name="change" localSheetId="8">#REF!</definedName>
    <definedName name="change">#REF!</definedName>
    <definedName name="ChangeBy" localSheetId="4">#REF!</definedName>
    <definedName name="ChangeBy" localSheetId="9">#REF!</definedName>
    <definedName name="ChangeBy" localSheetId="8">#REF!</definedName>
    <definedName name="ChangeBy">#REF!</definedName>
    <definedName name="ChangeBy_4" localSheetId="4">#REF!</definedName>
    <definedName name="ChangeBy_4" localSheetId="9">#REF!</definedName>
    <definedName name="ChangeBy_4" localSheetId="8">#REF!</definedName>
    <definedName name="ChangeBy_4">#REF!</definedName>
    <definedName name="ChangeBy_6" localSheetId="4">#REF!</definedName>
    <definedName name="ChangeBy_6" localSheetId="9">#REF!</definedName>
    <definedName name="ChangeBy_6" localSheetId="8">#REF!</definedName>
    <definedName name="ChangeBy_6">#REF!</definedName>
    <definedName name="ChangeDate" localSheetId="4">#REF!</definedName>
    <definedName name="ChangeDate" localSheetId="9">#REF!</definedName>
    <definedName name="ChangeDate" localSheetId="8">#REF!</definedName>
    <definedName name="ChangeDate">#REF!</definedName>
    <definedName name="ChangeDate_4" localSheetId="4">#REF!</definedName>
    <definedName name="ChangeDate_4" localSheetId="9">#REF!</definedName>
    <definedName name="ChangeDate_4" localSheetId="8">#REF!</definedName>
    <definedName name="ChangeDate_4">#REF!</definedName>
    <definedName name="ChangeDate_6" localSheetId="4">#REF!</definedName>
    <definedName name="ChangeDate_6" localSheetId="9">#REF!</definedName>
    <definedName name="ChangeDate_6" localSheetId="8">#REF!</definedName>
    <definedName name="ChangeDate_6">#REF!</definedName>
    <definedName name="Channel_Shoulders" localSheetId="4">#REF!</definedName>
    <definedName name="Channel_Shoulders" localSheetId="9">#REF!</definedName>
    <definedName name="Channel_Shoulders" localSheetId="8">#REF!</definedName>
    <definedName name="Channel_Shoulders">#REF!</definedName>
    <definedName name="Charges_of_road_roller" localSheetId="4">[12]SOR!#REF!</definedName>
    <definedName name="Charges_of_road_roller" localSheetId="9">[12]SOR!#REF!</definedName>
    <definedName name="Charges_of_road_roller" localSheetId="8">[12]SOR!#REF!</definedName>
    <definedName name="Charges_of_road_roller">[12]SOR!#REF!</definedName>
    <definedName name="check" localSheetId="9">City&amp;" "&amp;State</definedName>
    <definedName name="check" localSheetId="0">City&amp;" "&amp;State</definedName>
    <definedName name="check">City&amp;" "&amp;State</definedName>
    <definedName name="check_7" localSheetId="9">City&amp;" "&amp;State</definedName>
    <definedName name="check_7" localSheetId="0">City&amp;" "&amp;State</definedName>
    <definedName name="check_7">City&amp;" "&amp;State</definedName>
    <definedName name="checked" localSheetId="4">#REF!</definedName>
    <definedName name="checked" localSheetId="9">#REF!</definedName>
    <definedName name="checked" localSheetId="8">#REF!</definedName>
    <definedName name="checked">#REF!</definedName>
    <definedName name="chiller" localSheetId="4">#REF!</definedName>
    <definedName name="chiller" localSheetId="9">#REF!</definedName>
    <definedName name="chiller" localSheetId="8">#REF!</definedName>
    <definedName name="chiller">#REF!</definedName>
    <definedName name="CHOW" localSheetId="4">#REF!</definedName>
    <definedName name="CHOW" localSheetId="9">#REF!</definedName>
    <definedName name="CHOW" localSheetId="8">#REF!</definedName>
    <definedName name="CHOW">#REF!</definedName>
    <definedName name="CI" localSheetId="4">#REF!</definedName>
    <definedName name="CI" localSheetId="9">#REF!</definedName>
    <definedName name="CI" localSheetId="8">#REF!</definedName>
    <definedName name="CI">#REF!</definedName>
    <definedName name="ciff" localSheetId="4">#REF!</definedName>
    <definedName name="ciff" localSheetId="9">#REF!</definedName>
    <definedName name="ciff" localSheetId="8">#REF!</definedName>
    <definedName name="ciff">#REF!</definedName>
    <definedName name="City">"#REF!"</definedName>
    <definedName name="City_3" localSheetId="4">#REF!</definedName>
    <definedName name="City_3" localSheetId="9">#REF!</definedName>
    <definedName name="City_3" localSheetId="6">#REF!</definedName>
    <definedName name="City_3" localSheetId="8">#REF!</definedName>
    <definedName name="City_3">#REF!</definedName>
    <definedName name="CIVIL_WORKS" localSheetId="4">#REF!</definedName>
    <definedName name="CIVIL_WORKS" localSheetId="9">#REF!</definedName>
    <definedName name="CIVIL_WORKS" localSheetId="8">#REF!</definedName>
    <definedName name="CIVIL_WORKS">#REF!</definedName>
    <definedName name="CIVILQNTY" localSheetId="4">#REF!</definedName>
    <definedName name="CIVILQNTY" localSheetId="9">#REF!</definedName>
    <definedName name="CIVILQNTY" localSheetId="8">#REF!</definedName>
    <definedName name="CIVILQNTY">#REF!</definedName>
    <definedName name="claim" localSheetId="4">#REF!</definedName>
    <definedName name="claim" localSheetId="9">#REF!</definedName>
    <definedName name="claim" localSheetId="8">#REF!</definedName>
    <definedName name="claim">#REF!</definedName>
    <definedName name="claim_7" localSheetId="4">#REF!</definedName>
    <definedName name="claim_7" localSheetId="9">#REF!</definedName>
    <definedName name="claim_7" localSheetId="8">#REF!</definedName>
    <definedName name="claim_7">#REF!</definedName>
    <definedName name="claims" localSheetId="4">#REF!</definedName>
    <definedName name="claims" localSheetId="9">#REF!</definedName>
    <definedName name="claims" localSheetId="8">#REF!</definedName>
    <definedName name="claims">#REF!</definedName>
    <definedName name="claims_7" localSheetId="4">#REF!</definedName>
    <definedName name="claims_7" localSheetId="9">#REF!</definedName>
    <definedName name="claims_7" localSheetId="8">#REF!</definedName>
    <definedName name="claims_7">#REF!</definedName>
    <definedName name="CLIENT" localSheetId="4">[13]Mat_Cost!#REF!</definedName>
    <definedName name="CLIENT" localSheetId="9">[13]Mat_Cost!#REF!</definedName>
    <definedName name="CLIENT" localSheetId="8">[13]Mat_Cost!#REF!</definedName>
    <definedName name="CLIENT">[13]Mat_Cost!#REF!</definedName>
    <definedName name="ClientAddress1" localSheetId="4">#REF!</definedName>
    <definedName name="ClientAddress1" localSheetId="9">#REF!</definedName>
    <definedName name="ClientAddress1" localSheetId="8">#REF!</definedName>
    <definedName name="ClientAddress1">#REF!</definedName>
    <definedName name="ClientAddress2" localSheetId="4">#REF!</definedName>
    <definedName name="ClientAddress2" localSheetId="9">#REF!</definedName>
    <definedName name="ClientAddress2" localSheetId="8">#REF!</definedName>
    <definedName name="ClientAddress2">#REF!</definedName>
    <definedName name="ClientCity" localSheetId="4">#REF!</definedName>
    <definedName name="ClientCity" localSheetId="9">#REF!</definedName>
    <definedName name="ClientCity" localSheetId="8">#REF!</definedName>
    <definedName name="ClientCity">#REF!</definedName>
    <definedName name="ClientCountry" localSheetId="4">#REF!</definedName>
    <definedName name="ClientCountry" localSheetId="9">#REF!</definedName>
    <definedName name="ClientCountry" localSheetId="8">#REF!</definedName>
    <definedName name="ClientCountry">#REF!</definedName>
    <definedName name="ClientEmail" localSheetId="4">#REF!</definedName>
    <definedName name="ClientEmail" localSheetId="9">#REF!</definedName>
    <definedName name="ClientEmail" localSheetId="8">#REF!</definedName>
    <definedName name="ClientEmail">#REF!</definedName>
    <definedName name="ClientFax" localSheetId="4">#REF!</definedName>
    <definedName name="ClientFax" localSheetId="9">#REF!</definedName>
    <definedName name="ClientFax" localSheetId="8">#REF!</definedName>
    <definedName name="ClientFax">#REF!</definedName>
    <definedName name="ClientPhone" localSheetId="4">#REF!</definedName>
    <definedName name="ClientPhone" localSheetId="9">#REF!</definedName>
    <definedName name="ClientPhone" localSheetId="8">#REF!</definedName>
    <definedName name="ClientPhone">#REF!</definedName>
    <definedName name="ClientState" localSheetId="4">#REF!</definedName>
    <definedName name="ClientState" localSheetId="9">#REF!</definedName>
    <definedName name="ClientState" localSheetId="8">#REF!</definedName>
    <definedName name="ClientState">#REF!</definedName>
    <definedName name="ClientZip" localSheetId="4">#REF!</definedName>
    <definedName name="ClientZip" localSheetId="9">#REF!</definedName>
    <definedName name="ClientZip" localSheetId="8">#REF!</definedName>
    <definedName name="ClientZip">#REF!</definedName>
    <definedName name="clintels" localSheetId="4">#REF!</definedName>
    <definedName name="clintels" localSheetId="9">#REF!</definedName>
    <definedName name="clintels" localSheetId="8">#REF!</definedName>
    <definedName name="clintels">#REF!</definedName>
    <definedName name="clrf" localSheetId="4">#REF!</definedName>
    <definedName name="clrf" localSheetId="9">#REF!</definedName>
    <definedName name="clrf" localSheetId="8">#REF!</definedName>
    <definedName name="clrf">#REF!</definedName>
    <definedName name="CM_Ratio">'[46]Name List'!$A$2:$A$7</definedName>
    <definedName name="CN_100_4P" localSheetId="4">#REF!</definedName>
    <definedName name="CN_100_4P" localSheetId="9">#REF!</definedName>
    <definedName name="CN_100_4P" localSheetId="8">#REF!</definedName>
    <definedName name="CN_100_4P">#REF!</definedName>
    <definedName name="CN_160_4P" localSheetId="4">#REF!</definedName>
    <definedName name="CN_160_4P" localSheetId="9">#REF!</definedName>
    <definedName name="CN_160_4P" localSheetId="8">#REF!</definedName>
    <definedName name="CN_160_4P">#REF!</definedName>
    <definedName name="CN_250" localSheetId="4">#REF!</definedName>
    <definedName name="CN_250" localSheetId="9">#REF!</definedName>
    <definedName name="CN_250" localSheetId="8">#REF!</definedName>
    <definedName name="CN_250">#REF!</definedName>
    <definedName name="CN_250_4P" localSheetId="4">#REF!</definedName>
    <definedName name="CN_250_4P" localSheetId="9">#REF!</definedName>
    <definedName name="CN_250_4P" localSheetId="8">#REF!</definedName>
    <definedName name="CN_250_4P">#REF!</definedName>
    <definedName name="CO">'[47]labour rates'!$C$7</definedName>
    <definedName name="CO_GG" localSheetId="4">#REF!</definedName>
    <definedName name="CO_GG" localSheetId="9">#REF!</definedName>
    <definedName name="CO_GG" localSheetId="8">#REF!</definedName>
    <definedName name="CO_GG">#REF!</definedName>
    <definedName name="COAD">'[48]Civil Works'!$K$7</definedName>
    <definedName name="coalsp" localSheetId="4">#REF!</definedName>
    <definedName name="coalsp" localSheetId="9">#REF!</definedName>
    <definedName name="coalsp" localSheetId="8">#REF!</definedName>
    <definedName name="coalsp">#REF!</definedName>
    <definedName name="Coarse_Sand" localSheetId="4">#REF!</definedName>
    <definedName name="Coarse_Sand" localSheetId="9">#REF!</definedName>
    <definedName name="Coarse_Sand" localSheetId="8">#REF!</definedName>
    <definedName name="Coarse_Sand">#REF!</definedName>
    <definedName name="cobo" localSheetId="4">#REF!</definedName>
    <definedName name="cobo" localSheetId="9">#REF!</definedName>
    <definedName name="cobo" localSheetId="8">#REF!</definedName>
    <definedName name="cobo">#REF!</definedName>
    <definedName name="CODE" localSheetId="4">#REF!</definedName>
    <definedName name="CODE" localSheetId="9">#REF!</definedName>
    <definedName name="CODE" localSheetId="8">#REF!</definedName>
    <definedName name="CODE">#REF!</definedName>
    <definedName name="coimbatore" localSheetId="4">#REF!</definedName>
    <definedName name="coimbatore" localSheetId="9">#REF!</definedName>
    <definedName name="coimbatore" localSheetId="8">#REF!</definedName>
    <definedName name="coimbatore">#REF!</definedName>
    <definedName name="coimbatore_7" localSheetId="4">#REF!</definedName>
    <definedName name="coimbatore_7" localSheetId="9">#REF!</definedName>
    <definedName name="coimbatore_7" localSheetId="8">#REF!</definedName>
    <definedName name="coimbatore_7">#REF!</definedName>
    <definedName name="col" localSheetId="4">#REF!</definedName>
    <definedName name="col" localSheetId="9">#REF!</definedName>
    <definedName name="col" localSheetId="8">#REF!</definedName>
    <definedName name="col">#REF!</definedName>
    <definedName name="col___0" localSheetId="4">#REF!</definedName>
    <definedName name="col___0" localSheetId="9">#REF!</definedName>
    <definedName name="col___0" localSheetId="8">#REF!</definedName>
    <definedName name="col___0">#REF!</definedName>
    <definedName name="col___11" localSheetId="4">#REF!</definedName>
    <definedName name="col___11" localSheetId="9">#REF!</definedName>
    <definedName name="col___11" localSheetId="8">#REF!</definedName>
    <definedName name="col___11">#REF!</definedName>
    <definedName name="col___12" localSheetId="4">#REF!</definedName>
    <definedName name="col___12" localSheetId="9">#REF!</definedName>
    <definedName name="col___12" localSheetId="8">#REF!</definedName>
    <definedName name="col___12">#REF!</definedName>
    <definedName name="Col_GP_1" localSheetId="4">#REF!</definedName>
    <definedName name="Col_GP_1" localSheetId="9">#REF!</definedName>
    <definedName name="Col_GP_1" localSheetId="6">#REF!</definedName>
    <definedName name="Col_GP_1" localSheetId="8">#REF!</definedName>
    <definedName name="Col_GP_1">#REF!</definedName>
    <definedName name="Col_ID_1" localSheetId="4">#REF!</definedName>
    <definedName name="Col_ID_1" localSheetId="9">#REF!</definedName>
    <definedName name="Col_ID_1" localSheetId="6">#REF!</definedName>
    <definedName name="Col_ID_1" localSheetId="8">#REF!</definedName>
    <definedName name="Col_ID_1">#REF!</definedName>
    <definedName name="Colbgl" localSheetId="4">#REF!</definedName>
    <definedName name="Colbgl" localSheetId="9">#REF!</definedName>
    <definedName name="Colbgl" localSheetId="8">#REF!</definedName>
    <definedName name="Colbgl">#REF!</definedName>
    <definedName name="colbgl2" localSheetId="4">#REF!</definedName>
    <definedName name="colbgl2" localSheetId="9">#REF!</definedName>
    <definedName name="colbgl2" localSheetId="8">#REF!</definedName>
    <definedName name="colbgl2">#REF!</definedName>
    <definedName name="Cold_twisted_steel_bars___TMT" localSheetId="4">#REF!</definedName>
    <definedName name="Cold_twisted_steel_bars___TMT" localSheetId="9">#REF!</definedName>
    <definedName name="Cold_twisted_steel_bars___TMT" localSheetId="8">#REF!</definedName>
    <definedName name="Cold_twisted_steel_bars___TMT">#REF!</definedName>
    <definedName name="Column_Clamp" localSheetId="4">#REF!</definedName>
    <definedName name="Column_Clamp" localSheetId="9">#REF!</definedName>
    <definedName name="Column_Clamp" localSheetId="8">#REF!</definedName>
    <definedName name="Column_Clamp">#REF!</definedName>
    <definedName name="Columns" localSheetId="4">#REF!</definedName>
    <definedName name="Columns" localSheetId="9">#REF!</definedName>
    <definedName name="Columns" localSheetId="8">#REF!</definedName>
    <definedName name="Columns">#REF!</definedName>
    <definedName name="Commencement">[49]Data!$C$6</definedName>
    <definedName name="Communications" localSheetId="4">[29]Detail!#REF!</definedName>
    <definedName name="Communications" localSheetId="9">[29]Detail!#REF!</definedName>
    <definedName name="Communications" localSheetId="8">[29]Detail!#REF!</definedName>
    <definedName name="Communications">[29]Detail!#REF!</definedName>
    <definedName name="Company" localSheetId="4">#REF!</definedName>
    <definedName name="Company" localSheetId="9">#REF!</definedName>
    <definedName name="Company" localSheetId="6">"#REF!"</definedName>
    <definedName name="Company" localSheetId="8">"#REF!"</definedName>
    <definedName name="Company">#REF!</definedName>
    <definedName name="Company_3" localSheetId="4">#REF!</definedName>
    <definedName name="Company_3" localSheetId="9">#REF!</definedName>
    <definedName name="Company_3" localSheetId="6">#REF!</definedName>
    <definedName name="Company_3" localSheetId="8">#REF!</definedName>
    <definedName name="Company_3">#REF!</definedName>
    <definedName name="CompDate" localSheetId="4">#REF!</definedName>
    <definedName name="CompDate" localSheetId="9">#REF!</definedName>
    <definedName name="CompDate" localSheetId="8">#REF!</definedName>
    <definedName name="CompDate">#REF!</definedName>
    <definedName name="CompDate_4" localSheetId="4">#REF!</definedName>
    <definedName name="CompDate_4" localSheetId="9">#REF!</definedName>
    <definedName name="CompDate_4" localSheetId="8">#REF!</definedName>
    <definedName name="CompDate_4">#REF!</definedName>
    <definedName name="CompDate_6" localSheetId="4">#REF!</definedName>
    <definedName name="CompDate_6" localSheetId="9">#REF!</definedName>
    <definedName name="CompDate_6" localSheetId="8">#REF!</definedName>
    <definedName name="CompDate_6">#REF!</definedName>
    <definedName name="COMPUTER" localSheetId="4">#REF!</definedName>
    <definedName name="COMPUTER" localSheetId="9">#REF!</definedName>
    <definedName name="COMPUTER" localSheetId="8">#REF!</definedName>
    <definedName name="COMPUTER">#REF!</definedName>
    <definedName name="con" localSheetId="4">#REF!</definedName>
    <definedName name="con" localSheetId="9">#REF!</definedName>
    <definedName name="con" localSheetId="8">#REF!</definedName>
    <definedName name="con">#REF!</definedName>
    <definedName name="CON100L" localSheetId="4">[15]ABB!#REF!</definedName>
    <definedName name="CON100L" localSheetId="9">[15]ABB!#REF!</definedName>
    <definedName name="CON100L" localSheetId="8">[15]ABB!#REF!</definedName>
    <definedName name="CON100L">[15]ABB!#REF!</definedName>
    <definedName name="CON100S" localSheetId="4">#REF!</definedName>
    <definedName name="CON100S" localSheetId="9">#REF!</definedName>
    <definedName name="CON100S" localSheetId="8">#REF!</definedName>
    <definedName name="CON100S">#REF!</definedName>
    <definedName name="CON120S" localSheetId="4">#REF!</definedName>
    <definedName name="CON120S" localSheetId="9">#REF!</definedName>
    <definedName name="CON120S" localSheetId="8">#REF!</definedName>
    <definedName name="CON120S">#REF!</definedName>
    <definedName name="CON130S" localSheetId="4">#REF!</definedName>
    <definedName name="CON130S" localSheetId="9">#REF!</definedName>
    <definedName name="CON130S" localSheetId="8">#REF!</definedName>
    <definedName name="CON130S">#REF!</definedName>
    <definedName name="CON145A" localSheetId="4">#REF!</definedName>
    <definedName name="CON145A" localSheetId="9">#REF!</definedName>
    <definedName name="CON145A" localSheetId="8">#REF!</definedName>
    <definedName name="CON145A">#REF!</definedName>
    <definedName name="CON160S" localSheetId="4">#REF!</definedName>
    <definedName name="CON160S" localSheetId="9">#REF!</definedName>
    <definedName name="CON160S" localSheetId="8">#REF!</definedName>
    <definedName name="CON160S">#REF!</definedName>
    <definedName name="CON16A" localSheetId="4">#REF!</definedName>
    <definedName name="CON16A" localSheetId="9">#REF!</definedName>
    <definedName name="CON16A" localSheetId="8">#REF!</definedName>
    <definedName name="CON16A">#REF!</definedName>
    <definedName name="CON16G" localSheetId="4">[17]Costing!#REF!</definedName>
    <definedName name="CON16G" localSheetId="9">[17]Costing!#REF!</definedName>
    <definedName name="CON16G" localSheetId="8">[17]Costing!#REF!</definedName>
    <definedName name="CON16G">[17]Costing!#REF!</definedName>
    <definedName name="CON16S" localSheetId="4">#REF!</definedName>
    <definedName name="CON16S" localSheetId="9">#REF!</definedName>
    <definedName name="CON16S" localSheetId="8">#REF!</definedName>
    <definedName name="CON16S">#REF!</definedName>
    <definedName name="CON200S" localSheetId="4">#REF!</definedName>
    <definedName name="CON200S" localSheetId="9">#REF!</definedName>
    <definedName name="CON200S" localSheetId="8">#REF!</definedName>
    <definedName name="CON200S">#REF!</definedName>
    <definedName name="con210_t" localSheetId="4">[50]Costing!#REF!</definedName>
    <definedName name="con210_t" localSheetId="9">[50]Costing!#REF!</definedName>
    <definedName name="con210_t" localSheetId="8">[50]Costing!#REF!</definedName>
    <definedName name="con210_t">[50]Costing!#REF!</definedName>
    <definedName name="CON25F" localSheetId="4">#REF!</definedName>
    <definedName name="CON25F" localSheetId="9">#REF!</definedName>
    <definedName name="CON25F" localSheetId="8">#REF!</definedName>
    <definedName name="CON25F">#REF!</definedName>
    <definedName name="CON25FS" localSheetId="4">#REF!</definedName>
    <definedName name="CON25FS" localSheetId="9">#REF!</definedName>
    <definedName name="CON25FS" localSheetId="8">#REF!</definedName>
    <definedName name="CON25FS">#REF!</definedName>
    <definedName name="CON25S" localSheetId="4">#REF!</definedName>
    <definedName name="CON25S" localSheetId="9">#REF!</definedName>
    <definedName name="CON25S" localSheetId="8">#REF!</definedName>
    <definedName name="CON25S">#REF!</definedName>
    <definedName name="CON300S" localSheetId="4">#REF!</definedName>
    <definedName name="CON300S" localSheetId="9">#REF!</definedName>
    <definedName name="CON300S" localSheetId="8">#REF!</definedName>
    <definedName name="CON300S">#REF!</definedName>
    <definedName name="CON32A" localSheetId="4">#REF!</definedName>
    <definedName name="CON32A" localSheetId="9">#REF!</definedName>
    <definedName name="CON32A" localSheetId="8">#REF!</definedName>
    <definedName name="CON32A">#REF!</definedName>
    <definedName name="CON32G" localSheetId="4">[17]Costing!#REF!</definedName>
    <definedName name="CON32G" localSheetId="9">[17]Costing!#REF!</definedName>
    <definedName name="CON32G" localSheetId="8">[17]Costing!#REF!</definedName>
    <definedName name="CON32G">[17]Costing!#REF!</definedName>
    <definedName name="CON400S" localSheetId="4">#REF!</definedName>
    <definedName name="CON400S" localSheetId="9">#REF!</definedName>
    <definedName name="CON400S" localSheetId="8">#REF!</definedName>
    <definedName name="CON400S">#REF!</definedName>
    <definedName name="CON40G" localSheetId="4">[17]Costing!#REF!</definedName>
    <definedName name="CON40G" localSheetId="9">[17]Costing!#REF!</definedName>
    <definedName name="CON40G" localSheetId="8">[17]Costing!#REF!</definedName>
    <definedName name="CON40G">[17]Costing!#REF!</definedName>
    <definedName name="CON40S" localSheetId="4">#REF!</definedName>
    <definedName name="CON40S" localSheetId="9">#REF!</definedName>
    <definedName name="CON40S" localSheetId="8">#REF!</definedName>
    <definedName name="CON40S">#REF!</definedName>
    <definedName name="CON60A" localSheetId="4">#REF!</definedName>
    <definedName name="CON60A" localSheetId="9">#REF!</definedName>
    <definedName name="CON60A" localSheetId="8">#REF!</definedName>
    <definedName name="CON60A">#REF!</definedName>
    <definedName name="CON60S" localSheetId="4">#REF!</definedName>
    <definedName name="CON60S" localSheetId="9">#REF!</definedName>
    <definedName name="CON60S" localSheetId="8">#REF!</definedName>
    <definedName name="CON60S">#REF!</definedName>
    <definedName name="CON63G" localSheetId="4">[17]Costing!#REF!</definedName>
    <definedName name="CON63G" localSheetId="9">[17]Costing!#REF!</definedName>
    <definedName name="CON63G" localSheetId="8">[17]Costing!#REF!</definedName>
    <definedName name="CON63G">[17]Costing!#REF!</definedName>
    <definedName name="con65kr_abb" localSheetId="4">[13]Cost_Any.!#REF!</definedName>
    <definedName name="con65kr_abb" localSheetId="9">[13]Cost_Any.!#REF!</definedName>
    <definedName name="con65kr_abb" localSheetId="8">[13]Cost_Any.!#REF!</definedName>
    <definedName name="con65kr_abb">[13]Cost_Any.!#REF!</definedName>
    <definedName name="CON70G" localSheetId="4">[17]Costing!#REF!</definedName>
    <definedName name="CON70G" localSheetId="9">[17]Costing!#REF!</definedName>
    <definedName name="CON70G" localSheetId="8">[17]Costing!#REF!</definedName>
    <definedName name="CON70G">[17]Costing!#REF!</definedName>
    <definedName name="CON70S" localSheetId="4">#REF!</definedName>
    <definedName name="CON70S" localSheetId="9">#REF!</definedName>
    <definedName name="CON70S" localSheetId="8">#REF!</definedName>
    <definedName name="CON70S">#REF!</definedName>
    <definedName name="CON80S" localSheetId="4">#REF!</definedName>
    <definedName name="CON80S" localSheetId="9">#REF!</definedName>
    <definedName name="CON80S" localSheetId="8">#REF!</definedName>
    <definedName name="CON80S">#REF!</definedName>
    <definedName name="condf" localSheetId="4">#REF!</definedName>
    <definedName name="condf" localSheetId="9">#REF!</definedName>
    <definedName name="condf" localSheetId="8">#REF!</definedName>
    <definedName name="condf">#REF!</definedName>
    <definedName name="conf" localSheetId="4">#REF!</definedName>
    <definedName name="conf" localSheetId="9">#REF!</definedName>
    <definedName name="conf" localSheetId="8">#REF!</definedName>
    <definedName name="conf">#REF!</definedName>
    <definedName name="conf_4" localSheetId="4">#REF!</definedName>
    <definedName name="conf_4" localSheetId="9">#REF!</definedName>
    <definedName name="conf_4" localSheetId="8">#REF!</definedName>
    <definedName name="conf_4">#REF!</definedName>
    <definedName name="conf_6" localSheetId="4">#REF!</definedName>
    <definedName name="conf_6" localSheetId="9">#REF!</definedName>
    <definedName name="conf_6" localSheetId="8">#REF!</definedName>
    <definedName name="conf_6">#REF!</definedName>
    <definedName name="config">[51]Sheet3!$A$1:$B$65536</definedName>
    <definedName name="conm" localSheetId="4">#REF!</definedName>
    <definedName name="conm" localSheetId="9">#REF!</definedName>
    <definedName name="conm" localSheetId="8">#REF!</definedName>
    <definedName name="conm">#REF!</definedName>
    <definedName name="conmsf">[52]factors!$J$8</definedName>
    <definedName name="conpmp" localSheetId="4">#REF!</definedName>
    <definedName name="conpmp" localSheetId="9">#REF!</definedName>
    <definedName name="conpmp" localSheetId="8">#REF!</definedName>
    <definedName name="conpmp">#REF!</definedName>
    <definedName name="cons" localSheetId="4">#REF!</definedName>
    <definedName name="cons" localSheetId="9">#REF!</definedName>
    <definedName name="cons" localSheetId="8">#REF!</definedName>
    <definedName name="cons">#REF!</definedName>
    <definedName name="constrn" localSheetId="4">#REF!</definedName>
    <definedName name="constrn" localSheetId="9">#REF!</definedName>
    <definedName name="constrn" localSheetId="8">#REF!</definedName>
    <definedName name="constrn">#REF!</definedName>
    <definedName name="Construction_Period" localSheetId="4">#REF!</definedName>
    <definedName name="Construction_Period" localSheetId="9">#REF!</definedName>
    <definedName name="Construction_Period" localSheetId="8">#REF!</definedName>
    <definedName name="Construction_Period">#REF!</definedName>
    <definedName name="consultants">[53]Mat_Cost!$A$3</definedName>
    <definedName name="Contact" localSheetId="4">#REF!</definedName>
    <definedName name="Contact" localSheetId="9">#REF!</definedName>
    <definedName name="Contact" localSheetId="8">#REF!</definedName>
    <definedName name="Contact">#REF!</definedName>
    <definedName name="ContAmt" localSheetId="4">#REF!</definedName>
    <definedName name="ContAmt" localSheetId="9">#REF!</definedName>
    <definedName name="ContAmt" localSheetId="8">#REF!</definedName>
    <definedName name="ContAmt">#REF!</definedName>
    <definedName name="ContAmt_4" localSheetId="4">#REF!</definedName>
    <definedName name="ContAmt_4" localSheetId="9">#REF!</definedName>
    <definedName name="ContAmt_4" localSheetId="8">#REF!</definedName>
    <definedName name="ContAmt_4">#REF!</definedName>
    <definedName name="ContAmt_6" localSheetId="4">#REF!</definedName>
    <definedName name="ContAmt_6" localSheetId="9">#REF!</definedName>
    <definedName name="ContAmt_6" localSheetId="8">#REF!</definedName>
    <definedName name="ContAmt_6">#REF!</definedName>
    <definedName name="Contingency">'[54]Cat A Change Control'!$A$1:$Q$48</definedName>
    <definedName name="ContWithAcct" localSheetId="4">#REF!</definedName>
    <definedName name="ContWithAcct" localSheetId="9">#REF!</definedName>
    <definedName name="ContWithAcct" localSheetId="8">#REF!</definedName>
    <definedName name="ContWithAcct">#REF!</definedName>
    <definedName name="ContWithAcct_4" localSheetId="4">#REF!</definedName>
    <definedName name="ContWithAcct_4" localSheetId="9">#REF!</definedName>
    <definedName name="ContWithAcct_4" localSheetId="8">#REF!</definedName>
    <definedName name="ContWithAcct_4">#REF!</definedName>
    <definedName name="ContWithAcct_6" localSheetId="4">#REF!</definedName>
    <definedName name="ContWithAcct_6" localSheetId="9">#REF!</definedName>
    <definedName name="ContWithAcct_6" localSheetId="8">#REF!</definedName>
    <definedName name="ContWithAcct_6">#REF!</definedName>
    <definedName name="ContWithName" localSheetId="4">#REF!</definedName>
    <definedName name="ContWithName" localSheetId="9">#REF!</definedName>
    <definedName name="ContWithName" localSheetId="8">#REF!</definedName>
    <definedName name="ContWithName">#REF!</definedName>
    <definedName name="ContWithName_4" localSheetId="4">#REF!</definedName>
    <definedName name="ContWithName_4" localSheetId="9">#REF!</definedName>
    <definedName name="ContWithName_4" localSheetId="8">#REF!</definedName>
    <definedName name="ContWithName_4">#REF!</definedName>
    <definedName name="ContWithName_6" localSheetId="4">#REF!</definedName>
    <definedName name="ContWithName_6" localSheetId="9">#REF!</definedName>
    <definedName name="ContWithName_6" localSheetId="8">#REF!</definedName>
    <definedName name="ContWithName_6">#REF!</definedName>
    <definedName name="ContWithPrio" localSheetId="4">#REF!</definedName>
    <definedName name="ContWithPrio" localSheetId="9">#REF!</definedName>
    <definedName name="ContWithPrio" localSheetId="8">#REF!</definedName>
    <definedName name="ContWithPrio">#REF!</definedName>
    <definedName name="ContWithPrio_4" localSheetId="4">#REF!</definedName>
    <definedName name="ContWithPrio_4" localSheetId="9">#REF!</definedName>
    <definedName name="ContWithPrio_4" localSheetId="8">#REF!</definedName>
    <definedName name="ContWithPrio_4">#REF!</definedName>
    <definedName name="ContWithPrio_6" localSheetId="4">#REF!</definedName>
    <definedName name="ContWithPrio_6" localSheetId="9">#REF!</definedName>
    <definedName name="ContWithPrio_6" localSheetId="8">#REF!</definedName>
    <definedName name="ContWithPrio_6">#REF!</definedName>
    <definedName name="ContWithPrio_Text" localSheetId="4">#REF!</definedName>
    <definedName name="ContWithPrio_Text" localSheetId="9">#REF!</definedName>
    <definedName name="ContWithPrio_Text" localSheetId="8">#REF!</definedName>
    <definedName name="ContWithPrio_Text">#REF!</definedName>
    <definedName name="ContWithPrio_Text_4" localSheetId="4">#REF!</definedName>
    <definedName name="ContWithPrio_Text_4" localSheetId="9">#REF!</definedName>
    <definedName name="ContWithPrio_Text_4" localSheetId="8">#REF!</definedName>
    <definedName name="ContWithPrio_Text_4">#REF!</definedName>
    <definedName name="ContWithPrio_Text_6" localSheetId="4">#REF!</definedName>
    <definedName name="ContWithPrio_Text_6" localSheetId="9">#REF!</definedName>
    <definedName name="ContWithPrio_Text_6" localSheetId="8">#REF!</definedName>
    <definedName name="ContWithPrio_Text_6">#REF!</definedName>
    <definedName name="CONum" localSheetId="4">#REF!</definedName>
    <definedName name="CONum" localSheetId="9">#REF!</definedName>
    <definedName name="CONum" localSheetId="8">#REF!</definedName>
    <definedName name="CONum">#REF!</definedName>
    <definedName name="CONum_4" localSheetId="4">#REF!</definedName>
    <definedName name="CONum_4" localSheetId="9">#REF!</definedName>
    <definedName name="CONum_4" localSheetId="8">#REF!</definedName>
    <definedName name="CONum_4">#REF!</definedName>
    <definedName name="CONum_6" localSheetId="4">#REF!</definedName>
    <definedName name="CONum_6" localSheetId="9">#REF!</definedName>
    <definedName name="CONum_6" localSheetId="8">#REF!</definedName>
    <definedName name="CONum_6">#REF!</definedName>
    <definedName name="Conv" localSheetId="4">#REF!</definedName>
    <definedName name="Conv" localSheetId="9">#REF!</definedName>
    <definedName name="Conv" localSheetId="8">#REF!</definedName>
    <definedName name="Conv">#REF!</definedName>
    <definedName name="COO" localSheetId="4">#REF!</definedName>
    <definedName name="COO" localSheetId="9">#REF!</definedName>
    <definedName name="COO" localSheetId="8">#REF!</definedName>
    <definedName name="COO">#REF!</definedName>
    <definedName name="cook" localSheetId="4">#REF!</definedName>
    <definedName name="cook" localSheetId="9">#REF!</definedName>
    <definedName name="cook" localSheetId="8">#REF!</definedName>
    <definedName name="cook">#REF!</definedName>
    <definedName name="COOL" localSheetId="4">#REF!</definedName>
    <definedName name="COOL" localSheetId="9">#REF!</definedName>
    <definedName name="COOL" localSheetId="8">#REF!</definedName>
    <definedName name="COOL">#REF!</definedName>
    <definedName name="cord" localSheetId="4">#REF!</definedName>
    <definedName name="cord" localSheetId="9">#REF!</definedName>
    <definedName name="cord" localSheetId="8">#REF!</definedName>
    <definedName name="cord">#REF!</definedName>
    <definedName name="Corner_Ange_2.5m" localSheetId="4">#REF!</definedName>
    <definedName name="Corner_Ange_2.5m" localSheetId="9">#REF!</definedName>
    <definedName name="Corner_Ange_2.5m" localSheetId="8">#REF!</definedName>
    <definedName name="Corner_Ange_2.5m">#REF!</definedName>
    <definedName name="Corner_Angel" localSheetId="4">#REF!</definedName>
    <definedName name="Corner_Angel" localSheetId="9">#REF!</definedName>
    <definedName name="Corner_Angel" localSheetId="8">#REF!</definedName>
    <definedName name="Corner_Angel">#REF!</definedName>
    <definedName name="Corner_Angel_1.5m" localSheetId="4">#REF!</definedName>
    <definedName name="Corner_Angel_1.5m" localSheetId="9">#REF!</definedName>
    <definedName name="Corner_Angel_1.5m" localSheetId="8">#REF!</definedName>
    <definedName name="Corner_Angel_1.5m">#REF!</definedName>
    <definedName name="CorpClient" localSheetId="4">#REF!</definedName>
    <definedName name="CorpClient" localSheetId="9">#REF!</definedName>
    <definedName name="CorpClient" localSheetId="8">#REF!</definedName>
    <definedName name="CorpClient">#REF!</definedName>
    <definedName name="CorpClient_4" localSheetId="4">#REF!</definedName>
    <definedName name="CorpClient_4" localSheetId="9">#REF!</definedName>
    <definedName name="CorpClient_4" localSheetId="8">#REF!</definedName>
    <definedName name="CorpClient_4">#REF!</definedName>
    <definedName name="CorpClient_6" localSheetId="4">#REF!</definedName>
    <definedName name="CorpClient_6" localSheetId="9">#REF!</definedName>
    <definedName name="CorpClient_6" localSheetId="8">#REF!</definedName>
    <definedName name="CorpClient_6">#REF!</definedName>
    <definedName name="CorpClient_Text" localSheetId="4">#REF!</definedName>
    <definedName name="CorpClient_Text" localSheetId="9">#REF!</definedName>
    <definedName name="CorpClient_Text" localSheetId="8">#REF!</definedName>
    <definedName name="CorpClient_Text">#REF!</definedName>
    <definedName name="CorpClient_Text_4" localSheetId="4">#REF!</definedName>
    <definedName name="CorpClient_Text_4" localSheetId="9">#REF!</definedName>
    <definedName name="CorpClient_Text_4" localSheetId="8">#REF!</definedName>
    <definedName name="CorpClient_Text_4">#REF!</definedName>
    <definedName name="CorpClient_Text_6" localSheetId="4">#REF!</definedName>
    <definedName name="CorpClient_Text_6" localSheetId="9">#REF!</definedName>
    <definedName name="CorpClient_Text_6" localSheetId="8">#REF!</definedName>
    <definedName name="CorpClient_Text_6">#REF!</definedName>
    <definedName name="COS250S" localSheetId="4">[14]Costing!#REF!</definedName>
    <definedName name="COS250S" localSheetId="9">[14]Costing!#REF!</definedName>
    <definedName name="COS250S" localSheetId="8">[14]Costing!#REF!</definedName>
    <definedName name="COS250S">[14]Costing!#REF!</definedName>
    <definedName name="COS400F" localSheetId="4">[14]Costing!#REF!</definedName>
    <definedName name="COS400F" localSheetId="9">[14]Costing!#REF!</definedName>
    <definedName name="COS400F" localSheetId="8">[14]Costing!#REF!</definedName>
    <definedName name="COS400F">[14]Costing!#REF!</definedName>
    <definedName name="COS630F" localSheetId="4">[14]Costing!#REF!</definedName>
    <definedName name="COS630F" localSheetId="9">[14]Costing!#REF!</definedName>
    <definedName name="COS630F" localSheetId="8">[14]Costing!#REF!</definedName>
    <definedName name="COS630F">[14]Costing!#REF!</definedName>
    <definedName name="Cost_for_10_Hp_Hr." localSheetId="4">[12]SOR!#REF!</definedName>
    <definedName name="Cost_for_10_Hp_Hr." localSheetId="9">[12]SOR!#REF!</definedName>
    <definedName name="Cost_for_10_Hp_Hr." localSheetId="8">[12]SOR!#REF!</definedName>
    <definedName name="Cost_for_10_Hp_Hr.">[12]SOR!#REF!</definedName>
    <definedName name="Cost_of_water_including_filling_the_tanker" localSheetId="4">[12]SOR!#REF!</definedName>
    <definedName name="Cost_of_water_including_filling_the_tanker" localSheetId="9">[12]SOR!#REF!</definedName>
    <definedName name="Cost_of_water_including_filling_the_tanker" localSheetId="8">[12]SOR!#REF!</definedName>
    <definedName name="Cost_of_water_including_filling_the_tanker">[12]SOR!#REF!</definedName>
    <definedName name="COU" localSheetId="4">#REF!</definedName>
    <definedName name="COU" localSheetId="9">#REF!</definedName>
    <definedName name="COU" localSheetId="8">#REF!</definedName>
    <definedName name="COU">#REF!</definedName>
    <definedName name="COU___0" localSheetId="4">#REF!</definedName>
    <definedName name="COU___0" localSheetId="9">#REF!</definedName>
    <definedName name="COU___0" localSheetId="8">#REF!</definedName>
    <definedName name="COU___0">#REF!</definedName>
    <definedName name="COU___13" localSheetId="4">#REF!</definedName>
    <definedName name="COU___13" localSheetId="9">#REF!</definedName>
    <definedName name="COU___13" localSheetId="8">#REF!</definedName>
    <definedName name="COU___13">#REF!</definedName>
    <definedName name="Country">"#REF!"</definedName>
    <definedName name="Country_1">"#REF!"</definedName>
    <definedName name="Country_1_3" localSheetId="4">#REF!</definedName>
    <definedName name="Country_1_3" localSheetId="9">#REF!</definedName>
    <definedName name="Country_1_3" localSheetId="6">#REF!</definedName>
    <definedName name="Country_1_3" localSheetId="8">#REF!</definedName>
    <definedName name="Country_1_3">#REF!</definedName>
    <definedName name="Country_3" localSheetId="4">#REF!</definedName>
    <definedName name="Country_3" localSheetId="9">#REF!</definedName>
    <definedName name="Country_3" localSheetId="6">#REF!</definedName>
    <definedName name="Country_3" localSheetId="8">#REF!</definedName>
    <definedName name="Country_3">#REF!</definedName>
    <definedName name="Country_3_1">"#REF!"</definedName>
    <definedName name="Country_3_3" localSheetId="4">#REF!</definedName>
    <definedName name="Country_3_3" localSheetId="9">#REF!</definedName>
    <definedName name="Country_3_3" localSheetId="6">#REF!</definedName>
    <definedName name="Country_3_3" localSheetId="8">#REF!</definedName>
    <definedName name="Country_3_3">#REF!</definedName>
    <definedName name="Cover_blocks" localSheetId="4">[12]SOR!#REF!</definedName>
    <definedName name="Cover_blocks" localSheetId="9">[12]SOR!#REF!</definedName>
    <definedName name="Cover_blocks" localSheetId="8">[12]SOR!#REF!</definedName>
    <definedName name="Cover_blocks">[12]SOR!#REF!</definedName>
    <definedName name="cprop" localSheetId="4">#REF!</definedName>
    <definedName name="cprop" localSheetId="9">#REF!</definedName>
    <definedName name="cprop" localSheetId="8">#REF!</definedName>
    <definedName name="cprop">#REF!</definedName>
    <definedName name="Cr" localSheetId="4">#REF!</definedName>
    <definedName name="Cr" localSheetId="9">#REF!</definedName>
    <definedName name="Cr" localSheetId="8">#REF!</definedName>
    <definedName name="Cr">#REF!</definedName>
    <definedName name="cran20" localSheetId="4">#REF!</definedName>
    <definedName name="cran20" localSheetId="9">#REF!</definedName>
    <definedName name="cran20" localSheetId="8">#REF!</definedName>
    <definedName name="cran20">#REF!</definedName>
    <definedName name="crane" localSheetId="4">#REF!</definedName>
    <definedName name="crane" localSheetId="9">#REF!</definedName>
    <definedName name="crane" localSheetId="8">#REF!</definedName>
    <definedName name="crane">#REF!</definedName>
    <definedName name="_xlnm.Criteria" localSheetId="4">#REF!</definedName>
    <definedName name="_xlnm.Criteria" localSheetId="9">#REF!</definedName>
    <definedName name="_xlnm.Criteria" localSheetId="8">#REF!</definedName>
    <definedName name="_xlnm.Criteria">#REF!</definedName>
    <definedName name="Criteria_MI" localSheetId="4">#REF!</definedName>
    <definedName name="Criteria_MI" localSheetId="9">#REF!</definedName>
    <definedName name="Criteria_MI" localSheetId="8">#REF!</definedName>
    <definedName name="Criteria_MI">#REF!</definedName>
    <definedName name="crsobpl">'[43]TBAL9697 -group wise  sdpl'!$A$34</definedName>
    <definedName name="Cs" localSheetId="4">#REF!</definedName>
    <definedName name="Cs" localSheetId="9">#REF!</definedName>
    <definedName name="Cs" localSheetId="8">#REF!</definedName>
    <definedName name="Cs">#REF!</definedName>
    <definedName name="Cs___0" localSheetId="4">#REF!</definedName>
    <definedName name="Cs___0" localSheetId="9">#REF!</definedName>
    <definedName name="Cs___0" localSheetId="8">#REF!</definedName>
    <definedName name="Cs___0">#REF!</definedName>
    <definedName name="Cs___13" localSheetId="4">#REF!</definedName>
    <definedName name="Cs___13" localSheetId="9">#REF!</definedName>
    <definedName name="Cs___13" localSheetId="8">#REF!</definedName>
    <definedName name="Cs___13">#REF!</definedName>
    <definedName name="cscsd">'[55]Meas.-Hotel Part'!$F$152</definedName>
    <definedName name="CSR">[24]MG!$I$214</definedName>
    <definedName name="csshade" localSheetId="4">#REF!</definedName>
    <definedName name="csshade" localSheetId="9">#REF!</definedName>
    <definedName name="csshade" localSheetId="8">#REF!</definedName>
    <definedName name="csshade">#REF!</definedName>
    <definedName name="cst" localSheetId="4">#REF!</definedName>
    <definedName name="cst" localSheetId="9">#REF!</definedName>
    <definedName name="cst" localSheetId="8">#REF!</definedName>
    <definedName name="cst">#REF!</definedName>
    <definedName name="cstf" localSheetId="4">#REF!</definedName>
    <definedName name="cstf" localSheetId="9">#REF!</definedName>
    <definedName name="cstf" localSheetId="8">#REF!</definedName>
    <definedName name="cstf">#REF!</definedName>
    <definedName name="csu" localSheetId="4">#REF!</definedName>
    <definedName name="csu" localSheetId="9">#REF!</definedName>
    <definedName name="csu" localSheetId="8">#REF!</definedName>
    <definedName name="csu">#REF!</definedName>
    <definedName name="CSY">[56]Costing!$H$13</definedName>
    <definedName name="ct100t" localSheetId="4">#REF!</definedName>
    <definedName name="ct100t" localSheetId="9">#REF!</definedName>
    <definedName name="ct100t" localSheetId="8">#REF!</definedName>
    <definedName name="ct100t">#REF!</definedName>
    <definedName name="CT1250T" localSheetId="4">#REF!</definedName>
    <definedName name="CT1250T" localSheetId="9">#REF!</definedName>
    <definedName name="CT1250T" localSheetId="8">#REF!</definedName>
    <definedName name="CT1250T">#REF!</definedName>
    <definedName name="CT1600T" localSheetId="4">#REF!</definedName>
    <definedName name="CT1600T" localSheetId="9">#REF!</definedName>
    <definedName name="CT1600T" localSheetId="8">#REF!</definedName>
    <definedName name="CT1600T">#REF!</definedName>
    <definedName name="ct160t" localSheetId="4">#REF!</definedName>
    <definedName name="ct160t" localSheetId="9">#REF!</definedName>
    <definedName name="ct160t" localSheetId="8">#REF!</definedName>
    <definedName name="ct160t">#REF!</definedName>
    <definedName name="CT2000T" localSheetId="4">#REF!</definedName>
    <definedName name="CT2000T" localSheetId="9">#REF!</definedName>
    <definedName name="CT2000T" localSheetId="8">#REF!</definedName>
    <definedName name="CT2000T">#REF!</definedName>
    <definedName name="ct250t" localSheetId="4">#REF!</definedName>
    <definedName name="ct250t" localSheetId="9">#REF!</definedName>
    <definedName name="ct250t" localSheetId="8">#REF!</definedName>
    <definedName name="ct250t">#REF!</definedName>
    <definedName name="CT3200T" localSheetId="4">#REF!</definedName>
    <definedName name="CT3200T" localSheetId="9">#REF!</definedName>
    <definedName name="CT3200T" localSheetId="8">#REF!</definedName>
    <definedName name="CT3200T">#REF!</definedName>
    <definedName name="ct400t" localSheetId="4">#REF!</definedName>
    <definedName name="ct400t" localSheetId="9">#REF!</definedName>
    <definedName name="ct400t" localSheetId="8">#REF!</definedName>
    <definedName name="ct400t">#REF!</definedName>
    <definedName name="ct60t" localSheetId="4">#REF!</definedName>
    <definedName name="ct60t" localSheetId="9">#REF!</definedName>
    <definedName name="ct60t" localSheetId="8">#REF!</definedName>
    <definedName name="ct60t">#REF!</definedName>
    <definedName name="CT800T" localSheetId="4">#REF!</definedName>
    <definedName name="CT800T" localSheetId="9">#REF!</definedName>
    <definedName name="CT800T" localSheetId="8">#REF!</definedName>
    <definedName name="CT800T">#REF!</definedName>
    <definedName name="cummeas_may1006" localSheetId="4">#REF!</definedName>
    <definedName name="cummeas_may1006" localSheetId="9">#REF!</definedName>
    <definedName name="cummeas_may1006" localSheetId="8">#REF!</definedName>
    <definedName name="cummeas_may1006">#REF!</definedName>
    <definedName name="cummeas_up_to_mar" localSheetId="4">#REF!</definedName>
    <definedName name="cummeas_up_to_mar" localSheetId="9">#REF!</definedName>
    <definedName name="cummeas_up_to_mar" localSheetId="8">#REF!</definedName>
    <definedName name="cummeas_up_to_mar">#REF!</definedName>
    <definedName name="CURR" localSheetId="4">#REF!</definedName>
    <definedName name="CURR" localSheetId="9">#REF!</definedName>
    <definedName name="CURR" localSheetId="8">#REF!</definedName>
    <definedName name="CURR">#REF!</definedName>
    <definedName name="CURR_4" localSheetId="4">#REF!</definedName>
    <definedName name="CURR_4" localSheetId="9">#REF!</definedName>
    <definedName name="CURR_4" localSheetId="8">#REF!</definedName>
    <definedName name="CURR_4">#REF!</definedName>
    <definedName name="CURR_6" localSheetId="4">#REF!</definedName>
    <definedName name="CURR_6" localSheetId="9">#REF!</definedName>
    <definedName name="CURR_6" localSheetId="8">#REF!</definedName>
    <definedName name="CURR_6">#REF!</definedName>
    <definedName name="curr_liab_prov" localSheetId="4">#REF!</definedName>
    <definedName name="curr_liab_prov" localSheetId="9">#REF!</definedName>
    <definedName name="curr_liab_prov" localSheetId="8">#REF!</definedName>
    <definedName name="curr_liab_prov">#REF!</definedName>
    <definedName name="CurrencyRate" localSheetId="4">#REF!</definedName>
    <definedName name="CurrencyRate" localSheetId="9">#REF!</definedName>
    <definedName name="CurrencyRate" localSheetId="8">#REF!</definedName>
    <definedName name="CurrencyRate">#REF!</definedName>
    <definedName name="CurrencyRate_4" localSheetId="4">#REF!</definedName>
    <definedName name="CurrencyRate_4" localSheetId="9">#REF!</definedName>
    <definedName name="CurrencyRate_4" localSheetId="8">#REF!</definedName>
    <definedName name="CurrencyRate_4">#REF!</definedName>
    <definedName name="CurrencyRate_6" localSheetId="4">#REF!</definedName>
    <definedName name="CurrencyRate_6" localSheetId="9">#REF!</definedName>
    <definedName name="CurrencyRate_6" localSheetId="8">#REF!</definedName>
    <definedName name="CurrencyRate_6">#REF!</definedName>
    <definedName name="current1" localSheetId="4">#REF!</definedName>
    <definedName name="current1" localSheetId="9">#REF!</definedName>
    <definedName name="current1" localSheetId="8">#REF!</definedName>
    <definedName name="current1">#REF!</definedName>
    <definedName name="current2" localSheetId="4">#REF!</definedName>
    <definedName name="current2" localSheetId="9">#REF!</definedName>
    <definedName name="current2" localSheetId="8">#REF!</definedName>
    <definedName name="current2">#REF!</definedName>
    <definedName name="current3" localSheetId="4">#REF!</definedName>
    <definedName name="current3" localSheetId="9">#REF!</definedName>
    <definedName name="current3" localSheetId="8">#REF!</definedName>
    <definedName name="current3">#REF!</definedName>
    <definedName name="current4" localSheetId="4">#REF!</definedName>
    <definedName name="current4" localSheetId="9">#REF!</definedName>
    <definedName name="current4" localSheetId="8">#REF!</definedName>
    <definedName name="current4">#REF!</definedName>
    <definedName name="current5" localSheetId="4">#REF!</definedName>
    <definedName name="current5" localSheetId="9">#REF!</definedName>
    <definedName name="current5" localSheetId="8">#REF!</definedName>
    <definedName name="current5">#REF!</definedName>
    <definedName name="cutoffwall" localSheetId="4">#REF!</definedName>
    <definedName name="cutoffwall" localSheetId="9">#REF!</definedName>
    <definedName name="cutoffwall" localSheetId="8">#REF!</definedName>
    <definedName name="cutoffwall">#REF!</definedName>
    <definedName name="cv_100" localSheetId="4">#REF!</definedName>
    <definedName name="cv_100" localSheetId="9">#REF!</definedName>
    <definedName name="cv_100" localSheetId="8">#REF!</definedName>
    <definedName name="cv_100">#REF!</definedName>
    <definedName name="cv_150" localSheetId="4">#REF!</definedName>
    <definedName name="cv_150" localSheetId="9">#REF!</definedName>
    <definedName name="cv_150" localSheetId="8">#REF!</definedName>
    <definedName name="cv_150">#REF!</definedName>
    <definedName name="cv_200" localSheetId="4">#REF!</definedName>
    <definedName name="cv_200" localSheetId="9">#REF!</definedName>
    <definedName name="cv_200" localSheetId="8">#REF!</definedName>
    <definedName name="cv_200">#REF!</definedName>
    <definedName name="cv_25" localSheetId="4">#REF!</definedName>
    <definedName name="cv_25" localSheetId="9">#REF!</definedName>
    <definedName name="cv_25" localSheetId="8">#REF!</definedName>
    <definedName name="cv_25">#REF!</definedName>
    <definedName name="cv_250" localSheetId="4">#REF!</definedName>
    <definedName name="cv_250" localSheetId="9">#REF!</definedName>
    <definedName name="cv_250" localSheetId="8">#REF!</definedName>
    <definedName name="cv_250">#REF!</definedName>
    <definedName name="cv_300" localSheetId="4">#REF!</definedName>
    <definedName name="cv_300" localSheetId="9">#REF!</definedName>
    <definedName name="cv_300" localSheetId="8">#REF!</definedName>
    <definedName name="cv_300">#REF!</definedName>
    <definedName name="cv_32" localSheetId="4">#REF!</definedName>
    <definedName name="cv_32" localSheetId="9">#REF!</definedName>
    <definedName name="cv_32" localSheetId="8">#REF!</definedName>
    <definedName name="cv_32">#REF!</definedName>
    <definedName name="cv_40" localSheetId="4">#REF!</definedName>
    <definedName name="cv_40" localSheetId="9">#REF!</definedName>
    <definedName name="cv_40" localSheetId="8">#REF!</definedName>
    <definedName name="cv_40">#REF!</definedName>
    <definedName name="cv_400" localSheetId="4">#REF!</definedName>
    <definedName name="cv_400" localSheetId="9">#REF!</definedName>
    <definedName name="cv_400" localSheetId="8">#REF!</definedName>
    <definedName name="cv_400">#REF!</definedName>
    <definedName name="cv_50" localSheetId="4">#REF!</definedName>
    <definedName name="cv_50" localSheetId="9">#REF!</definedName>
    <definedName name="cv_50" localSheetId="8">#REF!</definedName>
    <definedName name="cv_50">#REF!</definedName>
    <definedName name="cv_500" localSheetId="4">#REF!</definedName>
    <definedName name="cv_500" localSheetId="9">#REF!</definedName>
    <definedName name="cv_500" localSheetId="8">#REF!</definedName>
    <definedName name="cv_500">#REF!</definedName>
    <definedName name="cv_65" localSheetId="4">#REF!</definedName>
    <definedName name="cv_65" localSheetId="9">#REF!</definedName>
    <definedName name="cv_65" localSheetId="8">#REF!</definedName>
    <definedName name="cv_65">#REF!</definedName>
    <definedName name="cv_80" localSheetId="4">#REF!</definedName>
    <definedName name="cv_80" localSheetId="9">#REF!</definedName>
    <definedName name="cv_80" localSheetId="8">#REF!</definedName>
    <definedName name="cv_80">#REF!</definedName>
    <definedName name="cvdf" localSheetId="4">#REF!</definedName>
    <definedName name="cvdf" localSheetId="9">#REF!</definedName>
    <definedName name="cvdf" localSheetId="8">#REF!</definedName>
    <definedName name="cvdf">#REF!</definedName>
    <definedName name="D">'[26]PRECAST lightconc-II'!$J$20</definedName>
    <definedName name="d._Staging_to_keep_deflactometer___hire_charges_of_deflectometer" localSheetId="4">[12]SOR!#REF!</definedName>
    <definedName name="d._Staging_to_keep_deflactometer___hire_charges_of_deflectometer" localSheetId="9">[12]SOR!#REF!</definedName>
    <definedName name="d._Staging_to_keep_deflactometer___hire_charges_of_deflectometer" localSheetId="8">[12]SOR!#REF!</definedName>
    <definedName name="d._Staging_to_keep_deflactometer___hire_charges_of_deflectometer">[12]SOR!#REF!</definedName>
    <definedName name="d___0" localSheetId="4">#REF!</definedName>
    <definedName name="d___0" localSheetId="9">#REF!</definedName>
    <definedName name="d___0" localSheetId="8">#REF!</definedName>
    <definedName name="d___0">#REF!</definedName>
    <definedName name="d___13" localSheetId="4">#REF!</definedName>
    <definedName name="d___13" localSheetId="9">#REF!</definedName>
    <definedName name="d___13" localSheetId="8">#REF!</definedName>
    <definedName name="d___13">#REF!</definedName>
    <definedName name="D_S_C" localSheetId="4">#REF!</definedName>
    <definedName name="D_S_C" localSheetId="9">#REF!</definedName>
    <definedName name="D_S_C" localSheetId="8">#REF!</definedName>
    <definedName name="D_S_C">#REF!</definedName>
    <definedName name="DADO1" localSheetId="3">#REF!</definedName>
    <definedName name="DADO1" localSheetId="4">#REF!</definedName>
    <definedName name="DADO1" localSheetId="9">#REF!</definedName>
    <definedName name="DADO1" localSheetId="8">#REF!</definedName>
    <definedName name="DADO1">#REF!</definedName>
    <definedName name="DADO2" localSheetId="3">#REF!</definedName>
    <definedName name="DADO2" localSheetId="4">#REF!</definedName>
    <definedName name="DADO2" localSheetId="9">#REF!</definedName>
    <definedName name="DADO2" localSheetId="8">#REF!</definedName>
    <definedName name="DADO2">#REF!</definedName>
    <definedName name="DADOK" localSheetId="3">#REF!</definedName>
    <definedName name="DADOK" localSheetId="4">#REF!</definedName>
    <definedName name="DADOK" localSheetId="9">#REF!</definedName>
    <definedName name="DADOK" localSheetId="8">#REF!</definedName>
    <definedName name="DADOK">#REF!</definedName>
    <definedName name="Data.Dump" localSheetId="4" hidden="1">OFFSET([57]!Data.Top.Left,1,0)</definedName>
    <definedName name="Data.Dump" localSheetId="9" hidden="1">OFFSET([57]!Data.Top.Left,1,0)</definedName>
    <definedName name="Data.Dump" localSheetId="8" hidden="1">OFFSET([57]!Data.Top.Left,1,0)</definedName>
    <definedName name="Data.Dump" hidden="1">OFFSET([57]!Data.Top.Left,1,0)</definedName>
    <definedName name="DATA_1" localSheetId="4">[1]電気設備表!#REF!</definedName>
    <definedName name="DATA_1" localSheetId="9">[1]電気設備表!#REF!</definedName>
    <definedName name="DATA_1" localSheetId="8">[1]電気設備表!#REF!</definedName>
    <definedName name="DATA_1">[1]電気設備表!#REF!</definedName>
    <definedName name="DATA_2" localSheetId="4">[1]電気設備表!#REF!</definedName>
    <definedName name="DATA_2" localSheetId="9">[1]電気設備表!#REF!</definedName>
    <definedName name="DATA_2" localSheetId="8">[1]電気設備表!#REF!</definedName>
    <definedName name="DATA_2">[1]電気設備表!#REF!</definedName>
    <definedName name="Data_UnitRates_1" localSheetId="4">#REF!</definedName>
    <definedName name="Data_UnitRates_1" localSheetId="9">#REF!</definedName>
    <definedName name="Data_UnitRates_1" localSheetId="6">#REF!</definedName>
    <definedName name="Data_UnitRates_1" localSheetId="8">#REF!</definedName>
    <definedName name="Data_UnitRates_1">#REF!</definedName>
    <definedName name="DATA134110" localSheetId="4">#REF!</definedName>
    <definedName name="DATA134110" localSheetId="9">#REF!</definedName>
    <definedName name="DATA134110" localSheetId="8">#REF!</definedName>
    <definedName name="DATA134110">#REF!</definedName>
    <definedName name="DATA134125" localSheetId="4">#REF!</definedName>
    <definedName name="DATA134125" localSheetId="9">#REF!</definedName>
    <definedName name="DATA134125" localSheetId="8">#REF!</definedName>
    <definedName name="DATA134125">#REF!</definedName>
    <definedName name="DATA134140" localSheetId="4">#REF!</definedName>
    <definedName name="DATA134140" localSheetId="9">#REF!</definedName>
    <definedName name="DATA134140" localSheetId="8">#REF!</definedName>
    <definedName name="DATA134140">#REF!</definedName>
    <definedName name="DATA134160" localSheetId="4">#REF!</definedName>
    <definedName name="DATA134160" localSheetId="9">#REF!</definedName>
    <definedName name="DATA134160" localSheetId="8">#REF!</definedName>
    <definedName name="DATA134160">#REF!</definedName>
    <definedName name="DATA134180" localSheetId="4">#REF!</definedName>
    <definedName name="DATA134180" localSheetId="9">#REF!</definedName>
    <definedName name="DATA134180" localSheetId="8">#REF!</definedName>
    <definedName name="DATA134180">#REF!</definedName>
    <definedName name="DATA134200" localSheetId="4">#REF!</definedName>
    <definedName name="DATA134200" localSheetId="9">#REF!</definedName>
    <definedName name="DATA134200" localSheetId="8">#REF!</definedName>
    <definedName name="DATA134200">#REF!</definedName>
    <definedName name="DATA134225" localSheetId="4">#REF!</definedName>
    <definedName name="DATA134225" localSheetId="9">#REF!</definedName>
    <definedName name="DATA134225" localSheetId="8">#REF!</definedName>
    <definedName name="DATA134225">#REF!</definedName>
    <definedName name="DATA134250" localSheetId="4">#REF!</definedName>
    <definedName name="DATA134250" localSheetId="9">#REF!</definedName>
    <definedName name="DATA134250" localSheetId="8">#REF!</definedName>
    <definedName name="DATA134250">#REF!</definedName>
    <definedName name="DATA134280" localSheetId="4">#REF!</definedName>
    <definedName name="DATA134280" localSheetId="9">#REF!</definedName>
    <definedName name="DATA134280" localSheetId="8">#REF!</definedName>
    <definedName name="DATA134280">#REF!</definedName>
    <definedName name="DATA134315" localSheetId="4">#REF!</definedName>
    <definedName name="DATA134315" localSheetId="9">#REF!</definedName>
    <definedName name="DATA134315" localSheetId="8">#REF!</definedName>
    <definedName name="DATA134315">#REF!</definedName>
    <definedName name="DATA134355" localSheetId="4">#REF!</definedName>
    <definedName name="DATA134355" localSheetId="9">#REF!</definedName>
    <definedName name="DATA134355" localSheetId="8">#REF!</definedName>
    <definedName name="DATA134355">#REF!</definedName>
    <definedName name="DATA134400" localSheetId="4">#REF!</definedName>
    <definedName name="DATA134400" localSheetId="9">#REF!</definedName>
    <definedName name="DATA134400" localSheetId="8">#REF!</definedName>
    <definedName name="DATA134400">#REF!</definedName>
    <definedName name="DATA13450" localSheetId="4">#REF!</definedName>
    <definedName name="DATA13450" localSheetId="9">#REF!</definedName>
    <definedName name="DATA13450" localSheetId="8">#REF!</definedName>
    <definedName name="DATA13450">#REF!</definedName>
    <definedName name="DATA13463" localSheetId="4">#REF!</definedName>
    <definedName name="DATA13463" localSheetId="9">#REF!</definedName>
    <definedName name="DATA13463" localSheetId="8">#REF!</definedName>
    <definedName name="DATA13463">#REF!</definedName>
    <definedName name="DATA13475" localSheetId="4">#REF!</definedName>
    <definedName name="DATA13475" localSheetId="9">#REF!</definedName>
    <definedName name="DATA13475" localSheetId="8">#REF!</definedName>
    <definedName name="DATA13475">#REF!</definedName>
    <definedName name="DATA13490" localSheetId="4">#REF!</definedName>
    <definedName name="DATA13490" localSheetId="9">#REF!</definedName>
    <definedName name="DATA13490" localSheetId="8">#REF!</definedName>
    <definedName name="DATA13490">#REF!</definedName>
    <definedName name="DATA135110" localSheetId="4">#REF!</definedName>
    <definedName name="DATA135110" localSheetId="9">#REF!</definedName>
    <definedName name="DATA135110" localSheetId="8">#REF!</definedName>
    <definedName name="DATA135110">#REF!</definedName>
    <definedName name="DATA135125" localSheetId="4">#REF!</definedName>
    <definedName name="DATA135125" localSheetId="9">#REF!</definedName>
    <definedName name="DATA135125" localSheetId="8">#REF!</definedName>
    <definedName name="DATA135125">#REF!</definedName>
    <definedName name="DATA135140" localSheetId="4">#REF!</definedName>
    <definedName name="DATA135140" localSheetId="9">#REF!</definedName>
    <definedName name="DATA135140" localSheetId="8">#REF!</definedName>
    <definedName name="DATA135140">#REF!</definedName>
    <definedName name="DATA135160" localSheetId="4">#REF!</definedName>
    <definedName name="DATA135160" localSheetId="9">#REF!</definedName>
    <definedName name="DATA135160" localSheetId="8">#REF!</definedName>
    <definedName name="DATA135160">#REF!</definedName>
    <definedName name="DATA135180" localSheetId="4">#REF!</definedName>
    <definedName name="DATA135180" localSheetId="9">#REF!</definedName>
    <definedName name="DATA135180" localSheetId="8">#REF!</definedName>
    <definedName name="DATA135180">#REF!</definedName>
    <definedName name="DATA135200" localSheetId="4">#REF!</definedName>
    <definedName name="DATA135200" localSheetId="9">#REF!</definedName>
    <definedName name="DATA135200" localSheetId="8">#REF!</definedName>
    <definedName name="DATA135200">#REF!</definedName>
    <definedName name="DATA135225" localSheetId="4">#REF!</definedName>
    <definedName name="DATA135225" localSheetId="9">#REF!</definedName>
    <definedName name="DATA135225" localSheetId="8">#REF!</definedName>
    <definedName name="DATA135225">#REF!</definedName>
    <definedName name="DATA135250" localSheetId="4">#REF!</definedName>
    <definedName name="DATA135250" localSheetId="9">#REF!</definedName>
    <definedName name="DATA135250" localSheetId="8">#REF!</definedName>
    <definedName name="DATA135250">#REF!</definedName>
    <definedName name="DATA135280" localSheetId="4">#REF!</definedName>
    <definedName name="DATA135280" localSheetId="9">#REF!</definedName>
    <definedName name="DATA135280" localSheetId="8">#REF!</definedName>
    <definedName name="DATA135280">#REF!</definedName>
    <definedName name="DATA135315" localSheetId="4">#REF!</definedName>
    <definedName name="DATA135315" localSheetId="9">#REF!</definedName>
    <definedName name="DATA135315" localSheetId="8">#REF!</definedName>
    <definedName name="DATA135315">#REF!</definedName>
    <definedName name="DATA135355" localSheetId="4">#REF!</definedName>
    <definedName name="DATA135355" localSheetId="9">#REF!</definedName>
    <definedName name="DATA135355" localSheetId="8">#REF!</definedName>
    <definedName name="DATA135355">#REF!</definedName>
    <definedName name="DATA135400" localSheetId="4">#REF!</definedName>
    <definedName name="DATA135400" localSheetId="9">#REF!</definedName>
    <definedName name="DATA135400" localSheetId="8">#REF!</definedName>
    <definedName name="DATA135400">#REF!</definedName>
    <definedName name="DATA13550" localSheetId="4">#REF!</definedName>
    <definedName name="DATA13550" localSheetId="9">#REF!</definedName>
    <definedName name="DATA13550" localSheetId="8">#REF!</definedName>
    <definedName name="DATA13550">#REF!</definedName>
    <definedName name="DATA13563" localSheetId="4">#REF!</definedName>
    <definedName name="DATA13563" localSheetId="9">#REF!</definedName>
    <definedName name="DATA13563" localSheetId="8">#REF!</definedName>
    <definedName name="DATA13563">#REF!</definedName>
    <definedName name="DATA13575" localSheetId="4">#REF!</definedName>
    <definedName name="DATA13575" localSheetId="9">#REF!</definedName>
    <definedName name="DATA13575" localSheetId="8">#REF!</definedName>
    <definedName name="DATA13575">#REF!</definedName>
    <definedName name="DATA13590" localSheetId="4">#REF!</definedName>
    <definedName name="DATA13590" localSheetId="9">#REF!</definedName>
    <definedName name="DATA13590" localSheetId="8">#REF!</definedName>
    <definedName name="DATA13590">#REF!</definedName>
    <definedName name="DATA136A" localSheetId="4">#REF!</definedName>
    <definedName name="DATA136A" localSheetId="9">#REF!</definedName>
    <definedName name="DATA136A" localSheetId="8">#REF!</definedName>
    <definedName name="DATA136A">#REF!</definedName>
    <definedName name="DATA136B" localSheetId="4">#REF!</definedName>
    <definedName name="DATA136B" localSheetId="9">#REF!</definedName>
    <definedName name="DATA136B" localSheetId="8">#REF!</definedName>
    <definedName name="DATA136B">#REF!</definedName>
    <definedName name="DATA136C" localSheetId="4">#REF!</definedName>
    <definedName name="DATA136C" localSheetId="9">#REF!</definedName>
    <definedName name="DATA136C" localSheetId="8">#REF!</definedName>
    <definedName name="DATA136C">#REF!</definedName>
    <definedName name="DATA136D" localSheetId="4">#REF!</definedName>
    <definedName name="DATA136D" localSheetId="9">#REF!</definedName>
    <definedName name="DATA136D" localSheetId="8">#REF!</definedName>
    <definedName name="DATA136D">#REF!</definedName>
    <definedName name="DATA136E" localSheetId="4">#REF!</definedName>
    <definedName name="DATA136E" localSheetId="9">#REF!</definedName>
    <definedName name="DATA136E" localSheetId="8">#REF!</definedName>
    <definedName name="DATA136E">#REF!</definedName>
    <definedName name="DATA136F" localSheetId="4">#REF!</definedName>
    <definedName name="DATA136F" localSheetId="9">#REF!</definedName>
    <definedName name="DATA136F" localSheetId="8">#REF!</definedName>
    <definedName name="DATA136F">#REF!</definedName>
    <definedName name="DATA136G" localSheetId="4">#REF!</definedName>
    <definedName name="DATA136G" localSheetId="9">#REF!</definedName>
    <definedName name="DATA136G" localSheetId="8">#REF!</definedName>
    <definedName name="DATA136G">#REF!</definedName>
    <definedName name="DATA136H" localSheetId="4">#REF!</definedName>
    <definedName name="DATA136H" localSheetId="9">#REF!</definedName>
    <definedName name="DATA136H" localSheetId="8">#REF!</definedName>
    <definedName name="DATA136H">#REF!</definedName>
    <definedName name="DATA136I" localSheetId="4">#REF!</definedName>
    <definedName name="DATA136I" localSheetId="9">#REF!</definedName>
    <definedName name="DATA136I" localSheetId="8">#REF!</definedName>
    <definedName name="DATA136I">#REF!</definedName>
    <definedName name="DATA136J" localSheetId="4">#REF!</definedName>
    <definedName name="DATA136J" localSheetId="9">#REF!</definedName>
    <definedName name="DATA136J" localSheetId="8">#REF!</definedName>
    <definedName name="DATA136J">#REF!</definedName>
    <definedName name="DATA136K" localSheetId="4">#REF!</definedName>
    <definedName name="DATA136K" localSheetId="9">#REF!</definedName>
    <definedName name="DATA136K" localSheetId="8">#REF!</definedName>
    <definedName name="DATA136K">#REF!</definedName>
    <definedName name="DATA136L" localSheetId="4">#REF!</definedName>
    <definedName name="DATA136L" localSheetId="9">#REF!</definedName>
    <definedName name="DATA136L" localSheetId="8">#REF!</definedName>
    <definedName name="DATA136L">#REF!</definedName>
    <definedName name="DATA136M" localSheetId="4">#REF!</definedName>
    <definedName name="DATA136M" localSheetId="9">#REF!</definedName>
    <definedName name="DATA136M" localSheetId="8">#REF!</definedName>
    <definedName name="DATA136M">#REF!</definedName>
    <definedName name="DATA136N" localSheetId="4">#REF!</definedName>
    <definedName name="DATA136N" localSheetId="9">#REF!</definedName>
    <definedName name="DATA136N" localSheetId="8">#REF!</definedName>
    <definedName name="DATA136N">#REF!</definedName>
    <definedName name="DATA136O" localSheetId="4">#REF!</definedName>
    <definedName name="DATA136O" localSheetId="9">#REF!</definedName>
    <definedName name="DATA136O" localSheetId="8">#REF!</definedName>
    <definedName name="DATA136O">#REF!</definedName>
    <definedName name="DATA136P" localSheetId="4">#REF!</definedName>
    <definedName name="DATA136P" localSheetId="9">#REF!</definedName>
    <definedName name="DATA136P" localSheetId="8">#REF!</definedName>
    <definedName name="DATA136P">#REF!</definedName>
    <definedName name="DATA137I" localSheetId="4">#REF!</definedName>
    <definedName name="DATA137I" localSheetId="9">#REF!</definedName>
    <definedName name="DATA137I" localSheetId="8">#REF!</definedName>
    <definedName name="DATA137I">#REF!</definedName>
    <definedName name="DATA137II" localSheetId="4">#REF!</definedName>
    <definedName name="DATA137II" localSheetId="9">#REF!</definedName>
    <definedName name="DATA137II" localSheetId="8">#REF!</definedName>
    <definedName name="DATA137II">#REF!</definedName>
    <definedName name="DATA137III" localSheetId="4">#REF!</definedName>
    <definedName name="DATA137III" localSheetId="9">#REF!</definedName>
    <definedName name="DATA137III" localSheetId="8">#REF!</definedName>
    <definedName name="DATA137III">#REF!</definedName>
    <definedName name="DATA137IV" localSheetId="4">#REF!</definedName>
    <definedName name="DATA137IV" localSheetId="9">#REF!</definedName>
    <definedName name="DATA137IV" localSheetId="8">#REF!</definedName>
    <definedName name="DATA137IV">#REF!</definedName>
    <definedName name="DATA137V" localSheetId="4">#REF!</definedName>
    <definedName name="DATA137V" localSheetId="9">#REF!</definedName>
    <definedName name="DATA137V" localSheetId="8">#REF!</definedName>
    <definedName name="DATA137V">#REF!</definedName>
    <definedName name="DATA138I" localSheetId="4">#REF!</definedName>
    <definedName name="DATA138I" localSheetId="9">#REF!</definedName>
    <definedName name="DATA138I" localSheetId="8">#REF!</definedName>
    <definedName name="DATA138I">#REF!</definedName>
    <definedName name="DATA138II" localSheetId="4">#REF!</definedName>
    <definedName name="DATA138II" localSheetId="9">#REF!</definedName>
    <definedName name="DATA138II" localSheetId="8">#REF!</definedName>
    <definedName name="DATA138II">#REF!</definedName>
    <definedName name="DATA138III" localSheetId="4">#REF!</definedName>
    <definedName name="DATA138III" localSheetId="9">#REF!</definedName>
    <definedName name="DATA138III" localSheetId="8">#REF!</definedName>
    <definedName name="DATA138III">#REF!</definedName>
    <definedName name="DATA138IV" localSheetId="4">#REF!</definedName>
    <definedName name="DATA138IV" localSheetId="9">#REF!</definedName>
    <definedName name="DATA138IV" localSheetId="8">#REF!</definedName>
    <definedName name="DATA138IV">#REF!</definedName>
    <definedName name="DATA138V" localSheetId="4">#REF!</definedName>
    <definedName name="DATA138V" localSheetId="9">#REF!</definedName>
    <definedName name="DATA138V" localSheetId="8">#REF!</definedName>
    <definedName name="DATA138V">#REF!</definedName>
    <definedName name="DATA138VI" localSheetId="4">#REF!</definedName>
    <definedName name="DATA138VI" localSheetId="9">#REF!</definedName>
    <definedName name="DATA138VI" localSheetId="8">#REF!</definedName>
    <definedName name="DATA138VI">#REF!</definedName>
    <definedName name="DATA139IX" localSheetId="4">#REF!</definedName>
    <definedName name="DATA139IX" localSheetId="9">#REF!</definedName>
    <definedName name="DATA139IX" localSheetId="8">#REF!</definedName>
    <definedName name="DATA139IX">#REF!</definedName>
    <definedName name="DATA139V" localSheetId="4">#REF!</definedName>
    <definedName name="DATA139V" localSheetId="9">#REF!</definedName>
    <definedName name="DATA139V" localSheetId="8">#REF!</definedName>
    <definedName name="DATA139V">#REF!</definedName>
    <definedName name="DATA139VI" localSheetId="4">#REF!</definedName>
    <definedName name="DATA139VI" localSheetId="9">#REF!</definedName>
    <definedName name="DATA139VI" localSheetId="8">#REF!</definedName>
    <definedName name="DATA139VI">#REF!</definedName>
    <definedName name="DATA139VII" localSheetId="4">#REF!</definedName>
    <definedName name="DATA139VII" localSheetId="9">#REF!</definedName>
    <definedName name="DATA139VII" localSheetId="8">#REF!</definedName>
    <definedName name="DATA139VII">#REF!</definedName>
    <definedName name="DATA139VIII" localSheetId="4">#REF!</definedName>
    <definedName name="DATA139VIII" localSheetId="9">#REF!</definedName>
    <definedName name="DATA139VIII" localSheetId="8">#REF!</definedName>
    <definedName name="DATA139VIII">#REF!</definedName>
    <definedName name="DATA140I" localSheetId="4">#REF!</definedName>
    <definedName name="DATA140I" localSheetId="9">#REF!</definedName>
    <definedName name="DATA140I" localSheetId="8">#REF!</definedName>
    <definedName name="DATA140I">#REF!</definedName>
    <definedName name="DATA140II" localSheetId="4">#REF!</definedName>
    <definedName name="DATA140II" localSheetId="9">#REF!</definedName>
    <definedName name="DATA140II" localSheetId="8">#REF!</definedName>
    <definedName name="DATA140II">#REF!</definedName>
    <definedName name="DATA140III" localSheetId="4">#REF!</definedName>
    <definedName name="DATA140III" localSheetId="9">#REF!</definedName>
    <definedName name="DATA140III" localSheetId="8">#REF!</definedName>
    <definedName name="DATA140III">#REF!</definedName>
    <definedName name="DATA140IV" localSheetId="4">#REF!</definedName>
    <definedName name="DATA140IV" localSheetId="9">#REF!</definedName>
    <definedName name="DATA140IV" localSheetId="8">#REF!</definedName>
    <definedName name="DATA140IV">#REF!</definedName>
    <definedName name="DATA140V" localSheetId="4">#REF!</definedName>
    <definedName name="DATA140V" localSheetId="9">#REF!</definedName>
    <definedName name="DATA140V" localSheetId="8">#REF!</definedName>
    <definedName name="DATA140V">#REF!</definedName>
    <definedName name="DATA141I" localSheetId="4">#REF!</definedName>
    <definedName name="DATA141I" localSheetId="9">#REF!</definedName>
    <definedName name="DATA141I" localSheetId="8">#REF!</definedName>
    <definedName name="DATA141I">#REF!</definedName>
    <definedName name="DATA141II" localSheetId="4">#REF!</definedName>
    <definedName name="DATA141II" localSheetId="9">#REF!</definedName>
    <definedName name="DATA141II" localSheetId="8">#REF!</definedName>
    <definedName name="DATA141II">#REF!</definedName>
    <definedName name="DATA141III" localSheetId="4">#REF!</definedName>
    <definedName name="DATA141III" localSheetId="9">#REF!</definedName>
    <definedName name="DATA141III" localSheetId="8">#REF!</definedName>
    <definedName name="DATA141III">#REF!</definedName>
    <definedName name="DATA141IV" localSheetId="4">#REF!</definedName>
    <definedName name="DATA141IV" localSheetId="9">#REF!</definedName>
    <definedName name="DATA141IV" localSheetId="8">#REF!</definedName>
    <definedName name="DATA141IV">#REF!</definedName>
    <definedName name="DATA141V" localSheetId="4">#REF!</definedName>
    <definedName name="DATA141V" localSheetId="9">#REF!</definedName>
    <definedName name="DATA141V" localSheetId="8">#REF!</definedName>
    <definedName name="DATA141V">#REF!</definedName>
    <definedName name="DATA142I" localSheetId="4">#REF!</definedName>
    <definedName name="DATA142I" localSheetId="9">#REF!</definedName>
    <definedName name="DATA142I" localSheetId="8">#REF!</definedName>
    <definedName name="DATA142I">#REF!</definedName>
    <definedName name="DATA142II" localSheetId="4">#REF!</definedName>
    <definedName name="DATA142II" localSheetId="9">#REF!</definedName>
    <definedName name="DATA142II" localSheetId="8">#REF!</definedName>
    <definedName name="DATA142II">#REF!</definedName>
    <definedName name="DATA142III" localSheetId="4">#REF!</definedName>
    <definedName name="DATA142III" localSheetId="9">#REF!</definedName>
    <definedName name="DATA142III" localSheetId="8">#REF!</definedName>
    <definedName name="DATA142III">#REF!</definedName>
    <definedName name="DATA142IV" localSheetId="4">#REF!</definedName>
    <definedName name="DATA142IV" localSheetId="9">#REF!</definedName>
    <definedName name="DATA142IV" localSheetId="8">#REF!</definedName>
    <definedName name="DATA142IV">#REF!</definedName>
    <definedName name="DATA142V" localSheetId="4">#REF!</definedName>
    <definedName name="DATA142V" localSheetId="9">#REF!</definedName>
    <definedName name="DATA142V" localSheetId="8">#REF!</definedName>
    <definedName name="DATA142V">#REF!</definedName>
    <definedName name="_xlnm.Database" localSheetId="4">#REF!</definedName>
    <definedName name="_xlnm.Database" localSheetId="9">#REF!</definedName>
    <definedName name="_xlnm.Database" localSheetId="6">#REF!</definedName>
    <definedName name="_xlnm.Database" localSheetId="8">#REF!</definedName>
    <definedName name="_xlnm.Database">#REF!</definedName>
    <definedName name="Database.File" localSheetId="4" hidden="1">#REF!</definedName>
    <definedName name="Database.File" localSheetId="9" hidden="1">#REF!</definedName>
    <definedName name="Database.File" localSheetId="8" hidden="1">#REF!</definedName>
    <definedName name="Database.File" hidden="1">#REF!</definedName>
    <definedName name="Database_MI" localSheetId="4">#REF!</definedName>
    <definedName name="Database_MI" localSheetId="9">#REF!</definedName>
    <definedName name="Database_MI" localSheetId="8">#REF!</definedName>
    <definedName name="Database_MI">#REF!</definedName>
    <definedName name="Date" localSheetId="4">#REF!</definedName>
    <definedName name="Date" localSheetId="9">#REF!</definedName>
    <definedName name="Date" localSheetId="8">#REF!</definedName>
    <definedName name="Date">#REF!</definedName>
    <definedName name="Dayworks">"'[1]Dayworks Bill'!$F$32"</definedName>
    <definedName name="Dayworks_3">'[58]Dayworks Bill'!$F$32</definedName>
    <definedName name="db" localSheetId="4">#REF!</definedName>
    <definedName name="db" localSheetId="9">#REF!</definedName>
    <definedName name="db" localSheetId="8">#REF!</definedName>
    <definedName name="db">#REF!</definedName>
    <definedName name="db___0" localSheetId="4">#REF!</definedName>
    <definedName name="db___0" localSheetId="9">#REF!</definedName>
    <definedName name="db___0" localSheetId="8">#REF!</definedName>
    <definedName name="db___0">#REF!</definedName>
    <definedName name="db___13" localSheetId="4">#REF!</definedName>
    <definedName name="db___13" localSheetId="9">#REF!</definedName>
    <definedName name="db___13" localSheetId="8">#REF!</definedName>
    <definedName name="db___13">#REF!</definedName>
    <definedName name="DBC" localSheetId="4">#REF!</definedName>
    <definedName name="DBC" localSheetId="9">#REF!</definedName>
    <definedName name="DBC" localSheetId="8">#REF!</definedName>
    <definedName name="DBC">#REF!</definedName>
    <definedName name="DBD" localSheetId="4">#REF!</definedName>
    <definedName name="DBD" localSheetId="9">#REF!</definedName>
    <definedName name="DBD" localSheetId="8">#REF!</definedName>
    <definedName name="DBD">#REF!</definedName>
    <definedName name="DBE" localSheetId="4">#REF!</definedName>
    <definedName name="DBE" localSheetId="9">#REF!</definedName>
    <definedName name="DBE" localSheetId="8">#REF!</definedName>
    <definedName name="DBE">#REF!</definedName>
    <definedName name="DBST1" localSheetId="4">#REF!</definedName>
    <definedName name="DBST1" localSheetId="9">#REF!</definedName>
    <definedName name="DBST1" localSheetId="8">#REF!</definedName>
    <definedName name="DBST1">#REF!</definedName>
    <definedName name="DBST2" localSheetId="4">#REF!</definedName>
    <definedName name="DBST2" localSheetId="9">#REF!</definedName>
    <definedName name="DBST2" localSheetId="8">#REF!</definedName>
    <definedName name="DBST2">#REF!</definedName>
    <definedName name="dc" localSheetId="4">#REF!</definedName>
    <definedName name="dc" localSheetId="9">#REF!</definedName>
    <definedName name="dc" localSheetId="8">#REF!</definedName>
    <definedName name="dc">#REF!</definedName>
    <definedName name="DCI" localSheetId="9" hidden="1">{#N/A,#N/A,TRUE,"Front";#N/A,#N/A,TRUE,"Simple Letter";#N/A,#N/A,TRUE,"Inside";#N/A,#N/A,TRUE,"Contents";#N/A,#N/A,TRUE,"Basis";#N/A,#N/A,TRUE,"Inclusions";#N/A,#N/A,TRUE,"Exclusions";#N/A,#N/A,TRUE,"Areas";#N/A,#N/A,TRUE,"Summary";#N/A,#N/A,TRUE,"Detail"}</definedName>
    <definedName name="DCI" localSheetId="0" hidden="1">{#N/A,#N/A,TRUE,"Front";#N/A,#N/A,TRUE,"Simple Letter";#N/A,#N/A,TRUE,"Inside";#N/A,#N/A,TRUE,"Contents";#N/A,#N/A,TRUE,"Basis";#N/A,#N/A,TRUE,"Inclusions";#N/A,#N/A,TRUE,"Exclusions";#N/A,#N/A,TRUE,"Areas";#N/A,#N/A,TRUE,"Summary";#N/A,#N/A,TRUE,"Detail"}</definedName>
    <definedName name="DCI" hidden="1">{#N/A,#N/A,TRUE,"Front";#N/A,#N/A,TRUE,"Simple Letter";#N/A,#N/A,TRUE,"Inside";#N/A,#N/A,TRUE,"Contents";#N/A,#N/A,TRUE,"Basis";#N/A,#N/A,TRUE,"Inclusions";#N/A,#N/A,TRUE,"Exclusions";#N/A,#N/A,TRUE,"Areas";#N/A,#N/A,TRUE,"Summary";#N/A,#N/A,TRUE,"Detail"}</definedName>
    <definedName name="dd" localSheetId="4">#REF!</definedName>
    <definedName name="dd" localSheetId="9">#REF!</definedName>
    <definedName name="dd" localSheetId="8">#REF!</definedName>
    <definedName name="dd">#REF!</definedName>
    <definedName name="ｄｄ" localSheetId="4">#REF!</definedName>
    <definedName name="ｄｄ" localSheetId="9">#REF!</definedName>
    <definedName name="ｄｄ" localSheetId="8">#REF!</definedName>
    <definedName name="ｄｄ">#REF!</definedName>
    <definedName name="ddd" localSheetId="4">#REF!</definedName>
    <definedName name="ddd" localSheetId="9">#REF!</definedName>
    <definedName name="ddd" localSheetId="8">#REF!</definedName>
    <definedName name="ddd">#REF!</definedName>
    <definedName name="dddd" localSheetId="9" hidden="1">{#N/A,#N/A,FALSE,"VARIATIONS";#N/A,#N/A,FALSE,"BUDGET";#N/A,#N/A,FALSE,"CIVIL QNTY VAR";#N/A,#N/A,FALSE,"SUMMARY";#N/A,#N/A,FALSE,"MATERIAL VAR"}</definedName>
    <definedName name="dddd" localSheetId="0" hidden="1">{#N/A,#N/A,FALSE,"VARIATIONS";#N/A,#N/A,FALSE,"BUDGET";#N/A,#N/A,FALSE,"CIVIL QNTY VAR";#N/A,#N/A,FALSE,"SUMMARY";#N/A,#N/A,FALSE,"MATERIAL VAR"}</definedName>
    <definedName name="dddd" hidden="1">{#N/A,#N/A,FALSE,"VARIATIONS";#N/A,#N/A,FALSE,"BUDGET";#N/A,#N/A,FALSE,"CIVIL QNTY VAR";#N/A,#N/A,FALSE,"SUMMARY";#N/A,#N/A,FALSE,"MATERIAL VAR"}</definedName>
    <definedName name="Delhi" localSheetId="4">[59]Chennai!#REF!</definedName>
    <definedName name="Delhi" localSheetId="9">[59]Chennai!#REF!</definedName>
    <definedName name="Delhi" localSheetId="8">[59]Chennai!#REF!</definedName>
    <definedName name="Delhi">[59]Chennai!#REF!</definedName>
    <definedName name="DELTA20" localSheetId="4">#REF!</definedName>
    <definedName name="DELTA20" localSheetId="9">#REF!</definedName>
    <definedName name="DELTA20" localSheetId="8">#REF!</definedName>
    <definedName name="DELTA20">#REF!</definedName>
    <definedName name="DELTA20___0" localSheetId="4">#REF!</definedName>
    <definedName name="DELTA20___0" localSheetId="9">#REF!</definedName>
    <definedName name="DELTA20___0" localSheetId="8">#REF!</definedName>
    <definedName name="DELTA20___0">#REF!</definedName>
    <definedName name="DELTA20___13" localSheetId="4">#REF!</definedName>
    <definedName name="DELTA20___13" localSheetId="9">#REF!</definedName>
    <definedName name="DELTA20___13" localSheetId="8">#REF!</definedName>
    <definedName name="DELTA20___13">#REF!</definedName>
    <definedName name="den" localSheetId="4">#REF!</definedName>
    <definedName name="den" localSheetId="9">#REF!</definedName>
    <definedName name="den" localSheetId="8">#REF!</definedName>
    <definedName name="den">#REF!</definedName>
    <definedName name="Depn" localSheetId="4">#REF!</definedName>
    <definedName name="Depn" localSheetId="9">#REF!</definedName>
    <definedName name="Depn" localSheetId="8">#REF!</definedName>
    <definedName name="Depn">#REF!</definedName>
    <definedName name="DEPTH" localSheetId="4">#REF!</definedName>
    <definedName name="DEPTH" localSheetId="9">#REF!</definedName>
    <definedName name="DEPTH" localSheetId="8">#REF!</definedName>
    <definedName name="DEPTH">#REF!</definedName>
    <definedName name="designed" localSheetId="4">#REF!</definedName>
    <definedName name="designed" localSheetId="9">#REF!</definedName>
    <definedName name="designed" localSheetId="8">#REF!</definedName>
    <definedName name="designed">#REF!</definedName>
    <definedName name="df" localSheetId="4">#REF!</definedName>
    <definedName name="df" localSheetId="9">#REF!</definedName>
    <definedName name="DF" localSheetId="6">"#REF!"</definedName>
    <definedName name="DF" localSheetId="8">"#REF!"</definedName>
    <definedName name="df">#REF!</definedName>
    <definedName name="DF_10">"#REF!"</definedName>
    <definedName name="DF_3">"#REF!"</definedName>
    <definedName name="DF_6">"#REF!"</definedName>
    <definedName name="DF_8">"#REF!"</definedName>
    <definedName name="dfafdasdf" localSheetId="4">#REF!</definedName>
    <definedName name="dfafdasdf" localSheetId="9">#REF!</definedName>
    <definedName name="dfafdasdf" localSheetId="8">#REF!</definedName>
    <definedName name="dfafdasdf">#REF!</definedName>
    <definedName name="dfg" localSheetId="9" hidden="1">{#N/A,#N/A,FALSE,"gc (2)"}</definedName>
    <definedName name="dfg" localSheetId="0" hidden="1">{#N/A,#N/A,FALSE,"gc (2)"}</definedName>
    <definedName name="dfg" hidden="1">{#N/A,#N/A,FALSE,"gc (2)"}</definedName>
    <definedName name="dfgdz" localSheetId="9" hidden="1">{#N/A,#N/A,FALSE,"VARIATIONS";#N/A,#N/A,FALSE,"BUDGET";#N/A,#N/A,FALSE,"CIVIL QNTY VAR";#N/A,#N/A,FALSE,"SUMMARY";#N/A,#N/A,FALSE,"MATERIAL VAR"}</definedName>
    <definedName name="dfgdz" localSheetId="0" hidden="1">{#N/A,#N/A,FALSE,"VARIATIONS";#N/A,#N/A,FALSE,"BUDGET";#N/A,#N/A,FALSE,"CIVIL QNTY VAR";#N/A,#N/A,FALSE,"SUMMARY";#N/A,#N/A,FALSE,"MATERIAL VAR"}</definedName>
    <definedName name="dfgdz" hidden="1">{#N/A,#N/A,FALSE,"VARIATIONS";#N/A,#N/A,FALSE,"BUDGET";#N/A,#N/A,FALSE,"CIVIL QNTY VAR";#N/A,#N/A,FALSE,"SUMMARY";#N/A,#N/A,FALSE,"MATERIAL VAR"}</definedName>
    <definedName name="dfgg" localSheetId="9" hidden="1">{#N/A,#N/A,FALSE,"gc (2)"}</definedName>
    <definedName name="dfgg" localSheetId="0" hidden="1">{#N/A,#N/A,FALSE,"gc (2)"}</definedName>
    <definedName name="dfgg" hidden="1">{#N/A,#N/A,FALSE,"gc (2)"}</definedName>
    <definedName name="dfguj" localSheetId="9" hidden="1">{#N/A,#N/A,FALSE,"VARIATIONS";#N/A,#N/A,FALSE,"BUDGET";#N/A,#N/A,FALSE,"CIVIL QNTY VAR";#N/A,#N/A,FALSE,"SUMMARY";#N/A,#N/A,FALSE,"MATERIAL VAR"}</definedName>
    <definedName name="dfguj" localSheetId="0" hidden="1">{#N/A,#N/A,FALSE,"VARIATIONS";#N/A,#N/A,FALSE,"BUDGET";#N/A,#N/A,FALSE,"CIVIL QNTY VAR";#N/A,#N/A,FALSE,"SUMMARY";#N/A,#N/A,FALSE,"MATERIAL VAR"}</definedName>
    <definedName name="dfguj" hidden="1">{#N/A,#N/A,FALSE,"VARIATIONS";#N/A,#N/A,FALSE,"BUDGET";#N/A,#N/A,FALSE,"CIVIL QNTY VAR";#N/A,#N/A,FALSE,"SUMMARY";#N/A,#N/A,FALSE,"MATERIAL VAR"}</definedName>
    <definedName name="dflt2">'[60]Customize Your Purchase Order'!$F$23</definedName>
    <definedName name="dflt3">'[60]Customize Your Purchase Order'!$F$24</definedName>
    <definedName name="dflt4">'[60]Customize Your Purchase Order'!$E$25</definedName>
    <definedName name="dflt5">'[60]Customize Your Purchase Order'!$F$27</definedName>
    <definedName name="dflt6">'[60]Customize Your Purchase Order'!$F$28</definedName>
    <definedName name="dflt7">'[60]Customize Your Purchase Order'!$E$29</definedName>
    <definedName name="dg" localSheetId="4">#REF!</definedName>
    <definedName name="dg" localSheetId="9">#REF!</definedName>
    <definedName name="dg" localSheetId="8">#REF!</definedName>
    <definedName name="dg">#REF!</definedName>
    <definedName name="dgr" localSheetId="9" hidden="1">{#N/A,#N/A,FALSE,"VARIATIONS";#N/A,#N/A,FALSE,"BUDGET";#N/A,#N/A,FALSE,"CIVIL QNTY VAR";#N/A,#N/A,FALSE,"SUMMARY";#N/A,#N/A,FALSE,"MATERIAL VAR"}</definedName>
    <definedName name="dgr" localSheetId="0" hidden="1">{#N/A,#N/A,FALSE,"VARIATIONS";#N/A,#N/A,FALSE,"BUDGET";#N/A,#N/A,FALSE,"CIVIL QNTY VAR";#N/A,#N/A,FALSE,"SUMMARY";#N/A,#N/A,FALSE,"MATERIAL VAR"}</definedName>
    <definedName name="dgr" hidden="1">{#N/A,#N/A,FALSE,"VARIATIONS";#N/A,#N/A,FALSE,"BUDGET";#N/A,#N/A,FALSE,"CIVIL QNTY VAR";#N/A,#N/A,FALSE,"SUMMARY";#N/A,#N/A,FALSE,"MATERIAL VAR"}</definedName>
    <definedName name="dhrtg" localSheetId="9" hidden="1">{#N/A,#N/A,FALSE,"VARIATIONS";#N/A,#N/A,FALSE,"BUDGET";#N/A,#N/A,FALSE,"CIVIL QNTY VAR";#N/A,#N/A,FALSE,"SUMMARY";#N/A,#N/A,FALSE,"MATERIAL VAR"}</definedName>
    <definedName name="dhrtg" localSheetId="0" hidden="1">{#N/A,#N/A,FALSE,"VARIATIONS";#N/A,#N/A,FALSE,"BUDGET";#N/A,#N/A,FALSE,"CIVIL QNTY VAR";#N/A,#N/A,FALSE,"SUMMARY";#N/A,#N/A,FALSE,"MATERIAL VAR"}</definedName>
    <definedName name="dhrtg" hidden="1">{#N/A,#N/A,FALSE,"VARIATIONS";#N/A,#N/A,FALSE,"BUDGET";#N/A,#N/A,FALSE,"CIVIL QNTY VAR";#N/A,#N/A,FALSE,"SUMMARY";#N/A,#N/A,FALSE,"MATERIAL VAR"}</definedName>
    <definedName name="DHTML" localSheetId="9" hidden="1">{"'Sheet1'!$A$4386:$N$4591"}</definedName>
    <definedName name="DHTML" localSheetId="0" hidden="1">{"'Sheet1'!$A$4386:$N$4591"}</definedName>
    <definedName name="DHTML" hidden="1">{"'Sheet1'!$A$4386:$N$4591"}</definedName>
    <definedName name="Di" localSheetId="4">#REF!</definedName>
    <definedName name="Di" localSheetId="9">#REF!</definedName>
    <definedName name="Di" localSheetId="8">#REF!</definedName>
    <definedName name="Di">#REF!</definedName>
    <definedName name="Dia">#N/A</definedName>
    <definedName name="Dia_10">NA()</definedName>
    <definedName name="Dia_2">#N/A</definedName>
    <definedName name="Dia_2_1">NA()</definedName>
    <definedName name="Dia_2_10">NA()</definedName>
    <definedName name="Dia_2_2">NA()</definedName>
    <definedName name="Dia_2_3">NA()</definedName>
    <definedName name="Dia_2_8">NA()</definedName>
    <definedName name="Dia_3">NA()</definedName>
    <definedName name="Dia_5">"#REF!.$F$307/chitogarh/bbs format-v3.xls'#$master.$a$6:$a$30"</definedName>
    <definedName name="Dia_6">"#REF!.$F$307/chitogarh/bbs format-v3.xls'#$master.$a$6:$a$30"</definedName>
    <definedName name="Dia_7">#N/A</definedName>
    <definedName name="Dia_7_10">NA()</definedName>
    <definedName name="Dia_7_2">NA()</definedName>
    <definedName name="Dia_7_3">NA()</definedName>
    <definedName name="Dia_7_8">NA()</definedName>
    <definedName name="Dia_8">NA()</definedName>
    <definedName name="diesel" localSheetId="4">#REF!</definedName>
    <definedName name="diesel" localSheetId="9">#REF!</definedName>
    <definedName name="diesel" localSheetId="8">#REF!</definedName>
    <definedName name="diesel">#REF!</definedName>
    <definedName name="dim4_4" localSheetId="4">#REF!</definedName>
    <definedName name="dim4_4" localSheetId="9">#REF!</definedName>
    <definedName name="dim4_4" localSheetId="8">#REF!</definedName>
    <definedName name="dim4_4">#REF!</definedName>
    <definedName name="dim4_6" localSheetId="4">#REF!</definedName>
    <definedName name="dim4_6" localSheetId="9">#REF!</definedName>
    <definedName name="dim4_6" localSheetId="8">#REF!</definedName>
    <definedName name="dim4_6">#REF!</definedName>
    <definedName name="dim4e" localSheetId="4">#REF!</definedName>
    <definedName name="dim4e" localSheetId="9">#REF!</definedName>
    <definedName name="dim4e" localSheetId="8">#REF!</definedName>
    <definedName name="dim4e">#REF!</definedName>
    <definedName name="DIns" localSheetId="4">#REF!</definedName>
    <definedName name="DIns" localSheetId="9">#REF!</definedName>
    <definedName name="DIns" localSheetId="8">#REF!</definedName>
    <definedName name="DIns">#REF!</definedName>
    <definedName name="DIRIS" localSheetId="4">#REF!</definedName>
    <definedName name="DIRIS" localSheetId="9">#REF!</definedName>
    <definedName name="DIRIS" localSheetId="8">#REF!</definedName>
    <definedName name="DIRIS">#REF!</definedName>
    <definedName name="Discount_Rate">[61]Model!$C$3</definedName>
    <definedName name="div" localSheetId="4">#REF!</definedName>
    <definedName name="div" localSheetId="9">#REF!</definedName>
    <definedName name="div" localSheetId="8">#REF!</definedName>
    <definedName name="div">#REF!</definedName>
    <definedName name="dl" localSheetId="4">#REF!</definedName>
    <definedName name="dl" localSheetId="9">#REF!</definedName>
    <definedName name="dl" localSheetId="8">#REF!</definedName>
    <definedName name="dl">#REF!</definedName>
    <definedName name="dl___0" localSheetId="4">#REF!</definedName>
    <definedName name="dl___0" localSheetId="9">#REF!</definedName>
    <definedName name="dl___0" localSheetId="8">#REF!</definedName>
    <definedName name="dl___0">#REF!</definedName>
    <definedName name="dl___13" localSheetId="4">#REF!</definedName>
    <definedName name="dl___13" localSheetId="9">#REF!</definedName>
    <definedName name="dl___13" localSheetId="8">#REF!</definedName>
    <definedName name="dl___13">#REF!</definedName>
    <definedName name="DLM" localSheetId="4">#REF!</definedName>
    <definedName name="DLM" localSheetId="9">#REF!</definedName>
    <definedName name="DLM" localSheetId="8">#REF!</definedName>
    <definedName name="DLM">#REF!</definedName>
    <definedName name="Do" localSheetId="4">#REF!</definedName>
    <definedName name="Do" localSheetId="9">#REF!</definedName>
    <definedName name="Do" localSheetId="8">#REF!</definedName>
    <definedName name="Do">#REF!</definedName>
    <definedName name="docu" localSheetId="4">#REF!</definedName>
    <definedName name="docu" localSheetId="9">#REF!</definedName>
    <definedName name="docu" localSheetId="8">#REF!</definedName>
    <definedName name="docu">#REF!</definedName>
    <definedName name="DONGRE_ASSOCIATES______________PROJECT">'[9]MASTER_RATE ANALYSIS'!$B$184:$G$184</definedName>
    <definedName name="Double_Clip" localSheetId="4">#REF!</definedName>
    <definedName name="Double_Clip" localSheetId="9">#REF!</definedName>
    <definedName name="Double_Clip" localSheetId="8">#REF!</definedName>
    <definedName name="Double_Clip">#REF!</definedName>
    <definedName name="DOW_CORNING_789_SILICONE_SEALANT" localSheetId="4">#REF!</definedName>
    <definedName name="DOW_CORNING_789_SILICONE_SEALANT" localSheetId="9">#REF!</definedName>
    <definedName name="DOW_CORNING_789_SILICONE_SEALANT" localSheetId="8">#REF!</definedName>
    <definedName name="DOW_CORNING_789_SILICONE_SEALANT">#REF!</definedName>
    <definedName name="DP" localSheetId="4">#REF!</definedName>
    <definedName name="DP" localSheetId="9">#REF!</definedName>
    <definedName name="DP" localSheetId="8">#REF!</definedName>
    <definedName name="DP">#REF!</definedName>
    <definedName name="DPR">[62]Costing!$K$13</definedName>
    <definedName name="dq" localSheetId="4">#REF!</definedName>
    <definedName name="dq" localSheetId="9">#REF!</definedName>
    <definedName name="dq" localSheetId="8">#REF!</definedName>
    <definedName name="dq">#REF!</definedName>
    <definedName name="DR" localSheetId="4">#REF!</definedName>
    <definedName name="DR" localSheetId="9">#REF!</definedName>
    <definedName name="DR" localSheetId="8">#REF!</definedName>
    <definedName name="DR">#REF!</definedName>
    <definedName name="DR.33" localSheetId="4">#REF!</definedName>
    <definedName name="DR.33" localSheetId="9">#REF!</definedName>
    <definedName name="DR.33" localSheetId="8">#REF!</definedName>
    <definedName name="DR.33">#REF!</definedName>
    <definedName name="DR.46" localSheetId="4">#REF!</definedName>
    <definedName name="DR.46" localSheetId="9">#REF!</definedName>
    <definedName name="DR.46" localSheetId="8">#REF!</definedName>
    <definedName name="DR.46">#REF!</definedName>
    <definedName name="DR.56" localSheetId="4">#REF!</definedName>
    <definedName name="DR.56" localSheetId="9">#REF!</definedName>
    <definedName name="DR.56" localSheetId="8">#REF!</definedName>
    <definedName name="DR.56">#REF!</definedName>
    <definedName name="Ds" localSheetId="4">#REF!</definedName>
    <definedName name="Ds" localSheetId="9">#REF!</definedName>
    <definedName name="Ds" localSheetId="8">#REF!</definedName>
    <definedName name="Ds">#REF!</definedName>
    <definedName name="Ds___0" localSheetId="4">#REF!</definedName>
    <definedName name="Ds___0" localSheetId="9">#REF!</definedName>
    <definedName name="Ds___0" localSheetId="8">#REF!</definedName>
    <definedName name="Ds___0">#REF!</definedName>
    <definedName name="Ds___13" localSheetId="4">#REF!</definedName>
    <definedName name="Ds___13" localSheetId="9">#REF!</definedName>
    <definedName name="Ds___13" localSheetId="8">#REF!</definedName>
    <definedName name="Ds___13">#REF!</definedName>
    <definedName name="dsdud" localSheetId="4">#REF!</definedName>
    <definedName name="dsdud" localSheetId="9">#REF!</definedName>
    <definedName name="dsdud" localSheetId="8">#REF!</definedName>
    <definedName name="dsdud">#REF!</definedName>
    <definedName name="dsgfredt" localSheetId="4">[63]Design!#REF!</definedName>
    <definedName name="dsgfredt" localSheetId="9">[63]Design!#REF!</definedName>
    <definedName name="dsgfredt" localSheetId="8">[63]Design!#REF!</definedName>
    <definedName name="dsgfredt">[63]Design!#REF!</definedName>
    <definedName name="DU_CT" localSheetId="4">#REF!</definedName>
    <definedName name="DU_CT" localSheetId="9">#REF!</definedName>
    <definedName name="DU_CT" localSheetId="8">#REF!</definedName>
    <definedName name="DU_CT">#REF!</definedName>
    <definedName name="Duct_Plaster" localSheetId="4">#REF!</definedName>
    <definedName name="Duct_Plaster" localSheetId="9">#REF!</definedName>
    <definedName name="Duct_Plaster" localSheetId="8">#REF!</definedName>
    <definedName name="Duct_Plaster">#REF!</definedName>
    <definedName name="E">'[26]PRECAST lightconc-II'!$K$20</definedName>
    <definedName name="e4tae" localSheetId="9" hidden="1">{#N/A,#N/A,FALSE,"VARIATIONS";#N/A,#N/A,FALSE,"BUDGET";#N/A,#N/A,FALSE,"CIVIL QNTY VAR";#N/A,#N/A,FALSE,"SUMMARY";#N/A,#N/A,FALSE,"MATERIAL VAR"}</definedName>
    <definedName name="e4tae" localSheetId="0" hidden="1">{#N/A,#N/A,FALSE,"VARIATIONS";#N/A,#N/A,FALSE,"BUDGET";#N/A,#N/A,FALSE,"CIVIL QNTY VAR";#N/A,#N/A,FALSE,"SUMMARY";#N/A,#N/A,FALSE,"MATERIAL VAR"}</definedName>
    <definedName name="e4tae" hidden="1">{#N/A,#N/A,FALSE,"VARIATIONS";#N/A,#N/A,FALSE,"BUDGET";#N/A,#N/A,FALSE,"CIVIL QNTY VAR";#N/A,#N/A,FALSE,"SUMMARY";#N/A,#N/A,FALSE,"MATERIAL VAR"}</definedName>
    <definedName name="eaffff...4" localSheetId="4">#REF!</definedName>
    <definedName name="eaffff...4" localSheetId="9">#REF!</definedName>
    <definedName name="eaffff...4" localSheetId="8">#REF!</definedName>
    <definedName name="eaffff...4">#REF!</definedName>
    <definedName name="EastAndWest">[64]INDEX!$D$91:$G$93,[64]INDEX!$D$96:$G$98</definedName>
    <definedName name="EB32D" localSheetId="4">#REF!</definedName>
    <definedName name="EB32D" localSheetId="9">#REF!</definedName>
    <definedName name="EB32D" localSheetId="8">#REF!</definedName>
    <definedName name="EB32D">#REF!</definedName>
    <definedName name="EB32F" localSheetId="4">#REF!</definedName>
    <definedName name="EB32F" localSheetId="9">#REF!</definedName>
    <definedName name="EB32F" localSheetId="8">#REF!</definedName>
    <definedName name="EB32F">#REF!</definedName>
    <definedName name="EB63F" localSheetId="4">#REF!</definedName>
    <definedName name="EB63F" localSheetId="9">#REF!</definedName>
    <definedName name="EB63F" localSheetId="8">#REF!</definedName>
    <definedName name="EB63F">#REF!</definedName>
    <definedName name="ED" localSheetId="4">#REF!</definedName>
    <definedName name="ED" localSheetId="9">#REF!</definedName>
    <definedName name="ED" localSheetId="8">#REF!</definedName>
    <definedName name="ED">#REF!</definedName>
    <definedName name="EDB" localSheetId="4">#REF!</definedName>
    <definedName name="EDB" localSheetId="9">#REF!</definedName>
    <definedName name="EDB" localSheetId="8">#REF!</definedName>
    <definedName name="EDB">#REF!</definedName>
    <definedName name="ee" localSheetId="4">#REF!</definedName>
    <definedName name="ee" localSheetId="9">#REF!</definedName>
    <definedName name="ee" localSheetId="8">#REF!</definedName>
    <definedName name="ee">#REF!</definedName>
    <definedName name="EEC" localSheetId="4">#REF!</definedName>
    <definedName name="EEC" localSheetId="9">#REF!</definedName>
    <definedName name="EEC" localSheetId="8">#REF!</definedName>
    <definedName name="EEC">#REF!</definedName>
    <definedName name="EF" localSheetId="4">[15]GE!#REF!</definedName>
    <definedName name="EF" localSheetId="9">[15]GE!#REF!</definedName>
    <definedName name="EF" localSheetId="8">[15]GE!#REF!</definedName>
    <definedName name="EF">[15]GE!#REF!</definedName>
    <definedName name="EFR">[32]Costing!$F$13</definedName>
    <definedName name="EfS" localSheetId="9" hidden="1">{#N/A,#N/A,FALSE,"VARIATIONS";#N/A,#N/A,FALSE,"BUDGET";#N/A,#N/A,FALSE,"CIVIL QNTY VAR";#N/A,#N/A,FALSE,"SUMMARY";#N/A,#N/A,FALSE,"MATERIAL VAR"}</definedName>
    <definedName name="EfS" localSheetId="0" hidden="1">{#N/A,#N/A,FALSE,"VARIATIONS";#N/A,#N/A,FALSE,"BUDGET";#N/A,#N/A,FALSE,"CIVIL QNTY VAR";#N/A,#N/A,FALSE,"SUMMARY";#N/A,#N/A,FALSE,"MATERIAL VAR"}</definedName>
    <definedName name="EfS" hidden="1">{#N/A,#N/A,FALSE,"VARIATIONS";#N/A,#N/A,FALSE,"BUDGET";#N/A,#N/A,FALSE,"CIVIL QNTY VAR";#N/A,#N/A,FALSE,"SUMMARY";#N/A,#N/A,FALSE,"MATERIAL VAR"}</definedName>
    <definedName name="egt301d" localSheetId="4">#REF!</definedName>
    <definedName name="egt301d" localSheetId="9">#REF!</definedName>
    <definedName name="egt301d" localSheetId="8">#REF!</definedName>
    <definedName name="egt301d">#REF!</definedName>
    <definedName name="egt330d" localSheetId="4">#REF!</definedName>
    <definedName name="egt330d" localSheetId="9">#REF!</definedName>
    <definedName name="egt330d" localSheetId="8">#REF!</definedName>
    <definedName name="egt330d">#REF!</definedName>
    <definedName name="EL40F" localSheetId="4">#REF!</definedName>
    <definedName name="EL40F" localSheetId="9">#REF!</definedName>
    <definedName name="EL40F" localSheetId="8">#REF!</definedName>
    <definedName name="EL40F">#REF!</definedName>
    <definedName name="EL63F" localSheetId="4">#REF!</definedName>
    <definedName name="EL63F" localSheetId="9">#REF!</definedName>
    <definedName name="EL63F" localSheetId="8">#REF!</definedName>
    <definedName name="EL63F">#REF!</definedName>
    <definedName name="elec_cost" localSheetId="4">#REF!</definedName>
    <definedName name="elec_cost" localSheetId="9">#REF!</definedName>
    <definedName name="elec_cost" localSheetId="8">#REF!</definedName>
    <definedName name="elec_cost">#REF!</definedName>
    <definedName name="elec_factor" localSheetId="4">#REF!</definedName>
    <definedName name="elec_factor" localSheetId="9">#REF!</definedName>
    <definedName name="elec_factor" localSheetId="8">#REF!</definedName>
    <definedName name="elec_factor">#REF!</definedName>
    <definedName name="Electric_Light___Power" localSheetId="4">[29]Detail!#REF!</definedName>
    <definedName name="Electric_Light___Power" localSheetId="9">[29]Detail!#REF!</definedName>
    <definedName name="Electric_Light___Power" localSheetId="8">[29]Detail!#REF!</definedName>
    <definedName name="Electric_Light___Power">[29]Detail!#REF!</definedName>
    <definedName name="electricpoles" localSheetId="4">#REF!</definedName>
    <definedName name="electricpoles" localSheetId="9">#REF!</definedName>
    <definedName name="electricpoles" localSheetId="8">#REF!</definedName>
    <definedName name="electricpoles">#REF!</definedName>
    <definedName name="Em" localSheetId="4">#REF!</definedName>
    <definedName name="Em" localSheetId="9">#REF!</definedName>
    <definedName name="Em" localSheetId="8">#REF!</definedName>
    <definedName name="Em">#REF!</definedName>
    <definedName name="Em___0" localSheetId="4">#REF!</definedName>
    <definedName name="Em___0" localSheetId="9">#REF!</definedName>
    <definedName name="Em___0" localSheetId="8">#REF!</definedName>
    <definedName name="Em___0">#REF!</definedName>
    <definedName name="Em___13" localSheetId="4">#REF!</definedName>
    <definedName name="Em___13" localSheetId="9">#REF!</definedName>
    <definedName name="Em___13" localSheetId="8">#REF!</definedName>
    <definedName name="Em___13">#REF!</definedName>
    <definedName name="EM_6400" localSheetId="4">#REF!</definedName>
    <definedName name="EM_6400" localSheetId="9">#REF!</definedName>
    <definedName name="EM_6400" localSheetId="8">#REF!</definedName>
    <definedName name="EM_6400">#REF!</definedName>
    <definedName name="EM3360E" localSheetId="4">#REF!</definedName>
    <definedName name="EM3360E" localSheetId="9">#REF!</definedName>
    <definedName name="EM3360E" localSheetId="8">#REF!</definedName>
    <definedName name="EM3360E">#REF!</definedName>
    <definedName name="Email">"#REF!"</definedName>
    <definedName name="Email_1">"#REF!"</definedName>
    <definedName name="Email_1_3" localSheetId="4">#REF!</definedName>
    <definedName name="Email_1_3" localSheetId="9">#REF!</definedName>
    <definedName name="Email_1_3" localSheetId="6">#REF!</definedName>
    <definedName name="Email_1_3" localSheetId="8">#REF!</definedName>
    <definedName name="Email_1_3">#REF!</definedName>
    <definedName name="Email_3" localSheetId="4">#REF!</definedName>
    <definedName name="Email_3" localSheetId="9">#REF!</definedName>
    <definedName name="Email_3" localSheetId="6">#REF!</definedName>
    <definedName name="Email_3" localSheetId="8">#REF!</definedName>
    <definedName name="Email_3">#REF!</definedName>
    <definedName name="Email_3_1">"#REF!"</definedName>
    <definedName name="Email_3_3" localSheetId="4">#REF!</definedName>
    <definedName name="Email_3_3" localSheetId="9">#REF!</definedName>
    <definedName name="Email_3_3" localSheetId="6">#REF!</definedName>
    <definedName name="Email_3_3" localSheetId="8">#REF!</definedName>
    <definedName name="Email_3_3">#REF!</definedName>
    <definedName name="EMI" localSheetId="4">#REF!</definedName>
    <definedName name="EMI" localSheetId="9">#REF!</definedName>
    <definedName name="EMI" localSheetId="8">#REF!</definedName>
    <definedName name="EMI">#REF!</definedName>
    <definedName name="EMI_0009" localSheetId="4">#REF!</definedName>
    <definedName name="EMI_0009" localSheetId="9">#REF!</definedName>
    <definedName name="EMI_0009" localSheetId="8">#REF!</definedName>
    <definedName name="EMI_0009">#REF!</definedName>
    <definedName name="EMI_1" localSheetId="4">#REF!</definedName>
    <definedName name="EMI_1" localSheetId="9">#REF!</definedName>
    <definedName name="EMI_1" localSheetId="8">#REF!</definedName>
    <definedName name="EMI_1">#REF!</definedName>
    <definedName name="EMI_11" localSheetId="4">#REF!</definedName>
    <definedName name="EMI_11" localSheetId="9">#REF!</definedName>
    <definedName name="EMI_11" localSheetId="8">#REF!</definedName>
    <definedName name="EMI_11">#REF!</definedName>
    <definedName name="EMI_2" localSheetId="4">#REF!</definedName>
    <definedName name="EMI_2" localSheetId="9">#REF!</definedName>
    <definedName name="EMI_2" localSheetId="8">#REF!</definedName>
    <definedName name="EMI_2">#REF!</definedName>
    <definedName name="EMI_3" localSheetId="4">#REF!</definedName>
    <definedName name="EMI_3" localSheetId="9">#REF!</definedName>
    <definedName name="EMI_3" localSheetId="8">#REF!</definedName>
    <definedName name="EMI_3">#REF!</definedName>
    <definedName name="EMI_4" localSheetId="4">#REF!</definedName>
    <definedName name="EMI_4" localSheetId="9">#REF!</definedName>
    <definedName name="EMI_4" localSheetId="8">#REF!</definedName>
    <definedName name="EMI_4">#REF!</definedName>
    <definedName name="EMI_5" localSheetId="4">#REF!</definedName>
    <definedName name="EMI_5" localSheetId="9">#REF!</definedName>
    <definedName name="EMI_5" localSheetId="8">#REF!</definedName>
    <definedName name="EMI_5">#REF!</definedName>
    <definedName name="EMI_55" localSheetId="4">#REF!</definedName>
    <definedName name="EMI_55" localSheetId="9">#REF!</definedName>
    <definedName name="EMI_55" localSheetId="8">#REF!</definedName>
    <definedName name="EMI_55">#REF!</definedName>
    <definedName name="EMI_6" localSheetId="4">#REF!</definedName>
    <definedName name="EMI_6" localSheetId="9">#REF!</definedName>
    <definedName name="EMI_6" localSheetId="8">#REF!</definedName>
    <definedName name="EMI_6">#REF!</definedName>
    <definedName name="END" localSheetId="4">[1]電気設備表!#REF!</definedName>
    <definedName name="END" localSheetId="9">[1]電気設備表!#REF!</definedName>
    <definedName name="END" localSheetId="8">[1]電気設備表!#REF!</definedName>
    <definedName name="END">[1]電気設備表!#REF!</definedName>
    <definedName name="END_L" localSheetId="4">#REF!</definedName>
    <definedName name="END_L" localSheetId="9">#REF!</definedName>
    <definedName name="END_L" localSheetId="8">#REF!</definedName>
    <definedName name="END_L">#REF!</definedName>
    <definedName name="energyexpense" localSheetId="4">#REF!</definedName>
    <definedName name="energyexpense" localSheetId="9">#REF!</definedName>
    <definedName name="energyexpense" localSheetId="8">#REF!</definedName>
    <definedName name="energyexpense">#REF!</definedName>
    <definedName name="energyincome" localSheetId="4">#REF!</definedName>
    <definedName name="energyincome" localSheetId="9">#REF!</definedName>
    <definedName name="energyincome" localSheetId="8">#REF!</definedName>
    <definedName name="energyincome">#REF!</definedName>
    <definedName name="EngAddress" localSheetId="4">#REF!</definedName>
    <definedName name="EngAddress" localSheetId="9">#REF!</definedName>
    <definedName name="EngAddress" localSheetId="8">#REF!</definedName>
    <definedName name="EngAddress">#REF!</definedName>
    <definedName name="EngAddress_4" localSheetId="4">#REF!</definedName>
    <definedName name="EngAddress_4" localSheetId="9">#REF!</definedName>
    <definedName name="EngAddress_4" localSheetId="8">#REF!</definedName>
    <definedName name="EngAddress_4">#REF!</definedName>
    <definedName name="EngAddress_6" localSheetId="4">#REF!</definedName>
    <definedName name="EngAddress_6" localSheetId="9">#REF!</definedName>
    <definedName name="EngAddress_6" localSheetId="8">#REF!</definedName>
    <definedName name="EngAddress_6">#REF!</definedName>
    <definedName name="EngCity" localSheetId="4">#REF!</definedName>
    <definedName name="EngCity" localSheetId="9">#REF!</definedName>
    <definedName name="EngCity" localSheetId="8">#REF!</definedName>
    <definedName name="EngCity">#REF!</definedName>
    <definedName name="EngCity_4" localSheetId="4">#REF!</definedName>
    <definedName name="EngCity_4" localSheetId="9">#REF!</definedName>
    <definedName name="EngCity_4" localSheetId="8">#REF!</definedName>
    <definedName name="EngCity_4">#REF!</definedName>
    <definedName name="EngCity_6" localSheetId="4">#REF!</definedName>
    <definedName name="EngCity_6" localSheetId="9">#REF!</definedName>
    <definedName name="EngCity_6" localSheetId="8">#REF!</definedName>
    <definedName name="EngCity_6">#REF!</definedName>
    <definedName name="EngName" localSheetId="4">#REF!</definedName>
    <definedName name="EngName" localSheetId="9">#REF!</definedName>
    <definedName name="EngName" localSheetId="8">#REF!</definedName>
    <definedName name="EngName">#REF!</definedName>
    <definedName name="EngName_4" localSheetId="4">#REF!</definedName>
    <definedName name="EngName_4" localSheetId="9">#REF!</definedName>
    <definedName name="EngName_4" localSheetId="8">#REF!</definedName>
    <definedName name="EngName_4">#REF!</definedName>
    <definedName name="EngName_6" localSheetId="4">#REF!</definedName>
    <definedName name="EngName_6" localSheetId="9">#REF!</definedName>
    <definedName name="EngName_6" localSheetId="8">#REF!</definedName>
    <definedName name="EngName_6">#REF!</definedName>
    <definedName name="EngPostal" localSheetId="4">#REF!</definedName>
    <definedName name="EngPostal" localSheetId="9">#REF!</definedName>
    <definedName name="EngPostal" localSheetId="8">#REF!</definedName>
    <definedName name="EngPostal">#REF!</definedName>
    <definedName name="EngPostal_4" localSheetId="4">#REF!</definedName>
    <definedName name="EngPostal_4" localSheetId="9">#REF!</definedName>
    <definedName name="EngPostal_4" localSheetId="8">#REF!</definedName>
    <definedName name="EngPostal_4">#REF!</definedName>
    <definedName name="EngPostal_6" localSheetId="4">#REF!</definedName>
    <definedName name="EngPostal_6" localSheetId="9">#REF!</definedName>
    <definedName name="EngPostal_6" localSheetId="8">#REF!</definedName>
    <definedName name="EngPostal_6">#REF!</definedName>
    <definedName name="EngPrio" localSheetId="4">#REF!</definedName>
    <definedName name="EngPrio" localSheetId="9">#REF!</definedName>
    <definedName name="EngPrio" localSheetId="8">#REF!</definedName>
    <definedName name="EngPrio">#REF!</definedName>
    <definedName name="EngPrio_4" localSheetId="4">#REF!</definedName>
    <definedName name="EngPrio_4" localSheetId="9">#REF!</definedName>
    <definedName name="EngPrio_4" localSheetId="8">#REF!</definedName>
    <definedName name="EngPrio_4">#REF!</definedName>
    <definedName name="EngPrio_6" localSheetId="4">#REF!</definedName>
    <definedName name="EngPrio_6" localSheetId="9">#REF!</definedName>
    <definedName name="EngPrio_6" localSheetId="8">#REF!</definedName>
    <definedName name="EngPrio_6">#REF!</definedName>
    <definedName name="EngPrio_Text" localSheetId="4">#REF!</definedName>
    <definedName name="EngPrio_Text" localSheetId="9">#REF!</definedName>
    <definedName name="EngPrio_Text" localSheetId="8">#REF!</definedName>
    <definedName name="EngPrio_Text">#REF!</definedName>
    <definedName name="EngPrio_Text_4" localSheetId="4">#REF!</definedName>
    <definedName name="EngPrio_Text_4" localSheetId="9">#REF!</definedName>
    <definedName name="EngPrio_Text_4" localSheetId="8">#REF!</definedName>
    <definedName name="EngPrio_Text_4">#REF!</definedName>
    <definedName name="EngPrio_Text_6" localSheetId="4">#REF!</definedName>
    <definedName name="EngPrio_Text_6" localSheetId="9">#REF!</definedName>
    <definedName name="EngPrio_Text_6" localSheetId="8">#REF!</definedName>
    <definedName name="EngPrio_Text_6">#REF!</definedName>
    <definedName name="EngState" localSheetId="4">#REF!</definedName>
    <definedName name="EngState" localSheetId="9">#REF!</definedName>
    <definedName name="EngState" localSheetId="8">#REF!</definedName>
    <definedName name="EngState">#REF!</definedName>
    <definedName name="EngState_4" localSheetId="4">#REF!</definedName>
    <definedName name="EngState_4" localSheetId="9">#REF!</definedName>
    <definedName name="EngState_4" localSheetId="8">#REF!</definedName>
    <definedName name="EngState_4">#REF!</definedName>
    <definedName name="EngState_6" localSheetId="4">#REF!</definedName>
    <definedName name="EngState_6" localSheetId="9">#REF!</definedName>
    <definedName name="EngState_6" localSheetId="8">#REF!</definedName>
    <definedName name="EngState_6">#REF!</definedName>
    <definedName name="entries" localSheetId="4">#REF!</definedName>
    <definedName name="entries" localSheetId="9">#REF!</definedName>
    <definedName name="entries" localSheetId="8">#REF!</definedName>
    <definedName name="entries">#REF!</definedName>
    <definedName name="environmentalcost" localSheetId="4">#REF!</definedName>
    <definedName name="environmentalcost" localSheetId="9">#REF!</definedName>
    <definedName name="environmentalcost" localSheetId="8">#REF!</definedName>
    <definedName name="environmentalcost">#REF!</definedName>
    <definedName name="eqjwd" localSheetId="4">#REF!</definedName>
    <definedName name="eqjwd" localSheetId="9">#REF!</definedName>
    <definedName name="eqjwd" localSheetId="8">#REF!</definedName>
    <definedName name="eqjwd">#REF!</definedName>
    <definedName name="erataee" localSheetId="9" hidden="1">{#N/A,#N/A,FALSE,"VARIATIONS";#N/A,#N/A,FALSE,"BUDGET";#N/A,#N/A,FALSE,"CIVIL QNTY VAR";#N/A,#N/A,FALSE,"SUMMARY";#N/A,#N/A,FALSE,"MATERIAL VAR"}</definedName>
    <definedName name="erataee" localSheetId="0" hidden="1">{#N/A,#N/A,FALSE,"VARIATIONS";#N/A,#N/A,FALSE,"BUDGET";#N/A,#N/A,FALSE,"CIVIL QNTY VAR";#N/A,#N/A,FALSE,"SUMMARY";#N/A,#N/A,FALSE,"MATERIAL VAR"}</definedName>
    <definedName name="erataee" hidden="1">{#N/A,#N/A,FALSE,"VARIATIONS";#N/A,#N/A,FALSE,"BUDGET";#N/A,#N/A,FALSE,"CIVIL QNTY VAR";#N/A,#N/A,FALSE,"SUMMARY";#N/A,#N/A,FALSE,"MATERIAL VAR"}</definedName>
    <definedName name="ertf" localSheetId="9" hidden="1">{#N/A,#N/A,FALSE,"VARIATIONS";#N/A,#N/A,FALSE,"BUDGET";#N/A,#N/A,FALSE,"CIVIL QNTY VAR";#N/A,#N/A,FALSE,"SUMMARY";#N/A,#N/A,FALSE,"MATERIAL VAR"}</definedName>
    <definedName name="ertf" localSheetId="0" hidden="1">{#N/A,#N/A,FALSE,"VARIATIONS";#N/A,#N/A,FALSE,"BUDGET";#N/A,#N/A,FALSE,"CIVIL QNTY VAR";#N/A,#N/A,FALSE,"SUMMARY";#N/A,#N/A,FALSE,"MATERIAL VAR"}</definedName>
    <definedName name="ertf" hidden="1">{#N/A,#N/A,FALSE,"VARIATIONS";#N/A,#N/A,FALSE,"BUDGET";#N/A,#N/A,FALSE,"CIVIL QNTY VAR";#N/A,#N/A,FALSE,"SUMMARY";#N/A,#N/A,FALSE,"MATERIAL VAR"}</definedName>
    <definedName name="Es" localSheetId="4">#REF!</definedName>
    <definedName name="Es" localSheetId="9">#REF!</definedName>
    <definedName name="Es" localSheetId="8">#REF!</definedName>
    <definedName name="Es">#REF!</definedName>
    <definedName name="Es___0" localSheetId="4">#REF!</definedName>
    <definedName name="Es___0" localSheetId="9">#REF!</definedName>
    <definedName name="Es___0" localSheetId="8">#REF!</definedName>
    <definedName name="Es___0">#REF!</definedName>
    <definedName name="Es___13" localSheetId="4">#REF!</definedName>
    <definedName name="Es___13" localSheetId="9">#REF!</definedName>
    <definedName name="Es___13" localSheetId="8">#REF!</definedName>
    <definedName name="Es___13">#REF!</definedName>
    <definedName name="ESSR1" localSheetId="4">#REF!</definedName>
    <definedName name="ESSR1" localSheetId="9">#REF!</definedName>
    <definedName name="ESSR1" localSheetId="8">#REF!</definedName>
    <definedName name="ESSR1">#REF!</definedName>
    <definedName name="ESSR10" localSheetId="4">#REF!</definedName>
    <definedName name="ESSR10" localSheetId="9">#REF!</definedName>
    <definedName name="ESSR10" localSheetId="8">#REF!</definedName>
    <definedName name="ESSR10">#REF!</definedName>
    <definedName name="ESSR11" localSheetId="4">#REF!</definedName>
    <definedName name="ESSR11" localSheetId="9">#REF!</definedName>
    <definedName name="ESSR11" localSheetId="8">#REF!</definedName>
    <definedName name="ESSR11">#REF!</definedName>
    <definedName name="ESSR12" localSheetId="4">#REF!</definedName>
    <definedName name="ESSR12" localSheetId="9">#REF!</definedName>
    <definedName name="ESSR12" localSheetId="8">#REF!</definedName>
    <definedName name="ESSR12">#REF!</definedName>
    <definedName name="ESSR13" localSheetId="4">#REF!</definedName>
    <definedName name="ESSR13" localSheetId="9">#REF!</definedName>
    <definedName name="ESSR13" localSheetId="8">#REF!</definedName>
    <definedName name="ESSR13">#REF!</definedName>
    <definedName name="ESSR2" localSheetId="4">#REF!</definedName>
    <definedName name="ESSR2" localSheetId="9">#REF!</definedName>
    <definedName name="ESSR2" localSheetId="8">#REF!</definedName>
    <definedName name="ESSR2">#REF!</definedName>
    <definedName name="ESSR3" localSheetId="4">#REF!</definedName>
    <definedName name="ESSR3" localSheetId="9">#REF!</definedName>
    <definedName name="ESSR3" localSheetId="8">#REF!</definedName>
    <definedName name="ESSR3">#REF!</definedName>
    <definedName name="ESSR4" localSheetId="4">#REF!</definedName>
    <definedName name="ESSR4" localSheetId="9">#REF!</definedName>
    <definedName name="ESSR4" localSheetId="8">#REF!</definedName>
    <definedName name="ESSR4">#REF!</definedName>
    <definedName name="ESSR5" localSheetId="4">#REF!</definedName>
    <definedName name="ESSR5" localSheetId="9">#REF!</definedName>
    <definedName name="ESSR5" localSheetId="8">#REF!</definedName>
    <definedName name="ESSR5">#REF!</definedName>
    <definedName name="ESSR6" localSheetId="4">#REF!</definedName>
    <definedName name="ESSR6" localSheetId="9">#REF!</definedName>
    <definedName name="ESSR6" localSheetId="8">#REF!</definedName>
    <definedName name="ESSR6">#REF!</definedName>
    <definedName name="ESSR7" localSheetId="4">#REF!</definedName>
    <definedName name="ESSR7" localSheetId="9">#REF!</definedName>
    <definedName name="ESSR7" localSheetId="8">#REF!</definedName>
    <definedName name="ESSR7">#REF!</definedName>
    <definedName name="ESSR8" localSheetId="4">#REF!</definedName>
    <definedName name="ESSR8" localSheetId="9">#REF!</definedName>
    <definedName name="ESSR8" localSheetId="8">#REF!</definedName>
    <definedName name="ESSR8">#REF!</definedName>
    <definedName name="ESSR9" localSheetId="4">#REF!</definedName>
    <definedName name="ESSR9" localSheetId="9">#REF!</definedName>
    <definedName name="ESSR9" localSheetId="8">#REF!</definedName>
    <definedName name="ESSR9">#REF!</definedName>
    <definedName name="EstCost" localSheetId="4">#REF!</definedName>
    <definedName name="EstCost" localSheetId="9">#REF!</definedName>
    <definedName name="EstCost" localSheetId="8">#REF!</definedName>
    <definedName name="EstCost">#REF!</definedName>
    <definedName name="EstCost_4" localSheetId="4">#REF!</definedName>
    <definedName name="EstCost_4" localSheetId="9">#REF!</definedName>
    <definedName name="EstCost_4" localSheetId="8">#REF!</definedName>
    <definedName name="EstCost_4">#REF!</definedName>
    <definedName name="EstCost_6" localSheetId="4">#REF!</definedName>
    <definedName name="EstCost_6" localSheetId="9">#REF!</definedName>
    <definedName name="EstCost_6" localSheetId="8">#REF!</definedName>
    <definedName name="EstCost_6">#REF!</definedName>
    <definedName name="Et" localSheetId="4">#REF!</definedName>
    <definedName name="Et" localSheetId="9">#REF!</definedName>
    <definedName name="Et" localSheetId="8">#REF!</definedName>
    <definedName name="Et">#REF!</definedName>
    <definedName name="Et___0" localSheetId="4">#REF!</definedName>
    <definedName name="Et___0" localSheetId="9">#REF!</definedName>
    <definedName name="Et___0" localSheetId="8">#REF!</definedName>
    <definedName name="Et___0">#REF!</definedName>
    <definedName name="Et___13" localSheetId="4">#REF!</definedName>
    <definedName name="Et___13" localSheetId="9">#REF!</definedName>
    <definedName name="Et___13" localSheetId="8">#REF!</definedName>
    <definedName name="Et___13">#REF!</definedName>
    <definedName name="etaeta" localSheetId="9" hidden="1">{#N/A,#N/A,FALSE,"VARIATIONS";#N/A,#N/A,FALSE,"BUDGET";#N/A,#N/A,FALSE,"CIVIL QNTY VAR";#N/A,#N/A,FALSE,"SUMMARY";#N/A,#N/A,FALSE,"MATERIAL VAR"}</definedName>
    <definedName name="etaeta" localSheetId="0" hidden="1">{#N/A,#N/A,FALSE,"VARIATIONS";#N/A,#N/A,FALSE,"BUDGET";#N/A,#N/A,FALSE,"CIVIL QNTY VAR";#N/A,#N/A,FALSE,"SUMMARY";#N/A,#N/A,FALSE,"MATERIAL VAR"}</definedName>
    <definedName name="etaeta" hidden="1">{#N/A,#N/A,FALSE,"VARIATIONS";#N/A,#N/A,FALSE,"BUDGET";#N/A,#N/A,FALSE,"CIVIL QNTY VAR";#N/A,#N/A,FALSE,"SUMMARY";#N/A,#N/A,FALSE,"MATERIAL VAR"}</definedName>
    <definedName name="eu" localSheetId="4">#REF!</definedName>
    <definedName name="eu" localSheetId="9">#REF!</definedName>
    <definedName name="eu" localSheetId="8">#REF!</definedName>
    <definedName name="eu">#REF!</definedName>
    <definedName name="eu_4" localSheetId="4">#REF!</definedName>
    <definedName name="eu_4" localSheetId="9">#REF!</definedName>
    <definedName name="eu_4" localSheetId="8">#REF!</definedName>
    <definedName name="eu_4">#REF!</definedName>
    <definedName name="eu_6" localSheetId="4">#REF!</definedName>
    <definedName name="eu_6" localSheetId="9">#REF!</definedName>
    <definedName name="eu_6" localSheetId="8">#REF!</definedName>
    <definedName name="eu_6">#REF!</definedName>
    <definedName name="Evaporative_Cooling" localSheetId="4">[29]Detail!#REF!</definedName>
    <definedName name="Evaporative_Cooling" localSheetId="9">[29]Detail!#REF!</definedName>
    <definedName name="Evaporative_Cooling" localSheetId="8">[29]Detail!#REF!</definedName>
    <definedName name="Evaporative_Cooling">[29]Detail!#REF!</definedName>
    <definedName name="EW" localSheetId="4">#REF!</definedName>
    <definedName name="EW" localSheetId="9">#REF!</definedName>
    <definedName name="EW" localSheetId="8">#REF!</definedName>
    <definedName name="EW">#REF!</definedName>
    <definedName name="exc">[65]labour!$C$7</definedName>
    <definedName name="excav" localSheetId="4">#REF!</definedName>
    <definedName name="excav" localSheetId="9">#REF!</definedName>
    <definedName name="excav" localSheetId="8">#REF!</definedName>
    <definedName name="excav">#REF!</definedName>
    <definedName name="Excavation" localSheetId="4">#REF!</definedName>
    <definedName name="Excavation" localSheetId="9">#REF!</definedName>
    <definedName name="Excavation" localSheetId="8">#REF!</definedName>
    <definedName name="Excavation">#REF!</definedName>
    <definedName name="Excel_BuiltIn__FilterDatabase_1">"#REF!"</definedName>
    <definedName name="Excel_BuiltIn__FilterDatabase_1_3" localSheetId="4">#REF!</definedName>
    <definedName name="Excel_BuiltIn__FilterDatabase_1_3" localSheetId="9">#REF!</definedName>
    <definedName name="Excel_BuiltIn__FilterDatabase_1_3" localSheetId="6">#REF!</definedName>
    <definedName name="Excel_BuiltIn__FilterDatabase_1_3" localSheetId="8">#REF!</definedName>
    <definedName name="Excel_BuiltIn__FilterDatabase_1_3">#REF!</definedName>
    <definedName name="Excel_BuiltIn__FilterDatabase_2">"#REF!"</definedName>
    <definedName name="Excel_BuiltIn__FilterDatabase_2_1">"#REF!"</definedName>
    <definedName name="Excel_BuiltIn__FilterDatabase_2_11">"#REF!"</definedName>
    <definedName name="Excel_BuiltIn__FilterDatabase_2_3" localSheetId="4">#REF!</definedName>
    <definedName name="Excel_BuiltIn__FilterDatabase_2_3" localSheetId="9">#REF!</definedName>
    <definedName name="Excel_BuiltIn__FilterDatabase_2_3" localSheetId="6">#REF!</definedName>
    <definedName name="Excel_BuiltIn__FilterDatabase_2_3" localSheetId="8">#REF!</definedName>
    <definedName name="Excel_BuiltIn__FilterDatabase_2_3">#REF!</definedName>
    <definedName name="Excel_BuiltIn__FilterDatabase_2_3_1">"'Daily Concrete Program'!$A$2:$AK$2"</definedName>
    <definedName name="Excel_BuiltIn__FilterDatabase_2_3_3" localSheetId="4">#REF!</definedName>
    <definedName name="Excel_BuiltIn__FilterDatabase_2_3_3" localSheetId="9">#REF!</definedName>
    <definedName name="Excel_BuiltIn__FilterDatabase_2_3_3" localSheetId="6">#REF!</definedName>
    <definedName name="Excel_BuiltIn__FilterDatabase_2_3_3" localSheetId="8">#REF!</definedName>
    <definedName name="Excel_BuiltIn__FilterDatabase_2_3_3">#REF!</definedName>
    <definedName name="Excel_BuiltIn__FilterDatabase_2_4">"#REF!"</definedName>
    <definedName name="Excel_BuiltIn__FilterDatabase_2_5">"#REF!"</definedName>
    <definedName name="Excel_BuiltIn__FilterDatabase_2_7">"#REF!"</definedName>
    <definedName name="Excel_BuiltIn__FilterDatabase_2_9">"#REF!"</definedName>
    <definedName name="Excel_BuiltIn__FilterDatabase_3">"'Labour Report'!#REF!"</definedName>
    <definedName name="Excel_BuiltIn__FilterDatabase_3_3" localSheetId="4">'[66]Labour Report'!#REF!</definedName>
    <definedName name="Excel_BuiltIn__FilterDatabase_3_3" localSheetId="9">'[66]Labour Report'!#REF!</definedName>
    <definedName name="Excel_BuiltIn__FilterDatabase_3_3" localSheetId="6">'[67]Labour Report'!#REF!</definedName>
    <definedName name="Excel_BuiltIn__FilterDatabase_3_3" localSheetId="8">'[67]Labour Report'!#REF!</definedName>
    <definedName name="Excel_BuiltIn__FilterDatabase_3_3">'[66]Labour Report'!#REF!</definedName>
    <definedName name="Excel_BuiltIn__FilterDatabase_3_3_1">"'Labour Report'!#REF!"</definedName>
    <definedName name="Excel_BuiltIn__FilterDatabase_3_3_3" localSheetId="4">'[66]Labour Report'!#REF!</definedName>
    <definedName name="Excel_BuiltIn__FilterDatabase_3_3_3" localSheetId="9">'[66]Labour Report'!#REF!</definedName>
    <definedName name="Excel_BuiltIn__FilterDatabase_3_3_3" localSheetId="6">'[67]Labour Report'!#REF!</definedName>
    <definedName name="Excel_BuiltIn__FilterDatabase_3_3_3" localSheetId="8">'[67]Labour Report'!#REF!</definedName>
    <definedName name="Excel_BuiltIn__FilterDatabase_3_3_3">'[66]Labour Report'!#REF!</definedName>
    <definedName name="Excel_BuiltIn__FilterDatabase_4">"#REF!"</definedName>
    <definedName name="Excel_BuiltIn__FilterDatabase_4_3" localSheetId="4">#REF!</definedName>
    <definedName name="Excel_BuiltIn__FilterDatabase_4_3" localSheetId="9">#REF!</definedName>
    <definedName name="Excel_BuiltIn__FilterDatabase_4_3" localSheetId="6">#REF!</definedName>
    <definedName name="Excel_BuiltIn__FilterDatabase_4_3" localSheetId="8">#REF!</definedName>
    <definedName name="Excel_BuiltIn__FilterDatabase_4_3">#REF!</definedName>
    <definedName name="Excel_BuiltIn__FilterDatabase_6">"#REF!"</definedName>
    <definedName name="Excel_BuiltIn__FilterDatabase_6_3" localSheetId="4">#REF!</definedName>
    <definedName name="Excel_BuiltIn__FilterDatabase_6_3" localSheetId="9">#REF!</definedName>
    <definedName name="Excel_BuiltIn__FilterDatabase_6_3" localSheetId="6">#REF!</definedName>
    <definedName name="Excel_BuiltIn__FilterDatabase_6_3" localSheetId="8">#REF!</definedName>
    <definedName name="Excel_BuiltIn__FilterDatabase_6_3">#REF!</definedName>
    <definedName name="Excel_BuiltIn_Database" localSheetId="4">#REF!</definedName>
    <definedName name="Excel_BuiltIn_Database" localSheetId="9">#REF!</definedName>
    <definedName name="Excel_BuiltIn_Database" localSheetId="6">"#REF!"</definedName>
    <definedName name="Excel_BuiltIn_Database" localSheetId="8">"#REF!"</definedName>
    <definedName name="Excel_BuiltIn_Database">#REF!</definedName>
    <definedName name="Excel_BuiltIn_Database_1">"#REF!"</definedName>
    <definedName name="Excel_BuiltIn_Database_1_3" localSheetId="4">#REF!</definedName>
    <definedName name="Excel_BuiltIn_Database_1_3" localSheetId="9">#REF!</definedName>
    <definedName name="Excel_BuiltIn_Database_1_3" localSheetId="6">#REF!</definedName>
    <definedName name="Excel_BuiltIn_Database_1_3" localSheetId="8">#REF!</definedName>
    <definedName name="Excel_BuiltIn_Database_1_3">#REF!</definedName>
    <definedName name="Excel_BuiltIn_Database_3" localSheetId="4">#REF!</definedName>
    <definedName name="Excel_BuiltIn_Database_3" localSheetId="9">#REF!</definedName>
    <definedName name="Excel_BuiltIn_Database_3" localSheetId="6">#REF!</definedName>
    <definedName name="Excel_BuiltIn_Database_3" localSheetId="8">#REF!</definedName>
    <definedName name="Excel_BuiltIn_Database_3">#REF!</definedName>
    <definedName name="Excel_BuiltIn_Database_3_1">"#REF!"</definedName>
    <definedName name="Excel_BuiltIn_Database_3_3" localSheetId="4">#REF!</definedName>
    <definedName name="Excel_BuiltIn_Database_3_3" localSheetId="9">#REF!</definedName>
    <definedName name="Excel_BuiltIn_Database_3_3" localSheetId="6">#REF!</definedName>
    <definedName name="Excel_BuiltIn_Database_3_3" localSheetId="8">#REF!</definedName>
    <definedName name="Excel_BuiltIn_Database_3_3">#REF!</definedName>
    <definedName name="Excel_BuiltIn_Print_Area" localSheetId="4">(#REF!,#REF!)</definedName>
    <definedName name="Excel_BuiltIn_Print_Area" localSheetId="9">(#REF!,#REF!)</definedName>
    <definedName name="Excel_BuiltIn_Print_Area" localSheetId="8">(#REF!,#REF!)</definedName>
    <definedName name="Excel_BuiltIn_Print_Area">(#REF!,#REF!)</definedName>
    <definedName name="Excel_BuiltIn_Print_Area_1" localSheetId="4">#REF!</definedName>
    <definedName name="Excel_BuiltIn_Print_Area_1" localSheetId="9">#REF!</definedName>
    <definedName name="Excel_BuiltIn_Print_Area_1" localSheetId="6">#REF!</definedName>
    <definedName name="Excel_BuiltIn_Print_Area_1" localSheetId="8">#REF!</definedName>
    <definedName name="Excel_BuiltIn_Print_Area_1">#REF!</definedName>
    <definedName name="Excel_BuiltIn_Print_Area_1_1" localSheetId="4">(#REF!,#REF!)</definedName>
    <definedName name="Excel_BuiltIn_Print_Area_1_1" localSheetId="9">(#REF!,#REF!)</definedName>
    <definedName name="Excel_BuiltIn_Print_Area_1_1" localSheetId="6">#REF!</definedName>
    <definedName name="Excel_BuiltIn_Print_Area_1_1" localSheetId="8">#REF!</definedName>
    <definedName name="Excel_BuiltIn_Print_Area_1_1">(#REF!,#REF!)</definedName>
    <definedName name="Excel_BuiltIn_Print_Area_1_1_1" localSheetId="4">(#REF!,#REF!)</definedName>
    <definedName name="Excel_BuiltIn_Print_Area_1_1_1" localSheetId="9">(#REF!,#REF!)</definedName>
    <definedName name="Excel_BuiltIn_Print_Area_1_1_1" localSheetId="6">"#REF!"</definedName>
    <definedName name="Excel_BuiltIn_Print_Area_1_1_1" localSheetId="8">"#REF!"</definedName>
    <definedName name="Excel_BuiltIn_Print_Area_1_1_1">(#REF!,#REF!)</definedName>
    <definedName name="Excel_BuiltIn_Print_Area_1_1_1_1" localSheetId="4">(#REF!,#REF!)</definedName>
    <definedName name="Excel_BuiltIn_Print_Area_1_1_1_1" localSheetId="9">(#REF!,#REF!)</definedName>
    <definedName name="Excel_BuiltIn_Print_Area_1_1_1_1" localSheetId="8">(#REF!,#REF!)</definedName>
    <definedName name="Excel_BuiltIn_Print_Area_1_1_1_1">(#REF!,#REF!)</definedName>
    <definedName name="Excel_BuiltIn_Print_Area_1_1_1_1_1" localSheetId="4">#REF!</definedName>
    <definedName name="Excel_BuiltIn_Print_Area_1_1_1_1_1" localSheetId="9">#REF!</definedName>
    <definedName name="Excel_BuiltIn_Print_Area_1_1_1_1_1" localSheetId="8">#REF!</definedName>
    <definedName name="Excel_BuiltIn_Print_Area_1_1_1_1_1">#REF!</definedName>
    <definedName name="Excel_BuiltIn_Print_Area_1_1_1_10">"#REF!"</definedName>
    <definedName name="Excel_BuiltIn_Print_Area_1_1_1_3">"#REF!"</definedName>
    <definedName name="Excel_BuiltIn_Print_Area_1_1_1_8">"#REF!"</definedName>
    <definedName name="Excel_BuiltIn_Print_Area_1_1_10">"#REF!"</definedName>
    <definedName name="Excel_BuiltIn_Print_Area_1_1_3">"#REF!"</definedName>
    <definedName name="Excel_BuiltIn_Print_Area_1_10">"#REF!"</definedName>
    <definedName name="Excel_BuiltIn_Print_Area_1_2" localSheetId="4">#REF!</definedName>
    <definedName name="Excel_BuiltIn_Print_Area_1_2" localSheetId="9">#REF!</definedName>
    <definedName name="Excel_BuiltIn_Print_Area_1_2" localSheetId="6">#REF!</definedName>
    <definedName name="Excel_BuiltIn_Print_Area_1_2" localSheetId="8">#REF!</definedName>
    <definedName name="Excel_BuiltIn_Print_Area_1_2">#REF!</definedName>
    <definedName name="Excel_BuiltIn_Print_Area_1_2_10">"#REF!"</definedName>
    <definedName name="Excel_BuiltIn_Print_Area_1_2_3">"#REF!"</definedName>
    <definedName name="Excel_BuiltIn_Print_Area_1_2_6">"#REF!"</definedName>
    <definedName name="Excel_BuiltIn_Print_Area_1_2_8">"#REF!"</definedName>
    <definedName name="Excel_BuiltIn_Print_Area_1_3">"#REF!"</definedName>
    <definedName name="Excel_BuiltIn_Print_Area_1_6">"#REF!"</definedName>
    <definedName name="Excel_BuiltIn_Print_Area_1_8">"#REF!"</definedName>
    <definedName name="Excel_BuiltIn_Print_Area_10" localSheetId="4">#REF!</definedName>
    <definedName name="Excel_BuiltIn_Print_Area_10" localSheetId="9">#REF!</definedName>
    <definedName name="Excel_BuiltIn_Print_Area_10" localSheetId="6">#REF!</definedName>
    <definedName name="Excel_BuiltIn_Print_Area_10" localSheetId="8">#REF!</definedName>
    <definedName name="Excel_BuiltIn_Print_Area_10">#REF!</definedName>
    <definedName name="Excel_BuiltIn_Print_Area_10_1" localSheetId="4">('[68]Shuttering costing-Annex-IV'!#REF!,'[68]Shuttering costing-Annex-IV'!#REF!)</definedName>
    <definedName name="Excel_BuiltIn_Print_Area_10_1" localSheetId="9">('[68]Shuttering costing-Annex-IV'!#REF!,'[68]Shuttering costing-Annex-IV'!#REF!)</definedName>
    <definedName name="Excel_BuiltIn_Print_Area_10_1" localSheetId="8">('[68]Shuttering costing-Annex-IV'!#REF!,'[68]Shuttering costing-Annex-IV'!#REF!)</definedName>
    <definedName name="Excel_BuiltIn_Print_Area_10_1">('[68]Shuttering costing-Annex-IV'!#REF!,'[68]Shuttering costing-Annex-IV'!#REF!)</definedName>
    <definedName name="Excel_BuiltIn_Print_Area_11" localSheetId="4">#REF!</definedName>
    <definedName name="Excel_BuiltIn_Print_Area_11" localSheetId="9">#REF!</definedName>
    <definedName name="Excel_BuiltIn_Print_Area_11" localSheetId="6">#REF!</definedName>
    <definedName name="Excel_BuiltIn_Print_Area_11" localSheetId="8">#REF!</definedName>
    <definedName name="Excel_BuiltIn_Print_Area_11">#REF!</definedName>
    <definedName name="Excel_BuiltIn_Print_Area_11_1" localSheetId="4">#REF!</definedName>
    <definedName name="Excel_BuiltIn_Print_Area_11_1" localSheetId="9">#REF!</definedName>
    <definedName name="Excel_BuiltIn_Print_Area_11_1" localSheetId="6">#REF!</definedName>
    <definedName name="Excel_BuiltIn_Print_Area_11_1" localSheetId="8">#REF!</definedName>
    <definedName name="Excel_BuiltIn_Print_Area_11_1">#REF!</definedName>
    <definedName name="Excel_BuiltIn_Print_Area_12" localSheetId="4">#REF!</definedName>
    <definedName name="Excel_BuiltIn_Print_Area_12" localSheetId="9">#REF!</definedName>
    <definedName name="Excel_BuiltIn_Print_Area_12" localSheetId="8">#REF!</definedName>
    <definedName name="Excel_BuiltIn_Print_Area_12">#REF!</definedName>
    <definedName name="Excel_BuiltIn_Print_Area_13" localSheetId="4">#REF!</definedName>
    <definedName name="Excel_BuiltIn_Print_Area_13" localSheetId="9">#REF!</definedName>
    <definedName name="Excel_BuiltIn_Print_Area_13" localSheetId="8">#REF!</definedName>
    <definedName name="Excel_BuiltIn_Print_Area_13">#REF!</definedName>
    <definedName name="Excel_BuiltIn_Print_Area_13_1" localSheetId="4">#REF!</definedName>
    <definedName name="Excel_BuiltIn_Print_Area_13_1" localSheetId="9">#REF!</definedName>
    <definedName name="Excel_BuiltIn_Print_Area_13_1" localSheetId="6">#REF!</definedName>
    <definedName name="Excel_BuiltIn_Print_Area_13_1" localSheetId="8">#REF!</definedName>
    <definedName name="Excel_BuiltIn_Print_Area_13_1">#REF!</definedName>
    <definedName name="Excel_BuiltIn_Print_Area_14" localSheetId="4">#REF!</definedName>
    <definedName name="Excel_BuiltIn_Print_Area_14" localSheetId="9">#REF!</definedName>
    <definedName name="Excel_BuiltIn_Print_Area_14" localSheetId="6">#REF!</definedName>
    <definedName name="Excel_BuiltIn_Print_Area_14" localSheetId="8">#REF!</definedName>
    <definedName name="Excel_BuiltIn_Print_Area_14">#REF!</definedName>
    <definedName name="Excel_BuiltIn_Print_Area_14_1" localSheetId="4">#REF!</definedName>
    <definedName name="Excel_BuiltIn_Print_Area_14_1" localSheetId="9">#REF!</definedName>
    <definedName name="Excel_BuiltIn_Print_Area_14_1" localSheetId="6">#REF!</definedName>
    <definedName name="Excel_BuiltIn_Print_Area_14_1" localSheetId="8">#REF!</definedName>
    <definedName name="Excel_BuiltIn_Print_Area_14_1">#REF!</definedName>
    <definedName name="Excel_BuiltIn_Print_Area_14_1_1" localSheetId="4">#REF!</definedName>
    <definedName name="Excel_BuiltIn_Print_Area_14_1_1" localSheetId="9">#REF!</definedName>
    <definedName name="Excel_BuiltIn_Print_Area_14_1_1" localSheetId="6">#REF!</definedName>
    <definedName name="Excel_BuiltIn_Print_Area_14_1_1" localSheetId="8">#REF!</definedName>
    <definedName name="Excel_BuiltIn_Print_Area_14_1_1">#REF!</definedName>
    <definedName name="Excel_BuiltIn_Print_Area_15" localSheetId="4">#REF!</definedName>
    <definedName name="Excel_BuiltIn_Print_Area_15" localSheetId="9">#REF!</definedName>
    <definedName name="Excel_BuiltIn_Print_Area_15" localSheetId="6">#REF!</definedName>
    <definedName name="Excel_BuiltIn_Print_Area_15" localSheetId="8">#REF!</definedName>
    <definedName name="Excel_BuiltIn_Print_Area_15">#REF!</definedName>
    <definedName name="Excel_BuiltIn_Print_Area_2" localSheetId="4">#REF!</definedName>
    <definedName name="Excel_BuiltIn_Print_Area_2" localSheetId="9">#REF!</definedName>
    <definedName name="Excel_BuiltIn_Print_Area_2" localSheetId="6">"#REF!"</definedName>
    <definedName name="Excel_BuiltIn_Print_Area_2" localSheetId="8">"#REF!"</definedName>
    <definedName name="Excel_BuiltIn_Print_Area_2">#REF!</definedName>
    <definedName name="Excel_BuiltIn_Print_Area_2_1" localSheetId="4">#REF!</definedName>
    <definedName name="Excel_BuiltIn_Print_Area_2_1" localSheetId="9">#REF!</definedName>
    <definedName name="Excel_BuiltIn_Print_Area_2_1" localSheetId="6">"#REF!"</definedName>
    <definedName name="Excel_BuiltIn_Print_Area_2_1" localSheetId="8">"#REF!"</definedName>
    <definedName name="Excel_BuiltIn_Print_Area_2_1">#REF!</definedName>
    <definedName name="Excel_BuiltIn_Print_Area_2_1_1" localSheetId="4">('[69]WORKING boq'!#REF!,'[69]WORKING boq'!$B$2:$D$15)</definedName>
    <definedName name="Excel_BuiltIn_Print_Area_2_1_1" localSheetId="9">('[69]WORKING boq'!#REF!,'[69]WORKING boq'!$B$2:$D$15)</definedName>
    <definedName name="Excel_BuiltIn_Print_Area_2_1_1" localSheetId="6">"#REF!"</definedName>
    <definedName name="Excel_BuiltIn_Print_Area_2_1_1" localSheetId="8">"#REF!"</definedName>
    <definedName name="Excel_BuiltIn_Print_Area_2_1_1">('[69]WORKING boq'!#REF!,'[69]WORKING boq'!$B$2:$D$15)</definedName>
    <definedName name="Excel_BuiltIn_Print_Area_2_1_1_1">"$#REF!.$A$1:$J$835"</definedName>
    <definedName name="Excel_BuiltIn_Print_Area_2_1_1_1_1">"$#REF!.$A$1:$K$51"</definedName>
    <definedName name="Excel_BuiltIn_Print_Area_2_1_1_1_1_1">"$#REF!.$A$1:$J$122"</definedName>
    <definedName name="Excel_BuiltIn_Print_Area_2_1_1_1_1_1_1">"$#REF!.$A$1:$J$835"</definedName>
    <definedName name="Excel_BuiltIn_Print_Area_2_1_1_1_1_1_1_1">"$#REF!.$A$1:$J$634"</definedName>
    <definedName name="Excel_BuiltIn_Print_Area_2_1_1_1_1_1_1_3">"$#REF!.$A$1:$J$587"</definedName>
    <definedName name="Excel_BuiltIn_Print_Area_2_1_1_1_1_1_3">"$#REF!.$A$1:$J$756"</definedName>
    <definedName name="Excel_BuiltIn_Print_Area_2_1_1_1_1_3">"$#REF!.$A$1:$J$123"</definedName>
    <definedName name="Excel_BuiltIn_Print_Area_2_1_1_3">"$#REF!.$A$1:$J$756"</definedName>
    <definedName name="Excel_BuiltIn_Print_Area_2_1_10">"$#REF!.$A$1:$J$835"</definedName>
    <definedName name="Excel_BuiltIn_Print_Area_2_1_11">"#REF!"</definedName>
    <definedName name="Excel_BuiltIn_Print_Area_2_1_2">"#REF!"</definedName>
    <definedName name="Excel_BuiltIn_Print_Area_2_1_3">"$#REF!.$A$1:$J$835"</definedName>
    <definedName name="Excel_BuiltIn_Print_Area_2_1_3_1">"$#REF!.$A$1:$J$756"</definedName>
    <definedName name="Excel_BuiltIn_Print_Area_2_1_4">"#REF!"</definedName>
    <definedName name="Excel_BuiltIn_Print_Area_2_1_5">"#REF!"</definedName>
    <definedName name="Excel_BuiltIn_Print_Area_2_1_6">"$#REF!.$A$1:$J$835"</definedName>
    <definedName name="Excel_BuiltIn_Print_Area_2_1_7">"#REF!"</definedName>
    <definedName name="Excel_BuiltIn_Print_Area_2_1_8">"$#REF!.$A$1:$J$835"</definedName>
    <definedName name="Excel_BuiltIn_Print_Area_2_1_9">"#REF!"</definedName>
    <definedName name="Excel_BuiltIn_Print_Area_2_11">"#REF!"</definedName>
    <definedName name="Excel_BuiltIn_Print_Area_2_4">"#REF!"</definedName>
    <definedName name="Excel_BuiltIn_Print_Area_2_5">"#REF!"</definedName>
    <definedName name="Excel_BuiltIn_Print_Area_2_7">"#REF!"</definedName>
    <definedName name="Excel_BuiltIn_Print_Area_2_9">"#REF!"</definedName>
    <definedName name="Excel_BuiltIn_Print_Area_3" localSheetId="4">#REF!</definedName>
    <definedName name="Excel_BuiltIn_Print_Area_3" localSheetId="9">#REF!</definedName>
    <definedName name="Excel_BuiltIn_Print_Area_3" localSheetId="6">"#REF!"</definedName>
    <definedName name="Excel_BuiltIn_Print_Area_3" localSheetId="8">"#REF!"</definedName>
    <definedName name="Excel_BuiltIn_Print_Area_3">#REF!</definedName>
    <definedName name="Excel_BuiltIn_Print_Area_3_1" localSheetId="4">#REF!</definedName>
    <definedName name="Excel_BuiltIn_Print_Area_3_1" localSheetId="9">#REF!</definedName>
    <definedName name="Excel_BuiltIn_Print_Area_3_1" localSheetId="6">"#REF!"</definedName>
    <definedName name="Excel_BuiltIn_Print_Area_3_1" localSheetId="8">"#REF!"</definedName>
    <definedName name="Excel_BuiltIn_Print_Area_3_1">#REF!</definedName>
    <definedName name="Excel_BuiltIn_Print_Area_3_1_1">"#REF!"</definedName>
    <definedName name="Excel_BuiltIn_Print_Area_3_1_1_1">"$#REF!.$A$1:$T$38"</definedName>
    <definedName name="Excel_BuiltIn_Print_Area_3_1_10">"$#REF!.$A$1:$W$100"</definedName>
    <definedName name="Excel_BuiltIn_Print_Area_3_1_11">"#REF!"</definedName>
    <definedName name="Excel_BuiltIn_Print_Area_3_1_2">"#REF!"</definedName>
    <definedName name="Excel_BuiltIn_Print_Area_3_1_3">"$#REF!.$A$1:$W$100"</definedName>
    <definedName name="Excel_BuiltIn_Print_Area_3_1_4">"#REF!"</definedName>
    <definedName name="Excel_BuiltIn_Print_Area_3_1_5">"#REF!"</definedName>
    <definedName name="Excel_BuiltIn_Print_Area_3_1_6">"$#REF!.$A$1:$W$100"</definedName>
    <definedName name="Excel_BuiltIn_Print_Area_3_1_7">"#REF!"</definedName>
    <definedName name="Excel_BuiltIn_Print_Area_3_1_8">"$#REF!.$A$1:$W$100"</definedName>
    <definedName name="Excel_BuiltIn_Print_Area_3_1_9">"#REF!"</definedName>
    <definedName name="Excel_BuiltIn_Print_Area_3_10">"$#REF!.$A$1:$J$822"</definedName>
    <definedName name="Excel_BuiltIn_Print_Area_3_11">"#REF!"</definedName>
    <definedName name="Excel_BuiltIn_Print_Area_3_3">"$#REF!.$A$1:$J$822"</definedName>
    <definedName name="Excel_BuiltIn_Print_Area_3_4">"#REF!"</definedName>
    <definedName name="Excel_BuiltIn_Print_Area_3_5">"#REF!"</definedName>
    <definedName name="Excel_BuiltIn_Print_Area_3_6">"$#REF!.$A$1:$J$822"</definedName>
    <definedName name="Excel_BuiltIn_Print_Area_3_7">"#REF!"</definedName>
    <definedName name="Excel_BuiltIn_Print_Area_3_8">"$#REF!.$A$1:$J$822"</definedName>
    <definedName name="Excel_BuiltIn_Print_Area_3_9">"#REF!"</definedName>
    <definedName name="Excel_BuiltIn_Print_Area_4" localSheetId="4">#REF!</definedName>
    <definedName name="Excel_BuiltIn_Print_Area_4" localSheetId="9">#REF!</definedName>
    <definedName name="Excel_BuiltIn_Print_Area_4" localSheetId="6">"$#REF!.$A$1:$J$901"</definedName>
    <definedName name="Excel_BuiltIn_Print_Area_4" localSheetId="8">"$#REF!.$A$1:$J$901"</definedName>
    <definedName name="Excel_BuiltIn_Print_Area_4">#REF!</definedName>
    <definedName name="Excel_BuiltIn_Print_Area_5" localSheetId="4">#REF!</definedName>
    <definedName name="Excel_BuiltIn_Print_Area_5" localSheetId="9">#REF!</definedName>
    <definedName name="Excel_BuiltIn_Print_Area_5" localSheetId="6">"$#REF!.$A$1:$G$23"</definedName>
    <definedName name="Excel_BuiltIn_Print_Area_5" localSheetId="8">"$#REF!.$A$1:$G$23"</definedName>
    <definedName name="Excel_BuiltIn_Print_Area_5">#REF!</definedName>
    <definedName name="Excel_BuiltIn_Print_Area_5_1" localSheetId="4">#REF!</definedName>
    <definedName name="Excel_BuiltIn_Print_Area_5_1" localSheetId="9">#REF!</definedName>
    <definedName name="Excel_BuiltIn_Print_Area_5_1" localSheetId="6">#REF!</definedName>
    <definedName name="Excel_BuiltIn_Print_Area_5_1" localSheetId="8">#REF!</definedName>
    <definedName name="Excel_BuiltIn_Print_Area_5_1">#REF!</definedName>
    <definedName name="Excel_BuiltIn_Print_Area_5_1_1" localSheetId="4">#REF!</definedName>
    <definedName name="Excel_BuiltIn_Print_Area_5_1_1" localSheetId="9">#REF!</definedName>
    <definedName name="Excel_BuiltIn_Print_Area_5_1_1" localSheetId="6">#REF!</definedName>
    <definedName name="Excel_BuiltIn_Print_Area_5_1_1" localSheetId="8">#REF!</definedName>
    <definedName name="Excel_BuiltIn_Print_Area_5_1_1">#REF!</definedName>
    <definedName name="Excel_BuiltIn_Print_Area_5_1_1_1" localSheetId="4">#REF!</definedName>
    <definedName name="Excel_BuiltIn_Print_Area_5_1_1_1" localSheetId="9">#REF!</definedName>
    <definedName name="Excel_BuiltIn_Print_Area_5_1_1_1" localSheetId="6">#REF!</definedName>
    <definedName name="Excel_BuiltIn_Print_Area_5_1_1_1" localSheetId="8">#REF!</definedName>
    <definedName name="Excel_BuiltIn_Print_Area_5_1_1_1">#REF!</definedName>
    <definedName name="Excel_BuiltIn_Print_Area_5_6">"$#REF!.$A$1:$M$131"</definedName>
    <definedName name="Excel_BuiltIn_Print_Area_6" localSheetId="4">#REF!</definedName>
    <definedName name="Excel_BuiltIn_Print_Area_6" localSheetId="9">#REF!</definedName>
    <definedName name="Excel_BuiltIn_Print_Area_6" localSheetId="6">"$#REF!.$A$1:$H$97"</definedName>
    <definedName name="Excel_BuiltIn_Print_Area_6" localSheetId="8">"$#REF!.$A$1:$H$97"</definedName>
    <definedName name="Excel_BuiltIn_Print_Area_6">#REF!</definedName>
    <definedName name="Excel_BuiltIn_Print_Area_6_1" localSheetId="4">#REF!</definedName>
    <definedName name="Excel_BuiltIn_Print_Area_6_1" localSheetId="9">#REF!</definedName>
    <definedName name="Excel_BuiltIn_Print_Area_6_1" localSheetId="8">#REF!</definedName>
    <definedName name="Excel_BuiltIn_Print_Area_6_1">#REF!</definedName>
    <definedName name="Excel_BuiltIn_Print_Area_7" localSheetId="4">#REF!</definedName>
    <definedName name="Excel_BuiltIn_Print_Area_7" localSheetId="9">#REF!</definedName>
    <definedName name="Excel_BuiltIn_Print_Area_7" localSheetId="6">"$#REF!.$A$1:$S$119"</definedName>
    <definedName name="Excel_BuiltIn_Print_Area_7" localSheetId="8">"$#REF!.$A$1:$S$119"</definedName>
    <definedName name="Excel_BuiltIn_Print_Area_7">#REF!</definedName>
    <definedName name="Excel_BuiltIn_Print_Area_8" localSheetId="4">#REF!</definedName>
    <definedName name="Excel_BuiltIn_Print_Area_8" localSheetId="9">#REF!</definedName>
    <definedName name="Excel_BuiltIn_Print_Area_8" localSheetId="6">#REF!</definedName>
    <definedName name="Excel_BuiltIn_Print_Area_8" localSheetId="8">#REF!</definedName>
    <definedName name="Excel_BuiltIn_Print_Area_8">#REF!</definedName>
    <definedName name="Excel_BuiltIn_Print_Area_9" localSheetId="4">#REF!</definedName>
    <definedName name="Excel_BuiltIn_Print_Area_9" localSheetId="9">#REF!</definedName>
    <definedName name="Excel_BuiltIn_Print_Area_9" localSheetId="6">#REF!</definedName>
    <definedName name="Excel_BuiltIn_Print_Area_9" localSheetId="8">#REF!</definedName>
    <definedName name="Excel_BuiltIn_Print_Area_9">#REF!</definedName>
    <definedName name="Excel_BuiltIn_Print_Area_9_1">"$#REF!.$A$1:$O$25"</definedName>
    <definedName name="Excel_BuiltIn_Print_Area_9_1_1" localSheetId="4">#REF!</definedName>
    <definedName name="Excel_BuiltIn_Print_Area_9_1_1" localSheetId="9">#REF!</definedName>
    <definedName name="Excel_BuiltIn_Print_Area_9_1_1" localSheetId="6">#REF!</definedName>
    <definedName name="Excel_BuiltIn_Print_Area_9_1_1" localSheetId="8">#REF!</definedName>
    <definedName name="Excel_BuiltIn_Print_Area_9_1_1">#REF!</definedName>
    <definedName name="Excel_BuiltIn_Print_Titles" localSheetId="4">#REF!</definedName>
    <definedName name="Excel_BuiltIn_Print_Titles" localSheetId="9">#REF!</definedName>
    <definedName name="Excel_BuiltIn_Print_Titles" localSheetId="8">#REF!</definedName>
    <definedName name="Excel_BuiltIn_Print_Titles">#REF!</definedName>
    <definedName name="Excel_BuiltIn_Print_Titles_1" localSheetId="4">#REF!</definedName>
    <definedName name="Excel_BuiltIn_Print_Titles_1" localSheetId="9">#REF!</definedName>
    <definedName name="Excel_BuiltIn_Print_Titles_1" localSheetId="6">#REF!</definedName>
    <definedName name="Excel_BuiltIn_Print_Titles_1" localSheetId="8">#REF!</definedName>
    <definedName name="Excel_BuiltIn_Print_Titles_1">#REF!</definedName>
    <definedName name="Excel_BuiltIn_Print_Titles_1_1" localSheetId="4">#REF!</definedName>
    <definedName name="Excel_BuiltIn_Print_Titles_1_1" localSheetId="9">#REF!</definedName>
    <definedName name="Excel_BuiltIn_Print_Titles_1_1" localSheetId="6">#REF!</definedName>
    <definedName name="Excel_BuiltIn_Print_Titles_1_1" localSheetId="8">#REF!</definedName>
    <definedName name="Excel_BuiltIn_Print_Titles_1_1">#REF!</definedName>
    <definedName name="Excel_BuiltIn_Print_Titles_1_1_1">"#REF!"</definedName>
    <definedName name="Excel_BuiltIn_Print_Titles_1_1_1_1">"#REF!"</definedName>
    <definedName name="Excel_BuiltIn_Print_Titles_1_1_1_1_10">"#REF!"</definedName>
    <definedName name="Excel_BuiltIn_Print_Titles_1_1_1_1_3">"#REF!"</definedName>
    <definedName name="Excel_BuiltIn_Print_Titles_1_1_1_1_8">"#REF!"</definedName>
    <definedName name="Excel_BuiltIn_Print_Titles_1_1_1_10">"#REF!"</definedName>
    <definedName name="Excel_BuiltIn_Print_Titles_1_1_1_3">"#REF!"</definedName>
    <definedName name="Excel_BuiltIn_Print_Titles_1_1_1_8">"#REF!"</definedName>
    <definedName name="Excel_BuiltIn_Print_Titles_1_1_10">"#REF!"</definedName>
    <definedName name="Excel_BuiltIn_Print_Titles_1_1_3">"#REF!"</definedName>
    <definedName name="Excel_BuiltIn_Print_Titles_1_10">"#REF!"</definedName>
    <definedName name="Excel_BuiltIn_Print_Titles_1_2" localSheetId="4">#REF!</definedName>
    <definedName name="Excel_BuiltIn_Print_Titles_1_2" localSheetId="9">#REF!</definedName>
    <definedName name="Excel_BuiltIn_Print_Titles_1_2" localSheetId="6">#REF!</definedName>
    <definedName name="Excel_BuiltIn_Print_Titles_1_2" localSheetId="8">#REF!</definedName>
    <definedName name="Excel_BuiltIn_Print_Titles_1_2">#REF!</definedName>
    <definedName name="Excel_BuiltIn_Print_Titles_1_2_10">"#REF!"</definedName>
    <definedName name="Excel_BuiltIn_Print_Titles_1_2_3">"#REF!"</definedName>
    <definedName name="Excel_BuiltIn_Print_Titles_1_2_6">"#REF!"</definedName>
    <definedName name="Excel_BuiltIn_Print_Titles_1_2_8">"#REF!"</definedName>
    <definedName name="Excel_BuiltIn_Print_Titles_1_3" localSheetId="4">#REF!</definedName>
    <definedName name="Excel_BuiltIn_Print_Titles_1_3" localSheetId="9">#REF!</definedName>
    <definedName name="Excel_BuiltIn_Print_Titles_1_3" localSheetId="6">#REF!</definedName>
    <definedName name="Excel_BuiltIn_Print_Titles_1_3" localSheetId="8">#REF!</definedName>
    <definedName name="Excel_BuiltIn_Print_Titles_1_3">#REF!</definedName>
    <definedName name="Excel_BuiltIn_Print_Titles_1_3_1" localSheetId="4">#REF!</definedName>
    <definedName name="Excel_BuiltIn_Print_Titles_1_3_1" localSheetId="9">#REF!</definedName>
    <definedName name="Excel_BuiltIn_Print_Titles_1_3_1" localSheetId="6">#REF!</definedName>
    <definedName name="Excel_BuiltIn_Print_Titles_1_3_1" localSheetId="8">#REF!</definedName>
    <definedName name="Excel_BuiltIn_Print_Titles_1_3_1">#REF!</definedName>
    <definedName name="Excel_BuiltIn_Print_Titles_1_3_1_1">"#REF!"</definedName>
    <definedName name="Excel_BuiltIn_Print_Titles_1_3_1_10">"#REF!"</definedName>
    <definedName name="Excel_BuiltIn_Print_Titles_1_3_1_3">"#REF!"</definedName>
    <definedName name="Excel_BuiltIn_Print_Titles_1_3_1_6">"#REF!"</definedName>
    <definedName name="Excel_BuiltIn_Print_Titles_1_3_1_8">"#REF!"</definedName>
    <definedName name="Excel_BuiltIn_Print_Titles_1_3_10">"#REF!"</definedName>
    <definedName name="Excel_BuiltIn_Print_Titles_1_3_3">"#REF!"</definedName>
    <definedName name="Excel_BuiltIn_Print_Titles_1_3_6">"#REF!"</definedName>
    <definedName name="Excel_BuiltIn_Print_Titles_1_3_8">"#REF!"</definedName>
    <definedName name="Excel_BuiltIn_Print_Titles_1_6">"#REF!"</definedName>
    <definedName name="Excel_BuiltIn_Print_Titles_1_8">"#REF!"</definedName>
    <definedName name="Excel_BuiltIn_Print_Titles_10" localSheetId="4">#REF!</definedName>
    <definedName name="Excel_BuiltIn_Print_Titles_10" localSheetId="9">#REF!</definedName>
    <definedName name="Excel_BuiltIn_Print_Titles_10" localSheetId="8">#REF!</definedName>
    <definedName name="Excel_BuiltIn_Print_Titles_10">#REF!</definedName>
    <definedName name="Excel_BuiltIn_Print_Titles_11" localSheetId="4">#REF!</definedName>
    <definedName name="Excel_BuiltIn_Print_Titles_11" localSheetId="9">#REF!</definedName>
    <definedName name="Excel_BuiltIn_Print_Titles_11" localSheetId="8">#REF!</definedName>
    <definedName name="Excel_BuiltIn_Print_Titles_11">#REF!</definedName>
    <definedName name="Excel_BuiltIn_print_titles_12" localSheetId="4">#REF!</definedName>
    <definedName name="Excel_BuiltIn_print_titles_12" localSheetId="9">#REF!</definedName>
    <definedName name="Excel_BuiltIn_print_titles_12" localSheetId="8">#REF!</definedName>
    <definedName name="Excel_BuiltIn_print_titles_12">#REF!</definedName>
    <definedName name="Excel_BuiltIn_Print_Titles_13" localSheetId="4">#REF!</definedName>
    <definedName name="Excel_BuiltIn_Print_Titles_13" localSheetId="9">#REF!</definedName>
    <definedName name="Excel_BuiltIn_Print_Titles_13" localSheetId="8">#REF!</definedName>
    <definedName name="Excel_BuiltIn_Print_Titles_13">#REF!</definedName>
    <definedName name="Excel_BuiltIn_Print_Titles_14" localSheetId="4">#REF!</definedName>
    <definedName name="Excel_BuiltIn_Print_Titles_14" localSheetId="9">#REF!</definedName>
    <definedName name="Excel_BuiltIn_Print_Titles_14" localSheetId="8">#REF!</definedName>
    <definedName name="Excel_BuiltIn_Print_Titles_14">#REF!</definedName>
    <definedName name="Excel_BuiltIn_Print_Titles_2" localSheetId="4">#REF!</definedName>
    <definedName name="Excel_BuiltIn_Print_Titles_2" localSheetId="9">#REF!</definedName>
    <definedName name="Excel_BuiltIn_Print_Titles_2" localSheetId="6">"#REF!"</definedName>
    <definedName name="Excel_BuiltIn_Print_Titles_2" localSheetId="8">"#REF!"</definedName>
    <definedName name="Excel_BuiltIn_Print_Titles_2">#REF!</definedName>
    <definedName name="Excel_BuiltIn_Print_Titles_2_1" localSheetId="4">#REF!</definedName>
    <definedName name="Excel_BuiltIn_Print_Titles_2_1" localSheetId="9">#REF!</definedName>
    <definedName name="Excel_BuiltIn_Print_Titles_2_1" localSheetId="6">"#REF!"</definedName>
    <definedName name="Excel_BuiltIn_Print_Titles_2_1" localSheetId="8">"#REF!"</definedName>
    <definedName name="Excel_BuiltIn_Print_Titles_2_1">#REF!</definedName>
    <definedName name="Excel_BuiltIn_Print_Titles_2_1_1">"#REF!"</definedName>
    <definedName name="Excel_BuiltIn_Print_Titles_2_1_1_1">"$#REF!.$A$1:$IV$11"</definedName>
    <definedName name="Excel_BuiltIn_Print_Titles_2_1_10">"$#REF!.$A$1:$AMJ$5"</definedName>
    <definedName name="Excel_BuiltIn_Print_Titles_2_1_11">"#REF!"</definedName>
    <definedName name="Excel_BuiltIn_Print_Titles_2_1_2">"#REF!"</definedName>
    <definedName name="Excel_BuiltIn_Print_Titles_2_1_3">"$#REF!.$A$1:$AMJ$5"</definedName>
    <definedName name="Excel_BuiltIn_Print_Titles_2_1_3_1">"$#REF!.$A$1:$AMJ$5"</definedName>
    <definedName name="Excel_BuiltIn_Print_Titles_2_1_4">"#REF!"</definedName>
    <definedName name="Excel_BuiltIn_Print_Titles_2_1_5">"#REF!"</definedName>
    <definedName name="Excel_BuiltIn_Print_Titles_2_1_6">"$#REF!.$A$1:$AMJ$5"</definedName>
    <definedName name="Excel_BuiltIn_Print_Titles_2_1_7">"#REF!"</definedName>
    <definedName name="Excel_BuiltIn_Print_Titles_2_1_8">"$#REF!.$A$1:$AMJ$5"</definedName>
    <definedName name="Excel_BuiltIn_Print_Titles_2_1_9">"#REF!"</definedName>
    <definedName name="Excel_BuiltIn_Print_Titles_2_11">"#REF!"</definedName>
    <definedName name="Excel_BuiltIn_Print_Titles_2_3" localSheetId="4">'[66]Labour Report'!#REF!</definedName>
    <definedName name="Excel_BuiltIn_Print_Titles_2_3" localSheetId="9">'[66]Labour Report'!#REF!</definedName>
    <definedName name="Excel_BuiltIn_Print_Titles_2_3" localSheetId="6">'[67]Labour Report'!#REF!</definedName>
    <definedName name="Excel_BuiltIn_Print_Titles_2_3" localSheetId="8">'[67]Labour Report'!#REF!</definedName>
    <definedName name="Excel_BuiltIn_Print_Titles_2_3">'[66]Labour Report'!#REF!</definedName>
    <definedName name="Excel_BuiltIn_Print_Titles_2_4">"#REF!"</definedName>
    <definedName name="Excel_BuiltIn_Print_Titles_2_5">"#REF!"</definedName>
    <definedName name="Excel_BuiltIn_Print_Titles_2_7">"#REF!"</definedName>
    <definedName name="Excel_BuiltIn_Print_Titles_2_9">"#REF!"</definedName>
    <definedName name="Excel_BuiltIn_Print_Titles_3" localSheetId="4">'[70]INDIGINEOUS ITEMS '!#REF!</definedName>
    <definedName name="Excel_BuiltIn_Print_Titles_3" localSheetId="9">'[70]INDIGINEOUS ITEMS '!#REF!</definedName>
    <definedName name="Excel_BuiltIn_Print_Titles_3" localSheetId="6">"#REF!"</definedName>
    <definedName name="Excel_BuiltIn_Print_Titles_3" localSheetId="8">"#REF!"</definedName>
    <definedName name="Excel_BuiltIn_Print_Titles_3">'[70]INDIGINEOUS ITEMS '!#REF!</definedName>
    <definedName name="Excel_BuiltIn_Print_Titles_3_1" localSheetId="4">#REF!</definedName>
    <definedName name="Excel_BuiltIn_Print_Titles_3_1" localSheetId="9">#REF!</definedName>
    <definedName name="Excel_BuiltIn_Print_Titles_3_1" localSheetId="6">"#REF!"</definedName>
    <definedName name="Excel_BuiltIn_Print_Titles_3_1" localSheetId="8">"#REF!"</definedName>
    <definedName name="Excel_BuiltIn_Print_Titles_3_1">#REF!</definedName>
    <definedName name="Excel_BuiltIn_Print_Titles_3_1_1">"$#REF!.$A$1:$IV$5"</definedName>
    <definedName name="Excel_BuiltIn_Print_Titles_3_1_3" localSheetId="4">'[66]Labour Report'!#REF!</definedName>
    <definedName name="Excel_BuiltIn_Print_Titles_3_1_3" localSheetId="9">'[66]Labour Report'!#REF!</definedName>
    <definedName name="Excel_BuiltIn_Print_Titles_3_1_3" localSheetId="6">'[67]Labour Report'!#REF!</definedName>
    <definedName name="Excel_BuiltIn_Print_Titles_3_1_3" localSheetId="8">'[67]Labour Report'!#REF!</definedName>
    <definedName name="Excel_BuiltIn_Print_Titles_3_1_3">'[66]Labour Report'!#REF!</definedName>
    <definedName name="Excel_BuiltIn_Print_Titles_3_1_3_1">"'Labour Report'!#REF!"</definedName>
    <definedName name="Excel_BuiltIn_Print_Titles_3_1_3_3" localSheetId="4">'[66]Labour Report'!#REF!</definedName>
    <definedName name="Excel_BuiltIn_Print_Titles_3_1_3_3" localSheetId="9">'[66]Labour Report'!#REF!</definedName>
    <definedName name="Excel_BuiltIn_Print_Titles_3_1_3_3" localSheetId="6">'[67]Labour Report'!#REF!</definedName>
    <definedName name="Excel_BuiltIn_Print_Titles_3_1_3_3" localSheetId="8">'[67]Labour Report'!#REF!</definedName>
    <definedName name="Excel_BuiltIn_Print_Titles_3_1_3_3">'[66]Labour Report'!#REF!</definedName>
    <definedName name="Excel_BuiltIn_Print_Titles_3_10">"$#REF!.$A$4:$AMJ$5"</definedName>
    <definedName name="Excel_BuiltIn_Print_Titles_3_11">"#REF!"</definedName>
    <definedName name="Excel_BuiltIn_Print_Titles_3_16" localSheetId="4">'[70]INDIGINEOUS ITEMS '!#REF!</definedName>
    <definedName name="Excel_BuiltIn_Print_Titles_3_16" localSheetId="9">'[70]INDIGINEOUS ITEMS '!#REF!</definedName>
    <definedName name="Excel_BuiltIn_Print_Titles_3_16" localSheetId="8">'[70]INDIGINEOUS ITEMS '!#REF!</definedName>
    <definedName name="Excel_BuiltIn_Print_Titles_3_16">'[70]INDIGINEOUS ITEMS '!#REF!</definedName>
    <definedName name="Excel_BuiltIn_Print_Titles_3_3" localSheetId="4">'[70]INDIGINEOUS ITEMS '!#REF!</definedName>
    <definedName name="Excel_BuiltIn_Print_Titles_3_3" localSheetId="9">'[70]INDIGINEOUS ITEMS '!#REF!</definedName>
    <definedName name="Excel_BuiltIn_Print_Titles_3_3" localSheetId="6">"$#REF!.$A$4:$AMJ$5"</definedName>
    <definedName name="Excel_BuiltIn_Print_Titles_3_3" localSheetId="8">"$#REF!.$A$4:$AMJ$5"</definedName>
    <definedName name="Excel_BuiltIn_Print_Titles_3_3">'[70]INDIGINEOUS ITEMS '!#REF!</definedName>
    <definedName name="Excel_BuiltIn_Print_Titles_3_4" localSheetId="4">'[10]INDIGINEOUS ITEMS '!#REF!</definedName>
    <definedName name="Excel_BuiltIn_Print_Titles_3_4" localSheetId="9">'[10]INDIGINEOUS ITEMS '!#REF!</definedName>
    <definedName name="Excel_BuiltIn_Print_Titles_3_4" localSheetId="6">"#REF!"</definedName>
    <definedName name="Excel_BuiltIn_Print_Titles_3_4" localSheetId="8">"#REF!"</definedName>
    <definedName name="Excel_BuiltIn_Print_Titles_3_4">'[10]INDIGINEOUS ITEMS '!#REF!</definedName>
    <definedName name="Excel_BuiltIn_Print_Titles_3_5">"#REF!"</definedName>
    <definedName name="Excel_BuiltIn_Print_Titles_3_6" localSheetId="4">'[10]INDIGINEOUS ITEMS '!#REF!</definedName>
    <definedName name="Excel_BuiltIn_Print_Titles_3_6" localSheetId="9">'[10]INDIGINEOUS ITEMS '!#REF!</definedName>
    <definedName name="Excel_BuiltIn_Print_Titles_3_6" localSheetId="6">"$#REF!.$A$4:$AMJ$5"</definedName>
    <definedName name="Excel_BuiltIn_Print_Titles_3_6" localSheetId="8">"$#REF!.$A$4:$AMJ$5"</definedName>
    <definedName name="Excel_BuiltIn_Print_Titles_3_6">'[10]INDIGINEOUS ITEMS '!#REF!</definedName>
    <definedName name="Excel_BuiltIn_Print_Titles_3_7">"#REF!"</definedName>
    <definedName name="Excel_BuiltIn_Print_Titles_3_8">"$#REF!.$A$4:$AMJ$5"</definedName>
    <definedName name="Excel_BuiltIn_Print_Titles_3_9" localSheetId="4">'[70]INDIGINEOUS ITEMS '!#REF!</definedName>
    <definedName name="Excel_BuiltIn_Print_Titles_3_9" localSheetId="9">'[70]INDIGINEOUS ITEMS '!#REF!</definedName>
    <definedName name="Excel_BuiltIn_Print_Titles_3_9" localSheetId="6">"#REF!"</definedName>
    <definedName name="Excel_BuiltIn_Print_Titles_3_9" localSheetId="8">"#REF!"</definedName>
    <definedName name="Excel_BuiltIn_Print_Titles_3_9">'[70]INDIGINEOUS ITEMS '!#REF!</definedName>
    <definedName name="Excel_BuiltIn_Print_Titles_4" localSheetId="4">#REF!</definedName>
    <definedName name="Excel_BuiltIn_Print_Titles_4" localSheetId="9">#REF!</definedName>
    <definedName name="Excel_BuiltIn_Print_Titles_4" localSheetId="6">"$#REF!.$A$4:$AMJ$5"</definedName>
    <definedName name="Excel_BuiltIn_Print_Titles_4" localSheetId="8">"$#REF!.$A$4:$AMJ$5"</definedName>
    <definedName name="Excel_BuiltIn_Print_Titles_4">#REF!</definedName>
    <definedName name="Excel_BuiltIn_Print_Titles_4_1">"$#REF!.$A$1:$AMJ$4"</definedName>
    <definedName name="Excel_BuiltIn_Print_Titles_4_1_1" localSheetId="4">#REF!</definedName>
    <definedName name="Excel_BuiltIn_Print_Titles_4_1_1" localSheetId="9">#REF!</definedName>
    <definedName name="Excel_BuiltIn_Print_Titles_4_1_1" localSheetId="8">#REF!</definedName>
    <definedName name="Excel_BuiltIn_Print_Titles_4_1_1">#REF!</definedName>
    <definedName name="Excel_BuiltIn_Print_Titles_5" localSheetId="4">#REF!</definedName>
    <definedName name="Excel_BuiltIn_Print_Titles_5" localSheetId="9">#REF!</definedName>
    <definedName name="Excel_BuiltIn_Print_Titles_5" localSheetId="6">"$#REF!.$A$4:$AMJ$5"</definedName>
    <definedName name="Excel_BuiltIn_Print_Titles_5" localSheetId="8">"$#REF!.$A$4:$AMJ$5"</definedName>
    <definedName name="Excel_BuiltIn_Print_Titles_5">#REF!</definedName>
    <definedName name="Excel_BuiltIn_Print_Titles_5_1" localSheetId="4">#REF!</definedName>
    <definedName name="Excel_BuiltIn_Print_Titles_5_1" localSheetId="9">#REF!</definedName>
    <definedName name="Excel_BuiltIn_Print_Titles_5_1" localSheetId="8">#REF!</definedName>
    <definedName name="Excel_BuiltIn_Print_Titles_5_1">#REF!</definedName>
    <definedName name="Excel_BuiltIn_Print_Titles_6" localSheetId="4">#REF!</definedName>
    <definedName name="Excel_BuiltIn_Print_Titles_6" localSheetId="9">#REF!</definedName>
    <definedName name="Excel_BuiltIn_Print_Titles_6" localSheetId="8">#REF!</definedName>
    <definedName name="Excel_BuiltIn_Print_Titles_6">#REF!</definedName>
    <definedName name="Excel_BuiltIn_Print_Titles_7" localSheetId="4">#REF!</definedName>
    <definedName name="Excel_BuiltIn_Print_Titles_7" localSheetId="9">#REF!</definedName>
    <definedName name="Excel_BuiltIn_Print_Titles_7" localSheetId="6">"$#REF!.$A$1:$AMJ$2"</definedName>
    <definedName name="Excel_BuiltIn_Print_Titles_7" localSheetId="8">"$#REF!.$A$1:$AMJ$2"</definedName>
    <definedName name="Excel_BuiltIn_Print_Titles_7">#REF!</definedName>
    <definedName name="Excel_BuiltIn_Print_Titles_7_1" localSheetId="4">#REF!</definedName>
    <definedName name="Excel_BuiltIn_Print_Titles_7_1" localSheetId="9">#REF!</definedName>
    <definedName name="Excel_BuiltIn_Print_Titles_7_1" localSheetId="8">#REF!</definedName>
    <definedName name="Excel_BuiltIn_Print_Titles_7_1">#REF!</definedName>
    <definedName name="Excel_BuiltIn_Print_Titles_7_1_1" localSheetId="4">#REF!</definedName>
    <definedName name="Excel_BuiltIn_Print_Titles_7_1_1" localSheetId="9">#REF!</definedName>
    <definedName name="Excel_BuiltIn_Print_Titles_7_1_1" localSheetId="8">#REF!</definedName>
    <definedName name="Excel_BuiltIn_Print_Titles_7_1_1">#REF!</definedName>
    <definedName name="Excel_BuiltIn_Print_Titles_8" localSheetId="4">#REF!</definedName>
    <definedName name="Excel_BuiltIn_Print_Titles_8" localSheetId="9">#REF!</definedName>
    <definedName name="Excel_BuiltIn_Print_Titles_8" localSheetId="8">#REF!</definedName>
    <definedName name="Excel_BuiltIn_Print_Titles_8">#REF!</definedName>
    <definedName name="Excel_BuiltIn_Print_Titles_9" localSheetId="4">#REF!</definedName>
    <definedName name="Excel_BuiltIn_Print_Titles_9" localSheetId="9">#REF!</definedName>
    <definedName name="Excel_BuiltIn_Print_Titles_9" localSheetId="8">#REF!</definedName>
    <definedName name="Excel_BuiltIn_Print_Titles_9">#REF!</definedName>
    <definedName name="excf" localSheetId="4">#REF!</definedName>
    <definedName name="excf" localSheetId="9">#REF!</definedName>
    <definedName name="excf" localSheetId="8">#REF!</definedName>
    <definedName name="excf">#REF!</definedName>
    <definedName name="Exchange_rate" localSheetId="4">#REF!</definedName>
    <definedName name="Exchange_rate" localSheetId="9">#REF!</definedName>
    <definedName name="Exchange_rate" localSheetId="8">#REF!</definedName>
    <definedName name="Exchange_rate">#REF!</definedName>
    <definedName name="exec" localSheetId="4">#REF!</definedName>
    <definedName name="exec" localSheetId="9">#REF!</definedName>
    <definedName name="exec" localSheetId="8">#REF!</definedName>
    <definedName name="exec">#REF!</definedName>
    <definedName name="EXIT" localSheetId="4">#REF!</definedName>
    <definedName name="EXIT" localSheetId="9">#REF!</definedName>
    <definedName name="EXIT" localSheetId="8">#REF!</definedName>
    <definedName name="EXIT">#REF!</definedName>
    <definedName name="exp.joints" localSheetId="4">#REF!</definedName>
    <definedName name="exp.joints" localSheetId="9">#REF!</definedName>
    <definedName name="exp.joints" localSheetId="8">#REF!</definedName>
    <definedName name="exp.joints">#REF!</definedName>
    <definedName name="External__Water_Supply" localSheetId="4">[29]Detail!#REF!</definedName>
    <definedName name="External__Water_Supply" localSheetId="9">[29]Detail!#REF!</definedName>
    <definedName name="External__Water_Supply" localSheetId="8">[29]Detail!#REF!</definedName>
    <definedName name="External__Water_Supply">[29]Detail!#REF!</definedName>
    <definedName name="External_Alterations___Renovations" localSheetId="4">[29]Detail!#REF!</definedName>
    <definedName name="External_Alterations___Renovations" localSheetId="9">[29]Detail!#REF!</definedName>
    <definedName name="External_Alterations___Renovations" localSheetId="8">[29]Detail!#REF!</definedName>
    <definedName name="External_Alterations___Renovations">[29]Detail!#REF!</definedName>
    <definedName name="External_Communications" localSheetId="4">[29]Detail!#REF!</definedName>
    <definedName name="External_Communications" localSheetId="9">[29]Detail!#REF!</definedName>
    <definedName name="External_Communications" localSheetId="8">[29]Detail!#REF!</definedName>
    <definedName name="External_Communications">[29]Detail!#REF!</definedName>
    <definedName name="External_Electrical" localSheetId="4">[29]Detail!#REF!</definedName>
    <definedName name="External_Electrical" localSheetId="9">[29]Detail!#REF!</definedName>
    <definedName name="External_Electrical" localSheetId="8">[29]Detail!#REF!</definedName>
    <definedName name="External_Electrical">[29]Detail!#REF!</definedName>
    <definedName name="External_Fire_Protection" localSheetId="4">[29]Detail!#REF!</definedName>
    <definedName name="External_Fire_Protection" localSheetId="9">[29]Detail!#REF!</definedName>
    <definedName name="External_Fire_Protection" localSheetId="8">[29]Detail!#REF!</definedName>
    <definedName name="External_Fire_Protection">[29]Detail!#REF!</definedName>
    <definedName name="External_Gas" localSheetId="4">[29]Detail!#REF!</definedName>
    <definedName name="External_Gas" localSheetId="9">[29]Detail!#REF!</definedName>
    <definedName name="External_Gas" localSheetId="8">[29]Detail!#REF!</definedName>
    <definedName name="External_Gas">[29]Detail!#REF!</definedName>
    <definedName name="External_Plaster" localSheetId="4">#REF!</definedName>
    <definedName name="External_Plaster" localSheetId="9">#REF!</definedName>
    <definedName name="External_Plaster" localSheetId="8">#REF!</definedName>
    <definedName name="External_Plaster">#REF!</definedName>
    <definedName name="External_Sewer" localSheetId="4">[29]Detail!#REF!</definedName>
    <definedName name="External_Sewer" localSheetId="9">[29]Detail!#REF!</definedName>
    <definedName name="External_Sewer" localSheetId="8">[29]Detail!#REF!</definedName>
    <definedName name="External_Sewer">[29]Detail!#REF!</definedName>
    <definedName name="External_Special_Services" localSheetId="4">[29]Detail!#REF!</definedName>
    <definedName name="External_Special_Services" localSheetId="9">[29]Detail!#REF!</definedName>
    <definedName name="External_Special_Services" localSheetId="8">[29]Detail!#REF!</definedName>
    <definedName name="External_Special_Services">[29]Detail!#REF!</definedName>
    <definedName name="External_Stormwater" localSheetId="4">[29]Detail!#REF!</definedName>
    <definedName name="External_Stormwater" localSheetId="9">[29]Detail!#REF!</definedName>
    <definedName name="External_Stormwater" localSheetId="8">[29]Detail!#REF!</definedName>
    <definedName name="External_Stormwater">[29]Detail!#REF!</definedName>
    <definedName name="eyrlp" localSheetId="4">#REF!</definedName>
    <definedName name="eyrlp" localSheetId="9">#REF!</definedName>
    <definedName name="eyrlp" localSheetId="8">#REF!</definedName>
    <definedName name="eyrlp">#REF!</definedName>
    <definedName name="E掛け率">[71]一発シート!$I$13</definedName>
    <definedName name="F" localSheetId="4">#REF!</definedName>
    <definedName name="F" localSheetId="9">#REF!</definedName>
    <definedName name="F" localSheetId="8">#REF!</definedName>
    <definedName name="F">#REF!</definedName>
    <definedName name="FA" localSheetId="4">#REF!</definedName>
    <definedName name="FA" localSheetId="9">#REF!</definedName>
    <definedName name="FA" localSheetId="8">#REF!</definedName>
    <definedName name="FA">#REF!</definedName>
    <definedName name="fac" localSheetId="4">#REF!</definedName>
    <definedName name="fac" localSheetId="9">#REF!</definedName>
    <definedName name="fac" localSheetId="8">#REF!</definedName>
    <definedName name="fac">#REF!</definedName>
    <definedName name="facom">'[43]TBAL9697 -group wise  sdpl'!$A$34</definedName>
    <definedName name="fafur">'[43]TBAL9697 -group wise  sdpl'!$A$34</definedName>
    <definedName name="faofeq">'[43]TBAL9697 -group wise  sdpl'!$A$34</definedName>
    <definedName name="faplm">'[43]TBAL9697 -group wise  sdpl'!$A$34</definedName>
    <definedName name="fapms">'[43]TBAL9697 -group wise  sdpl'!$A$34</definedName>
    <definedName name="faveh">'[43]TBAL9697 -group wise  sdpl'!$A$34</definedName>
    <definedName name="Fax">"#REF!"</definedName>
    <definedName name="Fax_1">"#REF!"</definedName>
    <definedName name="Fax_1_3" localSheetId="4">#REF!</definedName>
    <definedName name="Fax_1_3" localSheetId="9">#REF!</definedName>
    <definedName name="Fax_1_3" localSheetId="6">#REF!</definedName>
    <definedName name="Fax_1_3" localSheetId="8">#REF!</definedName>
    <definedName name="Fax_1_3">#REF!</definedName>
    <definedName name="Fax_3" localSheetId="4">#REF!</definedName>
    <definedName name="Fax_3" localSheetId="9">#REF!</definedName>
    <definedName name="Fax_3" localSheetId="6">#REF!</definedName>
    <definedName name="Fax_3" localSheetId="8">#REF!</definedName>
    <definedName name="Fax_3">#REF!</definedName>
    <definedName name="Fax_3_1">"#REF!"</definedName>
    <definedName name="Fax_3_3" localSheetId="4">#REF!</definedName>
    <definedName name="Fax_3_3" localSheetId="9">#REF!</definedName>
    <definedName name="Fax_3_3" localSheetId="6">#REF!</definedName>
    <definedName name="Fax_3_3" localSheetId="8">#REF!</definedName>
    <definedName name="Fax_3_3">#REF!</definedName>
    <definedName name="Fb" localSheetId="4">#REF!</definedName>
    <definedName name="Fb" localSheetId="9">#REF!</definedName>
    <definedName name="Fb" localSheetId="8">#REF!</definedName>
    <definedName name="Fb">#REF!</definedName>
    <definedName name="FBR">[72]HPL!$B$70</definedName>
    <definedName name="FC" localSheetId="9" hidden="1">{#N/A,#N/A,FALSE,"gc (2)"}</definedName>
    <definedName name="FC" localSheetId="0" hidden="1">{#N/A,#N/A,FALSE,"gc (2)"}</definedName>
    <definedName name="FC" hidden="1">{#N/A,#N/A,FALSE,"gc (2)"}</definedName>
    <definedName name="feb_qty_rev_3" localSheetId="4">#REF!</definedName>
    <definedName name="feb_qty_rev_3" localSheetId="9">#REF!</definedName>
    <definedName name="feb_qty_rev_3" localSheetId="8">#REF!</definedName>
    <definedName name="feb_qty_rev_3">#REF!</definedName>
    <definedName name="feb_rev4_qty" localSheetId="4">#REF!</definedName>
    <definedName name="feb_rev4_qty" localSheetId="9">#REF!</definedName>
    <definedName name="feb_rev4_qty" localSheetId="8">#REF!</definedName>
    <definedName name="feb_rev4_qty">#REF!</definedName>
    <definedName name="Fences___Gates" localSheetId="4">[29]Detail!#REF!</definedName>
    <definedName name="Fences___Gates" localSheetId="9">[29]Detail!#REF!</definedName>
    <definedName name="Fences___Gates" localSheetId="8">[29]Detail!#REF!</definedName>
    <definedName name="Fences___Gates">[29]Detail!#REF!</definedName>
    <definedName name="FF" localSheetId="4">#REF!</definedName>
    <definedName name="FF" localSheetId="9">#REF!</definedName>
    <definedName name="FF" localSheetId="8">#REF!</definedName>
    <definedName name="FF">#REF!</definedName>
    <definedName name="FFR">[24]MG!$G$214</definedName>
    <definedName name="fgececf" localSheetId="4">#REF!</definedName>
    <definedName name="fgececf" localSheetId="9">#REF!</definedName>
    <definedName name="fgececf" localSheetId="8">#REF!</definedName>
    <definedName name="fgececf">#REF!</definedName>
    <definedName name="fgf" localSheetId="4">#REF!</definedName>
    <definedName name="fgf" localSheetId="9">#REF!</definedName>
    <definedName name="fgf" localSheetId="8">#REF!</definedName>
    <definedName name="fgf">#REF!</definedName>
    <definedName name="fgh" localSheetId="9" hidden="1">{"office ltcg",#N/A,FALSE,"gain01";"IT LTCG",#N/A,FALSE,"gain01"}</definedName>
    <definedName name="fgh" localSheetId="0" hidden="1">{"office ltcg",#N/A,FALSE,"gain01";"IT LTCG",#N/A,FALSE,"gain01"}</definedName>
    <definedName name="fgh" hidden="1">{"office ltcg",#N/A,FALSE,"gain01";"IT LTCG",#N/A,FALSE,"gain01"}</definedName>
    <definedName name="fh" localSheetId="3">#REF!</definedName>
    <definedName name="fh" localSheetId="4">#REF!</definedName>
    <definedName name="fh" localSheetId="9">#REF!</definedName>
    <definedName name="fh" localSheetId="8">#REF!</definedName>
    <definedName name="fh">#REF!</definedName>
    <definedName name="Fhwl" localSheetId="4">#REF!</definedName>
    <definedName name="Fhwl" localSheetId="9">#REF!</definedName>
    <definedName name="Fhwl" localSheetId="8">#REF!</definedName>
    <definedName name="Fhwl">#REF!</definedName>
    <definedName name="fil" localSheetId="4" hidden="1">#REF!</definedName>
    <definedName name="fil" localSheetId="9" hidden="1">#REF!</definedName>
    <definedName name="fil" localSheetId="8" hidden="1">#REF!</definedName>
    <definedName name="fil" hidden="1">#REF!</definedName>
    <definedName name="File.Type" localSheetId="4" hidden="1">#REF!</definedName>
    <definedName name="File.Type" localSheetId="9" hidden="1">#REF!</definedName>
    <definedName name="File.Type" localSheetId="8" hidden="1">#REF!</definedName>
    <definedName name="File.Type" hidden="1">#REF!</definedName>
    <definedName name="fill" localSheetId="4" hidden="1">[73]Set!#REF!</definedName>
    <definedName name="fill" localSheetId="9" hidden="1">[73]Set!#REF!</definedName>
    <definedName name="fill" localSheetId="8" hidden="1">[73]Set!#REF!</definedName>
    <definedName name="fill" hidden="1">[73]Set!#REF!</definedName>
    <definedName name="fill." localSheetId="4" hidden="1">[73]Set!#REF!</definedName>
    <definedName name="fill." localSheetId="9" hidden="1">[73]Set!#REF!</definedName>
    <definedName name="fill." localSheetId="8" hidden="1">[73]Set!#REF!</definedName>
    <definedName name="fill." hidden="1">[73]Set!#REF!</definedName>
    <definedName name="filtermaterial" localSheetId="4">#REF!</definedName>
    <definedName name="filtermaterial" localSheetId="9">#REF!</definedName>
    <definedName name="filtermaterial" localSheetId="8">#REF!</definedName>
    <definedName name="filtermaterial">#REF!</definedName>
    <definedName name="Fin" localSheetId="9" hidden="1">{#N/A,#N/A,TRUE,"Financials";#N/A,#N/A,TRUE,"Operating Statistics";#N/A,#N/A,TRUE,"Capex &amp; Depreciation";#N/A,#N/A,TRUE,"Debt"}</definedName>
    <definedName name="Fin" localSheetId="0" hidden="1">{#N/A,#N/A,TRUE,"Financials";#N/A,#N/A,TRUE,"Operating Statistics";#N/A,#N/A,TRUE,"Capex &amp; Depreciation";#N/A,#N/A,TRUE,"Debt"}</definedName>
    <definedName name="Fin" hidden="1">{#N/A,#N/A,TRUE,"Financials";#N/A,#N/A,TRUE,"Operating Statistics";#N/A,#N/A,TRUE,"Capex &amp; Depreciation";#N/A,#N/A,TRUE,"Debt"}</definedName>
    <definedName name="Fine_Sand" localSheetId="4">#REF!</definedName>
    <definedName name="Fine_Sand" localSheetId="9">#REF!</definedName>
    <definedName name="Fine_Sand" localSheetId="8">#REF!</definedName>
    <definedName name="Fine_Sand">#REF!</definedName>
    <definedName name="Fire_Protection" localSheetId="4">[29]Detail!#REF!</definedName>
    <definedName name="Fire_Protection" localSheetId="9">[29]Detail!#REF!</definedName>
    <definedName name="Fire_Protection" localSheetId="8">[29]Detail!#REF!</definedName>
    <definedName name="Fire_Protection">[29]Detail!#REF!</definedName>
    <definedName name="FiscalIDNum" localSheetId="4">#REF!</definedName>
    <definedName name="FiscalIDNum" localSheetId="9">#REF!</definedName>
    <definedName name="FiscalIDNum" localSheetId="8">#REF!</definedName>
    <definedName name="FiscalIDNum">#REF!</definedName>
    <definedName name="FiscalIDNum_4" localSheetId="4">#REF!</definedName>
    <definedName name="FiscalIDNum_4" localSheetId="9">#REF!</definedName>
    <definedName name="FiscalIDNum_4" localSheetId="8">#REF!</definedName>
    <definedName name="FiscalIDNum_4">#REF!</definedName>
    <definedName name="FiscalIDNum_6" localSheetId="4">#REF!</definedName>
    <definedName name="FiscalIDNum_6" localSheetId="9">#REF!</definedName>
    <definedName name="FiscalIDNum_6" localSheetId="8">#REF!</definedName>
    <definedName name="FiscalIDNum_6">#REF!</definedName>
    <definedName name="FIT" localSheetId="4">#REF!</definedName>
    <definedName name="FIT" localSheetId="9">#REF!</definedName>
    <definedName name="FIT" localSheetId="8">#REF!</definedName>
    <definedName name="FIT">#REF!</definedName>
    <definedName name="FIT___0" localSheetId="4">#REF!</definedName>
    <definedName name="FIT___0" localSheetId="9">#REF!</definedName>
    <definedName name="FIT___0" localSheetId="8">#REF!</definedName>
    <definedName name="FIT___0">#REF!</definedName>
    <definedName name="FIT___13" localSheetId="4">#REF!</definedName>
    <definedName name="FIT___13" localSheetId="9">#REF!</definedName>
    <definedName name="FIT___13" localSheetId="8">#REF!</definedName>
    <definedName name="FIT___13">#REF!</definedName>
    <definedName name="Fitments" localSheetId="4">[29]Detail!#REF!</definedName>
    <definedName name="Fitments" localSheetId="9">[29]Detail!#REF!</definedName>
    <definedName name="Fitments" localSheetId="8">[29]Detail!#REF!</definedName>
    <definedName name="Fitments">[29]Detail!#REF!</definedName>
    <definedName name="fixed_asset" localSheetId="4">#REF!</definedName>
    <definedName name="fixed_asset" localSheetId="9">#REF!</definedName>
    <definedName name="fixed_asset" localSheetId="8">#REF!</definedName>
    <definedName name="fixed_asset">#REF!</definedName>
    <definedName name="fj_100" localSheetId="4">#REF!</definedName>
    <definedName name="fj_100" localSheetId="9">#REF!</definedName>
    <definedName name="fj_100" localSheetId="8">#REF!</definedName>
    <definedName name="fj_100">#REF!</definedName>
    <definedName name="fj_150" localSheetId="4">#REF!</definedName>
    <definedName name="fj_150" localSheetId="9">#REF!</definedName>
    <definedName name="fj_150" localSheetId="8">#REF!</definedName>
    <definedName name="fj_150">#REF!</definedName>
    <definedName name="fj_200" localSheetId="4">#REF!</definedName>
    <definedName name="fj_200" localSheetId="9">#REF!</definedName>
    <definedName name="fj_200" localSheetId="8">#REF!</definedName>
    <definedName name="fj_200">#REF!</definedName>
    <definedName name="fj_25" localSheetId="4">#REF!</definedName>
    <definedName name="fj_25" localSheetId="9">#REF!</definedName>
    <definedName name="fj_25" localSheetId="8">#REF!</definedName>
    <definedName name="fj_25">#REF!</definedName>
    <definedName name="fj_250" localSheetId="4">#REF!</definedName>
    <definedName name="fj_250" localSheetId="9">#REF!</definedName>
    <definedName name="fj_250" localSheetId="8">#REF!</definedName>
    <definedName name="fj_250">#REF!</definedName>
    <definedName name="fj_300" localSheetId="4">#REF!</definedName>
    <definedName name="fj_300" localSheetId="9">#REF!</definedName>
    <definedName name="fj_300" localSheetId="8">#REF!</definedName>
    <definedName name="fj_300">#REF!</definedName>
    <definedName name="fj_32" localSheetId="4">#REF!</definedName>
    <definedName name="fj_32" localSheetId="9">#REF!</definedName>
    <definedName name="fj_32" localSheetId="8">#REF!</definedName>
    <definedName name="fj_32">#REF!</definedName>
    <definedName name="fj_40" localSheetId="4">#REF!</definedName>
    <definedName name="fj_40" localSheetId="9">#REF!</definedName>
    <definedName name="fj_40" localSheetId="8">#REF!</definedName>
    <definedName name="fj_40">#REF!</definedName>
    <definedName name="fj_400" localSheetId="4">#REF!</definedName>
    <definedName name="fj_400" localSheetId="9">#REF!</definedName>
    <definedName name="fj_400" localSheetId="8">#REF!</definedName>
    <definedName name="fj_400">#REF!</definedName>
    <definedName name="fj_50" localSheetId="4">#REF!</definedName>
    <definedName name="fj_50" localSheetId="9">#REF!</definedName>
    <definedName name="fj_50" localSheetId="8">#REF!</definedName>
    <definedName name="fj_50">#REF!</definedName>
    <definedName name="fj_500" localSheetId="4">#REF!</definedName>
    <definedName name="fj_500" localSheetId="9">#REF!</definedName>
    <definedName name="fj_500" localSheetId="8">#REF!</definedName>
    <definedName name="fj_500">#REF!</definedName>
    <definedName name="fj_65" localSheetId="4">#REF!</definedName>
    <definedName name="fj_65" localSheetId="9">#REF!</definedName>
    <definedName name="fj_65" localSheetId="8">#REF!</definedName>
    <definedName name="fj_65">#REF!</definedName>
    <definedName name="fj_80" localSheetId="4">#REF!</definedName>
    <definedName name="fj_80" localSheetId="9">#REF!</definedName>
    <definedName name="fj_80" localSheetId="8">#REF!</definedName>
    <definedName name="fj_80">#REF!</definedName>
    <definedName name="Fl" localSheetId="4">#REF!</definedName>
    <definedName name="Fl" localSheetId="9">#REF!</definedName>
    <definedName name="Fl" localSheetId="8">#REF!</definedName>
    <definedName name="Fl">#REF!</definedName>
    <definedName name="flag1" localSheetId="4">#REF!</definedName>
    <definedName name="flag1" localSheetId="9">#REF!</definedName>
    <definedName name="flag1" localSheetId="8">#REF!</definedName>
    <definedName name="flag1">#REF!</definedName>
    <definedName name="Flame_Finished_Granite_Green_Fanatsy" localSheetId="4">#REF!</definedName>
    <definedName name="Flame_Finished_Granite_Green_Fanatsy" localSheetId="9">#REF!</definedName>
    <definedName name="Flame_Finished_Granite_Green_Fanatsy" localSheetId="8">#REF!</definedName>
    <definedName name="Flame_Finished_Granite_Green_Fanatsy">#REF!</definedName>
    <definedName name="flatstone" localSheetId="4">#REF!</definedName>
    <definedName name="flatstone" localSheetId="9">#REF!</definedName>
    <definedName name="flatstone" localSheetId="8">#REF!</definedName>
    <definedName name="flatstone">#REF!</definedName>
    <definedName name="Floor" localSheetId="4">#REF!</definedName>
    <definedName name="Floor" localSheetId="9">#REF!</definedName>
    <definedName name="Floor" localSheetId="8">#REF!</definedName>
    <definedName name="Floor">#REF!</definedName>
    <definedName name="Floor_Fin">'[45]Fin Sum'!$B$1:$B$26</definedName>
    <definedName name="Floor_Finishes" localSheetId="4">[29]Detail!#REF!</definedName>
    <definedName name="Floor_Finishes" localSheetId="9">[29]Detail!#REF!</definedName>
    <definedName name="Floor_Finishes" localSheetId="8">[29]Detail!#REF!</definedName>
    <definedName name="Floor_Finishes">[29]Detail!#REF!</definedName>
    <definedName name="Floorsqty" localSheetId="4">#REF!</definedName>
    <definedName name="Floorsqty" localSheetId="9">#REF!</definedName>
    <definedName name="Floorsqty" localSheetId="8">#REF!</definedName>
    <definedName name="Floorsqty">#REF!</definedName>
    <definedName name="Floriana_Marble" localSheetId="4">#REF!</definedName>
    <definedName name="Floriana_Marble" localSheetId="9">#REF!</definedName>
    <definedName name="Floriana_Marble" localSheetId="8">#REF!</definedName>
    <definedName name="Floriana_Marble">#REF!</definedName>
    <definedName name="fm" localSheetId="4">#REF!</definedName>
    <definedName name="fm" localSheetId="9">#REF!</definedName>
    <definedName name="fm" localSheetId="8">#REF!</definedName>
    <definedName name="fm">#REF!</definedName>
    <definedName name="fo" localSheetId="4">#REF!</definedName>
    <definedName name="fo" localSheetId="9">#REF!</definedName>
    <definedName name="fo" localSheetId="8">#REF!</definedName>
    <definedName name="fo">#REF!</definedName>
    <definedName name="Footings" localSheetId="4">#REF!</definedName>
    <definedName name="Footings" localSheetId="9">#REF!</definedName>
    <definedName name="Footings" localSheetId="8">#REF!</definedName>
    <definedName name="Footings">#REF!</definedName>
    <definedName name="format" localSheetId="4">'[74]Beam at Ground flr lvl(Steel)'!#REF!</definedName>
    <definedName name="format" localSheetId="9">'[74]Beam at Ground flr lvl(Steel)'!#REF!</definedName>
    <definedName name="format" localSheetId="8">'[74]Beam at Ground flr lvl(Steel)'!#REF!</definedName>
    <definedName name="format">'[74]Beam at Ground flr lvl(Steel)'!#REF!</definedName>
    <definedName name="FormTitle" localSheetId="4">#REF!</definedName>
    <definedName name="FormTitle" localSheetId="9">#REF!</definedName>
    <definedName name="FormTitle" localSheetId="8">#REF!</definedName>
    <definedName name="FormTitle">#REF!</definedName>
    <definedName name="FormTitle_4" localSheetId="4">#REF!</definedName>
    <definedName name="FormTitle_4" localSheetId="9">#REF!</definedName>
    <definedName name="FormTitle_4" localSheetId="8">#REF!</definedName>
    <definedName name="FormTitle_4">#REF!</definedName>
    <definedName name="FormTitle_6" localSheetId="4">#REF!</definedName>
    <definedName name="FormTitle_6" localSheetId="9">#REF!</definedName>
    <definedName name="FormTitle_6" localSheetId="8">#REF!</definedName>
    <definedName name="FormTitle_6">#REF!</definedName>
    <definedName name="Formula1" localSheetId="4">#REF!</definedName>
    <definedName name="Formula1" localSheetId="9">#REF!</definedName>
    <definedName name="Formula1" localSheetId="8">#REF!</definedName>
    <definedName name="Formula1">#REF!</definedName>
    <definedName name="Formula2" localSheetId="4">#REF!</definedName>
    <definedName name="Formula2" localSheetId="9">#REF!</definedName>
    <definedName name="Formula2" localSheetId="8">#REF!</definedName>
    <definedName name="Formula2">#REF!</definedName>
    <definedName name="Fp" localSheetId="4">#REF!</definedName>
    <definedName name="Fp" localSheetId="9">#REF!</definedName>
    <definedName name="Fp" localSheetId="8">#REF!</definedName>
    <definedName name="Fp">#REF!</definedName>
    <definedName name="FREESALE_AREA" localSheetId="4">'[40]Area Statement'!#REF!</definedName>
    <definedName name="FREESALE_AREA" localSheetId="9">'[40]Area Statement'!#REF!</definedName>
    <definedName name="FREESALE_AREA" localSheetId="8">'[40]Area Statement'!#REF!</definedName>
    <definedName name="FREESALE_AREA">'[40]Area Statement'!#REF!</definedName>
    <definedName name="frncis" localSheetId="4">#REF!</definedName>
    <definedName name="frncis" localSheetId="9">#REF!</definedName>
    <definedName name="frncis" localSheetId="8">#REF!</definedName>
    <definedName name="frncis">#REF!</definedName>
    <definedName name="Fs" localSheetId="4">#REF!</definedName>
    <definedName name="Fs" localSheetId="9">#REF!</definedName>
    <definedName name="Fs" localSheetId="8">#REF!</definedName>
    <definedName name="Fs">#REF!</definedName>
    <definedName name="fsfsafsd...loo" localSheetId="4">#REF!</definedName>
    <definedName name="fsfsafsd...loo" localSheetId="9">#REF!</definedName>
    <definedName name="fsfsafsd...loo" localSheetId="8">#REF!</definedName>
    <definedName name="fsfsafsd...loo">#REF!</definedName>
    <definedName name="fsg" localSheetId="4">#REF!</definedName>
    <definedName name="fsg" localSheetId="9">#REF!</definedName>
    <definedName name="fsg" localSheetId="8">#REF!</definedName>
    <definedName name="fsg">#REF!</definedName>
    <definedName name="FSRVRFR" localSheetId="4">#REF!</definedName>
    <definedName name="FSRVRFR" localSheetId="9">#REF!</definedName>
    <definedName name="FSRVRFR" localSheetId="8">#REF!</definedName>
    <definedName name="FSRVRFR">#REF!</definedName>
    <definedName name="FT" localSheetId="4">#REF!</definedName>
    <definedName name="FT" localSheetId="9">#REF!</definedName>
    <definedName name="FT" localSheetId="8">#REF!</definedName>
    <definedName name="FT">#REF!</definedName>
    <definedName name="FUEL" localSheetId="4">#REF!</definedName>
    <definedName name="FUEL" localSheetId="9">#REF!</definedName>
    <definedName name="FUEL" localSheetId="8">#REF!</definedName>
    <definedName name="FUEL">#REF!</definedName>
    <definedName name="Fuel_Coal" localSheetId="4">#REF!</definedName>
    <definedName name="Fuel_Coal" localSheetId="9">#REF!</definedName>
    <definedName name="Fuel_Coal" localSheetId="8">#REF!</definedName>
    <definedName name="Fuel_Coal">#REF!</definedName>
    <definedName name="Full_Model_Name">[61]Model!$C$6</definedName>
    <definedName name="FURNITURE" localSheetId="4">#REF!</definedName>
    <definedName name="FURNITURE" localSheetId="9">#REF!</definedName>
    <definedName name="FURNITURE" localSheetId="8">#REF!</definedName>
    <definedName name="FURNITURE">#REF!</definedName>
    <definedName name="Fuse" localSheetId="4">#REF!</definedName>
    <definedName name="Fuse" localSheetId="9">#REF!</definedName>
    <definedName name="Fuse" localSheetId="8">#REF!</definedName>
    <definedName name="Fuse">#REF!</definedName>
    <definedName name="Fv" localSheetId="4">#REF!</definedName>
    <definedName name="Fv" localSheetId="9">#REF!</definedName>
    <definedName name="Fv" localSheetId="8">#REF!</definedName>
    <definedName name="Fv">#REF!</definedName>
    <definedName name="g" localSheetId="4">#REF!</definedName>
    <definedName name="g" localSheetId="9">#REF!</definedName>
    <definedName name="g" localSheetId="8">#REF!</definedName>
    <definedName name="g">#REF!</definedName>
    <definedName name="g1622." localSheetId="4">#REF!</definedName>
    <definedName name="g1622." localSheetId="9">#REF!</definedName>
    <definedName name="g1622." localSheetId="8">#REF!</definedName>
    <definedName name="g1622.">#REF!</definedName>
    <definedName name="g27.35" localSheetId="4">#REF!</definedName>
    <definedName name="g27.35" localSheetId="9">#REF!</definedName>
    <definedName name="g27.35" localSheetId="8">#REF!</definedName>
    <definedName name="g27.35">#REF!</definedName>
    <definedName name="g2707." localSheetId="4">#REF!</definedName>
    <definedName name="g2707." localSheetId="9">#REF!</definedName>
    <definedName name="g2707." localSheetId="8">#REF!</definedName>
    <definedName name="g2707.">#REF!</definedName>
    <definedName name="G31j1620" localSheetId="4">#REF!</definedName>
    <definedName name="G31j1620" localSheetId="9">#REF!</definedName>
    <definedName name="G31j1620" localSheetId="8">#REF!</definedName>
    <definedName name="G31j1620">#REF!</definedName>
    <definedName name="g5410." localSheetId="4">#REF!</definedName>
    <definedName name="g5410." localSheetId="9">#REF!</definedName>
    <definedName name="g5410." localSheetId="8">#REF!</definedName>
    <definedName name="g5410.">#REF!</definedName>
    <definedName name="GA_B" localSheetId="4">#REF!</definedName>
    <definedName name="GA_B" localSheetId="9">#REF!</definedName>
    <definedName name="GA_B" localSheetId="8">#REF!</definedName>
    <definedName name="GA_B">#REF!</definedName>
    <definedName name="gama" localSheetId="4">#REF!</definedName>
    <definedName name="gama" localSheetId="9">#REF!</definedName>
    <definedName name="gama" localSheetId="8">#REF!</definedName>
    <definedName name="gama">#REF!</definedName>
    <definedName name="gamah" localSheetId="4">#REF!</definedName>
    <definedName name="gamah" localSheetId="9">#REF!</definedName>
    <definedName name="gamah" localSheetId="8">#REF!</definedName>
    <definedName name="gamah">#REF!</definedName>
    <definedName name="gas_cost" localSheetId="4">#REF!</definedName>
    <definedName name="gas_cost" localSheetId="9">#REF!</definedName>
    <definedName name="gas_cost" localSheetId="8">#REF!</definedName>
    <definedName name="gas_cost">#REF!</definedName>
    <definedName name="gas_factor" localSheetId="4">#REF!</definedName>
    <definedName name="gas_factor" localSheetId="9">#REF!</definedName>
    <definedName name="gas_factor" localSheetId="8">#REF!</definedName>
    <definedName name="gas_factor">#REF!</definedName>
    <definedName name="Gas_Service" localSheetId="4">[29]Detail!#REF!</definedName>
    <definedName name="Gas_Service" localSheetId="9">[29]Detail!#REF!</definedName>
    <definedName name="Gas_Service" localSheetId="8">[29]Detail!#REF!</definedName>
    <definedName name="Gas_Service">[29]Detail!#REF!</definedName>
    <definedName name="gd">[75]PROG_DATA!$B$6</definedName>
    <definedName name="gen" localSheetId="4">#REF!</definedName>
    <definedName name="gen" localSheetId="9">#REF!</definedName>
    <definedName name="gen" localSheetId="8">#REF!</definedName>
    <definedName name="gen">#REF!</definedName>
    <definedName name="GENGO" localSheetId="4">#REF!</definedName>
    <definedName name="GENGO" localSheetId="9">#REF!</definedName>
    <definedName name="GENGO" localSheetId="8">#REF!</definedName>
    <definedName name="GENGO">#REF!</definedName>
    <definedName name="gepcorpexpense" localSheetId="4">#REF!</definedName>
    <definedName name="gepcorpexpense" localSheetId="9">#REF!</definedName>
    <definedName name="gepcorpexpense" localSheetId="8">#REF!</definedName>
    <definedName name="gepcorpexpense">#REF!</definedName>
    <definedName name="gepcorpincome" localSheetId="4">#REF!</definedName>
    <definedName name="gepcorpincome" localSheetId="9">#REF!</definedName>
    <definedName name="gepcorpincome" localSheetId="8">#REF!</definedName>
    <definedName name="gepcorpincome">#REF!</definedName>
    <definedName name="gepexpense" localSheetId="4">#REF!</definedName>
    <definedName name="gepexpense" localSheetId="9">#REF!</definedName>
    <definedName name="gepexpense" localSheetId="8">#REF!</definedName>
    <definedName name="gepexpense">#REF!</definedName>
    <definedName name="gepincome" localSheetId="4">#REF!</definedName>
    <definedName name="gepincome" localSheetId="9">#REF!</definedName>
    <definedName name="gepincome" localSheetId="8">#REF!</definedName>
    <definedName name="gepincome">#REF!</definedName>
    <definedName name="GF" localSheetId="4">#REF!</definedName>
    <definedName name="GF" localSheetId="9">#REF!</definedName>
    <definedName name="GF" localSheetId="8">#REF!</definedName>
    <definedName name="GF">#REF!</definedName>
    <definedName name="GFA" localSheetId="4">#REF!</definedName>
    <definedName name="GFA" localSheetId="9">#REF!</definedName>
    <definedName name="GFA" localSheetId="8">#REF!</definedName>
    <definedName name="GFA">#REF!</definedName>
    <definedName name="gfh" localSheetId="3">#REF!</definedName>
    <definedName name="gfh" localSheetId="4">#REF!</definedName>
    <definedName name="gfh" localSheetId="9">#REF!</definedName>
    <definedName name="gfh" localSheetId="8">#REF!</definedName>
    <definedName name="gfh">#REF!</definedName>
    <definedName name="GG_G" localSheetId="4">#REF!</definedName>
    <definedName name="GG_G" localSheetId="9">#REF!</definedName>
    <definedName name="GG_G" localSheetId="8">#REF!</definedName>
    <definedName name="GG_G">#REF!</definedName>
    <definedName name="ggggg" localSheetId="4">[76]電気設備表!#REF!</definedName>
    <definedName name="ggggg" localSheetId="9">[76]電気設備表!#REF!</definedName>
    <definedName name="ggggg" localSheetId="8">[76]電気設備表!#REF!</definedName>
    <definedName name="ggggg">[76]電気設備表!#REF!</definedName>
    <definedName name="gh" localSheetId="4">'[74]Beam at Ground flr lvl(Steel)'!#REF!</definedName>
    <definedName name="gh" localSheetId="9">'[74]Beam at Ground flr lvl(Steel)'!#REF!</definedName>
    <definedName name="gh" localSheetId="8">'[74]Beam at Ground flr lvl(Steel)'!#REF!</definedName>
    <definedName name="gh">'[74]Beam at Ground flr lvl(Steel)'!#REF!</definedName>
    <definedName name="ghj" localSheetId="9" hidden="1">{#N/A,#N/A,FALSE,"gc (2)"}</definedName>
    <definedName name="ghj" localSheetId="0" hidden="1">{#N/A,#N/A,FALSE,"gc (2)"}</definedName>
    <definedName name="ghj" hidden="1">{#N/A,#N/A,FALSE,"gc (2)"}</definedName>
    <definedName name="GHJT" localSheetId="4">#REF!</definedName>
    <definedName name="GHJT" localSheetId="9">#REF!</definedName>
    <definedName name="GHJT" localSheetId="8">#REF!</definedName>
    <definedName name="GHJT">#REF!</definedName>
    <definedName name="gi_100" localSheetId="4">#REF!</definedName>
    <definedName name="gi_100" localSheetId="9">#REF!</definedName>
    <definedName name="gi_100" localSheetId="8">#REF!</definedName>
    <definedName name="gi_100">#REF!</definedName>
    <definedName name="gi_150" localSheetId="4">#REF!</definedName>
    <definedName name="gi_150" localSheetId="9">#REF!</definedName>
    <definedName name="gi_150" localSheetId="8">#REF!</definedName>
    <definedName name="gi_150">#REF!</definedName>
    <definedName name="gi_200" localSheetId="4">#REF!</definedName>
    <definedName name="gi_200" localSheetId="9">#REF!</definedName>
    <definedName name="gi_200" localSheetId="8">#REF!</definedName>
    <definedName name="gi_200">#REF!</definedName>
    <definedName name="gi_25" localSheetId="4">#REF!</definedName>
    <definedName name="gi_25" localSheetId="9">#REF!</definedName>
    <definedName name="gi_25" localSheetId="8">#REF!</definedName>
    <definedName name="gi_25">#REF!</definedName>
    <definedName name="gi_250" localSheetId="4">#REF!</definedName>
    <definedName name="gi_250" localSheetId="9">#REF!</definedName>
    <definedName name="gi_250" localSheetId="8">#REF!</definedName>
    <definedName name="gi_250">#REF!</definedName>
    <definedName name="gi_300" localSheetId="4">#REF!</definedName>
    <definedName name="gi_300" localSheetId="9">#REF!</definedName>
    <definedName name="gi_300" localSheetId="8">#REF!</definedName>
    <definedName name="gi_300">#REF!</definedName>
    <definedName name="gi_32" localSheetId="4">#REF!</definedName>
    <definedName name="gi_32" localSheetId="9">#REF!</definedName>
    <definedName name="gi_32" localSheetId="8">#REF!</definedName>
    <definedName name="gi_32">#REF!</definedName>
    <definedName name="gi_40" localSheetId="4">#REF!</definedName>
    <definedName name="gi_40" localSheetId="9">#REF!</definedName>
    <definedName name="gi_40" localSheetId="8">#REF!</definedName>
    <definedName name="gi_40">#REF!</definedName>
    <definedName name="gi_400" localSheetId="4">#REF!</definedName>
    <definedName name="gi_400" localSheetId="9">#REF!</definedName>
    <definedName name="gi_400" localSheetId="8">#REF!</definedName>
    <definedName name="gi_400">#REF!</definedName>
    <definedName name="gi_50" localSheetId="4">#REF!</definedName>
    <definedName name="gi_50" localSheetId="9">#REF!</definedName>
    <definedName name="gi_50" localSheetId="8">#REF!</definedName>
    <definedName name="gi_50">#REF!</definedName>
    <definedName name="gi_500" localSheetId="4">#REF!</definedName>
    <definedName name="gi_500" localSheetId="9">#REF!</definedName>
    <definedName name="gi_500" localSheetId="8">#REF!</definedName>
    <definedName name="gi_500">#REF!</definedName>
    <definedName name="gi_600" localSheetId="4">#REF!</definedName>
    <definedName name="gi_600" localSheetId="9">#REF!</definedName>
    <definedName name="gi_600" localSheetId="8">#REF!</definedName>
    <definedName name="gi_600">#REF!</definedName>
    <definedName name="gi_65" localSheetId="4">#REF!</definedName>
    <definedName name="gi_65" localSheetId="9">#REF!</definedName>
    <definedName name="gi_65" localSheetId="8">#REF!</definedName>
    <definedName name="gi_65">#REF!</definedName>
    <definedName name="gi_80" localSheetId="4">#REF!</definedName>
    <definedName name="gi_80" localSheetId="9">#REF!</definedName>
    <definedName name="gi_80" localSheetId="8">#REF!</definedName>
    <definedName name="gi_80">#REF!</definedName>
    <definedName name="GL" localSheetId="4">#REF!</definedName>
    <definedName name="GL" localSheetId="9">#REF!</definedName>
    <definedName name="GL" localSheetId="8">#REF!</definedName>
    <definedName name="GL">#REF!</definedName>
    <definedName name="GLA" localSheetId="4">#REF!</definedName>
    <definedName name="GLA" localSheetId="9">#REF!</definedName>
    <definedName name="GLA" localSheetId="8">#REF!</definedName>
    <definedName name="GLA">#REF!</definedName>
    <definedName name="glb_100" localSheetId="4">#REF!</definedName>
    <definedName name="glb_100" localSheetId="9">#REF!</definedName>
    <definedName name="glb_100" localSheetId="8">#REF!</definedName>
    <definedName name="glb_100">#REF!</definedName>
    <definedName name="glb_150" localSheetId="4">#REF!</definedName>
    <definedName name="glb_150" localSheetId="9">#REF!</definedName>
    <definedName name="glb_150" localSheetId="8">#REF!</definedName>
    <definedName name="glb_150">#REF!</definedName>
    <definedName name="glb_200" localSheetId="4">#REF!</definedName>
    <definedName name="glb_200" localSheetId="9">#REF!</definedName>
    <definedName name="glb_200" localSheetId="8">#REF!</definedName>
    <definedName name="glb_200">#REF!</definedName>
    <definedName name="glb_25" localSheetId="4">#REF!</definedName>
    <definedName name="glb_25" localSheetId="9">#REF!</definedName>
    <definedName name="glb_25" localSheetId="8">#REF!</definedName>
    <definedName name="glb_25">#REF!</definedName>
    <definedName name="glb_250" localSheetId="4">#REF!</definedName>
    <definedName name="glb_250" localSheetId="9">#REF!</definedName>
    <definedName name="glb_250" localSheetId="8">#REF!</definedName>
    <definedName name="glb_250">#REF!</definedName>
    <definedName name="glb_300" localSheetId="4">#REF!</definedName>
    <definedName name="glb_300" localSheetId="9">#REF!</definedName>
    <definedName name="glb_300" localSheetId="8">#REF!</definedName>
    <definedName name="glb_300">#REF!</definedName>
    <definedName name="glb_32" localSheetId="4">#REF!</definedName>
    <definedName name="glb_32" localSheetId="9">#REF!</definedName>
    <definedName name="glb_32" localSheetId="8">#REF!</definedName>
    <definedName name="glb_32">#REF!</definedName>
    <definedName name="glb_40" localSheetId="4">#REF!</definedName>
    <definedName name="glb_40" localSheetId="9">#REF!</definedName>
    <definedName name="glb_40" localSheetId="8">#REF!</definedName>
    <definedName name="glb_40">#REF!</definedName>
    <definedName name="glb_50" localSheetId="4">#REF!</definedName>
    <definedName name="glb_50" localSheetId="9">#REF!</definedName>
    <definedName name="glb_50" localSheetId="8">#REF!</definedName>
    <definedName name="glb_50">#REF!</definedName>
    <definedName name="glb_65" localSheetId="4">#REF!</definedName>
    <definedName name="glb_65" localSheetId="9">#REF!</definedName>
    <definedName name="glb_65" localSheetId="8">#REF!</definedName>
    <definedName name="glb_65">#REF!</definedName>
    <definedName name="glb_80" localSheetId="4">#REF!</definedName>
    <definedName name="glb_80" localSheetId="9">#REF!</definedName>
    <definedName name="glb_80" localSheetId="8">#REF!</definedName>
    <definedName name="glb_80">#REF!</definedName>
    <definedName name="GMAmount" localSheetId="4">#REF!</definedName>
    <definedName name="GMAmount" localSheetId="9">#REF!</definedName>
    <definedName name="GMAmount" localSheetId="8">#REF!</definedName>
    <definedName name="GMAmount">#REF!</definedName>
    <definedName name="GMAmount_4" localSheetId="4">#REF!</definedName>
    <definedName name="GMAmount_4" localSheetId="9">#REF!</definedName>
    <definedName name="GMAmount_4" localSheetId="8">#REF!</definedName>
    <definedName name="GMAmount_4">#REF!</definedName>
    <definedName name="GMAmount_6" localSheetId="4">#REF!</definedName>
    <definedName name="GMAmount_6" localSheetId="9">#REF!</definedName>
    <definedName name="GMAmount_6" localSheetId="8">#REF!</definedName>
    <definedName name="GMAmount_6">#REF!</definedName>
    <definedName name="GMPercent" localSheetId="4">#REF!</definedName>
    <definedName name="GMPercent" localSheetId="9">#REF!</definedName>
    <definedName name="GMPercent" localSheetId="8">#REF!</definedName>
    <definedName name="GMPercent">#REF!</definedName>
    <definedName name="GMPercent_4" localSheetId="4">#REF!</definedName>
    <definedName name="GMPercent_4" localSheetId="9">#REF!</definedName>
    <definedName name="GMPercent_4" localSheetId="8">#REF!</definedName>
    <definedName name="GMPercent_4">#REF!</definedName>
    <definedName name="GMPercent_6" localSheetId="4">#REF!</definedName>
    <definedName name="GMPercent_6" localSheetId="9">#REF!</definedName>
    <definedName name="GMPercent_6" localSheetId="8">#REF!</definedName>
    <definedName name="GMPercent_6">#REF!</definedName>
    <definedName name="GP" localSheetId="4">#REF!</definedName>
    <definedName name="GP" localSheetId="9">#REF!</definedName>
    <definedName name="GP" localSheetId="8">#REF!</definedName>
    <definedName name="GP">#REF!</definedName>
    <definedName name="GR" localSheetId="4">#REF!</definedName>
    <definedName name="GR" localSheetId="9">#REF!</definedName>
    <definedName name="GR" localSheetId="8">#REF!</definedName>
    <definedName name="GR">#REF!</definedName>
    <definedName name="granite_brown" localSheetId="4">#REF!</definedName>
    <definedName name="granite_brown" localSheetId="9">#REF!</definedName>
    <definedName name="granite_brown" localSheetId="8">#REF!</definedName>
    <definedName name="granite_brown">#REF!</definedName>
    <definedName name="grind" localSheetId="4">#REF!</definedName>
    <definedName name="grind" localSheetId="9">#REF!</definedName>
    <definedName name="grind" localSheetId="8">#REF!</definedName>
    <definedName name="grind">#REF!</definedName>
    <definedName name="Gross_Floor_Area">'[61]CONSTRUCTION COMPONENT'!$G$53</definedName>
    <definedName name="Gross_Margin">[61]Model!$C$7</definedName>
    <definedName name="Group1" localSheetId="4">#REF!</definedName>
    <definedName name="Group1" localSheetId="9">#REF!</definedName>
    <definedName name="Group1" localSheetId="8">#REF!</definedName>
    <definedName name="Group1">#REF!</definedName>
    <definedName name="Group2" localSheetId="4">#REF!</definedName>
    <definedName name="Group2" localSheetId="9">#REF!</definedName>
    <definedName name="Group2" localSheetId="8">#REF!</definedName>
    <definedName name="Group2">#REF!</definedName>
    <definedName name="Group3" localSheetId="4">#REF!</definedName>
    <definedName name="Group3" localSheetId="9">#REF!</definedName>
    <definedName name="Group3" localSheetId="8">#REF!</definedName>
    <definedName name="Group3">#REF!</definedName>
    <definedName name="Group4" localSheetId="4">#REF!</definedName>
    <definedName name="Group4" localSheetId="9">#REF!</definedName>
    <definedName name="Group4" localSheetId="8">#REF!</definedName>
    <definedName name="Group4">#REF!</definedName>
    <definedName name="gs" localSheetId="4">#REF!</definedName>
    <definedName name="gs" localSheetId="9">#REF!</definedName>
    <definedName name="gs" localSheetId="8">#REF!</definedName>
    <definedName name="gs">#REF!</definedName>
    <definedName name="gupta" localSheetId="9"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gupta"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gupta"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gv_100" localSheetId="4">#REF!</definedName>
    <definedName name="gv_100" localSheetId="9">#REF!</definedName>
    <definedName name="gv_100" localSheetId="8">#REF!</definedName>
    <definedName name="gv_100">#REF!</definedName>
    <definedName name="gv_150" localSheetId="4">#REF!</definedName>
    <definedName name="gv_150" localSheetId="9">#REF!</definedName>
    <definedName name="gv_150" localSheetId="8">#REF!</definedName>
    <definedName name="gv_150">#REF!</definedName>
    <definedName name="gv_200" localSheetId="4">#REF!</definedName>
    <definedName name="gv_200" localSheetId="9">#REF!</definedName>
    <definedName name="gv_200" localSheetId="8">#REF!</definedName>
    <definedName name="gv_200">#REF!</definedName>
    <definedName name="gv_25" localSheetId="4">#REF!</definedName>
    <definedName name="gv_25" localSheetId="9">#REF!</definedName>
    <definedName name="gv_25" localSheetId="8">#REF!</definedName>
    <definedName name="gv_25">#REF!</definedName>
    <definedName name="gv_250" localSheetId="4">#REF!</definedName>
    <definedName name="gv_250" localSheetId="9">#REF!</definedName>
    <definedName name="gv_250" localSheetId="8">#REF!</definedName>
    <definedName name="gv_250">#REF!</definedName>
    <definedName name="gv_300" localSheetId="4">#REF!</definedName>
    <definedName name="gv_300" localSheetId="9">#REF!</definedName>
    <definedName name="gv_300" localSheetId="8">#REF!</definedName>
    <definedName name="gv_300">#REF!</definedName>
    <definedName name="gv_32" localSheetId="4">#REF!</definedName>
    <definedName name="gv_32" localSheetId="9">#REF!</definedName>
    <definedName name="gv_32" localSheetId="8">#REF!</definedName>
    <definedName name="gv_32">#REF!</definedName>
    <definedName name="gv_40" localSheetId="4">#REF!</definedName>
    <definedName name="gv_40" localSheetId="9">#REF!</definedName>
    <definedName name="gv_40" localSheetId="8">#REF!</definedName>
    <definedName name="gv_40">#REF!</definedName>
    <definedName name="gv_400" localSheetId="4">#REF!</definedName>
    <definedName name="gv_400" localSheetId="9">#REF!</definedName>
    <definedName name="gv_400" localSheetId="8">#REF!</definedName>
    <definedName name="gv_400">#REF!</definedName>
    <definedName name="gv_50" localSheetId="4">#REF!</definedName>
    <definedName name="gv_50" localSheetId="9">#REF!</definedName>
    <definedName name="gv_50" localSheetId="8">#REF!</definedName>
    <definedName name="gv_50">#REF!</definedName>
    <definedName name="gv_500" localSheetId="4">#REF!</definedName>
    <definedName name="gv_500" localSheetId="9">#REF!</definedName>
    <definedName name="gv_500" localSheetId="8">#REF!</definedName>
    <definedName name="gv_500">#REF!</definedName>
    <definedName name="gv_65" localSheetId="4">#REF!</definedName>
    <definedName name="gv_65" localSheetId="9">#REF!</definedName>
    <definedName name="gv_65" localSheetId="8">#REF!</definedName>
    <definedName name="gv_65">#REF!</definedName>
    <definedName name="gv_80" localSheetId="4">#REF!</definedName>
    <definedName name="gv_80" localSheetId="9">#REF!</definedName>
    <definedName name="gv_80" localSheetId="8">#REF!</definedName>
    <definedName name="gv_80">#REF!</definedName>
    <definedName name="H" localSheetId="4">#REF!</definedName>
    <definedName name="H" localSheetId="9">#REF!</definedName>
    <definedName name="H" localSheetId="8">#REF!</definedName>
    <definedName name="H">#REF!</definedName>
    <definedName name="H___0" localSheetId="4">#REF!</definedName>
    <definedName name="H___0" localSheetId="9">#REF!</definedName>
    <definedName name="H___0" localSheetId="8">#REF!</definedName>
    <definedName name="H___0">#REF!</definedName>
    <definedName name="H___13" localSheetId="4">#REF!</definedName>
    <definedName name="H___13" localSheetId="9">#REF!</definedName>
    <definedName name="H___13" localSheetId="8">#REF!</definedName>
    <definedName name="H___13">#REF!</definedName>
    <definedName name="H0" localSheetId="4">#REF!</definedName>
    <definedName name="H0" localSheetId="9">#REF!</definedName>
    <definedName name="H0" localSheetId="8">#REF!</definedName>
    <definedName name="H0">#REF!</definedName>
    <definedName name="H0___0" localSheetId="4">#REF!</definedName>
    <definedName name="H0___0" localSheetId="9">#REF!</definedName>
    <definedName name="H0___0" localSheetId="8">#REF!</definedName>
    <definedName name="H0___0">#REF!</definedName>
    <definedName name="H0___13" localSheetId="4">#REF!</definedName>
    <definedName name="H0___13" localSheetId="9">#REF!</definedName>
    <definedName name="H0___13" localSheetId="8">#REF!</definedName>
    <definedName name="H0___13">#REF!</definedName>
    <definedName name="HANNI" localSheetId="4">#REF!</definedName>
    <definedName name="HANNI" localSheetId="9">#REF!</definedName>
    <definedName name="HANNI" localSheetId="8">#REF!</definedName>
    <definedName name="HANNI">#REF!</definedName>
    <definedName name="HARI" localSheetId="4">#REF!</definedName>
    <definedName name="HARI" localSheetId="9">#REF!</definedName>
    <definedName name="HARI" localSheetId="8">#REF!</definedName>
    <definedName name="HARI">#REF!</definedName>
    <definedName name="Hcbdw" localSheetId="4">[77]Timesheet!#REF!</definedName>
    <definedName name="Hcbdw" localSheetId="9">[77]Timesheet!#REF!</definedName>
    <definedName name="Hcbdw" localSheetId="8">[77]Timesheet!#REF!</definedName>
    <definedName name="Hcbdw">[77]Timesheet!#REF!</definedName>
    <definedName name="Hcw" localSheetId="4">[77]Timesheet!#REF!</definedName>
    <definedName name="Hcw" localSheetId="9">[77]Timesheet!#REF!</definedName>
    <definedName name="Hcw" localSheetId="8">[77]Timesheet!#REF!</definedName>
    <definedName name="Hcw">[77]Timesheet!#REF!</definedName>
    <definedName name="HDFC" localSheetId="4">#REF!</definedName>
    <definedName name="HDFC" localSheetId="9">#REF!</definedName>
    <definedName name="HDFC" localSheetId="8">#REF!</definedName>
    <definedName name="HDFC">#REF!</definedName>
    <definedName name="Headings">[78]Headings!$A$2:$K$123</definedName>
    <definedName name="Headings_16">[78]Headings!$A$2:$K$123</definedName>
    <definedName name="Headings_3">[78]Headings!$A$2:$K$123</definedName>
    <definedName name="Headings_4">[11]Headings!$A$2:$K$123</definedName>
    <definedName name="Headings_6">[11]Headings!$A$2:$K$123</definedName>
    <definedName name="Headings_9">[78]Headings!$A$2:$K$123</definedName>
    <definedName name="Hel">'[79]labour rates'!$C$5</definedName>
    <definedName name="hf" localSheetId="4">#REF!</definedName>
    <definedName name="hf" localSheetId="9">#REF!</definedName>
    <definedName name="hf" localSheetId="8">#REF!</definedName>
    <definedName name="hf">#REF!</definedName>
    <definedName name="hfi" localSheetId="4">#REF!</definedName>
    <definedName name="hfi" localSheetId="9">#REF!</definedName>
    <definedName name="hfi" localSheetId="8">#REF!</definedName>
    <definedName name="hfi">#REF!</definedName>
    <definedName name="hg">[80]Construction!$S$36:$S$74</definedName>
    <definedName name="hgr" localSheetId="4">#REF!</definedName>
    <definedName name="hgr" localSheetId="9">#REF!</definedName>
    <definedName name="hgr" localSheetId="8">#REF!</definedName>
    <definedName name="hgr">#REF!</definedName>
    <definedName name="hh" localSheetId="4">#REF!</definedName>
    <definedName name="hh" localSheetId="9">#REF!</definedName>
    <definedName name="hh" localSheetId="8">#REF!</definedName>
    <definedName name="hh">#REF!</definedName>
    <definedName name="hh___0" localSheetId="4">#REF!</definedName>
    <definedName name="hh___0" localSheetId="9">#REF!</definedName>
    <definedName name="hh___0" localSheetId="8">#REF!</definedName>
    <definedName name="hh___0">#REF!</definedName>
    <definedName name="hh___13" localSheetId="4">#REF!</definedName>
    <definedName name="hh___13" localSheetId="9">#REF!</definedName>
    <definedName name="hh___13" localSheetId="8">#REF!</definedName>
    <definedName name="hh___13">#REF!</definedName>
    <definedName name="Hhpc" localSheetId="4">[77]Timesheet!#REF!</definedName>
    <definedName name="Hhpc" localSheetId="9">[77]Timesheet!#REF!</definedName>
    <definedName name="Hhpc" localSheetId="8">[77]Timesheet!#REF!</definedName>
    <definedName name="Hhpc">[77]Timesheet!#REF!</definedName>
    <definedName name="hi" localSheetId="4">#REF!</definedName>
    <definedName name="hi" localSheetId="9">#REF!</definedName>
    <definedName name="hi" localSheetId="8">#REF!</definedName>
    <definedName name="hi">#REF!</definedName>
    <definedName name="HINDHUSTAN" localSheetId="4">#REF!</definedName>
    <definedName name="HINDHUSTAN" localSheetId="9">#REF!</definedName>
    <definedName name="HINDHUSTAN" localSheetId="8">#REF!</definedName>
    <definedName name="HINDHUSTAN">#REF!</definedName>
    <definedName name="HIns" localSheetId="4">#REF!</definedName>
    <definedName name="HIns" localSheetId="9">#REF!</definedName>
    <definedName name="HIns" localSheetId="8">#REF!</definedName>
    <definedName name="HIns">#REF!</definedName>
    <definedName name="Hipc" localSheetId="4">[77]Timesheet!#REF!</definedName>
    <definedName name="Hipc" localSheetId="9">[77]Timesheet!#REF!</definedName>
    <definedName name="Hipc" localSheetId="8">[77]Timesheet!#REF!</definedName>
    <definedName name="Hipc">[77]Timesheet!#REF!</definedName>
    <definedName name="Hlp" localSheetId="4">[77]Timesheet!#REF!</definedName>
    <definedName name="Hlp" localSheetId="9">[77]Timesheet!#REF!</definedName>
    <definedName name="Hlp" localSheetId="8">[77]Timesheet!#REF!</definedName>
    <definedName name="Hlp">[77]Timesheet!#REF!</definedName>
    <definedName name="hmp" localSheetId="4">#REF!</definedName>
    <definedName name="hmp" localSheetId="9">#REF!</definedName>
    <definedName name="hmp" localSheetId="8">#REF!</definedName>
    <definedName name="hmp">#REF!</definedName>
    <definedName name="ho" localSheetId="4">#REF!</definedName>
    <definedName name="ho" localSheetId="9">#REF!</definedName>
    <definedName name="ho" localSheetId="8">#REF!</definedName>
    <definedName name="ho">#REF!</definedName>
    <definedName name="ho___0" localSheetId="4">#REF!</definedName>
    <definedName name="ho___0" localSheetId="9">#REF!</definedName>
    <definedName name="ho___0" localSheetId="8">#REF!</definedName>
    <definedName name="ho___0">#REF!</definedName>
    <definedName name="ho___13" localSheetId="4">#REF!</definedName>
    <definedName name="ho___13" localSheetId="9">#REF!</definedName>
    <definedName name="ho___13" localSheetId="8">#REF!</definedName>
    <definedName name="ho___13">#REF!</definedName>
    <definedName name="hoi" localSheetId="4">#REF!</definedName>
    <definedName name="hoi" localSheetId="9">#REF!</definedName>
    <definedName name="hoi" localSheetId="8">#REF!</definedName>
    <definedName name="hoi">#REF!</definedName>
    <definedName name="hS" localSheetId="4">#REF!</definedName>
    <definedName name="hS" localSheetId="9">#REF!</definedName>
    <definedName name="hS" localSheetId="8">#REF!</definedName>
    <definedName name="hS">#REF!</definedName>
    <definedName name="hS___0" localSheetId="4">#REF!</definedName>
    <definedName name="hS___0" localSheetId="9">#REF!</definedName>
    <definedName name="hS___0" localSheetId="8">#REF!</definedName>
    <definedName name="hS___0">#REF!</definedName>
    <definedName name="hS___13" localSheetId="4">#REF!</definedName>
    <definedName name="hS___13" localSheetId="9">#REF!</definedName>
    <definedName name="hS___13" localSheetId="8">#REF!</definedName>
    <definedName name="hS___13">#REF!</definedName>
    <definedName name="Hs_atm" localSheetId="4">[77]Timesheet!#REF!</definedName>
    <definedName name="Hs_atm" localSheetId="9">[77]Timesheet!#REF!</definedName>
    <definedName name="Hs_atm" localSheetId="8">[77]Timesheet!#REF!</definedName>
    <definedName name="Hs_atm">[77]Timesheet!#REF!</definedName>
    <definedName name="HSS" localSheetId="4">#REF!</definedName>
    <definedName name="HSS" localSheetId="9">#REF!</definedName>
    <definedName name="HSS" localSheetId="8">#REF!</definedName>
    <definedName name="HSS">#REF!</definedName>
    <definedName name="HST" localSheetId="4">[15]GE!#REF!</definedName>
    <definedName name="HST" localSheetId="9">[15]GE!#REF!</definedName>
    <definedName name="HST" localSheetId="8">[15]GE!#REF!</definedName>
    <definedName name="HST">[15]GE!#REF!</definedName>
    <definedName name="HSTR">[24]MG!$H$214</definedName>
    <definedName name="HTML_CodePage" hidden="1">1252</definedName>
    <definedName name="HTML_Control" localSheetId="9" hidden="1">{"'Proforma'!$A$1:$J$189"}</definedName>
    <definedName name="HTML_Control" localSheetId="0" hidden="1">{"'Proforma'!$A$1:$J$189"}</definedName>
    <definedName name="HTML_Control" hidden="1">{"'Proforma'!$A$1:$J$189"}</definedName>
    <definedName name="HTML_Description" hidden="1">""</definedName>
    <definedName name="HTML_Email" hidden="1">""</definedName>
    <definedName name="HTML_Header" hidden="1">"Proforma"</definedName>
    <definedName name="HTML_LastUpdate" hidden="1">"4/19/99"</definedName>
    <definedName name="HTML_LineAfter" hidden="1">FALSE</definedName>
    <definedName name="HTML_LineBefore" hidden="1">FALSE</definedName>
    <definedName name="HTML_Name" hidden="1">"Frank Vickers"</definedName>
    <definedName name="HTML_OBDlg2" hidden="1">TRUE</definedName>
    <definedName name="HTML_OBDlg4" hidden="1">TRUE</definedName>
    <definedName name="HTML_OS" hidden="1">0</definedName>
    <definedName name="HTML_PathFile" hidden="1">"D:\analysis\MyHTML.htm"</definedName>
    <definedName name="HTML_Title" hidden="1">"proforma3"</definedName>
    <definedName name="Hu" localSheetId="4">#REF!</definedName>
    <definedName name="Hu" localSheetId="9">#REF!</definedName>
    <definedName name="Hu" localSheetId="8">#REF!</definedName>
    <definedName name="Hu">#REF!</definedName>
    <definedName name="Hu___0" localSheetId="4">#REF!</definedName>
    <definedName name="Hu___0" localSheetId="9">#REF!</definedName>
    <definedName name="Hu___0" localSheetId="8">#REF!</definedName>
    <definedName name="Hu___0">#REF!</definedName>
    <definedName name="Hu___13" localSheetId="4">#REF!</definedName>
    <definedName name="Hu___13" localSheetId="9">#REF!</definedName>
    <definedName name="Hu___13" localSheetId="8">#REF!</definedName>
    <definedName name="Hu___13">#REF!</definedName>
    <definedName name="hvacrates" localSheetId="4">#REF!</definedName>
    <definedName name="hvacrates" localSheetId="9">#REF!</definedName>
    <definedName name="hvacrates" localSheetId="8">#REF!</definedName>
    <definedName name="hvacrates">#REF!</definedName>
    <definedName name="Hw_atm" localSheetId="4">[77]Timesheet!#REF!</definedName>
    <definedName name="Hw_atm" localSheetId="9">[77]Timesheet!#REF!</definedName>
    <definedName name="Hw_atm" localSheetId="8">[77]Timesheet!#REF!</definedName>
    <definedName name="Hw_atm">[77]Timesheet!#REF!</definedName>
    <definedName name="HX" localSheetId="4">#REF!</definedName>
    <definedName name="HX" localSheetId="9">#REF!</definedName>
    <definedName name="HX" localSheetId="8">#REF!</definedName>
    <definedName name="HX">#REF!</definedName>
    <definedName name="hxa" localSheetId="4">#REF!</definedName>
    <definedName name="hxa" localSheetId="9">#REF!</definedName>
    <definedName name="hxa" localSheetId="8">#REF!</definedName>
    <definedName name="hxa">#REF!</definedName>
    <definedName name="hxb" localSheetId="4">#REF!</definedName>
    <definedName name="hxb" localSheetId="9">#REF!</definedName>
    <definedName name="hxb" localSheetId="8">#REF!</definedName>
    <definedName name="hxb">#REF!</definedName>
    <definedName name="hxc" localSheetId="4">#REF!</definedName>
    <definedName name="hxc" localSheetId="9">#REF!</definedName>
    <definedName name="hxc" localSheetId="8">#REF!</definedName>
    <definedName name="hxc">#REF!</definedName>
    <definedName name="hxd" localSheetId="4">#REF!</definedName>
    <definedName name="hxd" localSheetId="9">#REF!</definedName>
    <definedName name="hxd" localSheetId="8">#REF!</definedName>
    <definedName name="hxd">#REF!</definedName>
    <definedName name="hxi" localSheetId="4">#REF!</definedName>
    <definedName name="hxi" localSheetId="9">#REF!</definedName>
    <definedName name="hxi" localSheetId="8">#REF!</definedName>
    <definedName name="hxi">#REF!</definedName>
    <definedName name="hysd" localSheetId="4">#REF!</definedName>
    <definedName name="hysd" localSheetId="9">#REF!</definedName>
    <definedName name="hysd" localSheetId="8">#REF!</definedName>
    <definedName name="hysd">#REF!</definedName>
    <definedName name="hz" localSheetId="4">#REF!</definedName>
    <definedName name="hz" localSheetId="9">#REF!</definedName>
    <definedName name="hz" localSheetId="8">#REF!</definedName>
    <definedName name="hz">#REF!</definedName>
    <definedName name="HZQ" localSheetId="4">[81]预算!#REF!</definedName>
    <definedName name="HZQ" localSheetId="9">[81]预算!#REF!</definedName>
    <definedName name="HZQ" localSheetId="8">[81]预算!#REF!</definedName>
    <definedName name="HZQ">[81]预算!#REF!</definedName>
    <definedName name="I" localSheetId="4">#REF!</definedName>
    <definedName name="I" localSheetId="9">#REF!</definedName>
    <definedName name="I" localSheetId="8">#REF!</definedName>
    <definedName name="I">#REF!</definedName>
    <definedName name="I___0" localSheetId="4">#REF!</definedName>
    <definedName name="I___0" localSheetId="9">#REF!</definedName>
    <definedName name="I___0" localSheetId="8">#REF!</definedName>
    <definedName name="I___0">#REF!</definedName>
    <definedName name="I___13" localSheetId="4">#REF!</definedName>
    <definedName name="I___13" localSheetId="9">#REF!</definedName>
    <definedName name="I___13" localSheetId="8">#REF!</definedName>
    <definedName name="I___13">#REF!</definedName>
    <definedName name="I_P1" localSheetId="4">[21]見積書!#REF!</definedName>
    <definedName name="I_P1" localSheetId="9">[21]見積書!#REF!</definedName>
    <definedName name="I_P1" localSheetId="8">[21]見積書!#REF!</definedName>
    <definedName name="I_P1">[21]見積書!#REF!</definedName>
    <definedName name="I_PA1" localSheetId="4">#REF!</definedName>
    <definedName name="I_PA1" localSheetId="9">#REF!</definedName>
    <definedName name="I_PA1" localSheetId="8">#REF!</definedName>
    <definedName name="I_PA1">#REF!</definedName>
    <definedName name="I_PPP" localSheetId="4">#REF!</definedName>
    <definedName name="I_PPP" localSheetId="9">#REF!</definedName>
    <definedName name="I_PPP" localSheetId="8">#REF!</definedName>
    <definedName name="I_PPP">#REF!</definedName>
    <definedName name="IDCGK" localSheetId="9">City&amp;" "&amp;State</definedName>
    <definedName name="IDCGK" localSheetId="0">City&amp;" "&amp;State</definedName>
    <definedName name="IDCGK">City&amp;" "&amp;State</definedName>
    <definedName name="IDCGK_7" localSheetId="9">City&amp;" "&amp;State</definedName>
    <definedName name="IDCGK_7" localSheetId="0">City&amp;" "&amp;State</definedName>
    <definedName name="IDCGK_7">City&amp;" "&amp;State</definedName>
    <definedName name="idiot" localSheetId="9" hidden="1">{"dep. full detail",#N/A,FALSE,"annex";"3cd annex",#N/A,FALSE,"annex";"co. dep.",#N/A,FALSE,"annex"}</definedName>
    <definedName name="idiot" localSheetId="0" hidden="1">{"dep. full detail",#N/A,FALSE,"annex";"3cd annex",#N/A,FALSE,"annex";"co. dep.",#N/A,FALSE,"annex"}</definedName>
    <definedName name="idiot" hidden="1">{"dep. full detail",#N/A,FALSE,"annex";"3cd annex",#N/A,FALSE,"annex";"co. dep.",#N/A,FALSE,"annex"}</definedName>
    <definedName name="ie" localSheetId="4">#REF!</definedName>
    <definedName name="ie" localSheetId="9">#REF!</definedName>
    <definedName name="ie" localSheetId="8">#REF!</definedName>
    <definedName name="ie">#REF!</definedName>
    <definedName name="If" localSheetId="4">#REF!</definedName>
    <definedName name="If" localSheetId="9">#REF!</definedName>
    <definedName name="If" localSheetId="8">#REF!</definedName>
    <definedName name="If">#REF!</definedName>
    <definedName name="Ig" localSheetId="4">#REF!</definedName>
    <definedName name="Ig" localSheetId="9">#REF!</definedName>
    <definedName name="Ig" localSheetId="8">#REF!</definedName>
    <definedName name="Ig">#REF!</definedName>
    <definedName name="Ig___0" localSheetId="4">#REF!</definedName>
    <definedName name="Ig___0" localSheetId="9">#REF!</definedName>
    <definedName name="Ig___0" localSheetId="8">#REF!</definedName>
    <definedName name="Ig___0">#REF!</definedName>
    <definedName name="Ig___13" localSheetId="4">#REF!</definedName>
    <definedName name="Ig___13" localSheetId="9">#REF!</definedName>
    <definedName name="Ig___13" localSheetId="8">#REF!</definedName>
    <definedName name="Ig___13">#REF!</definedName>
    <definedName name="In" localSheetId="9" hidden="1">{#N/A,#N/A,FALSE,"gc (2)"}</definedName>
    <definedName name="In" localSheetId="0" hidden="1">{#N/A,#N/A,FALSE,"gc (2)"}</definedName>
    <definedName name="In" hidden="1">{#N/A,#N/A,FALSE,"gc (2)"}</definedName>
    <definedName name="in_100" localSheetId="4">#REF!</definedName>
    <definedName name="in_100" localSheetId="9">#REF!</definedName>
    <definedName name="in_100" localSheetId="8">#REF!</definedName>
    <definedName name="in_100">#REF!</definedName>
    <definedName name="in_150" localSheetId="4">#REF!</definedName>
    <definedName name="in_150" localSheetId="9">#REF!</definedName>
    <definedName name="in_150" localSheetId="8">#REF!</definedName>
    <definedName name="in_150">#REF!</definedName>
    <definedName name="in_200" localSheetId="4">#REF!</definedName>
    <definedName name="in_200" localSheetId="9">#REF!</definedName>
    <definedName name="in_200" localSheetId="8">#REF!</definedName>
    <definedName name="in_200">#REF!</definedName>
    <definedName name="in_25" localSheetId="4">#REF!</definedName>
    <definedName name="in_25" localSheetId="9">#REF!</definedName>
    <definedName name="in_25" localSheetId="8">#REF!</definedName>
    <definedName name="in_25">#REF!</definedName>
    <definedName name="in_250" localSheetId="4">#REF!</definedName>
    <definedName name="in_250" localSheetId="9">#REF!</definedName>
    <definedName name="in_250" localSheetId="8">#REF!</definedName>
    <definedName name="in_250">#REF!</definedName>
    <definedName name="in_300" localSheetId="4">#REF!</definedName>
    <definedName name="in_300" localSheetId="9">#REF!</definedName>
    <definedName name="in_300" localSheetId="8">#REF!</definedName>
    <definedName name="in_300">#REF!</definedName>
    <definedName name="in_32" localSheetId="4">#REF!</definedName>
    <definedName name="in_32" localSheetId="9">#REF!</definedName>
    <definedName name="in_32" localSheetId="8">#REF!</definedName>
    <definedName name="in_32">#REF!</definedName>
    <definedName name="in_40" localSheetId="4">#REF!</definedName>
    <definedName name="in_40" localSheetId="9">#REF!</definedName>
    <definedName name="in_40" localSheetId="8">#REF!</definedName>
    <definedName name="in_40">#REF!</definedName>
    <definedName name="in_400" localSheetId="4">#REF!</definedName>
    <definedName name="in_400" localSheetId="9">#REF!</definedName>
    <definedName name="in_400" localSheetId="8">#REF!</definedName>
    <definedName name="in_400">#REF!</definedName>
    <definedName name="in_50" localSheetId="4">#REF!</definedName>
    <definedName name="in_50" localSheetId="9">#REF!</definedName>
    <definedName name="in_50" localSheetId="8">#REF!</definedName>
    <definedName name="in_50">#REF!</definedName>
    <definedName name="in_500" localSheetId="4">#REF!</definedName>
    <definedName name="in_500" localSheetId="9">#REF!</definedName>
    <definedName name="in_500" localSheetId="8">#REF!</definedName>
    <definedName name="in_500">#REF!</definedName>
    <definedName name="in_600" localSheetId="4">#REF!</definedName>
    <definedName name="in_600" localSheetId="9">#REF!</definedName>
    <definedName name="in_600" localSheetId="8">#REF!</definedName>
    <definedName name="in_600">#REF!</definedName>
    <definedName name="in_65" localSheetId="4">#REF!</definedName>
    <definedName name="in_65" localSheetId="9">#REF!</definedName>
    <definedName name="in_65" localSheetId="8">#REF!</definedName>
    <definedName name="in_65">#REF!</definedName>
    <definedName name="in_80" localSheetId="4">#REF!</definedName>
    <definedName name="in_80" localSheetId="9">#REF!</definedName>
    <definedName name="in_80" localSheetId="8">#REF!</definedName>
    <definedName name="in_80">#REF!</definedName>
    <definedName name="income" localSheetId="4">#REF!</definedName>
    <definedName name="income" localSheetId="9">#REF!</definedName>
    <definedName name="income" localSheetId="8">#REF!</definedName>
    <definedName name="income">#REF!</definedName>
    <definedName name="income_7" localSheetId="4">#REF!</definedName>
    <definedName name="income_7" localSheetId="9">#REF!</definedName>
    <definedName name="income_7" localSheetId="8">#REF!</definedName>
    <definedName name="income_7">#REF!</definedName>
    <definedName name="Incurr" localSheetId="9" hidden="1">{#N/A,#N/A,FALSE,"gc (2)"}</definedName>
    <definedName name="Incurr" localSheetId="0" hidden="1">{#N/A,#N/A,FALSE,"gc (2)"}</definedName>
    <definedName name="Incurr" hidden="1">{#N/A,#N/A,FALSE,"gc (2)"}</definedName>
    <definedName name="indf" localSheetId="4">#REF!</definedName>
    <definedName name="indf" localSheetId="9">#REF!</definedName>
    <definedName name="indf" localSheetId="8">#REF!</definedName>
    <definedName name="indf">#REF!</definedName>
    <definedName name="indf_4" localSheetId="4">#REF!</definedName>
    <definedName name="indf_4" localSheetId="9">#REF!</definedName>
    <definedName name="indf_4" localSheetId="8">#REF!</definedName>
    <definedName name="indf_4">#REF!</definedName>
    <definedName name="indf_6" localSheetId="4">#REF!</definedName>
    <definedName name="indf_6" localSheetId="9">#REF!</definedName>
    <definedName name="indf_6" localSheetId="8">#REF!</definedName>
    <definedName name="indf_6">#REF!</definedName>
    <definedName name="inflation">[82]NPV!$B$40</definedName>
    <definedName name="INFra" localSheetId="9" hidden="1">{#N/A,#N/A,FALSE,"VARIATIONS";#N/A,#N/A,FALSE,"BUDGET";#N/A,#N/A,FALSE,"CIVIL QNTY VAR";#N/A,#N/A,FALSE,"SUMMARY";#N/A,#N/A,FALSE,"MATERIAL VAR"}</definedName>
    <definedName name="INFra" localSheetId="0" hidden="1">{#N/A,#N/A,FALSE,"VARIATIONS";#N/A,#N/A,FALSE,"BUDGET";#N/A,#N/A,FALSE,"CIVIL QNTY VAR";#N/A,#N/A,FALSE,"SUMMARY";#N/A,#N/A,FALSE,"MATERIAL VAR"}</definedName>
    <definedName name="INFra" hidden="1">{#N/A,#N/A,FALSE,"VARIATIONS";#N/A,#N/A,FALSE,"BUDGET";#N/A,#N/A,FALSE,"CIVIL QNTY VAR";#N/A,#N/A,FALSE,"SUMMARY";#N/A,#N/A,FALSE,"MATERIAL VAR"}</definedName>
    <definedName name="insert_rows_1" localSheetId="4">'[83]Basement Budget'!#REF!</definedName>
    <definedName name="insert_rows_1" localSheetId="9">'[83]Basement Budget'!#REF!</definedName>
    <definedName name="insert_rows_1" localSheetId="8">'[83]Basement Budget'!#REF!</definedName>
    <definedName name="insert_rows_1">'[83]Basement Budget'!#REF!</definedName>
    <definedName name="insertplate_and_exp_joint" localSheetId="4">#REF!</definedName>
    <definedName name="insertplate_and_exp_joint" localSheetId="9">#REF!</definedName>
    <definedName name="insertplate_and_exp_joint" localSheetId="8">#REF!</definedName>
    <definedName name="insertplate_and_exp_joint">#REF!</definedName>
    <definedName name="InstBillingMethod" localSheetId="4">#REF!</definedName>
    <definedName name="InstBillingMethod" localSheetId="9">#REF!</definedName>
    <definedName name="InstBillingMethod" localSheetId="8">#REF!</definedName>
    <definedName name="InstBillingMethod">#REF!</definedName>
    <definedName name="InstBillingMethod_4" localSheetId="4">#REF!</definedName>
    <definedName name="InstBillingMethod_4" localSheetId="9">#REF!</definedName>
    <definedName name="InstBillingMethod_4" localSheetId="8">#REF!</definedName>
    <definedName name="InstBillingMethod_4">#REF!</definedName>
    <definedName name="InstBillingMethod_6" localSheetId="4">#REF!</definedName>
    <definedName name="InstBillingMethod_6" localSheetId="9">#REF!</definedName>
    <definedName name="InstBillingMethod_6" localSheetId="8">#REF!</definedName>
    <definedName name="InstBillingMethod_6">#REF!</definedName>
    <definedName name="instf" localSheetId="4">#REF!</definedName>
    <definedName name="instf" localSheetId="9">#REF!</definedName>
    <definedName name="instf" localSheetId="8">#REF!</definedName>
    <definedName name="instf">#REF!</definedName>
    <definedName name="instf_4" localSheetId="4">#REF!</definedName>
    <definedName name="instf_4" localSheetId="9">#REF!</definedName>
    <definedName name="instf_4" localSheetId="8">#REF!</definedName>
    <definedName name="instf_4">#REF!</definedName>
    <definedName name="instf_6" localSheetId="4">#REF!</definedName>
    <definedName name="instf_6" localSheetId="9">#REF!</definedName>
    <definedName name="instf_6" localSheetId="8">#REF!</definedName>
    <definedName name="instf_6">#REF!</definedName>
    <definedName name="INT_S3" localSheetId="4">[50]Costing!#REF!</definedName>
    <definedName name="INT_S3" localSheetId="9">[50]Costing!#REF!</definedName>
    <definedName name="INT_S3" localSheetId="8">[50]Costing!#REF!</definedName>
    <definedName name="INT_S3">[50]Costing!#REF!</definedName>
    <definedName name="int_S5" localSheetId="4">[50]Costing!#REF!</definedName>
    <definedName name="int_S5" localSheetId="9">[50]Costing!#REF!</definedName>
    <definedName name="int_S5" localSheetId="8">[50]Costing!#REF!</definedName>
    <definedName name="int_S5">[50]Costing!#REF!</definedName>
    <definedName name="Interior" localSheetId="4">#REF!</definedName>
    <definedName name="Interior" localSheetId="9">#REF!</definedName>
    <definedName name="Interior" localSheetId="8">#REF!</definedName>
    <definedName name="Interior">#REF!</definedName>
    <definedName name="Internal_Plaster" localSheetId="4">#REF!</definedName>
    <definedName name="Internal_Plaster" localSheetId="9">#REF!</definedName>
    <definedName name="Internal_Plaster" localSheetId="8">#REF!</definedName>
    <definedName name="Internal_Plaster">#REF!</definedName>
    <definedName name="Internal_Screens" localSheetId="4">[29]Detail!#REF!</definedName>
    <definedName name="Internal_Screens" localSheetId="9">[29]Detail!#REF!</definedName>
    <definedName name="Internal_Screens" localSheetId="8">[29]Detail!#REF!</definedName>
    <definedName name="Internal_Screens">[29]Detail!#REF!</definedName>
    <definedName name="INV_SCH" localSheetId="4">#REF!</definedName>
    <definedName name="INV_SCH" localSheetId="9">#REF!</definedName>
    <definedName name="INV_SCH" localSheetId="8">#REF!</definedName>
    <definedName name="INV_SCH">#REF!</definedName>
    <definedName name="investment" localSheetId="4">#REF!</definedName>
    <definedName name="investment" localSheetId="9">#REF!</definedName>
    <definedName name="investment" localSheetId="8">#REF!</definedName>
    <definedName name="investment">#REF!</definedName>
    <definedName name="IOLIST">'[84]IO LIST'!$A$1:$O$134</definedName>
    <definedName name="IP_IP" localSheetId="4">[21]見積書!#REF!</definedName>
    <definedName name="IP_IP" localSheetId="9">[21]見積書!#REF!</definedName>
    <definedName name="IP_IP" localSheetId="8">[21]見積書!#REF!</definedName>
    <definedName name="IP_IP">[21]見積書!#REF!</definedName>
    <definedName name="ipu" localSheetId="4">#REF!</definedName>
    <definedName name="ipu" localSheetId="9">#REF!</definedName>
    <definedName name="ipu" localSheetId="8">#REF!</definedName>
    <definedName name="ipu">#REF!</definedName>
    <definedName name="ipu___0" localSheetId="4">#REF!</definedName>
    <definedName name="ipu___0" localSheetId="9">#REF!</definedName>
    <definedName name="ipu___0" localSheetId="8">#REF!</definedName>
    <definedName name="ipu___0">#REF!</definedName>
    <definedName name="ipu___13" localSheetId="4">#REF!</definedName>
    <definedName name="ipu___13" localSheetId="9">#REF!</definedName>
    <definedName name="ipu___13" localSheetId="8">#REF!</definedName>
    <definedName name="ipu___13">#REF!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39245.8345138889</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s" localSheetId="4">#REF!</definedName>
    <definedName name="Is" localSheetId="9">#REF!</definedName>
    <definedName name="Is" localSheetId="8">#REF!</definedName>
    <definedName name="Is">#REF!</definedName>
    <definedName name="IS200_4" localSheetId="4">[50]Costing!#REF!</definedName>
    <definedName name="IS200_4" localSheetId="9">[50]Costing!#REF!</definedName>
    <definedName name="IS200_4" localSheetId="8">[50]Costing!#REF!</definedName>
    <definedName name="IS200_4">[50]Costing!#REF!</definedName>
    <definedName name="Issue">OFFSET('[40]Risk Analysis'!$Q$4,0,0,'[40]Risk Analysis'!$S$8,1)</definedName>
    <definedName name="issue_summ">'[85]water prop.'!$A$1</definedName>
    <definedName name="J" localSheetId="4">#REF!</definedName>
    <definedName name="J" localSheetId="9">#REF!</definedName>
    <definedName name="J" localSheetId="8">#REF!</definedName>
    <definedName name="J">#REF!</definedName>
    <definedName name="ｊ" localSheetId="4">[86]電気設備表!#REF!</definedName>
    <definedName name="ｊ" localSheetId="9">[86]電気設備表!#REF!</definedName>
    <definedName name="ｊ" localSheetId="8">[86]電気設備表!#REF!</definedName>
    <definedName name="ｊ">[86]電気設備表!#REF!</definedName>
    <definedName name="Jamuna_Sand" localSheetId="4">#REF!</definedName>
    <definedName name="Jamuna_Sand" localSheetId="9">#REF!</definedName>
    <definedName name="Jamuna_Sand" localSheetId="8">#REF!</definedName>
    <definedName name="Jamuna_Sand">#REF!</definedName>
    <definedName name="Jay" localSheetId="9" hidden="1">{#N/A,#N/A,FALSE,"gc (2)"}</definedName>
    <definedName name="Jay" localSheetId="0" hidden="1">{#N/A,#N/A,FALSE,"gc (2)"}</definedName>
    <definedName name="Jay" hidden="1">{#N/A,#N/A,FALSE,"gc (2)"}</definedName>
    <definedName name="JEJS" localSheetId="4">#REF!</definedName>
    <definedName name="JEJS" localSheetId="9">#REF!</definedName>
    <definedName name="JEJS" localSheetId="8">#REF!</definedName>
    <definedName name="JEJS">#REF!</definedName>
    <definedName name="JEJS___0" localSheetId="4">#REF!</definedName>
    <definedName name="JEJS___0" localSheetId="9">#REF!</definedName>
    <definedName name="JEJS___0" localSheetId="8">#REF!</definedName>
    <definedName name="JEJS___0">#REF!</definedName>
    <definedName name="JEJS___11" localSheetId="4">#REF!</definedName>
    <definedName name="JEJS___11" localSheetId="9">#REF!</definedName>
    <definedName name="JEJS___11" localSheetId="8">#REF!</definedName>
    <definedName name="JEJS___11">#REF!</definedName>
    <definedName name="JEJS___12" localSheetId="4">#REF!</definedName>
    <definedName name="JEJS___12" localSheetId="9">#REF!</definedName>
    <definedName name="JEJS___12" localSheetId="8">#REF!</definedName>
    <definedName name="JEJS___12">#REF!</definedName>
    <definedName name="JEJS___13" localSheetId="4">#REF!</definedName>
    <definedName name="JEJS___13" localSheetId="9">#REF!</definedName>
    <definedName name="JEJS___13" localSheetId="8">#REF!</definedName>
    <definedName name="JEJS___13">#REF!</definedName>
    <definedName name="JEJS___4" localSheetId="4">#REF!</definedName>
    <definedName name="JEJS___4" localSheetId="9">#REF!</definedName>
    <definedName name="JEJS___4" localSheetId="8">#REF!</definedName>
    <definedName name="JEJS___4">#REF!</definedName>
    <definedName name="JIM">[87]Construction!$S$36:$S$74</definedName>
    <definedName name="job" localSheetId="4">#REF!</definedName>
    <definedName name="job" localSheetId="9">#REF!</definedName>
    <definedName name="job" localSheetId="8">#REF!</definedName>
    <definedName name="job">#REF!</definedName>
    <definedName name="job___0" localSheetId="4">#REF!</definedName>
    <definedName name="job___0" localSheetId="9">#REF!</definedName>
    <definedName name="job___0" localSheetId="8">#REF!</definedName>
    <definedName name="job___0">#REF!</definedName>
    <definedName name="job___11" localSheetId="4">#REF!</definedName>
    <definedName name="job___11" localSheetId="9">#REF!</definedName>
    <definedName name="job___11" localSheetId="8">#REF!</definedName>
    <definedName name="job___11">#REF!</definedName>
    <definedName name="job___12" localSheetId="4">#REF!</definedName>
    <definedName name="job___12" localSheetId="9">#REF!</definedName>
    <definedName name="job___12" localSheetId="8">#REF!</definedName>
    <definedName name="job___12">#REF!</definedName>
    <definedName name="JobID" localSheetId="4">#REF!</definedName>
    <definedName name="JobID" localSheetId="9">#REF!</definedName>
    <definedName name="JobID" localSheetId="8">#REF!</definedName>
    <definedName name="JobID">#REF!</definedName>
    <definedName name="Jobname" localSheetId="4">#REF!</definedName>
    <definedName name="Jobname" localSheetId="9">#REF!</definedName>
    <definedName name="Jobname" localSheetId="8">#REF!</definedName>
    <definedName name="Jobname">#REF!</definedName>
    <definedName name="Jobtypes">[88]FORM7!$R$3:$S$7</definedName>
    <definedName name="Jobtypes_3">[89]FORM7!$R$3:$S$7</definedName>
    <definedName name="johnson1" localSheetId="4">#REF!</definedName>
    <definedName name="johnson1" localSheetId="9">#REF!</definedName>
    <definedName name="johnson1" localSheetId="8">#REF!</definedName>
    <definedName name="johnson1">#REF!</definedName>
    <definedName name="joint" localSheetId="4">#REF!</definedName>
    <definedName name="joint" localSheetId="9">#REF!</definedName>
    <definedName name="joint" localSheetId="8">#REF!</definedName>
    <definedName name="joint">#REF!</definedName>
    <definedName name="june" localSheetId="4">#REF!</definedName>
    <definedName name="june" localSheetId="9">#REF!</definedName>
    <definedName name="june" localSheetId="8">#REF!</definedName>
    <definedName name="june">#REF!</definedName>
    <definedName name="K" localSheetId="4">#REF!</definedName>
    <definedName name="K" localSheetId="9">#REF!</definedName>
    <definedName name="K" localSheetId="8">#REF!</definedName>
    <definedName name="K">#REF!</definedName>
    <definedName name="ｋ" localSheetId="4">[86]電気設備表!#REF!</definedName>
    <definedName name="ｋ" localSheetId="9">[86]電気設備表!#REF!</definedName>
    <definedName name="ｋ" localSheetId="8">[86]電気設備表!#REF!</definedName>
    <definedName name="ｋ">[86]電気設備表!#REF!</definedName>
    <definedName name="K___0" localSheetId="4">#REF!</definedName>
    <definedName name="K___0" localSheetId="9">#REF!</definedName>
    <definedName name="K___0" localSheetId="8">#REF!</definedName>
    <definedName name="K___0">#REF!</definedName>
    <definedName name="K___13" localSheetId="4">#REF!</definedName>
    <definedName name="K___13" localSheetId="9">#REF!</definedName>
    <definedName name="K___13" localSheetId="8">#REF!</definedName>
    <definedName name="K___13">#REF!</definedName>
    <definedName name="K_10R" localSheetId="4">#REF!</definedName>
    <definedName name="K_10R" localSheetId="9">#REF!</definedName>
    <definedName name="K_10R" localSheetId="8">#REF!</definedName>
    <definedName name="K_10R">#REF!</definedName>
    <definedName name="K_15R" localSheetId="4">#REF!</definedName>
    <definedName name="K_15R" localSheetId="9">#REF!</definedName>
    <definedName name="K_15R" localSheetId="8">#REF!</definedName>
    <definedName name="K_15R">#REF!</definedName>
    <definedName name="K_20R" localSheetId="4">#REF!</definedName>
    <definedName name="K_20R" localSheetId="9">#REF!</definedName>
    <definedName name="K_20R" localSheetId="8">#REF!</definedName>
    <definedName name="K_20R">#REF!</definedName>
    <definedName name="k1_table" localSheetId="4">#REF!</definedName>
    <definedName name="k1_table" localSheetId="9">#REF!</definedName>
    <definedName name="k1_table" localSheetId="8">#REF!</definedName>
    <definedName name="k1_table">#REF!</definedName>
    <definedName name="K10L" localSheetId="4">[15]ABB!#REF!</definedName>
    <definedName name="K10L" localSheetId="9">[15]ABB!#REF!</definedName>
    <definedName name="K10L" localSheetId="8">[15]ABB!#REF!</definedName>
    <definedName name="K10L">[15]ABB!#REF!</definedName>
    <definedName name="K10R" localSheetId="4">#REF!</definedName>
    <definedName name="K10R" localSheetId="9">#REF!</definedName>
    <definedName name="K10R" localSheetId="8">#REF!</definedName>
    <definedName name="K10R">#REF!</definedName>
    <definedName name="k12.5r">[90]Costing!$H$45</definedName>
    <definedName name="K15L" localSheetId="4">[15]ABB!#REF!</definedName>
    <definedName name="K15L" localSheetId="9">[15]ABB!#REF!</definedName>
    <definedName name="K15L" localSheetId="8">[15]ABB!#REF!</definedName>
    <definedName name="K15L">[15]ABB!#REF!</definedName>
    <definedName name="K15R" localSheetId="4">[15]GE!#REF!</definedName>
    <definedName name="K15R" localSheetId="9">[15]GE!#REF!</definedName>
    <definedName name="K15R" localSheetId="8">[15]GE!#REF!</definedName>
    <definedName name="K15R">[15]GE!#REF!</definedName>
    <definedName name="k1x" localSheetId="4">[28]Design!#REF!</definedName>
    <definedName name="k1x" localSheetId="9">[28]Design!#REF!</definedName>
    <definedName name="k1x" localSheetId="8">[28]Design!#REF!</definedName>
    <definedName name="k1x">[28]Design!#REF!</definedName>
    <definedName name="k1y" localSheetId="4">[28]Design!#REF!</definedName>
    <definedName name="k1y" localSheetId="9">[28]Design!#REF!</definedName>
    <definedName name="k1y" localSheetId="8">[28]Design!#REF!</definedName>
    <definedName name="k1y">[28]Design!#REF!</definedName>
    <definedName name="K20R" localSheetId="4">#REF!</definedName>
    <definedName name="K20R" localSheetId="9">#REF!</definedName>
    <definedName name="K20R" localSheetId="8">#REF!</definedName>
    <definedName name="K20R">#REF!</definedName>
    <definedName name="K25R" localSheetId="4">#REF!</definedName>
    <definedName name="K25R" localSheetId="9">#REF!</definedName>
    <definedName name="K25R" localSheetId="8">#REF!</definedName>
    <definedName name="K25R">#REF!</definedName>
    <definedName name="k2x" localSheetId="4">[28]Design!#REF!</definedName>
    <definedName name="k2x" localSheetId="9">[28]Design!#REF!</definedName>
    <definedName name="k2x" localSheetId="8">[28]Design!#REF!</definedName>
    <definedName name="k2x">[28]Design!#REF!</definedName>
    <definedName name="k2y" localSheetId="4">[28]Design!#REF!</definedName>
    <definedName name="k2y" localSheetId="9">[28]Design!#REF!</definedName>
    <definedName name="k2y" localSheetId="8">[28]Design!#REF!</definedName>
    <definedName name="k2y">[28]Design!#REF!</definedName>
    <definedName name="k37.5r">[90]Costing!$F$45</definedName>
    <definedName name="k50r" localSheetId="4">#REF!</definedName>
    <definedName name="k50r" localSheetId="9">#REF!</definedName>
    <definedName name="k50r" localSheetId="8">#REF!</definedName>
    <definedName name="k50r">#REF!</definedName>
    <definedName name="K50RA" localSheetId="4">#REF!</definedName>
    <definedName name="K50RA" localSheetId="9">#REF!</definedName>
    <definedName name="K50RA" localSheetId="8">#REF!</definedName>
    <definedName name="K50RA">#REF!</definedName>
    <definedName name="K5L" localSheetId="4">[15]ABB!#REF!</definedName>
    <definedName name="K5L" localSheetId="9">[15]ABB!#REF!</definedName>
    <definedName name="K5L" localSheetId="8">[15]ABB!#REF!</definedName>
    <definedName name="K5L">[15]ABB!#REF!</definedName>
    <definedName name="K5R" localSheetId="4">[15]GE!#REF!</definedName>
    <definedName name="K5R" localSheetId="9">[15]GE!#REF!</definedName>
    <definedName name="K5R" localSheetId="8">[15]GE!#REF!</definedName>
    <definedName name="K5R">[15]GE!#REF!</definedName>
    <definedName name="ka" localSheetId="4">#REF!</definedName>
    <definedName name="ka" localSheetId="9">#REF!</definedName>
    <definedName name="ka" localSheetId="8">#REF!</definedName>
    <definedName name="ka">#REF!</definedName>
    <definedName name="Kail_II_nd_class_board" localSheetId="4">#REF!</definedName>
    <definedName name="Kail_II_nd_class_board" localSheetId="9">#REF!</definedName>
    <definedName name="Kail_II_nd_class_board" localSheetId="8">#REF!</definedName>
    <definedName name="Kail_II_nd_class_board">#REF!</definedName>
    <definedName name="Kail_II_nd_class_scantling" localSheetId="4">#REF!</definedName>
    <definedName name="Kail_II_nd_class_scantling" localSheetId="9">#REF!</definedName>
    <definedName name="Kail_II_nd_class_scantling" localSheetId="8">#REF!</definedName>
    <definedName name="Kail_II_nd_class_scantling">#REF!</definedName>
    <definedName name="kal" localSheetId="4">#REF!</definedName>
    <definedName name="kal" localSheetId="9">#REF!</definedName>
    <definedName name="kal" localSheetId="8">#REF!</definedName>
    <definedName name="kal">#REF!</definedName>
    <definedName name="kapil">'[91]labour rates'!$C$6</definedName>
    <definedName name="KARA" localSheetId="4">#REF!</definedName>
    <definedName name="KARA" localSheetId="9">#REF!</definedName>
    <definedName name="KARA" localSheetId="8">#REF!</definedName>
    <definedName name="KARA">#REF!</definedName>
    <definedName name="KARNA" localSheetId="4">#REF!</definedName>
    <definedName name="KARNA" localSheetId="9">#REF!</definedName>
    <definedName name="KARNA" localSheetId="8">#REF!</definedName>
    <definedName name="KARNA">#REF!</definedName>
    <definedName name="kb" localSheetId="4">#REF!</definedName>
    <definedName name="kb" localSheetId="9">#REF!</definedName>
    <definedName name="kb" localSheetId="8">#REF!</definedName>
    <definedName name="kb">#REF!</definedName>
    <definedName name="kc" localSheetId="4">#REF!</definedName>
    <definedName name="kc" localSheetId="9">#REF!</definedName>
    <definedName name="kc" localSheetId="8">#REF!</definedName>
    <definedName name="kc">#REF!</definedName>
    <definedName name="keisan5">"オプション 5"</definedName>
    <definedName name="keisan6">"オプション 6"</definedName>
    <definedName name="keisan7">"オプション 7"</definedName>
    <definedName name="KEN" localSheetId="4">#REF!</definedName>
    <definedName name="KEN" localSheetId="9">#REF!</definedName>
    <definedName name="KEN" localSheetId="8">#REF!</definedName>
    <definedName name="KEN">#REF!</definedName>
    <definedName name="Kerosene_Oil" localSheetId="4">#REF!</definedName>
    <definedName name="Kerosene_Oil" localSheetId="9">#REF!</definedName>
    <definedName name="Kerosene_Oil" localSheetId="8">#REF!</definedName>
    <definedName name="Kerosene_Oil">#REF!</definedName>
    <definedName name="KEYOFF" localSheetId="4">#REF!</definedName>
    <definedName name="KEYOFF" localSheetId="9">#REF!</definedName>
    <definedName name="KEYOFF" localSheetId="8">#REF!</definedName>
    <definedName name="KEYOFF">#REF!</definedName>
    <definedName name="KEYON" localSheetId="4">#REF!</definedName>
    <definedName name="KEYON" localSheetId="9">#REF!</definedName>
    <definedName name="KEYON" localSheetId="8">#REF!</definedName>
    <definedName name="KEYON">#REF!</definedName>
    <definedName name="Kh" localSheetId="4">#REF!</definedName>
    <definedName name="Kh" localSheetId="9">#REF!</definedName>
    <definedName name="Kh" localSheetId="8">#REF!</definedName>
    <definedName name="Kh">#REF!</definedName>
    <definedName name="Kh___0" localSheetId="4">#REF!</definedName>
    <definedName name="Kh___0" localSheetId="9">#REF!</definedName>
    <definedName name="Kh___0" localSheetId="8">#REF!</definedName>
    <definedName name="Kh___0">#REF!</definedName>
    <definedName name="Kh___13" localSheetId="4">#REF!</definedName>
    <definedName name="Kh___13" localSheetId="9">#REF!</definedName>
    <definedName name="Kh___13" localSheetId="8">#REF!</definedName>
    <definedName name="Kh___13">#REF!</definedName>
    <definedName name="khal">'[79]labour rates'!$C$4</definedName>
    <definedName name="khd" localSheetId="4">#REF!</definedName>
    <definedName name="khd" localSheetId="9">#REF!</definedName>
    <definedName name="khd" localSheetId="8">#REF!</definedName>
    <definedName name="khd">#REF!</definedName>
    <definedName name="khf" localSheetId="4">#REF!</definedName>
    <definedName name="khf" localSheetId="9">#REF!</definedName>
    <definedName name="khf" localSheetId="8">#REF!</definedName>
    <definedName name="khf">#REF!</definedName>
    <definedName name="Ki" localSheetId="4">#REF!</definedName>
    <definedName name="Ki" localSheetId="9">#REF!</definedName>
    <definedName name="Ki" localSheetId="8">#REF!</definedName>
    <definedName name="Ki">#REF!</definedName>
    <definedName name="Ki___0" localSheetId="4">#REF!</definedName>
    <definedName name="Ki___0" localSheetId="9">#REF!</definedName>
    <definedName name="Ki___0" localSheetId="8">#REF!</definedName>
    <definedName name="Ki___0">#REF!</definedName>
    <definedName name="Ki___13" localSheetId="4">#REF!</definedName>
    <definedName name="Ki___13" localSheetId="9">#REF!</definedName>
    <definedName name="Ki___13" localSheetId="8">#REF!</definedName>
    <definedName name="Ki___13">#REF!</definedName>
    <definedName name="Ki1___0" localSheetId="4">#REF!</definedName>
    <definedName name="Ki1___0" localSheetId="9">#REF!</definedName>
    <definedName name="Ki1___0" localSheetId="8">#REF!</definedName>
    <definedName name="Ki1___0">#REF!</definedName>
    <definedName name="Ki1___13" localSheetId="4">#REF!</definedName>
    <definedName name="Ki1___13" localSheetId="9">#REF!</definedName>
    <definedName name="Ki1___13" localSheetId="8">#REF!</definedName>
    <definedName name="Ki1___13">#REF!</definedName>
    <definedName name="Ki2___0" localSheetId="4">#REF!</definedName>
    <definedName name="Ki2___0" localSheetId="9">#REF!</definedName>
    <definedName name="Ki2___0" localSheetId="8">#REF!</definedName>
    <definedName name="Ki2___0">#REF!</definedName>
    <definedName name="Ki2___13" localSheetId="4">#REF!</definedName>
    <definedName name="Ki2___13" localSheetId="9">#REF!</definedName>
    <definedName name="Ki2___13" localSheetId="8">#REF!</definedName>
    <definedName name="Ki2___13">#REF!</definedName>
    <definedName name="Kii" localSheetId="4">#REF!</definedName>
    <definedName name="Kii" localSheetId="9">#REF!</definedName>
    <definedName name="Kii" localSheetId="8">#REF!</definedName>
    <definedName name="Kii">#REF!</definedName>
    <definedName name="Kii___0" localSheetId="4">#REF!</definedName>
    <definedName name="Kii___0" localSheetId="9">#REF!</definedName>
    <definedName name="Kii___0" localSheetId="8">#REF!</definedName>
    <definedName name="Kii___0">#REF!</definedName>
    <definedName name="Kii___13" localSheetId="4">#REF!</definedName>
    <definedName name="Kii___13" localSheetId="9">#REF!</definedName>
    <definedName name="Kii___13" localSheetId="8">#REF!</definedName>
    <definedName name="Kii___13">#REF!</definedName>
    <definedName name="kiosk_abb_fab" localSheetId="4">#REF!</definedName>
    <definedName name="kiosk_abb_fab" localSheetId="9">#REF!</definedName>
    <definedName name="kiosk_abb_fab" localSheetId="8">#REF!</definedName>
    <definedName name="kiosk_abb_fab">#REF!</definedName>
    <definedName name="kiosk_abb_mat" localSheetId="4">#REF!</definedName>
    <definedName name="kiosk_abb_mat" localSheetId="9">#REF!</definedName>
    <definedName name="kiosk_abb_mat" localSheetId="8">#REF!</definedName>
    <definedName name="kiosk_abb_mat">#REF!</definedName>
    <definedName name="kiosk_mg_fab" localSheetId="4">#REF!</definedName>
    <definedName name="kiosk_mg_fab" localSheetId="9">#REF!</definedName>
    <definedName name="kiosk_mg_fab" localSheetId="8">#REF!</definedName>
    <definedName name="kiosk_mg_fab">#REF!</definedName>
    <definedName name="KIOSK_mg_mat" localSheetId="4">#REF!</definedName>
    <definedName name="KIOSK_mg_mat" localSheetId="9">#REF!</definedName>
    <definedName name="KIOSK_mg_mat" localSheetId="8">#REF!</definedName>
    <definedName name="KIOSK_mg_mat">#REF!</definedName>
    <definedName name="KIRO" localSheetId="4">#REF!</definedName>
    <definedName name="KIRO" localSheetId="9">#REF!</definedName>
    <definedName name="KIRO" localSheetId="8">#REF!</definedName>
    <definedName name="KIRO">#REF!</definedName>
    <definedName name="kk" localSheetId="4">#REF!</definedName>
    <definedName name="kk" localSheetId="9">#REF!</definedName>
    <definedName name="kk" localSheetId="8">#REF!</definedName>
    <definedName name="kk">#REF!</definedName>
    <definedName name="Km" localSheetId="4">#REF!</definedName>
    <definedName name="Km" localSheetId="9">#REF!</definedName>
    <definedName name="Km" localSheetId="8">#REF!</definedName>
    <definedName name="Km">#REF!</definedName>
    <definedName name="Km___0" localSheetId="4">#REF!</definedName>
    <definedName name="Km___0" localSheetId="9">#REF!</definedName>
    <definedName name="Km___0" localSheetId="8">#REF!</definedName>
    <definedName name="Km___0">#REF!</definedName>
    <definedName name="Km___13" localSheetId="4">#REF!</definedName>
    <definedName name="Km___13" localSheetId="9">#REF!</definedName>
    <definedName name="Km___13" localSheetId="8">#REF!</definedName>
    <definedName name="Km___13">#REF!</definedName>
    <definedName name="Ks" localSheetId="4">#REF!</definedName>
    <definedName name="Ks" localSheetId="9">#REF!</definedName>
    <definedName name="Ks" localSheetId="8">#REF!</definedName>
    <definedName name="Ks">#REF!</definedName>
    <definedName name="Ks___0" localSheetId="4">#REF!</definedName>
    <definedName name="Ks___0" localSheetId="9">#REF!</definedName>
    <definedName name="Ks___0" localSheetId="8">#REF!</definedName>
    <definedName name="Ks___0">#REF!</definedName>
    <definedName name="Ks___13" localSheetId="4">#REF!</definedName>
    <definedName name="Ks___13" localSheetId="9">#REF!</definedName>
    <definedName name="Ks___13" localSheetId="8">#REF!</definedName>
    <definedName name="Ks___13">#REF!</definedName>
    <definedName name="ksd" localSheetId="4">#REF!</definedName>
    <definedName name="ksd" localSheetId="9">#REF!</definedName>
    <definedName name="ksd" localSheetId="8">#REF!</definedName>
    <definedName name="ksd">#REF!</definedName>
    <definedName name="ksf" localSheetId="4">#REF!</definedName>
    <definedName name="ksf" localSheetId="9">#REF!</definedName>
    <definedName name="ksf" localSheetId="8">#REF!</definedName>
    <definedName name="ksf">#REF!</definedName>
    <definedName name="KVAR10" localSheetId="4">#REF!</definedName>
    <definedName name="KVAR10" localSheetId="9">#REF!</definedName>
    <definedName name="KVAR10" localSheetId="8">#REF!</definedName>
    <definedName name="KVAR10">#REF!</definedName>
    <definedName name="KVAR10S" localSheetId="4">#REF!</definedName>
    <definedName name="KVAR10S" localSheetId="9">#REF!</definedName>
    <definedName name="KVAR10S" localSheetId="8">#REF!</definedName>
    <definedName name="KVAR10S">#REF!</definedName>
    <definedName name="KVAR15" localSheetId="4">#REF!</definedName>
    <definedName name="KVAR15" localSheetId="9">#REF!</definedName>
    <definedName name="KVAR15" localSheetId="8">#REF!</definedName>
    <definedName name="KVAR15">#REF!</definedName>
    <definedName name="KVAR15S" localSheetId="4">#REF!</definedName>
    <definedName name="KVAR15S" localSheetId="9">#REF!</definedName>
    <definedName name="KVAR15S" localSheetId="8">#REF!</definedName>
    <definedName name="KVAR15S">#REF!</definedName>
    <definedName name="KVAR20" localSheetId="4">#REF!</definedName>
    <definedName name="KVAR20" localSheetId="9">#REF!</definedName>
    <definedName name="KVAR20" localSheetId="8">#REF!</definedName>
    <definedName name="KVAR20">#REF!</definedName>
    <definedName name="KVAR20S" localSheetId="4">#REF!</definedName>
    <definedName name="KVAR20S" localSheetId="9">#REF!</definedName>
    <definedName name="KVAR20S" localSheetId="8">#REF!</definedName>
    <definedName name="KVAR20S">#REF!</definedName>
    <definedName name="kvar25" localSheetId="4">#REF!</definedName>
    <definedName name="kvar25" localSheetId="9">#REF!</definedName>
    <definedName name="kvar25" localSheetId="8">#REF!</definedName>
    <definedName name="kvar25">#REF!</definedName>
    <definedName name="KVAR251" localSheetId="4">#REF!</definedName>
    <definedName name="KVAR251" localSheetId="9">#REF!</definedName>
    <definedName name="KVAR251" localSheetId="8">#REF!</definedName>
    <definedName name="KVAR251">#REF!</definedName>
    <definedName name="kvar34" localSheetId="4">#REF!</definedName>
    <definedName name="kvar34" localSheetId="9">#REF!</definedName>
    <definedName name="kvar34" localSheetId="8">#REF!</definedName>
    <definedName name="kvar34">#REF!</definedName>
    <definedName name="KW">[3]NPV!$B$40</definedName>
    <definedName name="kwh" localSheetId="4">#REF!</definedName>
    <definedName name="kwh" localSheetId="9">#REF!</definedName>
    <definedName name="kwh" localSheetId="8">#REF!</definedName>
    <definedName name="kwh">#REF!</definedName>
    <definedName name="KWH_3Ø" localSheetId="4">[50]Costing!#REF!</definedName>
    <definedName name="KWH_3Ø" localSheetId="9">[50]Costing!#REF!</definedName>
    <definedName name="KWH_3Ø" localSheetId="8">[50]Costing!#REF!</definedName>
    <definedName name="KWH_3Ø">[50]Costing!#REF!</definedName>
    <definedName name="L" localSheetId="4">#REF!</definedName>
    <definedName name="L" localSheetId="9">#REF!</definedName>
    <definedName name="L" localSheetId="8">#REF!</definedName>
    <definedName name="L">#REF!</definedName>
    <definedName name="ｌ" localSheetId="4">[86]電気設備表!#REF!</definedName>
    <definedName name="ｌ" localSheetId="9">[86]電気設備表!#REF!</definedName>
    <definedName name="ｌ" localSheetId="8">[86]電気設備表!#REF!</definedName>
    <definedName name="ｌ">[86]電気設備表!#REF!</definedName>
    <definedName name="L___0" localSheetId="4">#REF!</definedName>
    <definedName name="L___0" localSheetId="9">#REF!</definedName>
    <definedName name="L___0" localSheetId="8">#REF!</definedName>
    <definedName name="L___0">#REF!</definedName>
    <definedName name="L___13" localSheetId="4">#REF!</definedName>
    <definedName name="L___13" localSheetId="9">#REF!</definedName>
    <definedName name="L___13" localSheetId="8">#REF!</definedName>
    <definedName name="L___13">#REF!</definedName>
    <definedName name="l1x" localSheetId="4">#REF!</definedName>
    <definedName name="l1x" localSheetId="9">#REF!</definedName>
    <definedName name="l1x" localSheetId="8">#REF!</definedName>
    <definedName name="l1x">#REF!</definedName>
    <definedName name="l2x" localSheetId="4">#REF!</definedName>
    <definedName name="l2x" localSheetId="9">#REF!</definedName>
    <definedName name="l2x" localSheetId="8">#REF!</definedName>
    <definedName name="l2x">#REF!</definedName>
    <definedName name="labourrate">'[9]MASTER_RATE ANALYSIS'!$A$184:$G$345</definedName>
    <definedName name="LACS">[92]PLAN_FEB97!$A$2</definedName>
    <definedName name="LALA" localSheetId="9" hidden="1">{#N/A,#N/A,TRUE,"Front";#N/A,#N/A,TRUE,"Simple Letter";#N/A,#N/A,TRUE,"Inside";#N/A,#N/A,TRUE,"Contents";#N/A,#N/A,TRUE,"Basis";#N/A,#N/A,TRUE,"Inclusions";#N/A,#N/A,TRUE,"Exclusions";#N/A,#N/A,TRUE,"Areas";#N/A,#N/A,TRUE,"Summary";#N/A,#N/A,TRUE,"Detail"}</definedName>
    <definedName name="LALA" localSheetId="0" hidden="1">{#N/A,#N/A,TRUE,"Front";#N/A,#N/A,TRUE,"Simple Letter";#N/A,#N/A,TRUE,"Inside";#N/A,#N/A,TRUE,"Contents";#N/A,#N/A,TRUE,"Basis";#N/A,#N/A,TRUE,"Inclusions";#N/A,#N/A,TRUE,"Exclusions";#N/A,#N/A,TRUE,"Areas";#N/A,#N/A,TRUE,"Summary";#N/A,#N/A,TRUE,"Detail"}</definedName>
    <definedName name="LALA" hidden="1">{#N/A,#N/A,TRUE,"Front";#N/A,#N/A,TRUE,"Simple Letter";#N/A,#N/A,TRUE,"Inside";#N/A,#N/A,TRUE,"Contents";#N/A,#N/A,TRUE,"Basis";#N/A,#N/A,TRUE,"Inclusions";#N/A,#N/A,TRUE,"Exclusions";#N/A,#N/A,TRUE,"Areas";#N/A,#N/A,TRUE,"Summary";#N/A,#N/A,TRUE,"Detail"}</definedName>
    <definedName name="LAMP" localSheetId="4">#REF!</definedName>
    <definedName name="LAMP" localSheetId="9">#REF!</definedName>
    <definedName name="LAMP" localSheetId="8">#REF!</definedName>
    <definedName name="LAMP">#REF!</definedName>
    <definedName name="LAMP___0" localSheetId="4">#REF!</definedName>
    <definedName name="LAMP___0" localSheetId="9">#REF!</definedName>
    <definedName name="LAMP___0" localSheetId="8">#REF!</definedName>
    <definedName name="LAMP___0">#REF!</definedName>
    <definedName name="LAMP___13" localSheetId="4">#REF!</definedName>
    <definedName name="LAMP___13" localSheetId="9">#REF!</definedName>
    <definedName name="LAMP___13" localSheetId="8">#REF!</definedName>
    <definedName name="LAMP___13">#REF!</definedName>
    <definedName name="Land_adv" localSheetId="4">#REF!</definedName>
    <definedName name="Land_adv" localSheetId="9">#REF!</definedName>
    <definedName name="Land_adv" localSheetId="8">#REF!</definedName>
    <definedName name="Land_adv">#REF!</definedName>
    <definedName name="landacqcost" localSheetId="4">#REF!</definedName>
    <definedName name="landacqcost" localSheetId="9">#REF!</definedName>
    <definedName name="landacqcost" localSheetId="8">#REF!</definedName>
    <definedName name="landacqcost">#REF!</definedName>
    <definedName name="Landscaping" localSheetId="4">[29]Detail!#REF!</definedName>
    <definedName name="Landscaping" localSheetId="9">[29]Detail!#REF!</definedName>
    <definedName name="Landscaping" localSheetId="8">[29]Detail!#REF!</definedName>
    <definedName name="Landscaping">[29]Detail!#REF!</definedName>
    <definedName name="LBH" localSheetId="3">#REF!</definedName>
    <definedName name="LBH" localSheetId="4">#REF!</definedName>
    <definedName name="LBH" localSheetId="9">#REF!</definedName>
    <definedName name="LBH" localSheetId="8">#REF!</definedName>
    <definedName name="LBH">#REF!</definedName>
    <definedName name="LBR">[72]HPL!$D$70</definedName>
    <definedName name="Lc" localSheetId="4">#REF!</definedName>
    <definedName name="Lc" localSheetId="9">#REF!</definedName>
    <definedName name="Lc" localSheetId="8">#REF!</definedName>
    <definedName name="Lc">#REF!</definedName>
    <definedName name="Lc___0" localSheetId="4">#REF!</definedName>
    <definedName name="Lc___0" localSheetId="9">#REF!</definedName>
    <definedName name="Lc___0" localSheetId="8">#REF!</definedName>
    <definedName name="Lc___0">#REF!</definedName>
    <definedName name="Lc___13" localSheetId="4">#REF!</definedName>
    <definedName name="Lc___13" localSheetId="9">#REF!</definedName>
    <definedName name="Lc___13" localSheetId="8">#REF!</definedName>
    <definedName name="Lc___13">#REF!</definedName>
    <definedName name="LCAR100" localSheetId="4">#REF!</definedName>
    <definedName name="LCAR100" localSheetId="9">#REF!</definedName>
    <definedName name="LCAR100" localSheetId="8">#REF!</definedName>
    <definedName name="LCAR100">#REF!</definedName>
    <definedName name="LD">[75]PROG_DATA!$B$7</definedName>
    <definedName name="Lead" localSheetId="4">#REF!</definedName>
    <definedName name="Lead" localSheetId="9">#REF!</definedName>
    <definedName name="Lead" localSheetId="8">#REF!</definedName>
    <definedName name="Lead">#REF!</definedName>
    <definedName name="lef" localSheetId="4">#REF!</definedName>
    <definedName name="lef" localSheetId="9">#REF!</definedName>
    <definedName name="lef" localSheetId="8">#REF!</definedName>
    <definedName name="lef">#REF!</definedName>
    <definedName name="lel" localSheetId="4">#REF!</definedName>
    <definedName name="lel" localSheetId="9">#REF!</definedName>
    <definedName name="lel" localSheetId="8">#REF!</definedName>
    <definedName name="lel">#REF!</definedName>
    <definedName name="len" localSheetId="4">#REF!</definedName>
    <definedName name="len" localSheetId="9">#REF!</definedName>
    <definedName name="len" localSheetId="8">#REF!</definedName>
    <definedName name="len">#REF!</definedName>
    <definedName name="Leva" localSheetId="4">#REF!</definedName>
    <definedName name="Leva" localSheetId="9">#REF!</definedName>
    <definedName name="Leva" localSheetId="8">#REF!</definedName>
    <definedName name="Leva">#REF!</definedName>
    <definedName name="levelling" localSheetId="4">#REF!</definedName>
    <definedName name="levelling" localSheetId="9">#REF!</definedName>
    <definedName name="levelling" localSheetId="8">#REF!</definedName>
    <definedName name="levelling">#REF!</definedName>
    <definedName name="LF" localSheetId="4">#REF!</definedName>
    <definedName name="LF" localSheetId="9">#REF!</definedName>
    <definedName name="LF" localSheetId="8">#REF!</definedName>
    <definedName name="LF">#REF!</definedName>
    <definedName name="LG" localSheetId="4">#REF!</definedName>
    <definedName name="LG" localSheetId="9">#REF!</definedName>
    <definedName name="LG" localSheetId="8">#REF!</definedName>
    <definedName name="LG">#REF!</definedName>
    <definedName name="Lib" localSheetId="4">#REF!</definedName>
    <definedName name="Lib" localSheetId="9">#REF!</definedName>
    <definedName name="Lib" localSheetId="8">#REF!</definedName>
    <definedName name="Lib">#REF!</definedName>
    <definedName name="lift_abb_fab" localSheetId="4">[13]Mat_Cost!#REF!</definedName>
    <definedName name="lift_abb_fab" localSheetId="9">[13]Mat_Cost!#REF!</definedName>
    <definedName name="lift_abb_fab" localSheetId="8">[13]Mat_Cost!#REF!</definedName>
    <definedName name="lift_abb_fab">[13]Mat_Cost!#REF!</definedName>
    <definedName name="lift_abb_mat" localSheetId="4">[13]Mat_Cost!#REF!</definedName>
    <definedName name="lift_abb_mat" localSheetId="9">[13]Mat_Cost!#REF!</definedName>
    <definedName name="lift_abb_mat" localSheetId="8">[13]Mat_Cost!#REF!</definedName>
    <definedName name="lift_abb_mat">[13]Mat_Cost!#REF!</definedName>
    <definedName name="lift_mg_fab" localSheetId="4">[13]Mat_Cost!#REF!</definedName>
    <definedName name="lift_mg_fab" localSheetId="9">[13]Mat_Cost!#REF!</definedName>
    <definedName name="lift_mg_fab" localSheetId="8">[13]Mat_Cost!#REF!</definedName>
    <definedName name="lift_mg_fab">[13]Mat_Cost!#REF!</definedName>
    <definedName name="lift_mg_mat" localSheetId="4">[13]Mat_Cost!#REF!</definedName>
    <definedName name="lift_mg_mat" localSheetId="9">[13]Mat_Cost!#REF!</definedName>
    <definedName name="lift_mg_mat" localSheetId="8">[13]Mat_Cost!#REF!</definedName>
    <definedName name="lift_mg_mat">[13]Mat_Cost!#REF!</definedName>
    <definedName name="limcount" hidden="1">1</definedName>
    <definedName name="LINE_1" localSheetId="4">[1]電気設備表!#REF!</definedName>
    <definedName name="LINE_1" localSheetId="9">[1]電気設備表!#REF!</definedName>
    <definedName name="LINE_1" localSheetId="8">[1]電気設備表!#REF!</definedName>
    <definedName name="LINE_1">[1]電気設備表!#REF!</definedName>
    <definedName name="LINE_2" localSheetId="4">[1]電気設備表!#REF!</definedName>
    <definedName name="LINE_2" localSheetId="9">[1]電気設備表!#REF!</definedName>
    <definedName name="LINE_2" localSheetId="8">[1]電気設備表!#REF!</definedName>
    <definedName name="LINE_2">[1]電気設備表!#REF!</definedName>
    <definedName name="LINTEL" localSheetId="3">#REF!</definedName>
    <definedName name="LINTEL" localSheetId="4">#REF!</definedName>
    <definedName name="LINTEL" localSheetId="9">#REF!</definedName>
    <definedName name="LINTEL" localSheetId="8">#REF!</definedName>
    <definedName name="LINTEL">#REF!</definedName>
    <definedName name="LIST" localSheetId="4">#REF!</definedName>
    <definedName name="LIST" localSheetId="9">#REF!</definedName>
    <definedName name="LIST" localSheetId="8">#REF!</definedName>
    <definedName name="LIST">#REF!</definedName>
    <definedName name="LIST_1" localSheetId="4">[1]電気設備表!#REF!</definedName>
    <definedName name="LIST_1" localSheetId="9">[1]電気設備表!#REF!</definedName>
    <definedName name="LIST_1" localSheetId="8">[1]電気設備表!#REF!</definedName>
    <definedName name="LIST_1">[1]電気設備表!#REF!</definedName>
    <definedName name="LIST_2" localSheetId="4">[1]電気設備表!#REF!</definedName>
    <definedName name="LIST_2" localSheetId="9">[1]電気設備表!#REF!</definedName>
    <definedName name="LIST_2" localSheetId="8">[1]電気設備表!#REF!</definedName>
    <definedName name="LIST_2">[1]電気設備表!#REF!</definedName>
    <definedName name="LIST_3" localSheetId="4">[1]電気設備表!#REF!</definedName>
    <definedName name="LIST_3" localSheetId="9">[1]電気設備表!#REF!</definedName>
    <definedName name="LIST_3" localSheetId="8">[1]電気設備表!#REF!</definedName>
    <definedName name="LIST_3">[1]電気設備表!#REF!</definedName>
    <definedName name="LLALALLA" localSheetId="9" hidden="1">{#N/A,#N/A,TRUE,"Front";#N/A,#N/A,TRUE,"Simple Letter";#N/A,#N/A,TRUE,"Inside";#N/A,#N/A,TRUE,"Contents";#N/A,#N/A,TRUE,"Basis";#N/A,#N/A,TRUE,"Inclusions";#N/A,#N/A,TRUE,"Exclusions";#N/A,#N/A,TRUE,"Areas";#N/A,#N/A,TRUE,"Summary";#N/A,#N/A,TRUE,"Detail"}</definedName>
    <definedName name="LLALALLA" localSheetId="0" hidden="1">{#N/A,#N/A,TRUE,"Front";#N/A,#N/A,TRUE,"Simple Letter";#N/A,#N/A,TRUE,"Inside";#N/A,#N/A,TRUE,"Contents";#N/A,#N/A,TRUE,"Basis";#N/A,#N/A,TRUE,"Inclusions";#N/A,#N/A,TRUE,"Exclusions";#N/A,#N/A,TRUE,"Areas";#N/A,#N/A,TRUE,"Summary";#N/A,#N/A,TRUE,"Detail"}</definedName>
    <definedName name="LLALALLA" hidden="1">{#N/A,#N/A,TRUE,"Front";#N/A,#N/A,TRUE,"Simple Letter";#N/A,#N/A,TRUE,"Inside";#N/A,#N/A,TRUE,"Contents";#N/A,#N/A,TRUE,"Basis";#N/A,#N/A,TRUE,"Inclusions";#N/A,#N/A,TRUE,"Exclusions";#N/A,#N/A,TRUE,"Areas";#N/A,#N/A,TRUE,"Summary";#N/A,#N/A,TRUE,"Detail"}</definedName>
    <definedName name="lm" localSheetId="4">#REF!</definedName>
    <definedName name="lm" localSheetId="9">#REF!</definedName>
    <definedName name="lm" localSheetId="8">#REF!</definedName>
    <definedName name="lm">#REF!</definedName>
    <definedName name="load" localSheetId="4">#REF!</definedName>
    <definedName name="load" localSheetId="9">#REF!</definedName>
    <definedName name="load" localSheetId="8">#REF!</definedName>
    <definedName name="load">#REF!</definedName>
    <definedName name="loans_adv" localSheetId="4">#REF!</definedName>
    <definedName name="loans_adv" localSheetId="9">#REF!</definedName>
    <definedName name="loans_adv" localSheetId="8">#REF!</definedName>
    <definedName name="loans_adv">#REF!</definedName>
    <definedName name="local" localSheetId="4">#REF!</definedName>
    <definedName name="local" localSheetId="9">#REF!</definedName>
    <definedName name="local" localSheetId="8">#REF!</definedName>
    <definedName name="local">#REF!</definedName>
    <definedName name="local2" localSheetId="4">#REF!</definedName>
    <definedName name="local2" localSheetId="9">#REF!</definedName>
    <definedName name="local2" localSheetId="8">#REF!</definedName>
    <definedName name="local2">#REF!</definedName>
    <definedName name="Location" localSheetId="9">City&amp;" "&amp;State</definedName>
    <definedName name="Location" localSheetId="0">City&amp;" "&amp;State</definedName>
    <definedName name="Location">City&amp;" "&amp;State</definedName>
    <definedName name="Location_7" localSheetId="9">City&amp;" "&amp;State</definedName>
    <definedName name="Location_7" localSheetId="0">City&amp;" "&amp;State</definedName>
    <definedName name="Location_7">City&amp;" "&amp;State</definedName>
    <definedName name="lodr" localSheetId="4">#REF!</definedName>
    <definedName name="lodr" localSheetId="9">#REF!</definedName>
    <definedName name="lodr" localSheetId="8">#REF!</definedName>
    <definedName name="lodr">#REF!</definedName>
    <definedName name="look" localSheetId="4">#REF!</definedName>
    <definedName name="look" localSheetId="9">#REF!</definedName>
    <definedName name="look" localSheetId="8">#REF!</definedName>
    <definedName name="look">#REF!</definedName>
    <definedName name="Lr" localSheetId="4">#REF!</definedName>
    <definedName name="Lr" localSheetId="9">#REF!</definedName>
    <definedName name="Lr" localSheetId="8">#REF!</definedName>
    <definedName name="Lr">#REF!</definedName>
    <definedName name="Lr___0" localSheetId="4">#REF!</definedName>
    <definedName name="Lr___0" localSheetId="9">#REF!</definedName>
    <definedName name="Lr___0" localSheetId="8">#REF!</definedName>
    <definedName name="Lr___0">#REF!</definedName>
    <definedName name="Lr___13" localSheetId="4">#REF!</definedName>
    <definedName name="Lr___13" localSheetId="9">#REF!</definedName>
    <definedName name="Lr___13" localSheetId="8">#REF!</definedName>
    <definedName name="Lr___13">#REF!</definedName>
    <definedName name="lsest" localSheetId="4">#REF!</definedName>
    <definedName name="lsest" localSheetId="9">#REF!</definedName>
    <definedName name="lsest" localSheetId="8">#REF!</definedName>
    <definedName name="lsest">#REF!</definedName>
    <definedName name="lshead" localSheetId="4">#REF!</definedName>
    <definedName name="lshead" localSheetId="9">#REF!</definedName>
    <definedName name="lshead" localSheetId="8">#REF!</definedName>
    <definedName name="lshead">#REF!</definedName>
    <definedName name="LSNO1">[93]Lead!$P$6</definedName>
    <definedName name="LSNO13">[93]Lead!$P$22</definedName>
    <definedName name="LSNO14">[93]Lead!$P$23</definedName>
    <definedName name="LSNO2">[93]Lead!$P$7</definedName>
    <definedName name="LSNO23">[93]Lead!$P$31</definedName>
    <definedName name="LSNO25">[93]Lead!$P$32</definedName>
    <definedName name="LSNO3">[93]Lead!$P$8</definedName>
    <definedName name="ltf" localSheetId="4">#REF!</definedName>
    <definedName name="ltf" localSheetId="9">#REF!</definedName>
    <definedName name="ltf" localSheetId="8">#REF!</definedName>
    <definedName name="ltf">#REF!</definedName>
    <definedName name="LUMEN" localSheetId="4">#REF!</definedName>
    <definedName name="LUMEN" localSheetId="9">#REF!</definedName>
    <definedName name="LUMEN" localSheetId="8">#REF!</definedName>
    <definedName name="LUMEN">#REF!</definedName>
    <definedName name="LUMEN___0" localSheetId="4">#REF!</definedName>
    <definedName name="LUMEN___0" localSheetId="9">#REF!</definedName>
    <definedName name="LUMEN___0" localSheetId="8">#REF!</definedName>
    <definedName name="LUMEN___0">#REF!</definedName>
    <definedName name="LUMEN___13" localSheetId="4">#REF!</definedName>
    <definedName name="LUMEN___13" localSheetId="9">#REF!</definedName>
    <definedName name="LUMEN___13" localSheetId="8">#REF!</definedName>
    <definedName name="LUMEN___13">#REF!</definedName>
    <definedName name="LUX" localSheetId="4">#REF!</definedName>
    <definedName name="LUX" localSheetId="9">#REF!</definedName>
    <definedName name="LUX" localSheetId="8">#REF!</definedName>
    <definedName name="LUX">#REF!</definedName>
    <definedName name="LUX___0" localSheetId="4">#REF!</definedName>
    <definedName name="LUX___0" localSheetId="9">#REF!</definedName>
    <definedName name="LUX___0" localSheetId="8">#REF!</definedName>
    <definedName name="LUX___0">#REF!</definedName>
    <definedName name="LUX___13" localSheetId="4">#REF!</definedName>
    <definedName name="LUX___13" localSheetId="9">#REF!</definedName>
    <definedName name="LUX___13" localSheetId="8">#REF!</definedName>
    <definedName name="LUX___13">#REF!</definedName>
    <definedName name="Lx" localSheetId="4">#REF!</definedName>
    <definedName name="Lx" localSheetId="9">#REF!</definedName>
    <definedName name="Lx" localSheetId="8">#REF!</definedName>
    <definedName name="Lx">#REF!</definedName>
    <definedName name="Lx___0" localSheetId="4">#REF!</definedName>
    <definedName name="Lx___0" localSheetId="9">#REF!</definedName>
    <definedName name="Lx___0" localSheetId="8">#REF!</definedName>
    <definedName name="Lx___0">#REF!</definedName>
    <definedName name="Lx___13" localSheetId="4">#REF!</definedName>
    <definedName name="Lx___13" localSheetId="9">#REF!</definedName>
    <definedName name="Lx___13" localSheetId="8">#REF!</definedName>
    <definedName name="Lx___13">#REF!</definedName>
    <definedName name="m" localSheetId="4">#REF!</definedName>
    <definedName name="m" localSheetId="9">#REF!</definedName>
    <definedName name="m" localSheetId="8">#REF!</definedName>
    <definedName name="m">#REF!</definedName>
    <definedName name="m___0" localSheetId="4">#REF!</definedName>
    <definedName name="m___0" localSheetId="9">#REF!</definedName>
    <definedName name="m___0" localSheetId="8">#REF!</definedName>
    <definedName name="m___0">#REF!</definedName>
    <definedName name="m___13" localSheetId="4">#REF!</definedName>
    <definedName name="m___13" localSheetId="9">#REF!</definedName>
    <definedName name="m___13" localSheetId="8">#REF!</definedName>
    <definedName name="m___13">#REF!</definedName>
    <definedName name="m_100" localSheetId="4">#REF!</definedName>
    <definedName name="m_100" localSheetId="9">#REF!</definedName>
    <definedName name="m_100" localSheetId="8">#REF!</definedName>
    <definedName name="m_100">#REF!</definedName>
    <definedName name="m_100_16KA" localSheetId="4">#REF!</definedName>
    <definedName name="m_100_16KA" localSheetId="9">#REF!</definedName>
    <definedName name="m_100_16KA" localSheetId="8">#REF!</definedName>
    <definedName name="m_100_16KA">#REF!</definedName>
    <definedName name="m_100_25kA" localSheetId="4">#REF!</definedName>
    <definedName name="m_100_25kA" localSheetId="9">#REF!</definedName>
    <definedName name="m_100_25kA" localSheetId="8">#REF!</definedName>
    <definedName name="m_100_25kA">#REF!</definedName>
    <definedName name="m_125_25kA" localSheetId="4">#REF!</definedName>
    <definedName name="m_125_25kA" localSheetId="9">#REF!</definedName>
    <definedName name="m_125_25kA" localSheetId="8">#REF!</definedName>
    <definedName name="m_125_25kA">#REF!</definedName>
    <definedName name="m_160_st" localSheetId="4">#REF!</definedName>
    <definedName name="m_160_st" localSheetId="9">#REF!</definedName>
    <definedName name="m_160_st" localSheetId="8">#REF!</definedName>
    <definedName name="m_160_st">#REF!</definedName>
    <definedName name="M_25_box_Culvert" localSheetId="4">#REF!</definedName>
    <definedName name="M_25_box_Culvert" localSheetId="9">#REF!</definedName>
    <definedName name="M_25_box_Culvert" localSheetId="8">#REF!</definedName>
    <definedName name="M_25_box_Culvert">#REF!</definedName>
    <definedName name="m_250_st" localSheetId="4">#REF!</definedName>
    <definedName name="m_250_st" localSheetId="9">#REF!</definedName>
    <definedName name="m_250_st" localSheetId="8">#REF!</definedName>
    <definedName name="m_250_st">#REF!</definedName>
    <definedName name="m_400_4p_mt" localSheetId="4">#REF!</definedName>
    <definedName name="m_400_4p_mt" localSheetId="9">#REF!</definedName>
    <definedName name="m_400_4p_mt" localSheetId="8">#REF!</definedName>
    <definedName name="m_400_4p_mt">#REF!</definedName>
    <definedName name="M_63_3N" localSheetId="4">#REF!</definedName>
    <definedName name="M_63_3N" localSheetId="9">#REF!</definedName>
    <definedName name="M_63_3N" localSheetId="8">#REF!</definedName>
    <definedName name="M_63_3N">#REF!</definedName>
    <definedName name="M1_" localSheetId="4">#REF!</definedName>
    <definedName name="M1_" localSheetId="9">#REF!</definedName>
    <definedName name="M1_" localSheetId="8">#REF!</definedName>
    <definedName name="M1_">#REF!</definedName>
    <definedName name="M100B" localSheetId="4">#REF!</definedName>
    <definedName name="M100B" localSheetId="9">#REF!</definedName>
    <definedName name="M100B" localSheetId="8">#REF!</definedName>
    <definedName name="M100B">#REF!</definedName>
    <definedName name="M100IL" localSheetId="4">#REF!</definedName>
    <definedName name="M100IL" localSheetId="9">#REF!</definedName>
    <definedName name="M100IL" localSheetId="8">#REF!</definedName>
    <definedName name="M100IL">#REF!</definedName>
    <definedName name="m125b" localSheetId="4">#REF!</definedName>
    <definedName name="m125b" localSheetId="9">#REF!</definedName>
    <definedName name="m125b" localSheetId="8">#REF!</definedName>
    <definedName name="m125b">#REF!</definedName>
    <definedName name="M125IL" localSheetId="4">#REF!</definedName>
    <definedName name="M125IL" localSheetId="9">#REF!</definedName>
    <definedName name="M125IL" localSheetId="8">#REF!</definedName>
    <definedName name="M125IL">#REF!</definedName>
    <definedName name="m15flooring" localSheetId="4">#REF!</definedName>
    <definedName name="m15flooring" localSheetId="9">#REF!</definedName>
    <definedName name="m15flooring" localSheetId="8">#REF!</definedName>
    <definedName name="m15flooring">#REF!</definedName>
    <definedName name="M160B" localSheetId="4">#REF!</definedName>
    <definedName name="M160B" localSheetId="9">#REF!</definedName>
    <definedName name="M160B" localSheetId="8">#REF!</definedName>
    <definedName name="M160B">#REF!</definedName>
    <definedName name="M1x" localSheetId="4">[28]Design!#REF!</definedName>
    <definedName name="M1x" localSheetId="9">[28]Design!#REF!</definedName>
    <definedName name="M1x" localSheetId="8">[28]Design!#REF!</definedName>
    <definedName name="M1x">[28]Design!#REF!</definedName>
    <definedName name="M1y" localSheetId="4">[28]Design!#REF!</definedName>
    <definedName name="M1y" localSheetId="9">[28]Design!#REF!</definedName>
    <definedName name="M1y" localSheetId="8">[28]Design!#REF!</definedName>
    <definedName name="M1y">[28]Design!#REF!</definedName>
    <definedName name="M2_" localSheetId="4">#REF!</definedName>
    <definedName name="M2_" localSheetId="9">#REF!</definedName>
    <definedName name="M2_" localSheetId="8">#REF!</definedName>
    <definedName name="M2_">#REF!</definedName>
    <definedName name="M200B" localSheetId="4">#REF!</definedName>
    <definedName name="M200B" localSheetId="9">#REF!</definedName>
    <definedName name="M200B" localSheetId="8">#REF!</definedName>
    <definedName name="M200B">#REF!</definedName>
    <definedName name="m250b" localSheetId="4">#REF!</definedName>
    <definedName name="m250b" localSheetId="9">#REF!</definedName>
    <definedName name="m250b" localSheetId="8">#REF!</definedName>
    <definedName name="m250b">#REF!</definedName>
    <definedName name="M250IL" localSheetId="4">#REF!</definedName>
    <definedName name="M250IL" localSheetId="9">#REF!</definedName>
    <definedName name="M250IL" localSheetId="8">#REF!</definedName>
    <definedName name="M250IL">#REF!</definedName>
    <definedName name="M2x" localSheetId="4">[28]Design!#REF!</definedName>
    <definedName name="M2x" localSheetId="9">[28]Design!#REF!</definedName>
    <definedName name="M2x" localSheetId="8">[28]Design!#REF!</definedName>
    <definedName name="M2x">[28]Design!#REF!</definedName>
    <definedName name="M2y" localSheetId="4">[28]Design!#REF!</definedName>
    <definedName name="M2y" localSheetId="9">[28]Design!#REF!</definedName>
    <definedName name="M2y" localSheetId="8">[28]Design!#REF!</definedName>
    <definedName name="M2y">[28]Design!#REF!</definedName>
    <definedName name="M32_2" localSheetId="4">[50]Costing!#REF!</definedName>
    <definedName name="M32_2" localSheetId="9">[50]Costing!#REF!</definedName>
    <definedName name="M32_2" localSheetId="8">[50]Costing!#REF!</definedName>
    <definedName name="M32_2">[50]Costing!#REF!</definedName>
    <definedName name="M32F" localSheetId="4">#REF!</definedName>
    <definedName name="M32F" localSheetId="9">#REF!</definedName>
    <definedName name="M32F" localSheetId="8">#REF!</definedName>
    <definedName name="M32F">#REF!</definedName>
    <definedName name="m400b" localSheetId="4">#REF!</definedName>
    <definedName name="m400b" localSheetId="9">#REF!</definedName>
    <definedName name="m400b" localSheetId="8">#REF!</definedName>
    <definedName name="m400b">#REF!</definedName>
    <definedName name="m400bs" localSheetId="4">#REF!</definedName>
    <definedName name="m400bs" localSheetId="9">#REF!</definedName>
    <definedName name="m400bs" localSheetId="8">#REF!</definedName>
    <definedName name="m400bs">#REF!</definedName>
    <definedName name="M400IL" localSheetId="4">#REF!</definedName>
    <definedName name="M400IL" localSheetId="9">#REF!</definedName>
    <definedName name="M400IL" localSheetId="8">#REF!</definedName>
    <definedName name="M400IL">#REF!</definedName>
    <definedName name="M4D" localSheetId="4">#REF!</definedName>
    <definedName name="M4D" localSheetId="9">#REF!</definedName>
    <definedName name="M4D" localSheetId="8">#REF!</definedName>
    <definedName name="M4D">#REF!</definedName>
    <definedName name="M4F" localSheetId="4">#REF!</definedName>
    <definedName name="M4F" localSheetId="9">#REF!</definedName>
    <definedName name="M4F" localSheetId="8">#REF!</definedName>
    <definedName name="M4F">#REF!</definedName>
    <definedName name="M630B" localSheetId="4">#REF!</definedName>
    <definedName name="M630B" localSheetId="9">#REF!</definedName>
    <definedName name="M630B" localSheetId="8">#REF!</definedName>
    <definedName name="M630B">#REF!</definedName>
    <definedName name="M630IL" localSheetId="4">#REF!</definedName>
    <definedName name="M630IL" localSheetId="9">#REF!</definedName>
    <definedName name="M630IL" localSheetId="8">#REF!</definedName>
    <definedName name="M630IL">#REF!</definedName>
    <definedName name="M63F" localSheetId="4">#REF!</definedName>
    <definedName name="M63F" localSheetId="9">#REF!</definedName>
    <definedName name="M63F" localSheetId="8">#REF!</definedName>
    <definedName name="M63F">#REF!</definedName>
    <definedName name="m800b" localSheetId="4">#REF!</definedName>
    <definedName name="m800b" localSheetId="9">#REF!</definedName>
    <definedName name="m800b" localSheetId="8">#REF!</definedName>
    <definedName name="m800b">#REF!</definedName>
    <definedName name="M800BS" localSheetId="4">#REF!</definedName>
    <definedName name="M800BS" localSheetId="9">#REF!</definedName>
    <definedName name="M800BS" localSheetId="8">#REF!</definedName>
    <definedName name="M800BS">#REF!</definedName>
    <definedName name="M800IL" localSheetId="4">#REF!</definedName>
    <definedName name="M800IL" localSheetId="9">#REF!</definedName>
    <definedName name="M800IL" localSheetId="8">#REF!</definedName>
    <definedName name="M800IL">#REF!</definedName>
    <definedName name="Ma" localSheetId="4">[77]Timesheet!#REF!</definedName>
    <definedName name="Ma" localSheetId="9">[77]Timesheet!#REF!</definedName>
    <definedName name="Ma" localSheetId="8">[77]Timesheet!#REF!</definedName>
    <definedName name="Ma">[77]Timesheet!#REF!</definedName>
    <definedName name="Ma_v" localSheetId="4">[77]Timesheet!#REF!</definedName>
    <definedName name="Ma_v" localSheetId="9">[77]Timesheet!#REF!</definedName>
    <definedName name="Ma_v" localSheetId="8">[77]Timesheet!#REF!</definedName>
    <definedName name="Ma_v">[77]Timesheet!#REF!</definedName>
    <definedName name="MACRO" localSheetId="4">#REF!</definedName>
    <definedName name="MACRO" localSheetId="9">#REF!</definedName>
    <definedName name="MACRO" localSheetId="8">#REF!</definedName>
    <definedName name="MACRO">#REF!</definedName>
    <definedName name="MACRO2" localSheetId="4">#REF!</definedName>
    <definedName name="MACRO2" localSheetId="9">#REF!</definedName>
    <definedName name="MACRO2" localSheetId="8">#REF!</definedName>
    <definedName name="MACRO2">#REF!</definedName>
    <definedName name="MACRO3" localSheetId="4">#REF!</definedName>
    <definedName name="MACRO3" localSheetId="9">#REF!</definedName>
    <definedName name="MACRO3" localSheetId="8">#REF!</definedName>
    <definedName name="MACRO3">#REF!</definedName>
    <definedName name="maintexpense" localSheetId="4">#REF!</definedName>
    <definedName name="maintexpense" localSheetId="9">#REF!</definedName>
    <definedName name="maintexpense" localSheetId="8">#REF!</definedName>
    <definedName name="maintexpense">#REF!</definedName>
    <definedName name="maintincome" localSheetId="4">#REF!</definedName>
    <definedName name="maintincome" localSheetId="9">#REF!</definedName>
    <definedName name="maintincome" localSheetId="8">#REF!</definedName>
    <definedName name="maintincome">#REF!</definedName>
    <definedName name="makuro" localSheetId="4">#REF!</definedName>
    <definedName name="makuro" localSheetId="9">#REF!</definedName>
    <definedName name="makuro" localSheetId="8">#REF!</definedName>
    <definedName name="makuro">#REF!</definedName>
    <definedName name="man" localSheetId="4">#REF!</definedName>
    <definedName name="man" localSheetId="9">#REF!</definedName>
    <definedName name="man" localSheetId="8">#REF!</definedName>
    <definedName name="man">#REF!</definedName>
    <definedName name="man___0" localSheetId="4">#REF!</definedName>
    <definedName name="man___0" localSheetId="9">#REF!</definedName>
    <definedName name="man___0" localSheetId="8">#REF!</definedName>
    <definedName name="man___0">#REF!</definedName>
    <definedName name="man___11" localSheetId="4">#REF!</definedName>
    <definedName name="man___11" localSheetId="9">#REF!</definedName>
    <definedName name="man___11" localSheetId="8">#REF!</definedName>
    <definedName name="man___11">#REF!</definedName>
    <definedName name="man___12" localSheetId="4">#REF!</definedName>
    <definedName name="man___12" localSheetId="9">#REF!</definedName>
    <definedName name="man___12" localSheetId="8">#REF!</definedName>
    <definedName name="man___12">#REF!</definedName>
    <definedName name="manday1" localSheetId="4">#REF!</definedName>
    <definedName name="manday1" localSheetId="9">#REF!</definedName>
    <definedName name="manday1" localSheetId="8">#REF!</definedName>
    <definedName name="manday1">#REF!</definedName>
    <definedName name="manday1___0" localSheetId="4">#REF!</definedName>
    <definedName name="manday1___0" localSheetId="9">#REF!</definedName>
    <definedName name="manday1___0" localSheetId="8">#REF!</definedName>
    <definedName name="manday1___0">#REF!</definedName>
    <definedName name="manday1___11" localSheetId="4">#REF!</definedName>
    <definedName name="manday1___11" localSheetId="9">#REF!</definedName>
    <definedName name="manday1___11" localSheetId="8">#REF!</definedName>
    <definedName name="manday1___11">#REF!</definedName>
    <definedName name="manday1___12" localSheetId="4">#REF!</definedName>
    <definedName name="manday1___12" localSheetId="9">#REF!</definedName>
    <definedName name="manday1___12" localSheetId="8">#REF!</definedName>
    <definedName name="manday1___12">#REF!</definedName>
    <definedName name="MANHOL" localSheetId="4">#REF!</definedName>
    <definedName name="MANHOL" localSheetId="9">#REF!</definedName>
    <definedName name="MANHOL" localSheetId="8">#REF!</definedName>
    <definedName name="MANHOL">#REF!</definedName>
    <definedName name="Marble_Dust" localSheetId="4">#REF!</definedName>
    <definedName name="Marble_Dust" localSheetId="9">#REF!</definedName>
    <definedName name="Marble_Dust" localSheetId="8">#REF!</definedName>
    <definedName name="Marble_Dust">#REF!</definedName>
    <definedName name="march_qty" localSheetId="4">#REF!</definedName>
    <definedName name="march_qty" localSheetId="9">#REF!</definedName>
    <definedName name="march_qty" localSheetId="8">#REF!</definedName>
    <definedName name="march_qty">#REF!</definedName>
    <definedName name="MarketType" localSheetId="4">#REF!</definedName>
    <definedName name="MarketType" localSheetId="9">#REF!</definedName>
    <definedName name="MarketType" localSheetId="8">#REF!</definedName>
    <definedName name="MarketType">#REF!</definedName>
    <definedName name="MarketType_4" localSheetId="4">#REF!</definedName>
    <definedName name="MarketType_4" localSheetId="9">#REF!</definedName>
    <definedName name="MarketType_4" localSheetId="8">#REF!</definedName>
    <definedName name="MarketType_4">#REF!</definedName>
    <definedName name="MarketType_6" localSheetId="4">#REF!</definedName>
    <definedName name="MarketType_6" localSheetId="9">#REF!</definedName>
    <definedName name="MarketType_6" localSheetId="8">#REF!</definedName>
    <definedName name="MarketType_6">#REF!</definedName>
    <definedName name="MarketType_Text" localSheetId="4">#REF!</definedName>
    <definedName name="MarketType_Text" localSheetId="9">#REF!</definedName>
    <definedName name="MarketType_Text" localSheetId="8">#REF!</definedName>
    <definedName name="MarketType_Text">#REF!</definedName>
    <definedName name="MarketType_Text_4" localSheetId="4">#REF!</definedName>
    <definedName name="MarketType_Text_4" localSheetId="9">#REF!</definedName>
    <definedName name="MarketType_Text_4" localSheetId="8">#REF!</definedName>
    <definedName name="MarketType_Text_4">#REF!</definedName>
    <definedName name="MarketType_Text_6" localSheetId="4">#REF!</definedName>
    <definedName name="MarketType_Text_6" localSheetId="9">#REF!</definedName>
    <definedName name="MarketType_Text_6" localSheetId="8">#REF!</definedName>
    <definedName name="MarketType_Text_6">#REF!</definedName>
    <definedName name="MAS" localSheetId="4">#REF!</definedName>
    <definedName name="MAS" localSheetId="9">#REF!</definedName>
    <definedName name="MAS" localSheetId="8">#REF!</definedName>
    <definedName name="MAS">#REF!</definedName>
    <definedName name="Masonary" localSheetId="4">'[94]Builtup Area'!#REF!</definedName>
    <definedName name="Masonary" localSheetId="9">'[94]Builtup Area'!#REF!</definedName>
    <definedName name="Masonary" localSheetId="8">'[94]Builtup Area'!#REF!</definedName>
    <definedName name="Masonary">'[94]Builtup Area'!#REF!</definedName>
    <definedName name="MATE" localSheetId="4">#REF!</definedName>
    <definedName name="MATE" localSheetId="9">#REF!</definedName>
    <definedName name="MATE" localSheetId="8">#REF!</definedName>
    <definedName name="MATE">#REF!</definedName>
    <definedName name="MATERIAL" localSheetId="4">#REF!</definedName>
    <definedName name="MATERIAL" localSheetId="9">#REF!</definedName>
    <definedName name="MATERIAL" localSheetId="8">#REF!</definedName>
    <definedName name="MATERIAL">#REF!</definedName>
    <definedName name="MaterialList">'[2]Material List '!$C$4:$C$9960</definedName>
    <definedName name="MATV" localSheetId="4">#REF!</definedName>
    <definedName name="MATV" localSheetId="9">#REF!</definedName>
    <definedName name="MATV" localSheetId="8">#REF!</definedName>
    <definedName name="MATV">#REF!</definedName>
    <definedName name="MAZI" localSheetId="4">[41]Sheet1!#REF!</definedName>
    <definedName name="MAZI" localSheetId="9">[41]Sheet1!#REF!</definedName>
    <definedName name="MAZI" localSheetId="8">[41]Sheet1!#REF!</definedName>
    <definedName name="MAZI">[41]Sheet1!#REF!</definedName>
    <definedName name="Mb" localSheetId="4">[77]Timesheet!#REF!</definedName>
    <definedName name="Mb" localSheetId="9">[77]Timesheet!#REF!</definedName>
    <definedName name="Mb" localSheetId="8">[77]Timesheet!#REF!</definedName>
    <definedName name="Mb">[77]Timesheet!#REF!</definedName>
    <definedName name="Mb_v" localSheetId="4">[77]Timesheet!#REF!</definedName>
    <definedName name="Mb_v" localSheetId="9">[77]Timesheet!#REF!</definedName>
    <definedName name="Mb_v" localSheetId="8">[77]Timesheet!#REF!</definedName>
    <definedName name="Mb_v">[77]Timesheet!#REF!</definedName>
    <definedName name="mb100_3" localSheetId="4">[50]Costing!#REF!</definedName>
    <definedName name="mb100_3" localSheetId="9">[50]Costing!#REF!</definedName>
    <definedName name="mb100_3" localSheetId="8">[50]Costing!#REF!</definedName>
    <definedName name="mb100_3">[50]Costing!#REF!</definedName>
    <definedName name="MB1000F" localSheetId="4">#REF!</definedName>
    <definedName name="MB1000F" localSheetId="9">#REF!</definedName>
    <definedName name="MB1000F" localSheetId="8">#REF!</definedName>
    <definedName name="MB1000F">#REF!</definedName>
    <definedName name="MB1000M" localSheetId="4">#REF!</definedName>
    <definedName name="MB1000M" localSheetId="9">#REF!</definedName>
    <definedName name="MB1000M" localSheetId="8">#REF!</definedName>
    <definedName name="MB1000M">#REF!</definedName>
    <definedName name="MB1000M1" localSheetId="4">#REF!</definedName>
    <definedName name="MB1000M1" localSheetId="9">#REF!</definedName>
    <definedName name="MB1000M1" localSheetId="8">#REF!</definedName>
    <definedName name="MB1000M1">#REF!</definedName>
    <definedName name="MB1000MA" localSheetId="4">#REF!</definedName>
    <definedName name="MB1000MA" localSheetId="9">#REF!</definedName>
    <definedName name="MB1000MA" localSheetId="8">#REF!</definedName>
    <definedName name="MB1000MA">#REF!</definedName>
    <definedName name="MB100A" localSheetId="4">#REF!</definedName>
    <definedName name="MB100A" localSheetId="9">#REF!</definedName>
    <definedName name="MB100A" localSheetId="8">#REF!</definedName>
    <definedName name="MB100A">#REF!</definedName>
    <definedName name="MB100AS" localSheetId="4">#REF!</definedName>
    <definedName name="MB100AS" localSheetId="9">#REF!</definedName>
    <definedName name="MB100AS" localSheetId="8">#REF!</definedName>
    <definedName name="MB100AS">#REF!</definedName>
    <definedName name="MB100F" localSheetId="4">#REF!</definedName>
    <definedName name="MB100F" localSheetId="9">#REF!</definedName>
    <definedName name="MB100F" localSheetId="8">#REF!</definedName>
    <definedName name="MB100F">#REF!</definedName>
    <definedName name="MB100FF" localSheetId="4">[17]Costing!#REF!</definedName>
    <definedName name="MB100FF" localSheetId="9">[17]Costing!#REF!</definedName>
    <definedName name="MB100FF" localSheetId="8">[17]Costing!#REF!</definedName>
    <definedName name="MB100FF">[17]Costing!#REF!</definedName>
    <definedName name="MB100FFS" localSheetId="4">#REF!</definedName>
    <definedName name="MB100FFS" localSheetId="9">#REF!</definedName>
    <definedName name="MB100FFS" localSheetId="8">#REF!</definedName>
    <definedName name="MB100FFS">#REF!</definedName>
    <definedName name="mb100fg" localSheetId="4">[17]Costing!#REF!</definedName>
    <definedName name="mb100fg" localSheetId="9">[17]Costing!#REF!</definedName>
    <definedName name="mb100fg" localSheetId="8">[17]Costing!#REF!</definedName>
    <definedName name="mb100fg">[17]Costing!#REF!</definedName>
    <definedName name="mb100fs" localSheetId="4">#REF!</definedName>
    <definedName name="mb100fs" localSheetId="9">#REF!</definedName>
    <definedName name="mb100fs" localSheetId="8">#REF!</definedName>
    <definedName name="mb100fs">#REF!</definedName>
    <definedName name="mb100fsS" localSheetId="4">#REF!</definedName>
    <definedName name="mb100fsS" localSheetId="9">#REF!</definedName>
    <definedName name="mb100fsS" localSheetId="8">#REF!</definedName>
    <definedName name="mb100fsS">#REF!</definedName>
    <definedName name="mb100p" localSheetId="4">#REF!</definedName>
    <definedName name="mb100p" localSheetId="9">#REF!</definedName>
    <definedName name="mb100p" localSheetId="8">#REF!</definedName>
    <definedName name="mb100p">#REF!</definedName>
    <definedName name="MB100PA" localSheetId="4">#REF!</definedName>
    <definedName name="MB100PA" localSheetId="9">#REF!</definedName>
    <definedName name="MB100PA" localSheetId="8">#REF!</definedName>
    <definedName name="MB100PA">#REF!</definedName>
    <definedName name="MB100S" localSheetId="4">#REF!</definedName>
    <definedName name="MB100S" localSheetId="9">#REF!</definedName>
    <definedName name="MB100S" localSheetId="8">#REF!</definedName>
    <definedName name="MB100S">#REF!</definedName>
    <definedName name="mb100s_3" localSheetId="4">[50]Costing!#REF!</definedName>
    <definedName name="mb100s_3" localSheetId="9">[50]Costing!#REF!</definedName>
    <definedName name="mb100s_3" localSheetId="8">[50]Costing!#REF!</definedName>
    <definedName name="mb100s_3">[50]Costing!#REF!</definedName>
    <definedName name="MB100S1" localSheetId="4">#REF!</definedName>
    <definedName name="MB100S1" localSheetId="9">#REF!</definedName>
    <definedName name="MB100S1" localSheetId="8">#REF!</definedName>
    <definedName name="MB100S1">#REF!</definedName>
    <definedName name="MB100S1S" localSheetId="4">#REF!</definedName>
    <definedName name="MB100S1S" localSheetId="9">#REF!</definedName>
    <definedName name="MB100S1S" localSheetId="8">#REF!</definedName>
    <definedName name="MB100S1S">#REF!</definedName>
    <definedName name="MB100SF" localSheetId="4">#REF!</definedName>
    <definedName name="MB100SF" localSheetId="9">#REF!</definedName>
    <definedName name="MB100SF" localSheetId="8">#REF!</definedName>
    <definedName name="MB100SF">#REF!</definedName>
    <definedName name="MB100SS" localSheetId="4">#REF!</definedName>
    <definedName name="MB100SS" localSheetId="9">#REF!</definedName>
    <definedName name="MB100SS" localSheetId="8">#REF!</definedName>
    <definedName name="MB100SS">#REF!</definedName>
    <definedName name="MB100T" localSheetId="4">#REF!</definedName>
    <definedName name="MB100T" localSheetId="9">#REF!</definedName>
    <definedName name="MB100T" localSheetId="8">#REF!</definedName>
    <definedName name="MB100T">#REF!</definedName>
    <definedName name="MB100T1" localSheetId="4">#REF!</definedName>
    <definedName name="MB100T1" localSheetId="9">#REF!</definedName>
    <definedName name="MB100T1" localSheetId="8">#REF!</definedName>
    <definedName name="MB100T1">#REF!</definedName>
    <definedName name="mb100tg" localSheetId="4">[17]Costing!#REF!</definedName>
    <definedName name="mb100tg" localSheetId="9">[17]Costing!#REF!</definedName>
    <definedName name="mb100tg" localSheetId="8">[17]Costing!#REF!</definedName>
    <definedName name="mb100tg">[17]Costing!#REF!</definedName>
    <definedName name="MB100TS" localSheetId="4">#REF!</definedName>
    <definedName name="MB100TS" localSheetId="9">#REF!</definedName>
    <definedName name="MB100TS" localSheetId="8">#REF!</definedName>
    <definedName name="MB100TS">#REF!</definedName>
    <definedName name="MB100TSS" localSheetId="4">#REF!</definedName>
    <definedName name="MB100TSS" localSheetId="9">#REF!</definedName>
    <definedName name="MB100TSS" localSheetId="8">#REF!</definedName>
    <definedName name="MB100TSS">#REF!</definedName>
    <definedName name="MB100W" localSheetId="4">#REF!</definedName>
    <definedName name="MB100W" localSheetId="9">#REF!</definedName>
    <definedName name="MB100W" localSheetId="8">#REF!</definedName>
    <definedName name="MB100W">#REF!</definedName>
    <definedName name="MB100WA" localSheetId="4">#REF!</definedName>
    <definedName name="MB100WA" localSheetId="9">#REF!</definedName>
    <definedName name="MB100WA" localSheetId="8">#REF!</definedName>
    <definedName name="MB100WA">#REF!</definedName>
    <definedName name="MB100WF" localSheetId="4">#REF!</definedName>
    <definedName name="MB100WF" localSheetId="9">#REF!</definedName>
    <definedName name="MB100WF" localSheetId="8">#REF!</definedName>
    <definedName name="MB100WF">#REF!</definedName>
    <definedName name="MB100WFA" localSheetId="4">#REF!</definedName>
    <definedName name="MB100WFA" localSheetId="9">#REF!</definedName>
    <definedName name="MB100WFA" localSheetId="8">#REF!</definedName>
    <definedName name="MB100WFA">#REF!</definedName>
    <definedName name="MB1200M1" localSheetId="4">#REF!</definedName>
    <definedName name="MB1200M1" localSheetId="9">#REF!</definedName>
    <definedName name="MB1200M1" localSheetId="8">#REF!</definedName>
    <definedName name="MB1200M1">#REF!</definedName>
    <definedName name="mb125_4" localSheetId="4">[50]Costing!#REF!</definedName>
    <definedName name="mb125_4" localSheetId="9">[50]Costing!#REF!</definedName>
    <definedName name="mb125_4" localSheetId="8">[50]Costing!#REF!</definedName>
    <definedName name="mb125_4">[50]Costing!#REF!</definedName>
    <definedName name="MB125A" localSheetId="4">#REF!</definedName>
    <definedName name="MB125A" localSheetId="9">#REF!</definedName>
    <definedName name="MB125A" localSheetId="8">#REF!</definedName>
    <definedName name="MB125A">#REF!</definedName>
    <definedName name="MB125AS" localSheetId="4">#REF!</definedName>
    <definedName name="MB125AS" localSheetId="9">#REF!</definedName>
    <definedName name="MB125AS" localSheetId="8">#REF!</definedName>
    <definedName name="MB125AS">#REF!</definedName>
    <definedName name="MB125C" localSheetId="4">#REF!</definedName>
    <definedName name="MB125C" localSheetId="9">#REF!</definedName>
    <definedName name="MB125C" localSheetId="8">#REF!</definedName>
    <definedName name="MB125C">#REF!</definedName>
    <definedName name="MB125Cs" localSheetId="4">#REF!</definedName>
    <definedName name="MB125Cs" localSheetId="9">#REF!</definedName>
    <definedName name="MB125Cs" localSheetId="8">#REF!</definedName>
    <definedName name="MB125Cs">#REF!</definedName>
    <definedName name="mb125fs" localSheetId="4">#REF!</definedName>
    <definedName name="mb125fs" localSheetId="9">#REF!</definedName>
    <definedName name="mb125fs" localSheetId="8">#REF!</definedName>
    <definedName name="mb125fs">#REF!</definedName>
    <definedName name="mb125fsS" localSheetId="4">#REF!</definedName>
    <definedName name="mb125fsS" localSheetId="9">#REF!</definedName>
    <definedName name="mb125fsS" localSheetId="8">#REF!</definedName>
    <definedName name="mb125fsS">#REF!</definedName>
    <definedName name="MB125M" localSheetId="4">#REF!</definedName>
    <definedName name="MB125M" localSheetId="9">#REF!</definedName>
    <definedName name="MB125M" localSheetId="8">#REF!</definedName>
    <definedName name="MB125M">#REF!</definedName>
    <definedName name="MB125Ms" localSheetId="4">#REF!</definedName>
    <definedName name="MB125Ms" localSheetId="9">#REF!</definedName>
    <definedName name="MB125Ms" localSheetId="8">#REF!</definedName>
    <definedName name="MB125Ms">#REF!</definedName>
    <definedName name="MB125S" localSheetId="4">#REF!</definedName>
    <definedName name="MB125S" localSheetId="9">#REF!</definedName>
    <definedName name="MB125S" localSheetId="8">#REF!</definedName>
    <definedName name="MB125S">#REF!</definedName>
    <definedName name="MB125SS" localSheetId="4">#REF!</definedName>
    <definedName name="MB125SS" localSheetId="9">#REF!</definedName>
    <definedName name="MB125SS" localSheetId="8">#REF!</definedName>
    <definedName name="MB125SS">#REF!</definedName>
    <definedName name="MB125TS" localSheetId="4">#REF!</definedName>
    <definedName name="MB125TS" localSheetId="9">#REF!</definedName>
    <definedName name="MB125TS" localSheetId="8">#REF!</definedName>
    <definedName name="MB125TS">#REF!</definedName>
    <definedName name="MB125TSS" localSheetId="4">#REF!</definedName>
    <definedName name="MB125TSS" localSheetId="9">#REF!</definedName>
    <definedName name="MB125TSS" localSheetId="8">#REF!</definedName>
    <definedName name="MB125TSS">#REF!</definedName>
    <definedName name="MB160A" localSheetId="4">#REF!</definedName>
    <definedName name="MB160A" localSheetId="9">#REF!</definedName>
    <definedName name="MB160A" localSheetId="8">#REF!</definedName>
    <definedName name="MB160A">#REF!</definedName>
    <definedName name="MB160AS" localSheetId="4">#REF!</definedName>
    <definedName name="MB160AS" localSheetId="9">#REF!</definedName>
    <definedName name="MB160AS" localSheetId="8">#REF!</definedName>
    <definedName name="MB160AS">#REF!</definedName>
    <definedName name="MB160F" localSheetId="4">[17]Costing!#REF!</definedName>
    <definedName name="MB160F" localSheetId="9">[17]Costing!#REF!</definedName>
    <definedName name="MB160F" localSheetId="8">[17]Costing!#REF!</definedName>
    <definedName name="MB160F">[17]Costing!#REF!</definedName>
    <definedName name="mb160fg" localSheetId="4">[17]Costing!#REF!</definedName>
    <definedName name="mb160fg" localSheetId="9">[17]Costing!#REF!</definedName>
    <definedName name="mb160fg" localSheetId="8">[17]Costing!#REF!</definedName>
    <definedName name="mb160fg">[17]Costing!#REF!</definedName>
    <definedName name="mb160p" localSheetId="4">#REF!</definedName>
    <definedName name="mb160p" localSheetId="9">#REF!</definedName>
    <definedName name="mb160p" localSheetId="8">#REF!</definedName>
    <definedName name="mb160p">#REF!</definedName>
    <definedName name="MB160PA" localSheetId="4">#REF!</definedName>
    <definedName name="MB160PA" localSheetId="9">#REF!</definedName>
    <definedName name="MB160PA" localSheetId="8">#REF!</definedName>
    <definedName name="MB160PA">#REF!</definedName>
    <definedName name="mb160sf" localSheetId="4">#REF!</definedName>
    <definedName name="mb160sf" localSheetId="9">#REF!</definedName>
    <definedName name="mb160sf" localSheetId="8">#REF!</definedName>
    <definedName name="mb160sf">#REF!</definedName>
    <definedName name="MB160SS" localSheetId="4">#REF!</definedName>
    <definedName name="MB160SS" localSheetId="9">#REF!</definedName>
    <definedName name="MB160SS" localSheetId="8">#REF!</definedName>
    <definedName name="MB160SS">#REF!</definedName>
    <definedName name="MB160T" localSheetId="4">#REF!</definedName>
    <definedName name="MB160T" localSheetId="9">#REF!</definedName>
    <definedName name="MB160T" localSheetId="8">#REF!</definedName>
    <definedName name="MB160T">#REF!</definedName>
    <definedName name="mb160tg" localSheetId="4">[17]Costing!#REF!</definedName>
    <definedName name="mb160tg" localSheetId="9">[17]Costing!#REF!</definedName>
    <definedName name="mb160tg" localSheetId="8">[17]Costing!#REF!</definedName>
    <definedName name="mb160tg">[17]Costing!#REF!</definedName>
    <definedName name="mb200_3" localSheetId="4">[50]Costing!#REF!</definedName>
    <definedName name="mb200_3" localSheetId="9">[50]Costing!#REF!</definedName>
    <definedName name="mb200_3" localSheetId="8">[50]Costing!#REF!</definedName>
    <definedName name="mb200_3">[50]Costing!#REF!</definedName>
    <definedName name="mb200_4" localSheetId="4">[50]Costing!#REF!</definedName>
    <definedName name="mb200_4" localSheetId="9">[50]Costing!#REF!</definedName>
    <definedName name="mb200_4" localSheetId="8">[50]Costing!#REF!</definedName>
    <definedName name="mb200_4">[50]Costing!#REF!</definedName>
    <definedName name="MB200A" localSheetId="4">#REF!</definedName>
    <definedName name="MB200A" localSheetId="9">#REF!</definedName>
    <definedName name="MB200A" localSheetId="8">#REF!</definedName>
    <definedName name="MB200A">#REF!</definedName>
    <definedName name="MB200AS" localSheetId="4">#REF!</definedName>
    <definedName name="MB200AS" localSheetId="9">#REF!</definedName>
    <definedName name="MB200AS" localSheetId="8">#REF!</definedName>
    <definedName name="MB200AS">#REF!</definedName>
    <definedName name="MB200C" localSheetId="4">#REF!</definedName>
    <definedName name="MB200C" localSheetId="9">#REF!</definedName>
    <definedName name="MB200C" localSheetId="8">#REF!</definedName>
    <definedName name="MB200C">#REF!</definedName>
    <definedName name="MB200Cs" localSheetId="4">#REF!</definedName>
    <definedName name="MB200Cs" localSheetId="9">#REF!</definedName>
    <definedName name="MB200Cs" localSheetId="8">#REF!</definedName>
    <definedName name="MB200Cs">#REF!</definedName>
    <definedName name="MB200FS" localSheetId="4">#REF!</definedName>
    <definedName name="MB200FS" localSheetId="9">#REF!</definedName>
    <definedName name="MB200FS" localSheetId="8">#REF!</definedName>
    <definedName name="MB200FS">#REF!</definedName>
    <definedName name="MB200G" localSheetId="4">[15]GE!#REF!</definedName>
    <definedName name="MB200G" localSheetId="9">[15]GE!#REF!</definedName>
    <definedName name="MB200G" localSheetId="8">[15]GE!#REF!</definedName>
    <definedName name="MB200G">[15]GE!#REF!</definedName>
    <definedName name="MB200M" localSheetId="4">#REF!</definedName>
    <definedName name="MB200M" localSheetId="9">#REF!</definedName>
    <definedName name="MB200M" localSheetId="8">#REF!</definedName>
    <definedName name="MB200M">#REF!</definedName>
    <definedName name="MB200M1" localSheetId="4">#REF!</definedName>
    <definedName name="MB200M1" localSheetId="9">#REF!</definedName>
    <definedName name="MB200M1" localSheetId="8">#REF!</definedName>
    <definedName name="MB200M1">#REF!</definedName>
    <definedName name="MB200S" localSheetId="4">#REF!</definedName>
    <definedName name="MB200S" localSheetId="9">#REF!</definedName>
    <definedName name="MB200S" localSheetId="8">#REF!</definedName>
    <definedName name="MB200S">#REF!</definedName>
    <definedName name="MB200SS" localSheetId="4">#REF!</definedName>
    <definedName name="MB200SS" localSheetId="9">#REF!</definedName>
    <definedName name="MB200SS" localSheetId="8">#REF!</definedName>
    <definedName name="MB200SS">#REF!</definedName>
    <definedName name="MB200T" localSheetId="4">#REF!</definedName>
    <definedName name="MB200T" localSheetId="9">#REF!</definedName>
    <definedName name="MB200T" localSheetId="8">#REF!</definedName>
    <definedName name="MB200T">#REF!</definedName>
    <definedName name="MB200T1" localSheetId="4">#REF!</definedName>
    <definedName name="MB200T1" localSheetId="9">#REF!</definedName>
    <definedName name="MB200T1" localSheetId="8">#REF!</definedName>
    <definedName name="MB200T1">#REF!</definedName>
    <definedName name="mb200tg" localSheetId="4">[17]Costing!#REF!</definedName>
    <definedName name="mb200tg" localSheetId="9">[17]Costing!#REF!</definedName>
    <definedName name="mb200tg" localSheetId="8">[17]Costing!#REF!</definedName>
    <definedName name="mb200tg">[17]Costing!#REF!</definedName>
    <definedName name="MB200TS" localSheetId="4">#REF!</definedName>
    <definedName name="MB200TS" localSheetId="9">#REF!</definedName>
    <definedName name="MB200TS" localSheetId="8">#REF!</definedName>
    <definedName name="MB200TS">#REF!</definedName>
    <definedName name="MB200TSS" localSheetId="4">#REF!</definedName>
    <definedName name="MB200TSS" localSheetId="9">#REF!</definedName>
    <definedName name="MB200TSS" localSheetId="8">#REF!</definedName>
    <definedName name="MB200TSS">#REF!</definedName>
    <definedName name="mb250_3" localSheetId="4">[50]Costing!#REF!</definedName>
    <definedName name="mb250_3" localSheetId="9">[50]Costing!#REF!</definedName>
    <definedName name="mb250_3" localSheetId="8">[50]Costing!#REF!</definedName>
    <definedName name="mb250_3">[50]Costing!#REF!</definedName>
    <definedName name="mb250_4" localSheetId="4">[50]Costing!#REF!</definedName>
    <definedName name="mb250_4" localSheetId="9">[50]Costing!#REF!</definedName>
    <definedName name="mb250_4" localSheetId="8">[50]Costing!#REF!</definedName>
    <definedName name="mb250_4">[50]Costing!#REF!</definedName>
    <definedName name="MB250A" localSheetId="4">#REF!</definedName>
    <definedName name="MB250A" localSheetId="9">#REF!</definedName>
    <definedName name="MB250A" localSheetId="8">#REF!</definedName>
    <definedName name="MB250A">#REF!</definedName>
    <definedName name="MB250AS" localSheetId="4">#REF!</definedName>
    <definedName name="MB250AS" localSheetId="9">#REF!</definedName>
    <definedName name="MB250AS" localSheetId="8">#REF!</definedName>
    <definedName name="MB250AS">#REF!</definedName>
    <definedName name="MB250C" localSheetId="4">#REF!</definedName>
    <definedName name="MB250C" localSheetId="9">#REF!</definedName>
    <definedName name="MB250C" localSheetId="8">#REF!</definedName>
    <definedName name="MB250C">#REF!</definedName>
    <definedName name="MB250Cs" localSheetId="4">#REF!</definedName>
    <definedName name="MB250Cs" localSheetId="9">#REF!</definedName>
    <definedName name="MB250Cs" localSheetId="8">#REF!</definedName>
    <definedName name="MB250Cs">#REF!</definedName>
    <definedName name="mb250f" localSheetId="4">#REF!</definedName>
    <definedName name="mb250f" localSheetId="9">#REF!</definedName>
    <definedName name="mb250f" localSheetId="8">#REF!</definedName>
    <definedName name="mb250f">#REF!</definedName>
    <definedName name="MB250M" localSheetId="4">#REF!</definedName>
    <definedName name="MB250M" localSheetId="9">#REF!</definedName>
    <definedName name="MB250M" localSheetId="8">#REF!</definedName>
    <definedName name="MB250M">#REF!</definedName>
    <definedName name="MB250M1" localSheetId="4">#REF!</definedName>
    <definedName name="MB250M1" localSheetId="9">#REF!</definedName>
    <definedName name="MB250M1" localSheetId="8">#REF!</definedName>
    <definedName name="MB250M1">#REF!</definedName>
    <definedName name="MB250MC" localSheetId="4">#REF!</definedName>
    <definedName name="MB250MC" localSheetId="9">#REF!</definedName>
    <definedName name="MB250MC" localSheetId="8">#REF!</definedName>
    <definedName name="MB250MC">#REF!</definedName>
    <definedName name="MB250MCA" localSheetId="4">#REF!</definedName>
    <definedName name="MB250MCA" localSheetId="9">#REF!</definedName>
    <definedName name="MB250MCA" localSheetId="8">#REF!</definedName>
    <definedName name="MB250MCA">#REF!</definedName>
    <definedName name="MB250Ms" localSheetId="4">#REF!</definedName>
    <definedName name="MB250Ms" localSheetId="9">#REF!</definedName>
    <definedName name="MB250Ms" localSheetId="8">#REF!</definedName>
    <definedName name="MB250Ms">#REF!</definedName>
    <definedName name="MB250S" localSheetId="4">#REF!</definedName>
    <definedName name="MB250S" localSheetId="9">#REF!</definedName>
    <definedName name="MB250S" localSheetId="8">#REF!</definedName>
    <definedName name="MB250S">#REF!</definedName>
    <definedName name="MB250SS" localSheetId="4">#REF!</definedName>
    <definedName name="MB250SS" localSheetId="9">#REF!</definedName>
    <definedName name="MB250SS" localSheetId="8">#REF!</definedName>
    <definedName name="MB250SS">#REF!</definedName>
    <definedName name="MB250T" localSheetId="4">#REF!</definedName>
    <definedName name="MB250T" localSheetId="9">#REF!</definedName>
    <definedName name="MB250T" localSheetId="8">#REF!</definedName>
    <definedName name="MB250T">#REF!</definedName>
    <definedName name="MB250T1" localSheetId="4">#REF!</definedName>
    <definedName name="MB250T1" localSheetId="9">#REF!</definedName>
    <definedName name="MB250T1" localSheetId="8">#REF!</definedName>
    <definedName name="MB250T1">#REF!</definedName>
    <definedName name="MB250TA" localSheetId="4">#REF!</definedName>
    <definedName name="MB250TA" localSheetId="9">#REF!</definedName>
    <definedName name="MB250TA" localSheetId="8">#REF!</definedName>
    <definedName name="MB250TA">#REF!</definedName>
    <definedName name="MB250TAS" localSheetId="4">#REF!</definedName>
    <definedName name="MB250TAS" localSheetId="9">#REF!</definedName>
    <definedName name="MB250TAS" localSheetId="8">#REF!</definedName>
    <definedName name="MB250TAS">#REF!</definedName>
    <definedName name="MB250TS" localSheetId="4">#REF!</definedName>
    <definedName name="MB250TS" localSheetId="9">#REF!</definedName>
    <definedName name="MB250TS" localSheetId="8">#REF!</definedName>
    <definedName name="MB250TS">#REF!</definedName>
    <definedName name="MB250TSS" localSheetId="4">#REF!</definedName>
    <definedName name="MB250TSS" localSheetId="9">#REF!</definedName>
    <definedName name="MB250TSS" localSheetId="8">#REF!</definedName>
    <definedName name="MB250TSS">#REF!</definedName>
    <definedName name="mb400_3" localSheetId="4">[50]Costing!#REF!</definedName>
    <definedName name="mb400_3" localSheetId="9">[50]Costing!#REF!</definedName>
    <definedName name="mb400_3" localSheetId="8">[50]Costing!#REF!</definedName>
    <definedName name="mb400_3">[50]Costing!#REF!</definedName>
    <definedName name="MB400A" localSheetId="4">#REF!</definedName>
    <definedName name="MB400A" localSheetId="9">#REF!</definedName>
    <definedName name="MB400A" localSheetId="8">#REF!</definedName>
    <definedName name="MB400A">#REF!</definedName>
    <definedName name="MB400AS" localSheetId="4">#REF!</definedName>
    <definedName name="MB400AS" localSheetId="9">#REF!</definedName>
    <definedName name="MB400AS" localSheetId="8">#REF!</definedName>
    <definedName name="MB400AS">#REF!</definedName>
    <definedName name="mb400c" localSheetId="4">#REF!</definedName>
    <definedName name="mb400c" localSheetId="9">#REF!</definedName>
    <definedName name="mb400c" localSheetId="8">#REF!</definedName>
    <definedName name="mb400c">#REF!</definedName>
    <definedName name="mb400c1" localSheetId="4">#REF!</definedName>
    <definedName name="mb400c1" localSheetId="9">#REF!</definedName>
    <definedName name="mb400c1" localSheetId="8">#REF!</definedName>
    <definedName name="mb400c1">#REF!</definedName>
    <definedName name="MB400CS" localSheetId="4">#REF!</definedName>
    <definedName name="MB400CS" localSheetId="9">#REF!</definedName>
    <definedName name="MB400CS" localSheetId="8">#REF!</definedName>
    <definedName name="MB400CS">#REF!</definedName>
    <definedName name="mb400e" localSheetId="4">#REF!</definedName>
    <definedName name="mb400e" localSheetId="9">#REF!</definedName>
    <definedName name="mb400e" localSheetId="8">#REF!</definedName>
    <definedName name="mb400e">#REF!</definedName>
    <definedName name="mb400eS" localSheetId="4">#REF!</definedName>
    <definedName name="mb400eS" localSheetId="9">#REF!</definedName>
    <definedName name="mb400eS" localSheetId="8">#REF!</definedName>
    <definedName name="mb400eS">#REF!</definedName>
    <definedName name="mb400f" localSheetId="4">#REF!</definedName>
    <definedName name="mb400f" localSheetId="9">#REF!</definedName>
    <definedName name="mb400f" localSheetId="8">#REF!</definedName>
    <definedName name="mb400f">#REF!</definedName>
    <definedName name="MB400FD">[24]MG!$C$86</definedName>
    <definedName name="mb400ff" localSheetId="4">#REF!</definedName>
    <definedName name="mb400ff" localSheetId="9">#REF!</definedName>
    <definedName name="mb400ff" localSheetId="8">#REF!</definedName>
    <definedName name="mb400ff">#REF!</definedName>
    <definedName name="mb400ffS" localSheetId="4">#REF!</definedName>
    <definedName name="mb400ffS" localSheetId="9">#REF!</definedName>
    <definedName name="mb400ffS" localSheetId="8">#REF!</definedName>
    <definedName name="mb400ffS">#REF!</definedName>
    <definedName name="mb400fg" localSheetId="4">[17]Costing!#REF!</definedName>
    <definedName name="mb400fg" localSheetId="9">[17]Costing!#REF!</definedName>
    <definedName name="mb400fg" localSheetId="8">[17]Costing!#REF!</definedName>
    <definedName name="mb400fg">[17]Costing!#REF!</definedName>
    <definedName name="MB400FS" localSheetId="4">#REF!</definedName>
    <definedName name="MB400FS" localSheetId="9">#REF!</definedName>
    <definedName name="MB400FS" localSheetId="8">#REF!</definedName>
    <definedName name="MB400FS">#REF!</definedName>
    <definedName name="mb400fsS" localSheetId="4">#REF!</definedName>
    <definedName name="mb400fsS" localSheetId="9">#REF!</definedName>
    <definedName name="mb400fsS" localSheetId="8">#REF!</definedName>
    <definedName name="mb400fsS">#REF!</definedName>
    <definedName name="MB400M" localSheetId="4">#REF!</definedName>
    <definedName name="MB400M" localSheetId="9">#REF!</definedName>
    <definedName name="MB400M" localSheetId="8">#REF!</definedName>
    <definedName name="MB400M">#REF!</definedName>
    <definedName name="MB400M1" localSheetId="4">#REF!</definedName>
    <definedName name="MB400M1" localSheetId="9">#REF!</definedName>
    <definedName name="MB400M1" localSheetId="8">#REF!</definedName>
    <definedName name="MB400M1">#REF!</definedName>
    <definedName name="MB400MA" localSheetId="4">#REF!</definedName>
    <definedName name="MB400MA" localSheetId="9">#REF!</definedName>
    <definedName name="MB400MA" localSheetId="8">#REF!</definedName>
    <definedName name="MB400MA">#REF!</definedName>
    <definedName name="MB400MC" localSheetId="4">#REF!</definedName>
    <definedName name="MB400MC" localSheetId="9">#REF!</definedName>
    <definedName name="MB400MC" localSheetId="8">#REF!</definedName>
    <definedName name="MB400MC">#REF!</definedName>
    <definedName name="MB400MCA" localSheetId="4">#REF!</definedName>
    <definedName name="MB400MCA" localSheetId="9">#REF!</definedName>
    <definedName name="MB400MCA" localSheetId="8">#REF!</definedName>
    <definedName name="MB400MCA">#REF!</definedName>
    <definedName name="MB400Ms" localSheetId="4">#REF!</definedName>
    <definedName name="MB400Ms" localSheetId="9">#REF!</definedName>
    <definedName name="MB400Ms" localSheetId="8">#REF!</definedName>
    <definedName name="MB400Ms">#REF!</definedName>
    <definedName name="MB400S" localSheetId="4">#REF!</definedName>
    <definedName name="MB400S" localSheetId="9">#REF!</definedName>
    <definedName name="MB400S" localSheetId="8">#REF!</definedName>
    <definedName name="MB400S">#REF!</definedName>
    <definedName name="MB400SA" localSheetId="4">#REF!</definedName>
    <definedName name="MB400SA" localSheetId="9">#REF!</definedName>
    <definedName name="MB400SA" localSheetId="8">#REF!</definedName>
    <definedName name="MB400SA">#REF!</definedName>
    <definedName name="MB400SS" localSheetId="4">#REF!</definedName>
    <definedName name="MB400SS" localSheetId="9">#REF!</definedName>
    <definedName name="MB400SS" localSheetId="8">#REF!</definedName>
    <definedName name="MB400SS">#REF!</definedName>
    <definedName name="MB400T">[18]Costing!$B$13</definedName>
    <definedName name="mb400t1" localSheetId="4">#REF!</definedName>
    <definedName name="mb400t1" localSheetId="9">#REF!</definedName>
    <definedName name="mb400t1" localSheetId="8">#REF!</definedName>
    <definedName name="mb400t1">#REF!</definedName>
    <definedName name="MB400TA" localSheetId="4">#REF!</definedName>
    <definedName name="MB400TA" localSheetId="9">#REF!</definedName>
    <definedName name="MB400TA" localSheetId="8">#REF!</definedName>
    <definedName name="MB400TA">#REF!</definedName>
    <definedName name="MB400TAS" localSheetId="4">#REF!</definedName>
    <definedName name="MB400TAS" localSheetId="9">#REF!</definedName>
    <definedName name="MB400TAS" localSheetId="8">#REF!</definedName>
    <definedName name="MB400TAS">#REF!</definedName>
    <definedName name="mb400tg" localSheetId="4">[17]Costing!#REF!</definedName>
    <definedName name="mb400tg" localSheetId="9">[17]Costing!#REF!</definedName>
    <definedName name="mb400tg" localSheetId="8">[17]Costing!#REF!</definedName>
    <definedName name="mb400tg">[17]Costing!#REF!</definedName>
    <definedName name="MB400TS" localSheetId="4">#REF!</definedName>
    <definedName name="MB400TS" localSheetId="9">#REF!</definedName>
    <definedName name="MB400TS" localSheetId="8">#REF!</definedName>
    <definedName name="MB400TS">#REF!</definedName>
    <definedName name="MB400TSS" localSheetId="4">#REF!</definedName>
    <definedName name="MB400TSS" localSheetId="9">#REF!</definedName>
    <definedName name="MB400TSS" localSheetId="8">#REF!</definedName>
    <definedName name="MB400TSS">#REF!</definedName>
    <definedName name="MB630A" localSheetId="4">#REF!</definedName>
    <definedName name="MB630A" localSheetId="9">#REF!</definedName>
    <definedName name="MB630A" localSheetId="8">#REF!</definedName>
    <definedName name="MB630A">#REF!</definedName>
    <definedName name="MB630AS" localSheetId="4">#REF!</definedName>
    <definedName name="MB630AS" localSheetId="9">#REF!</definedName>
    <definedName name="MB630AS" localSheetId="8">#REF!</definedName>
    <definedName name="MB630AS">#REF!</definedName>
    <definedName name="mb630d" localSheetId="4">[17]Costing!#REF!</definedName>
    <definedName name="mb630d" localSheetId="9">[17]Costing!#REF!</definedName>
    <definedName name="mb630d" localSheetId="8">[17]Costing!#REF!</definedName>
    <definedName name="mb630d">[17]Costing!#REF!</definedName>
    <definedName name="mb630ds" localSheetId="4">#REF!</definedName>
    <definedName name="mb630ds" localSheetId="9">#REF!</definedName>
    <definedName name="mb630ds" localSheetId="8">#REF!</definedName>
    <definedName name="mb630ds">#REF!</definedName>
    <definedName name="mb630e" localSheetId="4">#REF!</definedName>
    <definedName name="mb630e" localSheetId="9">#REF!</definedName>
    <definedName name="mb630e" localSheetId="8">#REF!</definedName>
    <definedName name="mb630e">#REF!</definedName>
    <definedName name="mb630eS" localSheetId="4">#REF!</definedName>
    <definedName name="mb630eS" localSheetId="9">#REF!</definedName>
    <definedName name="mb630eS" localSheetId="8">#REF!</definedName>
    <definedName name="mb630eS">#REF!</definedName>
    <definedName name="mb630eS\" localSheetId="4">#REF!</definedName>
    <definedName name="mb630eS\" localSheetId="9">#REF!</definedName>
    <definedName name="mb630eS\" localSheetId="8">#REF!</definedName>
    <definedName name="mb630eS\">#REF!</definedName>
    <definedName name="MB630F" localSheetId="4">#REF!</definedName>
    <definedName name="MB630F" localSheetId="9">#REF!</definedName>
    <definedName name="MB630F" localSheetId="8">#REF!</definedName>
    <definedName name="MB630F">#REF!</definedName>
    <definedName name="MB630FA" localSheetId="4">#REF!</definedName>
    <definedName name="MB630FA" localSheetId="9">#REF!</definedName>
    <definedName name="MB630FA" localSheetId="8">#REF!</definedName>
    <definedName name="MB630FA">#REF!</definedName>
    <definedName name="MB630M" localSheetId="4">#REF!</definedName>
    <definedName name="MB630M" localSheetId="9">#REF!</definedName>
    <definedName name="MB630M" localSheetId="8">#REF!</definedName>
    <definedName name="MB630M">#REF!</definedName>
    <definedName name="MB630MA" localSheetId="4">#REF!</definedName>
    <definedName name="MB630MA" localSheetId="9">#REF!</definedName>
    <definedName name="MB630MA" localSheetId="8">#REF!</definedName>
    <definedName name="MB630MA">#REF!</definedName>
    <definedName name="MB630MC" localSheetId="4">#REF!</definedName>
    <definedName name="MB630MC" localSheetId="9">#REF!</definedName>
    <definedName name="MB630MC" localSheetId="8">#REF!</definedName>
    <definedName name="MB630MC">#REF!</definedName>
    <definedName name="MB630MCA" localSheetId="4">#REF!</definedName>
    <definedName name="MB630MCA" localSheetId="9">#REF!</definedName>
    <definedName name="MB630MCA" localSheetId="8">#REF!</definedName>
    <definedName name="MB630MCA">#REF!</definedName>
    <definedName name="MB630S" localSheetId="4">#REF!</definedName>
    <definedName name="MB630S" localSheetId="9">#REF!</definedName>
    <definedName name="MB630S" localSheetId="8">#REF!</definedName>
    <definedName name="MB630S">#REF!</definedName>
    <definedName name="MB630SA" localSheetId="4">#REF!</definedName>
    <definedName name="MB630SA" localSheetId="9">#REF!</definedName>
    <definedName name="MB630SA" localSheetId="8">#REF!</definedName>
    <definedName name="MB630SA">#REF!</definedName>
    <definedName name="MB630SS" localSheetId="4">#REF!</definedName>
    <definedName name="MB630SS" localSheetId="9">#REF!</definedName>
    <definedName name="MB630SS" localSheetId="8">#REF!</definedName>
    <definedName name="MB630SS">#REF!</definedName>
    <definedName name="MB630U" localSheetId="4">#REF!</definedName>
    <definedName name="MB630U" localSheetId="9">#REF!</definedName>
    <definedName name="MB630U" localSheetId="8">#REF!</definedName>
    <definedName name="MB630U">#REF!</definedName>
    <definedName name="MB630UA" localSheetId="4">#REF!</definedName>
    <definedName name="MB630UA" localSheetId="9">#REF!</definedName>
    <definedName name="MB630UA" localSheetId="8">#REF!</definedName>
    <definedName name="MB630UA">#REF!</definedName>
    <definedName name="MB63T" localSheetId="4">#REF!</definedName>
    <definedName name="MB63T" localSheetId="9">#REF!</definedName>
    <definedName name="MB63T" localSheetId="8">#REF!</definedName>
    <definedName name="MB63T">#REF!</definedName>
    <definedName name="mb800_3" localSheetId="4">[50]Costing!#REF!</definedName>
    <definedName name="mb800_3" localSheetId="9">[50]Costing!#REF!</definedName>
    <definedName name="mb800_3" localSheetId="8">[50]Costing!#REF!</definedName>
    <definedName name="mb800_3">[50]Costing!#REF!</definedName>
    <definedName name="MB800A" localSheetId="4">#REF!</definedName>
    <definedName name="MB800A" localSheetId="9">#REF!</definedName>
    <definedName name="MB800A" localSheetId="8">#REF!</definedName>
    <definedName name="MB800A">#REF!</definedName>
    <definedName name="MB800AS" localSheetId="4">#REF!</definedName>
    <definedName name="MB800AS" localSheetId="9">#REF!</definedName>
    <definedName name="MB800AS" localSheetId="8">#REF!</definedName>
    <definedName name="MB800AS">#REF!</definedName>
    <definedName name="MB800F">[16]Cost_any!$B$31</definedName>
    <definedName name="MB800M" localSheetId="4">#REF!</definedName>
    <definedName name="MB800M" localSheetId="9">#REF!</definedName>
    <definedName name="MB800M" localSheetId="8">#REF!</definedName>
    <definedName name="MB800M">#REF!</definedName>
    <definedName name="MB800M1" localSheetId="4">#REF!</definedName>
    <definedName name="MB800M1" localSheetId="9">#REF!</definedName>
    <definedName name="MB800M1" localSheetId="8">#REF!</definedName>
    <definedName name="MB800M1">#REF!</definedName>
    <definedName name="MB800MA" localSheetId="4">#REF!</definedName>
    <definedName name="MB800MA" localSheetId="9">#REF!</definedName>
    <definedName name="MB800MA" localSheetId="8">#REF!</definedName>
    <definedName name="MB800MA">#REF!</definedName>
    <definedName name="MB800S" localSheetId="4">#REF!</definedName>
    <definedName name="MB800S" localSheetId="9">#REF!</definedName>
    <definedName name="MB800S" localSheetId="8">#REF!</definedName>
    <definedName name="MB800S">#REF!</definedName>
    <definedName name="MB800SS" localSheetId="4">#REF!</definedName>
    <definedName name="MB800SS" localSheetId="9">#REF!</definedName>
    <definedName name="MB800SS" localSheetId="8">#REF!</definedName>
    <definedName name="MB800SS">#REF!</definedName>
    <definedName name="MB800T" localSheetId="4">#REF!</definedName>
    <definedName name="MB800T" localSheetId="9">#REF!</definedName>
    <definedName name="MB800T" localSheetId="8">#REF!</definedName>
    <definedName name="MB800T">#REF!</definedName>
    <definedName name="mb800te" localSheetId="4">[17]Costing!#REF!</definedName>
    <definedName name="mb800te" localSheetId="9">[17]Costing!#REF!</definedName>
    <definedName name="mb800te" localSheetId="8">[17]Costing!#REF!</definedName>
    <definedName name="mb800te">[17]Costing!#REF!</definedName>
    <definedName name="mb800teg" localSheetId="4">[17]Costing!#REF!</definedName>
    <definedName name="mb800teg" localSheetId="9">[17]Costing!#REF!</definedName>
    <definedName name="mb800teg" localSheetId="8">[17]Costing!#REF!</definedName>
    <definedName name="mb800teg">[17]Costing!#REF!</definedName>
    <definedName name="mb800tg" localSheetId="4">[17]Costing!#REF!</definedName>
    <definedName name="mb800tg" localSheetId="9">[17]Costing!#REF!</definedName>
    <definedName name="mb800tg" localSheetId="8">[17]Costing!#REF!</definedName>
    <definedName name="mb800tg">[17]Costing!#REF!</definedName>
    <definedName name="Mc" localSheetId="4">[77]Timesheet!#REF!</definedName>
    <definedName name="Mc" localSheetId="9">[77]Timesheet!#REF!</definedName>
    <definedName name="Mc" localSheetId="8">[77]Timesheet!#REF!</definedName>
    <definedName name="Mc">[77]Timesheet!#REF!</definedName>
    <definedName name="Mc_v" localSheetId="4">[77]Timesheet!#REF!</definedName>
    <definedName name="Mc_v" localSheetId="9">[77]Timesheet!#REF!</definedName>
    <definedName name="Mc_v" localSheetId="8">[77]Timesheet!#REF!</definedName>
    <definedName name="Mc_v">[77]Timesheet!#REF!</definedName>
    <definedName name="MC20D" localSheetId="4">#REF!</definedName>
    <definedName name="MC20D" localSheetId="9">#REF!</definedName>
    <definedName name="MC20D" localSheetId="8">#REF!</definedName>
    <definedName name="MC20D">#REF!</definedName>
    <definedName name="MC32F" localSheetId="4">#REF!</definedName>
    <definedName name="MC32F" localSheetId="9">#REF!</definedName>
    <definedName name="MC32F" localSheetId="8">#REF!</definedName>
    <definedName name="MC32F">#REF!</definedName>
    <definedName name="mcb32f" localSheetId="4">#REF!</definedName>
    <definedName name="mcb32f" localSheetId="9">#REF!</definedName>
    <definedName name="mcb32f" localSheetId="8">#REF!</definedName>
    <definedName name="mcb32f">#REF!</definedName>
    <definedName name="MCB32S" localSheetId="4">#REF!</definedName>
    <definedName name="MCB32S" localSheetId="9">#REF!</definedName>
    <definedName name="MCB32S" localSheetId="8">#REF!</definedName>
    <definedName name="MCB32S">#REF!</definedName>
    <definedName name="MCB32T" localSheetId="4">#REF!</definedName>
    <definedName name="MCB32T" localSheetId="9">#REF!</definedName>
    <definedName name="MCB32T" localSheetId="8">#REF!</definedName>
    <definedName name="MCB32T">#REF!</definedName>
    <definedName name="mcb40f" localSheetId="4">#REF!</definedName>
    <definedName name="mcb40f" localSheetId="9">#REF!</definedName>
    <definedName name="mcb40f" localSheetId="8">#REF!</definedName>
    <definedName name="mcb40f">#REF!</definedName>
    <definedName name="MCB4D" localSheetId="4">#REF!</definedName>
    <definedName name="MCB4D" localSheetId="9">#REF!</definedName>
    <definedName name="MCB4D" localSheetId="8">#REF!</definedName>
    <definedName name="MCB4D">#REF!</definedName>
    <definedName name="MCB4F" localSheetId="4">#REF!</definedName>
    <definedName name="MCB4F" localSheetId="9">#REF!</definedName>
    <definedName name="MCB4F" localSheetId="8">#REF!</definedName>
    <definedName name="MCB4F">#REF!</definedName>
    <definedName name="mcb63f" localSheetId="4">#REF!</definedName>
    <definedName name="mcb63f" localSheetId="9">#REF!</definedName>
    <definedName name="mcb63f" localSheetId="8">#REF!</definedName>
    <definedName name="mcb63f">#REF!</definedName>
    <definedName name="MCB63T" localSheetId="4">#REF!</definedName>
    <definedName name="MCB63T" localSheetId="9">#REF!</definedName>
    <definedName name="MCB63T" localSheetId="8">#REF!</definedName>
    <definedName name="MCB63T">#REF!</definedName>
    <definedName name="mcc1_abb_fab" localSheetId="4">[13]Mat_Cost!#REF!</definedName>
    <definedName name="mcc1_abb_fab" localSheetId="9">[13]Mat_Cost!#REF!</definedName>
    <definedName name="mcc1_abb_fab" localSheetId="8">[13]Mat_Cost!#REF!</definedName>
    <definedName name="mcc1_abb_fab">[13]Mat_Cost!#REF!</definedName>
    <definedName name="mcc1_abb_mat" localSheetId="4">[13]Mat_Cost!#REF!</definedName>
    <definedName name="mcc1_abb_mat" localSheetId="9">[13]Mat_Cost!#REF!</definedName>
    <definedName name="mcc1_abb_mat" localSheetId="8">[13]Mat_Cost!#REF!</definedName>
    <definedName name="mcc1_abb_mat">[13]Mat_Cost!#REF!</definedName>
    <definedName name="mcc1_mg_fab" localSheetId="4">[13]Mat_Cost!#REF!</definedName>
    <definedName name="mcc1_mg_fab" localSheetId="9">[13]Mat_Cost!#REF!</definedName>
    <definedName name="mcc1_mg_fab" localSheetId="8">[13]Mat_Cost!#REF!</definedName>
    <definedName name="mcc1_mg_fab">[13]Mat_Cost!#REF!</definedName>
    <definedName name="mcc1_mg_mat" localSheetId="4">[13]Mat_Cost!#REF!</definedName>
    <definedName name="mcc1_mg_mat" localSheetId="9">[13]Mat_Cost!#REF!</definedName>
    <definedName name="mcc1_mg_mat" localSheetId="8">[13]Mat_Cost!#REF!</definedName>
    <definedName name="mcc1_mg_mat">[13]Mat_Cost!#REF!</definedName>
    <definedName name="mcc1a_abb_fab" localSheetId="4">[13]Mat_Cost!#REF!</definedName>
    <definedName name="mcc1a_abb_fab" localSheetId="9">[13]Mat_Cost!#REF!</definedName>
    <definedName name="mcc1a_abb_fab" localSheetId="8">[13]Mat_Cost!#REF!</definedName>
    <definedName name="mcc1a_abb_fab">[13]Mat_Cost!#REF!</definedName>
    <definedName name="mcc1a_abb_mat" localSheetId="4">[13]Mat_Cost!#REF!</definedName>
    <definedName name="mcc1a_abb_mat" localSheetId="9">[13]Mat_Cost!#REF!</definedName>
    <definedName name="mcc1a_abb_mat" localSheetId="8">[13]Mat_Cost!#REF!</definedName>
    <definedName name="mcc1a_abb_mat">[13]Mat_Cost!#REF!</definedName>
    <definedName name="mcc1a_mg_fab" localSheetId="4">[13]Mat_Cost!#REF!</definedName>
    <definedName name="mcc1a_mg_fab" localSheetId="9">[13]Mat_Cost!#REF!</definedName>
    <definedName name="mcc1a_mg_fab" localSheetId="8">[13]Mat_Cost!#REF!</definedName>
    <definedName name="mcc1a_mg_fab">[13]Mat_Cost!#REF!</definedName>
    <definedName name="mcc1a_mg_mat" localSheetId="4">[13]Mat_Cost!#REF!</definedName>
    <definedName name="mcc1a_mg_mat" localSheetId="9">[13]Mat_Cost!#REF!</definedName>
    <definedName name="mcc1a_mg_mat" localSheetId="8">[13]Mat_Cost!#REF!</definedName>
    <definedName name="mcc1a_mg_mat">[13]Mat_Cost!#REF!</definedName>
    <definedName name="mcc2_abb_fab" localSheetId="4">[13]Mat_Cost!#REF!</definedName>
    <definedName name="mcc2_abb_fab" localSheetId="9">[13]Mat_Cost!#REF!</definedName>
    <definedName name="mcc2_abb_fab" localSheetId="8">[13]Mat_Cost!#REF!</definedName>
    <definedName name="mcc2_abb_fab">[13]Mat_Cost!#REF!</definedName>
    <definedName name="mcc2_abb_mat" localSheetId="4">[13]Mat_Cost!#REF!</definedName>
    <definedName name="mcc2_abb_mat" localSheetId="9">[13]Mat_Cost!#REF!</definedName>
    <definedName name="mcc2_abb_mat" localSheetId="8">[13]Mat_Cost!#REF!</definedName>
    <definedName name="mcc2_abb_mat">[13]Mat_Cost!#REF!</definedName>
    <definedName name="mcc2_mg_fab" localSheetId="4">[13]Mat_Cost!#REF!</definedName>
    <definedName name="mcc2_mg_fab" localSheetId="9">[13]Mat_Cost!#REF!</definedName>
    <definedName name="mcc2_mg_fab" localSheetId="8">[13]Mat_Cost!#REF!</definedName>
    <definedName name="mcc2_mg_fab">[13]Mat_Cost!#REF!</definedName>
    <definedName name="mcc2_mg_mat" localSheetId="4">[13]Mat_Cost!#REF!</definedName>
    <definedName name="mcc2_mg_mat" localSheetId="9">[13]Mat_Cost!#REF!</definedName>
    <definedName name="mcc2_mg_mat" localSheetId="8">[13]Mat_Cost!#REF!</definedName>
    <definedName name="mcc2_mg_mat">[13]Mat_Cost!#REF!</definedName>
    <definedName name="mcc3_abb_fab" localSheetId="4">[13]Mat_Cost!#REF!</definedName>
    <definedName name="mcc3_abb_fab" localSheetId="9">[13]Mat_Cost!#REF!</definedName>
    <definedName name="mcc3_abb_fab" localSheetId="8">[13]Mat_Cost!#REF!</definedName>
    <definedName name="mcc3_abb_fab">[13]Mat_Cost!#REF!</definedName>
    <definedName name="mcc3_abb_mat" localSheetId="4">[13]Mat_Cost!#REF!</definedName>
    <definedName name="mcc3_abb_mat" localSheetId="9">[13]Mat_Cost!#REF!</definedName>
    <definedName name="mcc3_abb_mat" localSheetId="8">[13]Mat_Cost!#REF!</definedName>
    <definedName name="mcc3_abb_mat">[13]Mat_Cost!#REF!</definedName>
    <definedName name="mcc3_mg_fab" localSheetId="4">[13]Mat_Cost!#REF!</definedName>
    <definedName name="mcc3_mg_fab" localSheetId="9">[13]Mat_Cost!#REF!</definedName>
    <definedName name="mcc3_mg_fab" localSheetId="8">[13]Mat_Cost!#REF!</definedName>
    <definedName name="mcc3_mg_fab">[13]Mat_Cost!#REF!</definedName>
    <definedName name="mcc3_mg_mat" localSheetId="4">[13]Mat_Cost!#REF!</definedName>
    <definedName name="mcc3_mg_mat" localSheetId="9">[13]Mat_Cost!#REF!</definedName>
    <definedName name="mcc3_mg_mat" localSheetId="8">[13]Mat_Cost!#REF!</definedName>
    <definedName name="mcc3_mg_mat">[13]Mat_Cost!#REF!</definedName>
    <definedName name="MCCB100" localSheetId="4">[13]Cost_Any.!#REF!</definedName>
    <definedName name="MCCB100" localSheetId="9">[13]Cost_Any.!#REF!</definedName>
    <definedName name="MCCB100" localSheetId="8">[13]Cost_Any.!#REF!</definedName>
    <definedName name="MCCB100">[13]Cost_Any.!#REF!</definedName>
    <definedName name="MCCB125" localSheetId="4">[13]Cost_Any.!#REF!</definedName>
    <definedName name="MCCB125" localSheetId="9">[13]Cost_Any.!#REF!</definedName>
    <definedName name="MCCB125" localSheetId="8">[13]Cost_Any.!#REF!</definedName>
    <definedName name="MCCB125">[13]Cost_Any.!#REF!</definedName>
    <definedName name="MCCB200" localSheetId="4">[13]Cost_Any.!#REF!</definedName>
    <definedName name="MCCB200" localSheetId="9">[13]Cost_Any.!#REF!</definedName>
    <definedName name="MCCB200" localSheetId="8">[13]Cost_Any.!#REF!</definedName>
    <definedName name="MCCB200">[13]Cost_Any.!#REF!</definedName>
    <definedName name="MCCB32" localSheetId="4">[13]Cost_Any.!#REF!</definedName>
    <definedName name="MCCB32" localSheetId="9">[13]Cost_Any.!#REF!</definedName>
    <definedName name="MCCB32" localSheetId="8">[13]Cost_Any.!#REF!</definedName>
    <definedName name="MCCB32">[13]Cost_Any.!#REF!</definedName>
    <definedName name="Md" localSheetId="4">[77]Timesheet!#REF!</definedName>
    <definedName name="Md" localSheetId="9">[77]Timesheet!#REF!</definedName>
    <definedName name="Md" localSheetId="8">[77]Timesheet!#REF!</definedName>
    <definedName name="Md">[77]Timesheet!#REF!</definedName>
    <definedName name="MDM" localSheetId="4">#REF!</definedName>
    <definedName name="MDM" localSheetId="9">#REF!</definedName>
    <definedName name="MDM" localSheetId="8">#REF!</definedName>
    <definedName name="MDM">#REF!</definedName>
    <definedName name="MDMK" localSheetId="4">#REF!</definedName>
    <definedName name="MDMK" localSheetId="9">#REF!</definedName>
    <definedName name="MDMK" localSheetId="8">#REF!</definedName>
    <definedName name="MDMK">#REF!</definedName>
    <definedName name="MDMP" localSheetId="4">#REF!</definedName>
    <definedName name="MDMP" localSheetId="9">#REF!</definedName>
    <definedName name="MDMP" localSheetId="8">#REF!</definedName>
    <definedName name="MDMP">#REF!</definedName>
    <definedName name="MDR">[24]MG!$D$214</definedName>
    <definedName name="Mechanical" localSheetId="4">[29]Detail!#REF!</definedName>
    <definedName name="Mechanical" localSheetId="9">[29]Detail!#REF!</definedName>
    <definedName name="Mechanical" localSheetId="8">[29]Detail!#REF!</definedName>
    <definedName name="Mechanical">[29]Detail!#REF!</definedName>
    <definedName name="meest" localSheetId="4">#REF!</definedName>
    <definedName name="meest" localSheetId="9">#REF!</definedName>
    <definedName name="meest" localSheetId="8">#REF!</definedName>
    <definedName name="meest">#REF!</definedName>
    <definedName name="mehead" localSheetId="4">#REF!</definedName>
    <definedName name="mehead" localSheetId="9">#REF!</definedName>
    <definedName name="mehead" localSheetId="8">#REF!</definedName>
    <definedName name="mehead">#REF!</definedName>
    <definedName name="MENU" localSheetId="4">#REF!</definedName>
    <definedName name="MENU" localSheetId="9">#REF!</definedName>
    <definedName name="MENU" localSheetId="8">#REF!</definedName>
    <definedName name="MENU">#REF!</definedName>
    <definedName name="MENU2" localSheetId="4">[1]電気設備表!#REF!</definedName>
    <definedName name="MENU2" localSheetId="9">[1]電気設備表!#REF!</definedName>
    <definedName name="MENU2" localSheetId="8">[1]電気設備表!#REF!</definedName>
    <definedName name="MENU2">[1]電気設備表!#REF!</definedName>
    <definedName name="MENU3" localSheetId="4">[1]電気設備表!#REF!</definedName>
    <definedName name="MENU3" localSheetId="9">[1]電気設備表!#REF!</definedName>
    <definedName name="MENU3" localSheetId="8">[1]電気設備表!#REF!</definedName>
    <definedName name="MENU3">[1]電気設備表!#REF!</definedName>
    <definedName name="MER">'[95]Project Budget Worksheet'!$A$1:$H$106</definedName>
    <definedName name="MF" localSheetId="4">#REF!</definedName>
    <definedName name="MF" localSheetId="9">#REF!</definedName>
    <definedName name="MF" localSheetId="8">#REF!</definedName>
    <definedName name="MF">#REF!</definedName>
    <definedName name="MF___0" localSheetId="4">#REF!</definedName>
    <definedName name="MF___0" localSheetId="9">#REF!</definedName>
    <definedName name="MF___0" localSheetId="8">#REF!</definedName>
    <definedName name="MF___0">#REF!</definedName>
    <definedName name="MF___13" localSheetId="4">#REF!</definedName>
    <definedName name="MF___13" localSheetId="9">#REF!</definedName>
    <definedName name="MF___13" localSheetId="8">#REF!</definedName>
    <definedName name="MF___13">#REF!</definedName>
    <definedName name="mff" localSheetId="4">#REF!</definedName>
    <definedName name="mff" localSheetId="9">#REF!</definedName>
    <definedName name="mff" localSheetId="8">#REF!</definedName>
    <definedName name="mff">#REF!</definedName>
    <definedName name="MG125TPMCCB" localSheetId="4">#REF!</definedName>
    <definedName name="MG125TPMCCB" localSheetId="9">#REF!</definedName>
    <definedName name="MG125TPMCCB" localSheetId="8">#REF!</definedName>
    <definedName name="MG125TPMCCB">#REF!</definedName>
    <definedName name="MG12ACON" localSheetId="4">#REF!</definedName>
    <definedName name="MG12ACON" localSheetId="9">#REF!</definedName>
    <definedName name="MG12ACON" localSheetId="8">#REF!</definedName>
    <definedName name="MG12ACON">#REF!</definedName>
    <definedName name="MG18ACON" localSheetId="4">#REF!</definedName>
    <definedName name="MG18ACON" localSheetId="9">#REF!</definedName>
    <definedName name="MG18ACON" localSheetId="8">#REF!</definedName>
    <definedName name="MG18ACON">#REF!</definedName>
    <definedName name="MG1TO3" localSheetId="4">#REF!</definedName>
    <definedName name="MG1TO3" localSheetId="9">#REF!</definedName>
    <definedName name="MG1TO3" localSheetId="8">#REF!</definedName>
    <definedName name="MG1TO3">#REF!</definedName>
    <definedName name="MG250AMCCB" localSheetId="4">[17]Costing!#REF!</definedName>
    <definedName name="MG250AMCCB" localSheetId="9">[17]Costing!#REF!</definedName>
    <definedName name="MG250AMCCB" localSheetId="8">[17]Costing!#REF!</definedName>
    <definedName name="MG250AMCCB">[17]Costing!#REF!</definedName>
    <definedName name="MG25ACON" localSheetId="4">#REF!</definedName>
    <definedName name="MG25ACON" localSheetId="9">#REF!</definedName>
    <definedName name="MG25ACON" localSheetId="8">#REF!</definedName>
    <definedName name="MG25ACON">#REF!</definedName>
    <definedName name="MG400AMCCB" localSheetId="4">[17]Costing!#REF!</definedName>
    <definedName name="MG400AMCCB" localSheetId="9">[17]Costing!#REF!</definedName>
    <definedName name="MG400AMCCB" localSheetId="8">[17]Costing!#REF!</definedName>
    <definedName name="MG400AMCCB">[17]Costing!#REF!</definedName>
    <definedName name="MG630AMCCB" localSheetId="4">[17]Costing!#REF!</definedName>
    <definedName name="MG630AMCCB" localSheetId="9">[17]Costing!#REF!</definedName>
    <definedName name="MG630AMCCB" localSheetId="8">[17]Costing!#REF!</definedName>
    <definedName name="MG630AMCCB">[17]Costing!#REF!</definedName>
    <definedName name="MG630AMCCBA" localSheetId="4">[17]Costing!#REF!</definedName>
    <definedName name="MG630AMCCBA" localSheetId="9">[17]Costing!#REF!</definedName>
    <definedName name="MG630AMCCBA" localSheetId="8">[17]Costing!#REF!</definedName>
    <definedName name="MG630AMCCBA">[17]Costing!#REF!</definedName>
    <definedName name="MG63AMCCB" localSheetId="4">[17]Costing!#REF!</definedName>
    <definedName name="MG63AMCCB" localSheetId="9">[17]Costing!#REF!</definedName>
    <definedName name="MG63AMCCB" localSheetId="8">[17]Costing!#REF!</definedName>
    <definedName name="MG63AMCCB">[17]Costing!#REF!</definedName>
    <definedName name="MG7.5" localSheetId="4">#REF!</definedName>
    <definedName name="MG7.5" localSheetId="9">#REF!</definedName>
    <definedName name="MG7.5" localSheetId="8">#REF!</definedName>
    <definedName name="MG7.5">#REF!</definedName>
    <definedName name="mg70acon" localSheetId="4">[17]Costing!#REF!</definedName>
    <definedName name="mg70acon" localSheetId="9">[17]Costing!#REF!</definedName>
    <definedName name="mg70acon" localSheetId="8">[17]Costing!#REF!</definedName>
    <definedName name="mg70acon">[17]Costing!#REF!</definedName>
    <definedName name="MG800AMCCB" localSheetId="4">[17]Costing!#REF!</definedName>
    <definedName name="MG800AMCCB" localSheetId="9">[17]Costing!#REF!</definedName>
    <definedName name="MG800AMCCB" localSheetId="8">[17]Costing!#REF!</definedName>
    <definedName name="MG800AMCCB">[17]Costing!#REF!</definedName>
    <definedName name="MG9ACON" localSheetId="4">#REF!</definedName>
    <definedName name="MG9ACON" localSheetId="9">#REF!</definedName>
    <definedName name="MG9ACON" localSheetId="8">#REF!</definedName>
    <definedName name="MG9ACON">#REF!</definedName>
    <definedName name="mgf" localSheetId="4">#REF!</definedName>
    <definedName name="mgf" localSheetId="9">#REF!</definedName>
    <definedName name="mgf" localSheetId="8">#REF!</definedName>
    <definedName name="mgf">#REF!</definedName>
    <definedName name="mgmcc1mat" localSheetId="4">[13]Mat_Cost!#REF!</definedName>
    <definedName name="mgmcc1mat" localSheetId="9">[13]Mat_Cost!#REF!</definedName>
    <definedName name="mgmcc1mat" localSheetId="8">[13]Mat_Cost!#REF!</definedName>
    <definedName name="mgmcc1mat">[13]Mat_Cost!#REF!</definedName>
    <definedName name="Mhpc" localSheetId="4">[77]Timesheet!#REF!:[77]Timesheet!#REF!</definedName>
    <definedName name="Mhpc" localSheetId="9">[77]Timesheet!#REF!:[77]Timesheet!#REF!</definedName>
    <definedName name="Mhpc" localSheetId="8">[77]Timesheet!#REF!:[77]Timesheet!#REF!</definedName>
    <definedName name="Mhpc">[77]Timesheet!#REF!:[77]Timesheet!#REF!</definedName>
    <definedName name="Mhpipd" localSheetId="4">[77]Timesheet!#REF!</definedName>
    <definedName name="Mhpipd" localSheetId="9">[77]Timesheet!#REF!</definedName>
    <definedName name="Mhpipd" localSheetId="8">[77]Timesheet!#REF!</definedName>
    <definedName name="Mhpipd">[77]Timesheet!#REF!</definedName>
    <definedName name="Mhps" localSheetId="4">[77]Timesheet!#REF!</definedName>
    <definedName name="Mhps" localSheetId="9">[77]Timesheet!#REF!</definedName>
    <definedName name="Mhps" localSheetId="8">[77]Timesheet!#REF!</definedName>
    <definedName name="Mhps">[77]Timesheet!#REF!</definedName>
    <definedName name="MI" localSheetId="4">#REF!</definedName>
    <definedName name="MI" localSheetId="9">#REF!</definedName>
    <definedName name="MI" localSheetId="8">#REF!</definedName>
    <definedName name="MI">#REF!</definedName>
    <definedName name="MI_100" localSheetId="4">#REF!</definedName>
    <definedName name="MI_100" localSheetId="9">#REF!</definedName>
    <definedName name="MI_100" localSheetId="8">#REF!</definedName>
    <definedName name="MI_100">#REF!</definedName>
    <definedName name="MI_160" localSheetId="4">#REF!</definedName>
    <definedName name="MI_160" localSheetId="9">#REF!</definedName>
    <definedName name="MI_160" localSheetId="8">#REF!</definedName>
    <definedName name="MI_160">#REF!</definedName>
    <definedName name="MI_250" localSheetId="4">#REF!</definedName>
    <definedName name="MI_250" localSheetId="9">#REF!</definedName>
    <definedName name="MI_250" localSheetId="8">#REF!</definedName>
    <definedName name="MI_250">#REF!</definedName>
    <definedName name="mico3485" localSheetId="4">#REF!</definedName>
    <definedName name="mico3485" localSheetId="9">#REF!</definedName>
    <definedName name="mico3485" localSheetId="8">#REF!</definedName>
    <definedName name="mico3485">#REF!</definedName>
    <definedName name="MIL" localSheetId="4">#REF!</definedName>
    <definedName name="MIL" localSheetId="9">#REF!</definedName>
    <definedName name="MIL" localSheetId="8">#REF!</definedName>
    <definedName name="MIL">#REF!</definedName>
    <definedName name="Mipc" localSheetId="4">[77]Timesheet!#REF!:[77]Timesheet!#REF!</definedName>
    <definedName name="Mipc" localSheetId="9">[77]Timesheet!#REF!:[77]Timesheet!#REF!</definedName>
    <definedName name="Mipc" localSheetId="8">[77]Timesheet!#REF!:[77]Timesheet!#REF!</definedName>
    <definedName name="Mipc">[77]Timesheet!#REF!:[77]Timesheet!#REF!</definedName>
    <definedName name="Mips" localSheetId="4">[77]Timesheet!#REF!</definedName>
    <definedName name="Mips" localSheetId="9">[77]Timesheet!#REF!</definedName>
    <definedName name="Mips" localSheetId="8">[77]Timesheet!#REF!</definedName>
    <definedName name="Mips">[77]Timesheet!#REF!</definedName>
    <definedName name="MIT" localSheetId="4">#REF!</definedName>
    <definedName name="MIT" localSheetId="9">#REF!</definedName>
    <definedName name="MIT" localSheetId="8">#REF!</definedName>
    <definedName name="MIT">#REF!</definedName>
    <definedName name="Mkt" localSheetId="9" hidden="1">{#N/A,#N/A,FALSE,"VARIATIONS";#N/A,#N/A,FALSE,"BUDGET";#N/A,#N/A,FALSE,"CIVIL QNTY VAR";#N/A,#N/A,FALSE,"SUMMARY";#N/A,#N/A,FALSE,"MATERIAL VAR"}</definedName>
    <definedName name="Mkt" localSheetId="0" hidden="1">{#N/A,#N/A,FALSE,"VARIATIONS";#N/A,#N/A,FALSE,"BUDGET";#N/A,#N/A,FALSE,"CIVIL QNTY VAR";#N/A,#N/A,FALSE,"SUMMARY";#N/A,#N/A,FALSE,"MATERIAL VAR"}</definedName>
    <definedName name="Mkt" hidden="1">{#N/A,#N/A,FALSE,"VARIATIONS";#N/A,#N/A,FALSE,"BUDGET";#N/A,#N/A,FALSE,"CIVIL QNTY VAR";#N/A,#N/A,FALSE,"SUMMARY";#N/A,#N/A,FALSE,"MATERIAL VAR"}</definedName>
    <definedName name="ML" localSheetId="4">#REF!</definedName>
    <definedName name="ML" localSheetId="9">#REF!</definedName>
    <definedName name="ML" localSheetId="8">#REF!</definedName>
    <definedName name="ML">#REF!</definedName>
    <definedName name="MLCP" localSheetId="9">City&amp;" "&amp;State</definedName>
    <definedName name="MLCP" localSheetId="0">City&amp;" "&amp;State</definedName>
    <definedName name="MLCP">City&amp;" "&amp;State</definedName>
    <definedName name="MLCP_7" localSheetId="9">City&amp;" "&amp;State</definedName>
    <definedName name="MLCP_7" localSheetId="0">City&amp;" "&amp;State</definedName>
    <definedName name="MLCP_7">City&amp;" "&amp;State</definedName>
    <definedName name="mldl" localSheetId="9" hidden="1">{#N/A,#N/A,FALSE,"VARIATIONS";#N/A,#N/A,FALSE,"BUDGET";#N/A,#N/A,FALSE,"CIVIL QNTY VAR";#N/A,#N/A,FALSE,"SUMMARY";#N/A,#N/A,FALSE,"MATERIAL VAR"}</definedName>
    <definedName name="mldl" localSheetId="0" hidden="1">{#N/A,#N/A,FALSE,"VARIATIONS";#N/A,#N/A,FALSE,"BUDGET";#N/A,#N/A,FALSE,"CIVIL QNTY VAR";#N/A,#N/A,FALSE,"SUMMARY";#N/A,#N/A,FALSE,"MATERIAL VAR"}</definedName>
    <definedName name="mldl" hidden="1">{#N/A,#N/A,FALSE,"VARIATIONS";#N/A,#N/A,FALSE,"BUDGET";#N/A,#N/A,FALSE,"CIVIL QNTY VAR";#N/A,#N/A,FALSE,"SUMMARY";#N/A,#N/A,FALSE,"MATERIAL VAR"}</definedName>
    <definedName name="Mlpc" localSheetId="4">[77]Timesheet!#REF!</definedName>
    <definedName name="Mlpc" localSheetId="9">[77]Timesheet!#REF!</definedName>
    <definedName name="Mlpc" localSheetId="8">[77]Timesheet!#REF!</definedName>
    <definedName name="Mlpc">[77]Timesheet!#REF!</definedName>
    <definedName name="Mlpd" localSheetId="4">[77]Timesheet!#REF!</definedName>
    <definedName name="Mlpd" localSheetId="9">[77]Timesheet!#REF!</definedName>
    <definedName name="Mlpd" localSheetId="8">[77]Timesheet!#REF!</definedName>
    <definedName name="Mlpd">[77]Timesheet!#REF!</definedName>
    <definedName name="Mlps" localSheetId="4">[77]Timesheet!#REF!</definedName>
    <definedName name="Mlps" localSheetId="9">[77]Timesheet!#REF!</definedName>
    <definedName name="Mlps" localSheetId="8">[77]Timesheet!#REF!</definedName>
    <definedName name="Mlps">[77]Timesheet!#REF!</definedName>
    <definedName name="mm" localSheetId="4">#REF!</definedName>
    <definedName name="mm" localSheetId="9">#REF!</definedName>
    <definedName name="mm" localSheetId="8">#REF!</definedName>
    <definedName name="mm">#REF!</definedName>
    <definedName name="MMList" localSheetId="4">#REF!</definedName>
    <definedName name="MMList" localSheetId="9">#REF!</definedName>
    <definedName name="MMList" localSheetId="8">#REF!</definedName>
    <definedName name="MMList">#REF!</definedName>
    <definedName name="MMList1" localSheetId="4">#REF!</definedName>
    <definedName name="MMList1" localSheetId="9">#REF!</definedName>
    <definedName name="MMList1" localSheetId="8">#REF!</definedName>
    <definedName name="MMList1">#REF!</definedName>
    <definedName name="MMList2">'[2]Labour Rate '!$B$4:$B$73</definedName>
    <definedName name="MMList3">'[2](M+L)'!$B$4:$B$1071</definedName>
    <definedName name="MO" localSheetId="4">#REF!</definedName>
    <definedName name="MO" localSheetId="9">#REF!</definedName>
    <definedName name="MO" localSheetId="8">#REF!</definedName>
    <definedName name="MO">#REF!</definedName>
    <definedName name="Mobile_crane" localSheetId="4">#REF!</definedName>
    <definedName name="Mobile_crane" localSheetId="9">#REF!</definedName>
    <definedName name="Mobile_crane" localSheetId="8">#REF!</definedName>
    <definedName name="Mobile_crane">#REF!</definedName>
    <definedName name="Model_Name">[61]Model!$C$4</definedName>
    <definedName name="Money_type" localSheetId="4">#REF!</definedName>
    <definedName name="Money_type" localSheetId="9">#REF!</definedName>
    <definedName name="Money_type" localSheetId="8">#REF!</definedName>
    <definedName name="Money_type">#REF!</definedName>
    <definedName name="MONTH" localSheetId="4">#REF!</definedName>
    <definedName name="MONTH" localSheetId="9">#REF!</definedName>
    <definedName name="MONTH" localSheetId="8">#REF!</definedName>
    <definedName name="MONTH">#REF!</definedName>
    <definedName name="Month1" localSheetId="4">#REF!</definedName>
    <definedName name="Month1" localSheetId="9">#REF!</definedName>
    <definedName name="Month1" localSheetId="8">#REF!</definedName>
    <definedName name="Month1">#REF!</definedName>
    <definedName name="Mot250mccb_a" localSheetId="4">#REF!</definedName>
    <definedName name="Mot250mccb_a" localSheetId="9">#REF!</definedName>
    <definedName name="Mot250mccb_a" localSheetId="8">#REF!</definedName>
    <definedName name="Mot250mccb_a">#REF!</definedName>
    <definedName name="MP" localSheetId="4">#REF!</definedName>
    <definedName name="MP" localSheetId="9">#REF!</definedName>
    <definedName name="MP" localSheetId="8">#REF!</definedName>
    <definedName name="MP">#REF!</definedName>
    <definedName name="MP1.2" localSheetId="4">#REF!</definedName>
    <definedName name="MP1.2" localSheetId="9">#REF!</definedName>
    <definedName name="MP1.2" localSheetId="8">#REF!</definedName>
    <definedName name="MP1.2">#REF!</definedName>
    <definedName name="MP10A" localSheetId="4">#REF!</definedName>
    <definedName name="MP10A" localSheetId="9">#REF!</definedName>
    <definedName name="MP10A" localSheetId="8">#REF!</definedName>
    <definedName name="MP10A">#REF!</definedName>
    <definedName name="MP11A" localSheetId="4">#REF!</definedName>
    <definedName name="MP11A" localSheetId="9">#REF!</definedName>
    <definedName name="MP11A" localSheetId="8">#REF!</definedName>
    <definedName name="MP11A">#REF!</definedName>
    <definedName name="MP11S" localSheetId="4">#REF!</definedName>
    <definedName name="MP11S" localSheetId="9">#REF!</definedName>
    <definedName name="MP11S" localSheetId="8">#REF!</definedName>
    <definedName name="MP11S">#REF!</definedName>
    <definedName name="MP15S" localSheetId="4">#REF!</definedName>
    <definedName name="MP15S" localSheetId="9">#REF!</definedName>
    <definedName name="MP15S" localSheetId="8">#REF!</definedName>
    <definedName name="MP15S">#REF!</definedName>
    <definedName name="MP1A" localSheetId="4">#REF!</definedName>
    <definedName name="MP1A" localSheetId="9">#REF!</definedName>
    <definedName name="MP1A" localSheetId="8">#REF!</definedName>
    <definedName name="MP1A">#REF!</definedName>
    <definedName name="MP2.5" localSheetId="4">#REF!</definedName>
    <definedName name="MP2.5" localSheetId="9">#REF!</definedName>
    <definedName name="MP2.5" localSheetId="8">#REF!</definedName>
    <definedName name="MP2.5">#REF!</definedName>
    <definedName name="MP2.5S" localSheetId="4">#REF!</definedName>
    <definedName name="MP2.5S" localSheetId="9">#REF!</definedName>
    <definedName name="MP2.5S" localSheetId="8">#REF!</definedName>
    <definedName name="MP2.5S">#REF!</definedName>
    <definedName name="MP3.7" localSheetId="4">#REF!</definedName>
    <definedName name="MP3.7" localSheetId="9">#REF!</definedName>
    <definedName name="MP3.7" localSheetId="8">#REF!</definedName>
    <definedName name="MP3.7">#REF!</definedName>
    <definedName name="MP3.7S" localSheetId="4">#REF!</definedName>
    <definedName name="MP3.7S" localSheetId="9">#REF!</definedName>
    <definedName name="MP3.7S" localSheetId="8">#REF!</definedName>
    <definedName name="MP3.7S">#REF!</definedName>
    <definedName name="MP5A" localSheetId="4">#REF!</definedName>
    <definedName name="MP5A" localSheetId="9">#REF!</definedName>
    <definedName name="MP5A" localSheetId="8">#REF!</definedName>
    <definedName name="MP5A">#REF!</definedName>
    <definedName name="MP7.5" localSheetId="4">#REF!</definedName>
    <definedName name="MP7.5" localSheetId="9">#REF!</definedName>
    <definedName name="MP7.5" localSheetId="8">#REF!</definedName>
    <definedName name="MP7.5">#REF!</definedName>
    <definedName name="MP7.5S" localSheetId="4">#REF!</definedName>
    <definedName name="MP7.5S" localSheetId="9">#REF!</definedName>
    <definedName name="MP7.5S" localSheetId="8">#REF!</definedName>
    <definedName name="MP7.5S">#REF!</definedName>
    <definedName name="MPCB15" localSheetId="4">[13]Cost_Any.!#REF!</definedName>
    <definedName name="MPCB15" localSheetId="9">[13]Cost_Any.!#REF!</definedName>
    <definedName name="MPCB15" localSheetId="8">[13]Cost_Any.!#REF!</definedName>
    <definedName name="MPCB15">[13]Cost_Any.!#REF!</definedName>
    <definedName name="MPCB63" localSheetId="4">[13]Cost_Any.!#REF!</definedName>
    <definedName name="MPCB63" localSheetId="9">[13]Cost_Any.!#REF!</definedName>
    <definedName name="MPCB63" localSheetId="8">[13]Cost_Any.!#REF!</definedName>
    <definedName name="MPCB63">[13]Cost_Any.!#REF!</definedName>
    <definedName name="mr10resi" localSheetId="9"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mr10resi"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mr10resi"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mr10residen" localSheetId="9" hidden="1">{#N/A,#N/A,TRUE,"Financials";#N/A,#N/A,TRUE,"Operating Statistics";#N/A,#N/A,TRUE,"Capex &amp; Depreciation";#N/A,#N/A,TRUE,"Debt"}</definedName>
    <definedName name="mr10residen" localSheetId="0" hidden="1">{#N/A,#N/A,TRUE,"Financials";#N/A,#N/A,TRUE,"Operating Statistics";#N/A,#N/A,TRUE,"Capex &amp; Depreciation";#N/A,#N/A,TRUE,"Debt"}</definedName>
    <definedName name="mr10residen" hidden="1">{#N/A,#N/A,TRUE,"Financials";#N/A,#N/A,TRUE,"Operating Statistics";#N/A,#N/A,TRUE,"Capex &amp; Depreciation";#N/A,#N/A,TRUE,"Debt"}</definedName>
    <definedName name="MS_bar" localSheetId="4">#REF!</definedName>
    <definedName name="MS_bar" localSheetId="9">#REF!</definedName>
    <definedName name="MS_bar" localSheetId="8">#REF!</definedName>
    <definedName name="MS_bar">#REF!</definedName>
    <definedName name="MS_bar_6mm" localSheetId="4">#REF!</definedName>
    <definedName name="MS_bar_6mm" localSheetId="9">#REF!</definedName>
    <definedName name="MS_bar_6mm" localSheetId="8">#REF!</definedName>
    <definedName name="MS_bar_6mm">#REF!</definedName>
    <definedName name="MS_Tube_40mm" localSheetId="4">#REF!</definedName>
    <definedName name="MS_Tube_40mm" localSheetId="9">#REF!</definedName>
    <definedName name="MS_Tube_40mm" localSheetId="8">#REF!</definedName>
    <definedName name="MS_Tube_40mm">#REF!</definedName>
    <definedName name="MS200202rev2" localSheetId="4">#REF!</definedName>
    <definedName name="MS200202rev2" localSheetId="9">#REF!</definedName>
    <definedName name="MS200202rev2" localSheetId="8">#REF!</definedName>
    <definedName name="MS200202rev2">#REF!</definedName>
    <definedName name="ms2002may1706" localSheetId="4">#REF!</definedName>
    <definedName name="ms2002may1706" localSheetId="9">#REF!</definedName>
    <definedName name="ms2002may1706" localSheetId="8">#REF!</definedName>
    <definedName name="ms2002may1706">#REF!</definedName>
    <definedName name="MSG" localSheetId="4">#REF!</definedName>
    <definedName name="MSG" localSheetId="9">#REF!</definedName>
    <definedName name="MSG" localSheetId="8">#REF!</definedName>
    <definedName name="MSG">#REF!</definedName>
    <definedName name="msjune1807" localSheetId="4">#REF!</definedName>
    <definedName name="msjune1807" localSheetId="9">#REF!</definedName>
    <definedName name="msjune1807" localSheetId="8">#REF!</definedName>
    <definedName name="msjune1807">#REF!</definedName>
    <definedName name="MT" localSheetId="4">#REF!</definedName>
    <definedName name="MT" localSheetId="9">#REF!</definedName>
    <definedName name="MT" localSheetId="8">#REF!</definedName>
    <definedName name="MT">#REF!</definedName>
    <definedName name="MTV" localSheetId="4">#REF!</definedName>
    <definedName name="MTV" localSheetId="9">#REF!</definedName>
    <definedName name="MTV" localSheetId="8">#REF!</definedName>
    <definedName name="MTV">#REF!</definedName>
    <definedName name="Mural_Tiles" localSheetId="4">#REF!</definedName>
    <definedName name="Mural_Tiles" localSheetId="9">#REF!</definedName>
    <definedName name="Mural_Tiles" localSheetId="8">#REF!</definedName>
    <definedName name="Mural_Tiles">#REF!</definedName>
    <definedName name="n" localSheetId="4">#REF!</definedName>
    <definedName name="n" localSheetId="9">#REF!</definedName>
    <definedName name="n" localSheetId="8">#REF!</definedName>
    <definedName name="n">#REF!</definedName>
    <definedName name="N___0" localSheetId="4">#REF!</definedName>
    <definedName name="N___0" localSheetId="9">#REF!</definedName>
    <definedName name="N___0" localSheetId="8">#REF!</definedName>
    <definedName name="N___0">#REF!</definedName>
    <definedName name="N___13" localSheetId="4">#REF!</definedName>
    <definedName name="N___13" localSheetId="9">#REF!</definedName>
    <definedName name="N___13" localSheetId="8">#REF!</definedName>
    <definedName name="N___13">#REF!</definedName>
    <definedName name="N_S" localSheetId="4">#REF!</definedName>
    <definedName name="N_S" localSheetId="9">#REF!</definedName>
    <definedName name="N_S" localSheetId="8">#REF!</definedName>
    <definedName name="N_S">#REF!</definedName>
    <definedName name="N1FLAT" localSheetId="3">#REF!</definedName>
    <definedName name="N1FLAT" localSheetId="4">#REF!</definedName>
    <definedName name="N1FLAT" localSheetId="9">#REF!</definedName>
    <definedName name="N1FLAT" localSheetId="8">#REF!</definedName>
    <definedName name="N1FLAT">#REF!</definedName>
    <definedName name="n1x" localSheetId="4">#REF!</definedName>
    <definedName name="n1x" localSheetId="9">#REF!</definedName>
    <definedName name="n1x" localSheetId="8">#REF!</definedName>
    <definedName name="n1x">#REF!</definedName>
    <definedName name="n1y" localSheetId="4">#REF!</definedName>
    <definedName name="n1y" localSheetId="9">#REF!</definedName>
    <definedName name="n1y" localSheetId="8">#REF!</definedName>
    <definedName name="n1y">#REF!</definedName>
    <definedName name="n2x" localSheetId="4">#REF!</definedName>
    <definedName name="n2x" localSheetId="9">#REF!</definedName>
    <definedName name="n2x" localSheetId="8">#REF!</definedName>
    <definedName name="n2x">#REF!</definedName>
    <definedName name="n2y" localSheetId="4">#REF!</definedName>
    <definedName name="n2y" localSheetId="9">#REF!</definedName>
    <definedName name="n2y" localSheetId="8">#REF!</definedName>
    <definedName name="n2y">#REF!</definedName>
    <definedName name="N33BR" localSheetId="3">#REF!</definedName>
    <definedName name="N33BR" localSheetId="4">#REF!</definedName>
    <definedName name="N33BR" localSheetId="9">#REF!</definedName>
    <definedName name="N33BR" localSheetId="8">#REF!</definedName>
    <definedName name="N33BR">#REF!</definedName>
    <definedName name="N34BR" localSheetId="3">#REF!</definedName>
    <definedName name="N34BR" localSheetId="4">#REF!</definedName>
    <definedName name="N34BR" localSheetId="9">#REF!</definedName>
    <definedName name="N34BR" localSheetId="8">#REF!</definedName>
    <definedName name="N34BR">#REF!</definedName>
    <definedName name="N3PNA" localSheetId="3">#REF!</definedName>
    <definedName name="N3PNA" localSheetId="4">#REF!</definedName>
    <definedName name="N3PNA" localSheetId="9">#REF!</definedName>
    <definedName name="N3PNA" localSheetId="8">#REF!</definedName>
    <definedName name="N3PNA">#REF!</definedName>
    <definedName name="N3PNB" localSheetId="3">#REF!</definedName>
    <definedName name="N3PNB" localSheetId="4">#REF!</definedName>
    <definedName name="N3PNB" localSheetId="9">#REF!</definedName>
    <definedName name="N3PNB" localSheetId="8">#REF!</definedName>
    <definedName name="N3PNB">#REF!</definedName>
    <definedName name="n5flat" localSheetId="3">#REF!</definedName>
    <definedName name="n5flat" localSheetId="4">#REF!</definedName>
    <definedName name="n5flat" localSheetId="9">#REF!</definedName>
    <definedName name="n5flat" localSheetId="8">#REF!</definedName>
    <definedName name="n5flat">#REF!</definedName>
    <definedName name="n5pent" localSheetId="3">#REF!</definedName>
    <definedName name="n5pent" localSheetId="4">#REF!</definedName>
    <definedName name="n5pent" localSheetId="9">#REF!</definedName>
    <definedName name="n5pent" localSheetId="8">#REF!</definedName>
    <definedName name="n5pent">#REF!</definedName>
    <definedName name="N6FLAT" localSheetId="3">#REF!</definedName>
    <definedName name="N6FLAT" localSheetId="4">#REF!</definedName>
    <definedName name="N6FLAT" localSheetId="9">#REF!</definedName>
    <definedName name="N6FLAT" localSheetId="8">#REF!</definedName>
    <definedName name="N6FLAT">#REF!</definedName>
    <definedName name="N6PENT" localSheetId="3">#REF!</definedName>
    <definedName name="N6PENT" localSheetId="4">#REF!</definedName>
    <definedName name="N6PENT" localSheetId="9">#REF!</definedName>
    <definedName name="N6PENT" localSheetId="8">#REF!</definedName>
    <definedName name="N6PENT">#REF!</definedName>
    <definedName name="NA_1" localSheetId="4">#REF!</definedName>
    <definedName name="NA_1" localSheetId="9">#REF!</definedName>
    <definedName name="NA_1" localSheetId="8">#REF!</definedName>
    <definedName name="NA_1">#REF!</definedName>
    <definedName name="NA_10" localSheetId="4">#REF!</definedName>
    <definedName name="NA_10" localSheetId="9">#REF!</definedName>
    <definedName name="NA_10" localSheetId="8">#REF!</definedName>
    <definedName name="NA_10">#REF!</definedName>
    <definedName name="NA_11" localSheetId="4">#REF!</definedName>
    <definedName name="NA_11" localSheetId="9">#REF!</definedName>
    <definedName name="NA_11" localSheetId="8">#REF!</definedName>
    <definedName name="NA_11">#REF!</definedName>
    <definedName name="NA_12" localSheetId="4">#REF!</definedName>
    <definedName name="NA_12" localSheetId="9">#REF!</definedName>
    <definedName name="NA_12" localSheetId="8">#REF!</definedName>
    <definedName name="NA_12">#REF!</definedName>
    <definedName name="NA_13" localSheetId="4">#REF!</definedName>
    <definedName name="NA_13" localSheetId="9">#REF!</definedName>
    <definedName name="NA_13" localSheetId="8">#REF!</definedName>
    <definedName name="NA_13">#REF!</definedName>
    <definedName name="NA_14" localSheetId="4">#REF!</definedName>
    <definedName name="NA_14" localSheetId="9">#REF!</definedName>
    <definedName name="NA_14" localSheetId="8">#REF!</definedName>
    <definedName name="NA_14">#REF!</definedName>
    <definedName name="NA_16" localSheetId="4">#REF!</definedName>
    <definedName name="NA_16" localSheetId="9">#REF!</definedName>
    <definedName name="NA_16" localSheetId="8">#REF!</definedName>
    <definedName name="NA_16">#REF!</definedName>
    <definedName name="NA_17" localSheetId="4">#REF!</definedName>
    <definedName name="NA_17" localSheetId="9">#REF!</definedName>
    <definedName name="NA_17" localSheetId="8">#REF!</definedName>
    <definedName name="NA_17">#REF!</definedName>
    <definedName name="NA_18" localSheetId="4">#REF!</definedName>
    <definedName name="NA_18" localSheetId="9">#REF!</definedName>
    <definedName name="NA_18" localSheetId="8">#REF!</definedName>
    <definedName name="NA_18">#REF!</definedName>
    <definedName name="NA_19" localSheetId="4">#REF!</definedName>
    <definedName name="NA_19" localSheetId="9">#REF!</definedName>
    <definedName name="NA_19" localSheetId="8">#REF!</definedName>
    <definedName name="NA_19">#REF!</definedName>
    <definedName name="NA_2" localSheetId="4">#REF!</definedName>
    <definedName name="NA_2" localSheetId="9">#REF!</definedName>
    <definedName name="NA_2" localSheetId="8">#REF!</definedName>
    <definedName name="NA_2">#REF!</definedName>
    <definedName name="NA_20" localSheetId="4">#REF!</definedName>
    <definedName name="NA_20" localSheetId="9">#REF!</definedName>
    <definedName name="NA_20" localSheetId="8">#REF!</definedName>
    <definedName name="NA_20">#REF!</definedName>
    <definedName name="NA_21" localSheetId="4">#REF!</definedName>
    <definedName name="NA_21" localSheetId="9">#REF!</definedName>
    <definedName name="NA_21" localSheetId="8">#REF!</definedName>
    <definedName name="NA_21">#REF!</definedName>
    <definedName name="NA_22" localSheetId="4">#REF!</definedName>
    <definedName name="NA_22" localSheetId="9">#REF!</definedName>
    <definedName name="NA_22" localSheetId="8">#REF!</definedName>
    <definedName name="NA_22">#REF!</definedName>
    <definedName name="NA_24" localSheetId="4">#REF!</definedName>
    <definedName name="NA_24" localSheetId="9">#REF!</definedName>
    <definedName name="NA_24" localSheetId="8">#REF!</definedName>
    <definedName name="NA_24">#REF!</definedName>
    <definedName name="NA_25" localSheetId="4">#REF!</definedName>
    <definedName name="NA_25" localSheetId="9">#REF!</definedName>
    <definedName name="NA_25" localSheetId="8">#REF!</definedName>
    <definedName name="NA_25">#REF!</definedName>
    <definedName name="NA_26" localSheetId="4">#REF!</definedName>
    <definedName name="NA_26" localSheetId="9">#REF!</definedName>
    <definedName name="NA_26" localSheetId="8">#REF!</definedName>
    <definedName name="NA_26">#REF!</definedName>
    <definedName name="NA_27" localSheetId="4">#REF!</definedName>
    <definedName name="NA_27" localSheetId="9">#REF!</definedName>
    <definedName name="NA_27" localSheetId="8">#REF!</definedName>
    <definedName name="NA_27">#REF!</definedName>
    <definedName name="NA_28" localSheetId="4">#REF!</definedName>
    <definedName name="NA_28" localSheetId="9">#REF!</definedName>
    <definedName name="NA_28" localSheetId="8">#REF!</definedName>
    <definedName name="NA_28">#REF!</definedName>
    <definedName name="NA_29" localSheetId="4">#REF!</definedName>
    <definedName name="NA_29" localSheetId="9">#REF!</definedName>
    <definedName name="NA_29" localSheetId="8">#REF!</definedName>
    <definedName name="NA_29">#REF!</definedName>
    <definedName name="NA_3" localSheetId="4">#REF!</definedName>
    <definedName name="NA_3" localSheetId="9">#REF!</definedName>
    <definedName name="NA_3" localSheetId="8">#REF!</definedName>
    <definedName name="NA_3">#REF!</definedName>
    <definedName name="NA_5" localSheetId="4">#REF!</definedName>
    <definedName name="NA_5" localSheetId="9">#REF!</definedName>
    <definedName name="NA_5" localSheetId="8">#REF!</definedName>
    <definedName name="NA_5">#REF!</definedName>
    <definedName name="NA_6" localSheetId="4">#REF!</definedName>
    <definedName name="NA_6" localSheetId="9">#REF!</definedName>
    <definedName name="NA_6" localSheetId="8">#REF!</definedName>
    <definedName name="NA_6">#REF!</definedName>
    <definedName name="NA_7" localSheetId="4">#REF!</definedName>
    <definedName name="NA_7" localSheetId="9">#REF!</definedName>
    <definedName name="NA_7" localSheetId="8">#REF!</definedName>
    <definedName name="NA_7">#REF!</definedName>
    <definedName name="NA_8" localSheetId="4">#REF!</definedName>
    <definedName name="NA_8" localSheetId="9">#REF!</definedName>
    <definedName name="NA_8" localSheetId="8">#REF!</definedName>
    <definedName name="NA_8">#REF!</definedName>
    <definedName name="NA_9" localSheetId="4">#REF!</definedName>
    <definedName name="NA_9" localSheetId="9">#REF!</definedName>
    <definedName name="NA_9" localSheetId="8">#REF!</definedName>
    <definedName name="NA_9">#REF!</definedName>
    <definedName name="NAJU" localSheetId="4">[21]見積書!#REF!</definedName>
    <definedName name="NAJU" localSheetId="9">[21]見積書!#REF!</definedName>
    <definedName name="NAJU" localSheetId="8">[21]見積書!#REF!</definedName>
    <definedName name="NAJU">[21]見積書!#REF!</definedName>
    <definedName name="Name">"#REF!"</definedName>
    <definedName name="Name_3" localSheetId="4">#REF!</definedName>
    <definedName name="Name_3" localSheetId="9">#REF!</definedName>
    <definedName name="Name_3" localSheetId="6">#REF!</definedName>
    <definedName name="Name_3" localSheetId="8">#REF!</definedName>
    <definedName name="Name_3">#REF!</definedName>
    <definedName name="name5" localSheetId="4">#REF!</definedName>
    <definedName name="name5" localSheetId="9">#REF!</definedName>
    <definedName name="name5" localSheetId="8">#REF!</definedName>
    <definedName name="name5">#REF!</definedName>
    <definedName name="name6" localSheetId="4">#REF!</definedName>
    <definedName name="name6" localSheetId="9">#REF!</definedName>
    <definedName name="name6" localSheetId="8">#REF!</definedName>
    <definedName name="name6">#REF!</definedName>
    <definedName name="NAMT" localSheetId="4">#REF!</definedName>
    <definedName name="NAMT" localSheetId="9">#REF!</definedName>
    <definedName name="NAMT" localSheetId="8">#REF!</definedName>
    <definedName name="NAMT">#REF!</definedName>
    <definedName name="ND" localSheetId="4">#REF!</definedName>
    <definedName name="ND" localSheetId="9">#REF!</definedName>
    <definedName name="ND" localSheetId="8">#REF!</definedName>
    <definedName name="ND">#REF!</definedName>
    <definedName name="NDR" localSheetId="4">#REF!</definedName>
    <definedName name="NDR" localSheetId="9">#REF!</definedName>
    <definedName name="NDR" localSheetId="8">#REF!</definedName>
    <definedName name="NDR">#REF!</definedName>
    <definedName name="net_cost_list" localSheetId="4">#REF!</definedName>
    <definedName name="net_cost_list" localSheetId="9">#REF!</definedName>
    <definedName name="net_cost_list" localSheetId="8">#REF!</definedName>
    <definedName name="net_cost_list">#REF!</definedName>
    <definedName name="new" localSheetId="4">'[70]INDIGINEOUS ITEMS '!#REF!</definedName>
    <definedName name="new" localSheetId="9">'[70]INDIGINEOUS ITEMS '!#REF!</definedName>
    <definedName name="new" localSheetId="8">'[70]INDIGINEOUS ITEMS '!#REF!</definedName>
    <definedName name="new">'[70]INDIGINEOUS ITEMS '!#REF!</definedName>
    <definedName name="Nitin" hidden="1">'[44]Sheet3 (2)'!$A$60:$A$76</definedName>
    <definedName name="NN" localSheetId="4">#REF!</definedName>
    <definedName name="NN" localSheetId="9">#REF!</definedName>
    <definedName name="NN" localSheetId="8">#REF!</definedName>
    <definedName name="NN">#REF!</definedName>
    <definedName name="NN___0" localSheetId="4">#REF!</definedName>
    <definedName name="NN___0" localSheetId="9">#REF!</definedName>
    <definedName name="NN___0" localSheetId="8">#REF!</definedName>
    <definedName name="NN___0">#REF!</definedName>
    <definedName name="NN___13" localSheetId="4">#REF!</definedName>
    <definedName name="NN___13" localSheetId="9">#REF!</definedName>
    <definedName name="NN___13" localSheetId="8">#REF!</definedName>
    <definedName name="NN___13">#REF!</definedName>
    <definedName name="nonmodular" localSheetId="4">#REF!</definedName>
    <definedName name="nonmodular" localSheetId="9">#REF!</definedName>
    <definedName name="nonmodular" localSheetId="8">#REF!</definedName>
    <definedName name="nonmodular">#REF!</definedName>
    <definedName name="nonmodular_4" localSheetId="4">#REF!</definedName>
    <definedName name="nonmodular_4" localSheetId="9">#REF!</definedName>
    <definedName name="nonmodular_4" localSheetId="8">#REF!</definedName>
    <definedName name="nonmodular_4">#REF!</definedName>
    <definedName name="nonmodular_6" localSheetId="4">#REF!</definedName>
    <definedName name="nonmodular_6" localSheetId="9">#REF!</definedName>
    <definedName name="nonmodular_6" localSheetId="8">#REF!</definedName>
    <definedName name="nonmodular_6">#REF!</definedName>
    <definedName name="NorthAndSouth">[64]INDEX!$D$67:$G$69,[64]INDEX!$D$72:$G$74</definedName>
    <definedName name="NS" localSheetId="4">#REF!</definedName>
    <definedName name="NS" localSheetId="9">#REF!</definedName>
    <definedName name="NS" localSheetId="8">#REF!</definedName>
    <definedName name="NS">#REF!</definedName>
    <definedName name="NSSR1" localSheetId="4">#REF!</definedName>
    <definedName name="NSSR1" localSheetId="9">#REF!</definedName>
    <definedName name="NSSR1" localSheetId="8">#REF!</definedName>
    <definedName name="NSSR1">#REF!</definedName>
    <definedName name="NSSR10" localSheetId="4">#REF!</definedName>
    <definedName name="NSSR10" localSheetId="9">#REF!</definedName>
    <definedName name="NSSR10" localSheetId="8">#REF!</definedName>
    <definedName name="NSSR10">#REF!</definedName>
    <definedName name="NSSR100" localSheetId="4">#REF!</definedName>
    <definedName name="NSSR100" localSheetId="9">#REF!</definedName>
    <definedName name="NSSR100" localSheetId="8">#REF!</definedName>
    <definedName name="NSSR100">#REF!</definedName>
    <definedName name="NSSR101" localSheetId="4">#REF!</definedName>
    <definedName name="NSSR101" localSheetId="9">#REF!</definedName>
    <definedName name="NSSR101" localSheetId="8">#REF!</definedName>
    <definedName name="NSSR101">#REF!</definedName>
    <definedName name="NSSR102" localSheetId="4">#REF!</definedName>
    <definedName name="NSSR102" localSheetId="9">#REF!</definedName>
    <definedName name="NSSR102" localSheetId="8">#REF!</definedName>
    <definedName name="NSSR102">#REF!</definedName>
    <definedName name="NSSR103" localSheetId="4">#REF!</definedName>
    <definedName name="NSSR103" localSheetId="9">#REF!</definedName>
    <definedName name="NSSR103" localSheetId="8">#REF!</definedName>
    <definedName name="NSSR103">#REF!</definedName>
    <definedName name="NSSR104" localSheetId="4">#REF!</definedName>
    <definedName name="NSSR104" localSheetId="9">#REF!</definedName>
    <definedName name="NSSR104" localSheetId="8">#REF!</definedName>
    <definedName name="NSSR104">#REF!</definedName>
    <definedName name="NSSR105" localSheetId="4">#REF!</definedName>
    <definedName name="NSSR105" localSheetId="9">#REF!</definedName>
    <definedName name="NSSR105" localSheetId="8">#REF!</definedName>
    <definedName name="NSSR105">#REF!</definedName>
    <definedName name="NSSR106" localSheetId="4">#REF!</definedName>
    <definedName name="NSSR106" localSheetId="9">#REF!</definedName>
    <definedName name="NSSR106" localSheetId="8">#REF!</definedName>
    <definedName name="NSSR106">#REF!</definedName>
    <definedName name="NSSR107" localSheetId="4">#REF!</definedName>
    <definedName name="NSSR107" localSheetId="9">#REF!</definedName>
    <definedName name="NSSR107" localSheetId="8">#REF!</definedName>
    <definedName name="NSSR107">#REF!</definedName>
    <definedName name="NSSR108" localSheetId="4">#REF!</definedName>
    <definedName name="NSSR108" localSheetId="9">#REF!</definedName>
    <definedName name="NSSR108" localSheetId="8">#REF!</definedName>
    <definedName name="NSSR108">#REF!</definedName>
    <definedName name="NSSR109" localSheetId="4">#REF!</definedName>
    <definedName name="NSSR109" localSheetId="9">#REF!</definedName>
    <definedName name="NSSR109" localSheetId="8">#REF!</definedName>
    <definedName name="NSSR109">#REF!</definedName>
    <definedName name="NSSR11" localSheetId="4">#REF!</definedName>
    <definedName name="NSSR11" localSheetId="9">#REF!</definedName>
    <definedName name="NSSR11" localSheetId="8">#REF!</definedName>
    <definedName name="NSSR11">#REF!</definedName>
    <definedName name="NSSR110" localSheetId="4">#REF!</definedName>
    <definedName name="NSSR110" localSheetId="9">#REF!</definedName>
    <definedName name="NSSR110" localSheetId="8">#REF!</definedName>
    <definedName name="NSSR110">#REF!</definedName>
    <definedName name="NSSR111" localSheetId="4">#REF!</definedName>
    <definedName name="NSSR111" localSheetId="9">#REF!</definedName>
    <definedName name="NSSR111" localSheetId="8">#REF!</definedName>
    <definedName name="NSSR111">#REF!</definedName>
    <definedName name="NSSR112" localSheetId="4">#REF!</definedName>
    <definedName name="NSSR112" localSheetId="9">#REF!</definedName>
    <definedName name="NSSR112" localSheetId="8">#REF!</definedName>
    <definedName name="NSSR112">#REF!</definedName>
    <definedName name="NSSR113" localSheetId="4">#REF!</definedName>
    <definedName name="NSSR113" localSheetId="9">#REF!</definedName>
    <definedName name="NSSR113" localSheetId="8">#REF!</definedName>
    <definedName name="NSSR113">#REF!</definedName>
    <definedName name="NSSR114" localSheetId="4">#REF!</definedName>
    <definedName name="NSSR114" localSheetId="9">#REF!</definedName>
    <definedName name="NSSR114" localSheetId="8">#REF!</definedName>
    <definedName name="NSSR114">#REF!</definedName>
    <definedName name="NSSR115" localSheetId="4">#REF!</definedName>
    <definedName name="NSSR115" localSheetId="9">#REF!</definedName>
    <definedName name="NSSR115" localSheetId="8">#REF!</definedName>
    <definedName name="NSSR115">#REF!</definedName>
    <definedName name="NSSR116" localSheetId="4">#REF!</definedName>
    <definedName name="NSSR116" localSheetId="9">#REF!</definedName>
    <definedName name="NSSR116" localSheetId="8">#REF!</definedName>
    <definedName name="NSSR116">#REF!</definedName>
    <definedName name="NSSR117" localSheetId="4">#REF!</definedName>
    <definedName name="NSSR117" localSheetId="9">#REF!</definedName>
    <definedName name="NSSR117" localSheetId="8">#REF!</definedName>
    <definedName name="NSSR117">#REF!</definedName>
    <definedName name="NSSR118" localSheetId="4">#REF!</definedName>
    <definedName name="NSSR118" localSheetId="9">#REF!</definedName>
    <definedName name="NSSR118" localSheetId="8">#REF!</definedName>
    <definedName name="NSSR118">#REF!</definedName>
    <definedName name="NSSR119" localSheetId="4">#REF!</definedName>
    <definedName name="NSSR119" localSheetId="9">#REF!</definedName>
    <definedName name="NSSR119" localSheetId="8">#REF!</definedName>
    <definedName name="NSSR119">#REF!</definedName>
    <definedName name="NSSR12" localSheetId="4">#REF!</definedName>
    <definedName name="NSSR12" localSheetId="9">#REF!</definedName>
    <definedName name="NSSR12" localSheetId="8">#REF!</definedName>
    <definedName name="NSSR12">#REF!</definedName>
    <definedName name="NSSR120" localSheetId="4">#REF!</definedName>
    <definedName name="NSSR120" localSheetId="9">#REF!</definedName>
    <definedName name="NSSR120" localSheetId="8">#REF!</definedName>
    <definedName name="NSSR120">#REF!</definedName>
    <definedName name="NSSR121" localSheetId="4">#REF!</definedName>
    <definedName name="NSSR121" localSheetId="9">#REF!</definedName>
    <definedName name="NSSR121" localSheetId="8">#REF!</definedName>
    <definedName name="NSSR121">#REF!</definedName>
    <definedName name="NSSR122" localSheetId="4">#REF!</definedName>
    <definedName name="NSSR122" localSheetId="9">#REF!</definedName>
    <definedName name="NSSR122" localSheetId="8">#REF!</definedName>
    <definedName name="NSSR122">#REF!</definedName>
    <definedName name="NSSR123" localSheetId="4">#REF!</definedName>
    <definedName name="NSSR123" localSheetId="9">#REF!</definedName>
    <definedName name="NSSR123" localSheetId="8">#REF!</definedName>
    <definedName name="NSSR123">#REF!</definedName>
    <definedName name="NSSR124" localSheetId="4">#REF!</definedName>
    <definedName name="NSSR124" localSheetId="9">#REF!</definedName>
    <definedName name="NSSR124" localSheetId="8">#REF!</definedName>
    <definedName name="NSSR124">#REF!</definedName>
    <definedName name="NSSR125" localSheetId="4">#REF!</definedName>
    <definedName name="NSSR125" localSheetId="9">#REF!</definedName>
    <definedName name="NSSR125" localSheetId="8">#REF!</definedName>
    <definedName name="NSSR125">#REF!</definedName>
    <definedName name="NSSR126" localSheetId="4">#REF!</definedName>
    <definedName name="NSSR126" localSheetId="9">#REF!</definedName>
    <definedName name="NSSR126" localSheetId="8">#REF!</definedName>
    <definedName name="NSSR126">#REF!</definedName>
    <definedName name="NSSR127" localSheetId="4">#REF!</definedName>
    <definedName name="NSSR127" localSheetId="9">#REF!</definedName>
    <definedName name="NSSR127" localSheetId="8">#REF!</definedName>
    <definedName name="NSSR127">#REF!</definedName>
    <definedName name="NSSR128" localSheetId="4">#REF!</definedName>
    <definedName name="NSSR128" localSheetId="9">#REF!</definedName>
    <definedName name="NSSR128" localSheetId="8">#REF!</definedName>
    <definedName name="NSSR128">#REF!</definedName>
    <definedName name="NSSR129" localSheetId="4">#REF!</definedName>
    <definedName name="NSSR129" localSheetId="9">#REF!</definedName>
    <definedName name="NSSR129" localSheetId="8">#REF!</definedName>
    <definedName name="NSSR129">#REF!</definedName>
    <definedName name="NSSR13" localSheetId="4">#REF!</definedName>
    <definedName name="NSSR13" localSheetId="9">#REF!</definedName>
    <definedName name="NSSR13" localSheetId="8">#REF!</definedName>
    <definedName name="NSSR13">#REF!</definedName>
    <definedName name="NSSR130" localSheetId="4">#REF!</definedName>
    <definedName name="NSSR130" localSheetId="9">#REF!</definedName>
    <definedName name="NSSR130" localSheetId="8">#REF!</definedName>
    <definedName name="NSSR130">#REF!</definedName>
    <definedName name="NSSR131" localSheetId="4">#REF!</definedName>
    <definedName name="NSSR131" localSheetId="9">#REF!</definedName>
    <definedName name="NSSR131" localSheetId="8">#REF!</definedName>
    <definedName name="NSSR131">#REF!</definedName>
    <definedName name="NSSR132" localSheetId="4">#REF!</definedName>
    <definedName name="NSSR132" localSheetId="9">#REF!</definedName>
    <definedName name="NSSR132" localSheetId="8">#REF!</definedName>
    <definedName name="NSSR132">#REF!</definedName>
    <definedName name="NSSR133" localSheetId="4">#REF!</definedName>
    <definedName name="NSSR133" localSheetId="9">#REF!</definedName>
    <definedName name="NSSR133" localSheetId="8">#REF!</definedName>
    <definedName name="NSSR133">#REF!</definedName>
    <definedName name="NSSR134" localSheetId="4">#REF!</definedName>
    <definedName name="NSSR134" localSheetId="9">#REF!</definedName>
    <definedName name="NSSR134" localSheetId="8">#REF!</definedName>
    <definedName name="NSSR134">#REF!</definedName>
    <definedName name="NSSR135" localSheetId="4">#REF!</definedName>
    <definedName name="NSSR135" localSheetId="9">#REF!</definedName>
    <definedName name="NSSR135" localSheetId="8">#REF!</definedName>
    <definedName name="NSSR135">#REF!</definedName>
    <definedName name="NSSR136" localSheetId="4">#REF!</definedName>
    <definedName name="NSSR136" localSheetId="9">#REF!</definedName>
    <definedName name="NSSR136" localSheetId="8">#REF!</definedName>
    <definedName name="NSSR136">#REF!</definedName>
    <definedName name="NSSR137" localSheetId="4">#REF!</definedName>
    <definedName name="NSSR137" localSheetId="9">#REF!</definedName>
    <definedName name="NSSR137" localSheetId="8">#REF!</definedName>
    <definedName name="NSSR137">#REF!</definedName>
    <definedName name="NSSR138" localSheetId="4">#REF!</definedName>
    <definedName name="NSSR138" localSheetId="9">#REF!</definedName>
    <definedName name="NSSR138" localSheetId="8">#REF!</definedName>
    <definedName name="NSSR138">#REF!</definedName>
    <definedName name="NSSR139" localSheetId="4">#REF!</definedName>
    <definedName name="NSSR139" localSheetId="9">#REF!</definedName>
    <definedName name="NSSR139" localSheetId="8">#REF!</definedName>
    <definedName name="NSSR139">#REF!</definedName>
    <definedName name="NSSR14" localSheetId="4">#REF!</definedName>
    <definedName name="NSSR14" localSheetId="9">#REF!</definedName>
    <definedName name="NSSR14" localSheetId="8">#REF!</definedName>
    <definedName name="NSSR14">#REF!</definedName>
    <definedName name="NSSR140" localSheetId="4">#REF!</definedName>
    <definedName name="NSSR140" localSheetId="9">#REF!</definedName>
    <definedName name="NSSR140" localSheetId="8">#REF!</definedName>
    <definedName name="NSSR140">#REF!</definedName>
    <definedName name="NSSR141" localSheetId="4">#REF!</definedName>
    <definedName name="NSSR141" localSheetId="9">#REF!</definedName>
    <definedName name="NSSR141" localSheetId="8">#REF!</definedName>
    <definedName name="NSSR141">#REF!</definedName>
    <definedName name="NSSR142" localSheetId="4">#REF!</definedName>
    <definedName name="NSSR142" localSheetId="9">#REF!</definedName>
    <definedName name="NSSR142" localSheetId="8">#REF!</definedName>
    <definedName name="NSSR142">#REF!</definedName>
    <definedName name="NSSR143" localSheetId="4">#REF!</definedName>
    <definedName name="NSSR143" localSheetId="9">#REF!</definedName>
    <definedName name="NSSR143" localSheetId="8">#REF!</definedName>
    <definedName name="NSSR143">#REF!</definedName>
    <definedName name="NSSR144" localSheetId="4">#REF!</definedName>
    <definedName name="NSSR144" localSheetId="9">#REF!</definedName>
    <definedName name="NSSR144" localSheetId="8">#REF!</definedName>
    <definedName name="NSSR144">#REF!</definedName>
    <definedName name="NSSR145" localSheetId="4">#REF!</definedName>
    <definedName name="NSSR145" localSheetId="9">#REF!</definedName>
    <definedName name="NSSR145" localSheetId="8">#REF!</definedName>
    <definedName name="NSSR145">#REF!</definedName>
    <definedName name="NSSR146" localSheetId="4">#REF!</definedName>
    <definedName name="NSSR146" localSheetId="9">#REF!</definedName>
    <definedName name="NSSR146" localSheetId="8">#REF!</definedName>
    <definedName name="NSSR146">#REF!</definedName>
    <definedName name="NSSR147" localSheetId="4">#REF!</definedName>
    <definedName name="NSSR147" localSheetId="9">#REF!</definedName>
    <definedName name="NSSR147" localSheetId="8">#REF!</definedName>
    <definedName name="NSSR147">#REF!</definedName>
    <definedName name="NSSR148" localSheetId="4">#REF!</definedName>
    <definedName name="NSSR148" localSheetId="9">#REF!</definedName>
    <definedName name="NSSR148" localSheetId="8">#REF!</definedName>
    <definedName name="NSSR148">#REF!</definedName>
    <definedName name="NSSR149" localSheetId="4">#REF!</definedName>
    <definedName name="NSSR149" localSheetId="9">#REF!</definedName>
    <definedName name="NSSR149" localSheetId="8">#REF!</definedName>
    <definedName name="NSSR149">#REF!</definedName>
    <definedName name="NSSR15" localSheetId="4">#REF!</definedName>
    <definedName name="NSSR15" localSheetId="9">#REF!</definedName>
    <definedName name="NSSR15" localSheetId="8">#REF!</definedName>
    <definedName name="NSSR15">#REF!</definedName>
    <definedName name="NSSR150" localSheetId="4">#REF!</definedName>
    <definedName name="NSSR150" localSheetId="9">#REF!</definedName>
    <definedName name="NSSR150" localSheetId="8">#REF!</definedName>
    <definedName name="NSSR150">#REF!</definedName>
    <definedName name="NSSR151" localSheetId="4">#REF!</definedName>
    <definedName name="NSSR151" localSheetId="9">#REF!</definedName>
    <definedName name="NSSR151" localSheetId="8">#REF!</definedName>
    <definedName name="NSSR151">#REF!</definedName>
    <definedName name="NSSR152" localSheetId="4">#REF!</definedName>
    <definedName name="NSSR152" localSheetId="9">#REF!</definedName>
    <definedName name="NSSR152" localSheetId="8">#REF!</definedName>
    <definedName name="NSSR152">#REF!</definedName>
    <definedName name="NSSR153" localSheetId="4">#REF!</definedName>
    <definedName name="NSSR153" localSheetId="9">#REF!</definedName>
    <definedName name="NSSR153" localSheetId="8">#REF!</definedName>
    <definedName name="NSSR153">#REF!</definedName>
    <definedName name="NSSR154" localSheetId="4">#REF!</definedName>
    <definedName name="NSSR154" localSheetId="9">#REF!</definedName>
    <definedName name="NSSR154" localSheetId="8">#REF!</definedName>
    <definedName name="NSSR154">#REF!</definedName>
    <definedName name="NSSR155" localSheetId="4">#REF!</definedName>
    <definedName name="NSSR155" localSheetId="9">#REF!</definedName>
    <definedName name="NSSR155" localSheetId="8">#REF!</definedName>
    <definedName name="NSSR155">#REF!</definedName>
    <definedName name="NSSR156" localSheetId="4">#REF!</definedName>
    <definedName name="NSSR156" localSheetId="9">#REF!</definedName>
    <definedName name="NSSR156" localSheetId="8">#REF!</definedName>
    <definedName name="NSSR156">#REF!</definedName>
    <definedName name="NSSR157" localSheetId="4">#REF!</definedName>
    <definedName name="NSSR157" localSheetId="9">#REF!</definedName>
    <definedName name="NSSR157" localSheetId="8">#REF!</definedName>
    <definedName name="NSSR157">#REF!</definedName>
    <definedName name="NSSR158" localSheetId="4">#REF!</definedName>
    <definedName name="NSSR158" localSheetId="9">#REF!</definedName>
    <definedName name="NSSR158" localSheetId="8">#REF!</definedName>
    <definedName name="NSSR158">#REF!</definedName>
    <definedName name="NSSR159" localSheetId="4">#REF!</definedName>
    <definedName name="NSSR159" localSheetId="9">#REF!</definedName>
    <definedName name="NSSR159" localSheetId="8">#REF!</definedName>
    <definedName name="NSSR159">#REF!</definedName>
    <definedName name="NSSR16" localSheetId="4">#REF!</definedName>
    <definedName name="NSSR16" localSheetId="9">#REF!</definedName>
    <definedName name="NSSR16" localSheetId="8">#REF!</definedName>
    <definedName name="NSSR16">#REF!</definedName>
    <definedName name="NSSR160" localSheetId="4">#REF!</definedName>
    <definedName name="NSSR160" localSheetId="9">#REF!</definedName>
    <definedName name="NSSR160" localSheetId="8">#REF!</definedName>
    <definedName name="NSSR160">#REF!</definedName>
    <definedName name="NSSR161" localSheetId="4">#REF!</definedName>
    <definedName name="NSSR161" localSheetId="9">#REF!</definedName>
    <definedName name="NSSR161" localSheetId="8">#REF!</definedName>
    <definedName name="NSSR161">#REF!</definedName>
    <definedName name="NSSR162" localSheetId="4">#REF!</definedName>
    <definedName name="NSSR162" localSheetId="9">#REF!</definedName>
    <definedName name="NSSR162" localSheetId="8">#REF!</definedName>
    <definedName name="NSSR162">#REF!</definedName>
    <definedName name="NSSR163" localSheetId="4">#REF!</definedName>
    <definedName name="NSSR163" localSheetId="9">#REF!</definedName>
    <definedName name="NSSR163" localSheetId="8">#REF!</definedName>
    <definedName name="NSSR163">#REF!</definedName>
    <definedName name="NSSR164" localSheetId="4">#REF!</definedName>
    <definedName name="NSSR164" localSheetId="9">#REF!</definedName>
    <definedName name="NSSR164" localSheetId="8">#REF!</definedName>
    <definedName name="NSSR164">#REF!</definedName>
    <definedName name="NSSR165" localSheetId="4">#REF!</definedName>
    <definedName name="NSSR165" localSheetId="9">#REF!</definedName>
    <definedName name="NSSR165" localSheetId="8">#REF!</definedName>
    <definedName name="NSSR165">#REF!</definedName>
    <definedName name="NSSR166" localSheetId="4">#REF!</definedName>
    <definedName name="NSSR166" localSheetId="9">#REF!</definedName>
    <definedName name="NSSR166" localSheetId="8">#REF!</definedName>
    <definedName name="NSSR166">#REF!</definedName>
    <definedName name="NSSR167" localSheetId="4">#REF!</definedName>
    <definedName name="NSSR167" localSheetId="9">#REF!</definedName>
    <definedName name="NSSR167" localSheetId="8">#REF!</definedName>
    <definedName name="NSSR167">#REF!</definedName>
    <definedName name="NSSR168" localSheetId="4">#REF!</definedName>
    <definedName name="NSSR168" localSheetId="9">#REF!</definedName>
    <definedName name="NSSR168" localSheetId="8">#REF!</definedName>
    <definedName name="NSSR168">#REF!</definedName>
    <definedName name="NSSR169" localSheetId="4">#REF!</definedName>
    <definedName name="NSSR169" localSheetId="9">#REF!</definedName>
    <definedName name="NSSR169" localSheetId="8">#REF!</definedName>
    <definedName name="NSSR169">#REF!</definedName>
    <definedName name="NSSR17" localSheetId="4">#REF!</definedName>
    <definedName name="NSSR17" localSheetId="9">#REF!</definedName>
    <definedName name="NSSR17" localSheetId="8">#REF!</definedName>
    <definedName name="NSSR17">#REF!</definedName>
    <definedName name="NSSR170" localSheetId="4">#REF!</definedName>
    <definedName name="NSSR170" localSheetId="9">#REF!</definedName>
    <definedName name="NSSR170" localSheetId="8">#REF!</definedName>
    <definedName name="NSSR170">#REF!</definedName>
    <definedName name="NSSR171" localSheetId="4">#REF!</definedName>
    <definedName name="NSSR171" localSheetId="9">#REF!</definedName>
    <definedName name="NSSR171" localSheetId="8">#REF!</definedName>
    <definedName name="NSSR171">#REF!</definedName>
    <definedName name="NSSR172" localSheetId="4">#REF!</definedName>
    <definedName name="NSSR172" localSheetId="9">#REF!</definedName>
    <definedName name="NSSR172" localSheetId="8">#REF!</definedName>
    <definedName name="NSSR172">#REF!</definedName>
    <definedName name="NSSR173" localSheetId="4">#REF!</definedName>
    <definedName name="NSSR173" localSheetId="9">#REF!</definedName>
    <definedName name="NSSR173" localSheetId="8">#REF!</definedName>
    <definedName name="NSSR173">#REF!</definedName>
    <definedName name="NSSR174" localSheetId="4">#REF!</definedName>
    <definedName name="NSSR174" localSheetId="9">#REF!</definedName>
    <definedName name="NSSR174" localSheetId="8">#REF!</definedName>
    <definedName name="NSSR174">#REF!</definedName>
    <definedName name="NSSR18" localSheetId="4">#REF!</definedName>
    <definedName name="NSSR18" localSheetId="9">#REF!</definedName>
    <definedName name="NSSR18" localSheetId="8">#REF!</definedName>
    <definedName name="NSSR18">#REF!</definedName>
    <definedName name="NSSR19" localSheetId="4">#REF!</definedName>
    <definedName name="NSSR19" localSheetId="9">#REF!</definedName>
    <definedName name="NSSR19" localSheetId="8">#REF!</definedName>
    <definedName name="NSSR19">#REF!</definedName>
    <definedName name="NSSR2" localSheetId="4">#REF!</definedName>
    <definedName name="NSSR2" localSheetId="9">#REF!</definedName>
    <definedName name="NSSR2" localSheetId="8">#REF!</definedName>
    <definedName name="NSSR2">#REF!</definedName>
    <definedName name="NSSR20" localSheetId="4">#REF!</definedName>
    <definedName name="NSSR20" localSheetId="9">#REF!</definedName>
    <definedName name="NSSR20" localSheetId="8">#REF!</definedName>
    <definedName name="NSSR20">#REF!</definedName>
    <definedName name="NSSR21" localSheetId="4">#REF!</definedName>
    <definedName name="NSSR21" localSheetId="9">#REF!</definedName>
    <definedName name="NSSR21" localSheetId="8">#REF!</definedName>
    <definedName name="NSSR21">#REF!</definedName>
    <definedName name="NSSR22" localSheetId="4">#REF!</definedName>
    <definedName name="NSSR22" localSheetId="9">#REF!</definedName>
    <definedName name="NSSR22" localSheetId="8">#REF!</definedName>
    <definedName name="NSSR22">#REF!</definedName>
    <definedName name="NSSR23" localSheetId="4">#REF!</definedName>
    <definedName name="NSSR23" localSheetId="9">#REF!</definedName>
    <definedName name="NSSR23" localSheetId="8">#REF!</definedName>
    <definedName name="NSSR23">#REF!</definedName>
    <definedName name="NSSR24" localSheetId="4">#REF!</definedName>
    <definedName name="NSSR24" localSheetId="9">#REF!</definedName>
    <definedName name="NSSR24" localSheetId="8">#REF!</definedName>
    <definedName name="NSSR24">#REF!</definedName>
    <definedName name="NSSR25" localSheetId="4">#REF!</definedName>
    <definedName name="NSSR25" localSheetId="9">#REF!</definedName>
    <definedName name="NSSR25" localSheetId="8">#REF!</definedName>
    <definedName name="NSSR25">#REF!</definedName>
    <definedName name="NSSR26" localSheetId="4">#REF!</definedName>
    <definedName name="NSSR26" localSheetId="9">#REF!</definedName>
    <definedName name="NSSR26" localSheetId="8">#REF!</definedName>
    <definedName name="NSSR26">#REF!</definedName>
    <definedName name="NSSR27" localSheetId="4">#REF!</definedName>
    <definedName name="NSSR27" localSheetId="9">#REF!</definedName>
    <definedName name="NSSR27" localSheetId="8">#REF!</definedName>
    <definedName name="NSSR27">#REF!</definedName>
    <definedName name="NSSR28" localSheetId="4">#REF!</definedName>
    <definedName name="NSSR28" localSheetId="9">#REF!</definedName>
    <definedName name="NSSR28" localSheetId="8">#REF!</definedName>
    <definedName name="NSSR28">#REF!</definedName>
    <definedName name="NSSR29" localSheetId="4">#REF!</definedName>
    <definedName name="NSSR29" localSheetId="9">#REF!</definedName>
    <definedName name="NSSR29" localSheetId="8">#REF!</definedName>
    <definedName name="NSSR29">#REF!</definedName>
    <definedName name="NSSR3" localSheetId="4">#REF!</definedName>
    <definedName name="NSSR3" localSheetId="9">#REF!</definedName>
    <definedName name="NSSR3" localSheetId="8">#REF!</definedName>
    <definedName name="NSSR3">#REF!</definedName>
    <definedName name="NSSR30" localSheetId="4">#REF!</definedName>
    <definedName name="NSSR30" localSheetId="9">#REF!</definedName>
    <definedName name="NSSR30" localSheetId="8">#REF!</definedName>
    <definedName name="NSSR30">#REF!</definedName>
    <definedName name="NSSR31" localSheetId="4">#REF!</definedName>
    <definedName name="NSSR31" localSheetId="9">#REF!</definedName>
    <definedName name="NSSR31" localSheetId="8">#REF!</definedName>
    <definedName name="NSSR31">#REF!</definedName>
    <definedName name="NSSR32" localSheetId="4">#REF!</definedName>
    <definedName name="NSSR32" localSheetId="9">#REF!</definedName>
    <definedName name="NSSR32" localSheetId="8">#REF!</definedName>
    <definedName name="NSSR32">#REF!</definedName>
    <definedName name="NSSR33" localSheetId="4">#REF!</definedName>
    <definedName name="NSSR33" localSheetId="9">#REF!</definedName>
    <definedName name="NSSR33" localSheetId="8">#REF!</definedName>
    <definedName name="NSSR33">#REF!</definedName>
    <definedName name="NSSR34" localSheetId="4">#REF!</definedName>
    <definedName name="NSSR34" localSheetId="9">#REF!</definedName>
    <definedName name="NSSR34" localSheetId="8">#REF!</definedName>
    <definedName name="NSSR34">#REF!</definedName>
    <definedName name="NSSR35" localSheetId="4">#REF!</definedName>
    <definedName name="NSSR35" localSheetId="9">#REF!</definedName>
    <definedName name="NSSR35" localSheetId="8">#REF!</definedName>
    <definedName name="NSSR35">#REF!</definedName>
    <definedName name="NSSR36" localSheetId="4">#REF!</definedName>
    <definedName name="NSSR36" localSheetId="9">#REF!</definedName>
    <definedName name="NSSR36" localSheetId="8">#REF!</definedName>
    <definedName name="NSSR36">#REF!</definedName>
    <definedName name="NSSR37" localSheetId="4">#REF!</definedName>
    <definedName name="NSSR37" localSheetId="9">#REF!</definedName>
    <definedName name="NSSR37" localSheetId="8">#REF!</definedName>
    <definedName name="NSSR37">#REF!</definedName>
    <definedName name="NSSR38" localSheetId="4">#REF!</definedName>
    <definedName name="NSSR38" localSheetId="9">#REF!</definedName>
    <definedName name="NSSR38" localSheetId="8">#REF!</definedName>
    <definedName name="NSSR38">#REF!</definedName>
    <definedName name="NSSR39" localSheetId="4">#REF!</definedName>
    <definedName name="NSSR39" localSheetId="9">#REF!</definedName>
    <definedName name="NSSR39" localSheetId="8">#REF!</definedName>
    <definedName name="NSSR39">#REF!</definedName>
    <definedName name="NSSR4" localSheetId="4">#REF!</definedName>
    <definedName name="NSSR4" localSheetId="9">#REF!</definedName>
    <definedName name="NSSR4" localSheetId="8">#REF!</definedName>
    <definedName name="NSSR4">#REF!</definedName>
    <definedName name="NSSR40" localSheetId="4">#REF!</definedName>
    <definedName name="NSSR40" localSheetId="9">#REF!</definedName>
    <definedName name="NSSR40" localSheetId="8">#REF!</definedName>
    <definedName name="NSSR40">#REF!</definedName>
    <definedName name="NSSR41" localSheetId="4">#REF!</definedName>
    <definedName name="NSSR41" localSheetId="9">#REF!</definedName>
    <definedName name="NSSR41" localSheetId="8">#REF!</definedName>
    <definedName name="NSSR41">#REF!</definedName>
    <definedName name="NSSR42" localSheetId="4">#REF!</definedName>
    <definedName name="NSSR42" localSheetId="9">#REF!</definedName>
    <definedName name="NSSR42" localSheetId="8">#REF!</definedName>
    <definedName name="NSSR42">#REF!</definedName>
    <definedName name="NSSR43" localSheetId="4">#REF!</definedName>
    <definedName name="NSSR43" localSheetId="9">#REF!</definedName>
    <definedName name="NSSR43" localSheetId="8">#REF!</definedName>
    <definedName name="NSSR43">#REF!</definedName>
    <definedName name="NSSR44" localSheetId="4">#REF!</definedName>
    <definedName name="NSSR44" localSheetId="9">#REF!</definedName>
    <definedName name="NSSR44" localSheetId="8">#REF!</definedName>
    <definedName name="NSSR44">#REF!</definedName>
    <definedName name="NSSR45" localSheetId="4">#REF!</definedName>
    <definedName name="NSSR45" localSheetId="9">#REF!</definedName>
    <definedName name="NSSR45" localSheetId="8">#REF!</definedName>
    <definedName name="NSSR45">#REF!</definedName>
    <definedName name="NSSR46" localSheetId="4">#REF!</definedName>
    <definedName name="NSSR46" localSheetId="9">#REF!</definedName>
    <definedName name="NSSR46" localSheetId="8">#REF!</definedName>
    <definedName name="NSSR46">#REF!</definedName>
    <definedName name="NSSR47" localSheetId="4">#REF!</definedName>
    <definedName name="NSSR47" localSheetId="9">#REF!</definedName>
    <definedName name="NSSR47" localSheetId="8">#REF!</definedName>
    <definedName name="NSSR47">#REF!</definedName>
    <definedName name="NSSR48" localSheetId="4">#REF!</definedName>
    <definedName name="NSSR48" localSheetId="9">#REF!</definedName>
    <definedName name="NSSR48" localSheetId="8">#REF!</definedName>
    <definedName name="NSSR48">#REF!</definedName>
    <definedName name="NSSR49" localSheetId="4">#REF!</definedName>
    <definedName name="NSSR49" localSheetId="9">#REF!</definedName>
    <definedName name="NSSR49" localSheetId="8">#REF!</definedName>
    <definedName name="NSSR49">#REF!</definedName>
    <definedName name="NSSR5" localSheetId="4">#REF!</definedName>
    <definedName name="NSSR5" localSheetId="9">#REF!</definedName>
    <definedName name="NSSR5" localSheetId="8">#REF!</definedName>
    <definedName name="NSSR5">#REF!</definedName>
    <definedName name="NSSR50" localSheetId="4">#REF!</definedName>
    <definedName name="NSSR50" localSheetId="9">#REF!</definedName>
    <definedName name="NSSR50" localSheetId="8">#REF!</definedName>
    <definedName name="NSSR50">#REF!</definedName>
    <definedName name="NSSR51" localSheetId="4">#REF!</definedName>
    <definedName name="NSSR51" localSheetId="9">#REF!</definedName>
    <definedName name="NSSR51" localSheetId="8">#REF!</definedName>
    <definedName name="NSSR51">#REF!</definedName>
    <definedName name="NSSR52" localSheetId="4">#REF!</definedName>
    <definedName name="NSSR52" localSheetId="9">#REF!</definedName>
    <definedName name="NSSR52" localSheetId="8">#REF!</definedName>
    <definedName name="NSSR52">#REF!</definedName>
    <definedName name="NSSR53" localSheetId="4">#REF!</definedName>
    <definedName name="NSSR53" localSheetId="9">#REF!</definedName>
    <definedName name="NSSR53" localSheetId="8">#REF!</definedName>
    <definedName name="NSSR53">#REF!</definedName>
    <definedName name="NSSR54" localSheetId="4">#REF!</definedName>
    <definedName name="NSSR54" localSheetId="9">#REF!</definedName>
    <definedName name="NSSR54" localSheetId="8">#REF!</definedName>
    <definedName name="NSSR54">#REF!</definedName>
    <definedName name="NSSR55" localSheetId="4">#REF!</definedName>
    <definedName name="NSSR55" localSheetId="9">#REF!</definedName>
    <definedName name="NSSR55" localSheetId="8">#REF!</definedName>
    <definedName name="NSSR55">#REF!</definedName>
    <definedName name="NSSR56" localSheetId="4">#REF!</definedName>
    <definedName name="NSSR56" localSheetId="9">#REF!</definedName>
    <definedName name="NSSR56" localSheetId="8">#REF!</definedName>
    <definedName name="NSSR56">#REF!</definedName>
    <definedName name="NSSR57" localSheetId="4">#REF!</definedName>
    <definedName name="NSSR57" localSheetId="9">#REF!</definedName>
    <definedName name="NSSR57" localSheetId="8">#REF!</definedName>
    <definedName name="NSSR57">#REF!</definedName>
    <definedName name="NSSR58" localSheetId="4">#REF!</definedName>
    <definedName name="NSSR58" localSheetId="9">#REF!</definedName>
    <definedName name="NSSR58" localSheetId="8">#REF!</definedName>
    <definedName name="NSSR58">#REF!</definedName>
    <definedName name="NSSR59" localSheetId="4">#REF!</definedName>
    <definedName name="NSSR59" localSheetId="9">#REF!</definedName>
    <definedName name="NSSR59" localSheetId="8">#REF!</definedName>
    <definedName name="NSSR59">#REF!</definedName>
    <definedName name="NSSR6" localSheetId="4">#REF!</definedName>
    <definedName name="NSSR6" localSheetId="9">#REF!</definedName>
    <definedName name="NSSR6" localSheetId="8">#REF!</definedName>
    <definedName name="NSSR6">#REF!</definedName>
    <definedName name="NSSR60" localSheetId="4">#REF!</definedName>
    <definedName name="NSSR60" localSheetId="9">#REF!</definedName>
    <definedName name="NSSR60" localSheetId="8">#REF!</definedName>
    <definedName name="NSSR60">#REF!</definedName>
    <definedName name="NSSR61" localSheetId="4">#REF!</definedName>
    <definedName name="NSSR61" localSheetId="9">#REF!</definedName>
    <definedName name="NSSR61" localSheetId="8">#REF!</definedName>
    <definedName name="NSSR61">#REF!</definedName>
    <definedName name="NSSR62" localSheetId="4">#REF!</definedName>
    <definedName name="NSSR62" localSheetId="9">#REF!</definedName>
    <definedName name="NSSR62" localSheetId="8">#REF!</definedName>
    <definedName name="NSSR62">#REF!</definedName>
    <definedName name="NSSR63" localSheetId="4">#REF!</definedName>
    <definedName name="NSSR63" localSheetId="9">#REF!</definedName>
    <definedName name="NSSR63" localSheetId="8">#REF!</definedName>
    <definedName name="NSSR63">#REF!</definedName>
    <definedName name="NSSR64" localSheetId="4">#REF!</definedName>
    <definedName name="NSSR64" localSheetId="9">#REF!</definedName>
    <definedName name="NSSR64" localSheetId="8">#REF!</definedName>
    <definedName name="NSSR64">#REF!</definedName>
    <definedName name="NSSR65" localSheetId="4">#REF!</definedName>
    <definedName name="NSSR65" localSheetId="9">#REF!</definedName>
    <definedName name="NSSR65" localSheetId="8">#REF!</definedName>
    <definedName name="NSSR65">#REF!</definedName>
    <definedName name="NSSR66" localSheetId="4">#REF!</definedName>
    <definedName name="NSSR66" localSheetId="9">#REF!</definedName>
    <definedName name="NSSR66" localSheetId="8">#REF!</definedName>
    <definedName name="NSSR66">#REF!</definedName>
    <definedName name="NSSR67" localSheetId="4">#REF!</definedName>
    <definedName name="NSSR67" localSheetId="9">#REF!</definedName>
    <definedName name="NSSR67" localSheetId="8">#REF!</definedName>
    <definedName name="NSSR67">#REF!</definedName>
    <definedName name="NSSR68" localSheetId="4">#REF!</definedName>
    <definedName name="NSSR68" localSheetId="9">#REF!</definedName>
    <definedName name="NSSR68" localSheetId="8">#REF!</definedName>
    <definedName name="NSSR68">#REF!</definedName>
    <definedName name="NSSR69" localSheetId="4">#REF!</definedName>
    <definedName name="NSSR69" localSheetId="9">#REF!</definedName>
    <definedName name="NSSR69" localSheetId="8">#REF!</definedName>
    <definedName name="NSSR69">#REF!</definedName>
    <definedName name="NSSR7" localSheetId="4">#REF!</definedName>
    <definedName name="NSSR7" localSheetId="9">#REF!</definedName>
    <definedName name="NSSR7" localSheetId="8">#REF!</definedName>
    <definedName name="NSSR7">#REF!</definedName>
    <definedName name="NSSR70" localSheetId="4">#REF!</definedName>
    <definedName name="NSSR70" localSheetId="9">#REF!</definedName>
    <definedName name="NSSR70" localSheetId="8">#REF!</definedName>
    <definedName name="NSSR70">#REF!</definedName>
    <definedName name="NSSR71" localSheetId="4">#REF!</definedName>
    <definedName name="NSSR71" localSheetId="9">#REF!</definedName>
    <definedName name="NSSR71" localSheetId="8">#REF!</definedName>
    <definedName name="NSSR71">#REF!</definedName>
    <definedName name="NSSR72" localSheetId="4">#REF!</definedName>
    <definedName name="NSSR72" localSheetId="9">#REF!</definedName>
    <definedName name="NSSR72" localSheetId="8">#REF!</definedName>
    <definedName name="NSSR72">#REF!</definedName>
    <definedName name="NSSR73" localSheetId="4">#REF!</definedName>
    <definedName name="NSSR73" localSheetId="9">#REF!</definedName>
    <definedName name="NSSR73" localSheetId="8">#REF!</definedName>
    <definedName name="NSSR73">#REF!</definedName>
    <definedName name="NSSR74" localSheetId="4">#REF!</definedName>
    <definedName name="NSSR74" localSheetId="9">#REF!</definedName>
    <definedName name="NSSR74" localSheetId="8">#REF!</definedName>
    <definedName name="NSSR74">#REF!</definedName>
    <definedName name="NSSR75" localSheetId="4">#REF!</definedName>
    <definedName name="NSSR75" localSheetId="9">#REF!</definedName>
    <definedName name="NSSR75" localSheetId="8">#REF!</definedName>
    <definedName name="NSSR75">#REF!</definedName>
    <definedName name="NSSR76" localSheetId="4">#REF!</definedName>
    <definedName name="NSSR76" localSheetId="9">#REF!</definedName>
    <definedName name="NSSR76" localSheetId="8">#REF!</definedName>
    <definedName name="NSSR76">#REF!</definedName>
    <definedName name="NSSR77" localSheetId="4">#REF!</definedName>
    <definedName name="NSSR77" localSheetId="9">#REF!</definedName>
    <definedName name="NSSR77" localSheetId="8">#REF!</definedName>
    <definedName name="NSSR77">#REF!</definedName>
    <definedName name="NSSR78" localSheetId="4">#REF!</definedName>
    <definedName name="NSSR78" localSheetId="9">#REF!</definedName>
    <definedName name="NSSR78" localSheetId="8">#REF!</definedName>
    <definedName name="NSSR78">#REF!</definedName>
    <definedName name="NSSR79" localSheetId="4">#REF!</definedName>
    <definedName name="NSSR79" localSheetId="9">#REF!</definedName>
    <definedName name="NSSR79" localSheetId="8">#REF!</definedName>
    <definedName name="NSSR79">#REF!</definedName>
    <definedName name="NSSR8" localSheetId="4">#REF!</definedName>
    <definedName name="NSSR8" localSheetId="9">#REF!</definedName>
    <definedName name="NSSR8" localSheetId="8">#REF!</definedName>
    <definedName name="NSSR8">#REF!</definedName>
    <definedName name="NSSR80" localSheetId="4">#REF!</definedName>
    <definedName name="NSSR80" localSheetId="9">#REF!</definedName>
    <definedName name="NSSR80" localSheetId="8">#REF!</definedName>
    <definedName name="NSSR80">#REF!</definedName>
    <definedName name="NSSR81" localSheetId="4">#REF!</definedName>
    <definedName name="NSSR81" localSheetId="9">#REF!</definedName>
    <definedName name="NSSR81" localSheetId="8">#REF!</definedName>
    <definedName name="NSSR81">#REF!</definedName>
    <definedName name="NSSR82" localSheetId="4">#REF!</definedName>
    <definedName name="NSSR82" localSheetId="9">#REF!</definedName>
    <definedName name="NSSR82" localSheetId="8">#REF!</definedName>
    <definedName name="NSSR82">#REF!</definedName>
    <definedName name="NSSR83" localSheetId="4">#REF!</definedName>
    <definedName name="NSSR83" localSheetId="9">#REF!</definedName>
    <definedName name="NSSR83" localSheetId="8">#REF!</definedName>
    <definedName name="NSSR83">#REF!</definedName>
    <definedName name="NSSR84" localSheetId="4">#REF!</definedName>
    <definedName name="NSSR84" localSheetId="9">#REF!</definedName>
    <definedName name="NSSR84" localSheetId="8">#REF!</definedName>
    <definedName name="NSSR84">#REF!</definedName>
    <definedName name="NSSR85" localSheetId="4">#REF!</definedName>
    <definedName name="NSSR85" localSheetId="9">#REF!</definedName>
    <definedName name="NSSR85" localSheetId="8">#REF!</definedName>
    <definedName name="NSSR85">#REF!</definedName>
    <definedName name="NSSR86" localSheetId="4">#REF!</definedName>
    <definedName name="NSSR86" localSheetId="9">#REF!</definedName>
    <definedName name="NSSR86" localSheetId="8">#REF!</definedName>
    <definedName name="NSSR86">#REF!</definedName>
    <definedName name="NSSR87" localSheetId="4">#REF!</definedName>
    <definedName name="NSSR87" localSheetId="9">#REF!</definedName>
    <definedName name="NSSR87" localSheetId="8">#REF!</definedName>
    <definedName name="NSSR87">#REF!</definedName>
    <definedName name="NSSR88" localSheetId="4">#REF!</definedName>
    <definedName name="NSSR88" localSheetId="9">#REF!</definedName>
    <definedName name="NSSR88" localSheetId="8">#REF!</definedName>
    <definedName name="NSSR88">#REF!</definedName>
    <definedName name="NSSR89" localSheetId="4">#REF!</definedName>
    <definedName name="NSSR89" localSheetId="9">#REF!</definedName>
    <definedName name="NSSR89" localSheetId="8">#REF!</definedName>
    <definedName name="NSSR89">#REF!</definedName>
    <definedName name="NSSR9" localSheetId="4">#REF!</definedName>
    <definedName name="NSSR9" localSheetId="9">#REF!</definedName>
    <definedName name="NSSR9" localSheetId="8">#REF!</definedName>
    <definedName name="NSSR9">#REF!</definedName>
    <definedName name="NSSR90" localSheetId="4">#REF!</definedName>
    <definedName name="NSSR90" localSheetId="9">#REF!</definedName>
    <definedName name="NSSR90" localSheetId="8">#REF!</definedName>
    <definedName name="NSSR90">#REF!</definedName>
    <definedName name="NSSR91" localSheetId="4">#REF!</definedName>
    <definedName name="NSSR91" localSheetId="9">#REF!</definedName>
    <definedName name="NSSR91" localSheetId="8">#REF!</definedName>
    <definedName name="NSSR91">#REF!</definedName>
    <definedName name="NSSR92" localSheetId="4">#REF!</definedName>
    <definedName name="NSSR92" localSheetId="9">#REF!</definedName>
    <definedName name="NSSR92" localSheetId="8">#REF!</definedName>
    <definedName name="NSSR92">#REF!</definedName>
    <definedName name="NSSR93" localSheetId="4">#REF!</definedName>
    <definedName name="NSSR93" localSheetId="9">#REF!</definedName>
    <definedName name="NSSR93" localSheetId="8">#REF!</definedName>
    <definedName name="NSSR93">#REF!</definedName>
    <definedName name="NSSR94" localSheetId="4">#REF!</definedName>
    <definedName name="NSSR94" localSheetId="9">#REF!</definedName>
    <definedName name="NSSR94" localSheetId="8">#REF!</definedName>
    <definedName name="NSSR94">#REF!</definedName>
    <definedName name="NSSR95" localSheetId="4">#REF!</definedName>
    <definedName name="NSSR95" localSheetId="9">#REF!</definedName>
    <definedName name="NSSR95" localSheetId="8">#REF!</definedName>
    <definedName name="NSSR95">#REF!</definedName>
    <definedName name="NSSR96" localSheetId="4">#REF!</definedName>
    <definedName name="NSSR96" localSheetId="9">#REF!</definedName>
    <definedName name="NSSR96" localSheetId="8">#REF!</definedName>
    <definedName name="NSSR96">#REF!</definedName>
    <definedName name="NSSR97" localSheetId="4">#REF!</definedName>
    <definedName name="NSSR97" localSheetId="9">#REF!</definedName>
    <definedName name="NSSR97" localSheetId="8">#REF!</definedName>
    <definedName name="NSSR97">#REF!</definedName>
    <definedName name="NSSR98" localSheetId="4">#REF!</definedName>
    <definedName name="NSSR98" localSheetId="9">#REF!</definedName>
    <definedName name="NSSR98" localSheetId="8">#REF!</definedName>
    <definedName name="NSSR98">#REF!</definedName>
    <definedName name="NSSR99" localSheetId="4">#REF!</definedName>
    <definedName name="NSSR99" localSheetId="9">#REF!</definedName>
    <definedName name="NSSR99" localSheetId="8">#REF!</definedName>
    <definedName name="NSSR99">#REF!</definedName>
    <definedName name="nt" localSheetId="4">#REF!</definedName>
    <definedName name="nt" localSheetId="9">#REF!</definedName>
    <definedName name="nt" localSheetId="8">#REF!</definedName>
    <definedName name="nt">#REF!</definedName>
    <definedName name="NTI" localSheetId="4">[63]Design!#REF!</definedName>
    <definedName name="NTI" localSheetId="9">[63]Design!#REF!</definedName>
    <definedName name="NTI" localSheetId="8">[63]Design!#REF!</definedName>
    <definedName name="NTI">[63]Design!#REF!</definedName>
    <definedName name="numf" localSheetId="4">#REF!</definedName>
    <definedName name="numf" localSheetId="9">#REF!</definedName>
    <definedName name="numf" localSheetId="8">#REF!</definedName>
    <definedName name="numf">#REF!</definedName>
    <definedName name="NW" localSheetId="4">#REF!</definedName>
    <definedName name="NW" localSheetId="9">#REF!</definedName>
    <definedName name="NW" localSheetId="8">#REF!</definedName>
    <definedName name="NW">#REF!</definedName>
    <definedName name="Nx" localSheetId="4">#REF!</definedName>
    <definedName name="Nx" localSheetId="9">#REF!</definedName>
    <definedName name="Nx" localSheetId="8">#REF!</definedName>
    <definedName name="Nx">#REF!</definedName>
    <definedName name="Nx___0" localSheetId="4">#REF!</definedName>
    <definedName name="Nx___0" localSheetId="9">#REF!</definedName>
    <definedName name="Nx___0" localSheetId="8">#REF!</definedName>
    <definedName name="Nx___0">#REF!</definedName>
    <definedName name="Nx___13" localSheetId="4">#REF!</definedName>
    <definedName name="Nx___13" localSheetId="9">#REF!</definedName>
    <definedName name="Nx___13" localSheetId="8">#REF!</definedName>
    <definedName name="Nx___13">#REF!</definedName>
    <definedName name="Ny" localSheetId="4">#REF!</definedName>
    <definedName name="Ny" localSheetId="9">#REF!</definedName>
    <definedName name="Ny" localSheetId="8">#REF!</definedName>
    <definedName name="Ny">#REF!</definedName>
    <definedName name="Ny___0" localSheetId="4">#REF!</definedName>
    <definedName name="Ny___0" localSheetId="9">#REF!</definedName>
    <definedName name="Ny___0" localSheetId="8">#REF!</definedName>
    <definedName name="Ny___0">#REF!</definedName>
    <definedName name="Ny___13" localSheetId="4">#REF!</definedName>
    <definedName name="Ny___13" localSheetId="9">#REF!</definedName>
    <definedName name="Ny___13" localSheetId="8">#REF!</definedName>
    <definedName name="Ny___13">#REF!</definedName>
    <definedName name="o" localSheetId="9" hidden="1">{#N/A,#N/A,FALSE,"VARIATIONS";#N/A,#N/A,FALSE,"BUDGET";#N/A,#N/A,FALSE,"CIVIL QNTY VAR";#N/A,#N/A,FALSE,"SUMMARY";#N/A,#N/A,FALSE,"MATERIAL VAR"}</definedName>
    <definedName name="o" localSheetId="0" hidden="1">{#N/A,#N/A,FALSE,"VARIATIONS";#N/A,#N/A,FALSE,"BUDGET";#N/A,#N/A,FALSE,"CIVIL QNTY VAR";#N/A,#N/A,FALSE,"SUMMARY";#N/A,#N/A,FALSE,"MATERIAL VAR"}</definedName>
    <definedName name="o" hidden="1">{#N/A,#N/A,FALSE,"VARIATIONS";#N/A,#N/A,FALSE,"BUDGET";#N/A,#N/A,FALSE,"CIVIL QNTY VAR";#N/A,#N/A,FALSE,"SUMMARY";#N/A,#N/A,FALSE,"MATERIAL VAR"}</definedName>
    <definedName name="obpl" localSheetId="4">#REF!</definedName>
    <definedName name="obpl" localSheetId="9">#REF!</definedName>
    <definedName name="obpl" localSheetId="8">#REF!</definedName>
    <definedName name="obpl">#REF!</definedName>
    <definedName name="OC" localSheetId="4">[14]Costing!#REF!</definedName>
    <definedName name="OC" localSheetId="9">[14]Costing!#REF!</definedName>
    <definedName name="OC" localSheetId="8">[14]Costing!#REF!</definedName>
    <definedName name="OC">[14]Costing!#REF!</definedName>
    <definedName name="OCA" localSheetId="4">[15]GE!#REF!</definedName>
    <definedName name="OCA" localSheetId="9">[15]GE!#REF!</definedName>
    <definedName name="OCA" localSheetId="8">[15]GE!#REF!</definedName>
    <definedName name="OCA">[15]GE!#REF!</definedName>
    <definedName name="OCEF">[24]MG!$C$214</definedName>
    <definedName name="OCG" localSheetId="4">[15]GE!#REF!</definedName>
    <definedName name="OCG" localSheetId="9">[15]GE!#REF!</definedName>
    <definedName name="OCG" localSheetId="8">[15]GE!#REF!</definedName>
    <definedName name="OCG">[15]GE!#REF!</definedName>
    <definedName name="octf" localSheetId="4">#REF!</definedName>
    <definedName name="octf" localSheetId="9">#REF!</definedName>
    <definedName name="octf" localSheetId="8">#REF!</definedName>
    <definedName name="octf">#REF!</definedName>
    <definedName name="ofcablescost" localSheetId="4">#REF!</definedName>
    <definedName name="ofcablescost" localSheetId="9">#REF!</definedName>
    <definedName name="ofcablescost" localSheetId="8">#REF!</definedName>
    <definedName name="ofcablescost">#REF!</definedName>
    <definedName name="offset">1</definedName>
    <definedName name="OLE_LINK1_2" localSheetId="4">'[96]Kristal Court'!#REF!</definedName>
    <definedName name="OLE_LINK1_2" localSheetId="9">'[96]Kristal Court'!#REF!</definedName>
    <definedName name="OLE_LINK1_2" localSheetId="8">'[96]Kristal Court'!#REF!</definedName>
    <definedName name="OLE_LINK1_2">'[96]Kristal Court'!#REF!</definedName>
    <definedName name="OLE_LINK1_2_2" localSheetId="4">'[96]Kristal Court'!#REF!</definedName>
    <definedName name="OLE_LINK1_2_2" localSheetId="9">'[96]Kristal Court'!#REF!</definedName>
    <definedName name="OLE_LINK1_2_2" localSheetId="8">'[96]Kristal Court'!#REF!</definedName>
    <definedName name="OLE_LINK1_2_2">'[96]Kristal Court'!#REF!</definedName>
    <definedName name="OLE_LINK1_2_2_4" localSheetId="4">'[96]Kristal Court'!#REF!</definedName>
    <definedName name="OLE_LINK1_2_2_4" localSheetId="9">'[96]Kristal Court'!#REF!</definedName>
    <definedName name="OLE_LINK1_2_2_4" localSheetId="8">'[96]Kristal Court'!#REF!</definedName>
    <definedName name="OLE_LINK1_2_2_4">'[96]Kristal Court'!#REF!</definedName>
    <definedName name="OLE_LINK1_2_4" localSheetId="4">'[96]Kristal Court'!#REF!</definedName>
    <definedName name="OLE_LINK1_2_4" localSheetId="9">'[96]Kristal Court'!#REF!</definedName>
    <definedName name="OLE_LINK1_2_4" localSheetId="8">'[96]Kristal Court'!#REF!</definedName>
    <definedName name="OLE_LINK1_2_4">'[96]Kristal Court'!#REF!</definedName>
    <definedName name="OLE_LINK1_2_4_1" localSheetId="4">'[96]Kristal Court'!#REF!</definedName>
    <definedName name="OLE_LINK1_2_4_1" localSheetId="9">'[96]Kristal Court'!#REF!</definedName>
    <definedName name="OLE_LINK1_2_4_1" localSheetId="8">'[96]Kristal Court'!#REF!</definedName>
    <definedName name="OLE_LINK1_2_4_1">'[96]Kristal Court'!#REF!</definedName>
    <definedName name="OLE_LINK1_2_4_4" localSheetId="4">'[96]Kristal Court'!#REF!</definedName>
    <definedName name="OLE_LINK1_2_4_4" localSheetId="9">'[96]Kristal Court'!#REF!</definedName>
    <definedName name="OLE_LINK1_2_4_4" localSheetId="8">'[96]Kristal Court'!#REF!</definedName>
    <definedName name="OLE_LINK1_2_4_4">'[96]Kristal Court'!#REF!</definedName>
    <definedName name="OLR" localSheetId="4">#REF!</definedName>
    <definedName name="OLR" localSheetId="9">#REF!</definedName>
    <definedName name="OLR" localSheetId="8">#REF!</definedName>
    <definedName name="OLR">#REF!</definedName>
    <definedName name="OLR15_lt" localSheetId="4">#REF!</definedName>
    <definedName name="OLR15_lt" localSheetId="9">#REF!</definedName>
    <definedName name="OLR15_lt" localSheetId="8">#REF!</definedName>
    <definedName name="OLR15_lt">#REF!</definedName>
    <definedName name="OLR150_lt" localSheetId="4">#REF!</definedName>
    <definedName name="OLR150_lt" localSheetId="9">#REF!</definedName>
    <definedName name="OLR150_lt" localSheetId="8">#REF!</definedName>
    <definedName name="OLR150_lt">#REF!</definedName>
    <definedName name="OLR1S" localSheetId="4">#REF!</definedName>
    <definedName name="OLR1S" localSheetId="9">#REF!</definedName>
    <definedName name="OLR1S" localSheetId="8">#REF!</definedName>
    <definedName name="OLR1S">#REF!</definedName>
    <definedName name="OLR225_lt" localSheetId="4">#REF!</definedName>
    <definedName name="OLR225_lt" localSheetId="9">#REF!</definedName>
    <definedName name="OLR225_lt" localSheetId="8">#REF!</definedName>
    <definedName name="OLR225_lt">#REF!</definedName>
    <definedName name="OLR2S" localSheetId="4">#REF!</definedName>
    <definedName name="OLR2S" localSheetId="9">#REF!</definedName>
    <definedName name="OLR2S" localSheetId="8">#REF!</definedName>
    <definedName name="OLR2S">#REF!</definedName>
    <definedName name="OLR3S" localSheetId="4">#REF!</definedName>
    <definedName name="OLR3S" localSheetId="9">#REF!</definedName>
    <definedName name="OLR3S" localSheetId="8">#REF!</definedName>
    <definedName name="OLR3S">#REF!</definedName>
    <definedName name="OLR75_lt" localSheetId="4">#REF!</definedName>
    <definedName name="OLR75_lt" localSheetId="9">#REF!</definedName>
    <definedName name="OLR75_lt" localSheetId="8">#REF!</definedName>
    <definedName name="OLR75_lt">#REF!</definedName>
    <definedName name="OLRG" localSheetId="4">[17]Costing!#REF!</definedName>
    <definedName name="OLRG" localSheetId="9">[17]Costing!#REF!</definedName>
    <definedName name="OLRG" localSheetId="8">[17]Costing!#REF!</definedName>
    <definedName name="OLRG">[17]Costing!#REF!</definedName>
    <definedName name="ook" localSheetId="4">#REF!</definedName>
    <definedName name="ook" localSheetId="9">#REF!</definedName>
    <definedName name="ook" localSheetId="8">#REF!</definedName>
    <definedName name="ook">#REF!</definedName>
    <definedName name="OP" localSheetId="4">#REF!</definedName>
    <definedName name="OP" localSheetId="9">#REF!</definedName>
    <definedName name="OP" localSheetId="8">#REF!</definedName>
    <definedName name="OP">#REF!</definedName>
    <definedName name="operexpense" localSheetId="4">#REF!</definedName>
    <definedName name="operexpense" localSheetId="9">#REF!</definedName>
    <definedName name="operexpense" localSheetId="8">#REF!</definedName>
    <definedName name="operexpense">#REF!</definedName>
    <definedName name="operincome" localSheetId="4">#REF!</definedName>
    <definedName name="operincome" localSheetId="9">#REF!</definedName>
    <definedName name="operincome" localSheetId="8">#REF!</definedName>
    <definedName name="operincome">#REF!</definedName>
    <definedName name="ORIG" localSheetId="4">#REF!</definedName>
    <definedName name="ORIG" localSheetId="9">#REF!</definedName>
    <definedName name="ORIG" localSheetId="8">#REF!</definedName>
    <definedName name="ORIG">#REF!</definedName>
    <definedName name="Outbuildings" localSheetId="4">[29]Detail!#REF!</definedName>
    <definedName name="Outbuildings" localSheetId="9">[29]Detail!#REF!</definedName>
    <definedName name="Outbuildings" localSheetId="8">[29]Detail!#REF!</definedName>
    <definedName name="Outbuildings">[29]Detail!#REF!</definedName>
    <definedName name="OV" localSheetId="4">#REF!</definedName>
    <definedName name="OV" localSheetId="9">#REF!</definedName>
    <definedName name="OV" localSheetId="8">#REF!</definedName>
    <definedName name="OV">#REF!</definedName>
    <definedName name="Overall_Summary_Title" localSheetId="4">#REF!</definedName>
    <definedName name="Overall_Summary_Title" localSheetId="9">#REF!</definedName>
    <definedName name="Overall_Summary_Title" localSheetId="8">#REF!</definedName>
    <definedName name="Overall_Summary_Title">#REF!</definedName>
    <definedName name="OwnAcctNum" localSheetId="4">#REF!</definedName>
    <definedName name="OwnAcctNum" localSheetId="9">#REF!</definedName>
    <definedName name="OwnAcctNum" localSheetId="8">#REF!</definedName>
    <definedName name="OwnAcctNum">#REF!</definedName>
    <definedName name="OwnAcctNum_4" localSheetId="4">#REF!</definedName>
    <definedName name="OwnAcctNum_4" localSheetId="9">#REF!</definedName>
    <definedName name="OwnAcctNum_4" localSheetId="8">#REF!</definedName>
    <definedName name="OwnAcctNum_4">#REF!</definedName>
    <definedName name="OwnAcctNum_6" localSheetId="4">#REF!</definedName>
    <definedName name="OwnAcctNum_6" localSheetId="9">#REF!</definedName>
    <definedName name="OwnAcctNum_6" localSheetId="8">#REF!</definedName>
    <definedName name="OwnAcctNum_6">#REF!</definedName>
    <definedName name="Ownership" localSheetId="4" hidden="1">OFFSET([57]!Data.Top.Left,1,0)</definedName>
    <definedName name="Ownership" localSheetId="9" hidden="1">OFFSET([57]!Data.Top.Left,1,0)</definedName>
    <definedName name="Ownership" localSheetId="8" hidden="1">OFFSET([57]!Data.Top.Left,1,0)</definedName>
    <definedName name="Ownership" hidden="1">OFFSET([57]!Data.Top.Left,1,0)</definedName>
    <definedName name="p" localSheetId="4">#REF!</definedName>
    <definedName name="p" localSheetId="9">#REF!</definedName>
    <definedName name="P" localSheetId="6">3.1415926</definedName>
    <definedName name="P" localSheetId="8">3.1415926</definedName>
    <definedName name="p">#REF!</definedName>
    <definedName name="p___0" localSheetId="4">#REF!</definedName>
    <definedName name="p___0" localSheetId="9">#REF!</definedName>
    <definedName name="p___0" localSheetId="8">#REF!</definedName>
    <definedName name="p___0">#REF!</definedName>
    <definedName name="p___13" localSheetId="4">#REF!</definedName>
    <definedName name="p___13" localSheetId="9">#REF!</definedName>
    <definedName name="p___13" localSheetId="8">#REF!</definedName>
    <definedName name="p___13">#REF!</definedName>
    <definedName name="P_ARE" localSheetId="4">#REF!</definedName>
    <definedName name="P_ARE" localSheetId="9">#REF!</definedName>
    <definedName name="P_ARE" localSheetId="8">#REF!</definedName>
    <definedName name="P_ARE">#REF!</definedName>
    <definedName name="P_AREA" localSheetId="4">#REF!</definedName>
    <definedName name="P_AREA" localSheetId="9">#REF!</definedName>
    <definedName name="P_AREA" localSheetId="8">#REF!</definedName>
    <definedName name="P_AREA">#REF!</definedName>
    <definedName name="P_K" localSheetId="4">#REF!</definedName>
    <definedName name="P_K" localSheetId="9">#REF!</definedName>
    <definedName name="P_K" localSheetId="8">#REF!</definedName>
    <definedName name="P_K">#REF!</definedName>
    <definedName name="P_N" localSheetId="4">#REF!</definedName>
    <definedName name="P_N" localSheetId="9">#REF!</definedName>
    <definedName name="P_N" localSheetId="8">#REF!</definedName>
    <definedName name="P_N">#REF!</definedName>
    <definedName name="P_NET" localSheetId="4">#REF!</definedName>
    <definedName name="P_NET" localSheetId="9">#REF!</definedName>
    <definedName name="P_NET" localSheetId="8">#REF!</definedName>
    <definedName name="P_NET">#REF!</definedName>
    <definedName name="P_OUT" localSheetId="4">#REF!</definedName>
    <definedName name="P_OUT" localSheetId="9">#REF!</definedName>
    <definedName name="P_OUT" localSheetId="8">#REF!</definedName>
    <definedName name="P_OUT">#REF!</definedName>
    <definedName name="P_SELL" localSheetId="4">#REF!</definedName>
    <definedName name="P_SELL" localSheetId="9">#REF!</definedName>
    <definedName name="P_SELL" localSheetId="8">#REF!</definedName>
    <definedName name="P_SELL">#REF!</definedName>
    <definedName name="P1M" localSheetId="4">#REF!</definedName>
    <definedName name="P1M" localSheetId="9">#REF!</definedName>
    <definedName name="P1M" localSheetId="8">#REF!</definedName>
    <definedName name="P1M">#REF!</definedName>
    <definedName name="P1N" localSheetId="4">#REF!</definedName>
    <definedName name="P1N" localSheetId="9">#REF!</definedName>
    <definedName name="P1N" localSheetId="8">#REF!</definedName>
    <definedName name="P1N">#REF!</definedName>
    <definedName name="P1R" localSheetId="4">'[97]Fill this out first...'!#REF!</definedName>
    <definedName name="P1R" localSheetId="9">'[97]Fill this out first...'!#REF!</definedName>
    <definedName name="P1R" localSheetId="8">'[97]Fill this out first...'!#REF!</definedName>
    <definedName name="P1R">'[97]Fill this out first...'!#REF!</definedName>
    <definedName name="P2_" localSheetId="4">#REF!</definedName>
    <definedName name="P2_" localSheetId="9">#REF!</definedName>
    <definedName name="P2_" localSheetId="8">#REF!</definedName>
    <definedName name="P2_">#REF!</definedName>
    <definedName name="P2R" localSheetId="4">'[97]Fill this out first...'!#REF!</definedName>
    <definedName name="P2R" localSheetId="9">'[97]Fill this out first...'!#REF!</definedName>
    <definedName name="P2R" localSheetId="8">'[97]Fill this out first...'!#REF!</definedName>
    <definedName name="P2R">'[97]Fill this out first...'!#REF!</definedName>
    <definedName name="P3_" localSheetId="4">#REF!</definedName>
    <definedName name="P3_" localSheetId="9">#REF!</definedName>
    <definedName name="P3_" localSheetId="8">#REF!</definedName>
    <definedName name="P3_">#REF!</definedName>
    <definedName name="P3R" localSheetId="4">'[97]Fill this out first...'!#REF!</definedName>
    <definedName name="P3R" localSheetId="9">'[97]Fill this out first...'!#REF!</definedName>
    <definedName name="P3R" localSheetId="8">'[97]Fill this out first...'!#REF!</definedName>
    <definedName name="P3R">'[97]Fill this out first...'!#REF!</definedName>
    <definedName name="P4R" localSheetId="4">'[97]Fill this out first...'!#REF!</definedName>
    <definedName name="P4R" localSheetId="9">'[97]Fill this out first...'!#REF!</definedName>
    <definedName name="P4R" localSheetId="8">'[97]Fill this out first...'!#REF!</definedName>
    <definedName name="P4R">'[97]Fill this out first...'!#REF!</definedName>
    <definedName name="P5R" localSheetId="4">'[97]Fill this out first...'!#REF!</definedName>
    <definedName name="P5R" localSheetId="9">'[97]Fill this out first...'!#REF!</definedName>
    <definedName name="P5R" localSheetId="8">'[97]Fill this out first...'!#REF!</definedName>
    <definedName name="P5R">'[97]Fill this out first...'!#REF!</definedName>
    <definedName name="pa" localSheetId="4">#REF!</definedName>
    <definedName name="pa" localSheetId="9">#REF!</definedName>
    <definedName name="pa" localSheetId="8">#REF!</definedName>
    <definedName name="pa">#REF!</definedName>
    <definedName name="pa___0" localSheetId="4">#REF!</definedName>
    <definedName name="pa___0" localSheetId="9">#REF!</definedName>
    <definedName name="pa___0" localSheetId="8">#REF!</definedName>
    <definedName name="pa___0">#REF!</definedName>
    <definedName name="pa___13" localSheetId="4">#REF!</definedName>
    <definedName name="pa___13" localSheetId="9">#REF!</definedName>
    <definedName name="pa___13" localSheetId="8">#REF!</definedName>
    <definedName name="pa___13">#REF!</definedName>
    <definedName name="painting" localSheetId="4">#REF!</definedName>
    <definedName name="painting" localSheetId="9">#REF!</definedName>
    <definedName name="painting" localSheetId="8">#REF!</definedName>
    <definedName name="painting">#REF!</definedName>
    <definedName name="Pane2" localSheetId="4">#REF!</definedName>
    <definedName name="Pane2" localSheetId="9">#REF!</definedName>
    <definedName name="Pane2" localSheetId="8">#REF!</definedName>
    <definedName name="Pane2">#REF!</definedName>
    <definedName name="Pane2___0" localSheetId="4">#REF!</definedName>
    <definedName name="Pane2___0" localSheetId="9">#REF!</definedName>
    <definedName name="Pane2___0" localSheetId="8">#REF!</definedName>
    <definedName name="Pane2___0">#REF!</definedName>
    <definedName name="Pane2___13" localSheetId="4">#REF!</definedName>
    <definedName name="Pane2___13" localSheetId="9">#REF!</definedName>
    <definedName name="Pane2___13" localSheetId="8">#REF!</definedName>
    <definedName name="Pane2___13">#REF!</definedName>
    <definedName name="Parle_ME_MERLIN_GERIN_List" localSheetId="4">#REF!</definedName>
    <definedName name="Parle_ME_MERLIN_GERIN_List" localSheetId="9">#REF!</definedName>
    <definedName name="Parle_ME_MERLIN_GERIN_List" localSheetId="8">#REF!</definedName>
    <definedName name="Parle_ME_MERLIN_GERIN_List">#REF!</definedName>
    <definedName name="parse" localSheetId="4" hidden="1">#REF!</definedName>
    <definedName name="parse" localSheetId="9" hidden="1">#REF!</definedName>
    <definedName name="parse" localSheetId="8" hidden="1">#REF!</definedName>
    <definedName name="parse" hidden="1">#REF!</definedName>
    <definedName name="part">'[98]RA-markate'!$A$389:$B$1034</definedName>
    <definedName name="paver" localSheetId="4">#REF!</definedName>
    <definedName name="paver" localSheetId="9">#REF!</definedName>
    <definedName name="paver" localSheetId="8">#REF!</definedName>
    <definedName name="paver">#REF!</definedName>
    <definedName name="Paving_Bitumen_S_90" localSheetId="4">#REF!</definedName>
    <definedName name="Paving_Bitumen_S_90" localSheetId="9">#REF!</definedName>
    <definedName name="Paving_Bitumen_S_90" localSheetId="8">#REF!</definedName>
    <definedName name="Paving_Bitumen_S_90">#REF!</definedName>
    <definedName name="pb" localSheetId="4">#REF!</definedName>
    <definedName name="pb" localSheetId="9">#REF!</definedName>
    <definedName name="pb" localSheetId="8">#REF!</definedName>
    <definedName name="pb">#REF!</definedName>
    <definedName name="pb___0" localSheetId="4">#REF!</definedName>
    <definedName name="pb___0" localSheetId="9">#REF!</definedName>
    <definedName name="pb___0" localSheetId="8">#REF!</definedName>
    <definedName name="pb___0">#REF!</definedName>
    <definedName name="pb___11" localSheetId="4">#REF!</definedName>
    <definedName name="pb___11" localSheetId="9">#REF!</definedName>
    <definedName name="pb___11" localSheetId="8">#REF!</definedName>
    <definedName name="pb___11">#REF!</definedName>
    <definedName name="pb___12" localSheetId="4">#REF!</definedName>
    <definedName name="pb___12" localSheetId="9">#REF!</definedName>
    <definedName name="pb___12" localSheetId="8">#REF!</definedName>
    <definedName name="pb___12">#REF!</definedName>
    <definedName name="Pbx" localSheetId="4">[28]Design!#REF!</definedName>
    <definedName name="Pbx" localSheetId="9">[28]Design!#REF!</definedName>
    <definedName name="Pbx" localSheetId="8">[28]Design!#REF!</definedName>
    <definedName name="Pbx">[28]Design!#REF!</definedName>
    <definedName name="Pby" localSheetId="4">[28]Design!#REF!</definedName>
    <definedName name="Pby" localSheetId="9">[28]Design!#REF!</definedName>
    <definedName name="Pby" localSheetId="8">[28]Design!#REF!</definedName>
    <definedName name="Pby">[28]Design!#REF!</definedName>
    <definedName name="pc" localSheetId="4">#REF!</definedName>
    <definedName name="pc" localSheetId="9">#REF!</definedName>
    <definedName name="pc" localSheetId="8">#REF!</definedName>
    <definedName name="pc">#REF!</definedName>
    <definedName name="PCC" localSheetId="4">'[99]RCC,Ret. Wall'!#REF!</definedName>
    <definedName name="PCC" localSheetId="9">'[99]RCC,Ret. Wall'!#REF!</definedName>
    <definedName name="PCC" localSheetId="8">'[99]RCC,Ret. Wall'!#REF!</definedName>
    <definedName name="PCC">'[99]RCC,Ret. Wall'!#REF!</definedName>
    <definedName name="pccut" localSheetId="4">#REF!</definedName>
    <definedName name="pccut" localSheetId="9">#REF!</definedName>
    <definedName name="pccut" localSheetId="8">#REF!</definedName>
    <definedName name="pccut">#REF!</definedName>
    <definedName name="PD" localSheetId="4">#REF!</definedName>
    <definedName name="PD" localSheetId="9">#REF!</definedName>
    <definedName name="PD" localSheetId="8">#REF!</definedName>
    <definedName name="PD">#REF!</definedName>
    <definedName name="PEM" localSheetId="4">#REF!</definedName>
    <definedName name="PEM" localSheetId="9">#REF!</definedName>
    <definedName name="PEM" localSheetId="8">#REF!</definedName>
    <definedName name="PEM">#REF!</definedName>
    <definedName name="PeopleLists">[64]AREAS!$C$3:$D$6,[64]AREAS!$C$8:$D$11</definedName>
    <definedName name="PF" localSheetId="4">#REF!</definedName>
    <definedName name="PF" localSheetId="9">#REF!</definedName>
    <definedName name="PF" localSheetId="8">#REF!</definedName>
    <definedName name="PF">#REF!</definedName>
    <definedName name="PFC" localSheetId="4">#REF!</definedName>
    <definedName name="PFC" localSheetId="9">#REF!</definedName>
    <definedName name="PFC" localSheetId="8">#REF!</definedName>
    <definedName name="PFC">#REF!</definedName>
    <definedName name="PFL" localSheetId="4">#REF!</definedName>
    <definedName name="PFL" localSheetId="9">#REF!</definedName>
    <definedName name="PFL" localSheetId="8">#REF!</definedName>
    <definedName name="PFL">#REF!</definedName>
    <definedName name="pg" localSheetId="4">#REF!</definedName>
    <definedName name="pg" localSheetId="9">#REF!</definedName>
    <definedName name="pg" localSheetId="8">#REF!</definedName>
    <definedName name="pg">#REF!</definedName>
    <definedName name="pH" localSheetId="4">#REF!</definedName>
    <definedName name="pH" localSheetId="9">#REF!</definedName>
    <definedName name="pH" localSheetId="8">#REF!</definedName>
    <definedName name="pH">#REF!</definedName>
    <definedName name="pH___0" localSheetId="4">#REF!</definedName>
    <definedName name="pH___0" localSheetId="9">#REF!</definedName>
    <definedName name="pH___0" localSheetId="8">#REF!</definedName>
    <definedName name="pH___0">#REF!</definedName>
    <definedName name="pH___13" localSheetId="4">#REF!</definedName>
    <definedName name="pH___13" localSheetId="9">#REF!</definedName>
    <definedName name="pH___13" localSheetId="8">#REF!</definedName>
    <definedName name="pH___13">#REF!</definedName>
    <definedName name="PhaseCode">'[97]Fill this out first...'!$D$17</definedName>
    <definedName name="Phone">"#REF!"</definedName>
    <definedName name="Phone_1">"#REF!"</definedName>
    <definedName name="Phone_1_3" localSheetId="4">#REF!</definedName>
    <definedName name="Phone_1_3" localSheetId="9">#REF!</definedName>
    <definedName name="Phone_1_3" localSheetId="6">#REF!</definedName>
    <definedName name="Phone_1_3" localSheetId="8">#REF!</definedName>
    <definedName name="Phone_1_3">#REF!</definedName>
    <definedName name="Phone_3" localSheetId="4">#REF!</definedName>
    <definedName name="Phone_3" localSheetId="9">#REF!</definedName>
    <definedName name="Phone_3" localSheetId="6">#REF!</definedName>
    <definedName name="Phone_3" localSheetId="8">#REF!</definedName>
    <definedName name="Phone_3">#REF!</definedName>
    <definedName name="Phone_3_1">"#REF!"</definedName>
    <definedName name="Phone_3_3" localSheetId="4">#REF!</definedName>
    <definedName name="Phone_3_3" localSheetId="9">#REF!</definedName>
    <definedName name="Phone_3_3" localSheetId="6">#REF!</definedName>
    <definedName name="Phone_3_3" localSheetId="8">#REF!</definedName>
    <definedName name="Phone_3_3">#REF!</definedName>
    <definedName name="PhonesQty" localSheetId="4">#REF!</definedName>
    <definedName name="PhonesQty" localSheetId="9">#REF!</definedName>
    <definedName name="PhonesQty" localSheetId="8">#REF!</definedName>
    <definedName name="PhonesQty">#REF!</definedName>
    <definedName name="pileinraftCount" localSheetId="4">#REF!</definedName>
    <definedName name="pileinraftCount" localSheetId="9">#REF!</definedName>
    <definedName name="pileinraftCount" localSheetId="8">#REF!</definedName>
    <definedName name="pileinraftCount">#REF!</definedName>
    <definedName name="pin" localSheetId="4">#REF!</definedName>
    <definedName name="pin" localSheetId="9">#REF!</definedName>
    <definedName name="pin" localSheetId="8">#REF!</definedName>
    <definedName name="pin">#REF!</definedName>
    <definedName name="pitching" localSheetId="4">#REF!</definedName>
    <definedName name="pitching" localSheetId="9">#REF!</definedName>
    <definedName name="pitching" localSheetId="8">#REF!</definedName>
    <definedName name="pitching">#REF!</definedName>
    <definedName name="PJ" localSheetId="4">#REF!</definedName>
    <definedName name="PJ" localSheetId="9">#REF!</definedName>
    <definedName name="PJ" localSheetId="8">#REF!</definedName>
    <definedName name="PJ">#REF!</definedName>
    <definedName name="PJN" localSheetId="4">#REF!</definedName>
    <definedName name="PJN" localSheetId="9">#REF!</definedName>
    <definedName name="PJN" localSheetId="8">#REF!</definedName>
    <definedName name="PJN">#REF!</definedName>
    <definedName name="PL" localSheetId="4">#REF!</definedName>
    <definedName name="PL" localSheetId="9">#REF!</definedName>
    <definedName name="PL" localSheetId="8">#REF!</definedName>
    <definedName name="PL">#REF!</definedName>
    <definedName name="plan" localSheetId="4">#REF!</definedName>
    <definedName name="plan" localSheetId="9">#REF!</definedName>
    <definedName name="plan" localSheetId="8">#REF!</definedName>
    <definedName name="plan">#REF!</definedName>
    <definedName name="Plasticizer" localSheetId="4">#REF!</definedName>
    <definedName name="Plasticizer" localSheetId="9">#REF!</definedName>
    <definedName name="Plasticizer" localSheetId="8">#REF!</definedName>
    <definedName name="Plasticizer">#REF!</definedName>
    <definedName name="plbeams" localSheetId="4">#REF!</definedName>
    <definedName name="plbeams" localSheetId="9">#REF!</definedName>
    <definedName name="plbeams" localSheetId="8">#REF!</definedName>
    <definedName name="plbeams">#REF!</definedName>
    <definedName name="PM">[24]MG!$D$101</definedName>
    <definedName name="pmp" localSheetId="4">#REF!</definedName>
    <definedName name="pmp" localSheetId="9">#REF!</definedName>
    <definedName name="pmp" localSheetId="8">#REF!</definedName>
    <definedName name="pmp">#REF!</definedName>
    <definedName name="po" localSheetId="4">#REF!</definedName>
    <definedName name="po" localSheetId="9">#REF!</definedName>
    <definedName name="po" localSheetId="8">#REF!</definedName>
    <definedName name="po">#REF!</definedName>
    <definedName name="po_4" localSheetId="4">#REF!</definedName>
    <definedName name="po_4" localSheetId="9">#REF!</definedName>
    <definedName name="po_4" localSheetId="8">#REF!</definedName>
    <definedName name="po_4">#REF!</definedName>
    <definedName name="po_6" localSheetId="4">#REF!</definedName>
    <definedName name="po_6" localSheetId="9">#REF!</definedName>
    <definedName name="po_6" localSheetId="8">#REF!</definedName>
    <definedName name="po_6">#REF!</definedName>
    <definedName name="PORTIONS" localSheetId="4">#REF!</definedName>
    <definedName name="PORTIONS" localSheetId="9">#REF!</definedName>
    <definedName name="PORTIONS" localSheetId="8">#REF!</definedName>
    <definedName name="PORTIONS">#REF!</definedName>
    <definedName name="Powder" localSheetId="4">#REF!</definedName>
    <definedName name="Powder" localSheetId="9">#REF!</definedName>
    <definedName name="Powder" localSheetId="8">#REF!</definedName>
    <definedName name="Powder">#REF!</definedName>
    <definedName name="PP" localSheetId="4">#REF!</definedName>
    <definedName name="PP" localSheetId="9">#REF!</definedName>
    <definedName name="PP" localSheetId="8">#REF!</definedName>
    <definedName name="PP">#REF!</definedName>
    <definedName name="PP_AREA" localSheetId="4">#REF!</definedName>
    <definedName name="PP_AREA" localSheetId="9">#REF!</definedName>
    <definedName name="PP_AREA" localSheetId="8">#REF!</definedName>
    <definedName name="PP_AREA">#REF!</definedName>
    <definedName name="ppl" localSheetId="9" hidden="1">{#N/A,#N/A,FALSE,"gc (2)"}</definedName>
    <definedName name="ppl" localSheetId="0" hidden="1">{#N/A,#N/A,FALSE,"gc (2)"}</definedName>
    <definedName name="ppl" hidden="1">{#N/A,#N/A,FALSE,"gc (2)"}</definedName>
    <definedName name="PR" localSheetId="4">#REF!</definedName>
    <definedName name="PR" localSheetId="9">#REF!</definedName>
    <definedName name="PR" localSheetId="8">#REF!</definedName>
    <definedName name="PR">#REF!</definedName>
    <definedName name="pradeep" localSheetId="4">#REF!</definedName>
    <definedName name="pradeep" localSheetId="9">#REF!</definedName>
    <definedName name="pradeep" localSheetId="8">#REF!</definedName>
    <definedName name="pradeep">#REF!</definedName>
    <definedName name="Prelm_Exp" localSheetId="4">#REF!</definedName>
    <definedName name="Prelm_Exp" localSheetId="9">#REF!</definedName>
    <definedName name="Prelm_Exp" localSheetId="8">#REF!</definedName>
    <definedName name="Prelm_Exp">#REF!</definedName>
    <definedName name="PrevYears" localSheetId="4">'[97]Fill this out first...'!#REF!</definedName>
    <definedName name="PrevYears" localSheetId="9">'[97]Fill this out first...'!#REF!</definedName>
    <definedName name="PrevYears" localSheetId="8">'[97]Fill this out first...'!#REF!</definedName>
    <definedName name="PrevYears">'[97]Fill this out first...'!#REF!</definedName>
    <definedName name="prfProjectName" localSheetId="4">#REF!</definedName>
    <definedName name="prfProjectName" localSheetId="9">#REF!</definedName>
    <definedName name="prfProjectName" localSheetId="8">#REF!</definedName>
    <definedName name="prfProjectName">#REF!</definedName>
    <definedName name="price" localSheetId="4">#REF!</definedName>
    <definedName name="price" localSheetId="9">#REF!</definedName>
    <definedName name="price" localSheetId="8">#REF!</definedName>
    <definedName name="price">#REF!</definedName>
    <definedName name="PRICESCH" localSheetId="4">#REF!</definedName>
    <definedName name="PRICESCH" localSheetId="9">#REF!</definedName>
    <definedName name="PRICESCH" localSheetId="8">#REF!</definedName>
    <definedName name="PRICESCH">#REF!</definedName>
    <definedName name="PRIME" localSheetId="4">#REF!</definedName>
    <definedName name="PRIME" localSheetId="9">#REF!</definedName>
    <definedName name="PRIME" localSheetId="8">#REF!</definedName>
    <definedName name="PRIME">#REF!</definedName>
    <definedName name="PrimeAddress" localSheetId="4">#REF!</definedName>
    <definedName name="PrimeAddress" localSheetId="9">#REF!</definedName>
    <definedName name="PrimeAddress" localSheetId="8">#REF!</definedName>
    <definedName name="PrimeAddress">#REF!</definedName>
    <definedName name="PrimeAddress_4" localSheetId="4">#REF!</definedName>
    <definedName name="PrimeAddress_4" localSheetId="9">#REF!</definedName>
    <definedName name="PrimeAddress_4" localSheetId="8">#REF!</definedName>
    <definedName name="PrimeAddress_4">#REF!</definedName>
    <definedName name="PrimeAddress_6" localSheetId="4">#REF!</definedName>
    <definedName name="PrimeAddress_6" localSheetId="9">#REF!</definedName>
    <definedName name="PrimeAddress_6" localSheetId="8">#REF!</definedName>
    <definedName name="PrimeAddress_6">#REF!</definedName>
    <definedName name="PrimeCity" localSheetId="4">#REF!</definedName>
    <definedName name="PrimeCity" localSheetId="9">#REF!</definedName>
    <definedName name="PrimeCity" localSheetId="8">#REF!</definedName>
    <definedName name="PrimeCity">#REF!</definedName>
    <definedName name="PrimeCity_4" localSheetId="4">#REF!</definedName>
    <definedName name="PrimeCity_4" localSheetId="9">#REF!</definedName>
    <definedName name="PrimeCity_4" localSheetId="8">#REF!</definedName>
    <definedName name="PrimeCity_4">#REF!</definedName>
    <definedName name="PrimeCity_6" localSheetId="4">#REF!</definedName>
    <definedName name="PrimeCity_6" localSheetId="9">#REF!</definedName>
    <definedName name="PrimeCity_6" localSheetId="8">#REF!</definedName>
    <definedName name="PrimeCity_6">#REF!</definedName>
    <definedName name="PrimeName" localSheetId="4">#REF!</definedName>
    <definedName name="PrimeName" localSheetId="9">#REF!</definedName>
    <definedName name="PrimeName" localSheetId="8">#REF!</definedName>
    <definedName name="PrimeName">#REF!</definedName>
    <definedName name="PrimeName_4" localSheetId="4">#REF!</definedName>
    <definedName name="PrimeName_4" localSheetId="9">#REF!</definedName>
    <definedName name="PrimeName_4" localSheetId="8">#REF!</definedName>
    <definedName name="PrimeName_4">#REF!</definedName>
    <definedName name="PrimeName_6" localSheetId="4">#REF!</definedName>
    <definedName name="PrimeName_6" localSheetId="9">#REF!</definedName>
    <definedName name="PrimeName_6" localSheetId="8">#REF!</definedName>
    <definedName name="PrimeName_6">#REF!</definedName>
    <definedName name="PrimePostal" localSheetId="4">#REF!</definedName>
    <definedName name="PrimePostal" localSheetId="9">#REF!</definedName>
    <definedName name="PrimePostal" localSheetId="8">#REF!</definedName>
    <definedName name="PrimePostal">#REF!</definedName>
    <definedName name="PrimePostal_4" localSheetId="4">#REF!</definedName>
    <definedName name="PrimePostal_4" localSheetId="9">#REF!</definedName>
    <definedName name="PrimePostal_4" localSheetId="8">#REF!</definedName>
    <definedName name="PrimePostal_4">#REF!</definedName>
    <definedName name="PrimePostal_6" localSheetId="4">#REF!</definedName>
    <definedName name="PrimePostal_6" localSheetId="9">#REF!</definedName>
    <definedName name="PrimePostal_6" localSheetId="8">#REF!</definedName>
    <definedName name="PrimePostal_6">#REF!</definedName>
    <definedName name="PrimePrio" localSheetId="4">#REF!</definedName>
    <definedName name="PrimePrio" localSheetId="9">#REF!</definedName>
    <definedName name="PrimePrio" localSheetId="8">#REF!</definedName>
    <definedName name="PrimePrio">#REF!</definedName>
    <definedName name="PrimePrio_4" localSheetId="4">#REF!</definedName>
    <definedName name="PrimePrio_4" localSheetId="9">#REF!</definedName>
    <definedName name="PrimePrio_4" localSheetId="8">#REF!</definedName>
    <definedName name="PrimePrio_4">#REF!</definedName>
    <definedName name="PrimePrio_6" localSheetId="4">#REF!</definedName>
    <definedName name="PrimePrio_6" localSheetId="9">#REF!</definedName>
    <definedName name="PrimePrio_6" localSheetId="8">#REF!</definedName>
    <definedName name="PrimePrio_6">#REF!</definedName>
    <definedName name="PrimePrio_Text" localSheetId="4">#REF!</definedName>
    <definedName name="PrimePrio_Text" localSheetId="9">#REF!</definedName>
    <definedName name="PrimePrio_Text" localSheetId="8">#REF!</definedName>
    <definedName name="PrimePrio_Text">#REF!</definedName>
    <definedName name="PrimePrio_Text_4" localSheetId="4">#REF!</definedName>
    <definedName name="PrimePrio_Text_4" localSheetId="9">#REF!</definedName>
    <definedName name="PrimePrio_Text_4" localSheetId="8">#REF!</definedName>
    <definedName name="PrimePrio_Text_4">#REF!</definedName>
    <definedName name="PrimePrio_Text_6" localSheetId="4">#REF!</definedName>
    <definedName name="PrimePrio_Text_6" localSheetId="9">#REF!</definedName>
    <definedName name="PrimePrio_Text_6" localSheetId="8">#REF!</definedName>
    <definedName name="PrimePrio_Text_6">#REF!</definedName>
    <definedName name="PrimeState" localSheetId="4">#REF!</definedName>
    <definedName name="PrimeState" localSheetId="9">#REF!</definedName>
    <definedName name="PrimeState" localSheetId="8">#REF!</definedName>
    <definedName name="PrimeState">#REF!</definedName>
    <definedName name="PrimeState_4" localSheetId="4">#REF!</definedName>
    <definedName name="PrimeState_4" localSheetId="9">#REF!</definedName>
    <definedName name="PrimeState_4" localSheetId="8">#REF!</definedName>
    <definedName name="PrimeState_4">#REF!</definedName>
    <definedName name="PrimeState_6" localSheetId="4">#REF!</definedName>
    <definedName name="PrimeState_6" localSheetId="9">#REF!</definedName>
    <definedName name="PrimeState_6" localSheetId="8">#REF!</definedName>
    <definedName name="PrimeState_6">#REF!</definedName>
    <definedName name="Principal" localSheetId="4">#REF!</definedName>
    <definedName name="Principal" localSheetId="9">#REF!</definedName>
    <definedName name="Principal" localSheetId="8">#REF!</definedName>
    <definedName name="Principal">#REF!</definedName>
    <definedName name="_xlnm.Print_Area" localSheetId="3">' ABS BH'!$A$1:$K$97</definedName>
    <definedName name="_xlnm.Print_Area" localSheetId="2">' ABS BH (2)'!$A$1:$K$82</definedName>
    <definedName name="_xlnm.Print_Area" localSheetId="5">'ABS GH'!$A$1:$K$58</definedName>
    <definedName name="_xlnm.Print_Area" localSheetId="4">'ABS GH (2)'!$A$1:$K$47</definedName>
    <definedName name="_xlnm.Print_Area" localSheetId="10">'BBS RA2'!$A$1:$S$788</definedName>
    <definedName name="_xlnm.Print_Area" localSheetId="9">'BBS-Boys Hostel'!$A$1:$V$1618</definedName>
    <definedName name="_xlnm.Print_Area" localSheetId="0">'Invoice-'!$A$1:$G$40</definedName>
    <definedName name="_xlnm.Print_Area" localSheetId="6">'MB BH'!$A$1:$K$9068</definedName>
    <definedName name="_xlnm.Print_Area" localSheetId="8">'MB GIRLS HOSTEL'!$A$1:$K$1885</definedName>
    <definedName name="_xlnm.Print_Area" localSheetId="1">SUMMARY!$A$1:$E$18</definedName>
    <definedName name="_xlnm.Print_Area">#REF!</definedName>
    <definedName name="Print_Area_3" localSheetId="4">#REF!</definedName>
    <definedName name="Print_Area_3" localSheetId="9">#REF!</definedName>
    <definedName name="Print_Area_3" localSheetId="8">#REF!</definedName>
    <definedName name="Print_Area_3">#REF!</definedName>
    <definedName name="Print_Area_5" localSheetId="4">#REF!</definedName>
    <definedName name="Print_Area_5" localSheetId="9">#REF!</definedName>
    <definedName name="Print_Area_5" localSheetId="8">#REF!</definedName>
    <definedName name="Print_Area_5">#REF!</definedName>
    <definedName name="Print_Area_MI" localSheetId="4">#REF!</definedName>
    <definedName name="Print_Area_MI" localSheetId="9">#REF!</definedName>
    <definedName name="Print_Area_MI" localSheetId="8">#REF!</definedName>
    <definedName name="Print_Area_MI">#REF!</definedName>
    <definedName name="PRINT_AREA_MI___0" localSheetId="4">#REF!</definedName>
    <definedName name="PRINT_AREA_MI___0" localSheetId="9">#REF!</definedName>
    <definedName name="PRINT_AREA_MI___0" localSheetId="8">#REF!</definedName>
    <definedName name="PRINT_AREA_MI___0">#REF!</definedName>
    <definedName name="Print_Area_MI_17" localSheetId="4">#REF!</definedName>
    <definedName name="Print_Area_MI_17" localSheetId="9">#REF!</definedName>
    <definedName name="Print_Area_MI_17" localSheetId="8">#REF!</definedName>
    <definedName name="Print_Area_MI_17">#REF!</definedName>
    <definedName name="PRINT_AREA_MI_4" localSheetId="4">#REF!</definedName>
    <definedName name="PRINT_AREA_MI_4" localSheetId="9">#REF!</definedName>
    <definedName name="PRINT_AREA_MI_4" localSheetId="8">#REF!</definedName>
    <definedName name="PRINT_AREA_MI_4">#REF!</definedName>
    <definedName name="PRINT_AREA_MI_6" localSheetId="4">#REF!</definedName>
    <definedName name="PRINT_AREA_MI_6" localSheetId="9">#REF!</definedName>
    <definedName name="PRINT_AREA_MI_6" localSheetId="8">#REF!</definedName>
    <definedName name="PRINT_AREA_MI_6">#REF!</definedName>
    <definedName name="PRINT_AREA_MI1" localSheetId="4">#REF!</definedName>
    <definedName name="PRINT_AREA_MI1" localSheetId="9">#REF!</definedName>
    <definedName name="PRINT_AREA_MI1" localSheetId="8">#REF!</definedName>
    <definedName name="PRINT_AREA_MI1">#REF!</definedName>
    <definedName name="Print_Range" localSheetId="4">#REF!</definedName>
    <definedName name="Print_Range" localSheetId="9">#REF!</definedName>
    <definedName name="Print_Range" localSheetId="8">#REF!</definedName>
    <definedName name="Print_Range">#REF!</definedName>
    <definedName name="_xlnm.Print_Titles" localSheetId="3">' ABS BH'!$4:$5</definedName>
    <definedName name="_xlnm.Print_Titles" localSheetId="5">'ABS GH'!$4:$5</definedName>
    <definedName name="_xlnm.Print_Titles" localSheetId="4">'ABS GH (2)'!$4:$5</definedName>
    <definedName name="_xlnm.Print_Titles" localSheetId="10">'BBS RA2'!$6:$7</definedName>
    <definedName name="_xlnm.Print_Titles" localSheetId="9">'BBS-Boys Hostel'!$5:$6</definedName>
    <definedName name="_xlnm.Print_Titles" localSheetId="6">'MB BH'!$1:$5</definedName>
    <definedName name="_xlnm.Print_Titles" localSheetId="8">'MB GIRLS HOSTEL'!$1:$5</definedName>
    <definedName name="_xlnm.Print_Titles">#N/A</definedName>
    <definedName name="Print_Titles_3" localSheetId="4">#REF!</definedName>
    <definedName name="Print_Titles_3" localSheetId="9">#REF!</definedName>
    <definedName name="Print_Titles_3" localSheetId="8">#REF!</definedName>
    <definedName name="Print_Titles_3">#REF!</definedName>
    <definedName name="Print_Titles_5" localSheetId="4">#REF!</definedName>
    <definedName name="Print_Titles_5" localSheetId="9">#REF!</definedName>
    <definedName name="Print_Titles_5" localSheetId="8">#REF!</definedName>
    <definedName name="Print_Titles_5">#REF!</definedName>
    <definedName name="Print_Titles_MI" localSheetId="4">#REF!</definedName>
    <definedName name="Print_Titles_MI" localSheetId="9">#REF!</definedName>
    <definedName name="Print_Titles_MI" localSheetId="8">#REF!</definedName>
    <definedName name="Print_Titles_MI">#REF!</definedName>
    <definedName name="PRINT_TITLES_MI1" localSheetId="4">#REF!</definedName>
    <definedName name="PRINT_TITLES_MI1" localSheetId="9">#REF!</definedName>
    <definedName name="PRINT_TITLES_MI1" localSheetId="8">#REF!</definedName>
    <definedName name="PRINT_TITLES_MI1">#REF!</definedName>
    <definedName name="printx" localSheetId="4">#REF!</definedName>
    <definedName name="printx" localSheetId="9">#REF!</definedName>
    <definedName name="printx" localSheetId="8">#REF!</definedName>
    <definedName name="printx">#REF!</definedName>
    <definedName name="printY" localSheetId="4">#REF!</definedName>
    <definedName name="printY" localSheetId="9">#REF!</definedName>
    <definedName name="printY" localSheetId="8">#REF!</definedName>
    <definedName name="printY">#REF!</definedName>
    <definedName name="Priority">[100]Legend!$A$2:$A$5</definedName>
    <definedName name="PROD" localSheetId="4">#REF!</definedName>
    <definedName name="PROD" localSheetId="9">#REF!</definedName>
    <definedName name="PROD" localSheetId="8">#REF!</definedName>
    <definedName name="PROD">#REF!</definedName>
    <definedName name="PROD_4" localSheetId="4">#REF!</definedName>
    <definedName name="PROD_4" localSheetId="9">#REF!</definedName>
    <definedName name="PROD_4" localSheetId="8">#REF!</definedName>
    <definedName name="PROD_4">#REF!</definedName>
    <definedName name="PROD_6" localSheetId="4">#REF!</definedName>
    <definedName name="PROD_6" localSheetId="9">#REF!</definedName>
    <definedName name="PROD_6" localSheetId="8">#REF!</definedName>
    <definedName name="PROD_6">#REF!</definedName>
    <definedName name="ProdCode1" localSheetId="4">#REF!</definedName>
    <definedName name="ProdCode1" localSheetId="9">#REF!</definedName>
    <definedName name="ProdCode1" localSheetId="8">#REF!</definedName>
    <definedName name="ProdCode1">#REF!</definedName>
    <definedName name="ProdCode1_4" localSheetId="4">#REF!</definedName>
    <definedName name="ProdCode1_4" localSheetId="9">#REF!</definedName>
    <definedName name="ProdCode1_4" localSheetId="8">#REF!</definedName>
    <definedName name="ProdCode1_4">#REF!</definedName>
    <definedName name="ProdCode1_6" localSheetId="4">#REF!</definedName>
    <definedName name="ProdCode1_6" localSheetId="9">#REF!</definedName>
    <definedName name="ProdCode1_6" localSheetId="8">#REF!</definedName>
    <definedName name="ProdCode1_6">#REF!</definedName>
    <definedName name="ProdCode1_Text" localSheetId="4">#REF!</definedName>
    <definedName name="ProdCode1_Text" localSheetId="9">#REF!</definedName>
    <definedName name="ProdCode1_Text" localSheetId="8">#REF!</definedName>
    <definedName name="ProdCode1_Text">#REF!</definedName>
    <definedName name="ProdCode1_Text_4" localSheetId="4">#REF!</definedName>
    <definedName name="ProdCode1_Text_4" localSheetId="9">#REF!</definedName>
    <definedName name="ProdCode1_Text_4" localSheetId="8">#REF!</definedName>
    <definedName name="ProdCode1_Text_4">#REF!</definedName>
    <definedName name="ProdCode1_Text_6" localSheetId="4">#REF!</definedName>
    <definedName name="ProdCode1_Text_6" localSheetId="9">#REF!</definedName>
    <definedName name="ProdCode1_Text_6" localSheetId="8">#REF!</definedName>
    <definedName name="ProdCode1_Text_6">#REF!</definedName>
    <definedName name="ProdCode2" localSheetId="4">#REF!</definedName>
    <definedName name="ProdCode2" localSheetId="9">#REF!</definedName>
    <definedName name="ProdCode2" localSheetId="8">#REF!</definedName>
    <definedName name="ProdCode2">#REF!</definedName>
    <definedName name="ProdCode2_4" localSheetId="4">#REF!</definedName>
    <definedName name="ProdCode2_4" localSheetId="9">#REF!</definedName>
    <definedName name="ProdCode2_4" localSheetId="8">#REF!</definedName>
    <definedName name="ProdCode2_4">#REF!</definedName>
    <definedName name="ProdCode2_6" localSheetId="4">#REF!</definedName>
    <definedName name="ProdCode2_6" localSheetId="9">#REF!</definedName>
    <definedName name="ProdCode2_6" localSheetId="8">#REF!</definedName>
    <definedName name="ProdCode2_6">#REF!</definedName>
    <definedName name="ProdCode2_Text" localSheetId="4">#REF!</definedName>
    <definedName name="ProdCode2_Text" localSheetId="9">#REF!</definedName>
    <definedName name="ProdCode2_Text" localSheetId="8">#REF!</definedName>
    <definedName name="ProdCode2_Text">#REF!</definedName>
    <definedName name="ProdCode2_Text_4" localSheetId="4">#REF!</definedName>
    <definedName name="ProdCode2_Text_4" localSheetId="9">#REF!</definedName>
    <definedName name="ProdCode2_Text_4" localSheetId="8">#REF!</definedName>
    <definedName name="ProdCode2_Text_4">#REF!</definedName>
    <definedName name="ProdCode2_Text_6" localSheetId="4">#REF!</definedName>
    <definedName name="ProdCode2_Text_6" localSheetId="9">#REF!</definedName>
    <definedName name="ProdCode2_Text_6" localSheetId="8">#REF!</definedName>
    <definedName name="ProdCode2_Text_6">#REF!</definedName>
    <definedName name="ProdCode3" localSheetId="4">#REF!</definedName>
    <definedName name="ProdCode3" localSheetId="9">#REF!</definedName>
    <definedName name="ProdCode3" localSheetId="8">#REF!</definedName>
    <definedName name="ProdCode3">#REF!</definedName>
    <definedName name="ProdCode3_4" localSheetId="4">#REF!</definedName>
    <definedName name="ProdCode3_4" localSheetId="9">#REF!</definedName>
    <definedName name="ProdCode3_4" localSheetId="8">#REF!</definedName>
    <definedName name="ProdCode3_4">#REF!</definedName>
    <definedName name="ProdCode3_6" localSheetId="4">#REF!</definedName>
    <definedName name="ProdCode3_6" localSheetId="9">#REF!</definedName>
    <definedName name="ProdCode3_6" localSheetId="8">#REF!</definedName>
    <definedName name="ProdCode3_6">#REF!</definedName>
    <definedName name="ProdCode3_Text" localSheetId="4">#REF!</definedName>
    <definedName name="ProdCode3_Text" localSheetId="9">#REF!</definedName>
    <definedName name="ProdCode3_Text" localSheetId="8">#REF!</definedName>
    <definedName name="ProdCode3_Text">#REF!</definedName>
    <definedName name="ProdCode3_Text_4" localSheetId="4">#REF!</definedName>
    <definedName name="ProdCode3_Text_4" localSheetId="9">#REF!</definedName>
    <definedName name="ProdCode3_Text_4" localSheetId="8">#REF!</definedName>
    <definedName name="ProdCode3_Text_4">#REF!</definedName>
    <definedName name="ProdCode3_Text_6" localSheetId="4">#REF!</definedName>
    <definedName name="ProdCode3_Text_6" localSheetId="9">#REF!</definedName>
    <definedName name="ProdCode3_Text_6" localSheetId="8">#REF!</definedName>
    <definedName name="ProdCode3_Text_6">#REF!</definedName>
    <definedName name="PRODCODE3KJGSCJKSDHCV" localSheetId="4">#REF!</definedName>
    <definedName name="PRODCODE3KJGSCJKSDHCV" localSheetId="9">#REF!</definedName>
    <definedName name="PRODCODE3KJGSCJKSDHCV" localSheetId="8">#REF!</definedName>
    <definedName name="PRODCODE3KJGSCJKSDHCV">#REF!</definedName>
    <definedName name="ProdCode4" localSheetId="4">#REF!</definedName>
    <definedName name="ProdCode4" localSheetId="9">#REF!</definedName>
    <definedName name="ProdCode4" localSheetId="8">#REF!</definedName>
    <definedName name="ProdCode4">#REF!</definedName>
    <definedName name="ProdCode4_4" localSheetId="4">#REF!</definedName>
    <definedName name="ProdCode4_4" localSheetId="9">#REF!</definedName>
    <definedName name="ProdCode4_4" localSheetId="8">#REF!</definedName>
    <definedName name="ProdCode4_4">#REF!</definedName>
    <definedName name="ProdCode4_6" localSheetId="4">#REF!</definedName>
    <definedName name="ProdCode4_6" localSheetId="9">#REF!</definedName>
    <definedName name="ProdCode4_6" localSheetId="8">#REF!</definedName>
    <definedName name="ProdCode4_6">#REF!</definedName>
    <definedName name="ProdCode4_Text" localSheetId="4">#REF!</definedName>
    <definedName name="ProdCode4_Text" localSheetId="9">#REF!</definedName>
    <definedName name="ProdCode4_Text" localSheetId="8">#REF!</definedName>
    <definedName name="ProdCode4_Text">#REF!</definedName>
    <definedName name="ProdCode4_Text_4" localSheetId="4">#REF!</definedName>
    <definedName name="ProdCode4_Text_4" localSheetId="9">#REF!</definedName>
    <definedName name="ProdCode4_Text_4" localSheetId="8">#REF!</definedName>
    <definedName name="ProdCode4_Text_4">#REF!</definedName>
    <definedName name="ProdCode4_Text_6" localSheetId="4">#REF!</definedName>
    <definedName name="ProdCode4_Text_6" localSheetId="9">#REF!</definedName>
    <definedName name="ProdCode4_Text_6" localSheetId="8">#REF!</definedName>
    <definedName name="ProdCode4_Text_6">#REF!</definedName>
    <definedName name="ProdCode5" localSheetId="4">#REF!</definedName>
    <definedName name="ProdCode5" localSheetId="9">#REF!</definedName>
    <definedName name="ProdCode5" localSheetId="8">#REF!</definedName>
    <definedName name="ProdCode5">#REF!</definedName>
    <definedName name="ProdCode5_4" localSheetId="4">#REF!</definedName>
    <definedName name="ProdCode5_4" localSheetId="9">#REF!</definedName>
    <definedName name="ProdCode5_4" localSheetId="8">#REF!</definedName>
    <definedName name="ProdCode5_4">#REF!</definedName>
    <definedName name="ProdCode5_6" localSheetId="4">#REF!</definedName>
    <definedName name="ProdCode5_6" localSheetId="9">#REF!</definedName>
    <definedName name="ProdCode5_6" localSheetId="8">#REF!</definedName>
    <definedName name="ProdCode5_6">#REF!</definedName>
    <definedName name="ProdCode5_Text" localSheetId="4">#REF!</definedName>
    <definedName name="ProdCode5_Text" localSheetId="9">#REF!</definedName>
    <definedName name="ProdCode5_Text" localSheetId="8">#REF!</definedName>
    <definedName name="ProdCode5_Text">#REF!</definedName>
    <definedName name="ProdCode5_Text_4" localSheetId="4">#REF!</definedName>
    <definedName name="ProdCode5_Text_4" localSheetId="9">#REF!</definedName>
    <definedName name="ProdCode5_Text_4" localSheetId="8">#REF!</definedName>
    <definedName name="ProdCode5_Text_4">#REF!</definedName>
    <definedName name="ProdCode5_Text_6" localSheetId="4">#REF!</definedName>
    <definedName name="ProdCode5_Text_6" localSheetId="9">#REF!</definedName>
    <definedName name="ProdCode5_Text_6" localSheetId="8">#REF!</definedName>
    <definedName name="ProdCode5_Text_6">#REF!</definedName>
    <definedName name="ProdPct1" localSheetId="4">#REF!</definedName>
    <definedName name="ProdPct1" localSheetId="9">#REF!</definedName>
    <definedName name="ProdPct1" localSheetId="8">#REF!</definedName>
    <definedName name="ProdPct1">#REF!</definedName>
    <definedName name="ProdPct1_4" localSheetId="4">#REF!</definedName>
    <definedName name="ProdPct1_4" localSheetId="9">#REF!</definedName>
    <definedName name="ProdPct1_4" localSheetId="8">#REF!</definedName>
    <definedName name="ProdPct1_4">#REF!</definedName>
    <definedName name="ProdPct1_6" localSheetId="4">#REF!</definedName>
    <definedName name="ProdPct1_6" localSheetId="9">#REF!</definedName>
    <definedName name="ProdPct1_6" localSheetId="8">#REF!</definedName>
    <definedName name="ProdPct1_6">#REF!</definedName>
    <definedName name="ProdPct2" localSheetId="4">#REF!</definedName>
    <definedName name="ProdPct2" localSheetId="9">#REF!</definedName>
    <definedName name="ProdPct2" localSheetId="8">#REF!</definedName>
    <definedName name="ProdPct2">#REF!</definedName>
    <definedName name="ProdPct2_4" localSheetId="4">#REF!</definedName>
    <definedName name="ProdPct2_4" localSheetId="9">#REF!</definedName>
    <definedName name="ProdPct2_4" localSheetId="8">#REF!</definedName>
    <definedName name="ProdPct2_4">#REF!</definedName>
    <definedName name="ProdPct2_6" localSheetId="4">#REF!</definedName>
    <definedName name="ProdPct2_6" localSheetId="9">#REF!</definedName>
    <definedName name="ProdPct2_6" localSheetId="8">#REF!</definedName>
    <definedName name="ProdPct2_6">#REF!</definedName>
    <definedName name="ProdPct3" localSheetId="4">#REF!</definedName>
    <definedName name="ProdPct3" localSheetId="9">#REF!</definedName>
    <definedName name="ProdPct3" localSheetId="8">#REF!</definedName>
    <definedName name="ProdPct3">#REF!</definedName>
    <definedName name="ProdPct3_4" localSheetId="4">#REF!</definedName>
    <definedName name="ProdPct3_4" localSheetId="9">#REF!</definedName>
    <definedName name="ProdPct3_4" localSheetId="8">#REF!</definedName>
    <definedName name="ProdPct3_4">#REF!</definedName>
    <definedName name="ProdPct3_6" localSheetId="4">#REF!</definedName>
    <definedName name="ProdPct3_6" localSheetId="9">#REF!</definedName>
    <definedName name="ProdPct3_6" localSheetId="8">#REF!</definedName>
    <definedName name="ProdPct3_6">#REF!</definedName>
    <definedName name="ProdPct4" localSheetId="4">#REF!</definedName>
    <definedName name="ProdPct4" localSheetId="9">#REF!</definedName>
    <definedName name="ProdPct4" localSheetId="8">#REF!</definedName>
    <definedName name="ProdPct4">#REF!</definedName>
    <definedName name="ProdPct4_4" localSheetId="4">#REF!</definedName>
    <definedName name="ProdPct4_4" localSheetId="9">#REF!</definedName>
    <definedName name="ProdPct4_4" localSheetId="8">#REF!</definedName>
    <definedName name="ProdPct4_4">#REF!</definedName>
    <definedName name="ProdPct4_6" localSheetId="4">#REF!</definedName>
    <definedName name="ProdPct4_6" localSheetId="9">#REF!</definedName>
    <definedName name="ProdPct4_6" localSheetId="8">#REF!</definedName>
    <definedName name="ProdPct4_6">#REF!</definedName>
    <definedName name="ProdPct5" localSheetId="4">#REF!</definedName>
    <definedName name="ProdPct5" localSheetId="9">#REF!</definedName>
    <definedName name="ProdPct5" localSheetId="8">#REF!</definedName>
    <definedName name="ProdPct5">#REF!</definedName>
    <definedName name="ProdPct5_4" localSheetId="4">#REF!</definedName>
    <definedName name="ProdPct5_4" localSheetId="9">#REF!</definedName>
    <definedName name="ProdPct5_4" localSheetId="8">#REF!</definedName>
    <definedName name="ProdPct5_4">#REF!</definedName>
    <definedName name="ProdPct5_6" localSheetId="4">#REF!</definedName>
    <definedName name="ProdPct5_6" localSheetId="9">#REF!</definedName>
    <definedName name="ProdPct5_6" localSheetId="8">#REF!</definedName>
    <definedName name="ProdPct5_6">#REF!</definedName>
    <definedName name="profit" localSheetId="9" hidden="1">{#N/A,"Good",TRUE,"Sheet1";#N/A,"Normal",TRUE,"Sheet1";#N/A,"Bad",TRUE,"Sheet1"}</definedName>
    <definedName name="profit" localSheetId="0" hidden="1">{#N/A,"Good",TRUE,"Sheet1";#N/A,"Normal",TRUE,"Sheet1";#N/A,"Bad",TRUE,"Sheet1"}</definedName>
    <definedName name="profit" hidden="1">{#N/A,"Good",TRUE,"Sheet1";#N/A,"Normal",TRUE,"Sheet1";#N/A,"Bad",TRUE,"Sheet1"}</definedName>
    <definedName name="ProjAddress1" localSheetId="4">#REF!</definedName>
    <definedName name="ProjAddress1" localSheetId="9">#REF!</definedName>
    <definedName name="ProjAddress1" localSheetId="8">#REF!</definedName>
    <definedName name="ProjAddress1">#REF!</definedName>
    <definedName name="ProjAddress1_4" localSheetId="4">#REF!</definedName>
    <definedName name="ProjAddress1_4" localSheetId="9">#REF!</definedName>
    <definedName name="ProjAddress1_4" localSheetId="8">#REF!</definedName>
    <definedName name="ProjAddress1_4">#REF!</definedName>
    <definedName name="ProjAddress1_6" localSheetId="4">#REF!</definedName>
    <definedName name="ProjAddress1_6" localSheetId="9">#REF!</definedName>
    <definedName name="ProjAddress1_6" localSheetId="8">#REF!</definedName>
    <definedName name="ProjAddress1_6">#REF!</definedName>
    <definedName name="ProjAddress2" localSheetId="4">#REF!</definedName>
    <definedName name="ProjAddress2" localSheetId="9">#REF!</definedName>
    <definedName name="ProjAddress2" localSheetId="8">#REF!</definedName>
    <definedName name="ProjAddress2">#REF!</definedName>
    <definedName name="ProjAddress2_4" localSheetId="4">#REF!</definedName>
    <definedName name="ProjAddress2_4" localSheetId="9">#REF!</definedName>
    <definedName name="ProjAddress2_4" localSheetId="8">#REF!</definedName>
    <definedName name="ProjAddress2_4">#REF!</definedName>
    <definedName name="ProjAddress2_6" localSheetId="4">#REF!</definedName>
    <definedName name="ProjAddress2_6" localSheetId="9">#REF!</definedName>
    <definedName name="ProjAddress2_6" localSheetId="8">#REF!</definedName>
    <definedName name="ProjAddress2_6">#REF!</definedName>
    <definedName name="ProjCity" localSheetId="4">#REF!</definedName>
    <definedName name="ProjCity" localSheetId="9">#REF!</definedName>
    <definedName name="ProjCity" localSheetId="8">#REF!</definedName>
    <definedName name="ProjCity">#REF!</definedName>
    <definedName name="ProjCity_4" localSheetId="4">#REF!</definedName>
    <definedName name="ProjCity_4" localSheetId="9">#REF!</definedName>
    <definedName name="ProjCity_4" localSheetId="8">#REF!</definedName>
    <definedName name="ProjCity_4">#REF!</definedName>
    <definedName name="ProjCity_6" localSheetId="4">#REF!</definedName>
    <definedName name="ProjCity_6" localSheetId="9">#REF!</definedName>
    <definedName name="ProjCity_6" localSheetId="8">#REF!</definedName>
    <definedName name="ProjCity_6">#REF!</definedName>
    <definedName name="ProjCity1" localSheetId="4">#REF!</definedName>
    <definedName name="ProjCity1" localSheetId="9">#REF!</definedName>
    <definedName name="ProjCity1" localSheetId="8">#REF!</definedName>
    <definedName name="ProjCity1">#REF!</definedName>
    <definedName name="ProjCountry" localSheetId="4">#REF!</definedName>
    <definedName name="ProjCountry" localSheetId="9">#REF!</definedName>
    <definedName name="ProjCountry" localSheetId="8">#REF!</definedName>
    <definedName name="ProjCountry">#REF!</definedName>
    <definedName name="ProjCountry_4" localSheetId="4">#REF!</definedName>
    <definedName name="ProjCountry_4" localSheetId="9">#REF!</definedName>
    <definedName name="ProjCountry_4" localSheetId="8">#REF!</definedName>
    <definedName name="ProjCountry_4">#REF!</definedName>
    <definedName name="ProjCountry_6" localSheetId="4">#REF!</definedName>
    <definedName name="ProjCountry_6" localSheetId="9">#REF!</definedName>
    <definedName name="ProjCountry_6" localSheetId="8">#REF!</definedName>
    <definedName name="ProjCountry_6">#REF!</definedName>
    <definedName name="ProjCounty" localSheetId="4">#REF!</definedName>
    <definedName name="ProjCounty" localSheetId="9">#REF!</definedName>
    <definedName name="ProjCounty" localSheetId="8">#REF!</definedName>
    <definedName name="ProjCounty">#REF!</definedName>
    <definedName name="ProjCounty_4" localSheetId="4">#REF!</definedName>
    <definedName name="ProjCounty_4" localSheetId="9">#REF!</definedName>
    <definedName name="ProjCounty_4" localSheetId="8">#REF!</definedName>
    <definedName name="ProjCounty_4">#REF!</definedName>
    <definedName name="ProjCounty_6" localSheetId="4">#REF!</definedName>
    <definedName name="ProjCounty_6" localSheetId="9">#REF!</definedName>
    <definedName name="ProjCounty_6" localSheetId="8">#REF!</definedName>
    <definedName name="ProjCounty_6">#REF!</definedName>
    <definedName name="project" localSheetId="4">#REF!</definedName>
    <definedName name="project" localSheetId="9">#REF!</definedName>
    <definedName name="project" localSheetId="8">#REF!</definedName>
    <definedName name="project">#REF!</definedName>
    <definedName name="Project_Term">[49]Data!$C$5</definedName>
    <definedName name="ProjectLocation">'[97]Fill this out first...'!$D$10</definedName>
    <definedName name="ProjectNumber">'[97]Fill this out first...'!$D$16</definedName>
    <definedName name="ProjectSubtitle">'[97]Fill this out first...'!$D$9</definedName>
    <definedName name="ProjectTitle">'[97]Fill this out first...'!$D$8</definedName>
    <definedName name="PROJMGT">#N/A</definedName>
    <definedName name="ProjName" localSheetId="4">#REF!</definedName>
    <definedName name="ProjName" localSheetId="9">#REF!</definedName>
    <definedName name="ProjName" localSheetId="8">#REF!</definedName>
    <definedName name="ProjName">#REF!</definedName>
    <definedName name="ProjName_4" localSheetId="4">#REF!</definedName>
    <definedName name="ProjName_4" localSheetId="9">#REF!</definedName>
    <definedName name="ProjName_4" localSheetId="8">#REF!</definedName>
    <definedName name="ProjName_4">#REF!</definedName>
    <definedName name="ProjName_6" localSheetId="4">#REF!</definedName>
    <definedName name="ProjName_6" localSheetId="9">#REF!</definedName>
    <definedName name="ProjName_6" localSheetId="8">#REF!</definedName>
    <definedName name="ProjName_6">#REF!</definedName>
    <definedName name="ProjNum" localSheetId="4">#REF!</definedName>
    <definedName name="ProjNum" localSheetId="9">#REF!</definedName>
    <definedName name="ProjNum" localSheetId="8">#REF!</definedName>
    <definedName name="ProjNum">#REF!</definedName>
    <definedName name="ProjNum_4" localSheetId="4">#REF!</definedName>
    <definedName name="ProjNum_4" localSheetId="9">#REF!</definedName>
    <definedName name="ProjNum_4" localSheetId="8">#REF!</definedName>
    <definedName name="ProjNum_4">#REF!</definedName>
    <definedName name="ProjNum_6" localSheetId="4">#REF!</definedName>
    <definedName name="ProjNum_6" localSheetId="9">#REF!</definedName>
    <definedName name="ProjNum_6" localSheetId="8">#REF!</definedName>
    <definedName name="ProjNum_6">#REF!</definedName>
    <definedName name="ProjPostal" localSheetId="4">#REF!</definedName>
    <definedName name="ProjPostal" localSheetId="9">#REF!</definedName>
    <definedName name="ProjPostal" localSheetId="8">#REF!</definedName>
    <definedName name="ProjPostal">#REF!</definedName>
    <definedName name="ProjPostal_4" localSheetId="4">#REF!</definedName>
    <definedName name="ProjPostal_4" localSheetId="9">#REF!</definedName>
    <definedName name="ProjPostal_4" localSheetId="8">#REF!</definedName>
    <definedName name="ProjPostal_4">#REF!</definedName>
    <definedName name="ProjPostal_6" localSheetId="4">#REF!</definedName>
    <definedName name="ProjPostal_6" localSheetId="9">#REF!</definedName>
    <definedName name="ProjPostal_6" localSheetId="8">#REF!</definedName>
    <definedName name="ProjPostal_6">#REF!</definedName>
    <definedName name="ProjState" localSheetId="4">#REF!</definedName>
    <definedName name="ProjState" localSheetId="9">#REF!</definedName>
    <definedName name="ProjState" localSheetId="8">#REF!</definedName>
    <definedName name="ProjState">#REF!</definedName>
    <definedName name="ProjState_4" localSheetId="4">#REF!</definedName>
    <definedName name="ProjState_4" localSheetId="9">#REF!</definedName>
    <definedName name="ProjState_4" localSheetId="8">#REF!</definedName>
    <definedName name="ProjState_4">#REF!</definedName>
    <definedName name="ProjState_6" localSheetId="4">#REF!</definedName>
    <definedName name="ProjState_6" localSheetId="9">#REF!</definedName>
    <definedName name="ProjState_6" localSheetId="8">#REF!</definedName>
    <definedName name="ProjState_6">#REF!</definedName>
    <definedName name="Prop_2m" localSheetId="4">#REF!</definedName>
    <definedName name="Prop_2m" localSheetId="9">#REF!</definedName>
    <definedName name="Prop_2m" localSheetId="8">#REF!</definedName>
    <definedName name="Prop_2m">#REF!</definedName>
    <definedName name="PROPS" localSheetId="4">[41]Sheet1!#REF!</definedName>
    <definedName name="PROPS" localSheetId="9">[41]Sheet1!#REF!</definedName>
    <definedName name="PROPS" localSheetId="8">[41]Sheet1!#REF!</definedName>
    <definedName name="PROPS">[41]Sheet1!#REF!</definedName>
    <definedName name="prov_sums" localSheetId="4">#REF!</definedName>
    <definedName name="prov_sums" localSheetId="9">#REF!</definedName>
    <definedName name="prov_sums" localSheetId="8">#REF!</definedName>
    <definedName name="prov_sums">#REF!</definedName>
    <definedName name="PRWMAY07" localSheetId="4">#REF!</definedName>
    <definedName name="PRWMAY07" localSheetId="9">#REF!</definedName>
    <definedName name="PRWMAY07" localSheetId="8">#REF!</definedName>
    <definedName name="PRWMAY07">#REF!</definedName>
    <definedName name="PRWSEP05" localSheetId="4">#REF!</definedName>
    <definedName name="PRWSEP05" localSheetId="9">#REF!</definedName>
    <definedName name="PRWSEP05" localSheetId="8">#REF!</definedName>
    <definedName name="PRWSEP05">#REF!</definedName>
    <definedName name="PS" localSheetId="4">#REF!</definedName>
    <definedName name="PS" localSheetId="9">#REF!</definedName>
    <definedName name="PS" localSheetId="8">#REF!</definedName>
    <definedName name="PS">#REF!</definedName>
    <definedName name="PS___0" localSheetId="4">#REF!</definedName>
    <definedName name="PS___0" localSheetId="9">#REF!</definedName>
    <definedName name="PS___0" localSheetId="8">#REF!</definedName>
    <definedName name="PS___0">#REF!</definedName>
    <definedName name="PS___13" localSheetId="4">#REF!</definedName>
    <definedName name="PS___13" localSheetId="9">#REF!</definedName>
    <definedName name="PS___13" localSheetId="8">#REF!</definedName>
    <definedName name="PS___13">#REF!</definedName>
    <definedName name="PSABillingMethod" localSheetId="4">#REF!</definedName>
    <definedName name="PSABillingMethod" localSheetId="9">#REF!</definedName>
    <definedName name="PSABillingMethod" localSheetId="8">#REF!</definedName>
    <definedName name="PSABillingMethod">#REF!</definedName>
    <definedName name="PSABillingMethod_4" localSheetId="4">#REF!</definedName>
    <definedName name="PSABillingMethod_4" localSheetId="9">#REF!</definedName>
    <definedName name="PSABillingMethod_4" localSheetId="8">#REF!</definedName>
    <definedName name="PSABillingMethod_4">#REF!</definedName>
    <definedName name="PSABillingMethod_6" localSheetId="4">#REF!</definedName>
    <definedName name="PSABillingMethod_6" localSheetId="9">#REF!</definedName>
    <definedName name="PSABillingMethod_6" localSheetId="8">#REF!</definedName>
    <definedName name="PSABillingMethod_6">#REF!</definedName>
    <definedName name="pss" localSheetId="4">#REF!</definedName>
    <definedName name="pss" localSheetId="9">#REF!</definedName>
    <definedName name="pss" localSheetId="8">#REF!</definedName>
    <definedName name="pss">#REF!</definedName>
    <definedName name="PT" localSheetId="4">#REF!</definedName>
    <definedName name="PT" localSheetId="9">#REF!</definedName>
    <definedName name="PT" localSheetId="8">#REF!</definedName>
    <definedName name="PT">#REF!</definedName>
    <definedName name="PUB_FileID" hidden="1">"L10003363.xls"</definedName>
    <definedName name="PUB_UserID" hidden="1">"MAYERX"</definedName>
    <definedName name="Pumping_Charge" localSheetId="4">#REF!</definedName>
    <definedName name="Pumping_Charge" localSheetId="9">#REF!</definedName>
    <definedName name="Pumping_Charge" localSheetId="8">#REF!</definedName>
    <definedName name="Pumping_Charge">#REF!</definedName>
    <definedName name="PuneTB" localSheetId="4">[59]Chennai!#REF!</definedName>
    <definedName name="PuneTB" localSheetId="9">[59]Chennai!#REF!</definedName>
    <definedName name="PuneTB" localSheetId="8">[59]Chennai!#REF!</definedName>
    <definedName name="PuneTB">[59]Chennai!#REF!</definedName>
    <definedName name="Puz" localSheetId="4">[28]Design!#REF!</definedName>
    <definedName name="Puz" localSheetId="9">[28]Design!#REF!</definedName>
    <definedName name="Puz" localSheetId="8">[28]Design!#REF!</definedName>
    <definedName name="Puz">[28]Design!#REF!</definedName>
    <definedName name="pvc_100" localSheetId="4">#REF!</definedName>
    <definedName name="pvc_100" localSheetId="9">#REF!</definedName>
    <definedName name="pvc_100" localSheetId="8">#REF!</definedName>
    <definedName name="pvc_100">#REF!</definedName>
    <definedName name="pvc_15" localSheetId="4">#REF!</definedName>
    <definedName name="pvc_15" localSheetId="9">#REF!</definedName>
    <definedName name="pvc_15" localSheetId="8">#REF!</definedName>
    <definedName name="pvc_15">#REF!</definedName>
    <definedName name="pvc_150" localSheetId="4">#REF!</definedName>
    <definedName name="pvc_150" localSheetId="9">#REF!</definedName>
    <definedName name="pvc_150" localSheetId="8">#REF!</definedName>
    <definedName name="pvc_150">#REF!</definedName>
    <definedName name="pvc_20" localSheetId="4">#REF!</definedName>
    <definedName name="pvc_20" localSheetId="9">#REF!</definedName>
    <definedName name="pvc_20" localSheetId="8">#REF!</definedName>
    <definedName name="pvc_20">#REF!</definedName>
    <definedName name="pvc_200" localSheetId="4">#REF!</definedName>
    <definedName name="pvc_200" localSheetId="9">#REF!</definedName>
    <definedName name="pvc_200" localSheetId="8">#REF!</definedName>
    <definedName name="pvc_200">#REF!</definedName>
    <definedName name="pvc_25" localSheetId="4">#REF!</definedName>
    <definedName name="pvc_25" localSheetId="9">#REF!</definedName>
    <definedName name="pvc_25" localSheetId="8">#REF!</definedName>
    <definedName name="pvc_25">#REF!</definedName>
    <definedName name="pvc_250" localSheetId="4">#REF!</definedName>
    <definedName name="pvc_250" localSheetId="9">#REF!</definedName>
    <definedName name="pvc_250" localSheetId="8">#REF!</definedName>
    <definedName name="pvc_250">#REF!</definedName>
    <definedName name="pvc_300" localSheetId="4">#REF!</definedName>
    <definedName name="pvc_300" localSheetId="9">#REF!</definedName>
    <definedName name="pvc_300" localSheetId="8">#REF!</definedName>
    <definedName name="pvc_300">#REF!</definedName>
    <definedName name="pvc_32" localSheetId="4">#REF!</definedName>
    <definedName name="pvc_32" localSheetId="9">#REF!</definedName>
    <definedName name="pvc_32" localSheetId="8">#REF!</definedName>
    <definedName name="pvc_32">#REF!</definedName>
    <definedName name="pvc_40" localSheetId="4">#REF!</definedName>
    <definedName name="pvc_40" localSheetId="9">#REF!</definedName>
    <definedName name="pvc_40" localSheetId="8">#REF!</definedName>
    <definedName name="pvc_40">#REF!</definedName>
    <definedName name="pvc_400" localSheetId="4">#REF!</definedName>
    <definedName name="pvc_400" localSheetId="9">#REF!</definedName>
    <definedName name="pvc_400" localSheetId="8">#REF!</definedName>
    <definedName name="pvc_400">#REF!</definedName>
    <definedName name="pvc_50" localSheetId="4">#REF!</definedName>
    <definedName name="pvc_50" localSheetId="9">#REF!</definedName>
    <definedName name="pvc_50" localSheetId="8">#REF!</definedName>
    <definedName name="pvc_50">#REF!</definedName>
    <definedName name="pvc_600" localSheetId="4">#REF!</definedName>
    <definedName name="pvc_600" localSheetId="9">#REF!</definedName>
    <definedName name="pvc_600" localSheetId="8">#REF!</definedName>
    <definedName name="pvc_600">#REF!</definedName>
    <definedName name="pvc_65" localSheetId="4">#REF!</definedName>
    <definedName name="pvc_65" localSheetId="9">#REF!</definedName>
    <definedName name="pvc_65" localSheetId="8">#REF!</definedName>
    <definedName name="pvc_65">#REF!</definedName>
    <definedName name="pvc_80" localSheetId="4">#REF!</definedName>
    <definedName name="pvc_80" localSheetId="9">#REF!</definedName>
    <definedName name="pvc_80" localSheetId="8">#REF!</definedName>
    <definedName name="pvc_80">#REF!</definedName>
    <definedName name="Q" localSheetId="4">'[97]Fill this out first...'!#REF!</definedName>
    <definedName name="Q" localSheetId="9">'[97]Fill this out first...'!#REF!</definedName>
    <definedName name="Q" localSheetId="8">'[97]Fill this out first...'!#REF!</definedName>
    <definedName name="Q">'[97]Fill this out first...'!#REF!</definedName>
    <definedName name="Qc" localSheetId="4">#REF!</definedName>
    <definedName name="Qc" localSheetId="9">#REF!</definedName>
    <definedName name="Qc" localSheetId="8">#REF!</definedName>
    <definedName name="Qc">#REF!</definedName>
    <definedName name="Qc___0" localSheetId="4">#REF!</definedName>
    <definedName name="Qc___0" localSheetId="9">#REF!</definedName>
    <definedName name="Qc___0" localSheetId="8">#REF!</definedName>
    <definedName name="Qc___0">#REF!</definedName>
    <definedName name="Qc___13" localSheetId="4">#REF!</definedName>
    <definedName name="Qc___13" localSheetId="9">#REF!</definedName>
    <definedName name="Qc___13" localSheetId="8">#REF!</definedName>
    <definedName name="Qc___13">#REF!</definedName>
    <definedName name="Qf" localSheetId="4">#REF!</definedName>
    <definedName name="Qf" localSheetId="9">#REF!</definedName>
    <definedName name="Qf" localSheetId="8">#REF!</definedName>
    <definedName name="Qf">#REF!</definedName>
    <definedName name="Qf___0" localSheetId="4">#REF!</definedName>
    <definedName name="Qf___0" localSheetId="9">#REF!</definedName>
    <definedName name="Qf___0" localSheetId="8">#REF!</definedName>
    <definedName name="Qf___0">#REF!</definedName>
    <definedName name="Qf___13" localSheetId="4">#REF!</definedName>
    <definedName name="Qf___13" localSheetId="9">#REF!</definedName>
    <definedName name="Qf___13" localSheetId="8">#REF!</definedName>
    <definedName name="Qf___13">#REF!</definedName>
    <definedName name="Qi" localSheetId="4">#REF!</definedName>
    <definedName name="Qi" localSheetId="9">#REF!</definedName>
    <definedName name="Qi" localSheetId="8">#REF!</definedName>
    <definedName name="Qi">#REF!</definedName>
    <definedName name="Qi___0" localSheetId="4">#REF!</definedName>
    <definedName name="Qi___0" localSheetId="9">#REF!</definedName>
    <definedName name="Qi___0" localSheetId="8">#REF!</definedName>
    <definedName name="Qi___0">#REF!</definedName>
    <definedName name="Qi___13" localSheetId="4">#REF!</definedName>
    <definedName name="Qi___13" localSheetId="9">#REF!</definedName>
    <definedName name="Qi___13" localSheetId="8">#REF!</definedName>
    <definedName name="Qi___13">#REF!</definedName>
    <definedName name="Ql" localSheetId="4">#REF!</definedName>
    <definedName name="Ql" localSheetId="9">#REF!</definedName>
    <definedName name="Ql" localSheetId="8">#REF!</definedName>
    <definedName name="Ql">#REF!</definedName>
    <definedName name="Ql___0" localSheetId="4">#REF!</definedName>
    <definedName name="Ql___0" localSheetId="9">#REF!</definedName>
    <definedName name="Ql___0" localSheetId="8">#REF!</definedName>
    <definedName name="Ql___0">#REF!</definedName>
    <definedName name="Ql___13" localSheetId="4">#REF!</definedName>
    <definedName name="Ql___13" localSheetId="9">#REF!</definedName>
    <definedName name="Ql___13" localSheetId="8">#REF!</definedName>
    <definedName name="Ql___13">#REF!</definedName>
    <definedName name="qp" localSheetId="4">#REF!</definedName>
    <definedName name="qp" localSheetId="9">#REF!</definedName>
    <definedName name="qp" localSheetId="8">#REF!</definedName>
    <definedName name="qp">#REF!</definedName>
    <definedName name="Qspan" localSheetId="4">#REF!</definedName>
    <definedName name="Qspan" localSheetId="9">#REF!</definedName>
    <definedName name="Qspan" localSheetId="8">#REF!</definedName>
    <definedName name="Qspan">#REF!</definedName>
    <definedName name="QT" localSheetId="4">#REF!</definedName>
    <definedName name="QT" localSheetId="9">#REF!</definedName>
    <definedName name="QT" localSheetId="8">#REF!</definedName>
    <definedName name="QT">#REF!</definedName>
    <definedName name="qty" localSheetId="4">#REF!</definedName>
    <definedName name="qty" localSheetId="9">#REF!</definedName>
    <definedName name="qty" localSheetId="8">#REF!</definedName>
    <definedName name="qty">#REF!</definedName>
    <definedName name="Qty_as_on_apr" localSheetId="4">#REF!</definedName>
    <definedName name="Qty_as_on_apr" localSheetId="9">#REF!</definedName>
    <definedName name="Qty_as_on_apr" localSheetId="8">#REF!</definedName>
    <definedName name="Qty_as_on_apr">#REF!</definedName>
    <definedName name="qtyunitsum" localSheetId="4">#REF!</definedName>
    <definedName name="qtyunitsum" localSheetId="9">#REF!</definedName>
    <definedName name="qtyunitsum" localSheetId="8">#REF!</definedName>
    <definedName name="qtyunitsum">#REF!</definedName>
    <definedName name="QUANTITY" localSheetId="4">#REF!</definedName>
    <definedName name="QUANTITY" localSheetId="9">#REF!</definedName>
    <definedName name="QUANTITY" localSheetId="8">#REF!</definedName>
    <definedName name="QUANTITY">#REF!</definedName>
    <definedName name="QUARTZ" localSheetId="4">#REF!</definedName>
    <definedName name="QUARTZ" localSheetId="9">#REF!</definedName>
    <definedName name="QUARTZ" localSheetId="8">#REF!</definedName>
    <definedName name="QUARTZ">#REF!</definedName>
    <definedName name="R_" localSheetId="4">#REF!</definedName>
    <definedName name="R_" localSheetId="9">#REF!</definedName>
    <definedName name="R_" localSheetId="8">#REF!</definedName>
    <definedName name="R_">#REF!</definedName>
    <definedName name="RA">'[101]RA-markate'!$A$389:$B$1034</definedName>
    <definedName name="railing" localSheetId="4">#REF!</definedName>
    <definedName name="railing" localSheetId="9">#REF!</definedName>
    <definedName name="railing" localSheetId="8">#REF!</definedName>
    <definedName name="railing">#REF!</definedName>
    <definedName name="raj" localSheetId="9" hidden="1">{#N/A,#N/A,FALSE,"VARIATIONS";#N/A,#N/A,FALSE,"BUDGET";#N/A,#N/A,FALSE,"CIVIL QNTY VAR";#N/A,#N/A,FALSE,"SUMMARY";#N/A,#N/A,FALSE,"MATERIAL VAR"}</definedName>
    <definedName name="raj" localSheetId="0" hidden="1">{#N/A,#N/A,FALSE,"VARIATIONS";#N/A,#N/A,FALSE,"BUDGET";#N/A,#N/A,FALSE,"CIVIL QNTY VAR";#N/A,#N/A,FALSE,"SUMMARY";#N/A,#N/A,FALSE,"MATERIAL VAR"}</definedName>
    <definedName name="raj" hidden="1">{#N/A,#N/A,FALSE,"VARIATIONS";#N/A,#N/A,FALSE,"BUDGET";#N/A,#N/A,FALSE,"CIVIL QNTY VAR";#N/A,#N/A,FALSE,"SUMMARY";#N/A,#N/A,FALSE,"MATERIAL VAR"}</definedName>
    <definedName name="Rajnagar_Marble" localSheetId="4">#REF!</definedName>
    <definedName name="Rajnagar_Marble" localSheetId="9">#REF!</definedName>
    <definedName name="Rajnagar_Marble" localSheetId="8">#REF!</definedName>
    <definedName name="Rajnagar_Marble">#REF!</definedName>
    <definedName name="ram" localSheetId="9" hidden="1">{"dep. full detail",#N/A,FALSE,"annex";"3cd annex",#N/A,FALSE,"annex";"co. dep.",#N/A,FALSE,"annex"}</definedName>
    <definedName name="ram" localSheetId="0" hidden="1">{"dep. full detail",#N/A,FALSE,"annex";"3cd annex",#N/A,FALSE,"annex";"co. dep.",#N/A,FALSE,"annex"}</definedName>
    <definedName name="ram" hidden="1">{"dep. full detail",#N/A,FALSE,"annex";"3cd annex",#N/A,FALSE,"annex";"co. dep.",#N/A,FALSE,"annex"}</definedName>
    <definedName name="Range2">[102]Sheet2!$B$2:$B$15</definedName>
    <definedName name="rate" localSheetId="4">#REF!</definedName>
    <definedName name="rate" localSheetId="9">#REF!</definedName>
    <definedName name="rate" localSheetId="8">#REF!</definedName>
    <definedName name="rate">#REF!</definedName>
    <definedName name="RATE_AMOUNT" localSheetId="4">#REF!</definedName>
    <definedName name="RATE_AMOUNT" localSheetId="9">#REF!</definedName>
    <definedName name="RATE_AMOUNT" localSheetId="8">#REF!</definedName>
    <definedName name="RATE_AMOUNT">#REF!</definedName>
    <definedName name="RATE1" localSheetId="4">#REF!</definedName>
    <definedName name="RATE1" localSheetId="9">#REF!</definedName>
    <definedName name="RATE1" localSheetId="8">#REF!</definedName>
    <definedName name="RATE1">#REF!</definedName>
    <definedName name="RATE2" localSheetId="4">#REF!</definedName>
    <definedName name="RATE2" localSheetId="9">#REF!</definedName>
    <definedName name="RATE2" localSheetId="8">#REF!</definedName>
    <definedName name="RATE2">#REF!</definedName>
    <definedName name="Ratna_A_Border" localSheetId="4">#REF!</definedName>
    <definedName name="Ratna_A_Border" localSheetId="9">#REF!</definedName>
    <definedName name="Ratna_A_Border" localSheetId="8">#REF!</definedName>
    <definedName name="Ratna_A_Border">#REF!</definedName>
    <definedName name="Ratna_A_dark_base" localSheetId="4">#REF!</definedName>
    <definedName name="Ratna_A_dark_base" localSheetId="9">#REF!</definedName>
    <definedName name="Ratna_A_dark_base" localSheetId="8">#REF!</definedName>
    <definedName name="Ratna_A_dark_base">#REF!</definedName>
    <definedName name="Ratna_A_Floor" localSheetId="4">#REF!</definedName>
    <definedName name="Ratna_A_Floor" localSheetId="9">#REF!</definedName>
    <definedName name="Ratna_A_Floor" localSheetId="8">#REF!</definedName>
    <definedName name="Ratna_A_Floor">#REF!</definedName>
    <definedName name="Ratna_A_Highlighter" localSheetId="4">#REF!</definedName>
    <definedName name="Ratna_A_Highlighter" localSheetId="9">#REF!</definedName>
    <definedName name="Ratna_A_Highlighter" localSheetId="8">#REF!</definedName>
    <definedName name="Ratna_A_Highlighter">#REF!</definedName>
    <definedName name="Ratna_A_light_base" localSheetId="4">#REF!</definedName>
    <definedName name="Ratna_A_light_base" localSheetId="9">#REF!</definedName>
    <definedName name="Ratna_A_light_base" localSheetId="8">#REF!</definedName>
    <definedName name="Ratna_A_light_base">#REF!</definedName>
    <definedName name="Ratna_Ezio_C_Border" localSheetId="4">#REF!</definedName>
    <definedName name="Ratna_Ezio_C_Border" localSheetId="9">#REF!</definedName>
    <definedName name="Ratna_Ezio_C_Border" localSheetId="8">#REF!</definedName>
    <definedName name="Ratna_Ezio_C_Border">#REF!</definedName>
    <definedName name="Ratna_Ezio_C_dark_base" localSheetId="4">#REF!</definedName>
    <definedName name="Ratna_Ezio_C_dark_base" localSheetId="9">#REF!</definedName>
    <definedName name="Ratna_Ezio_C_dark_base" localSheetId="8">#REF!</definedName>
    <definedName name="Ratna_Ezio_C_dark_base">#REF!</definedName>
    <definedName name="Ratna_Ezio_C_Floor" localSheetId="4">#REF!</definedName>
    <definedName name="Ratna_Ezio_C_Floor" localSheetId="9">#REF!</definedName>
    <definedName name="Ratna_Ezio_C_Floor" localSheetId="8">#REF!</definedName>
    <definedName name="Ratna_Ezio_C_Floor">#REF!</definedName>
    <definedName name="Ratna_Ezio_C_Highlighter" localSheetId="4">#REF!</definedName>
    <definedName name="Ratna_Ezio_C_Highlighter" localSheetId="9">#REF!</definedName>
    <definedName name="Ratna_Ezio_C_Highlighter" localSheetId="8">#REF!</definedName>
    <definedName name="Ratna_Ezio_C_Highlighter">#REF!</definedName>
    <definedName name="Ratna_Ezio_C_light_base" localSheetId="4">#REF!</definedName>
    <definedName name="Ratna_Ezio_C_light_base" localSheetId="9">#REF!</definedName>
    <definedName name="Ratna_Ezio_C_light_base" localSheetId="8">#REF!</definedName>
    <definedName name="Ratna_Ezio_C_light_base">#REF!</definedName>
    <definedName name="Ratna_Sireno_A_Border" localSheetId="4">#REF!</definedName>
    <definedName name="Ratna_Sireno_A_Border" localSheetId="9">#REF!</definedName>
    <definedName name="Ratna_Sireno_A_Border" localSheetId="8">#REF!</definedName>
    <definedName name="Ratna_Sireno_A_Border">#REF!</definedName>
    <definedName name="Ratna_Sireno_A_dark_base" localSheetId="4">#REF!</definedName>
    <definedName name="Ratna_Sireno_A_dark_base" localSheetId="9">#REF!</definedName>
    <definedName name="Ratna_Sireno_A_dark_base" localSheetId="8">#REF!</definedName>
    <definedName name="Ratna_Sireno_A_dark_base">#REF!</definedName>
    <definedName name="Ratna_Sireno_A_Floor" localSheetId="4">#REF!</definedName>
    <definedName name="Ratna_Sireno_A_Floor" localSheetId="9">#REF!</definedName>
    <definedName name="Ratna_Sireno_A_Floor" localSheetId="8">#REF!</definedName>
    <definedName name="Ratna_Sireno_A_Floor">#REF!</definedName>
    <definedName name="Ratna_Sireno_A_Highlighter" localSheetId="4">#REF!</definedName>
    <definedName name="Ratna_Sireno_A_Highlighter" localSheetId="9">#REF!</definedName>
    <definedName name="Ratna_Sireno_A_Highlighter" localSheetId="8">#REF!</definedName>
    <definedName name="Ratna_Sireno_A_Highlighter">#REF!</definedName>
    <definedName name="Ratna_Sireno_A_light_base" localSheetId="4">#REF!</definedName>
    <definedName name="Ratna_Sireno_A_light_base" localSheetId="9">#REF!</definedName>
    <definedName name="Ratna_Sireno_A_light_base" localSheetId="8">#REF!</definedName>
    <definedName name="Ratna_Sireno_A_light_base">#REF!</definedName>
    <definedName name="RATNAGIRI" localSheetId="4">#REF!</definedName>
    <definedName name="RATNAGIRI" localSheetId="9">#REF!</definedName>
    <definedName name="RATNAGIRI" localSheetId="8">#REF!</definedName>
    <definedName name="RATNAGIRI">#REF!</definedName>
    <definedName name="RCC" localSheetId="4">#REF!</definedName>
    <definedName name="RCC" localSheetId="9">#REF!</definedName>
    <definedName name="RCC" localSheetId="8">#REF!</definedName>
    <definedName name="RCC">#REF!</definedName>
    <definedName name="rcwbgl" localSheetId="4">#REF!</definedName>
    <definedName name="rcwbgl" localSheetId="9">#REF!</definedName>
    <definedName name="rcwbgl" localSheetId="8">#REF!</definedName>
    <definedName name="rcwbgl">#REF!</definedName>
    <definedName name="rcwbgl2" localSheetId="4">#REF!</definedName>
    <definedName name="rcwbgl2" localSheetId="9">#REF!</definedName>
    <definedName name="rcwbgl2" localSheetId="8">#REF!</definedName>
    <definedName name="rcwbgl2">#REF!</definedName>
    <definedName name="rd" localSheetId="4">#REF!</definedName>
    <definedName name="rd" localSheetId="9">#REF!</definedName>
    <definedName name="rd" localSheetId="8">#REF!</definedName>
    <definedName name="rd">#REF!</definedName>
    <definedName name="rdtd" localSheetId="4">#REF!</definedName>
    <definedName name="rdtd" localSheetId="9">#REF!</definedName>
    <definedName name="rdtd" localSheetId="8">#REF!</definedName>
    <definedName name="rdtd">#REF!</definedName>
    <definedName name="Re" localSheetId="4">#REF!</definedName>
    <definedName name="Re" localSheetId="9">#REF!</definedName>
    <definedName name="Re" localSheetId="8">#REF!</definedName>
    <definedName name="Re">#REF!</definedName>
    <definedName name="Re___0" localSheetId="4">#REF!</definedName>
    <definedName name="Re___0" localSheetId="9">#REF!</definedName>
    <definedName name="Re___0" localSheetId="8">#REF!</definedName>
    <definedName name="Re___0">#REF!</definedName>
    <definedName name="Re___13" localSheetId="4">#REF!</definedName>
    <definedName name="Re___13" localSheetId="9">#REF!</definedName>
    <definedName name="Re___13" localSheetId="8">#REF!</definedName>
    <definedName name="Re___13">#REF!</definedName>
    <definedName name="recon.steel" localSheetId="9">City&amp;" "&amp;State</definedName>
    <definedName name="recon.steel" localSheetId="0">City&amp;" "&amp;State</definedName>
    <definedName name="recon.steel">City&amp;" "&amp;State</definedName>
    <definedName name="recon.steel_7" localSheetId="9">City&amp;" "&amp;State</definedName>
    <definedName name="recon.steel_7" localSheetId="0">City&amp;" "&amp;State</definedName>
    <definedName name="recon.steel_7">City&amp;" "&amp;State</definedName>
    <definedName name="_xlnm.Recorder" localSheetId="4">#REF!</definedName>
    <definedName name="_xlnm.Recorder" localSheetId="9">#REF!</definedName>
    <definedName name="_xlnm.Recorder" localSheetId="8">#REF!</definedName>
    <definedName name="_xlnm.Recorder">#REF!</definedName>
    <definedName name="rect_4_415" localSheetId="4">#REF!</definedName>
    <definedName name="rect_4_415" localSheetId="9">#REF!</definedName>
    <definedName name="rect_4_415" localSheetId="8">#REF!</definedName>
    <definedName name="rect_4_415">#REF!</definedName>
    <definedName name="REF" localSheetId="4">#REF!</definedName>
    <definedName name="REF" localSheetId="9">#REF!</definedName>
    <definedName name="REF" localSheetId="8">#REF!</definedName>
    <definedName name="REF">#REF!</definedName>
    <definedName name="Reflected_interlocking_80" localSheetId="4">#REF!</definedName>
    <definedName name="Reflected_interlocking_80" localSheetId="9">#REF!</definedName>
    <definedName name="Reflected_interlocking_80" localSheetId="8">#REF!</definedName>
    <definedName name="Reflected_interlocking_80">#REF!</definedName>
    <definedName name="REFR">[24]MG!$E$214</definedName>
    <definedName name="REFRIGERATORS" localSheetId="4">#REF!</definedName>
    <definedName name="REFRIGERATORS" localSheetId="9">#REF!</definedName>
    <definedName name="REFRIGERATORS" localSheetId="8">#REF!</definedName>
    <definedName name="REFRIGERATORS">#REF!</definedName>
    <definedName name="rel" localSheetId="4">#REF!</definedName>
    <definedName name="rel" localSheetId="9">#REF!</definedName>
    <definedName name="rel" localSheetId="8">#REF!</definedName>
    <definedName name="rel">#REF!</definedName>
    <definedName name="rerte" localSheetId="9" hidden="1">{#N/A,#N/A,FALSE,"VARIATIONS";#N/A,#N/A,FALSE,"BUDGET";#N/A,#N/A,FALSE,"CIVIL QNTY VAR";#N/A,#N/A,FALSE,"SUMMARY";#N/A,#N/A,FALSE,"MATERIAL VAR"}</definedName>
    <definedName name="rerte" localSheetId="0" hidden="1">{#N/A,#N/A,FALSE,"VARIATIONS";#N/A,#N/A,FALSE,"BUDGET";#N/A,#N/A,FALSE,"CIVIL QNTY VAR";#N/A,#N/A,FALSE,"SUMMARY";#N/A,#N/A,FALSE,"MATERIAL VAR"}</definedName>
    <definedName name="rerte" hidden="1">{#N/A,#N/A,FALSE,"VARIATIONS";#N/A,#N/A,FALSE,"BUDGET";#N/A,#N/A,FALSE,"CIVIL QNTY VAR";#N/A,#N/A,FALSE,"SUMMARY";#N/A,#N/A,FALSE,"MATERIAL VAR"}</definedName>
    <definedName name="reu" localSheetId="9" hidden="1">{#N/A,#N/A,FALSE,"gc (2)"}</definedName>
    <definedName name="reu" localSheetId="0" hidden="1">{#N/A,#N/A,FALSE,"gc (2)"}</definedName>
    <definedName name="reu" hidden="1">{#N/A,#N/A,FALSE,"gc (2)"}</definedName>
    <definedName name="Rev" localSheetId="4">#REF!</definedName>
    <definedName name="Rev" localSheetId="9">#REF!</definedName>
    <definedName name="Rev" localSheetId="8">#REF!</definedName>
    <definedName name="Rev">#REF!</definedName>
    <definedName name="Revision" localSheetId="4">#REF!</definedName>
    <definedName name="Revision" localSheetId="9">#REF!</definedName>
    <definedName name="Revision" localSheetId="8">#REF!</definedName>
    <definedName name="Revision">#REF!</definedName>
    <definedName name="reya" localSheetId="9" hidden="1">{"office ltcg",#N/A,FALSE,"gain01";"IT LTCG",#N/A,FALSE,"gain01"}</definedName>
    <definedName name="reya" localSheetId="0" hidden="1">{"office ltcg",#N/A,FALSE,"gain01";"IT LTCG",#N/A,FALSE,"gain01"}</definedName>
    <definedName name="reya" hidden="1">{"office ltcg",#N/A,FALSE,"gain01";"IT LTCG",#N/A,FALSE,"gain01"}</definedName>
    <definedName name="rghsret" localSheetId="9" hidden="1">{#N/A,#N/A,FALSE,"VARIATIONS";#N/A,#N/A,FALSE,"BUDGET";#N/A,#N/A,FALSE,"CIVIL QNTY VAR";#N/A,#N/A,FALSE,"SUMMARY";#N/A,#N/A,FALSE,"MATERIAL VAR"}</definedName>
    <definedName name="rghsret" localSheetId="0" hidden="1">{#N/A,#N/A,FALSE,"VARIATIONS";#N/A,#N/A,FALSE,"BUDGET";#N/A,#N/A,FALSE,"CIVIL QNTY VAR";#N/A,#N/A,FALSE,"SUMMARY";#N/A,#N/A,FALSE,"MATERIAL VAR"}</definedName>
    <definedName name="rghsret" hidden="1">{#N/A,#N/A,FALSE,"VARIATIONS";#N/A,#N/A,FALSE,"BUDGET";#N/A,#N/A,FALSE,"CIVIL QNTY VAR";#N/A,#N/A,FALSE,"SUMMARY";#N/A,#N/A,FALSE,"MATERIAL VAR"}</definedName>
    <definedName name="rgrtae" localSheetId="9" hidden="1">{#N/A,#N/A,FALSE,"VARIATIONS";#N/A,#N/A,FALSE,"BUDGET";#N/A,#N/A,FALSE,"CIVIL QNTY VAR";#N/A,#N/A,FALSE,"SUMMARY";#N/A,#N/A,FALSE,"MATERIAL VAR"}</definedName>
    <definedName name="rgrtae" localSheetId="0" hidden="1">{#N/A,#N/A,FALSE,"VARIATIONS";#N/A,#N/A,FALSE,"BUDGET";#N/A,#N/A,FALSE,"CIVIL QNTY VAR";#N/A,#N/A,FALSE,"SUMMARY";#N/A,#N/A,FALSE,"MATERIAL VAR"}</definedName>
    <definedName name="rgrtae" hidden="1">{#N/A,#N/A,FALSE,"VARIATIONS";#N/A,#N/A,FALSE,"BUDGET";#N/A,#N/A,FALSE,"CIVIL QNTY VAR";#N/A,#N/A,FALSE,"SUMMARY";#N/A,#N/A,FALSE,"MATERIAL VAR"}</definedName>
    <definedName name="rig" localSheetId="4">#REF!</definedName>
    <definedName name="rig" localSheetId="9">#REF!</definedName>
    <definedName name="rig" localSheetId="8">#REF!</definedName>
    <definedName name="rig">#REF!</definedName>
    <definedName name="rim4_4" localSheetId="4">#REF!</definedName>
    <definedName name="rim4_4" localSheetId="9">#REF!</definedName>
    <definedName name="rim4_4" localSheetId="8">#REF!</definedName>
    <definedName name="rim4_4">#REF!</definedName>
    <definedName name="rim4_6" localSheetId="4">#REF!</definedName>
    <definedName name="rim4_6" localSheetId="9">#REF!</definedName>
    <definedName name="rim4_6" localSheetId="8">#REF!</definedName>
    <definedName name="rim4_6">#REF!</definedName>
    <definedName name="ripal" localSheetId="9" hidden="1">{#N/A,#N/A,FALSE,"gc (2)"}</definedName>
    <definedName name="ripal" localSheetId="0" hidden="1">{#N/A,#N/A,FALSE,"gc (2)"}</definedName>
    <definedName name="ripal" hidden="1">{#N/A,#N/A,FALSE,"gc (2)"}</definedName>
    <definedName name="risk" localSheetId="4">#REF!</definedName>
    <definedName name="risk" localSheetId="9">#REF!</definedName>
    <definedName name="risk" localSheetId="8">#REF!</definedName>
    <definedName name="risk">#REF!</definedName>
    <definedName name="risk_7" localSheetId="4">#REF!</definedName>
    <definedName name="risk_7" localSheetId="9">#REF!</definedName>
    <definedName name="risk_7" localSheetId="8">#REF!</definedName>
    <definedName name="risk_7">#REF!</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Level">[103]Register!$IV$1:$IV$5</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1</definedName>
    <definedName name="RiskStatFunctionsUpdateFreq">1</definedName>
    <definedName name="RiskTemplateSheetName">"myTemplate"</definedName>
    <definedName name="RiskUpdateDisplay">TRUE</definedName>
    <definedName name="RiskUpdateStatFunctions">TRUE</definedName>
    <definedName name="RiskUseDifferentSeedForEachSim">FALSE</definedName>
    <definedName name="RiskUseFixedSeed">FALSE</definedName>
    <definedName name="RiskUseMultipleCPUs">FALSE</definedName>
    <definedName name="rj" localSheetId="4">#REF!</definedName>
    <definedName name="rj" localSheetId="9">#REF!</definedName>
    <definedName name="rj" localSheetId="8">#REF!</definedName>
    <definedName name="rj">#REF!</definedName>
    <definedName name="Rl" localSheetId="4">#REF!</definedName>
    <definedName name="Rl" localSheetId="9">#REF!</definedName>
    <definedName name="Rl" localSheetId="8">#REF!</definedName>
    <definedName name="Rl">#REF!</definedName>
    <definedName name="Rl___0" localSheetId="4">#REF!</definedName>
    <definedName name="Rl___0" localSheetId="9">#REF!</definedName>
    <definedName name="Rl___0" localSheetId="8">#REF!</definedName>
    <definedName name="Rl___0">#REF!</definedName>
    <definedName name="Rl___13" localSheetId="4">#REF!</definedName>
    <definedName name="Rl___13" localSheetId="9">#REF!</definedName>
    <definedName name="Rl___13" localSheetId="8">#REF!</definedName>
    <definedName name="Rl___13">#REF!</definedName>
    <definedName name="rm4e" localSheetId="4">#REF!</definedName>
    <definedName name="rm4e" localSheetId="9">#REF!</definedName>
    <definedName name="rm4e" localSheetId="8">#REF!</definedName>
    <definedName name="rm4e">#REF!</definedName>
    <definedName name="RMC_Production_cost" localSheetId="4">#REF!</definedName>
    <definedName name="RMC_Production_cost" localSheetId="9">#REF!</definedName>
    <definedName name="RMC_Production_cost" localSheetId="8">#REF!</definedName>
    <definedName name="RMC_Production_cost">#REF!</definedName>
    <definedName name="Roads___Footpaths" localSheetId="4">[29]Detail!#REF!</definedName>
    <definedName name="Roads___Footpaths" localSheetId="9">[29]Detail!#REF!</definedName>
    <definedName name="Roads___Footpaths" localSheetId="8">[29]Detail!#REF!</definedName>
    <definedName name="Roads___Footpaths">[29]Detail!#REF!</definedName>
    <definedName name="robot" localSheetId="4">#REF!</definedName>
    <definedName name="robot" localSheetId="9">#REF!</definedName>
    <definedName name="robot" localSheetId="8">#REF!</definedName>
    <definedName name="robot">#REF!</definedName>
    <definedName name="ROBR" localSheetId="4">#REF!</definedName>
    <definedName name="ROBR" localSheetId="9">#REF!</definedName>
    <definedName name="ROBR" localSheetId="8">#REF!</definedName>
    <definedName name="ROBR">#REF!</definedName>
    <definedName name="ROEX" localSheetId="4">#REF!</definedName>
    <definedName name="ROEX" localSheetId="9">#REF!</definedName>
    <definedName name="ROEX" localSheetId="8">#REF!</definedName>
    <definedName name="ROEX">#REF!</definedName>
    <definedName name="ROHO" localSheetId="4">#REF!</definedName>
    <definedName name="ROHO" localSheetId="9">#REF!</definedName>
    <definedName name="ROHO" localSheetId="8">#REF!</definedName>
    <definedName name="ROHO">#REF!</definedName>
    <definedName name="roll" localSheetId="4">#REF!</definedName>
    <definedName name="roll" localSheetId="9">#REF!</definedName>
    <definedName name="roll" localSheetId="8">#REF!</definedName>
    <definedName name="roll">#REF!</definedName>
    <definedName name="rope" localSheetId="4">#REF!</definedName>
    <definedName name="rope" localSheetId="9">#REF!</definedName>
    <definedName name="rope" localSheetId="8">#REF!</definedName>
    <definedName name="rope">#REF!</definedName>
    <definedName name="rosid" localSheetId="4">#REF!</definedName>
    <definedName name="rosid" localSheetId="9">#REF!</definedName>
    <definedName name="rosid" localSheetId="8">#REF!</definedName>
    <definedName name="rosid">#REF!</definedName>
    <definedName name="RPR">[24]MG!$B$214</definedName>
    <definedName name="RPRA" localSheetId="4">[15]GE!#REF!</definedName>
    <definedName name="RPRA" localSheetId="9">[15]GE!#REF!</definedName>
    <definedName name="RPRA" localSheetId="8">[15]GE!#REF!</definedName>
    <definedName name="RPRA">[15]GE!#REF!</definedName>
    <definedName name="RPRG" localSheetId="4">[15]GE!#REF!</definedName>
    <definedName name="RPRG" localSheetId="9">[15]GE!#REF!</definedName>
    <definedName name="RPRG" localSheetId="8">[15]GE!#REF!</definedName>
    <definedName name="RPRG">[15]GE!#REF!</definedName>
    <definedName name="rr" localSheetId="9" hidden="1">{#N/A,#N/A,FALSE,"VARIATIONS";#N/A,#N/A,FALSE,"BUDGET";#N/A,#N/A,FALSE,"CIVIL QNTY VAR";#N/A,#N/A,FALSE,"SUMMARY";#N/A,#N/A,FALSE,"MATERIAL VAR"}</definedName>
    <definedName name="rr" localSheetId="0" hidden="1">{#N/A,#N/A,FALSE,"VARIATIONS";#N/A,#N/A,FALSE,"BUDGET";#N/A,#N/A,FALSE,"CIVIL QNTY VAR";#N/A,#N/A,FALSE,"SUMMARY";#N/A,#N/A,FALSE,"MATERIAL VAR"}</definedName>
    <definedName name="rr" hidden="1">{#N/A,#N/A,FALSE,"VARIATIONS";#N/A,#N/A,FALSE,"BUDGET";#N/A,#N/A,FALSE,"CIVIL QNTY VAR";#N/A,#N/A,FALSE,"SUMMARY";#N/A,#N/A,FALSE,"MATERIAL VAR"}</definedName>
    <definedName name="rrcost" localSheetId="4">#REF!</definedName>
    <definedName name="rrcost" localSheetId="9">#REF!</definedName>
    <definedName name="rrcost" localSheetId="8">#REF!</definedName>
    <definedName name="rrcost">#REF!</definedName>
    <definedName name="rrrr" localSheetId="9" hidden="1">{#N/A,#N/A,FALSE,"VARIATIONS";#N/A,#N/A,FALSE,"BUDGET";#N/A,#N/A,FALSE,"CIVIL QNTY VAR";#N/A,#N/A,FALSE,"SUMMARY";#N/A,#N/A,FALSE,"MATERIAL VAR"}</definedName>
    <definedName name="rrrr" localSheetId="0" hidden="1">{#N/A,#N/A,FALSE,"VARIATIONS";#N/A,#N/A,FALSE,"BUDGET";#N/A,#N/A,FALSE,"CIVIL QNTY VAR";#N/A,#N/A,FALSE,"SUMMARY";#N/A,#N/A,FALSE,"MATERIAL VAR"}</definedName>
    <definedName name="rrrr" hidden="1">{#N/A,#N/A,FALSE,"VARIATIONS";#N/A,#N/A,FALSE,"BUDGET";#N/A,#N/A,FALSE,"CIVIL QNTY VAR";#N/A,#N/A,FALSE,"SUMMARY";#N/A,#N/A,FALSE,"MATERIAL VAR"}</definedName>
    <definedName name="Rs" localSheetId="4">#REF!</definedName>
    <definedName name="Rs" localSheetId="9">#REF!</definedName>
    <definedName name="Rs" localSheetId="8">#REF!</definedName>
    <definedName name="Rs">#REF!</definedName>
    <definedName name="Rs___0" localSheetId="4">#REF!</definedName>
    <definedName name="Rs___0" localSheetId="9">#REF!</definedName>
    <definedName name="Rs___0" localSheetId="8">#REF!</definedName>
    <definedName name="Rs___0">#REF!</definedName>
    <definedName name="Rs___13" localSheetId="4">#REF!</definedName>
    <definedName name="Rs___13" localSheetId="9">#REF!</definedName>
    <definedName name="Rs___13" localSheetId="8">#REF!</definedName>
    <definedName name="Rs___13">#REF!</definedName>
    <definedName name="Rse" localSheetId="4">#REF!</definedName>
    <definedName name="Rse" localSheetId="9">#REF!</definedName>
    <definedName name="Rse" localSheetId="8">#REF!</definedName>
    <definedName name="Rse">#REF!</definedName>
    <definedName name="Rse___0" localSheetId="4">#REF!</definedName>
    <definedName name="Rse___0" localSheetId="9">#REF!</definedName>
    <definedName name="Rse___0" localSheetId="8">#REF!</definedName>
    <definedName name="Rse___0">#REF!</definedName>
    <definedName name="Rse___13" localSheetId="4">#REF!</definedName>
    <definedName name="Rse___13" localSheetId="9">#REF!</definedName>
    <definedName name="Rse___13" localSheetId="8">#REF!</definedName>
    <definedName name="Rse___13">#REF!</definedName>
    <definedName name="RT" localSheetId="4">#REF!</definedName>
    <definedName name="RT" localSheetId="9">#REF!</definedName>
    <definedName name="RT" localSheetId="8">#REF!</definedName>
    <definedName name="RT">#REF!</definedName>
    <definedName name="rtr" localSheetId="4">#REF!</definedName>
    <definedName name="rtr" localSheetId="9">#REF!</definedName>
    <definedName name="rtr" localSheetId="8">#REF!</definedName>
    <definedName name="rtr">#REF!</definedName>
    <definedName name="RTV" localSheetId="4">#REF!</definedName>
    <definedName name="RTV" localSheetId="9">#REF!</definedName>
    <definedName name="RTV" localSheetId="8">#REF!</definedName>
    <definedName name="RTV">#REF!</definedName>
    <definedName name="RTVD" localSheetId="4">#REF!</definedName>
    <definedName name="RTVD" localSheetId="9">#REF!</definedName>
    <definedName name="RTVD" localSheetId="8">#REF!</definedName>
    <definedName name="RTVD">#REF!</definedName>
    <definedName name="ru" localSheetId="4">#REF!</definedName>
    <definedName name="ru" localSheetId="9">#REF!</definedName>
    <definedName name="ru" localSheetId="8">#REF!</definedName>
    <definedName name="ru">#REF!</definedName>
    <definedName name="RYB" localSheetId="4">#REF!</definedName>
    <definedName name="RYB" localSheetId="9">#REF!</definedName>
    <definedName name="RYB" localSheetId="8">#REF!</definedName>
    <definedName name="RYB">#REF!</definedName>
    <definedName name="ryrt" localSheetId="9" hidden="1">{#N/A,#N/A,FALSE,"VARIATIONS";#N/A,#N/A,FALSE,"BUDGET";#N/A,#N/A,FALSE,"CIVIL QNTY VAR";#N/A,#N/A,FALSE,"SUMMARY";#N/A,#N/A,FALSE,"MATERIAL VAR"}</definedName>
    <definedName name="ryrt" localSheetId="0" hidden="1">{#N/A,#N/A,FALSE,"VARIATIONS";#N/A,#N/A,FALSE,"BUDGET";#N/A,#N/A,FALSE,"CIVIL QNTY VAR";#N/A,#N/A,FALSE,"SUMMARY";#N/A,#N/A,FALSE,"MATERIAL VAR"}</definedName>
    <definedName name="ryrt" hidden="1">{#N/A,#N/A,FALSE,"VARIATIONS";#N/A,#N/A,FALSE,"BUDGET";#N/A,#N/A,FALSE,"CIVIL QNTY VAR";#N/A,#N/A,FALSE,"SUMMARY";#N/A,#N/A,FALSE,"MATERIAL VAR"}</definedName>
    <definedName name="rysrt" localSheetId="9" hidden="1">{#N/A,#N/A,FALSE,"VARIATIONS";#N/A,#N/A,FALSE,"BUDGET";#N/A,#N/A,FALSE,"CIVIL QNTY VAR";#N/A,#N/A,FALSE,"SUMMARY";#N/A,#N/A,FALSE,"MATERIAL VAR"}</definedName>
    <definedName name="rysrt" localSheetId="0" hidden="1">{#N/A,#N/A,FALSE,"VARIATIONS";#N/A,#N/A,FALSE,"BUDGET";#N/A,#N/A,FALSE,"CIVIL QNTY VAR";#N/A,#N/A,FALSE,"SUMMARY";#N/A,#N/A,FALSE,"MATERIAL VAR"}</definedName>
    <definedName name="rysrt" hidden="1">{#N/A,#N/A,FALSE,"VARIATIONS";#N/A,#N/A,FALSE,"BUDGET";#N/A,#N/A,FALSE,"CIVIL QNTY VAR";#N/A,#N/A,FALSE,"SUMMARY";#N/A,#N/A,FALSE,"MATERIAL VAR"}</definedName>
    <definedName name="s" localSheetId="4">'[104]BOQ_Direct_selling cost'!#REF!</definedName>
    <definedName name="s" localSheetId="9">'[104]BOQ_Direct_selling cost'!#REF!</definedName>
    <definedName name="s" localSheetId="8">'[104]BOQ_Direct_selling cost'!#REF!</definedName>
    <definedName name="s">'[104]BOQ_Direct_selling cost'!#REF!</definedName>
    <definedName name="S0" localSheetId="4">#REF!</definedName>
    <definedName name="S0" localSheetId="9">#REF!</definedName>
    <definedName name="S0" localSheetId="8">#REF!</definedName>
    <definedName name="S0">#REF!</definedName>
    <definedName name="S1_" localSheetId="4">#REF!</definedName>
    <definedName name="S1_" localSheetId="9">#REF!</definedName>
    <definedName name="S1_" localSheetId="8">#REF!</definedName>
    <definedName name="S1_">#REF!</definedName>
    <definedName name="S2_" localSheetId="4">#REF!</definedName>
    <definedName name="S2_" localSheetId="9">#REF!</definedName>
    <definedName name="S2_" localSheetId="8">#REF!</definedName>
    <definedName name="S2_">#REF!</definedName>
    <definedName name="SA" localSheetId="4">#REF!</definedName>
    <definedName name="SA" localSheetId="9">#REF!</definedName>
    <definedName name="SA" localSheetId="8">#REF!</definedName>
    <definedName name="SA">#REF!</definedName>
    <definedName name="Safeda_Balli" localSheetId="4">#REF!</definedName>
    <definedName name="Safeda_Balli" localSheetId="9">#REF!</definedName>
    <definedName name="Safeda_Balli" localSheetId="8">#REF!</definedName>
    <definedName name="Safeda_Balli">#REF!</definedName>
    <definedName name="SAIZU" localSheetId="4">#REF!</definedName>
    <definedName name="SAIZU" localSheetId="9">#REF!</definedName>
    <definedName name="SAIZU" localSheetId="8">#REF!</definedName>
    <definedName name="SAIZU">#REF!</definedName>
    <definedName name="sales" localSheetId="4">#REF!</definedName>
    <definedName name="sales" localSheetId="9">#REF!</definedName>
    <definedName name="sales" localSheetId="8">#REF!</definedName>
    <definedName name="sales">#REF!</definedName>
    <definedName name="SalesMgr" localSheetId="4">#REF!</definedName>
    <definedName name="SalesMgr" localSheetId="9">#REF!</definedName>
    <definedName name="SalesMgr" localSheetId="8">#REF!</definedName>
    <definedName name="SalesMgr">#REF!</definedName>
    <definedName name="SalesMgr_4" localSheetId="4">#REF!</definedName>
    <definedName name="SalesMgr_4" localSheetId="9">#REF!</definedName>
    <definedName name="SalesMgr_4" localSheetId="8">#REF!</definedName>
    <definedName name="SalesMgr_4">#REF!</definedName>
    <definedName name="SalesMgr_6" localSheetId="4">#REF!</definedName>
    <definedName name="SalesMgr_6" localSheetId="9">#REF!</definedName>
    <definedName name="SalesMgr_6" localSheetId="8">#REF!</definedName>
    <definedName name="SalesMgr_6">#REF!</definedName>
    <definedName name="Sanitary_Fixtures" localSheetId="4">[29]Detail!#REF!</definedName>
    <definedName name="Sanitary_Fixtures" localSheetId="9">[29]Detail!#REF!</definedName>
    <definedName name="Sanitary_Fixtures" localSheetId="8">[29]Detail!#REF!</definedName>
    <definedName name="Sanitary_Fixtures">[29]Detail!#REF!</definedName>
    <definedName name="Sanitary_Plumbing" localSheetId="4">[29]Detail!#REF!</definedName>
    <definedName name="Sanitary_Plumbing" localSheetId="9">[29]Detail!#REF!</definedName>
    <definedName name="Sanitary_Plumbing" localSheetId="8">[29]Detail!#REF!</definedName>
    <definedName name="Sanitary_Plumbing">[29]Detail!#REF!</definedName>
    <definedName name="sanju" localSheetId="9" hidden="1">{"office ltcg",#N/A,FALSE,"gain01";"IT LTCG",#N/A,FALSE,"gain01"}</definedName>
    <definedName name="sanju" localSheetId="0" hidden="1">{"office ltcg",#N/A,FALSE,"gain01";"IT LTCG",#N/A,FALSE,"gain01"}</definedName>
    <definedName name="sanju" hidden="1">{"office ltcg",#N/A,FALSE,"gain01";"IT LTCG",#N/A,FALSE,"gain01"}</definedName>
    <definedName name="SANYO" localSheetId="4">#REF!</definedName>
    <definedName name="SANYO" localSheetId="9">#REF!</definedName>
    <definedName name="SANYO" localSheetId="8">#REF!</definedName>
    <definedName name="SANYO">#REF!</definedName>
    <definedName name="SANYO１" localSheetId="4">#REF!</definedName>
    <definedName name="SANYO１" localSheetId="9">#REF!</definedName>
    <definedName name="SANYO１" localSheetId="8">#REF!</definedName>
    <definedName name="SANYO１">#REF!</definedName>
    <definedName name="SASDASD" localSheetId="4">#REF!</definedName>
    <definedName name="SASDASD" localSheetId="9">#REF!</definedName>
    <definedName name="SASDASD" localSheetId="8">#REF!</definedName>
    <definedName name="SASDASD">#REF!</definedName>
    <definedName name="saucomd" localSheetId="4">#REF!</definedName>
    <definedName name="saucomd" localSheetId="9">#REF!</definedName>
    <definedName name="saucomd" localSheetId="8">#REF!</definedName>
    <definedName name="saucomd">#REF!</definedName>
    <definedName name="saucstf" localSheetId="4">#REF!</definedName>
    <definedName name="saucstf" localSheetId="9">#REF!</definedName>
    <definedName name="saucstf" localSheetId="8">#REF!</definedName>
    <definedName name="saucstf">#REF!</definedName>
    <definedName name="saud" localSheetId="4">#REF!</definedName>
    <definedName name="saud" localSheetId="9">#REF!</definedName>
    <definedName name="saud" localSheetId="8">#REF!</definedName>
    <definedName name="saud">#REF!</definedName>
    <definedName name="saud_4" localSheetId="4">#REF!</definedName>
    <definedName name="saud_4" localSheetId="9">#REF!</definedName>
    <definedName name="saud_4" localSheetId="8">#REF!</definedName>
    <definedName name="saud_4">#REF!</definedName>
    <definedName name="saud_6" localSheetId="4">#REF!</definedName>
    <definedName name="saud_6" localSheetId="9">#REF!</definedName>
    <definedName name="saud_6" localSheetId="8">#REF!</definedName>
    <definedName name="saud_6">#REF!</definedName>
    <definedName name="saudirf" localSheetId="4">#REF!</definedName>
    <definedName name="saudirf" localSheetId="9">#REF!</definedName>
    <definedName name="saudirf" localSheetId="8">#REF!</definedName>
    <definedName name="saudirf">#REF!</definedName>
    <definedName name="sauf" localSheetId="4">#REF!</definedName>
    <definedName name="sauf" localSheetId="9">#REF!</definedName>
    <definedName name="sauf" localSheetId="8">#REF!</definedName>
    <definedName name="sauf">#REF!</definedName>
    <definedName name="sauf_4" localSheetId="4">#REF!</definedName>
    <definedName name="sauf_4" localSheetId="9">#REF!</definedName>
    <definedName name="sauf_4" localSheetId="8">#REF!</definedName>
    <definedName name="sauf_4">#REF!</definedName>
    <definedName name="sauf_6" localSheetId="4">#REF!</definedName>
    <definedName name="sauf_6" localSheetId="9">#REF!</definedName>
    <definedName name="sauf_6" localSheetId="8">#REF!</definedName>
    <definedName name="sauf_6">#REF!</definedName>
    <definedName name="sauif" localSheetId="4">#REF!</definedName>
    <definedName name="sauif" localSheetId="9">#REF!</definedName>
    <definedName name="sauif" localSheetId="8">#REF!</definedName>
    <definedName name="sauif">#REF!</definedName>
    <definedName name="sauif_4" localSheetId="4">#REF!</definedName>
    <definedName name="sauif_4" localSheetId="9">#REF!</definedName>
    <definedName name="sauif_4" localSheetId="8">#REF!</definedName>
    <definedName name="sauif_4">#REF!</definedName>
    <definedName name="sauif_6" localSheetId="4">#REF!</definedName>
    <definedName name="sauif_6" localSheetId="9">#REF!</definedName>
    <definedName name="sauif_6" localSheetId="8">#REF!</definedName>
    <definedName name="sauif_6">#REF!</definedName>
    <definedName name="sauspad" localSheetId="4">#REF!</definedName>
    <definedName name="sauspad" localSheetId="9">#REF!</definedName>
    <definedName name="sauspad" localSheetId="8">#REF!</definedName>
    <definedName name="sauspad">#REF!</definedName>
    <definedName name="sausysd" localSheetId="4">#REF!</definedName>
    <definedName name="sausysd" localSheetId="9">#REF!</definedName>
    <definedName name="sausysd" localSheetId="8">#REF!</definedName>
    <definedName name="sausysd">#REF!</definedName>
    <definedName name="Scaffolding" localSheetId="4">#REF!</definedName>
    <definedName name="Scaffolding" localSheetId="9">#REF!</definedName>
    <definedName name="Scaffolding" localSheetId="8">#REF!</definedName>
    <definedName name="Scaffolding">#REF!</definedName>
    <definedName name="SCC" localSheetId="4">#REF!</definedName>
    <definedName name="SCC" localSheetId="9">#REF!</definedName>
    <definedName name="SCC" localSheetId="8">#REF!</definedName>
    <definedName name="SCC">#REF!</definedName>
    <definedName name="SCD" localSheetId="4">#REF!</definedName>
    <definedName name="SCD" localSheetId="9">#REF!</definedName>
    <definedName name="SCD" localSheetId="8">#REF!</definedName>
    <definedName name="SCD">#REF!</definedName>
    <definedName name="SCE" localSheetId="4">#REF!</definedName>
    <definedName name="SCE" localSheetId="9">#REF!</definedName>
    <definedName name="SCE" localSheetId="8">#REF!</definedName>
    <definedName name="SCE">#REF!</definedName>
    <definedName name="SCED" localSheetId="4">#REF!</definedName>
    <definedName name="SCED" localSheetId="9">#REF!</definedName>
    <definedName name="SCED" localSheetId="8">#REF!</definedName>
    <definedName name="SCED">#REF!</definedName>
    <definedName name="sch" localSheetId="4">'[105]purpose&amp;input'!#REF!</definedName>
    <definedName name="sch" localSheetId="9">'[105]purpose&amp;input'!#REF!</definedName>
    <definedName name="sch" localSheetId="8">'[105]purpose&amp;input'!#REF!</definedName>
    <definedName name="sch">'[105]purpose&amp;input'!#REF!</definedName>
    <definedName name="schools" localSheetId="4">#REF!</definedName>
    <definedName name="schools" localSheetId="9">#REF!</definedName>
    <definedName name="schools" localSheetId="8">#REF!</definedName>
    <definedName name="schools">#REF!</definedName>
    <definedName name="sd" localSheetId="4">[86]電気設備表!#REF!</definedName>
    <definedName name="sd" localSheetId="9">[86]電気設備表!#REF!</definedName>
    <definedName name="sd" localSheetId="8">[86]電気設備表!#REF!</definedName>
    <definedName name="sd">[86]電気設備表!#REF!</definedName>
    <definedName name="Sdate" localSheetId="4">#REF!</definedName>
    <definedName name="Sdate" localSheetId="9">#REF!</definedName>
    <definedName name="Sdate" localSheetId="8">#REF!</definedName>
    <definedName name="Sdate">#REF!</definedName>
    <definedName name="SDC" localSheetId="4">[14]Costing!#REF!</definedName>
    <definedName name="SDC" localSheetId="9">[14]Costing!#REF!</definedName>
    <definedName name="SDC" localSheetId="8">[14]Costing!#REF!</definedName>
    <definedName name="SDC">[14]Costing!#REF!</definedName>
    <definedName name="sdpl" localSheetId="4">#REF!</definedName>
    <definedName name="sdpl" localSheetId="9">#REF!</definedName>
    <definedName name="sdpl" localSheetId="8">#REF!</definedName>
    <definedName name="sdpl">#REF!</definedName>
    <definedName name="SDPLBS" localSheetId="4">#REF!</definedName>
    <definedName name="SDPLBS" localSheetId="9">#REF!</definedName>
    <definedName name="SDPLBS" localSheetId="8">#REF!</definedName>
    <definedName name="SDPLBS">#REF!</definedName>
    <definedName name="SDPLFA" localSheetId="4">#REF!</definedName>
    <definedName name="SDPLFA" localSheetId="9">#REF!</definedName>
    <definedName name="SDPLFA" localSheetId="8">#REF!</definedName>
    <definedName name="SDPLFA">#REF!</definedName>
    <definedName name="SDPLPL" localSheetId="4">#REF!</definedName>
    <definedName name="SDPLPL" localSheetId="9">#REF!</definedName>
    <definedName name="SDPLPL" localSheetId="8">#REF!</definedName>
    <definedName name="SDPLPL">#REF!</definedName>
    <definedName name="sdsd" localSheetId="4">#REF!</definedName>
    <definedName name="sdsd" localSheetId="9">#REF!</definedName>
    <definedName name="sdsd" localSheetId="8">#REF!</definedName>
    <definedName name="sdsd">#REF!</definedName>
    <definedName name="se" localSheetId="4">#REF!</definedName>
    <definedName name="se" localSheetId="9">#REF!</definedName>
    <definedName name="se" localSheetId="8">#REF!</definedName>
    <definedName name="se">#REF!</definedName>
    <definedName name="sec">'[106]RA-markate'!$A$389:$B$1034</definedName>
    <definedName name="sec_deposit" localSheetId="4">#REF!</definedName>
    <definedName name="sec_deposit" localSheetId="9">#REF!</definedName>
    <definedName name="sec_deposit" localSheetId="8">#REF!</definedName>
    <definedName name="sec_deposit">#REF!</definedName>
    <definedName name="SECT" localSheetId="4">#REF!</definedName>
    <definedName name="SECT" localSheetId="9">#REF!</definedName>
    <definedName name="SECT" localSheetId="8">#REF!</definedName>
    <definedName name="SECT">#REF!</definedName>
    <definedName name="sect1">'[106]RA-markate'!$A$389:$B$1034</definedName>
    <definedName name="SECTION" localSheetId="4">#REF!</definedName>
    <definedName name="SECTION" localSheetId="9">#REF!</definedName>
    <definedName name="SECTION" localSheetId="8">#REF!</definedName>
    <definedName name="SECTION">#REF!</definedName>
    <definedName name="Section_1_Title" localSheetId="4">#REF!</definedName>
    <definedName name="Section_1_Title" localSheetId="9">#REF!</definedName>
    <definedName name="Section_1_Title" localSheetId="8">#REF!</definedName>
    <definedName name="Section_1_Title">#REF!</definedName>
    <definedName name="Section_2_Title" localSheetId="4">#REF!</definedName>
    <definedName name="Section_2_Title" localSheetId="9">#REF!</definedName>
    <definedName name="Section_2_Title" localSheetId="8">#REF!</definedName>
    <definedName name="Section_2_Title">#REF!</definedName>
    <definedName name="Section_3_Title" localSheetId="4">#REF!</definedName>
    <definedName name="Section_3_Title" localSheetId="9">#REF!</definedName>
    <definedName name="Section_3_Title" localSheetId="8">#REF!</definedName>
    <definedName name="Section_3_Title">#REF!</definedName>
    <definedName name="Section_4_Title" localSheetId="4">#REF!</definedName>
    <definedName name="Section_4_Title" localSheetId="9">#REF!</definedName>
    <definedName name="Section_4_Title" localSheetId="8">#REF!</definedName>
    <definedName name="Section_4_Title">#REF!</definedName>
    <definedName name="Section_5_Title" localSheetId="4">#REF!</definedName>
    <definedName name="Section_5_Title" localSheetId="9">#REF!</definedName>
    <definedName name="Section_5_Title" localSheetId="8">#REF!</definedName>
    <definedName name="Section_5_Title">#REF!</definedName>
    <definedName name="Section_6_Title" localSheetId="4">#REF!</definedName>
    <definedName name="Section_6_Title" localSheetId="9">#REF!</definedName>
    <definedName name="Section_6_Title" localSheetId="8">#REF!</definedName>
    <definedName name="Section_6_Title">#REF!</definedName>
    <definedName name="Section_7_Title" localSheetId="4">#REF!</definedName>
    <definedName name="Section_7_Title" localSheetId="9">#REF!</definedName>
    <definedName name="Section_7_Title" localSheetId="8">#REF!</definedName>
    <definedName name="Section_7_Title">#REF!</definedName>
    <definedName name="Section_8_Title" localSheetId="4">#REF!</definedName>
    <definedName name="Section_8_Title" localSheetId="9">#REF!</definedName>
    <definedName name="Section_8_Title" localSheetId="8">#REF!</definedName>
    <definedName name="Section_8_Title">#REF!</definedName>
    <definedName name="secured" localSheetId="4">#REF!</definedName>
    <definedName name="secured" localSheetId="9">#REF!</definedName>
    <definedName name="secured" localSheetId="8">#REF!</definedName>
    <definedName name="secured">#REF!</definedName>
    <definedName name="SelectedLanguage" localSheetId="4">#REF!</definedName>
    <definedName name="SelectedLanguage" localSheetId="9">#REF!</definedName>
    <definedName name="SelectedLanguage" localSheetId="8">#REF!</definedName>
    <definedName name="SelectedLanguage">#REF!</definedName>
    <definedName name="SelectedLanguage_4" localSheetId="4">#REF!</definedName>
    <definedName name="SelectedLanguage_4" localSheetId="9">#REF!</definedName>
    <definedName name="SelectedLanguage_4" localSheetId="8">#REF!</definedName>
    <definedName name="SelectedLanguage_4">#REF!</definedName>
    <definedName name="SelectedLanguage_6" localSheetId="4">#REF!</definedName>
    <definedName name="SelectedLanguage_6" localSheetId="9">#REF!</definedName>
    <definedName name="SelectedLanguage_6" localSheetId="8">#REF!</definedName>
    <definedName name="SelectedLanguage_6">#REF!</definedName>
    <definedName name="Semi">'[91]labour rates'!$C$6</definedName>
    <definedName name="sencount" hidden="1">1</definedName>
    <definedName name="serf" localSheetId="4">#REF!</definedName>
    <definedName name="serf" localSheetId="9">#REF!</definedName>
    <definedName name="serf" localSheetId="8">#REF!</definedName>
    <definedName name="serf">#REF!</definedName>
    <definedName name="servf" localSheetId="4">#REF!</definedName>
    <definedName name="servf" localSheetId="9">#REF!</definedName>
    <definedName name="servf" localSheetId="8">#REF!</definedName>
    <definedName name="servf">#REF!</definedName>
    <definedName name="Setflag" localSheetId="4">#REF!</definedName>
    <definedName name="Setflag" localSheetId="9">#REF!</definedName>
    <definedName name="Setflag" localSheetId="8">#REF!</definedName>
    <definedName name="Setflag">#REF!</definedName>
    <definedName name="SF" localSheetId="4">#REF!</definedName>
    <definedName name="SF" localSheetId="9">#REF!</definedName>
    <definedName name="SF" localSheetId="8">#REF!</definedName>
    <definedName name="SF">#REF!</definedName>
    <definedName name="sfh" localSheetId="3">#REF!</definedName>
    <definedName name="sfh" localSheetId="4">#REF!</definedName>
    <definedName name="sfh" localSheetId="9">#REF!</definedName>
    <definedName name="sfh" localSheetId="8">#REF!</definedName>
    <definedName name="sfh">#REF!</definedName>
    <definedName name="SFT" localSheetId="4">'[40]Area Statement'!#REF!</definedName>
    <definedName name="SFT" localSheetId="9">'[40]Area Statement'!#REF!</definedName>
    <definedName name="SFT" localSheetId="8">'[40]Area Statement'!#REF!</definedName>
    <definedName name="SFT">'[40]Area Statement'!#REF!</definedName>
    <definedName name="SFU_100_4P" localSheetId="4">#REF!</definedName>
    <definedName name="SFU_100_4P" localSheetId="9">#REF!</definedName>
    <definedName name="SFU_100_4P" localSheetId="8">#REF!</definedName>
    <definedName name="SFU_100_4P">#REF!</definedName>
    <definedName name="SFU_125_4P" localSheetId="4">#REF!</definedName>
    <definedName name="SFU_125_4P" localSheetId="9">#REF!</definedName>
    <definedName name="SFU_125_4P" localSheetId="8">#REF!</definedName>
    <definedName name="SFU_125_4P">#REF!</definedName>
    <definedName name="SFU_160_4P" localSheetId="4">#REF!</definedName>
    <definedName name="SFU_160_4P" localSheetId="9">#REF!</definedName>
    <definedName name="SFU_160_4P" localSheetId="8">#REF!</definedName>
    <definedName name="SFU_160_4P">#REF!</definedName>
    <definedName name="SFU_250" localSheetId="4">#REF!</definedName>
    <definedName name="SFU_250" localSheetId="9">#REF!</definedName>
    <definedName name="SFU_250" localSheetId="8">#REF!</definedName>
    <definedName name="SFU_250">#REF!</definedName>
    <definedName name="SFU_250_4P" localSheetId="4">#REF!</definedName>
    <definedName name="SFU_250_4P" localSheetId="9">#REF!</definedName>
    <definedName name="SFU_250_4P" localSheetId="8">#REF!</definedName>
    <definedName name="SFU_250_4P">#REF!</definedName>
    <definedName name="SFU_63" localSheetId="4">#REF!</definedName>
    <definedName name="SFU_63" localSheetId="9">#REF!</definedName>
    <definedName name="SFU_63" localSheetId="8">#REF!</definedName>
    <definedName name="SFU_63">#REF!</definedName>
    <definedName name="SFU125L" localSheetId="4">[15]ABB!#REF!</definedName>
    <definedName name="SFU125L" localSheetId="9">[15]ABB!#REF!</definedName>
    <definedName name="SFU125L" localSheetId="8">[15]ABB!#REF!</definedName>
    <definedName name="SFU125L">[15]ABB!#REF!</definedName>
    <definedName name="SFU200L" localSheetId="4">[15]ABB!#REF!</definedName>
    <definedName name="SFU200L" localSheetId="9">[15]ABB!#REF!</definedName>
    <definedName name="SFU200L" localSheetId="8">[15]ABB!#REF!</definedName>
    <definedName name="SFU200L">[15]ABB!#REF!</definedName>
    <definedName name="SFU32L" localSheetId="4">[15]ABB!#REF!</definedName>
    <definedName name="SFU32L" localSheetId="9">[15]ABB!#REF!</definedName>
    <definedName name="SFU32L" localSheetId="8">[15]ABB!#REF!</definedName>
    <definedName name="SFU32L">[15]ABB!#REF!</definedName>
    <definedName name="SFU400_TPN" localSheetId="4">[50]Costing!#REF!</definedName>
    <definedName name="SFU400_TPN" localSheetId="9">[50]Costing!#REF!</definedName>
    <definedName name="SFU400_TPN" localSheetId="8">[50]Costing!#REF!</definedName>
    <definedName name="SFU400_TPN">[50]Costing!#REF!</definedName>
    <definedName name="SFU63L" localSheetId="4">[15]ABB!#REF!</definedName>
    <definedName name="SFU63L" localSheetId="9">[15]ABB!#REF!</definedName>
    <definedName name="SFU63L" localSheetId="8">[15]ABB!#REF!</definedName>
    <definedName name="SFU63L">[15]ABB!#REF!</definedName>
    <definedName name="sh0.5" localSheetId="4">#REF!</definedName>
    <definedName name="sh0.5" localSheetId="9">#REF!</definedName>
    <definedName name="sh0.5" localSheetId="8">#REF!</definedName>
    <definedName name="sh0.5">#REF!</definedName>
    <definedName name="sh0.6" localSheetId="4">#REF!</definedName>
    <definedName name="sh0.6" localSheetId="9">#REF!</definedName>
    <definedName name="sh0.6" localSheetId="8">#REF!</definedName>
    <definedName name="sh0.6">#REF!</definedName>
    <definedName name="sh0.8" localSheetId="4">#REF!</definedName>
    <definedName name="sh0.8" localSheetId="9">#REF!</definedName>
    <definedName name="sh0.8" localSheetId="8">#REF!</definedName>
    <definedName name="sh0.8">#REF!</definedName>
    <definedName name="sh1.0" localSheetId="4">#REF!</definedName>
    <definedName name="sh1.0" localSheetId="9">#REF!</definedName>
    <definedName name="sh1.0" localSheetId="8">#REF!</definedName>
    <definedName name="sh1.0">#REF!</definedName>
    <definedName name="sh1.2" localSheetId="4">#REF!</definedName>
    <definedName name="sh1.2" localSheetId="9">#REF!</definedName>
    <definedName name="sh1.2" localSheetId="8">#REF!</definedName>
    <definedName name="sh1.2">#REF!</definedName>
    <definedName name="shape" localSheetId="4">#REF!</definedName>
    <definedName name="shape" localSheetId="9">#REF!</definedName>
    <definedName name="shape" localSheetId="8">#REF!</definedName>
    <definedName name="shape">#REF!</definedName>
    <definedName name="SHARED_FORMULA_5_239_5_239_3">+((5200)*1.03)</definedName>
    <definedName name="SHARED_FORMULA_5_256_5_256_8">300*10.764*1.1+((((0.024*0.25*1.02*1000*1.05)+2*1.05)*(275/50)+4.5*1.05*23)+((1.07/2)*0.024*(8000/2.83)*1.05*1.15)+((1.07/2)*0.024*(6000/2.83)*1.05*1.15)+50*1.05)</definedName>
    <definedName name="SHARED_FORMULA_5_284_5_284_8">300*10.764*1.1+((((0.024*0.25*1.05*1000)+4.5*1.05)*(275/50)+2*23*1.05)+((1.07/2)*0.024*(8000/2.83)*1.05*1.15)+((1.07/2)*0.024*(6000/2.83)*1.05*1.15)+50*1.05)</definedName>
    <definedName name="SHARED_FORMULA_5_335_5_335_8">(200*10.764*1.15+(((0.024*0.38*1000*1.05))*(5.5)+3*1.05*23)+((1.07/2)*0.024*(8000/2.83)*1.05*1.15)+((1.07/2)*0.024*(6000/2.83)*1.05*1.15)+(50*1.05))*0.3</definedName>
    <definedName name="SHARED_FORMULA_5_382_5_382_8">300*10.764*1.15+(((0.024*0.38*1.05*1000)*(275/50)+5*1.05*23))+((1.07/2)*0.024*(8000/2.83)*1.05*1.15)+((1.07/2)*0.024*(6000/2.83)*1.05*1.15)+50*1.05</definedName>
    <definedName name="SHARED_FORMULA_5_413_5_413_8">300*10.764*1.15+250*1.05</definedName>
    <definedName name="shd" localSheetId="4">#REF!</definedName>
    <definedName name="shd" localSheetId="9">#REF!</definedName>
    <definedName name="shd" localSheetId="8">#REF!</definedName>
    <definedName name="shd">#REF!</definedName>
    <definedName name="sheet1" localSheetId="4">#REF!</definedName>
    <definedName name="sheet1" localSheetId="9">#REF!</definedName>
    <definedName name="sheet1" localSheetId="8">#REF!</definedName>
    <definedName name="sheet1">#REF!</definedName>
    <definedName name="sheet1___0" localSheetId="4">#REF!</definedName>
    <definedName name="sheet1___0" localSheetId="9">#REF!</definedName>
    <definedName name="sheet1___0" localSheetId="8">#REF!</definedName>
    <definedName name="sheet1___0">#REF!</definedName>
    <definedName name="sheet1___13" localSheetId="4">#REF!</definedName>
    <definedName name="sheet1___13" localSheetId="9">#REF!</definedName>
    <definedName name="sheet1___13" localSheetId="8">#REF!</definedName>
    <definedName name="sheet1___13">#REF!</definedName>
    <definedName name="shf" localSheetId="4">#REF!</definedName>
    <definedName name="shf" localSheetId="9">#REF!</definedName>
    <definedName name="shf" localSheetId="8">#REF!</definedName>
    <definedName name="shf">#REF!</definedName>
    <definedName name="shi" localSheetId="4">#REF!</definedName>
    <definedName name="shi" localSheetId="9">#REF!</definedName>
    <definedName name="shi" localSheetId="8">#REF!</definedName>
    <definedName name="shi">#REF!</definedName>
    <definedName name="shiva" localSheetId="4">#REF!</definedName>
    <definedName name="shiva" localSheetId="9">#REF!</definedName>
    <definedName name="shiva" localSheetId="8">#REF!</definedName>
    <definedName name="shiva">#REF!</definedName>
    <definedName name="SHOHIZEI_GAKU" localSheetId="4">#REF!</definedName>
    <definedName name="SHOHIZEI_GAKU" localSheetId="9">#REF!</definedName>
    <definedName name="SHOHIZEI_GAKU" localSheetId="8">#REF!</definedName>
    <definedName name="SHOHIZEI_GAKU">#REF!</definedName>
    <definedName name="SHOHIZEI_GAKU_2" localSheetId="4">#REF!</definedName>
    <definedName name="SHOHIZEI_GAKU_2" localSheetId="9">#REF!</definedName>
    <definedName name="SHOHIZEI_GAKU_2" localSheetId="8">#REF!</definedName>
    <definedName name="SHOHIZEI_GAKU_2">#REF!</definedName>
    <definedName name="SHOPBOQ" localSheetId="4">#REF!</definedName>
    <definedName name="SHOPBOQ" localSheetId="9">#REF!</definedName>
    <definedName name="SHOPBOQ" localSheetId="8">#REF!</definedName>
    <definedName name="SHOPBOQ">#REF!</definedName>
    <definedName name="SHOPHED" localSheetId="4">#REF!</definedName>
    <definedName name="SHOPHED" localSheetId="9">#REF!</definedName>
    <definedName name="SHOPHED" localSheetId="8">#REF!</definedName>
    <definedName name="SHOPHED">#REF!</definedName>
    <definedName name="Show.Acct.Update.Warning" localSheetId="4" hidden="1">#REF!</definedName>
    <definedName name="Show.Acct.Update.Warning" localSheetId="9" hidden="1">#REF!</definedName>
    <definedName name="Show.Acct.Update.Warning" localSheetId="8" hidden="1">#REF!</definedName>
    <definedName name="Show.Acct.Update.Warning" hidden="1">#REF!</definedName>
    <definedName name="Show.MDB.Update.Warning" localSheetId="4" hidden="1">#REF!</definedName>
    <definedName name="Show.MDB.Update.Warning" localSheetId="9" hidden="1">#REF!</definedName>
    <definedName name="Show.MDB.Update.Warning" localSheetId="8" hidden="1">#REF!</definedName>
    <definedName name="Show.MDB.Update.Warning" hidden="1">#REF!</definedName>
    <definedName name="SHOW_TO_CUSTOME" localSheetId="4">#REF!</definedName>
    <definedName name="SHOW_TO_CUSTOME" localSheetId="9">#REF!</definedName>
    <definedName name="SHOW_TO_CUSTOME" localSheetId="8">#REF!</definedName>
    <definedName name="SHOW_TO_CUSTOME">#REF!</definedName>
    <definedName name="SHS" localSheetId="4">#REF!</definedName>
    <definedName name="SHS" localSheetId="9">#REF!</definedName>
    <definedName name="SHS" localSheetId="8">#REF!</definedName>
    <definedName name="SHS">#REF!</definedName>
    <definedName name="si" localSheetId="4">#REF!</definedName>
    <definedName name="si" localSheetId="9">#REF!</definedName>
    <definedName name="si" localSheetId="8">#REF!</definedName>
    <definedName name="si">#REF!</definedName>
    <definedName name="sigma0.2" localSheetId="4">#REF!</definedName>
    <definedName name="sigma0.2" localSheetId="9">#REF!</definedName>
    <definedName name="sigma0.2" localSheetId="8">#REF!</definedName>
    <definedName name="sigma0.2">#REF!</definedName>
    <definedName name="sigma0_2" localSheetId="4">#REF!</definedName>
    <definedName name="sigma0_2" localSheetId="9">#REF!</definedName>
    <definedName name="sigma0_2" localSheetId="8">#REF!</definedName>
    <definedName name="sigma0_2">#REF!</definedName>
    <definedName name="sigmab" localSheetId="4">#REF!</definedName>
    <definedName name="sigmab" localSheetId="9">#REF!</definedName>
    <definedName name="sigmab" localSheetId="8">#REF!</definedName>
    <definedName name="sigmab">#REF!</definedName>
    <definedName name="sigmah" localSheetId="4">#REF!</definedName>
    <definedName name="sigmah" localSheetId="9">#REF!</definedName>
    <definedName name="sigmah" localSheetId="8">#REF!</definedName>
    <definedName name="sigmah">#REF!</definedName>
    <definedName name="sigmat" localSheetId="4">#REF!</definedName>
    <definedName name="sigmat" localSheetId="9">#REF!</definedName>
    <definedName name="sigmat" localSheetId="8">#REF!</definedName>
    <definedName name="sigmat">#REF!</definedName>
    <definedName name="SIN" localSheetId="4">#REF!</definedName>
    <definedName name="SIN" localSheetId="9">#REF!</definedName>
    <definedName name="SIN" localSheetId="8">#REF!</definedName>
    <definedName name="SIN">#REF!</definedName>
    <definedName name="Single_Clip" localSheetId="4">#REF!</definedName>
    <definedName name="Single_Clip" localSheetId="9">#REF!</definedName>
    <definedName name="Single_Clip" localSheetId="8">#REF!</definedName>
    <definedName name="Single_Clip">#REF!</definedName>
    <definedName name="Site_Preparation" localSheetId="4">[29]Detail!#REF!</definedName>
    <definedName name="Site_Preparation" localSheetId="9">[29]Detail!#REF!</definedName>
    <definedName name="Site_Preparation" localSheetId="8">[29]Detail!#REF!</definedName>
    <definedName name="Site_Preparation">[29]Detail!#REF!</definedName>
    <definedName name="SiteID" localSheetId="4">#REF!</definedName>
    <definedName name="SiteID" localSheetId="9">#REF!</definedName>
    <definedName name="SiteID" localSheetId="8">#REF!</definedName>
    <definedName name="SiteID">#REF!</definedName>
    <definedName name="SiteID_4" localSheetId="4">#REF!</definedName>
    <definedName name="SiteID_4" localSheetId="9">#REF!</definedName>
    <definedName name="SiteID_4" localSheetId="8">#REF!</definedName>
    <definedName name="SiteID_4">#REF!</definedName>
    <definedName name="SiteID_6" localSheetId="4">#REF!</definedName>
    <definedName name="SiteID_6" localSheetId="9">#REF!</definedName>
    <definedName name="SiteID_6" localSheetId="8">#REF!</definedName>
    <definedName name="SiteID_6">#REF!</definedName>
    <definedName name="SiteType" localSheetId="4">#REF!</definedName>
    <definedName name="SiteType" localSheetId="9">#REF!</definedName>
    <definedName name="SiteType" localSheetId="8">#REF!</definedName>
    <definedName name="SiteType">#REF!</definedName>
    <definedName name="SiteType_4" localSheetId="4">#REF!</definedName>
    <definedName name="SiteType_4" localSheetId="9">#REF!</definedName>
    <definedName name="SiteType_4" localSheetId="8">#REF!</definedName>
    <definedName name="SiteType_4">#REF!</definedName>
    <definedName name="SiteType_6" localSheetId="4">#REF!</definedName>
    <definedName name="SiteType_6" localSheetId="9">#REF!</definedName>
    <definedName name="SiteType_6" localSheetId="8">#REF!</definedName>
    <definedName name="SiteType_6">#REF!</definedName>
    <definedName name="SIZE" localSheetId="4">#REF!</definedName>
    <definedName name="SIZE" localSheetId="9">#REF!</definedName>
    <definedName name="SIZE" localSheetId="8">#REF!</definedName>
    <definedName name="SIZE">#REF!</definedName>
    <definedName name="sk" localSheetId="9"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sk"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sk"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ska" localSheetId="9" hidden="1">{#N/A,#N/A,TRUE,"Front";#N/A,#N/A,TRUE,"Simple Letter";#N/A,#N/A,TRUE,"Inside";#N/A,#N/A,TRUE,"Contents";#N/A,#N/A,TRUE,"Basis";#N/A,#N/A,TRUE,"Inclusions";#N/A,#N/A,TRUE,"Exclusions";#N/A,#N/A,TRUE,"Areas";#N/A,#N/A,TRUE,"Summary";#N/A,#N/A,TRUE,"Detail"}</definedName>
    <definedName name="ska" localSheetId="0" hidden="1">{#N/A,#N/A,TRUE,"Front";#N/A,#N/A,TRUE,"Simple Letter";#N/A,#N/A,TRUE,"Inside";#N/A,#N/A,TRUE,"Contents";#N/A,#N/A,TRUE,"Basis";#N/A,#N/A,TRUE,"Inclusions";#N/A,#N/A,TRUE,"Exclusions";#N/A,#N/A,TRUE,"Areas";#N/A,#N/A,TRUE,"Summary";#N/A,#N/A,TRUE,"Detail"}</definedName>
    <definedName name="ska" hidden="1">{#N/A,#N/A,TRUE,"Front";#N/A,#N/A,TRUE,"Simple Letter";#N/A,#N/A,TRUE,"Inside";#N/A,#N/A,TRUE,"Contents";#N/A,#N/A,TRUE,"Basis";#N/A,#N/A,TRUE,"Inclusions";#N/A,#N/A,TRUE,"Exclusions";#N/A,#N/A,TRUE,"Areas";#N/A,#N/A,TRUE,"Summary";#N/A,#N/A,TRUE,"Detail"}</definedName>
    <definedName name="SKBEL" localSheetId="4">#REF!</definedName>
    <definedName name="SKBEL" localSheetId="9">#REF!</definedName>
    <definedName name="SKBEL" localSheetId="8">#REF!</definedName>
    <definedName name="SKBEL">#REF!</definedName>
    <definedName name="Skil">'[79]labour rates'!$C$7</definedName>
    <definedName name="Skirting">'[45]Fin Sum'!$E$1:$E$26</definedName>
    <definedName name="skq" localSheetId="9" hidden="1">{#N/A,#N/A,TRUE,"Front";#N/A,#N/A,TRUE,"Simple Letter";#N/A,#N/A,TRUE,"Inside";#N/A,#N/A,TRUE,"Contents";#N/A,#N/A,TRUE,"Basis";#N/A,#N/A,TRUE,"Inclusions";#N/A,#N/A,TRUE,"Exclusions";#N/A,#N/A,TRUE,"Areas";#N/A,#N/A,TRUE,"Summary";#N/A,#N/A,TRUE,"Detail"}</definedName>
    <definedName name="skq" localSheetId="0" hidden="1">{#N/A,#N/A,TRUE,"Front";#N/A,#N/A,TRUE,"Simple Letter";#N/A,#N/A,TRUE,"Inside";#N/A,#N/A,TRUE,"Contents";#N/A,#N/A,TRUE,"Basis";#N/A,#N/A,TRUE,"Inclusions";#N/A,#N/A,TRUE,"Exclusions";#N/A,#N/A,TRUE,"Areas";#N/A,#N/A,TRUE,"Summary";#N/A,#N/A,TRUE,"Detail"}</definedName>
    <definedName name="skq" hidden="1">{#N/A,#N/A,TRUE,"Front";#N/A,#N/A,TRUE,"Simple Letter";#N/A,#N/A,TRUE,"Inside";#N/A,#N/A,TRUE,"Contents";#N/A,#N/A,TRUE,"Basis";#N/A,#N/A,TRUE,"Inclusions";#N/A,#N/A,TRUE,"Exclusions";#N/A,#N/A,TRUE,"Areas";#N/A,#N/A,TRUE,"Summary";#N/A,#N/A,TRUE,"Detail"}</definedName>
    <definedName name="SlabArea" localSheetId="4">#REF!</definedName>
    <definedName name="SlabArea" localSheetId="9">#REF!</definedName>
    <definedName name="SlabArea" localSheetId="8">#REF!</definedName>
    <definedName name="SlabArea">#REF!</definedName>
    <definedName name="slabconArea" localSheetId="4">#REF!</definedName>
    <definedName name="slabconArea" localSheetId="9">#REF!</definedName>
    <definedName name="slabconArea" localSheetId="8">#REF!</definedName>
    <definedName name="slabconArea">#REF!</definedName>
    <definedName name="slabconPerimeter" localSheetId="4">#REF!</definedName>
    <definedName name="slabconPerimeter" localSheetId="9">#REF!</definedName>
    <definedName name="slabconPerimeter" localSheetId="8">#REF!</definedName>
    <definedName name="slabconPerimeter">#REF!</definedName>
    <definedName name="SlabPerimeter" localSheetId="4">#REF!</definedName>
    <definedName name="SlabPerimeter" localSheetId="9">#REF!</definedName>
    <definedName name="SlabPerimeter" localSheetId="8">#REF!</definedName>
    <definedName name="SlabPerimeter">#REF!</definedName>
    <definedName name="SLOPE" localSheetId="4">#REF!</definedName>
    <definedName name="SLOPE" localSheetId="9">#REF!</definedName>
    <definedName name="SLOPE" localSheetId="8">#REF!</definedName>
    <definedName name="SLOPE">#REF!</definedName>
    <definedName name="SmallProj" localSheetId="4">#REF!</definedName>
    <definedName name="SmallProj" localSheetId="9">#REF!</definedName>
    <definedName name="SmallProj" localSheetId="8">#REF!</definedName>
    <definedName name="SmallProj">#REF!</definedName>
    <definedName name="SmallProj_4" localSheetId="4">#REF!</definedName>
    <definedName name="SmallProj_4" localSheetId="9">#REF!</definedName>
    <definedName name="SmallProj_4" localSheetId="8">#REF!</definedName>
    <definedName name="SmallProj_4">#REF!</definedName>
    <definedName name="SmallProj_6" localSheetId="4">#REF!</definedName>
    <definedName name="SmallProj_6" localSheetId="9">#REF!</definedName>
    <definedName name="SmallProj_6" localSheetId="8">#REF!</definedName>
    <definedName name="SmallProj_6">#REF!</definedName>
    <definedName name="SmallProj_Text" localSheetId="4">#REF!</definedName>
    <definedName name="SmallProj_Text" localSheetId="9">#REF!</definedName>
    <definedName name="SmallProj_Text" localSheetId="8">#REF!</definedName>
    <definedName name="SmallProj_Text">#REF!</definedName>
    <definedName name="SmallProj_Text_4" localSheetId="4">#REF!</definedName>
    <definedName name="SmallProj_Text_4" localSheetId="9">#REF!</definedName>
    <definedName name="SmallProj_Text_4" localSheetId="8">#REF!</definedName>
    <definedName name="SmallProj_Text_4">#REF!</definedName>
    <definedName name="SmallProj_Text_6" localSheetId="4">#REF!</definedName>
    <definedName name="SmallProj_Text_6" localSheetId="9">#REF!</definedName>
    <definedName name="SmallProj_Text_6" localSheetId="8">#REF!</definedName>
    <definedName name="SmallProj_Text_6">#REF!</definedName>
    <definedName name="SMD_3460" localSheetId="4">[50]Costing!#REF!</definedName>
    <definedName name="SMD_3460" localSheetId="9">[50]Costing!#REF!</definedName>
    <definedName name="SMD_3460" localSheetId="8">[50]Costing!#REF!</definedName>
    <definedName name="SMD_3460">[50]Costing!#REF!</definedName>
    <definedName name="smsb1_abb_fab" localSheetId="4">[13]Mat_Cost!#REF!</definedName>
    <definedName name="smsb1_abb_fab" localSheetId="9">[13]Mat_Cost!#REF!</definedName>
    <definedName name="smsb1_abb_fab" localSheetId="8">[13]Mat_Cost!#REF!</definedName>
    <definedName name="smsb1_abb_fab">[13]Mat_Cost!#REF!</definedName>
    <definedName name="smsb1_abb_mat" localSheetId="4">[13]Mat_Cost!#REF!</definedName>
    <definedName name="smsb1_abb_mat" localSheetId="9">[13]Mat_Cost!#REF!</definedName>
    <definedName name="smsb1_abb_mat" localSheetId="8">[13]Mat_Cost!#REF!</definedName>
    <definedName name="smsb1_abb_mat">[13]Mat_Cost!#REF!</definedName>
    <definedName name="smsb1_mg_fab">[13]Mat_Cost!$G$53</definedName>
    <definedName name="smsb1_mg_mat">[13]Mat_Cost!$G$30</definedName>
    <definedName name="smsb10_abb_fab" localSheetId="4">[13]Mat_Cost!#REF!</definedName>
    <definedName name="smsb10_abb_fab" localSheetId="9">[13]Mat_Cost!#REF!</definedName>
    <definedName name="smsb10_abb_fab" localSheetId="8">[13]Mat_Cost!#REF!</definedName>
    <definedName name="smsb10_abb_fab">[13]Mat_Cost!#REF!</definedName>
    <definedName name="smsb10_ABB_mat" localSheetId="4">[13]Mat_Cost!#REF!</definedName>
    <definedName name="smsb10_ABB_mat" localSheetId="9">[13]Mat_Cost!#REF!</definedName>
    <definedName name="smsb10_ABB_mat" localSheetId="8">[13]Mat_Cost!#REF!</definedName>
    <definedName name="smsb10_ABB_mat">[13]Mat_Cost!#REF!</definedName>
    <definedName name="smsb10_mg_fab" localSheetId="4">[13]Mat_Cost!#REF!</definedName>
    <definedName name="smsb10_mg_fab" localSheetId="9">[13]Mat_Cost!#REF!</definedName>
    <definedName name="smsb10_mg_fab" localSheetId="8">[13]Mat_Cost!#REF!</definedName>
    <definedName name="smsb10_mg_fab">[13]Mat_Cost!#REF!</definedName>
    <definedName name="smsb10_mg_mat" localSheetId="4">[13]Mat_Cost!#REF!</definedName>
    <definedName name="smsb10_mg_mat" localSheetId="9">[13]Mat_Cost!#REF!</definedName>
    <definedName name="smsb10_mg_mat" localSheetId="8">[13]Mat_Cost!#REF!</definedName>
    <definedName name="smsb10_mg_mat">[13]Mat_Cost!#REF!</definedName>
    <definedName name="smsb2_abb_fab" localSheetId="4">[13]Mat_Cost!#REF!</definedName>
    <definedName name="smsb2_abb_fab" localSheetId="9">[13]Mat_Cost!#REF!</definedName>
    <definedName name="smsb2_abb_fab" localSheetId="8">[13]Mat_Cost!#REF!</definedName>
    <definedName name="smsb2_abb_fab">[13]Mat_Cost!#REF!</definedName>
    <definedName name="smsb2_abb_mat" localSheetId="4">[13]Mat_Cost!#REF!</definedName>
    <definedName name="smsb2_abb_mat" localSheetId="9">[13]Mat_Cost!#REF!</definedName>
    <definedName name="smsb2_abb_mat" localSheetId="8">[13]Mat_Cost!#REF!</definedName>
    <definedName name="smsb2_abb_mat">[13]Mat_Cost!#REF!</definedName>
    <definedName name="smsb2_mg_fab" localSheetId="4">[13]Mat_Cost!#REF!</definedName>
    <definedName name="smsb2_mg_fab" localSheetId="9">[13]Mat_Cost!#REF!</definedName>
    <definedName name="smsb2_mg_fab" localSheetId="8">[13]Mat_Cost!#REF!</definedName>
    <definedName name="smsb2_mg_fab">[13]Mat_Cost!#REF!</definedName>
    <definedName name="SMSB2_MG_MAT" localSheetId="4">[13]Mat_Cost!#REF!</definedName>
    <definedName name="SMSB2_MG_MAT" localSheetId="9">[13]Mat_Cost!#REF!</definedName>
    <definedName name="SMSB2_MG_MAT" localSheetId="8">[13]Mat_Cost!#REF!</definedName>
    <definedName name="SMSB2_MG_MAT">[13]Mat_Cost!#REF!</definedName>
    <definedName name="smsb3_abb_fab" localSheetId="4">[13]Mat_Cost!#REF!</definedName>
    <definedName name="smsb3_abb_fab" localSheetId="9">[13]Mat_Cost!#REF!</definedName>
    <definedName name="smsb3_abb_fab" localSheetId="8">[13]Mat_Cost!#REF!</definedName>
    <definedName name="smsb3_abb_fab">[13]Mat_Cost!#REF!</definedName>
    <definedName name="smsb3_abb_mat" localSheetId="4">[13]Mat_Cost!#REF!</definedName>
    <definedName name="smsb3_abb_mat" localSheetId="9">[13]Mat_Cost!#REF!</definedName>
    <definedName name="smsb3_abb_mat" localSheetId="8">[13]Mat_Cost!#REF!</definedName>
    <definedName name="smsb3_abb_mat">[13]Mat_Cost!#REF!</definedName>
    <definedName name="smsb3_mg_fab" localSheetId="4">[13]Mat_Cost!#REF!</definedName>
    <definedName name="smsb3_mg_fab" localSheetId="9">[13]Mat_Cost!#REF!</definedName>
    <definedName name="smsb3_mg_fab" localSheetId="8">[13]Mat_Cost!#REF!</definedName>
    <definedName name="smsb3_mg_fab">[13]Mat_Cost!#REF!</definedName>
    <definedName name="smsb4.1_abb_fab" localSheetId="4">[13]Mat_Cost!#REF!</definedName>
    <definedName name="smsb4.1_abb_fab" localSheetId="9">[13]Mat_Cost!#REF!</definedName>
    <definedName name="smsb4.1_abb_fab" localSheetId="8">[13]Mat_Cost!#REF!</definedName>
    <definedName name="smsb4.1_abb_fab">[13]Mat_Cost!#REF!</definedName>
    <definedName name="smsb4.1_ABB_mat" localSheetId="4">[13]Mat_Cost!#REF!</definedName>
    <definedName name="smsb4.1_ABB_mat" localSheetId="9">[13]Mat_Cost!#REF!</definedName>
    <definedName name="smsb4.1_ABB_mat" localSheetId="8">[13]Mat_Cost!#REF!</definedName>
    <definedName name="smsb4.1_ABB_mat">[13]Mat_Cost!#REF!</definedName>
    <definedName name="smsb4.1_mg_fab" localSheetId="4">[13]Mat_Cost!#REF!</definedName>
    <definedName name="smsb4.1_mg_fab" localSheetId="9">[13]Mat_Cost!#REF!</definedName>
    <definedName name="smsb4.1_mg_fab" localSheetId="8">[13]Mat_Cost!#REF!</definedName>
    <definedName name="smsb4.1_mg_fab">[13]Mat_Cost!#REF!</definedName>
    <definedName name="smsb4.1_mg_mat" localSheetId="4">[13]Mat_Cost!#REF!</definedName>
    <definedName name="smsb4.1_mg_mat" localSheetId="9">[13]Mat_Cost!#REF!</definedName>
    <definedName name="smsb4.1_mg_mat" localSheetId="8">[13]Mat_Cost!#REF!</definedName>
    <definedName name="smsb4.1_mg_mat">[13]Mat_Cost!#REF!</definedName>
    <definedName name="smsb4_abb_fab" localSheetId="4">[13]Mat_Cost!#REF!</definedName>
    <definedName name="smsb4_abb_fab" localSheetId="9">[13]Mat_Cost!#REF!</definedName>
    <definedName name="smsb4_abb_fab" localSheetId="8">[13]Mat_Cost!#REF!</definedName>
    <definedName name="smsb4_abb_fab">[13]Mat_Cost!#REF!</definedName>
    <definedName name="smsb4_abb_mat" localSheetId="4">[13]Mat_Cost!#REF!</definedName>
    <definedName name="smsb4_abb_mat" localSheetId="9">[13]Mat_Cost!#REF!</definedName>
    <definedName name="smsb4_abb_mat" localSheetId="8">[13]Mat_Cost!#REF!</definedName>
    <definedName name="smsb4_abb_mat">[13]Mat_Cost!#REF!</definedName>
    <definedName name="smsb4_mg_fab" localSheetId="4">[13]Mat_Cost!#REF!</definedName>
    <definedName name="smsb4_mg_fab" localSheetId="9">[13]Mat_Cost!#REF!</definedName>
    <definedName name="smsb4_mg_fab" localSheetId="8">[13]Mat_Cost!#REF!</definedName>
    <definedName name="smsb4_mg_fab">[13]Mat_Cost!#REF!</definedName>
    <definedName name="smsb4_mg_mat" localSheetId="4">[13]Mat_Cost!#REF!</definedName>
    <definedName name="smsb4_mg_mat" localSheetId="9">[13]Mat_Cost!#REF!</definedName>
    <definedName name="smsb4_mg_mat" localSheetId="8">[13]Mat_Cost!#REF!</definedName>
    <definedName name="smsb4_mg_mat">[13]Mat_Cost!#REF!</definedName>
    <definedName name="smsb5_abb_fab" localSheetId="4">[13]Mat_Cost!#REF!</definedName>
    <definedName name="smsb5_abb_fab" localSheetId="9">[13]Mat_Cost!#REF!</definedName>
    <definedName name="smsb5_abb_fab" localSheetId="8">[13]Mat_Cost!#REF!</definedName>
    <definedName name="smsb5_abb_fab">[13]Mat_Cost!#REF!</definedName>
    <definedName name="smsb5_abb_mat" localSheetId="4">[13]Mat_Cost!#REF!</definedName>
    <definedName name="smsb5_abb_mat" localSheetId="9">[13]Mat_Cost!#REF!</definedName>
    <definedName name="smsb5_abb_mat" localSheetId="8">[13]Mat_Cost!#REF!</definedName>
    <definedName name="smsb5_abb_mat">[13]Mat_Cost!#REF!</definedName>
    <definedName name="smsb5_mg_fab" localSheetId="4">[13]Mat_Cost!#REF!</definedName>
    <definedName name="smsb5_mg_fab" localSheetId="9">[13]Mat_Cost!#REF!</definedName>
    <definedName name="smsb5_mg_fab" localSheetId="8">[13]Mat_Cost!#REF!</definedName>
    <definedName name="smsb5_mg_fab">[13]Mat_Cost!#REF!</definedName>
    <definedName name="smsb5_mg_mat" localSheetId="4">[13]Mat_Cost!#REF!</definedName>
    <definedName name="smsb5_mg_mat" localSheetId="9">[13]Mat_Cost!#REF!</definedName>
    <definedName name="smsb5_mg_mat" localSheetId="8">[13]Mat_Cost!#REF!</definedName>
    <definedName name="smsb5_mg_mat">[13]Mat_Cost!#REF!</definedName>
    <definedName name="smsb6_abb_fab" localSheetId="4">[13]Mat_Cost!#REF!</definedName>
    <definedName name="smsb6_abb_fab" localSheetId="9">[13]Mat_Cost!#REF!</definedName>
    <definedName name="smsb6_abb_fab" localSheetId="8">[13]Mat_Cost!#REF!</definedName>
    <definedName name="smsb6_abb_fab">[13]Mat_Cost!#REF!</definedName>
    <definedName name="smsb6_abb_mat" localSheetId="4">[13]Mat_Cost!#REF!</definedName>
    <definedName name="smsb6_abb_mat" localSheetId="9">[13]Mat_Cost!#REF!</definedName>
    <definedName name="smsb6_abb_mat" localSheetId="8">[13]Mat_Cost!#REF!</definedName>
    <definedName name="smsb6_abb_mat">[13]Mat_Cost!#REF!</definedName>
    <definedName name="smsb6_mg_fab" localSheetId="4">[13]Mat_Cost!#REF!</definedName>
    <definedName name="smsb6_mg_fab" localSheetId="9">[13]Mat_Cost!#REF!</definedName>
    <definedName name="smsb6_mg_fab" localSheetId="8">[13]Mat_Cost!#REF!</definedName>
    <definedName name="smsb6_mg_fab">[13]Mat_Cost!#REF!</definedName>
    <definedName name="smsb6_mg_mat" localSheetId="4">[13]Mat_Cost!#REF!</definedName>
    <definedName name="smsb6_mg_mat" localSheetId="9">[13]Mat_Cost!#REF!</definedName>
    <definedName name="smsb6_mg_mat" localSheetId="8">[13]Mat_Cost!#REF!</definedName>
    <definedName name="smsb6_mg_mat">[13]Mat_Cost!#REF!</definedName>
    <definedName name="smsb7_abb_fab" localSheetId="4">[13]Mat_Cost!#REF!</definedName>
    <definedName name="smsb7_abb_fab" localSheetId="9">[13]Mat_Cost!#REF!</definedName>
    <definedName name="smsb7_abb_fab" localSheetId="8">[13]Mat_Cost!#REF!</definedName>
    <definedName name="smsb7_abb_fab">[13]Mat_Cost!#REF!</definedName>
    <definedName name="smsb7_abb_mat" localSheetId="4">[13]Mat_Cost!#REF!</definedName>
    <definedName name="smsb7_abb_mat" localSheetId="9">[13]Mat_Cost!#REF!</definedName>
    <definedName name="smsb7_abb_mat" localSheetId="8">[13]Mat_Cost!#REF!</definedName>
    <definedName name="smsb7_abb_mat">[13]Mat_Cost!#REF!</definedName>
    <definedName name="smsb7_mg_fab" localSheetId="4">[13]Mat_Cost!#REF!</definedName>
    <definedName name="smsb7_mg_fab" localSheetId="9">[13]Mat_Cost!#REF!</definedName>
    <definedName name="smsb7_mg_fab" localSheetId="8">[13]Mat_Cost!#REF!</definedName>
    <definedName name="smsb7_mg_fab">[13]Mat_Cost!#REF!</definedName>
    <definedName name="smsb7_mg_mat" localSheetId="4">[13]Mat_Cost!#REF!</definedName>
    <definedName name="smsb7_mg_mat" localSheetId="9">[13]Mat_Cost!#REF!</definedName>
    <definedName name="smsb7_mg_mat" localSheetId="8">[13]Mat_Cost!#REF!</definedName>
    <definedName name="smsb7_mg_mat">[13]Mat_Cost!#REF!</definedName>
    <definedName name="smsb8_abb_fab" localSheetId="4">[13]Mat_Cost!#REF!</definedName>
    <definedName name="smsb8_abb_fab" localSheetId="9">[13]Mat_Cost!#REF!</definedName>
    <definedName name="smsb8_abb_fab" localSheetId="8">[13]Mat_Cost!#REF!</definedName>
    <definedName name="smsb8_abb_fab">[13]Mat_Cost!#REF!</definedName>
    <definedName name="smsb8_abb_mat" localSheetId="4">[13]Mat_Cost!#REF!</definedName>
    <definedName name="smsb8_abb_mat" localSheetId="9">[13]Mat_Cost!#REF!</definedName>
    <definedName name="smsb8_abb_mat" localSheetId="8">[13]Mat_Cost!#REF!</definedName>
    <definedName name="smsb8_abb_mat">[13]Mat_Cost!#REF!</definedName>
    <definedName name="smsb8_mg_fab" localSheetId="4">[13]Mat_Cost!#REF!</definedName>
    <definedName name="smsb8_mg_fab" localSheetId="9">[13]Mat_Cost!#REF!</definedName>
    <definedName name="smsb8_mg_fab" localSheetId="8">[13]Mat_Cost!#REF!</definedName>
    <definedName name="smsb8_mg_fab">[13]Mat_Cost!#REF!</definedName>
    <definedName name="smsb8_mg_mat" localSheetId="4">[13]Mat_Cost!#REF!</definedName>
    <definedName name="smsb8_mg_mat" localSheetId="9">[13]Mat_Cost!#REF!</definedName>
    <definedName name="smsb8_mg_mat" localSheetId="8">[13]Mat_Cost!#REF!</definedName>
    <definedName name="smsb8_mg_mat">[13]Mat_Cost!#REF!</definedName>
    <definedName name="smsb9_abb_fab" localSheetId="4">[13]Mat_Cost!#REF!</definedName>
    <definedName name="smsb9_abb_fab" localSheetId="9">[13]Mat_Cost!#REF!</definedName>
    <definedName name="smsb9_abb_fab" localSheetId="8">[13]Mat_Cost!#REF!</definedName>
    <definedName name="smsb9_abb_fab">[13]Mat_Cost!#REF!</definedName>
    <definedName name="smsb9_abb_mat" localSheetId="4">[13]Mat_Cost!#REF!</definedName>
    <definedName name="smsb9_abb_mat" localSheetId="9">[13]Mat_Cost!#REF!</definedName>
    <definedName name="smsb9_abb_mat" localSheetId="8">[13]Mat_Cost!#REF!</definedName>
    <definedName name="smsb9_abb_mat">[13]Mat_Cost!#REF!</definedName>
    <definedName name="smsb9_mg_fab" localSheetId="4">[13]Mat_Cost!#REF!</definedName>
    <definedName name="smsb9_mg_fab" localSheetId="9">[13]Mat_Cost!#REF!</definedName>
    <definedName name="smsb9_mg_fab" localSheetId="8">[13]Mat_Cost!#REF!</definedName>
    <definedName name="smsb9_mg_fab">[13]Mat_Cost!#REF!</definedName>
    <definedName name="smsb9_mg_mat" localSheetId="4">[13]Mat_Cost!#REF!</definedName>
    <definedName name="smsb9_mg_mat" localSheetId="9">[13]Mat_Cost!#REF!</definedName>
    <definedName name="smsb9_mg_mat" localSheetId="8">[13]Mat_Cost!#REF!</definedName>
    <definedName name="smsb9_mg_mat">[13]Mat_Cost!#REF!</definedName>
    <definedName name="sond" localSheetId="4">#REF!</definedName>
    <definedName name="sond" localSheetId="9">#REF!</definedName>
    <definedName name="sond" localSheetId="8">#REF!</definedName>
    <definedName name="sond">#REF!</definedName>
    <definedName name="sondf" localSheetId="4">#REF!</definedName>
    <definedName name="sondf" localSheetId="9">#REF!</definedName>
    <definedName name="sondf" localSheetId="8">#REF!</definedName>
    <definedName name="sondf">#REF!</definedName>
    <definedName name="SONTF" localSheetId="4">[38]factors!#REF!</definedName>
    <definedName name="SONTF" localSheetId="9">[38]factors!#REF!</definedName>
    <definedName name="SONTF" localSheetId="8">[38]factors!#REF!</definedName>
    <definedName name="SONTF">[38]factors!#REF!</definedName>
    <definedName name="SP1Branch" localSheetId="4">#REF!</definedName>
    <definedName name="SP1Branch" localSheetId="9">#REF!</definedName>
    <definedName name="SP1Branch" localSheetId="8">#REF!</definedName>
    <definedName name="SP1Branch">#REF!</definedName>
    <definedName name="SP1Branch_4" localSheetId="4">#REF!</definedName>
    <definedName name="SP1Branch_4" localSheetId="9">#REF!</definedName>
    <definedName name="SP1Branch_4" localSheetId="8">#REF!</definedName>
    <definedName name="SP1Branch_4">#REF!</definedName>
    <definedName name="SP1Branch_6" localSheetId="4">#REF!</definedName>
    <definedName name="SP1Branch_6" localSheetId="9">#REF!</definedName>
    <definedName name="SP1Branch_6" localSheetId="8">#REF!</definedName>
    <definedName name="SP1Branch_6">#REF!</definedName>
    <definedName name="SP1Credit" localSheetId="4">#REF!</definedName>
    <definedName name="SP1Credit" localSheetId="9">#REF!</definedName>
    <definedName name="SP1Credit" localSheetId="8">#REF!</definedName>
    <definedName name="SP1Credit">#REF!</definedName>
    <definedName name="SP1Credit_4" localSheetId="4">#REF!</definedName>
    <definedName name="SP1Credit_4" localSheetId="9">#REF!</definedName>
    <definedName name="SP1Credit_4" localSheetId="8">#REF!</definedName>
    <definedName name="SP1Credit_4">#REF!</definedName>
    <definedName name="SP1Credit_6" localSheetId="4">#REF!</definedName>
    <definedName name="SP1Credit_6" localSheetId="9">#REF!</definedName>
    <definedName name="SP1Credit_6" localSheetId="8">#REF!</definedName>
    <definedName name="SP1Credit_6">#REF!</definedName>
    <definedName name="SP1Name" localSheetId="4">#REF!</definedName>
    <definedName name="SP1Name" localSheetId="9">#REF!</definedName>
    <definedName name="SP1Name" localSheetId="8">#REF!</definedName>
    <definedName name="SP1Name">#REF!</definedName>
    <definedName name="SP1Name_4" localSheetId="4">#REF!</definedName>
    <definedName name="SP1Name_4" localSheetId="9">#REF!</definedName>
    <definedName name="SP1Name_4" localSheetId="8">#REF!</definedName>
    <definedName name="SP1Name_4">#REF!</definedName>
    <definedName name="SP1Name_6" localSheetId="4">#REF!</definedName>
    <definedName name="SP1Name_6" localSheetId="9">#REF!</definedName>
    <definedName name="SP1Name_6" localSheetId="8">#REF!</definedName>
    <definedName name="SP1Name_6">#REF!</definedName>
    <definedName name="SP1Number" localSheetId="4">#REF!</definedName>
    <definedName name="SP1Number" localSheetId="9">#REF!</definedName>
    <definedName name="SP1Number" localSheetId="8">#REF!</definedName>
    <definedName name="SP1Number">#REF!</definedName>
    <definedName name="SP1Number_4" localSheetId="4">#REF!</definedName>
    <definedName name="SP1Number_4" localSheetId="9">#REF!</definedName>
    <definedName name="SP1Number_4" localSheetId="8">#REF!</definedName>
    <definedName name="SP1Number_4">#REF!</definedName>
    <definedName name="SP1Number_6" localSheetId="4">#REF!</definedName>
    <definedName name="SP1Number_6" localSheetId="9">#REF!</definedName>
    <definedName name="SP1Number_6" localSheetId="8">#REF!</definedName>
    <definedName name="SP1Number_6">#REF!</definedName>
    <definedName name="SP2Branch" localSheetId="4">#REF!</definedName>
    <definedName name="SP2Branch" localSheetId="9">#REF!</definedName>
    <definedName name="SP2Branch" localSheetId="8">#REF!</definedName>
    <definedName name="SP2Branch">#REF!</definedName>
    <definedName name="SP2Branch_4" localSheetId="4">#REF!</definedName>
    <definedName name="SP2Branch_4" localSheetId="9">#REF!</definedName>
    <definedName name="SP2Branch_4" localSheetId="8">#REF!</definedName>
    <definedName name="SP2Branch_4">#REF!</definedName>
    <definedName name="SP2Branch_6" localSheetId="4">#REF!</definedName>
    <definedName name="SP2Branch_6" localSheetId="9">#REF!</definedName>
    <definedName name="SP2Branch_6" localSheetId="8">#REF!</definedName>
    <definedName name="SP2Branch_6">#REF!</definedName>
    <definedName name="SP2Credit" localSheetId="4">#REF!</definedName>
    <definedName name="SP2Credit" localSheetId="9">#REF!</definedName>
    <definedName name="SP2Credit" localSheetId="8">#REF!</definedName>
    <definedName name="SP2Credit">#REF!</definedName>
    <definedName name="SP2Credit_4" localSheetId="4">#REF!</definedName>
    <definedName name="SP2Credit_4" localSheetId="9">#REF!</definedName>
    <definedName name="SP2Credit_4" localSheetId="8">#REF!</definedName>
    <definedName name="SP2Credit_4">#REF!</definedName>
    <definedName name="SP2Credit_6" localSheetId="4">#REF!</definedName>
    <definedName name="SP2Credit_6" localSheetId="9">#REF!</definedName>
    <definedName name="SP2Credit_6" localSheetId="8">#REF!</definedName>
    <definedName name="SP2Credit_6">#REF!</definedName>
    <definedName name="SP2Name" localSheetId="4">#REF!</definedName>
    <definedName name="SP2Name" localSheetId="9">#REF!</definedName>
    <definedName name="SP2Name" localSheetId="8">#REF!</definedName>
    <definedName name="SP2Name">#REF!</definedName>
    <definedName name="SP2Name_4" localSheetId="4">#REF!</definedName>
    <definedName name="SP2Name_4" localSheetId="9">#REF!</definedName>
    <definedName name="SP2Name_4" localSheetId="8">#REF!</definedName>
    <definedName name="SP2Name_4">#REF!</definedName>
    <definedName name="SP2Name_6" localSheetId="4">#REF!</definedName>
    <definedName name="SP2Name_6" localSheetId="9">#REF!</definedName>
    <definedName name="SP2Name_6" localSheetId="8">#REF!</definedName>
    <definedName name="SP2Name_6">#REF!</definedName>
    <definedName name="SP2Number" localSheetId="4">#REF!</definedName>
    <definedName name="SP2Number" localSheetId="9">#REF!</definedName>
    <definedName name="SP2Number" localSheetId="8">#REF!</definedName>
    <definedName name="SP2Number">#REF!</definedName>
    <definedName name="SP2Number_4" localSheetId="4">#REF!</definedName>
    <definedName name="SP2Number_4" localSheetId="9">#REF!</definedName>
    <definedName name="SP2Number_4" localSheetId="8">#REF!</definedName>
    <definedName name="SP2Number_4">#REF!</definedName>
    <definedName name="SP2Number_6" localSheetId="4">#REF!</definedName>
    <definedName name="SP2Number_6" localSheetId="9">#REF!</definedName>
    <definedName name="SP2Number_6" localSheetId="8">#REF!</definedName>
    <definedName name="SP2Number_6">#REF!</definedName>
    <definedName name="SP3Branch" localSheetId="4">#REF!</definedName>
    <definedName name="SP3Branch" localSheetId="9">#REF!</definedName>
    <definedName name="SP3Branch" localSheetId="8">#REF!</definedName>
    <definedName name="SP3Branch">#REF!</definedName>
    <definedName name="SP3Branch_4" localSheetId="4">#REF!</definedName>
    <definedName name="SP3Branch_4" localSheetId="9">#REF!</definedName>
    <definedName name="SP3Branch_4" localSheetId="8">#REF!</definedName>
    <definedName name="SP3Branch_4">#REF!</definedName>
    <definedName name="SP3Branch_6" localSheetId="4">#REF!</definedName>
    <definedName name="SP3Branch_6" localSheetId="9">#REF!</definedName>
    <definedName name="SP3Branch_6" localSheetId="8">#REF!</definedName>
    <definedName name="SP3Branch_6">#REF!</definedName>
    <definedName name="SP3Credit" localSheetId="4">#REF!</definedName>
    <definedName name="SP3Credit" localSheetId="9">#REF!</definedName>
    <definedName name="SP3Credit" localSheetId="8">#REF!</definedName>
    <definedName name="SP3Credit">#REF!</definedName>
    <definedName name="SP3Credit_4" localSheetId="4">#REF!</definedName>
    <definedName name="SP3Credit_4" localSheetId="9">#REF!</definedName>
    <definedName name="SP3Credit_4" localSheetId="8">#REF!</definedName>
    <definedName name="SP3Credit_4">#REF!</definedName>
    <definedName name="SP3Credit_6" localSheetId="4">#REF!</definedName>
    <definedName name="SP3Credit_6" localSheetId="9">#REF!</definedName>
    <definedName name="SP3Credit_6" localSheetId="8">#REF!</definedName>
    <definedName name="SP3Credit_6">#REF!</definedName>
    <definedName name="SP3Name" localSheetId="4">#REF!</definedName>
    <definedName name="SP3Name" localSheetId="9">#REF!</definedName>
    <definedName name="SP3Name" localSheetId="8">#REF!</definedName>
    <definedName name="SP3Name">#REF!</definedName>
    <definedName name="SP3Name_4" localSheetId="4">#REF!</definedName>
    <definedName name="SP3Name_4" localSheetId="9">#REF!</definedName>
    <definedName name="SP3Name_4" localSheetId="8">#REF!</definedName>
    <definedName name="SP3Name_4">#REF!</definedName>
    <definedName name="SP3Name_6" localSheetId="4">#REF!</definedName>
    <definedName name="SP3Name_6" localSheetId="9">#REF!</definedName>
    <definedName name="SP3Name_6" localSheetId="8">#REF!</definedName>
    <definedName name="SP3Name_6">#REF!</definedName>
    <definedName name="SP3Number" localSheetId="4">#REF!</definedName>
    <definedName name="SP3Number" localSheetId="9">#REF!</definedName>
    <definedName name="SP3Number" localSheetId="8">#REF!</definedName>
    <definedName name="SP3Number">#REF!</definedName>
    <definedName name="SP3Number_4" localSheetId="4">#REF!</definedName>
    <definedName name="SP3Number_4" localSheetId="9">#REF!</definedName>
    <definedName name="SP3Number_4" localSheetId="8">#REF!</definedName>
    <definedName name="SP3Number_4">#REF!</definedName>
    <definedName name="SP3Number_6" localSheetId="4">#REF!</definedName>
    <definedName name="SP3Number_6" localSheetId="9">#REF!</definedName>
    <definedName name="SP3Number_6" localSheetId="8">#REF!</definedName>
    <definedName name="SP3Number_6">#REF!</definedName>
    <definedName name="SP4Branch" localSheetId="4">#REF!</definedName>
    <definedName name="SP4Branch" localSheetId="9">#REF!</definedName>
    <definedName name="SP4Branch" localSheetId="8">#REF!</definedName>
    <definedName name="SP4Branch">#REF!</definedName>
    <definedName name="SP4Branch_4" localSheetId="4">#REF!</definedName>
    <definedName name="SP4Branch_4" localSheetId="9">#REF!</definedName>
    <definedName name="SP4Branch_4" localSheetId="8">#REF!</definedName>
    <definedName name="SP4Branch_4">#REF!</definedName>
    <definedName name="SP4Branch_6" localSheetId="4">#REF!</definedName>
    <definedName name="SP4Branch_6" localSheetId="9">#REF!</definedName>
    <definedName name="SP4Branch_6" localSheetId="8">#REF!</definedName>
    <definedName name="SP4Branch_6">#REF!</definedName>
    <definedName name="SP4Credit" localSheetId="4">#REF!</definedName>
    <definedName name="SP4Credit" localSheetId="9">#REF!</definedName>
    <definedName name="SP4Credit" localSheetId="8">#REF!</definedName>
    <definedName name="SP4Credit">#REF!</definedName>
    <definedName name="SP4Credit_4" localSheetId="4">#REF!</definedName>
    <definedName name="SP4Credit_4" localSheetId="9">#REF!</definedName>
    <definedName name="SP4Credit_4" localSheetId="8">#REF!</definedName>
    <definedName name="SP4Credit_4">#REF!</definedName>
    <definedName name="SP4Credit_6" localSheetId="4">#REF!</definedName>
    <definedName name="SP4Credit_6" localSheetId="9">#REF!</definedName>
    <definedName name="SP4Credit_6" localSheetId="8">#REF!</definedName>
    <definedName name="SP4Credit_6">#REF!</definedName>
    <definedName name="SP4Name" localSheetId="4">#REF!</definedName>
    <definedName name="SP4Name" localSheetId="9">#REF!</definedName>
    <definedName name="SP4Name" localSheetId="8">#REF!</definedName>
    <definedName name="SP4Name">#REF!</definedName>
    <definedName name="SP4Name_4" localSheetId="4">#REF!</definedName>
    <definedName name="SP4Name_4" localSheetId="9">#REF!</definedName>
    <definedName name="SP4Name_4" localSheetId="8">#REF!</definedName>
    <definedName name="SP4Name_4">#REF!</definedName>
    <definedName name="SP4Name_6" localSheetId="4">#REF!</definedName>
    <definedName name="SP4Name_6" localSheetId="9">#REF!</definedName>
    <definedName name="SP4Name_6" localSheetId="8">#REF!</definedName>
    <definedName name="SP4Name_6">#REF!</definedName>
    <definedName name="SP4Number" localSheetId="4">#REF!</definedName>
    <definedName name="SP4Number" localSheetId="9">#REF!</definedName>
    <definedName name="SP4Number" localSheetId="8">#REF!</definedName>
    <definedName name="SP4Number">#REF!</definedName>
    <definedName name="SP4Number_4" localSheetId="4">#REF!</definedName>
    <definedName name="SP4Number_4" localSheetId="9">#REF!</definedName>
    <definedName name="SP4Number_4" localSheetId="8">#REF!</definedName>
    <definedName name="SP4Number_4">#REF!</definedName>
    <definedName name="SP4Number_6" localSheetId="4">#REF!</definedName>
    <definedName name="SP4Number_6" localSheetId="9">#REF!</definedName>
    <definedName name="SP4Number_6" localSheetId="8">#REF!</definedName>
    <definedName name="SP4Number_6">#REF!</definedName>
    <definedName name="SP5Branch" localSheetId="4">#REF!</definedName>
    <definedName name="SP5Branch" localSheetId="9">#REF!</definedName>
    <definedName name="SP5Branch" localSheetId="8">#REF!</definedName>
    <definedName name="SP5Branch">#REF!</definedName>
    <definedName name="SP5Branch_4" localSheetId="4">#REF!</definedName>
    <definedName name="SP5Branch_4" localSheetId="9">#REF!</definedName>
    <definedName name="SP5Branch_4" localSheetId="8">#REF!</definedName>
    <definedName name="SP5Branch_4">#REF!</definedName>
    <definedName name="SP5Branch_6" localSheetId="4">#REF!</definedName>
    <definedName name="SP5Branch_6" localSheetId="9">#REF!</definedName>
    <definedName name="SP5Branch_6" localSheetId="8">#REF!</definedName>
    <definedName name="SP5Branch_6">#REF!</definedName>
    <definedName name="SP5Credit" localSheetId="4">#REF!</definedName>
    <definedName name="SP5Credit" localSheetId="9">#REF!</definedName>
    <definedName name="SP5Credit" localSheetId="8">#REF!</definedName>
    <definedName name="SP5Credit">#REF!</definedName>
    <definedName name="SP5Credit_4" localSheetId="4">#REF!</definedName>
    <definedName name="SP5Credit_4" localSheetId="9">#REF!</definedName>
    <definedName name="SP5Credit_4" localSheetId="8">#REF!</definedName>
    <definedName name="SP5Credit_4">#REF!</definedName>
    <definedName name="SP5Credit_6" localSheetId="4">#REF!</definedName>
    <definedName name="SP5Credit_6" localSheetId="9">#REF!</definedName>
    <definedName name="SP5Credit_6" localSheetId="8">#REF!</definedName>
    <definedName name="SP5Credit_6">#REF!</definedName>
    <definedName name="SP5Name" localSheetId="4">#REF!</definedName>
    <definedName name="SP5Name" localSheetId="9">#REF!</definedName>
    <definedName name="SP5Name" localSheetId="8">#REF!</definedName>
    <definedName name="SP5Name">#REF!</definedName>
    <definedName name="SP5Name_4" localSheetId="4">#REF!</definedName>
    <definedName name="SP5Name_4" localSheetId="9">#REF!</definedName>
    <definedName name="SP5Name_4" localSheetId="8">#REF!</definedName>
    <definedName name="SP5Name_4">#REF!</definedName>
    <definedName name="SP5Name_6" localSheetId="4">#REF!</definedName>
    <definedName name="SP5Name_6" localSheetId="9">#REF!</definedName>
    <definedName name="SP5Name_6" localSheetId="8">#REF!</definedName>
    <definedName name="SP5Name_6">#REF!</definedName>
    <definedName name="SP5Number" localSheetId="4">#REF!</definedName>
    <definedName name="SP5Number" localSheetId="9">#REF!</definedName>
    <definedName name="SP5Number" localSheetId="8">#REF!</definedName>
    <definedName name="SP5Number">#REF!</definedName>
    <definedName name="SP5Number_4" localSheetId="4">#REF!</definedName>
    <definedName name="SP5Number_4" localSheetId="9">#REF!</definedName>
    <definedName name="SP5Number_4" localSheetId="8">#REF!</definedName>
    <definedName name="SP5Number_4">#REF!</definedName>
    <definedName name="SP5Number_6" localSheetId="4">#REF!</definedName>
    <definedName name="SP5Number_6" localSheetId="9">#REF!</definedName>
    <definedName name="SP5Number_6" localSheetId="8">#REF!</definedName>
    <definedName name="SP5Number_6">#REF!</definedName>
    <definedName name="Space_Heating" localSheetId="4">[29]Detail!#REF!</definedName>
    <definedName name="Space_Heating" localSheetId="9">[29]Detail!#REF!</definedName>
    <definedName name="Space_Heating" localSheetId="8">[29]Detail!#REF!</definedName>
    <definedName name="Space_Heating">[29]Detail!#REF!</definedName>
    <definedName name="SpecClass" localSheetId="4">#REF!</definedName>
    <definedName name="SpecClass" localSheetId="9">#REF!</definedName>
    <definedName name="SpecClass" localSheetId="8">#REF!</definedName>
    <definedName name="SpecClass">#REF!</definedName>
    <definedName name="SpecClass_4" localSheetId="4">#REF!</definedName>
    <definedName name="SpecClass_4" localSheetId="9">#REF!</definedName>
    <definedName name="SpecClass_4" localSheetId="8">#REF!</definedName>
    <definedName name="SpecClass_4">#REF!</definedName>
    <definedName name="SpecClass_6" localSheetId="4">#REF!</definedName>
    <definedName name="SpecClass_6" localSheetId="9">#REF!</definedName>
    <definedName name="SpecClass_6" localSheetId="8">#REF!</definedName>
    <definedName name="SpecClass_6">#REF!</definedName>
    <definedName name="SpecClass_Text" localSheetId="4">#REF!</definedName>
    <definedName name="SpecClass_Text" localSheetId="9">#REF!</definedName>
    <definedName name="SpecClass_Text" localSheetId="8">#REF!</definedName>
    <definedName name="SpecClass_Text">#REF!</definedName>
    <definedName name="SpecClass_Text_4" localSheetId="4">#REF!</definedName>
    <definedName name="SpecClass_Text_4" localSheetId="9">#REF!</definedName>
    <definedName name="SpecClass_Text_4" localSheetId="8">#REF!</definedName>
    <definedName name="SpecClass_Text_4">#REF!</definedName>
    <definedName name="SpecClass_Text_6" localSheetId="4">#REF!</definedName>
    <definedName name="SpecClass_Text_6" localSheetId="9">#REF!</definedName>
    <definedName name="SpecClass_Text_6" localSheetId="8">#REF!</definedName>
    <definedName name="SpecClass_Text_6">#REF!</definedName>
    <definedName name="SpecEnv1" localSheetId="4">#REF!</definedName>
    <definedName name="SpecEnv1" localSheetId="9">#REF!</definedName>
    <definedName name="SpecEnv1" localSheetId="8">#REF!</definedName>
    <definedName name="SpecEnv1">#REF!</definedName>
    <definedName name="SpecEnv1_4" localSheetId="4">#REF!</definedName>
    <definedName name="SpecEnv1_4" localSheetId="9">#REF!</definedName>
    <definedName name="SpecEnv1_4" localSheetId="8">#REF!</definedName>
    <definedName name="SpecEnv1_4">#REF!</definedName>
    <definedName name="SpecEnv1_6" localSheetId="4">#REF!</definedName>
    <definedName name="SpecEnv1_6" localSheetId="9">#REF!</definedName>
    <definedName name="SpecEnv1_6" localSheetId="8">#REF!</definedName>
    <definedName name="SpecEnv1_6">#REF!</definedName>
    <definedName name="SpecEnv1_Text" localSheetId="4">#REF!</definedName>
    <definedName name="SpecEnv1_Text" localSheetId="9">#REF!</definedName>
    <definedName name="SpecEnv1_Text" localSheetId="8">#REF!</definedName>
    <definedName name="SpecEnv1_Text">#REF!</definedName>
    <definedName name="SpecEnv1_Text_4" localSheetId="4">#REF!</definedName>
    <definedName name="SpecEnv1_Text_4" localSheetId="9">#REF!</definedName>
    <definedName name="SpecEnv1_Text_4" localSheetId="8">#REF!</definedName>
    <definedName name="SpecEnv1_Text_4">#REF!</definedName>
    <definedName name="SpecEnv1_Text_6" localSheetId="4">#REF!</definedName>
    <definedName name="SpecEnv1_Text_6" localSheetId="9">#REF!</definedName>
    <definedName name="SpecEnv1_Text_6" localSheetId="8">#REF!</definedName>
    <definedName name="SpecEnv1_Text_6">#REF!</definedName>
    <definedName name="SpecEnv2" localSheetId="4">#REF!</definedName>
    <definedName name="SpecEnv2" localSheetId="9">#REF!</definedName>
    <definedName name="SpecEnv2" localSheetId="8">#REF!</definedName>
    <definedName name="SpecEnv2">#REF!</definedName>
    <definedName name="SpecEnv2_4" localSheetId="4">#REF!</definedName>
    <definedName name="SpecEnv2_4" localSheetId="9">#REF!</definedName>
    <definedName name="SpecEnv2_4" localSheetId="8">#REF!</definedName>
    <definedName name="SpecEnv2_4">#REF!</definedName>
    <definedName name="SpecEnv2_6" localSheetId="4">#REF!</definedName>
    <definedName name="SpecEnv2_6" localSheetId="9">#REF!</definedName>
    <definedName name="SpecEnv2_6" localSheetId="8">#REF!</definedName>
    <definedName name="SpecEnv2_6">#REF!</definedName>
    <definedName name="SpecEnv2_Text" localSheetId="4">#REF!</definedName>
    <definedName name="SpecEnv2_Text" localSheetId="9">#REF!</definedName>
    <definedName name="SpecEnv2_Text" localSheetId="8">#REF!</definedName>
    <definedName name="SpecEnv2_Text">#REF!</definedName>
    <definedName name="SpecEnv2_Text_4" localSheetId="4">#REF!</definedName>
    <definedName name="SpecEnv2_Text_4" localSheetId="9">#REF!</definedName>
    <definedName name="SpecEnv2_Text_4" localSheetId="8">#REF!</definedName>
    <definedName name="SpecEnv2_Text_4">#REF!</definedName>
    <definedName name="SpecEnv2_Text_6" localSheetId="4">#REF!</definedName>
    <definedName name="SpecEnv2_Text_6" localSheetId="9">#REF!</definedName>
    <definedName name="SpecEnv2_Text_6" localSheetId="8">#REF!</definedName>
    <definedName name="SpecEnv2_Text_6">#REF!</definedName>
    <definedName name="Special_Equipment" localSheetId="4">[29]Detail!#REF!</definedName>
    <definedName name="Special_Equipment" localSheetId="9">[29]Detail!#REF!</definedName>
    <definedName name="Special_Equipment" localSheetId="8">[29]Detail!#REF!</definedName>
    <definedName name="Special_Equipment">[29]Detail!#REF!</definedName>
    <definedName name="Special_Services" localSheetId="4">[29]Detail!#REF!</definedName>
    <definedName name="Special_Services" localSheetId="9">[29]Detail!#REF!</definedName>
    <definedName name="Special_Services" localSheetId="8">[29]Detail!#REF!</definedName>
    <definedName name="Special_Services">[29]Detail!#REF!</definedName>
    <definedName name="SPLR" localSheetId="4">#REF!</definedName>
    <definedName name="SPLR" localSheetId="9">#REF!</definedName>
    <definedName name="SPLR" localSheetId="8">#REF!</definedName>
    <definedName name="SPLR">#REF!</definedName>
    <definedName name="SPLR_4" localSheetId="4">#REF!</definedName>
    <definedName name="SPLR_4" localSheetId="9">#REF!</definedName>
    <definedName name="SPLR_4" localSheetId="8">#REF!</definedName>
    <definedName name="SPLR_4">#REF!</definedName>
    <definedName name="SPLR_6" localSheetId="4">#REF!</definedName>
    <definedName name="SPLR_6" localSheetId="9">#REF!</definedName>
    <definedName name="SPLR_6" localSheetId="8">#REF!</definedName>
    <definedName name="SPLR_6">#REF!</definedName>
    <definedName name="SPOT1" localSheetId="4">#REF!</definedName>
    <definedName name="SPOT1" localSheetId="9">#REF!</definedName>
    <definedName name="SPOT1" localSheetId="8">#REF!</definedName>
    <definedName name="SPOT1">#REF!</definedName>
    <definedName name="SPR" localSheetId="4">#REF!</definedName>
    <definedName name="SPR" localSheetId="9">#REF!</definedName>
    <definedName name="SPR" localSheetId="8">#REF!</definedName>
    <definedName name="SPR">#REF!</definedName>
    <definedName name="spray" localSheetId="4">#REF!</definedName>
    <definedName name="spray" localSheetId="9">#REF!</definedName>
    <definedName name="spray" localSheetId="8">#REF!</definedName>
    <definedName name="spray">#REF!</definedName>
    <definedName name="SQRT__1___0.6___1.0" localSheetId="4">#REF!</definedName>
    <definedName name="SQRT__1___0.6___1.0" localSheetId="9">#REF!</definedName>
    <definedName name="SQRT__1___0.6___1.0" localSheetId="8">#REF!</definedName>
    <definedName name="SQRT__1___0.6___1.0">#REF!</definedName>
    <definedName name="SQRT__1___0_6___1_0" localSheetId="4">#REF!</definedName>
    <definedName name="SQRT__1___0_6___1_0" localSheetId="9">#REF!</definedName>
    <definedName name="SQRT__1___0_6___1_0" localSheetId="8">#REF!</definedName>
    <definedName name="SQRT__1___0_6___1_0">#REF!</definedName>
    <definedName name="SQRT__1___0_6___1_0___0" localSheetId="4">#REF!</definedName>
    <definedName name="SQRT__1___0_6___1_0___0" localSheetId="9">#REF!</definedName>
    <definedName name="SQRT__1___0_6___1_0___0" localSheetId="8">#REF!</definedName>
    <definedName name="SQRT__1___0_6___1_0___0">#REF!</definedName>
    <definedName name="SQRT__1___0_6___1_0___13" localSheetId="4">#REF!</definedName>
    <definedName name="SQRT__1___0_6___1_0___13" localSheetId="9">#REF!</definedName>
    <definedName name="SQRT__1___0_6___1_0___13" localSheetId="8">#REF!</definedName>
    <definedName name="SQRT__1___0_6___1_0___13">#REF!</definedName>
    <definedName name="SR_NO.">'[9]MASTER_RATE ANALYSIS'!$B$190:$G$190</definedName>
    <definedName name="SRB" localSheetId="9" hidden="1">{"'Sheet1'!$A$4386:$N$4591"}</definedName>
    <definedName name="SRB" localSheetId="0" hidden="1">{"'Sheet1'!$A$4386:$N$4591"}</definedName>
    <definedName name="SRB" hidden="1">{"'Sheet1'!$A$4386:$N$4591"}</definedName>
    <definedName name="srh" localSheetId="4">#REF!</definedName>
    <definedName name="srh" localSheetId="9">#REF!</definedName>
    <definedName name="srh" localSheetId="8">#REF!</definedName>
    <definedName name="srh">#REF!</definedName>
    <definedName name="srp" localSheetId="4">#REF!</definedName>
    <definedName name="srp" localSheetId="9">#REF!</definedName>
    <definedName name="srp" localSheetId="8">#REF!</definedName>
    <definedName name="srp">#REF!</definedName>
    <definedName name="SrvcCode1" localSheetId="4">#REF!</definedName>
    <definedName name="SrvcCode1" localSheetId="9">#REF!</definedName>
    <definedName name="SrvcCode1" localSheetId="8">#REF!</definedName>
    <definedName name="SrvcCode1">#REF!</definedName>
    <definedName name="SrvcCode1_4" localSheetId="4">#REF!</definedName>
    <definedName name="SrvcCode1_4" localSheetId="9">#REF!</definedName>
    <definedName name="SrvcCode1_4" localSheetId="8">#REF!</definedName>
    <definedName name="SrvcCode1_4">#REF!</definedName>
    <definedName name="SrvcCode1_6" localSheetId="4">#REF!</definedName>
    <definedName name="SrvcCode1_6" localSheetId="9">#REF!</definedName>
    <definedName name="SrvcCode1_6" localSheetId="8">#REF!</definedName>
    <definedName name="SrvcCode1_6">#REF!</definedName>
    <definedName name="SrvcCode1_Text" localSheetId="4">#REF!</definedName>
    <definedName name="SrvcCode1_Text" localSheetId="9">#REF!</definedName>
    <definedName name="SrvcCode1_Text" localSheetId="8">#REF!</definedName>
    <definedName name="SrvcCode1_Text">#REF!</definedName>
    <definedName name="SrvcCode1_Text_4" localSheetId="4">#REF!</definedName>
    <definedName name="SrvcCode1_Text_4" localSheetId="9">#REF!</definedName>
    <definedName name="SrvcCode1_Text_4" localSheetId="8">#REF!</definedName>
    <definedName name="SrvcCode1_Text_4">#REF!</definedName>
    <definedName name="SrvcCode1_Text_6" localSheetId="4">#REF!</definedName>
    <definedName name="SrvcCode1_Text_6" localSheetId="9">#REF!</definedName>
    <definedName name="SrvcCode1_Text_6" localSheetId="8">#REF!</definedName>
    <definedName name="SrvcCode1_Text_6">#REF!</definedName>
    <definedName name="SrvcCode2" localSheetId="4">#REF!</definedName>
    <definedName name="SrvcCode2" localSheetId="9">#REF!</definedName>
    <definedName name="SrvcCode2" localSheetId="8">#REF!</definedName>
    <definedName name="SrvcCode2">#REF!</definedName>
    <definedName name="SrvcCode2_4" localSheetId="4">#REF!</definedName>
    <definedName name="SrvcCode2_4" localSheetId="9">#REF!</definedName>
    <definedName name="SrvcCode2_4" localSheetId="8">#REF!</definedName>
    <definedName name="SrvcCode2_4">#REF!</definedName>
    <definedName name="SrvcCode2_6" localSheetId="4">#REF!</definedName>
    <definedName name="SrvcCode2_6" localSheetId="9">#REF!</definedName>
    <definedName name="SrvcCode2_6" localSheetId="8">#REF!</definedName>
    <definedName name="SrvcCode2_6">#REF!</definedName>
    <definedName name="SrvcCode2_Text" localSheetId="4">#REF!</definedName>
    <definedName name="SrvcCode2_Text" localSheetId="9">#REF!</definedName>
    <definedName name="SrvcCode2_Text" localSheetId="8">#REF!</definedName>
    <definedName name="SrvcCode2_Text">#REF!</definedName>
    <definedName name="SrvcCode2_Text_4" localSheetId="4">#REF!</definedName>
    <definedName name="SrvcCode2_Text_4" localSheetId="9">#REF!</definedName>
    <definedName name="SrvcCode2_Text_4" localSheetId="8">#REF!</definedName>
    <definedName name="SrvcCode2_Text_4">#REF!</definedName>
    <definedName name="SrvcCode2_Text_6" localSheetId="4">#REF!</definedName>
    <definedName name="SrvcCode2_Text_6" localSheetId="9">#REF!</definedName>
    <definedName name="SrvcCode2_Text_6" localSheetId="8">#REF!</definedName>
    <definedName name="SrvcCode2_Text_6">#REF!</definedName>
    <definedName name="SrvcCode3" localSheetId="4">#REF!</definedName>
    <definedName name="SrvcCode3" localSheetId="9">#REF!</definedName>
    <definedName name="SrvcCode3" localSheetId="8">#REF!</definedName>
    <definedName name="SrvcCode3">#REF!</definedName>
    <definedName name="SrvcCode3_4" localSheetId="4">#REF!</definedName>
    <definedName name="SrvcCode3_4" localSheetId="9">#REF!</definedName>
    <definedName name="SrvcCode3_4" localSheetId="8">#REF!</definedName>
    <definedName name="SrvcCode3_4">#REF!</definedName>
    <definedName name="SrvcCode3_6" localSheetId="4">#REF!</definedName>
    <definedName name="SrvcCode3_6" localSheetId="9">#REF!</definedName>
    <definedName name="SrvcCode3_6" localSheetId="8">#REF!</definedName>
    <definedName name="SrvcCode3_6">#REF!</definedName>
    <definedName name="SrvcCode3_Text" localSheetId="4">#REF!</definedName>
    <definedName name="SrvcCode3_Text" localSheetId="9">#REF!</definedName>
    <definedName name="SrvcCode3_Text" localSheetId="8">#REF!</definedName>
    <definedName name="SrvcCode3_Text">#REF!</definedName>
    <definedName name="SrvcCode3_Text_4" localSheetId="4">#REF!</definedName>
    <definedName name="SrvcCode3_Text_4" localSheetId="9">#REF!</definedName>
    <definedName name="SrvcCode3_Text_4" localSheetId="8">#REF!</definedName>
    <definedName name="SrvcCode3_Text_4">#REF!</definedName>
    <definedName name="SrvcCode3_Text_6" localSheetId="4">#REF!</definedName>
    <definedName name="SrvcCode3_Text_6" localSheetId="9">#REF!</definedName>
    <definedName name="SrvcCode3_Text_6" localSheetId="8">#REF!</definedName>
    <definedName name="SrvcCode3_Text_6">#REF!</definedName>
    <definedName name="SrvcCode4" localSheetId="4">#REF!</definedName>
    <definedName name="SrvcCode4" localSheetId="9">#REF!</definedName>
    <definedName name="SrvcCode4" localSheetId="8">#REF!</definedName>
    <definedName name="SrvcCode4">#REF!</definedName>
    <definedName name="SrvcCode4_4" localSheetId="4">#REF!</definedName>
    <definedName name="SrvcCode4_4" localSheetId="9">#REF!</definedName>
    <definedName name="SrvcCode4_4" localSheetId="8">#REF!</definedName>
    <definedName name="SrvcCode4_4">#REF!</definedName>
    <definedName name="SrvcCode4_6" localSheetId="4">#REF!</definedName>
    <definedName name="SrvcCode4_6" localSheetId="9">#REF!</definedName>
    <definedName name="SrvcCode4_6" localSheetId="8">#REF!</definedName>
    <definedName name="SrvcCode4_6">#REF!</definedName>
    <definedName name="SrvcCode4_Text" localSheetId="4">#REF!</definedName>
    <definedName name="SrvcCode4_Text" localSheetId="9">#REF!</definedName>
    <definedName name="SrvcCode4_Text" localSheetId="8">#REF!</definedName>
    <definedName name="SrvcCode4_Text">#REF!</definedName>
    <definedName name="SrvcCode4_Text_4" localSheetId="4">#REF!</definedName>
    <definedName name="SrvcCode4_Text_4" localSheetId="9">#REF!</definedName>
    <definedName name="SrvcCode4_Text_4" localSheetId="8">#REF!</definedName>
    <definedName name="SrvcCode4_Text_4">#REF!</definedName>
    <definedName name="SrvcCode4_Text_6" localSheetId="4">#REF!</definedName>
    <definedName name="SrvcCode4_Text_6" localSheetId="9">#REF!</definedName>
    <definedName name="SrvcCode4_Text_6" localSheetId="8">#REF!</definedName>
    <definedName name="SrvcCode4_Text_6">#REF!</definedName>
    <definedName name="SrvcCode5" localSheetId="4">#REF!</definedName>
    <definedName name="SrvcCode5" localSheetId="9">#REF!</definedName>
    <definedName name="SrvcCode5" localSheetId="8">#REF!</definedName>
    <definedName name="SrvcCode5">#REF!</definedName>
    <definedName name="SrvcCode5_4" localSheetId="4">#REF!</definedName>
    <definedName name="SrvcCode5_4" localSheetId="9">#REF!</definedName>
    <definedName name="SrvcCode5_4" localSheetId="8">#REF!</definedName>
    <definedName name="SrvcCode5_4">#REF!</definedName>
    <definedName name="SrvcCode5_6" localSheetId="4">#REF!</definedName>
    <definedName name="SrvcCode5_6" localSheetId="9">#REF!</definedName>
    <definedName name="SrvcCode5_6" localSheetId="8">#REF!</definedName>
    <definedName name="SrvcCode5_6">#REF!</definedName>
    <definedName name="SrvcCode5_Text" localSheetId="4">#REF!</definedName>
    <definedName name="SrvcCode5_Text" localSheetId="9">#REF!</definedName>
    <definedName name="SrvcCode5_Text" localSheetId="8">#REF!</definedName>
    <definedName name="SrvcCode5_Text">#REF!</definedName>
    <definedName name="SrvcCode5_Text_4" localSheetId="4">#REF!</definedName>
    <definedName name="SrvcCode5_Text_4" localSheetId="9">#REF!</definedName>
    <definedName name="SrvcCode5_Text_4" localSheetId="8">#REF!</definedName>
    <definedName name="SrvcCode5_Text_4">#REF!</definedName>
    <definedName name="SrvcCode5_Text_6" localSheetId="4">#REF!</definedName>
    <definedName name="SrvcCode5_Text_6" localSheetId="9">#REF!</definedName>
    <definedName name="SrvcCode5_Text_6" localSheetId="8">#REF!</definedName>
    <definedName name="SrvcCode5_Text_6">#REF!</definedName>
    <definedName name="srvf" localSheetId="4">#REF!</definedName>
    <definedName name="srvf" localSheetId="9">#REF!</definedName>
    <definedName name="srvf" localSheetId="8">#REF!</definedName>
    <definedName name="srvf">#REF!</definedName>
    <definedName name="sryesrt" localSheetId="9" hidden="1">{#N/A,#N/A,FALSE,"VARIATIONS";#N/A,#N/A,FALSE,"BUDGET";#N/A,#N/A,FALSE,"CIVIL QNTY VAR";#N/A,#N/A,FALSE,"SUMMARY";#N/A,#N/A,FALSE,"MATERIAL VAR"}</definedName>
    <definedName name="sryesrt" localSheetId="0" hidden="1">{#N/A,#N/A,FALSE,"VARIATIONS";#N/A,#N/A,FALSE,"BUDGET";#N/A,#N/A,FALSE,"CIVIL QNTY VAR";#N/A,#N/A,FALSE,"SUMMARY";#N/A,#N/A,FALSE,"MATERIAL VAR"}</definedName>
    <definedName name="sryesrt" hidden="1">{#N/A,#N/A,FALSE,"VARIATIONS";#N/A,#N/A,FALSE,"BUDGET";#N/A,#N/A,FALSE,"CIVIL QNTY VAR";#N/A,#N/A,FALSE,"SUMMARY";#N/A,#N/A,FALSE,"MATERIAL VAR"}</definedName>
    <definedName name="SS" localSheetId="4">#REF!</definedName>
    <definedName name="SS" localSheetId="9">#REF!</definedName>
    <definedName name="SS" localSheetId="8">#REF!</definedName>
    <definedName name="SS">#REF!</definedName>
    <definedName name="ssd" localSheetId="4">#REF!</definedName>
    <definedName name="ssd" localSheetId="9">#REF!</definedName>
    <definedName name="ssd" localSheetId="8">#REF!</definedName>
    <definedName name="ssd">#REF!</definedName>
    <definedName name="SSEN" localSheetId="4">[21]見積書!#REF!</definedName>
    <definedName name="SSEN" localSheetId="9">[21]見積書!#REF!</definedName>
    <definedName name="SSEN" localSheetId="8">[21]見積書!#REF!</definedName>
    <definedName name="SSEN">[21]見積書!#REF!</definedName>
    <definedName name="ssf" localSheetId="4">#REF!</definedName>
    <definedName name="ssf" localSheetId="9">#REF!</definedName>
    <definedName name="ssf" localSheetId="8">#REF!</definedName>
    <definedName name="ssf">#REF!</definedName>
    <definedName name="SSS" localSheetId="4">#REF!</definedName>
    <definedName name="SSS" localSheetId="9">#REF!</definedName>
    <definedName name="SSS" localSheetId="8">#REF!</definedName>
    <definedName name="SSS">#REF!</definedName>
    <definedName name="ST" localSheetId="4">#REF!</definedName>
    <definedName name="ST" localSheetId="9">#REF!</definedName>
    <definedName name="ST" localSheetId="8">#REF!</definedName>
    <definedName name="ST">#REF!</definedName>
    <definedName name="st_100" localSheetId="4">#REF!</definedName>
    <definedName name="st_100" localSheetId="9">#REF!</definedName>
    <definedName name="st_100" localSheetId="8">#REF!</definedName>
    <definedName name="st_100">#REF!</definedName>
    <definedName name="st_150" localSheetId="4">#REF!</definedName>
    <definedName name="st_150" localSheetId="9">#REF!</definedName>
    <definedName name="st_150" localSheetId="8">#REF!</definedName>
    <definedName name="st_150">#REF!</definedName>
    <definedName name="st_200" localSheetId="4">#REF!</definedName>
    <definedName name="st_200" localSheetId="9">#REF!</definedName>
    <definedName name="st_200" localSheetId="8">#REF!</definedName>
    <definedName name="st_200">#REF!</definedName>
    <definedName name="st_25" localSheetId="4">#REF!</definedName>
    <definedName name="st_25" localSheetId="9">#REF!</definedName>
    <definedName name="st_25" localSheetId="8">#REF!</definedName>
    <definedName name="st_25">#REF!</definedName>
    <definedName name="st_250" localSheetId="4">#REF!</definedName>
    <definedName name="st_250" localSheetId="9">#REF!</definedName>
    <definedName name="st_250" localSheetId="8">#REF!</definedName>
    <definedName name="st_250">#REF!</definedName>
    <definedName name="st_300" localSheetId="4">#REF!</definedName>
    <definedName name="st_300" localSheetId="9">#REF!</definedName>
    <definedName name="st_300" localSheetId="8">#REF!</definedName>
    <definedName name="st_300">#REF!</definedName>
    <definedName name="st_32" localSheetId="4">#REF!</definedName>
    <definedName name="st_32" localSheetId="9">#REF!</definedName>
    <definedName name="st_32" localSheetId="8">#REF!</definedName>
    <definedName name="st_32">#REF!</definedName>
    <definedName name="st_40" localSheetId="4">#REF!</definedName>
    <definedName name="st_40" localSheetId="9">#REF!</definedName>
    <definedName name="st_40" localSheetId="8">#REF!</definedName>
    <definedName name="st_40">#REF!</definedName>
    <definedName name="st_400" localSheetId="4">#REF!</definedName>
    <definedName name="st_400" localSheetId="9">#REF!</definedName>
    <definedName name="st_400" localSheetId="8">#REF!</definedName>
    <definedName name="st_400">#REF!</definedName>
    <definedName name="st_50" localSheetId="4">#REF!</definedName>
    <definedName name="st_50" localSheetId="9">#REF!</definedName>
    <definedName name="st_50" localSheetId="8">#REF!</definedName>
    <definedName name="st_50">#REF!</definedName>
    <definedName name="st_500" localSheetId="4">#REF!</definedName>
    <definedName name="st_500" localSheetId="9">#REF!</definedName>
    <definedName name="st_500" localSheetId="8">#REF!</definedName>
    <definedName name="st_500">#REF!</definedName>
    <definedName name="st_65" localSheetId="4">#REF!</definedName>
    <definedName name="st_65" localSheetId="9">#REF!</definedName>
    <definedName name="st_65" localSheetId="8">#REF!</definedName>
    <definedName name="st_65">#REF!</definedName>
    <definedName name="st_80" localSheetId="4">#REF!</definedName>
    <definedName name="st_80" localSheetId="9">#REF!</definedName>
    <definedName name="st_80" localSheetId="8">#REF!</definedName>
    <definedName name="st_80">#REF!</definedName>
    <definedName name="st1h" localSheetId="3">#REF!</definedName>
    <definedName name="st1h" localSheetId="4">#REF!</definedName>
    <definedName name="st1h" localSheetId="9">#REF!</definedName>
    <definedName name="st1h" localSheetId="8">#REF!</definedName>
    <definedName name="st1h">#REF!</definedName>
    <definedName name="st2h" localSheetId="3">#REF!</definedName>
    <definedName name="st2h" localSheetId="4">#REF!</definedName>
    <definedName name="st2h" localSheetId="9">#REF!</definedName>
    <definedName name="st2h" localSheetId="8">#REF!</definedName>
    <definedName name="st2h">#REF!</definedName>
    <definedName name="Stage">'[97]Fill this out first...'!$D$12</definedName>
    <definedName name="Staircase" localSheetId="4">#REF!</definedName>
    <definedName name="Staircase" localSheetId="9">#REF!</definedName>
    <definedName name="Staircase" localSheetId="8">#REF!</definedName>
    <definedName name="Staircase">#REF!</definedName>
    <definedName name="Staircase2" localSheetId="4">#REF!</definedName>
    <definedName name="Staircase2" localSheetId="9">#REF!</definedName>
    <definedName name="Staircase2" localSheetId="8">#REF!</definedName>
    <definedName name="Staircase2">#REF!</definedName>
    <definedName name="Start_Date" localSheetId="4">#REF!</definedName>
    <definedName name="Start_Date" localSheetId="9">#REF!</definedName>
    <definedName name="Start_Date" localSheetId="8">#REF!</definedName>
    <definedName name="Start_Date">#REF!</definedName>
    <definedName name="StartDate" localSheetId="4">#REF!</definedName>
    <definedName name="StartDate" localSheetId="9">#REF!</definedName>
    <definedName name="StartDate" localSheetId="8">#REF!</definedName>
    <definedName name="StartDate">#REF!</definedName>
    <definedName name="StartDate_4" localSheetId="4">#REF!</definedName>
    <definedName name="StartDate_4" localSheetId="9">#REF!</definedName>
    <definedName name="StartDate_4" localSheetId="8">#REF!</definedName>
    <definedName name="StartDate_4">#REF!</definedName>
    <definedName name="StartDate_6" localSheetId="4">#REF!</definedName>
    <definedName name="StartDate_6" localSheetId="9">#REF!</definedName>
    <definedName name="StartDate_6" localSheetId="8">#REF!</definedName>
    <definedName name="StartDate_6">#REF!</definedName>
    <definedName name="State">"#REF!"</definedName>
    <definedName name="State_3" localSheetId="4">#REF!</definedName>
    <definedName name="State_3" localSheetId="9">#REF!</definedName>
    <definedName name="State_3" localSheetId="6">#REF!</definedName>
    <definedName name="State_3" localSheetId="8">#REF!</definedName>
    <definedName name="State_3">#REF!</definedName>
    <definedName name="Status">[100]Legend!$A$8:$A$10</definedName>
    <definedName name="stb" localSheetId="3">#REF!</definedName>
    <definedName name="stb" localSheetId="4">#REF!</definedName>
    <definedName name="stb" localSheetId="9">#REF!</definedName>
    <definedName name="stb" localSheetId="8">#REF!</definedName>
    <definedName name="stb">#REF!</definedName>
    <definedName name="steam_props" localSheetId="4">#REF!</definedName>
    <definedName name="steam_props" localSheetId="9">#REF!</definedName>
    <definedName name="steam_props" localSheetId="8">#REF!</definedName>
    <definedName name="steam_props">#REF!</definedName>
    <definedName name="stock02" localSheetId="9" hidden="1">{#N/A,#N/A,FALSE,"gc (2)"}</definedName>
    <definedName name="stock02" localSheetId="0" hidden="1">{#N/A,#N/A,FALSE,"gc (2)"}</definedName>
    <definedName name="stock02" hidden="1">{#N/A,#N/A,FALSE,"gc (2)"}</definedName>
    <definedName name="Stone_Aggregate_10_mm" localSheetId="4">#REF!</definedName>
    <definedName name="Stone_Aggregate_10_mm" localSheetId="9">#REF!</definedName>
    <definedName name="Stone_Aggregate_10_mm" localSheetId="8">#REF!</definedName>
    <definedName name="Stone_Aggregate_10_mm">#REF!</definedName>
    <definedName name="Stone_Aggregate_20_mm" localSheetId="4">#REF!</definedName>
    <definedName name="Stone_Aggregate_20_mm" localSheetId="9">#REF!</definedName>
    <definedName name="Stone_Aggregate_20_mm" localSheetId="8">#REF!</definedName>
    <definedName name="Stone_Aggregate_20_mm">#REF!</definedName>
    <definedName name="Stone_Aggregate_40_mm" localSheetId="4">#REF!</definedName>
    <definedName name="Stone_Aggregate_40_mm" localSheetId="9">#REF!</definedName>
    <definedName name="Stone_Aggregate_40_mm" localSheetId="8">#REF!</definedName>
    <definedName name="Stone_Aggregate_40_mm">#REF!</definedName>
    <definedName name="Stone_Dust" localSheetId="4">#REF!</definedName>
    <definedName name="Stone_Dust" localSheetId="9">#REF!</definedName>
    <definedName name="Stone_Dust" localSheetId="8">#REF!</definedName>
    <definedName name="Stone_Dust">#REF!</definedName>
    <definedName name="StrID" localSheetId="4">#REF!</definedName>
    <definedName name="StrID" localSheetId="9">#REF!</definedName>
    <definedName name="StrID" localSheetId="8">#REF!</definedName>
    <definedName name="StrID">#REF!</definedName>
    <definedName name="structure" localSheetId="4">#REF!</definedName>
    <definedName name="structure" localSheetId="9">#REF!</definedName>
    <definedName name="structure" localSheetId="8">#REF!</definedName>
    <definedName name="structure">#REF!</definedName>
    <definedName name="stysr" localSheetId="9" hidden="1">{#N/A,#N/A,FALSE,"VARIATIONS";#N/A,#N/A,FALSE,"BUDGET";#N/A,#N/A,FALSE,"CIVIL QNTY VAR";#N/A,#N/A,FALSE,"SUMMARY";#N/A,#N/A,FALSE,"MATERIAL VAR"}</definedName>
    <definedName name="stysr" localSheetId="0" hidden="1">{#N/A,#N/A,FALSE,"VARIATIONS";#N/A,#N/A,FALSE,"BUDGET";#N/A,#N/A,FALSE,"CIVIL QNTY VAR";#N/A,#N/A,FALSE,"SUMMARY";#N/A,#N/A,FALSE,"MATERIAL VAR"}</definedName>
    <definedName name="stysr" hidden="1">{#N/A,#N/A,FALSE,"VARIATIONS";#N/A,#N/A,FALSE,"BUDGET";#N/A,#N/A,FALSE,"CIVIL QNTY VAR";#N/A,#N/A,FALSE,"SUMMARY";#N/A,#N/A,FALSE,"MATERIAL VAR"}</definedName>
    <definedName name="su">'[91]labour rates'!$C$2</definedName>
    <definedName name="sub1_1" localSheetId="4">#REF!</definedName>
    <definedName name="sub1_1" localSheetId="9">#REF!</definedName>
    <definedName name="sub1_1" localSheetId="8">#REF!</definedName>
    <definedName name="sub1_1">#REF!</definedName>
    <definedName name="sub1_10" localSheetId="4">#REF!</definedName>
    <definedName name="sub1_10" localSheetId="9">#REF!</definedName>
    <definedName name="sub1_10" localSheetId="8">#REF!</definedName>
    <definedName name="sub1_10">#REF!</definedName>
    <definedName name="sub1_10j" localSheetId="4">#REF!</definedName>
    <definedName name="sub1_10j" localSheetId="9">#REF!</definedName>
    <definedName name="sub1_10j" localSheetId="8">#REF!</definedName>
    <definedName name="sub1_10j">#REF!</definedName>
    <definedName name="sub1_11" localSheetId="4">#REF!</definedName>
    <definedName name="sub1_11" localSheetId="9">#REF!</definedName>
    <definedName name="sub1_11" localSheetId="8">#REF!</definedName>
    <definedName name="sub1_11">#REF!</definedName>
    <definedName name="sub1_11j" localSheetId="4">#REF!</definedName>
    <definedName name="sub1_11j" localSheetId="9">#REF!</definedName>
    <definedName name="sub1_11j" localSheetId="8">#REF!</definedName>
    <definedName name="sub1_11j">#REF!</definedName>
    <definedName name="sub1_1j" localSheetId="4">#REF!</definedName>
    <definedName name="sub1_1j" localSheetId="9">#REF!</definedName>
    <definedName name="sub1_1j" localSheetId="8">#REF!</definedName>
    <definedName name="sub1_1j">#REF!</definedName>
    <definedName name="sub1_2" localSheetId="4">#REF!</definedName>
    <definedName name="sub1_2" localSheetId="9">#REF!</definedName>
    <definedName name="sub1_2" localSheetId="8">#REF!</definedName>
    <definedName name="sub1_2">#REF!</definedName>
    <definedName name="sub1_2j" localSheetId="4">#REF!</definedName>
    <definedName name="sub1_2j" localSheetId="9">#REF!</definedName>
    <definedName name="sub1_2j" localSheetId="8">#REF!</definedName>
    <definedName name="sub1_2j">#REF!</definedName>
    <definedName name="sub1_3" localSheetId="4">#REF!</definedName>
    <definedName name="sub1_3" localSheetId="9">#REF!</definedName>
    <definedName name="sub1_3" localSheetId="8">#REF!</definedName>
    <definedName name="sub1_3">#REF!</definedName>
    <definedName name="sub1_3j" localSheetId="4">#REF!</definedName>
    <definedName name="sub1_3j" localSheetId="9">#REF!</definedName>
    <definedName name="sub1_3j" localSheetId="8">#REF!</definedName>
    <definedName name="sub1_3j">#REF!</definedName>
    <definedName name="sub1_4" localSheetId="4">#REF!</definedName>
    <definedName name="sub1_4" localSheetId="9">#REF!</definedName>
    <definedName name="sub1_4" localSheetId="8">#REF!</definedName>
    <definedName name="sub1_4">#REF!</definedName>
    <definedName name="sub1_4j" localSheetId="4">#REF!</definedName>
    <definedName name="sub1_4j" localSheetId="9">#REF!</definedName>
    <definedName name="sub1_4j" localSheetId="8">#REF!</definedName>
    <definedName name="sub1_4j">#REF!</definedName>
    <definedName name="sub1_5" localSheetId="4">#REF!</definedName>
    <definedName name="sub1_5" localSheetId="9">#REF!</definedName>
    <definedName name="sub1_5" localSheetId="8">#REF!</definedName>
    <definedName name="sub1_5">#REF!</definedName>
    <definedName name="sub1_5j" localSheetId="4">#REF!</definedName>
    <definedName name="sub1_5j" localSheetId="9">#REF!</definedName>
    <definedName name="sub1_5j" localSheetId="8">#REF!</definedName>
    <definedName name="sub1_5j">#REF!</definedName>
    <definedName name="sub1_6" localSheetId="4">#REF!</definedName>
    <definedName name="sub1_6" localSheetId="9">#REF!</definedName>
    <definedName name="sub1_6" localSheetId="8">#REF!</definedName>
    <definedName name="sub1_6">#REF!</definedName>
    <definedName name="sub1_6j" localSheetId="4">#REF!</definedName>
    <definedName name="sub1_6j" localSheetId="9">#REF!</definedName>
    <definedName name="sub1_6j" localSheetId="8">#REF!</definedName>
    <definedName name="sub1_6j">#REF!</definedName>
    <definedName name="sub1_7" localSheetId="4">#REF!</definedName>
    <definedName name="sub1_7" localSheetId="9">#REF!</definedName>
    <definedName name="sub1_7" localSheetId="8">#REF!</definedName>
    <definedName name="sub1_7">#REF!</definedName>
    <definedName name="sub1_7j" localSheetId="4">#REF!</definedName>
    <definedName name="sub1_7j" localSheetId="9">#REF!</definedName>
    <definedName name="sub1_7j" localSheetId="8">#REF!</definedName>
    <definedName name="sub1_7j">#REF!</definedName>
    <definedName name="sub1_8" localSheetId="4">#REF!</definedName>
    <definedName name="sub1_8" localSheetId="9">#REF!</definedName>
    <definedName name="sub1_8" localSheetId="8">#REF!</definedName>
    <definedName name="sub1_8">#REF!</definedName>
    <definedName name="sub1_8j" localSheetId="4">#REF!</definedName>
    <definedName name="sub1_8j" localSheetId="9">#REF!</definedName>
    <definedName name="sub1_8j" localSheetId="8">#REF!</definedName>
    <definedName name="sub1_8j">#REF!</definedName>
    <definedName name="sub1_9" localSheetId="4">#REF!</definedName>
    <definedName name="sub1_9" localSheetId="9">#REF!</definedName>
    <definedName name="sub1_9" localSheetId="8">#REF!</definedName>
    <definedName name="sub1_9">#REF!</definedName>
    <definedName name="sub1_9j" localSheetId="4">#REF!</definedName>
    <definedName name="sub1_9j" localSheetId="9">#REF!</definedName>
    <definedName name="sub1_9j" localSheetId="8">#REF!</definedName>
    <definedName name="sub1_9j">#REF!</definedName>
    <definedName name="sub2_1">'[107]2.1 受電設備棟'!$F$42</definedName>
    <definedName name="sub2_1j" localSheetId="4">#REF!</definedName>
    <definedName name="sub2_1j" localSheetId="9">#REF!</definedName>
    <definedName name="sub2_1j" localSheetId="8">#REF!</definedName>
    <definedName name="sub2_1j">#REF!</definedName>
    <definedName name="sub2_2">'[107]2.2 受・防火水槽'!$F$28</definedName>
    <definedName name="sub2_3">'[107]2.3 排水処理設備棟'!$F$43</definedName>
    <definedName name="sub2_4">'[107]2.4 倉庫棟'!$F$44</definedName>
    <definedName name="sub2_5">'[107]2.5 守衛棟'!$G$49</definedName>
    <definedName name="sub5_1" localSheetId="4">#REF!</definedName>
    <definedName name="sub5_1" localSheetId="9">#REF!</definedName>
    <definedName name="sub5_1" localSheetId="8">#REF!</definedName>
    <definedName name="sub5_1">#REF!</definedName>
    <definedName name="sub5_1j" localSheetId="4">#REF!</definedName>
    <definedName name="sub5_1j" localSheetId="9">#REF!</definedName>
    <definedName name="sub5_1j" localSheetId="8">#REF!</definedName>
    <definedName name="sub5_1j">#REF!</definedName>
    <definedName name="Subject" localSheetId="4">#REF!</definedName>
    <definedName name="Subject" localSheetId="9">#REF!</definedName>
    <definedName name="Subject" localSheetId="8">#REF!</definedName>
    <definedName name="Subject">#REF!</definedName>
    <definedName name="SubName" localSheetId="4">#REF!</definedName>
    <definedName name="SubName" localSheetId="9">#REF!</definedName>
    <definedName name="SubName" localSheetId="8">#REF!</definedName>
    <definedName name="SubName">#REF!</definedName>
    <definedName name="substructure" localSheetId="4">#REF!</definedName>
    <definedName name="substructure" localSheetId="9">#REF!</definedName>
    <definedName name="substructure" localSheetId="8">#REF!</definedName>
    <definedName name="substructure">#REF!</definedName>
    <definedName name="Sum" localSheetId="4">#REF!</definedName>
    <definedName name="Sum" localSheetId="9">#REF!</definedName>
    <definedName name="Sum" localSheetId="8">#REF!</definedName>
    <definedName name="Sum">#REF!</definedName>
    <definedName name="sumJan12" localSheetId="9" hidden="1">{#N/A,#N/A,FALSE,"VARIATIONS";#N/A,#N/A,FALSE,"BUDGET";#N/A,#N/A,FALSE,"CIVIL QNTY VAR";#N/A,#N/A,FALSE,"SUMMARY";#N/A,#N/A,FALSE,"MATERIAL VAR"}</definedName>
    <definedName name="sumJan12" localSheetId="0" hidden="1">{#N/A,#N/A,FALSE,"VARIATIONS";#N/A,#N/A,FALSE,"BUDGET";#N/A,#N/A,FALSE,"CIVIL QNTY VAR";#N/A,#N/A,FALSE,"SUMMARY";#N/A,#N/A,FALSE,"MATERIAL VAR"}</definedName>
    <definedName name="sumJan12" hidden="1">{#N/A,#N/A,FALSE,"VARIATIONS";#N/A,#N/A,FALSE,"BUDGET";#N/A,#N/A,FALSE,"CIVIL QNTY VAR";#N/A,#N/A,FALSE,"SUMMARY";#N/A,#N/A,FALSE,"MATERIAL VAR"}</definedName>
    <definedName name="SUMMARY" localSheetId="4">#REF!</definedName>
    <definedName name="SUMMARY" localSheetId="9">#REF!</definedName>
    <definedName name="SUMMARY" localSheetId="8">#REF!</definedName>
    <definedName name="SUMMARY">#REF!</definedName>
    <definedName name="superstructure" localSheetId="4">#REF!</definedName>
    <definedName name="superstructure" localSheetId="9">#REF!</definedName>
    <definedName name="superstructure" localSheetId="8">#REF!</definedName>
    <definedName name="superstructure">#REF!</definedName>
    <definedName name="Supp_Auth" localSheetId="4">#REF!</definedName>
    <definedName name="Supp_Auth" localSheetId="9">#REF!</definedName>
    <definedName name="Supp_Auth" localSheetId="8">#REF!</definedName>
    <definedName name="Supp_Auth">#REF!</definedName>
    <definedName name="surf" localSheetId="4">#REF!</definedName>
    <definedName name="surf" localSheetId="9">#REF!</definedName>
    <definedName name="surf" localSheetId="8">#REF!</definedName>
    <definedName name="surf">#REF!</definedName>
    <definedName name="SURYA" localSheetId="4">#REF!</definedName>
    <definedName name="SURYA" localSheetId="9">#REF!</definedName>
    <definedName name="SURYA" localSheetId="8">#REF!</definedName>
    <definedName name="SURYA">#REF!</definedName>
    <definedName name="sweep" localSheetId="4">#REF!</definedName>
    <definedName name="sweep" localSheetId="9">#REF!</definedName>
    <definedName name="sweep" localSheetId="8">#REF!</definedName>
    <definedName name="sweep">#REF!</definedName>
    <definedName name="swf" localSheetId="4">#REF!</definedName>
    <definedName name="swf" localSheetId="9">#REF!</definedName>
    <definedName name="swf" localSheetId="8">#REF!</definedName>
    <definedName name="swf">#REF!</definedName>
    <definedName name="swf_4" localSheetId="4">#REF!</definedName>
    <definedName name="swf_4" localSheetId="9">#REF!</definedName>
    <definedName name="swf_4" localSheetId="8">#REF!</definedName>
    <definedName name="swf_4">#REF!</definedName>
    <definedName name="swf_6" localSheetId="4">#REF!</definedName>
    <definedName name="swf_6" localSheetId="9">#REF!</definedName>
    <definedName name="swf_6" localSheetId="8">#REF!</definedName>
    <definedName name="swf_6">#REF!</definedName>
    <definedName name="SYR">[72]HPL!$C$70</definedName>
    <definedName name="system">'[91]labour rates'!$C$5</definedName>
    <definedName name="t" localSheetId="9" hidden="1">{#N/A,#N/A,FALSE,"VARIATIONS";#N/A,#N/A,FALSE,"BUDGET";#N/A,#N/A,FALSE,"CIVIL QNTY VAR";#N/A,#N/A,FALSE,"SUMMARY";#N/A,#N/A,FALSE,"MATERIAL VAR"}</definedName>
    <definedName name="t" localSheetId="0" hidden="1">{#N/A,#N/A,FALSE,"VARIATIONS";#N/A,#N/A,FALSE,"BUDGET";#N/A,#N/A,FALSE,"CIVIL QNTY VAR";#N/A,#N/A,FALSE,"SUMMARY";#N/A,#N/A,FALSE,"MATERIAL VAR"}</definedName>
    <definedName name="t" hidden="1">{#N/A,#N/A,FALSE,"VARIATIONS";#N/A,#N/A,FALSE,"BUDGET";#N/A,#N/A,FALSE,"CIVIL QNTY VAR";#N/A,#N/A,FALSE,"SUMMARY";#N/A,#N/A,FALSE,"MATERIAL VAR"}</definedName>
    <definedName name="t___0" localSheetId="4">#REF!</definedName>
    <definedName name="t___0" localSheetId="9">#REF!</definedName>
    <definedName name="t___0" localSheetId="8">#REF!</definedName>
    <definedName name="t___0">#REF!</definedName>
    <definedName name="t___13" localSheetId="4">#REF!</definedName>
    <definedName name="t___13" localSheetId="9">#REF!</definedName>
    <definedName name="t___13" localSheetId="8">#REF!</definedName>
    <definedName name="t___13">#REF!</definedName>
    <definedName name="T0" localSheetId="4">#REF!</definedName>
    <definedName name="T0" localSheetId="9">#REF!</definedName>
    <definedName name="T0" localSheetId="8">#REF!</definedName>
    <definedName name="T0">#REF!</definedName>
    <definedName name="t25h" localSheetId="4">#REF!</definedName>
    <definedName name="t25h" localSheetId="9">#REF!</definedName>
    <definedName name="t25h" localSheetId="8">#REF!</definedName>
    <definedName name="t25h">#REF!</definedName>
    <definedName name="TA" localSheetId="9" hidden="1">{#N/A,#N/A,TRUE,"Financials";#N/A,#N/A,TRUE,"Operating Statistics";#N/A,#N/A,TRUE,"Capex &amp; Depreciation";#N/A,#N/A,TRUE,"Debt"}</definedName>
    <definedName name="TA" localSheetId="0" hidden="1">{#N/A,#N/A,TRUE,"Financials";#N/A,#N/A,TRUE,"Operating Statistics";#N/A,#N/A,TRUE,"Capex &amp; Depreciation";#N/A,#N/A,TRUE,"Debt"}</definedName>
    <definedName name="TA" hidden="1">{#N/A,#N/A,TRUE,"Financials";#N/A,#N/A,TRUE,"Operating Statistics";#N/A,#N/A,TRUE,"Capex &amp; Depreciation";#N/A,#N/A,TRUE,"Debt"}</definedName>
    <definedName name="Table" localSheetId="4">#REF!</definedName>
    <definedName name="Table" localSheetId="9">#REF!</definedName>
    <definedName name="Table" localSheetId="8">#REF!</definedName>
    <definedName name="Table">#REF!</definedName>
    <definedName name="table1">'[25]SPT vs PHI'!$E$2:$F$47</definedName>
    <definedName name="TABLE2" localSheetId="4">#REF!</definedName>
    <definedName name="TABLE2" localSheetId="9">#REF!</definedName>
    <definedName name="TABLE2" localSheetId="8">#REF!</definedName>
    <definedName name="TABLE2">#REF!</definedName>
    <definedName name="TableRange" localSheetId="4">#REF!</definedName>
    <definedName name="TableRange" localSheetId="9">#REF!</definedName>
    <definedName name="TableRange" localSheetId="8">#REF!</definedName>
    <definedName name="TableRange">#REF!</definedName>
    <definedName name="TAMT" localSheetId="4">#REF!</definedName>
    <definedName name="TAMT" localSheetId="9">#REF!</definedName>
    <definedName name="TAMT" localSheetId="8">#REF!</definedName>
    <definedName name="TAMT">#REF!</definedName>
    <definedName name="tank" localSheetId="4">#REF!</definedName>
    <definedName name="tank" localSheetId="9">#REF!</definedName>
    <definedName name="tank" localSheetId="8">#REF!</definedName>
    <definedName name="tank">#REF!</definedName>
    <definedName name="TaxTV">10%</definedName>
    <definedName name="TaxXL">5%</definedName>
    <definedName name="tb" localSheetId="9" hidden="1">{#N/A,#N/A,FALSE,"VARIATIONS";#N/A,#N/A,FALSE,"BUDGET";#N/A,#N/A,FALSE,"CIVIL QNTY VAR";#N/A,#N/A,FALSE,"SUMMARY";#N/A,#N/A,FALSE,"MATERIAL VAR"}</definedName>
    <definedName name="tb" localSheetId="0" hidden="1">{#N/A,#N/A,FALSE,"VARIATIONS";#N/A,#N/A,FALSE,"BUDGET";#N/A,#N/A,FALSE,"CIVIL QNTY VAR";#N/A,#N/A,FALSE,"SUMMARY";#N/A,#N/A,FALSE,"MATERIAL VAR"}</definedName>
    <definedName name="tb" hidden="1">{#N/A,#N/A,FALSE,"VARIATIONS";#N/A,#N/A,FALSE,"BUDGET";#N/A,#N/A,FALSE,"CIVIL QNTY VAR";#N/A,#N/A,FALSE,"SUMMARY";#N/A,#N/A,FALSE,"MATERIAL VAR"}</definedName>
    <definedName name="te" localSheetId="4">#REF!</definedName>
    <definedName name="te" localSheetId="9">#REF!</definedName>
    <definedName name="te" localSheetId="8">#REF!</definedName>
    <definedName name="te">#REF!</definedName>
    <definedName name="TECHI" localSheetId="4">#REF!</definedName>
    <definedName name="TECHI" localSheetId="9">#REF!</definedName>
    <definedName name="TECHI" localSheetId="8">#REF!</definedName>
    <definedName name="TECHI">#REF!</definedName>
    <definedName name="tee" localSheetId="4">#REF!</definedName>
    <definedName name="tee" localSheetId="9">#REF!</definedName>
    <definedName name="tee" localSheetId="8">#REF!</definedName>
    <definedName name="tee">#REF!</definedName>
    <definedName name="TEI" localSheetId="4">#REF!</definedName>
    <definedName name="TEI" localSheetId="9">#REF!</definedName>
    <definedName name="TEI" localSheetId="8">#REF!</definedName>
    <definedName name="TEI">#REF!</definedName>
    <definedName name="TEISHUTSU_GAKU_2" localSheetId="4">#REF!</definedName>
    <definedName name="TEISHUTSU_GAKU_2" localSheetId="9">#REF!</definedName>
    <definedName name="TEISHUTSU_GAKU_2" localSheetId="8">#REF!</definedName>
    <definedName name="TEISHUTSU_GAKU_2">#REF!</definedName>
    <definedName name="TEISHUTSU_MOTO" localSheetId="4">#REF!</definedName>
    <definedName name="TEISHUTSU_MOTO" localSheetId="9">#REF!</definedName>
    <definedName name="TEISHUTSU_MOTO" localSheetId="8">#REF!</definedName>
    <definedName name="TEISHUTSU_MOTO">#REF!</definedName>
    <definedName name="TEISHUTSU_MOTO_JUSHO" localSheetId="4">#REF!</definedName>
    <definedName name="TEISHUTSU_MOTO_JUSHO" localSheetId="9">#REF!</definedName>
    <definedName name="TEISHUTSU_MOTO_JUSHO" localSheetId="8">#REF!</definedName>
    <definedName name="TEISHUTSU_MOTO_JUSHO">#REF!</definedName>
    <definedName name="TEISHUTSU_MOTO_NM" localSheetId="4">#REF!</definedName>
    <definedName name="TEISHUTSU_MOTO_NM" localSheetId="9">#REF!</definedName>
    <definedName name="TEISHUTSU_MOTO_NM" localSheetId="8">#REF!</definedName>
    <definedName name="TEISHUTSU_MOTO_NM">#REF!</definedName>
    <definedName name="TEISHUTSU_MOTO_TEL" localSheetId="4">#REF!</definedName>
    <definedName name="TEISHUTSU_MOTO_TEL" localSheetId="9">#REF!</definedName>
    <definedName name="TEISHUTSU_MOTO_TEL" localSheetId="8">#REF!</definedName>
    <definedName name="TEISHUTSU_MOTO_TEL">#REF!</definedName>
    <definedName name="tel" localSheetId="4">#REF!</definedName>
    <definedName name="tel" localSheetId="9">#REF!</definedName>
    <definedName name="tel" localSheetId="8">#REF!</definedName>
    <definedName name="tel">#REF!</definedName>
    <definedName name="telephonepoles" localSheetId="4">#REF!</definedName>
    <definedName name="telephonepoles" localSheetId="9">#REF!</definedName>
    <definedName name="telephonepoles" localSheetId="8">#REF!</definedName>
    <definedName name="telephonepoles">#REF!</definedName>
    <definedName name="TELEVISION" localSheetId="4">#REF!</definedName>
    <definedName name="TELEVISION" localSheetId="9">#REF!</definedName>
    <definedName name="TELEVISION" localSheetId="8">#REF!</definedName>
    <definedName name="TELEVISION">#REF!</definedName>
    <definedName name="tem" localSheetId="9" hidden="1">{#N/A,#N/A,TRUE,"Front";#N/A,#N/A,TRUE,"Simple Letter";#N/A,#N/A,TRUE,"Inside";#N/A,#N/A,TRUE,"Contents";#N/A,#N/A,TRUE,"Basis";#N/A,#N/A,TRUE,"Inclusions";#N/A,#N/A,TRUE,"Exclusions";#N/A,#N/A,TRUE,"Areas";#N/A,#N/A,TRUE,"Summary";#N/A,#N/A,TRUE,"Detail"}</definedName>
    <definedName name="tem" localSheetId="0" hidden="1">{#N/A,#N/A,TRUE,"Front";#N/A,#N/A,TRUE,"Simple Letter";#N/A,#N/A,TRUE,"Inside";#N/A,#N/A,TRUE,"Contents";#N/A,#N/A,TRUE,"Basis";#N/A,#N/A,TRUE,"Inclusions";#N/A,#N/A,TRUE,"Exclusions";#N/A,#N/A,TRUE,"Areas";#N/A,#N/A,TRUE,"Summary";#N/A,#N/A,TRUE,"Detail"}</definedName>
    <definedName name="tem" hidden="1">{#N/A,#N/A,TRUE,"Front";#N/A,#N/A,TRUE,"Simple Letter";#N/A,#N/A,TRUE,"Inside";#N/A,#N/A,TRUE,"Contents";#N/A,#N/A,TRUE,"Basis";#N/A,#N/A,TRUE,"Inclusions";#N/A,#N/A,TRUE,"Exclusions";#N/A,#N/A,TRUE,"Areas";#N/A,#N/A,TRUE,"Summary";#N/A,#N/A,TRUE,"Detail"}</definedName>
    <definedName name="temp" localSheetId="9" hidden="1">{#N/A,#N/A,TRUE,"Front";#N/A,#N/A,TRUE,"Simple Letter";#N/A,#N/A,TRUE,"Inside";#N/A,#N/A,TRUE,"Contents";#N/A,#N/A,TRUE,"Basis";#N/A,#N/A,TRUE,"Inclusions";#N/A,#N/A,TRUE,"Exclusions";#N/A,#N/A,TRUE,"Areas";#N/A,#N/A,TRUE,"Summary";#N/A,#N/A,TRUE,"Detail"}</definedName>
    <definedName name="temp" localSheetId="0" hidden="1">{#N/A,#N/A,TRUE,"Front";#N/A,#N/A,TRUE,"Simple Letter";#N/A,#N/A,TRUE,"Inside";#N/A,#N/A,TRUE,"Contents";#N/A,#N/A,TRUE,"Basis";#N/A,#N/A,TRUE,"Inclusions";#N/A,#N/A,TRUE,"Exclusions";#N/A,#N/A,TRUE,"Areas";#N/A,#N/A,TRUE,"Summary";#N/A,#N/A,TRUE,"Detail"}</definedName>
    <definedName name="temp" hidden="1">{#N/A,#N/A,TRUE,"Front";#N/A,#N/A,TRUE,"Simple Letter";#N/A,#N/A,TRUE,"Inside";#N/A,#N/A,TRUE,"Contents";#N/A,#N/A,TRUE,"Basis";#N/A,#N/A,TRUE,"Inclusions";#N/A,#N/A,TRUE,"Exclusions";#N/A,#N/A,TRUE,"Areas";#N/A,#N/A,TRUE,"Summary";#N/A,#N/A,TRUE,"Detail"}</definedName>
    <definedName name="temp1" localSheetId="9" hidden="1">{#N/A,#N/A,TRUE,"Front";#N/A,#N/A,TRUE,"Simple Letter";#N/A,#N/A,TRUE,"Inside";#N/A,#N/A,TRUE,"Contents";#N/A,#N/A,TRUE,"Basis";#N/A,#N/A,TRUE,"Inclusions";#N/A,#N/A,TRUE,"Exclusions";#N/A,#N/A,TRUE,"Areas";#N/A,#N/A,TRUE,"Summary";#N/A,#N/A,TRUE,"Detail"}</definedName>
    <definedName name="temp1" localSheetId="0" hidden="1">{#N/A,#N/A,TRUE,"Front";#N/A,#N/A,TRUE,"Simple Letter";#N/A,#N/A,TRUE,"Inside";#N/A,#N/A,TRUE,"Contents";#N/A,#N/A,TRUE,"Basis";#N/A,#N/A,TRUE,"Inclusions";#N/A,#N/A,TRUE,"Exclusions";#N/A,#N/A,TRUE,"Areas";#N/A,#N/A,TRUE,"Summary";#N/A,#N/A,TRUE,"Detail"}</definedName>
    <definedName name="temp1" hidden="1">{#N/A,#N/A,TRUE,"Front";#N/A,#N/A,TRUE,"Simple Letter";#N/A,#N/A,TRUE,"Inside";#N/A,#N/A,TRUE,"Contents";#N/A,#N/A,TRUE,"Basis";#N/A,#N/A,TRUE,"Inclusions";#N/A,#N/A,TRUE,"Exclusions";#N/A,#N/A,TRUE,"Areas";#N/A,#N/A,TRUE,"Summary";#N/A,#N/A,TRUE,"Detail"}</definedName>
    <definedName name="TENANTS" localSheetId="4">'[40]Area Statement'!#REF!</definedName>
    <definedName name="TENANTS" localSheetId="9">'[40]Area Statement'!#REF!</definedName>
    <definedName name="TENANTS" localSheetId="8">'[40]Area Statement'!#REF!</definedName>
    <definedName name="TENANTS">'[40]Area Statement'!#REF!</definedName>
    <definedName name="TEs" localSheetId="4">#REF!</definedName>
    <definedName name="TEs" localSheetId="9">#REF!</definedName>
    <definedName name="TEs" localSheetId="8">#REF!</definedName>
    <definedName name="TEs">#REF!</definedName>
    <definedName name="TEs___0" localSheetId="4">#REF!</definedName>
    <definedName name="TEs___0" localSheetId="9">#REF!</definedName>
    <definedName name="TEs___0" localSheetId="8">#REF!</definedName>
    <definedName name="TEs___0">#REF!</definedName>
    <definedName name="TEs___13" localSheetId="4">#REF!</definedName>
    <definedName name="TEs___13" localSheetId="9">#REF!</definedName>
    <definedName name="TEs___13" localSheetId="8">#REF!</definedName>
    <definedName name="TEs___13">#REF!</definedName>
    <definedName name="test" localSheetId="4">#REF!</definedName>
    <definedName name="test" localSheetId="9">#REF!</definedName>
    <definedName name="test" localSheetId="8">#REF!</definedName>
    <definedName name="test">#REF!</definedName>
    <definedName name="TEST1" localSheetId="4">#REF!</definedName>
    <definedName name="TEST1" localSheetId="9">#REF!</definedName>
    <definedName name="TEST1" localSheetId="8">#REF!</definedName>
    <definedName name="TEST1">#REF!</definedName>
    <definedName name="TEST2" localSheetId="4">#REF!</definedName>
    <definedName name="TEST2" localSheetId="9">#REF!</definedName>
    <definedName name="TEST2" localSheetId="8">#REF!</definedName>
    <definedName name="TEST2">#REF!</definedName>
    <definedName name="TEST3" localSheetId="4">#REF!</definedName>
    <definedName name="TEST3" localSheetId="9">#REF!</definedName>
    <definedName name="TEST3" localSheetId="8">#REF!</definedName>
    <definedName name="TEST3">#REF!</definedName>
    <definedName name="TEST4" localSheetId="4">#REF!</definedName>
    <definedName name="TEST4" localSheetId="9">#REF!</definedName>
    <definedName name="TEST4" localSheetId="8">#REF!</definedName>
    <definedName name="TEST4">#REF!</definedName>
    <definedName name="TESTHKEY" localSheetId="4">#REF!</definedName>
    <definedName name="TESTHKEY" localSheetId="9">#REF!</definedName>
    <definedName name="TESTHKEY" localSheetId="8">#REF!</definedName>
    <definedName name="TESTHKEY">#REF!</definedName>
    <definedName name="TESTKEYS" localSheetId="4">#REF!</definedName>
    <definedName name="TESTKEYS" localSheetId="9">#REF!</definedName>
    <definedName name="TESTKEYS" localSheetId="8">#REF!</definedName>
    <definedName name="TESTKEYS">#REF!</definedName>
    <definedName name="TESTVKEY" localSheetId="4">#REF!</definedName>
    <definedName name="TESTVKEY" localSheetId="9">#REF!</definedName>
    <definedName name="TESTVKEY" localSheetId="8">#REF!</definedName>
    <definedName name="TESTVKEY">#REF!</definedName>
    <definedName name="TEt" localSheetId="4">#REF!</definedName>
    <definedName name="TEt" localSheetId="9">#REF!</definedName>
    <definedName name="TEt" localSheetId="8">#REF!</definedName>
    <definedName name="TEt">#REF!</definedName>
    <definedName name="TEt___0" localSheetId="4">#REF!</definedName>
    <definedName name="TEt___0" localSheetId="9">#REF!</definedName>
    <definedName name="TEt___0" localSheetId="8">#REF!</definedName>
    <definedName name="TEt___0">#REF!</definedName>
    <definedName name="TEt___13" localSheetId="4">#REF!</definedName>
    <definedName name="TEt___13" localSheetId="9">#REF!</definedName>
    <definedName name="TEt___13" localSheetId="8">#REF!</definedName>
    <definedName name="TEt___13">#REF!</definedName>
    <definedName name="text" localSheetId="4">#REF!</definedName>
    <definedName name="text" localSheetId="9">#REF!</definedName>
    <definedName name="text" localSheetId="8">#REF!</definedName>
    <definedName name="text">#REF!</definedName>
    <definedName name="TF" localSheetId="4">#REF!</definedName>
    <definedName name="TF" localSheetId="9">#REF!</definedName>
    <definedName name="TF" localSheetId="8">#REF!</definedName>
    <definedName name="TF">#REF!</definedName>
    <definedName name="th" localSheetId="4">#REF!</definedName>
    <definedName name="th" localSheetId="9">#REF!</definedName>
    <definedName name="th" localSheetId="8">#REF!</definedName>
    <definedName name="th">#REF!</definedName>
    <definedName name="the" localSheetId="9" hidden="1">{#N/A,#N/A,FALSE,"gc (2)"}</definedName>
    <definedName name="the" localSheetId="0" hidden="1">{#N/A,#N/A,FALSE,"gc (2)"}</definedName>
    <definedName name="the" hidden="1">{#N/A,#N/A,FALSE,"gc (2)"}</definedName>
    <definedName name="Theatre" hidden="1">[108]Controls!$K$3</definedName>
    <definedName name="ti25hr" localSheetId="4">#REF!</definedName>
    <definedName name="ti25hr" localSheetId="9">#REF!</definedName>
    <definedName name="ti25hr" localSheetId="8">#REF!</definedName>
    <definedName name="ti25hr">#REF!</definedName>
    <definedName name="Tier2." localSheetId="4">'[74]Beam at Ground flr lvl(Steel)'!#REF!</definedName>
    <definedName name="Tier2." localSheetId="9">'[74]Beam at Ground flr lvl(Steel)'!#REF!</definedName>
    <definedName name="Tier2." localSheetId="8">'[74]Beam at Ground flr lvl(Steel)'!#REF!</definedName>
    <definedName name="Tier2.">'[74]Beam at Ground flr lvl(Steel)'!#REF!</definedName>
    <definedName name="TierCode" localSheetId="4">#REF!</definedName>
    <definedName name="TierCode" localSheetId="9">#REF!</definedName>
    <definedName name="TierCode" localSheetId="8">#REF!</definedName>
    <definedName name="TierCode">#REF!</definedName>
    <definedName name="TierCode_4" localSheetId="4">#REF!</definedName>
    <definedName name="TierCode_4" localSheetId="9">#REF!</definedName>
    <definedName name="TierCode_4" localSheetId="8">#REF!</definedName>
    <definedName name="TierCode_4">#REF!</definedName>
    <definedName name="TierCode_6" localSheetId="4">#REF!</definedName>
    <definedName name="TierCode_6" localSheetId="9">#REF!</definedName>
    <definedName name="TierCode_6" localSheetId="8">#REF!</definedName>
    <definedName name="TierCode_6">#REF!</definedName>
    <definedName name="TierCode_Text" localSheetId="4">#REF!</definedName>
    <definedName name="TierCode_Text" localSheetId="9">#REF!</definedName>
    <definedName name="TierCode_Text" localSheetId="8">#REF!</definedName>
    <definedName name="TierCode_Text">#REF!</definedName>
    <definedName name="TierCode_Text_4" localSheetId="4">#REF!</definedName>
    <definedName name="TierCode_Text_4" localSheetId="9">#REF!</definedName>
    <definedName name="TierCode_Text_4" localSheetId="8">#REF!</definedName>
    <definedName name="TierCode_Text_4">#REF!</definedName>
    <definedName name="TierCode_Text_6" localSheetId="4">#REF!</definedName>
    <definedName name="TierCode_Text_6" localSheetId="9">#REF!</definedName>
    <definedName name="TierCode_Text_6" localSheetId="8">#REF!</definedName>
    <definedName name="TierCode_Text_6">#REF!</definedName>
    <definedName name="tim">[109]Construction!$S$36:$S$74</definedName>
    <definedName name="tipp" localSheetId="4">#REF!</definedName>
    <definedName name="tipp" localSheetId="9">#REF!</definedName>
    <definedName name="tipp" localSheetId="8">#REF!</definedName>
    <definedName name="tipp">#REF!</definedName>
    <definedName name="Title">'[110]Civil Boq'!$D$3</definedName>
    <definedName name="Title1" localSheetId="4">#REF!</definedName>
    <definedName name="Title1" localSheetId="9">#REF!</definedName>
    <definedName name="Title1" localSheetId="8">#REF!</definedName>
    <definedName name="Title1">#REF!</definedName>
    <definedName name="Title2" localSheetId="4">#REF!</definedName>
    <definedName name="Title2" localSheetId="9">#REF!</definedName>
    <definedName name="Title2" localSheetId="8">#REF!</definedName>
    <definedName name="Title2">#REF!</definedName>
    <definedName name="TMBPLA" localSheetId="4">[41]Sheet1!#REF!</definedName>
    <definedName name="TMBPLA" localSheetId="9">[41]Sheet1!#REF!</definedName>
    <definedName name="TMBPLA" localSheetId="8">[41]Sheet1!#REF!</definedName>
    <definedName name="TMBPLA">[41]Sheet1!#REF!</definedName>
    <definedName name="TMBSCA" localSheetId="4">[41]Sheet1!#REF!</definedName>
    <definedName name="TMBSCA" localSheetId="9">[41]Sheet1!#REF!</definedName>
    <definedName name="TMBSCA" localSheetId="8">[41]Sheet1!#REF!</definedName>
    <definedName name="TMBSCA">[41]Sheet1!#REF!</definedName>
    <definedName name="tol" localSheetId="4">#REF!</definedName>
    <definedName name="tol" localSheetId="9">#REF!</definedName>
    <definedName name="tol" localSheetId="8">#REF!</definedName>
    <definedName name="tol">#REF!</definedName>
    <definedName name="top" localSheetId="4">#REF!</definedName>
    <definedName name="top" localSheetId="9">#REF!</definedName>
    <definedName name="top" localSheetId="8">#REF!</definedName>
    <definedName name="top">#REF!</definedName>
    <definedName name="topl" localSheetId="4">#REF!</definedName>
    <definedName name="topl" localSheetId="9">#REF!</definedName>
    <definedName name="topl" localSheetId="8">#REF!</definedName>
    <definedName name="topl">#REF!</definedName>
    <definedName name="topn" localSheetId="4">#REF!</definedName>
    <definedName name="topn" localSheetId="9">#REF!</definedName>
    <definedName name="topn" localSheetId="8">#REF!</definedName>
    <definedName name="topn">#REF!</definedName>
    <definedName name="TOR" localSheetId="4">#REF!</definedName>
    <definedName name="TOR" localSheetId="9">#REF!</definedName>
    <definedName name="TOR" localSheetId="8">#REF!</definedName>
    <definedName name="TOR">#REF!</definedName>
    <definedName name="Total" localSheetId="9">City&amp;" "&amp;State</definedName>
    <definedName name="Total" localSheetId="0">City&amp;" "&amp;State</definedName>
    <definedName name="Total">City&amp;" "&amp;State</definedName>
    <definedName name="Total_7" localSheetId="9">City&amp;" "&amp;State</definedName>
    <definedName name="Total_7" localSheetId="0">City&amp;" "&amp;State</definedName>
    <definedName name="Total_7">City&amp;" "&amp;State</definedName>
    <definedName name="TotalBridges">"'[1]Bills of Quantities'!$G$103"</definedName>
    <definedName name="TotalBridges_3">'[58]Bills of Quantities'!$G$103</definedName>
    <definedName name="TotalEarthworks">"'[1]Bills of Quantities'!$G$14"</definedName>
    <definedName name="TotalEarthworks_3">'[58]Bills of Quantities'!$G$14</definedName>
    <definedName name="TotalIncidentals">"'[1]Bills of Quantities'!$G$128"</definedName>
    <definedName name="TotalIncidentals_3">'[58]Bills of Quantities'!$G$128</definedName>
    <definedName name="TotalMisc">"'[1]Bills of Quantities'!$G$175"</definedName>
    <definedName name="TotalMisc_3">'[58]Bills of Quantities'!$G$175</definedName>
    <definedName name="TotalPavements">"'[1]Bills of Quantities'!$G$27"</definedName>
    <definedName name="TotalPavements_3">'[58]Bills of Quantities'!$G$27</definedName>
    <definedName name="totalqtyfinal" localSheetId="4">#REF!</definedName>
    <definedName name="totalqtyfinal" localSheetId="9">#REF!</definedName>
    <definedName name="totalqtyfinal" localSheetId="8">#REF!</definedName>
    <definedName name="totalqtyfinal">#REF!</definedName>
    <definedName name="TotalStructures">"'[1]Bills of Quantities'!$G$73"</definedName>
    <definedName name="TotalStructures_3">'[58]Bills of Quantities'!$G$73</definedName>
    <definedName name="tr" localSheetId="4">#REF!</definedName>
    <definedName name="tr" localSheetId="9">#REF!</definedName>
    <definedName name="tr" localSheetId="8">#REF!</definedName>
    <definedName name="tr">#REF!</definedName>
    <definedName name="trans" localSheetId="4">#REF!</definedName>
    <definedName name="trans" localSheetId="9">#REF!</definedName>
    <definedName name="trans" localSheetId="8">#REF!</definedName>
    <definedName name="trans">#REF!</definedName>
    <definedName name="Transportation" localSheetId="4">[29]Detail!#REF!</definedName>
    <definedName name="Transportation" localSheetId="9">[29]Detail!#REF!</definedName>
    <definedName name="Transportation" localSheetId="8">[29]Detail!#REF!</definedName>
    <definedName name="Transportation">[29]Detail!#REF!</definedName>
    <definedName name="tS" localSheetId="4">#REF!</definedName>
    <definedName name="tS" localSheetId="9">#REF!</definedName>
    <definedName name="tS" localSheetId="8">#REF!</definedName>
    <definedName name="tS">#REF!</definedName>
    <definedName name="tS___0" localSheetId="4">#REF!</definedName>
    <definedName name="tS___0" localSheetId="9">#REF!</definedName>
    <definedName name="tS___0" localSheetId="8">#REF!</definedName>
    <definedName name="tS___0">#REF!</definedName>
    <definedName name="tS___13" localSheetId="4">#REF!</definedName>
    <definedName name="tS___13" localSheetId="9">#REF!</definedName>
    <definedName name="tS___13" localSheetId="8">#REF!</definedName>
    <definedName name="tS___13">#REF!</definedName>
    <definedName name="TSR">[24]MG!$F$214</definedName>
    <definedName name="TT" localSheetId="9" hidden="1">{#N/A,#N/A,TRUE,"Financials";#N/A,#N/A,TRUE,"Operating Statistics";#N/A,#N/A,TRUE,"Capex &amp; Depreciation";#N/A,#N/A,TRUE,"Debt"}</definedName>
    <definedName name="TT" localSheetId="0" hidden="1">{#N/A,#N/A,TRUE,"Financials";#N/A,#N/A,TRUE,"Operating Statistics";#N/A,#N/A,TRUE,"Capex &amp; Depreciation";#N/A,#N/A,TRUE,"Debt"}</definedName>
    <definedName name="TT" hidden="1">{#N/A,#N/A,TRUE,"Financials";#N/A,#N/A,TRUE,"Operating Statistics";#N/A,#N/A,TRUE,"Capex &amp; Depreciation";#N/A,#N/A,TRUE,"Debt"}</definedName>
    <definedName name="TTStandard" localSheetId="4">#REF!</definedName>
    <definedName name="TTStandard" localSheetId="9">#REF!</definedName>
    <definedName name="TTStandard" localSheetId="8">#REF!</definedName>
    <definedName name="TTStandard">#REF!</definedName>
    <definedName name="ttt" localSheetId="9" hidden="1">{#N/A,#N/A,FALSE,"VARIATIONS";#N/A,#N/A,FALSE,"BUDGET";#N/A,#N/A,FALSE,"CIVIL QNTY VAR";#N/A,#N/A,FALSE,"SUMMARY";#N/A,#N/A,FALSE,"MATERIAL VAR"}</definedName>
    <definedName name="ttt" localSheetId="0" hidden="1">{#N/A,#N/A,FALSE,"VARIATIONS";#N/A,#N/A,FALSE,"BUDGET";#N/A,#N/A,FALSE,"CIVIL QNTY VAR";#N/A,#N/A,FALSE,"SUMMARY";#N/A,#N/A,FALSE,"MATERIAL VAR"}</definedName>
    <definedName name="ttt" hidden="1">{#N/A,#N/A,FALSE,"VARIATIONS";#N/A,#N/A,FALSE,"BUDGET";#N/A,#N/A,FALSE,"CIVIL QNTY VAR";#N/A,#N/A,FALSE,"SUMMARY";#N/A,#N/A,FALSE,"MATERIAL VAR"}</definedName>
    <definedName name="TUES1" localSheetId="4">#REF!</definedName>
    <definedName name="TUES1" localSheetId="9">#REF!</definedName>
    <definedName name="TUES1" localSheetId="8">#REF!</definedName>
    <definedName name="TUES1">#REF!</definedName>
    <definedName name="TV" localSheetId="4">#REF!</definedName>
    <definedName name="TV" localSheetId="9">#REF!</definedName>
    <definedName name="TV" localSheetId="8">#REF!</definedName>
    <definedName name="TV">#REF!</definedName>
    <definedName name="TVM" localSheetId="4">#REF!</definedName>
    <definedName name="TVM" localSheetId="9">#REF!</definedName>
    <definedName name="TVM" localSheetId="8">#REF!</definedName>
    <definedName name="TVM">#REF!</definedName>
    <definedName name="TVSS" localSheetId="4">#REF!</definedName>
    <definedName name="TVSS" localSheetId="9">#REF!</definedName>
    <definedName name="TVSS" localSheetId="8">#REF!</definedName>
    <definedName name="TVSS">#REF!</definedName>
    <definedName name="TVSS1" localSheetId="4">#REF!</definedName>
    <definedName name="TVSS1" localSheetId="9">#REF!</definedName>
    <definedName name="TVSS1" localSheetId="8">#REF!</definedName>
    <definedName name="TVSS1">#REF!</definedName>
    <definedName name="TVV" localSheetId="4">#REF!</definedName>
    <definedName name="TVV" localSheetId="9">#REF!</definedName>
    <definedName name="TVV" localSheetId="8">#REF!</definedName>
    <definedName name="TVV">#REF!</definedName>
    <definedName name="type">'[97]Fill this out first...'!$D$13</definedName>
    <definedName name="Type1" localSheetId="4">#REF!</definedName>
    <definedName name="Type1" localSheetId="9">#REF!</definedName>
    <definedName name="Type1" localSheetId="8">#REF!</definedName>
    <definedName name="Type1">#REF!</definedName>
    <definedName name="Type2" localSheetId="4">#REF!</definedName>
    <definedName name="Type2" localSheetId="9">#REF!</definedName>
    <definedName name="Type2" localSheetId="8">#REF!</definedName>
    <definedName name="Type2">#REF!</definedName>
    <definedName name="Type3" localSheetId="4">#REF!</definedName>
    <definedName name="Type3" localSheetId="9">#REF!</definedName>
    <definedName name="Type3" localSheetId="8">#REF!</definedName>
    <definedName name="Type3">#REF!</definedName>
    <definedName name="TYUKO" localSheetId="4">#REF!</definedName>
    <definedName name="TYUKO" localSheetId="9">#REF!</definedName>
    <definedName name="TYUKO" localSheetId="8">#REF!</definedName>
    <definedName name="TYUKO">#REF!</definedName>
    <definedName name="U" localSheetId="4">#REF!</definedName>
    <definedName name="U" localSheetId="9">#REF!</definedName>
    <definedName name="U" localSheetId="8">#REF!</definedName>
    <definedName name="U">#REF!</definedName>
    <definedName name="ubhf" localSheetId="3">#REF!</definedName>
    <definedName name="ubhf" localSheetId="4">#REF!</definedName>
    <definedName name="ubhf" localSheetId="9">#REF!</definedName>
    <definedName name="ubhf" localSheetId="8">#REF!</definedName>
    <definedName name="ubhf">#REF!</definedName>
    <definedName name="ubhnta" localSheetId="3">#REF!</definedName>
    <definedName name="ubhnta" localSheetId="4">#REF!</definedName>
    <definedName name="ubhnta" localSheetId="9">#REF!</definedName>
    <definedName name="ubhnta" localSheetId="8">#REF!</definedName>
    <definedName name="ubhnta">#REF!</definedName>
    <definedName name="ubhs" localSheetId="3">#REF!</definedName>
    <definedName name="ubhs" localSheetId="4">#REF!</definedName>
    <definedName name="ubhs" localSheetId="9">#REF!</definedName>
    <definedName name="ubhs" localSheetId="8">#REF!</definedName>
    <definedName name="ubhs">#REF!</definedName>
    <definedName name="uj" localSheetId="4">#REF!</definedName>
    <definedName name="uj" localSheetId="9">#REF!</definedName>
    <definedName name="uj" localSheetId="8">#REF!</definedName>
    <definedName name="uj">#REF!</definedName>
    <definedName name="UNITS" localSheetId="4">#REF!</definedName>
    <definedName name="UNITS" localSheetId="9">#REF!</definedName>
    <definedName name="UNITS" localSheetId="8">#REF!</definedName>
    <definedName name="UNITS">#REF!</definedName>
    <definedName name="UNITWT" localSheetId="4">#REF!</definedName>
    <definedName name="UNITWT" localSheetId="9">#REF!</definedName>
    <definedName name="UNITWT" localSheetId="6">#REF!</definedName>
    <definedName name="UNITWT" localSheetId="8">#REF!</definedName>
    <definedName name="UNITWT">#REF!</definedName>
    <definedName name="UNITWT_3" localSheetId="4">#REF!</definedName>
    <definedName name="UNITWT_3" localSheetId="9">#REF!</definedName>
    <definedName name="UNITWT_3" localSheetId="6">#REF!</definedName>
    <definedName name="UNITWT_3" localSheetId="8">#REF!</definedName>
    <definedName name="UNITWT_3">#REF!</definedName>
    <definedName name="unsecured" localSheetId="4">#REF!</definedName>
    <definedName name="unsecured" localSheetId="9">#REF!</definedName>
    <definedName name="unsecured" localSheetId="8">#REF!</definedName>
    <definedName name="unsecured">#REF!</definedName>
    <definedName name="US" localSheetId="4">#REF!</definedName>
    <definedName name="US" localSheetId="9">#REF!</definedName>
    <definedName name="US" localSheetId="8">#REF!</definedName>
    <definedName name="US">#REF!</definedName>
    <definedName name="usc" localSheetId="4">#REF!</definedName>
    <definedName name="usc" localSheetId="9">#REF!</definedName>
    <definedName name="usc" localSheetId="8">#REF!</definedName>
    <definedName name="usc">#REF!</definedName>
    <definedName name="usd" localSheetId="4">#REF!</definedName>
    <definedName name="usd" localSheetId="9">#REF!</definedName>
    <definedName name="usd" localSheetId="8">#REF!</definedName>
    <definedName name="usd">#REF!</definedName>
    <definedName name="use" localSheetId="4">#REF!</definedName>
    <definedName name="use" localSheetId="9">#REF!</definedName>
    <definedName name="use" localSheetId="8">#REF!</definedName>
    <definedName name="use">#REF!</definedName>
    <definedName name="Use_Alternates" localSheetId="4">#REF!</definedName>
    <definedName name="Use_Alternates" localSheetId="9">#REF!</definedName>
    <definedName name="Use_Alternates" localSheetId="8">#REF!</definedName>
    <definedName name="Use_Alternates">#REF!</definedName>
    <definedName name="UserChoice" localSheetId="4">#REF!</definedName>
    <definedName name="UserChoice" localSheetId="9">#REF!</definedName>
    <definedName name="UserChoice" localSheetId="8">#REF!</definedName>
    <definedName name="UserChoice">#REF!</definedName>
    <definedName name="UTILITY" localSheetId="4">#REF!</definedName>
    <definedName name="UTILITY" localSheetId="9">#REF!</definedName>
    <definedName name="UTILITY" localSheetId="8">#REF!</definedName>
    <definedName name="UTILITY">#REF!</definedName>
    <definedName name="uu" localSheetId="9" hidden="1">{#N/A,#N/A,FALSE,"gc (2)"}</definedName>
    <definedName name="uu" localSheetId="0" hidden="1">{#N/A,#N/A,FALSE,"gc (2)"}</definedName>
    <definedName name="uu" hidden="1">{#N/A,#N/A,FALSE,"gc (2)"}</definedName>
    <definedName name="UV" localSheetId="4">#REF!</definedName>
    <definedName name="UV" localSheetId="9">#REF!</definedName>
    <definedName name="UV" localSheetId="8">#REF!</definedName>
    <definedName name="UV">#REF!</definedName>
    <definedName name="UVOV">[32]Costing!$E$13</definedName>
    <definedName name="V">'[111]Name Lists'!$E$239:$E$242</definedName>
    <definedName name="V_CH1" localSheetId="4">[21]見積書!#REF!</definedName>
    <definedName name="V_CH1" localSheetId="9">[21]見積書!#REF!</definedName>
    <definedName name="V_CH1" localSheetId="8">[21]見積書!#REF!</definedName>
    <definedName name="V_CH1">[21]見積書!#REF!</definedName>
    <definedName name="V_CH2" localSheetId="4">[21]見積書!#REF!</definedName>
    <definedName name="V_CH2" localSheetId="9">[21]見積書!#REF!</definedName>
    <definedName name="V_CH2" localSheetId="8">[21]見積書!#REF!</definedName>
    <definedName name="V_CH2">[21]見積書!#REF!</definedName>
    <definedName name="va" localSheetId="4">#REF!</definedName>
    <definedName name="va" localSheetId="9">#REF!</definedName>
    <definedName name="va" localSheetId="8">#REF!</definedName>
    <definedName name="va">#REF!</definedName>
    <definedName name="va___0" localSheetId="4">#REF!</definedName>
    <definedName name="va___0" localSheetId="9">#REF!</definedName>
    <definedName name="va___0" localSheetId="8">#REF!</definedName>
    <definedName name="va___0">#REF!</definedName>
    <definedName name="va___13" localSheetId="4">#REF!</definedName>
    <definedName name="va___13" localSheetId="9">#REF!</definedName>
    <definedName name="va___13" localSheetId="8">#REF!</definedName>
    <definedName name="va___13">#REF!</definedName>
    <definedName name="VADODARA_________________________________CLIENT_______________M_s">'[9]MASTER_RATE ANALYSIS'!$B$185:$G$185</definedName>
    <definedName name="vagm" localSheetId="4">#REF!</definedName>
    <definedName name="vagm" localSheetId="9">#REF!</definedName>
    <definedName name="vagm" localSheetId="8">#REF!</definedName>
    <definedName name="vagm">#REF!</definedName>
    <definedName name="VANDEMATARAM" localSheetId="4">#REF!</definedName>
    <definedName name="VANDEMATARAM" localSheetId="9">#REF!</definedName>
    <definedName name="VANDEMATARAM" localSheetId="8">#REF!</definedName>
    <definedName name="VANDEMATARAM">#REF!</definedName>
    <definedName name="vatf" localSheetId="4">#REF!</definedName>
    <definedName name="vatf" localSheetId="9">#REF!</definedName>
    <definedName name="vatf" localSheetId="8">#REF!</definedName>
    <definedName name="vatf">#REF!</definedName>
    <definedName name="vatf_4" localSheetId="4">#REF!</definedName>
    <definedName name="vatf_4" localSheetId="9">#REF!</definedName>
    <definedName name="vatf_4" localSheetId="8">#REF!</definedName>
    <definedName name="vatf_4">#REF!</definedName>
    <definedName name="vatf_6" localSheetId="4">#REF!</definedName>
    <definedName name="vatf_6" localSheetId="9">#REF!</definedName>
    <definedName name="vatf_6" localSheetId="8">#REF!</definedName>
    <definedName name="vatf_6">#REF!</definedName>
    <definedName name="VB" localSheetId="4">#REF!</definedName>
    <definedName name="VB" localSheetId="9">#REF!</definedName>
    <definedName name="VB" localSheetId="8">#REF!</definedName>
    <definedName name="VB">#REF!</definedName>
    <definedName name="VBR">[72]HPL!$F$55</definedName>
    <definedName name="VD" localSheetId="4">#REF!</definedName>
    <definedName name="VD" localSheetId="9">#REF!</definedName>
    <definedName name="VD" localSheetId="8">#REF!</definedName>
    <definedName name="VD">#REF!</definedName>
    <definedName name="vdg" localSheetId="4">#REF!</definedName>
    <definedName name="vdg" localSheetId="9">#REF!</definedName>
    <definedName name="vdg" localSheetId="8">#REF!</definedName>
    <definedName name="vdg">#REF!</definedName>
    <definedName name="ve" localSheetId="4">#REF!</definedName>
    <definedName name="ve" localSheetId="9">#REF!</definedName>
    <definedName name="ve" localSheetId="8">#REF!</definedName>
    <definedName name="ve">#REF!</definedName>
    <definedName name="Vend" localSheetId="4">#REF!</definedName>
    <definedName name="Vend" localSheetId="9">#REF!</definedName>
    <definedName name="Vend" localSheetId="8">#REF!</definedName>
    <definedName name="Vend">#REF!</definedName>
    <definedName name="vender_1500KVA" localSheetId="4">#REF!</definedName>
    <definedName name="vender_1500KVA" localSheetId="9">#REF!</definedName>
    <definedName name="vender_1500KVA" localSheetId="8">#REF!</definedName>
    <definedName name="vender_1500KVA">#REF!</definedName>
    <definedName name="VENDOR" localSheetId="4">#REF!</definedName>
    <definedName name="VENDOR" localSheetId="9">#REF!</definedName>
    <definedName name="VENDOR" localSheetId="8">#REF!</definedName>
    <definedName name="VENDOR">#REF!</definedName>
    <definedName name="vendor_500KVA" localSheetId="4">#REF!</definedName>
    <definedName name="vendor_500KVA" localSheetId="9">#REF!</definedName>
    <definedName name="vendor_500KVA" localSheetId="8">#REF!</definedName>
    <definedName name="vendor_500KVA">#REF!</definedName>
    <definedName name="Ventilation" localSheetId="4">[29]Detail!#REF!</definedName>
    <definedName name="Ventilation" localSheetId="9">[29]Detail!#REF!</definedName>
    <definedName name="Ventilation" localSheetId="8">[29]Detail!#REF!</definedName>
    <definedName name="Ventilation">[29]Detail!#REF!</definedName>
    <definedName name="vertical_col_and_corner_walls" localSheetId="4">#REF!</definedName>
    <definedName name="vertical_col_and_corner_walls" localSheetId="9">#REF!</definedName>
    <definedName name="vertical_col_and_corner_walls" localSheetId="8">#REF!</definedName>
    <definedName name="vertical_col_and_corner_walls">#REF!</definedName>
    <definedName name="Vf" localSheetId="4">#REF!</definedName>
    <definedName name="Vf" localSheetId="9">#REF!</definedName>
    <definedName name="Vf" localSheetId="8">#REF!</definedName>
    <definedName name="Vf">#REF!</definedName>
    <definedName name="VFD7.5" localSheetId="4">#REF!</definedName>
    <definedName name="VFD7.5" localSheetId="9">#REF!</definedName>
    <definedName name="VFD7.5" localSheetId="8">#REF!</definedName>
    <definedName name="VFD7.5">#REF!</definedName>
    <definedName name="vg" localSheetId="9" hidden="1">{#N/A,#N/A,FALSE,"One Pager";#N/A,#N/A,FALSE,"Technical"}</definedName>
    <definedName name="vg" localSheetId="0" hidden="1">{#N/A,#N/A,FALSE,"One Pager";#N/A,#N/A,FALSE,"Technical"}</definedName>
    <definedName name="vg" hidden="1">{#N/A,#N/A,FALSE,"One Pager";#N/A,#N/A,FALSE,"Technical"}</definedName>
    <definedName name="vib" localSheetId="4">#REF!</definedName>
    <definedName name="vib" localSheetId="9">#REF!</definedName>
    <definedName name="vib" localSheetId="8">#REF!</definedName>
    <definedName name="vib">#REF!</definedName>
    <definedName name="vibroll" localSheetId="4">#REF!</definedName>
    <definedName name="vibroll" localSheetId="9">#REF!</definedName>
    <definedName name="vibroll" localSheetId="8">#REF!</definedName>
    <definedName name="vibroll">#REF!</definedName>
    <definedName name="vishnu" localSheetId="9" hidden="1">{#N/A,#N/A,FALSE,"One Pager";#N/A,#N/A,FALSE,"Technical"}</definedName>
    <definedName name="vishnu" localSheetId="0" hidden="1">{#N/A,#N/A,FALSE,"One Pager";#N/A,#N/A,FALSE,"Technical"}</definedName>
    <definedName name="vishnu" hidden="1">{#N/A,#N/A,FALSE,"One Pager";#N/A,#N/A,FALSE,"Technical"}</definedName>
    <definedName name="VIVEKANANDA" localSheetId="4">#REF!</definedName>
    <definedName name="VIVEKANANDA" localSheetId="9">#REF!</definedName>
    <definedName name="VIVEKANANDA" localSheetId="8">#REF!</definedName>
    <definedName name="VIVEKANANDA">#REF!</definedName>
    <definedName name="vk" localSheetId="9" hidden="1">{#N/A,#N/A,FALSE,"One Pager";#N/A,#N/A,FALSE,"Technical"}</definedName>
    <definedName name="vk" localSheetId="0" hidden="1">{#N/A,#N/A,FALSE,"One Pager";#N/A,#N/A,FALSE,"Technical"}</definedName>
    <definedName name="vk" hidden="1">{#N/A,#N/A,FALSE,"One Pager";#N/A,#N/A,FALSE,"Technical"}</definedName>
    <definedName name="vm" localSheetId="4">#REF!</definedName>
    <definedName name="vm" localSheetId="9">#REF!</definedName>
    <definedName name="vm" localSheetId="8">#REF!</definedName>
    <definedName name="vm">#REF!</definedName>
    <definedName name="VMM" localSheetId="4">#REF!</definedName>
    <definedName name="VMM" localSheetId="9">#REF!</definedName>
    <definedName name="VMM" localSheetId="8">#REF!</definedName>
    <definedName name="VMM">#REF!</definedName>
    <definedName name="VNFVBDVFBZDSD" localSheetId="4">#REF!</definedName>
    <definedName name="VNFVBDVFBZDSD" localSheetId="9">#REF!</definedName>
    <definedName name="VNFVBDVFBZDSD" localSheetId="8">#REF!</definedName>
    <definedName name="VNFVBDVFBZDSD">#REF!</definedName>
    <definedName name="VOA" localSheetId="4">#REF!</definedName>
    <definedName name="VOA" localSheetId="9">#REF!</definedName>
    <definedName name="VOA" localSheetId="8">#REF!</definedName>
    <definedName name="VOA">#REF!</definedName>
    <definedName name="VOLTAGE_DROP_FOR_THREE_PHASE_Sheet2_List" localSheetId="4">#REF!</definedName>
    <definedName name="VOLTAGE_DROP_FOR_THREE_PHASE_Sheet2_List" localSheetId="9">#REF!</definedName>
    <definedName name="VOLTAGE_DROP_FOR_THREE_PHASE_Sheet2_List" localSheetId="8">#REF!</definedName>
    <definedName name="VOLTAGE_DROP_FOR_THREE_PHASE_Sheet2_List">#REF!</definedName>
    <definedName name="Vsigma" localSheetId="4">#REF!</definedName>
    <definedName name="Vsigma" localSheetId="9">#REF!</definedName>
    <definedName name="Vsigma" localSheetId="8">#REF!</definedName>
    <definedName name="Vsigma">#REF!</definedName>
    <definedName name="VSS" localSheetId="4">#REF!</definedName>
    <definedName name="VSS" localSheetId="9">#REF!</definedName>
    <definedName name="VSS" localSheetId="8">#REF!</definedName>
    <definedName name="VSS">#REF!</definedName>
    <definedName name="Vz" localSheetId="4">#REF!</definedName>
    <definedName name="Vz" localSheetId="9">#REF!</definedName>
    <definedName name="Vz" localSheetId="8">#REF!</definedName>
    <definedName name="Vz">#REF!</definedName>
    <definedName name="w" localSheetId="9" hidden="1">{#N/A,#N/A,FALSE,"VARIATIONS";#N/A,#N/A,FALSE,"BUDGET";#N/A,#N/A,FALSE,"CIVIL QNTY VAR";#N/A,#N/A,FALSE,"SUMMARY";#N/A,#N/A,FALSE,"MATERIAL VAR"}</definedName>
    <definedName name="w" localSheetId="0" hidden="1">{#N/A,#N/A,FALSE,"VARIATIONS";#N/A,#N/A,FALSE,"BUDGET";#N/A,#N/A,FALSE,"CIVIL QNTY VAR";#N/A,#N/A,FALSE,"SUMMARY";#N/A,#N/A,FALSE,"MATERIAL VAR"}</definedName>
    <definedName name="w" hidden="1">{#N/A,#N/A,FALSE,"VARIATIONS";#N/A,#N/A,FALSE,"BUDGET";#N/A,#N/A,FALSE,"CIVIL QNTY VAR";#N/A,#N/A,FALSE,"SUMMARY";#N/A,#N/A,FALSE,"MATERIAL VAR"}</definedName>
    <definedName name="W_7" localSheetId="9">City&amp;" "&amp;State</definedName>
    <definedName name="W_7" localSheetId="0">City&amp;" "&amp;State</definedName>
    <definedName name="W_7">City&amp;" "&amp;State</definedName>
    <definedName name="Waiting">"Picture 1"</definedName>
    <definedName name="Wakad" localSheetId="4">#REF!</definedName>
    <definedName name="Wakad" localSheetId="9">#REF!</definedName>
    <definedName name="Wakad" localSheetId="8">#REF!</definedName>
    <definedName name="Wakad">#REF!</definedName>
    <definedName name="Wall_Fin">'[45]Fin Sum'!$K$1:$K$26</definedName>
    <definedName name="Wall_form_panel" localSheetId="4">#REF!</definedName>
    <definedName name="Wall_form_panel" localSheetId="9">#REF!</definedName>
    <definedName name="Wall_form_panel" localSheetId="8">#REF!</definedName>
    <definedName name="Wall_form_panel">#REF!</definedName>
    <definedName name="Wall_form_panel_1250x400" localSheetId="4">#REF!</definedName>
    <definedName name="Wall_form_panel_1250x400" localSheetId="9">#REF!</definedName>
    <definedName name="Wall_form_panel_1250x400" localSheetId="8">#REF!</definedName>
    <definedName name="Wall_form_panel_1250x400">#REF!</definedName>
    <definedName name="Wall_form_panel_1250x500" localSheetId="4">#REF!</definedName>
    <definedName name="Wall_form_panel_1250x500" localSheetId="9">#REF!</definedName>
    <definedName name="Wall_form_panel_1250x500" localSheetId="8">#REF!</definedName>
    <definedName name="Wall_form_panel_1250x500">#REF!</definedName>
    <definedName name="WATER">[112]est!$H$341</definedName>
    <definedName name="Water_Proofing" localSheetId="4">#REF!</definedName>
    <definedName name="Water_Proofing" localSheetId="9">#REF!</definedName>
    <definedName name="Water_Proofing" localSheetId="8">#REF!</definedName>
    <definedName name="Water_Proofing">#REF!</definedName>
    <definedName name="Water_Proofing_compound" localSheetId="4">#REF!</definedName>
    <definedName name="Water_Proofing_compound" localSheetId="9">#REF!</definedName>
    <definedName name="Water_Proofing_compound" localSheetId="8">#REF!</definedName>
    <definedName name="Water_Proofing_compound">#REF!</definedName>
    <definedName name="Water_Supply" localSheetId="4">[29]Detail!#REF!</definedName>
    <definedName name="Water_Supply" localSheetId="9">[29]Detail!#REF!</definedName>
    <definedName name="Water_Supply" localSheetId="8">[29]Detail!#REF!</definedName>
    <definedName name="Water_Supply">[29]Detail!#REF!</definedName>
    <definedName name="WCV" localSheetId="4">#REF!</definedName>
    <definedName name="WCV" localSheetId="9">#REF!</definedName>
    <definedName name="WCV" localSheetId="8">#REF!</definedName>
    <definedName name="WCV">#REF!</definedName>
    <definedName name="WCVD" localSheetId="4">#REF!</definedName>
    <definedName name="WCVD" localSheetId="9">#REF!</definedName>
    <definedName name="WCVD" localSheetId="8">#REF!</definedName>
    <definedName name="WCVD">#REF!</definedName>
    <definedName name="wdf" localSheetId="4">[12]SOR!#REF!</definedName>
    <definedName name="wdf" localSheetId="9">[12]SOR!#REF!</definedName>
    <definedName name="wdf" localSheetId="8">[12]SOR!#REF!</definedName>
    <definedName name="wdf">[12]SOR!#REF!</definedName>
    <definedName name="wdtytr" localSheetId="4">[63]Design!#REF!</definedName>
    <definedName name="wdtytr" localSheetId="9">[63]Design!#REF!</definedName>
    <definedName name="wdtytr" localSheetId="8">[63]Design!#REF!</definedName>
    <definedName name="wdtytr">[63]Design!#REF!</definedName>
    <definedName name="WE_J" localSheetId="4">[21]見積書!#REF!</definedName>
    <definedName name="WE_J" localSheetId="9">[21]見積書!#REF!</definedName>
    <definedName name="WE_J" localSheetId="8">[21]見積書!#REF!</definedName>
    <definedName name="WE_J">[21]見積書!#REF!</definedName>
    <definedName name="WF" localSheetId="4">#REF!</definedName>
    <definedName name="WF" localSheetId="9">#REF!</definedName>
    <definedName name="WF" localSheetId="8">#REF!</definedName>
    <definedName name="WF">#REF!</definedName>
    <definedName name="WH" localSheetId="4">#REF!</definedName>
    <definedName name="WH" localSheetId="9">#REF!</definedName>
    <definedName name="WH" localSheetId="8">#REF!</definedName>
    <definedName name="WH">#REF!</definedName>
    <definedName name="White_Cement" localSheetId="4">#REF!</definedName>
    <definedName name="White_Cement" localSheetId="9">#REF!</definedName>
    <definedName name="White_Cement" localSheetId="8">#REF!</definedName>
    <definedName name="White_Cement">#REF!</definedName>
    <definedName name="wid" localSheetId="4">#REF!</definedName>
    <definedName name="wid" localSheetId="9">#REF!</definedName>
    <definedName name="wid" localSheetId="8">#REF!</definedName>
    <definedName name="wid">#REF!</definedName>
    <definedName name="window" localSheetId="9" hidden="1">{#N/A,#N/A,FALSE,"VARIATIONS";#N/A,#N/A,FALSE,"BUDGET";#N/A,#N/A,FALSE,"CIVIL QNTY VAR";#N/A,#N/A,FALSE,"SUMMARY";#N/A,#N/A,FALSE,"MATERIAL VAR"}</definedName>
    <definedName name="window" localSheetId="0" hidden="1">{#N/A,#N/A,FALSE,"VARIATIONS";#N/A,#N/A,FALSE,"BUDGET";#N/A,#N/A,FALSE,"CIVIL QNTY VAR";#N/A,#N/A,FALSE,"SUMMARY";#N/A,#N/A,FALSE,"MATERIAL VAR"}</definedName>
    <definedName name="window" hidden="1">{#N/A,#N/A,FALSE,"VARIATIONS";#N/A,#N/A,FALSE,"BUDGET";#N/A,#N/A,FALSE,"CIVIL QNTY VAR";#N/A,#N/A,FALSE,"SUMMARY";#N/A,#N/A,FALSE,"MATERIAL VAR"}</definedName>
    <definedName name="wip" localSheetId="4">#REF!</definedName>
    <definedName name="wip" localSheetId="9">#REF!</definedName>
    <definedName name="wip" localSheetId="8">#REF!</definedName>
    <definedName name="wip">#REF!</definedName>
    <definedName name="wire">'[79]labour rates'!$C$2</definedName>
    <definedName name="Wires">'[79]labour rates'!$C$3</definedName>
    <definedName name="Wkshopblk" localSheetId="4">#REF!</definedName>
    <definedName name="Wkshopblk" localSheetId="9">#REF!</definedName>
    <definedName name="Wkshopblk" localSheetId="8">#REF!</definedName>
    <definedName name="Wkshopblk">#REF!</definedName>
    <definedName name="WLP" localSheetId="4">#REF!</definedName>
    <definedName name="WLP" localSheetId="9">#REF!</definedName>
    <definedName name="WLP" localSheetId="8">#REF!</definedName>
    <definedName name="WLP">#REF!</definedName>
    <definedName name="work" localSheetId="4">#REF!</definedName>
    <definedName name="work" localSheetId="9">#REF!</definedName>
    <definedName name="work" localSheetId="8">#REF!</definedName>
    <definedName name="work">#REF!</definedName>
    <definedName name="WP" localSheetId="4">#REF!</definedName>
    <definedName name="WP" localSheetId="9">#REF!</definedName>
    <definedName name="WP" localSheetId="8">#REF!</definedName>
    <definedName name="WP">#REF!</definedName>
    <definedName name="wqe" localSheetId="4">#REF!</definedName>
    <definedName name="wqe" localSheetId="9">#REF!</definedName>
    <definedName name="wqe" localSheetId="8">#REF!</definedName>
    <definedName name="wqe">#REF!</definedName>
    <definedName name="wrn.All." localSheetId="9"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1" localSheetId="9"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1"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ssumption._.Book." localSheetId="9" hidden="1">{#N/A,#N/A,FALSE,"Model Assumptions"}</definedName>
    <definedName name="wrn.Assumption._.Book." localSheetId="0" hidden="1">{#N/A,#N/A,FALSE,"Model Assumptions"}</definedName>
    <definedName name="wrn.Assumption._.Book." hidden="1">{#N/A,#N/A,FALSE,"Model Assumptions"}</definedName>
    <definedName name="wrn.backup." localSheetId="9" hidden="1">{"financials",#N/A,FALSE,"BASIC";"interest",#N/A,FALSE,"BASIC";"leasing and financing",#N/A,FALSE,"BASIC";"returns back up",#N/A,FALSE,"BASIC"}</definedName>
    <definedName name="wrn.backup." localSheetId="0" hidden="1">{"financials",#N/A,FALSE,"BASIC";"interest",#N/A,FALSE,"BASIC";"leasing and financing",#N/A,FALSE,"BASIC";"returns back up",#N/A,FALSE,"BASIC"}</definedName>
    <definedName name="wrn.backup." hidden="1">{"financials",#N/A,FALSE,"BASIC";"interest",#N/A,FALSE,"BASIC";"leasing and financing",#N/A,FALSE,"BASIC";"returns back up",#N/A,FALSE,"BASIC"}</definedName>
    <definedName name="wrn.bank._.model." localSheetId="9" hidden="1">{"banks",#N/A,FALSE,"BASIC"}</definedName>
    <definedName name="wrn.bank._.model." localSheetId="0" hidden="1">{"banks",#N/A,FALSE,"BASIC"}</definedName>
    <definedName name="wrn.bank._.model." hidden="1">{"banks",#N/A,FALSE,"BASIC"}</definedName>
    <definedName name="wrn.dep." localSheetId="9" hidden="1">{"dep. full detail",#N/A,FALSE,"annex";"3cd annex",#N/A,FALSE,"annex";"co. dep.",#N/A,FALSE,"annex"}</definedName>
    <definedName name="wrn.dep." localSheetId="0" hidden="1">{"dep. full detail",#N/A,FALSE,"annex";"3cd annex",#N/A,FALSE,"annex";"co. dep.",#N/A,FALSE,"annex"}</definedName>
    <definedName name="wrn.dep." hidden="1">{"dep. full detail",#N/A,FALSE,"annex";"3cd annex",#N/A,FALSE,"annex";"co. dep.",#N/A,FALSE,"annex"}</definedName>
    <definedName name="wrn.Full._.Financials." localSheetId="9" hidden="1">{#N/A,#N/A,TRUE,"Financials";#N/A,#N/A,TRUE,"Operating Statistics";#N/A,#N/A,TRUE,"Capex &amp; Depreciation";#N/A,#N/A,TRUE,"Debt"}</definedName>
    <definedName name="wrn.Full._.Financials." localSheetId="0" hidden="1">{#N/A,#N/A,TRUE,"Financials";#N/A,#N/A,TRUE,"Operating Statistics";#N/A,#N/A,TRUE,"Capex &amp; Depreciation";#N/A,#N/A,TRUE,"Debt"}</definedName>
    <definedName name="wrn.Full._.Financials." hidden="1">{#N/A,#N/A,TRUE,"Financials";#N/A,#N/A,TRUE,"Operating Statistics";#N/A,#N/A,TRUE,"Capex &amp; Depreciation";#N/A,#N/A,TRUE,"Debt"}</definedName>
    <definedName name="wrn.Full._.Report." localSheetId="9" hidden="1">{#N/A,#N/A,TRUE,"Front";#N/A,#N/A,TRUE,"Simple Letter";#N/A,#N/A,TRUE,"Inside";#N/A,#N/A,TRUE,"Contents";#N/A,#N/A,TRUE,"Basis";#N/A,#N/A,TRUE,"Inclusions";#N/A,#N/A,TRUE,"Exclusions";#N/A,#N/A,TRUE,"Areas";#N/A,#N/A,TRUE,"Summary";#N/A,#N/A,TRUE,"Detail"}</definedName>
    <definedName name="wrn.Full._.Report." localSheetId="0" hidden="1">{#N/A,#N/A,TRUE,"Front";#N/A,#N/A,TRUE,"Simple Letter";#N/A,#N/A,TRUE,"Inside";#N/A,#N/A,TRUE,"Contents";#N/A,#N/A,TRUE,"Basis";#N/A,#N/A,TRUE,"Inclusions";#N/A,#N/A,TRUE,"Exclusions";#N/A,#N/A,TRUE,"Areas";#N/A,#N/A,TRUE,"Summary";#N/A,#N/A,TRUE,"Detail"}</definedName>
    <definedName name="wrn.Full._.Report." hidden="1">{#N/A,#N/A,TRUE,"Front";#N/A,#N/A,TRUE,"Simple Letter";#N/A,#N/A,TRUE,"Inside";#N/A,#N/A,TRUE,"Contents";#N/A,#N/A,TRUE,"Basis";#N/A,#N/A,TRUE,"Inclusions";#N/A,#N/A,TRUE,"Exclusions";#N/A,#N/A,TRUE,"Areas";#N/A,#N/A,TRUE,"Summary";#N/A,#N/A,TRUE,"Detail"}</definedName>
    <definedName name="wrn.full.fin.1" localSheetId="9" hidden="1">{#N/A,#N/A,TRUE,"Financials";#N/A,#N/A,TRUE,"Operating Statistics";#N/A,#N/A,TRUE,"Capex &amp; Depreciation";#N/A,#N/A,TRUE,"Debt"}</definedName>
    <definedName name="wrn.full.fin.1" localSheetId="0" hidden="1">{#N/A,#N/A,TRUE,"Financials";#N/A,#N/A,TRUE,"Operating Statistics";#N/A,#N/A,TRUE,"Capex &amp; Depreciation";#N/A,#N/A,TRUE,"Debt"}</definedName>
    <definedName name="wrn.full.fin.1" hidden="1">{#N/A,#N/A,TRUE,"Financials";#N/A,#N/A,TRUE,"Operating Statistics";#N/A,#N/A,TRUE,"Capex &amp; Depreciation";#N/A,#N/A,TRUE,"Debt"}</definedName>
    <definedName name="wrn.G.C.P.L.." localSheetId="9" hidden="1">{#N/A,#N/A,FALSE,"gc (2)"}</definedName>
    <definedName name="wrn.G.C.P.L.." localSheetId="0" hidden="1">{#N/A,#N/A,FALSE,"gc (2)"}</definedName>
    <definedName name="wrn.G.C.P.L.." hidden="1">{#N/A,#N/A,FALSE,"gc (2)"}</definedName>
    <definedName name="wrn.G.E.G._.7.0." localSheetId="9" hidden="1">{#N/A,#N/A,FALSE,"VARIATIONS";#N/A,#N/A,FALSE,"BUDGET";#N/A,#N/A,FALSE,"CIVIL QNTY VAR";#N/A,#N/A,FALSE,"SUMMARY";#N/A,#N/A,FALSE,"MATERIAL VAR"}</definedName>
    <definedName name="wrn.G.E.G._.7.0." localSheetId="0" hidden="1">{#N/A,#N/A,FALSE,"VARIATIONS";#N/A,#N/A,FALSE,"BUDGET";#N/A,#N/A,FALSE,"CIVIL QNTY VAR";#N/A,#N/A,FALSE,"SUMMARY";#N/A,#N/A,FALSE,"MATERIAL VAR"}</definedName>
    <definedName name="wrn.G.E.G._.7.0." hidden="1">{#N/A,#N/A,FALSE,"VARIATIONS";#N/A,#N/A,FALSE,"BUDGET";#N/A,#N/A,FALSE,"CIVIL QNTY VAR";#N/A,#N/A,FALSE,"SUMMARY";#N/A,#N/A,FALSE,"MATERIAL VAR"}</definedName>
    <definedName name="wrn.LTCG." localSheetId="9" hidden="1">{"office ltcg",#N/A,FALSE,"gain01";"IT LTCG",#N/A,FALSE,"gain01"}</definedName>
    <definedName name="wrn.LTCG." localSheetId="0" hidden="1">{"office ltcg",#N/A,FALSE,"gain01";"IT LTCG",#N/A,FALSE,"gain01"}</definedName>
    <definedName name="wrn.LTCG." hidden="1">{"office ltcg",#N/A,FALSE,"gain01";"IT LTCG",#N/A,FALSE,"gain01"}</definedName>
    <definedName name="wrn.model." localSheetId="9" hidden="1">{"basic",#N/A,FALSE,"BASIC"}</definedName>
    <definedName name="wrn.model." localSheetId="0" hidden="1">{"basic",#N/A,FALSE,"BASIC"}</definedName>
    <definedName name="wrn.model." hidden="1">{"basic",#N/A,FALSE,"BASIC"}</definedName>
    <definedName name="wrn.mr." localSheetId="9" hidden="1">{#N/A,#N/A,TRUE,"Pune Sum";#N/A,#N/A,TRUE,"MATERIALS"}</definedName>
    <definedName name="wrn.mr." localSheetId="0" hidden="1">{#N/A,#N/A,TRUE,"Pune Sum";#N/A,#N/A,TRUE,"MATERIALS"}</definedName>
    <definedName name="wrn.mr." hidden="1">{#N/A,#N/A,TRUE,"Pune Sum";#N/A,#N/A,TRUE,"MATERIALS"}</definedName>
    <definedName name="wrn.One._.Pager._.plus._.Technicals." localSheetId="9" hidden="1">{#N/A,#N/A,FALSE,"One Pager";#N/A,#N/A,FALSE,"Technical"}</definedName>
    <definedName name="wrn.One._.Pager._.plus._.Technicals." localSheetId="0" hidden="1">{#N/A,#N/A,FALSE,"One Pager";#N/A,#N/A,FALSE,"Technical"}</definedName>
    <definedName name="wrn.One._.Pager._.plus._.Technicals." hidden="1">{#N/A,#N/A,FALSE,"One Pager";#N/A,#N/A,FALSE,"Technical"}</definedName>
    <definedName name="wrn.Print._.Model." localSheetId="9"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Model." localSheetId="0"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whole._.Report." localSheetId="9"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_.whole._.Report." localSheetId="0"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ofitability." localSheetId="9" hidden="1">{#N/A,"Good",TRUE,"Sheet1";#N/A,"Normal",TRUE,"Sheet1";#N/A,"Bad",TRUE,"Sheet1"}</definedName>
    <definedName name="wrn.Profitability." localSheetId="0" hidden="1">{#N/A,"Good",TRUE,"Sheet1";#N/A,"Normal",TRUE,"Sheet1";#N/A,"Bad",TRUE,"Sheet1"}</definedName>
    <definedName name="wrn.Profitability." hidden="1">{#N/A,"Good",TRUE,"Sheet1";#N/A,"Normal",TRUE,"Sheet1";#N/A,"Bad",TRUE,"Sheet1"}</definedName>
    <definedName name="wrn.summary." localSheetId="9" hidden="1">{"financials",#N/A,FALSE,"BASIC"}</definedName>
    <definedName name="wrn.summary." localSheetId="0" hidden="1">{"financials",#N/A,FALSE,"BASIC"}</definedName>
    <definedName name="wrn.summary." hidden="1">{"financials",#N/A,FALSE,"BASIC"}</definedName>
    <definedName name="wrn.Total._.Print." localSheetId="9"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wrn.Total._.Print." localSheetId="0"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wrn.Total._.Print."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wrn.Valuation._.Summaries." localSheetId="9" hidden="1">{#N/A,#N/A,FALSE,"Cover Sheet";#N/A,#N/A,FALSE,"Financial Assumptions";#N/A,#N/A,FALSE,"DCFOverviewPower";#N/A,#N/A,FALSE,"DCFOverviewGas";#N/A,#N/A,FALSE,"DCFOverviewWater";#N/A,#N/A,FALSE,"DCFOverviewVersorgung"}</definedName>
    <definedName name="wrn.Valuation._.Summaries." localSheetId="0" hidden="1">{#N/A,#N/A,FALSE,"Cover Sheet";#N/A,#N/A,FALSE,"Financial Assumptions";#N/A,#N/A,FALSE,"DCFOverviewPower";#N/A,#N/A,FALSE,"DCFOverviewGas";#N/A,#N/A,FALSE,"DCFOverviewWater";#N/A,#N/A,FALSE,"DCFOverviewVersorgung"}</definedName>
    <definedName name="wrn.Valuation._.Summaries." hidden="1">{#N/A,#N/A,FALSE,"Cover Sheet";#N/A,#N/A,FALSE,"Financial Assumptions";#N/A,#N/A,FALSE,"DCFOverviewPower";#N/A,#N/A,FALSE,"DCFOverviewGas";#N/A,#N/A,FALSE,"DCFOverviewWater";#N/A,#N/A,FALSE,"DCFOverviewVersorgung"}</definedName>
    <definedName name="wrn.Versorgungs._.GmbH._.Data." localSheetId="9" hidden="1">{#N/A,#N/A,FALSE,"DCFCoverVersorgung";#N/A,#N/A,FALSE,"DCFOverviewVersorgung";#N/A,#N/A,FALSE,"PlanVersorgung";#N/A,#N/A,FALSE,"DCFVersorgung";#N/A,#N/A,FALSE,"ValueVersorgung";#N/A,#N/A,FALSE,"WaccVersorgung";#N/A,#N/A,FALSE,"WaccVersorgung";#N/A,#N/A,FALSE,"WaccCompVersorgung";#N/A,#N/A,FALSE,"MatrixVersorgung"}</definedName>
    <definedName name="wrn.Versorgungs._.GmbH._.Data." localSheetId="0" hidden="1">{#N/A,#N/A,FALSE,"DCFCoverVersorgung";#N/A,#N/A,FALSE,"DCFOverviewVersorgung";#N/A,#N/A,FALSE,"PlanVersorgung";#N/A,#N/A,FALSE,"DCFVersorgung";#N/A,#N/A,FALSE,"ValueVersorgung";#N/A,#N/A,FALSE,"WaccVersorgung";#N/A,#N/A,FALSE,"WaccVersorgung";#N/A,#N/A,FALSE,"WaccCompVersorgung";#N/A,#N/A,FALSE,"MatrixVersorgung"}</definedName>
    <definedName name="wrn.Versorgungs._.GmbH._.Data." hidden="1">{#N/A,#N/A,FALSE,"DCFCoverVersorgung";#N/A,#N/A,FALSE,"DCFOverviewVersorgung";#N/A,#N/A,FALSE,"PlanVersorgung";#N/A,#N/A,FALSE,"DCFVersorgung";#N/A,#N/A,FALSE,"ValueVersorgung";#N/A,#N/A,FALSE,"WaccVersorgung";#N/A,#N/A,FALSE,"WaccVersorgung";#N/A,#N/A,FALSE,"WaccCompVersorgung";#N/A,#N/A,FALSE,"MatrixVersorgung"}</definedName>
    <definedName name="WW" localSheetId="4">#REF!</definedName>
    <definedName name="WW" localSheetId="9">#REF!</definedName>
    <definedName name="WW" localSheetId="8">#REF!</definedName>
    <definedName name="WW">#REF!</definedName>
    <definedName name="wwwwwwwwwwwww">'[26]PRECAST lightconc-II'!$J$19</definedName>
    <definedName name="x" localSheetId="9" hidden="1">{#N/A,#N/A,FALSE,"VARIATIONS";#N/A,#N/A,FALSE,"BUDGET";#N/A,#N/A,FALSE,"CIVIL QNTY VAR";#N/A,#N/A,FALSE,"SUMMARY";#N/A,#N/A,FALSE,"MATERIAL VAR"}</definedName>
    <definedName name="x" localSheetId="0" hidden="1">{#N/A,#N/A,FALSE,"VARIATIONS";#N/A,#N/A,FALSE,"BUDGET";#N/A,#N/A,FALSE,"CIVIL QNTY VAR";#N/A,#N/A,FALSE,"SUMMARY";#N/A,#N/A,FALSE,"MATERIAL VAR"}</definedName>
    <definedName name="x" hidden="1">{#N/A,#N/A,FALSE,"VARIATIONS";#N/A,#N/A,FALSE,"BUDGET";#N/A,#N/A,FALSE,"CIVIL QNTY VAR";#N/A,#N/A,FALSE,"SUMMARY";#N/A,#N/A,FALSE,"MATERIAL VAR"}</definedName>
    <definedName name="xf" localSheetId="4">#REF!</definedName>
    <definedName name="xf" localSheetId="9">#REF!</definedName>
    <definedName name="xf" localSheetId="8">#REF!</definedName>
    <definedName name="xf">#REF!</definedName>
    <definedName name="Xl" localSheetId="4">#REF!</definedName>
    <definedName name="Xl" localSheetId="9">#REF!</definedName>
    <definedName name="Xl" localSheetId="8">#REF!</definedName>
    <definedName name="Xl">#REF!</definedName>
    <definedName name="Xl___0" localSheetId="4">#REF!</definedName>
    <definedName name="Xl___0" localSheetId="9">#REF!</definedName>
    <definedName name="Xl___0" localSheetId="8">#REF!</definedName>
    <definedName name="Xl___0">#REF!</definedName>
    <definedName name="Xl___13" localSheetId="4">#REF!</definedName>
    <definedName name="Xl___13" localSheetId="9">#REF!</definedName>
    <definedName name="Xl___13" localSheetId="8">#REF!</definedName>
    <definedName name="Xl___13">#REF!</definedName>
    <definedName name="xx" localSheetId="4">#REF!</definedName>
    <definedName name="xx" localSheetId="9">#REF!</definedName>
    <definedName name="xx" localSheetId="8">#REF!</definedName>
    <definedName name="xx">#REF!</definedName>
    <definedName name="xxx" localSheetId="4">#REF!</definedName>
    <definedName name="xxx" localSheetId="9">#REF!</definedName>
    <definedName name="xxx" localSheetId="8">#REF!</definedName>
    <definedName name="xxx">#REF!</definedName>
    <definedName name="xyz" localSheetId="9"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xyz"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xyz"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XZ_1" localSheetId="4">[21]見積書!#REF!</definedName>
    <definedName name="XZ_1" localSheetId="9">[21]見積書!#REF!</definedName>
    <definedName name="XZ_1" localSheetId="8">[21]見積書!#REF!</definedName>
    <definedName name="XZ_1">[21]見積書!#REF!</definedName>
    <definedName name="XZ_10" localSheetId="4">[21]見積書!#REF!</definedName>
    <definedName name="XZ_10" localSheetId="9">[21]見積書!#REF!</definedName>
    <definedName name="XZ_10" localSheetId="8">[21]見積書!#REF!</definedName>
    <definedName name="XZ_10">[21]見積書!#REF!</definedName>
    <definedName name="XZ_11" localSheetId="4">[21]見積書!#REF!</definedName>
    <definedName name="XZ_11" localSheetId="9">[21]見積書!#REF!</definedName>
    <definedName name="XZ_11" localSheetId="8">[21]見積書!#REF!</definedName>
    <definedName name="XZ_11">[21]見積書!#REF!</definedName>
    <definedName name="XZ_12" localSheetId="4">[21]見積書!#REF!</definedName>
    <definedName name="XZ_12" localSheetId="9">[21]見積書!#REF!</definedName>
    <definedName name="XZ_12" localSheetId="8">[21]見積書!#REF!</definedName>
    <definedName name="XZ_12">[21]見積書!#REF!</definedName>
    <definedName name="XZ_13" localSheetId="4">[21]見積書!#REF!</definedName>
    <definedName name="XZ_13" localSheetId="9">[21]見積書!#REF!</definedName>
    <definedName name="XZ_13" localSheetId="8">[21]見積書!#REF!</definedName>
    <definedName name="XZ_13">[21]見積書!#REF!</definedName>
    <definedName name="XZ_14" localSheetId="4">[21]見積書!#REF!</definedName>
    <definedName name="XZ_14" localSheetId="9">[21]見積書!#REF!</definedName>
    <definedName name="XZ_14" localSheetId="8">[21]見積書!#REF!</definedName>
    <definedName name="XZ_14">[21]見積書!#REF!</definedName>
    <definedName name="XZ_2" localSheetId="4">[21]見積書!#REF!</definedName>
    <definedName name="XZ_2" localSheetId="9">[21]見積書!#REF!</definedName>
    <definedName name="XZ_2" localSheetId="8">[21]見積書!#REF!</definedName>
    <definedName name="XZ_2">[21]見積書!#REF!</definedName>
    <definedName name="XZ_3" localSheetId="4">[21]見積書!#REF!</definedName>
    <definedName name="XZ_3" localSheetId="9">[21]見積書!#REF!</definedName>
    <definedName name="XZ_3" localSheetId="8">[21]見積書!#REF!</definedName>
    <definedName name="XZ_3">[21]見積書!#REF!</definedName>
    <definedName name="XZ_4" localSheetId="4">[21]見積書!#REF!</definedName>
    <definedName name="XZ_4" localSheetId="9">[21]見積書!#REF!</definedName>
    <definedName name="XZ_4" localSheetId="8">[21]見積書!#REF!</definedName>
    <definedName name="XZ_4">[21]見積書!#REF!</definedName>
    <definedName name="XZ_5" localSheetId="4">[21]見積書!#REF!</definedName>
    <definedName name="XZ_5" localSheetId="9">[21]見積書!#REF!</definedName>
    <definedName name="XZ_5" localSheetId="8">[21]見積書!#REF!</definedName>
    <definedName name="XZ_5">[21]見積書!#REF!</definedName>
    <definedName name="XZ_6" localSheetId="4">[21]見積書!#REF!</definedName>
    <definedName name="XZ_6" localSheetId="9">[21]見積書!#REF!</definedName>
    <definedName name="XZ_6" localSheetId="8">[21]見積書!#REF!</definedName>
    <definedName name="XZ_6">[21]見積書!#REF!</definedName>
    <definedName name="XZ_7" localSheetId="4">[21]見積書!#REF!</definedName>
    <definedName name="XZ_7" localSheetId="9">[21]見積書!#REF!</definedName>
    <definedName name="XZ_7" localSheetId="8">[21]見積書!#REF!</definedName>
    <definedName name="XZ_7">[21]見積書!#REF!</definedName>
    <definedName name="XZ_8" localSheetId="4">[21]見積書!#REF!</definedName>
    <definedName name="XZ_8" localSheetId="9">[21]見積書!#REF!</definedName>
    <definedName name="XZ_8" localSheetId="8">[21]見積書!#REF!</definedName>
    <definedName name="XZ_8">[21]見積書!#REF!</definedName>
    <definedName name="XZ_9" localSheetId="4">[21]見積書!#REF!</definedName>
    <definedName name="XZ_9" localSheetId="9">[21]見積書!#REF!</definedName>
    <definedName name="XZ_9" localSheetId="8">[21]見積書!#REF!</definedName>
    <definedName name="XZ_9">[21]見積書!#REF!</definedName>
    <definedName name="XZY" localSheetId="9" hidden="1">{#N/A,#N/A,FALSE,"VARIATIONS";#N/A,#N/A,FALSE,"BUDGET";#N/A,#N/A,FALSE,"CIVIL QNTY VAR";#N/A,#N/A,FALSE,"SUMMARY";#N/A,#N/A,FALSE,"MATERIAL VAR"}</definedName>
    <definedName name="XZY" localSheetId="0" hidden="1">{#N/A,#N/A,FALSE,"VARIATIONS";#N/A,#N/A,FALSE,"BUDGET";#N/A,#N/A,FALSE,"CIVIL QNTY VAR";#N/A,#N/A,FALSE,"SUMMARY";#N/A,#N/A,FALSE,"MATERIAL VAR"}</definedName>
    <definedName name="XZY" hidden="1">{#N/A,#N/A,FALSE,"VARIATIONS";#N/A,#N/A,FALSE,"BUDGET";#N/A,#N/A,FALSE,"CIVIL QNTY VAR";#N/A,#N/A,FALSE,"SUMMARY";#N/A,#N/A,FALSE,"MATERIAL VAR"}</definedName>
    <definedName name="y" localSheetId="9" hidden="1">{#N/A,#N/A,FALSE,"VARIATIONS";#N/A,#N/A,FALSE,"BUDGET";#N/A,#N/A,FALSE,"CIVIL QNTY VAR";#N/A,#N/A,FALSE,"SUMMARY";#N/A,#N/A,FALSE,"MATERIAL VAR"}</definedName>
    <definedName name="y" localSheetId="0" hidden="1">{#N/A,#N/A,FALSE,"VARIATIONS";#N/A,#N/A,FALSE,"BUDGET";#N/A,#N/A,FALSE,"CIVIL QNTY VAR";#N/A,#N/A,FALSE,"SUMMARY";#N/A,#N/A,FALSE,"MATERIAL VAR"}</definedName>
    <definedName name="y" hidden="1">{#N/A,#N/A,FALSE,"VARIATIONS";#N/A,#N/A,FALSE,"BUDGET";#N/A,#N/A,FALSE,"CIVIL QNTY VAR";#N/A,#N/A,FALSE,"SUMMARY";#N/A,#N/A,FALSE,"MATERIAL VAR"}</definedName>
    <definedName name="YEAR" localSheetId="4">#REF!</definedName>
    <definedName name="YEAR" localSheetId="9">#REF!</definedName>
    <definedName name="YEAR" localSheetId="8">#REF!</definedName>
    <definedName name="YEAR">#REF!</definedName>
    <definedName name="yen" localSheetId="4">#REF!</definedName>
    <definedName name="yen" localSheetId="9">#REF!</definedName>
    <definedName name="yen" localSheetId="8">#REF!</definedName>
    <definedName name="yen">#REF!</definedName>
    <definedName name="Yes" localSheetId="4">'[113]Fin Sum'!#REF!</definedName>
    <definedName name="Yes" localSheetId="9">'[113]Fin Sum'!#REF!</definedName>
    <definedName name="Yes" localSheetId="8">'[113]Fin Sum'!#REF!</definedName>
    <definedName name="Yes">'[113]Fin Sum'!#REF!</definedName>
    <definedName name="YF" localSheetId="4">#REF!</definedName>
    <definedName name="YF" localSheetId="9">#REF!</definedName>
    <definedName name="YF" localSheetId="8">#REF!</definedName>
    <definedName name="YF">#REF!</definedName>
    <definedName name="yzs" localSheetId="9" hidden="1">{#N/A,#N/A,FALSE,"VARIATIONS";#N/A,#N/A,FALSE,"BUDGET";#N/A,#N/A,FALSE,"CIVIL QNTY VAR";#N/A,#N/A,FALSE,"SUMMARY";#N/A,#N/A,FALSE,"MATERIAL VAR"}</definedName>
    <definedName name="yzs" localSheetId="0" hidden="1">{#N/A,#N/A,FALSE,"VARIATIONS";#N/A,#N/A,FALSE,"BUDGET";#N/A,#N/A,FALSE,"CIVIL QNTY VAR";#N/A,#N/A,FALSE,"SUMMARY";#N/A,#N/A,FALSE,"MATERIAL VAR"}</definedName>
    <definedName name="yzs" hidden="1">{#N/A,#N/A,FALSE,"VARIATIONS";#N/A,#N/A,FALSE,"BUDGET";#N/A,#N/A,FALSE,"CIVIL QNTY VAR";#N/A,#N/A,FALSE,"SUMMARY";#N/A,#N/A,FALSE,"MATERIAL VAR"}</definedName>
    <definedName name="z" localSheetId="9" hidden="1">{#N/A,#N/A,TRUE,"Front";#N/A,#N/A,TRUE,"Simple Letter";#N/A,#N/A,TRUE,"Inside";#N/A,#N/A,TRUE,"Contents";#N/A,#N/A,TRUE,"Basis";#N/A,#N/A,TRUE,"Inclusions";#N/A,#N/A,TRUE,"Exclusions";#N/A,#N/A,TRUE,"Areas";#N/A,#N/A,TRUE,"Summary";#N/A,#N/A,TRUE,"Detail"}</definedName>
    <definedName name="z" localSheetId="0" hidden="1">{#N/A,#N/A,TRUE,"Front";#N/A,#N/A,TRUE,"Simple Letter";#N/A,#N/A,TRUE,"Inside";#N/A,#N/A,TRUE,"Contents";#N/A,#N/A,TRUE,"Basis";#N/A,#N/A,TRUE,"Inclusions";#N/A,#N/A,TRUE,"Exclusions";#N/A,#N/A,TRUE,"Areas";#N/A,#N/A,TRUE,"Summary";#N/A,#N/A,TRUE,"Detail"}</definedName>
    <definedName name="z" hidden="1">{#N/A,#N/A,TRUE,"Front";#N/A,#N/A,TRUE,"Simple Letter";#N/A,#N/A,TRUE,"Inside";#N/A,#N/A,TRUE,"Contents";#N/A,#N/A,TRUE,"Basis";#N/A,#N/A,TRUE,"Inclusions";#N/A,#N/A,TRUE,"Exclusions";#N/A,#N/A,TRUE,"Areas";#N/A,#N/A,TRUE,"Summary";#N/A,#N/A,TRUE,"Detail"}</definedName>
    <definedName name="Z_1" localSheetId="4">#REF!</definedName>
    <definedName name="Z_1" localSheetId="9">#REF!</definedName>
    <definedName name="Z_1" localSheetId="8">#REF!</definedName>
    <definedName name="Z_1">#REF!</definedName>
    <definedName name="Z_10" localSheetId="4">#REF!</definedName>
    <definedName name="Z_10" localSheetId="9">#REF!</definedName>
    <definedName name="Z_10" localSheetId="8">#REF!</definedName>
    <definedName name="Z_10">#REF!</definedName>
    <definedName name="Z_11" localSheetId="4">#REF!</definedName>
    <definedName name="Z_11" localSheetId="9">#REF!</definedName>
    <definedName name="Z_11" localSheetId="8">#REF!</definedName>
    <definedName name="Z_11">#REF!</definedName>
    <definedName name="Z_12" localSheetId="4">#REF!</definedName>
    <definedName name="Z_12" localSheetId="9">#REF!</definedName>
    <definedName name="Z_12" localSheetId="8">#REF!</definedName>
    <definedName name="Z_12">#REF!</definedName>
    <definedName name="Z_2" localSheetId="4">[21]見積書!#REF!</definedName>
    <definedName name="Z_2" localSheetId="9">[21]見積書!#REF!</definedName>
    <definedName name="Z_2" localSheetId="8">[21]見積書!#REF!</definedName>
    <definedName name="Z_2">[21]見積書!#REF!</definedName>
    <definedName name="Z_3" localSheetId="4">[21]見積書!#REF!</definedName>
    <definedName name="Z_3" localSheetId="9">[21]見積書!#REF!</definedName>
    <definedName name="Z_3" localSheetId="8">[21]見積書!#REF!</definedName>
    <definedName name="Z_3">[21]見積書!#REF!</definedName>
    <definedName name="Z_4" localSheetId="4">[21]見積書!#REF!</definedName>
    <definedName name="Z_4" localSheetId="9">[21]見積書!#REF!</definedName>
    <definedName name="Z_4" localSheetId="8">[21]見積書!#REF!</definedName>
    <definedName name="Z_4">[21]見積書!#REF!</definedName>
    <definedName name="Z_P" localSheetId="4">#REF!</definedName>
    <definedName name="Z_P" localSheetId="9">#REF!</definedName>
    <definedName name="Z_P" localSheetId="8">#REF!</definedName>
    <definedName name="Z_P">#REF!</definedName>
    <definedName name="ZA_L" localSheetId="4">[21]見積書!#REF!</definedName>
    <definedName name="ZA_L" localSheetId="9">[21]見積書!#REF!</definedName>
    <definedName name="ZA_L" localSheetId="8">[21]見積書!#REF!</definedName>
    <definedName name="ZA_L">[21]見積書!#REF!</definedName>
    <definedName name="ZA_M" localSheetId="4">[21]見積書!#REF!</definedName>
    <definedName name="ZA_M" localSheetId="9">[21]見積書!#REF!</definedName>
    <definedName name="ZA_M" localSheetId="8">[21]見積書!#REF!</definedName>
    <definedName name="ZA_M">[21]見積書!#REF!</definedName>
    <definedName name="ZE_L" localSheetId="4">[21]見積書!#REF!</definedName>
    <definedName name="ZE_L" localSheetId="9">[21]見積書!#REF!</definedName>
    <definedName name="ZE_L" localSheetId="8">[21]見積書!#REF!</definedName>
    <definedName name="ZE_L">[21]見積書!#REF!</definedName>
    <definedName name="ZE_M" localSheetId="4">[21]見積書!#REF!</definedName>
    <definedName name="ZE_M" localSheetId="9">[21]見積書!#REF!</definedName>
    <definedName name="ZE_M" localSheetId="8">[21]見積書!#REF!</definedName>
    <definedName name="ZE_M">[21]見積書!#REF!</definedName>
    <definedName name="ZF_L" localSheetId="4">[21]見積書!#REF!</definedName>
    <definedName name="ZF_L" localSheetId="9">[21]見積書!#REF!</definedName>
    <definedName name="ZF_L" localSheetId="8">[21]見積書!#REF!</definedName>
    <definedName name="ZF_L">[21]見積書!#REF!</definedName>
    <definedName name="ZF_M" localSheetId="4">[21]見積書!#REF!</definedName>
    <definedName name="ZF_M" localSheetId="9">[21]見積書!#REF!</definedName>
    <definedName name="ZF_M" localSheetId="8">[21]見積書!#REF!</definedName>
    <definedName name="ZF_M">[21]見積書!#REF!</definedName>
    <definedName name="ZI_L" localSheetId="4">[21]見積書!#REF!</definedName>
    <definedName name="ZI_L" localSheetId="9">[21]見積書!#REF!</definedName>
    <definedName name="ZI_L" localSheetId="8">[21]見積書!#REF!</definedName>
    <definedName name="ZI_L">[21]見積書!#REF!</definedName>
    <definedName name="ZI_M" localSheetId="4">[21]見積書!#REF!</definedName>
    <definedName name="ZI_M" localSheetId="9">[21]見積書!#REF!</definedName>
    <definedName name="ZI_M" localSheetId="8">[21]見積書!#REF!</definedName>
    <definedName name="ZI_M">[21]見積書!#REF!</definedName>
    <definedName name="Zip">"#REF!"</definedName>
    <definedName name="Zip_2" localSheetId="4">#REF!</definedName>
    <definedName name="Zip_2" localSheetId="9">#REF!</definedName>
    <definedName name="Zip_2" localSheetId="6">#REF!</definedName>
    <definedName name="Zip_2" localSheetId="8">#REF!</definedName>
    <definedName name="Zip_2">#REF!</definedName>
    <definedName name="Zip_3" localSheetId="4">#REF!</definedName>
    <definedName name="Zip_3" localSheetId="9">#REF!</definedName>
    <definedName name="Zip_3" localSheetId="6">#REF!</definedName>
    <definedName name="Zip_3" localSheetId="8">#REF!</definedName>
    <definedName name="Zip_3">#REF!</definedName>
    <definedName name="zitd" localSheetId="4">#REF!</definedName>
    <definedName name="zitd" localSheetId="9">#REF!</definedName>
    <definedName name="zitd" localSheetId="8">#REF!</definedName>
    <definedName name="zitd">#REF!</definedName>
    <definedName name="zl" localSheetId="4">#REF!</definedName>
    <definedName name="zl" localSheetId="9">#REF!</definedName>
    <definedName name="zl" localSheetId="8">#REF!</definedName>
    <definedName name="zl">#REF!</definedName>
    <definedName name="zl___0" localSheetId="4">#REF!</definedName>
    <definedName name="zl___0" localSheetId="9">#REF!</definedName>
    <definedName name="zl___0" localSheetId="8">#REF!</definedName>
    <definedName name="zl___0">#REF!</definedName>
    <definedName name="zl___13" localSheetId="4">#REF!</definedName>
    <definedName name="zl___13" localSheetId="9">#REF!</definedName>
    <definedName name="zl___13" localSheetId="8">#REF!</definedName>
    <definedName name="zl___13">#REF!</definedName>
    <definedName name="zlpu" localSheetId="4">#REF!</definedName>
    <definedName name="zlpu" localSheetId="9">#REF!</definedName>
    <definedName name="zlpu" localSheetId="8">#REF!</definedName>
    <definedName name="zlpu">#REF!</definedName>
    <definedName name="zlpu___0" localSheetId="4">#REF!</definedName>
    <definedName name="zlpu___0" localSheetId="9">#REF!</definedName>
    <definedName name="zlpu___0" localSheetId="8">#REF!</definedName>
    <definedName name="zlpu___0">#REF!</definedName>
    <definedName name="zlpu___13" localSheetId="4">#REF!</definedName>
    <definedName name="zlpu___13" localSheetId="9">#REF!</definedName>
    <definedName name="zlpu___13" localSheetId="8">#REF!</definedName>
    <definedName name="zlpu___13">#REF!</definedName>
    <definedName name="ZP_L" localSheetId="4">[21]見積書!#REF!</definedName>
    <definedName name="ZP_L" localSheetId="9">[21]見積書!#REF!</definedName>
    <definedName name="ZP_L" localSheetId="8">[21]見積書!#REF!</definedName>
    <definedName name="ZP_L">[21]見積書!#REF!</definedName>
    <definedName name="ZP_M" localSheetId="4">[21]見積書!#REF!</definedName>
    <definedName name="ZP_M" localSheetId="9">[21]見積書!#REF!</definedName>
    <definedName name="ZP_M" localSheetId="8">[21]見積書!#REF!</definedName>
    <definedName name="ZP_M">[21]見積書!#REF!</definedName>
    <definedName name="zs" localSheetId="4">#REF!</definedName>
    <definedName name="zs" localSheetId="9">#REF!</definedName>
    <definedName name="zs" localSheetId="8">#REF!</definedName>
    <definedName name="zs">#REF!</definedName>
    <definedName name="zs___0" localSheetId="4">#REF!</definedName>
    <definedName name="zs___0" localSheetId="9">#REF!</definedName>
    <definedName name="zs___0" localSheetId="8">#REF!</definedName>
    <definedName name="zs___0">#REF!</definedName>
    <definedName name="zs___13" localSheetId="4">#REF!</definedName>
    <definedName name="zs___13" localSheetId="9">#REF!</definedName>
    <definedName name="zs___13" localSheetId="8">#REF!</definedName>
    <definedName name="zs___13">#REF!</definedName>
    <definedName name="ZS_L" localSheetId="4">[21]見積書!#REF!</definedName>
    <definedName name="ZS_L" localSheetId="9">[21]見積書!#REF!</definedName>
    <definedName name="ZS_L" localSheetId="8">[21]見積書!#REF!</definedName>
    <definedName name="ZS_L">[21]見積書!#REF!</definedName>
    <definedName name="ZS_M" localSheetId="4">[21]見積書!#REF!</definedName>
    <definedName name="ZS_M" localSheetId="9">[21]見積書!#REF!</definedName>
    <definedName name="ZS_M" localSheetId="8">[21]見積書!#REF!</definedName>
    <definedName name="ZS_M">[21]見積書!#REF!</definedName>
    <definedName name="zsfs" localSheetId="9" hidden="1">{#N/A,#N/A,FALSE,"VARIATIONS";#N/A,#N/A,FALSE,"BUDGET";#N/A,#N/A,FALSE,"CIVIL QNTY VAR";#N/A,#N/A,FALSE,"SUMMARY";#N/A,#N/A,FALSE,"MATERIAL VAR"}</definedName>
    <definedName name="zsfs" localSheetId="0" hidden="1">{#N/A,#N/A,FALSE,"VARIATIONS";#N/A,#N/A,FALSE,"BUDGET";#N/A,#N/A,FALSE,"CIVIL QNTY VAR";#N/A,#N/A,FALSE,"SUMMARY";#N/A,#N/A,FALSE,"MATERIAL VAR"}</definedName>
    <definedName name="zsfs" hidden="1">{#N/A,#N/A,FALSE,"VARIATIONS";#N/A,#N/A,FALSE,"BUDGET";#N/A,#N/A,FALSE,"CIVIL QNTY VAR";#N/A,#N/A,FALSE,"SUMMARY";#N/A,#N/A,FALSE,"MATERIAL VAR"}</definedName>
    <definedName name="zspu" localSheetId="4">#REF!</definedName>
    <definedName name="zspu" localSheetId="9">#REF!</definedName>
    <definedName name="zspu" localSheetId="8">#REF!</definedName>
    <definedName name="zspu">#REF!</definedName>
    <definedName name="zspu___0" localSheetId="4">#REF!</definedName>
    <definedName name="zspu___0" localSheetId="9">#REF!</definedName>
    <definedName name="zspu___0" localSheetId="8">#REF!</definedName>
    <definedName name="zspu___0">#REF!</definedName>
    <definedName name="zspu___13" localSheetId="4">#REF!</definedName>
    <definedName name="zspu___13" localSheetId="9">#REF!</definedName>
    <definedName name="zspu___13" localSheetId="8">#REF!</definedName>
    <definedName name="zspu___13">#REF!</definedName>
    <definedName name="ZSS" localSheetId="4">#REF!</definedName>
    <definedName name="ZSS" localSheetId="9">#REF!</definedName>
    <definedName name="ZSS" localSheetId="8">#REF!</definedName>
    <definedName name="ZSS">#REF!</definedName>
    <definedName name="ZSS___0" localSheetId="4">#REF!</definedName>
    <definedName name="ZSS___0" localSheetId="9">#REF!</definedName>
    <definedName name="ZSS___0" localSheetId="8">#REF!</definedName>
    <definedName name="ZSS___0">#REF!</definedName>
    <definedName name="ZSS___13" localSheetId="4">#REF!</definedName>
    <definedName name="ZSS___13" localSheetId="9">#REF!</definedName>
    <definedName name="ZSS___13" localSheetId="8">#REF!</definedName>
    <definedName name="ZSS___13">#REF!</definedName>
    <definedName name="ztpu" localSheetId="4">#REF!</definedName>
    <definedName name="ztpu" localSheetId="9">#REF!</definedName>
    <definedName name="ztpu" localSheetId="8">#REF!</definedName>
    <definedName name="ztpu">#REF!</definedName>
    <definedName name="ztpu___0" localSheetId="4">#REF!</definedName>
    <definedName name="ztpu___0" localSheetId="9">#REF!</definedName>
    <definedName name="ztpu___0" localSheetId="8">#REF!</definedName>
    <definedName name="ztpu___0">#REF!</definedName>
    <definedName name="ztpu___13" localSheetId="4">#REF!</definedName>
    <definedName name="ztpu___13" localSheetId="9">#REF!</definedName>
    <definedName name="ztpu___13" localSheetId="8">#REF!</definedName>
    <definedName name="ztpu___13">#REF!</definedName>
    <definedName name="ZY" localSheetId="4">#REF!</definedName>
    <definedName name="ZY" localSheetId="9">#REF!</definedName>
    <definedName name="ZY" localSheetId="8">#REF!</definedName>
    <definedName name="ZY">#REF!</definedName>
    <definedName name="ZY___0" localSheetId="4">#REF!</definedName>
    <definedName name="ZY___0" localSheetId="9">#REF!</definedName>
    <definedName name="ZY___0" localSheetId="8">#REF!</definedName>
    <definedName name="ZY___0">#REF!</definedName>
    <definedName name="ZY___13" localSheetId="4">#REF!</definedName>
    <definedName name="ZY___13" localSheetId="9">#REF!</definedName>
    <definedName name="ZY___13" localSheetId="8">#REF!</definedName>
    <definedName name="ZY___13">#REF!</definedName>
    <definedName name="ああ" localSheetId="4">[76]電気設備表!#REF!</definedName>
    <definedName name="ああ" localSheetId="9">[76]電気設備表!#REF!</definedName>
    <definedName name="ああ" localSheetId="8">[76]電気設備表!#REF!</definedName>
    <definedName name="ああ">[76]電気設備表!#REF!</definedName>
    <definedName name="お１４７５" localSheetId="4">#REF!</definedName>
    <definedName name="お１４７５" localSheetId="9">#REF!</definedName>
    <definedName name="お１４７５" localSheetId="8">#REF!</definedName>
    <definedName name="お１４７５">#REF!</definedName>
    <definedName name="おおおお" localSheetId="4">[76]電気設備表!#REF!</definedName>
    <definedName name="おおおお" localSheetId="9">[76]電気設備表!#REF!</definedName>
    <definedName name="おおおお" localSheetId="8">[76]電気設備表!#REF!</definedName>
    <definedName name="おおおお">[76]電気設備表!#REF!</definedName>
    <definedName name="おおおおお" localSheetId="4">[76]電気設備表!#REF!</definedName>
    <definedName name="おおおおお" localSheetId="9">[76]電気設備表!#REF!</definedName>
    <definedName name="おおおおお" localSheetId="8">[76]電気設備表!#REF!</definedName>
    <definedName name="おおおおお">[76]電気設備表!#REF!</definedName>
    <definedName name="ガラス" localSheetId="4">#REF!</definedName>
    <definedName name="ガラス" localSheetId="9">#REF!</definedName>
    <definedName name="ガラス" localSheetId="8">#REF!</definedName>
    <definedName name="ガラス">#REF!</definedName>
    <definedName name="ｷｸﾞ_1" localSheetId="4">[1]電気設備表!#REF!</definedName>
    <definedName name="ｷｸﾞ_1" localSheetId="9">[1]電気設備表!#REF!</definedName>
    <definedName name="ｷｸﾞ_1" localSheetId="8">[1]電気設備表!#REF!</definedName>
    <definedName name="ｷｸﾞ_1">[1]電気設備表!#REF!</definedName>
    <definedName name="ｹｼ1" localSheetId="4">[1]電気設備表!#REF!</definedName>
    <definedName name="ｹｼ1" localSheetId="9">[1]電気設備表!#REF!</definedName>
    <definedName name="ｹｼ1" localSheetId="8">[1]電気設備表!#REF!</definedName>
    <definedName name="ｹｼ1">[1]電気設備表!#REF!</definedName>
    <definedName name="ｹｼ2" localSheetId="4">[1]電気設備表!#REF!</definedName>
    <definedName name="ｹｼ2" localSheetId="9">[1]電気設備表!#REF!</definedName>
    <definedName name="ｹｼ2" localSheetId="8">[1]電気設備表!#REF!</definedName>
    <definedName name="ｹｼ2">[1]電気設備表!#REF!</definedName>
    <definedName name="ｹｼ3" localSheetId="4">[1]電気設備表!#REF!</definedName>
    <definedName name="ｹｼ3" localSheetId="9">[1]電気設備表!#REF!</definedName>
    <definedName name="ｹｼ3" localSheetId="8">[1]電気設備表!#REF!</definedName>
    <definedName name="ｹｼ3">[1]電気設備表!#REF!</definedName>
    <definedName name="ｹｼ4" localSheetId="4">[1]電気設備表!#REF!</definedName>
    <definedName name="ｹｼ4" localSheetId="9">[1]電気設備表!#REF!</definedName>
    <definedName name="ｹｼ4" localSheetId="8">[1]電気設備表!#REF!</definedName>
    <definedName name="ｹｼ4">[1]電気設備表!#REF!</definedName>
    <definedName name="ｹｼ5" localSheetId="4">[1]電気設備表!#REF!</definedName>
    <definedName name="ｹｼ5" localSheetId="9">[1]電気設備表!#REF!</definedName>
    <definedName name="ｹｼ5" localSheetId="8">[1]電気設備表!#REF!</definedName>
    <definedName name="ｹｼ5">[1]電気設備表!#REF!</definedName>
    <definedName name="コンクリート" localSheetId="4">#REF!</definedName>
    <definedName name="コンクリート" localSheetId="9">#REF!</definedName>
    <definedName name="コンクリート" localSheetId="8">#REF!</definedName>
    <definedName name="コンクリート">#REF!</definedName>
    <definedName name="ｼｽｳ_1" localSheetId="4">[1]電気設備表!#REF!</definedName>
    <definedName name="ｼｽｳ_1" localSheetId="9">[1]電気設備表!#REF!</definedName>
    <definedName name="ｼｽｳ_1" localSheetId="8">[1]電気設備表!#REF!</definedName>
    <definedName name="ｼｽｳ_1">[1]電気設備表!#REF!</definedName>
    <definedName name="ｼｮｳﾒｲﾘﾂ_1" localSheetId="4">[1]電気設備表!#REF!</definedName>
    <definedName name="ｼｮｳﾒｲﾘﾂ_1" localSheetId="9">[1]電気設備表!#REF!</definedName>
    <definedName name="ｼｮｳﾒｲﾘﾂ_1" localSheetId="8">[1]電気設備表!#REF!</definedName>
    <definedName name="ｼｮｳﾒｲﾘﾂ_1">[1]電気設備表!#REF!</definedName>
    <definedName name="ｼｮｳﾒｲﾘﾂ_2" localSheetId="4">[1]電気設備表!#REF!</definedName>
    <definedName name="ｼｮｳﾒｲﾘﾂ_2" localSheetId="9">[1]電気設備表!#REF!</definedName>
    <definedName name="ｼｮｳﾒｲﾘﾂ_2" localSheetId="8">[1]電気設備表!#REF!</definedName>
    <definedName name="ｼｮｳﾒｲﾘﾂ_2">[1]電気設備表!#REF!</definedName>
    <definedName name="タイル工事" localSheetId="4">#REF!</definedName>
    <definedName name="タイル工事" localSheetId="9">#REF!</definedName>
    <definedName name="タイル工事" localSheetId="8">#REF!</definedName>
    <definedName name="タイル工事">#REF!</definedName>
    <definedName name="っｊ" localSheetId="4">[76]電気設備表!#REF!</definedName>
    <definedName name="っｊ" localSheetId="9">[76]電気設備表!#REF!</definedName>
    <definedName name="っｊ" localSheetId="8">[76]電気設備表!#REF!</definedName>
    <definedName name="っｊ">[76]電気設備表!#REF!</definedName>
    <definedName name="っｋ" localSheetId="4" hidden="1">#REF!</definedName>
    <definedName name="っｋ" localSheetId="9" hidden="1">#REF!</definedName>
    <definedName name="っｋ" localSheetId="8" hidden="1">#REF!</definedName>
    <definedName name="っｋ" hidden="1">#REF!</definedName>
    <definedName name="っｓ" localSheetId="4">[76]電気設備表!#REF!</definedName>
    <definedName name="っｓ" localSheetId="9">[76]電気設備表!#REF!</definedName>
    <definedName name="っｓ" localSheetId="8">[76]電気設備表!#REF!</definedName>
    <definedName name="っｓ">[76]電気設備表!#REF!</definedName>
    <definedName name="っっｊ" localSheetId="4">[76]電気設備表!#REF!</definedName>
    <definedName name="っっｊ" localSheetId="9">[76]電気設備表!#REF!</definedName>
    <definedName name="っっｊ" localSheetId="8">[76]電気設備表!#REF!</definedName>
    <definedName name="っっｊ">[76]電気設備表!#REF!</definedName>
    <definedName name="っっっｄ">[76]電気設備表!$D$3:$F$31</definedName>
    <definedName name="っっっｈ" localSheetId="4">[76]電気設備表!#REF!</definedName>
    <definedName name="っっっｈ" localSheetId="9">[76]電気設備表!#REF!</definedName>
    <definedName name="っっっｈ" localSheetId="8">[76]電気設備表!#REF!</definedName>
    <definedName name="っっっｈ">[76]電気設備表!#REF!</definedName>
    <definedName name="っっっっｓ" localSheetId="4">[76]電気設備表!#REF!</definedName>
    <definedName name="っっっっｓ" localSheetId="9">[76]電気設備表!#REF!</definedName>
    <definedName name="っっっっｓ" localSheetId="8">[76]電気設備表!#REF!</definedName>
    <definedName name="っっっっｓ">[76]電気設備表!#REF!</definedName>
    <definedName name="っっっっっっｓ" localSheetId="4">[76]電気設備表!#REF!</definedName>
    <definedName name="っっっっっっｓ" localSheetId="9">[76]電気設備表!#REF!</definedName>
    <definedName name="っっっっっっｓ" localSheetId="8">[76]電気設備表!#REF!</definedName>
    <definedName name="っっっっっっｓ">[76]電気設備表!#REF!</definedName>
    <definedName name="ﾊﾝｼｬﾘﾂ" localSheetId="4">[1]電気設備表!#REF!</definedName>
    <definedName name="ﾊﾝｼｬﾘﾂ" localSheetId="9">[1]電気設備表!#REF!</definedName>
    <definedName name="ﾊﾝｼｬﾘﾂ" localSheetId="8">[1]電気設備表!#REF!</definedName>
    <definedName name="ﾊﾝｼｬﾘﾂ">[1]電気設備表!#REF!</definedName>
    <definedName name="ﾍﾔｼｽｳ_2" localSheetId="4">[1]電気設備表!#REF!</definedName>
    <definedName name="ﾍﾔｼｽｳ_2" localSheetId="9">[1]電気設備表!#REF!</definedName>
    <definedName name="ﾍﾔｼｽｳ_2" localSheetId="8">[1]電気設備表!#REF!</definedName>
    <definedName name="ﾍﾔｼｽｳ_2">[1]電気設備表!#REF!</definedName>
    <definedName name="ﾎｼｭﾘﾂ" localSheetId="4">[1]電気設備表!#REF!</definedName>
    <definedName name="ﾎｼｭﾘﾂ" localSheetId="9">[1]電気設備表!#REF!</definedName>
    <definedName name="ﾎｼｭﾘﾂ" localSheetId="8">[1]電気設備表!#REF!</definedName>
    <definedName name="ﾎｼｭﾘﾂ">[1]電気設備表!#REF!</definedName>
    <definedName name="マクロ" localSheetId="4">#REF!</definedName>
    <definedName name="マクロ" localSheetId="9">#REF!</definedName>
    <definedName name="マクロ" localSheetId="8">#REF!</definedName>
    <definedName name="マクロ">#REF!</definedName>
    <definedName name="まくろ" localSheetId="4">#REF!</definedName>
    <definedName name="まくろ" localSheetId="9">#REF!</definedName>
    <definedName name="まくろ" localSheetId="8">#REF!</definedName>
    <definedName name="まくろ">#REF!</definedName>
    <definedName name="マクロ１" localSheetId="4">#REF!</definedName>
    <definedName name="マクロ１" localSheetId="9">#REF!</definedName>
    <definedName name="マクロ１" localSheetId="8">#REF!</definedName>
    <definedName name="マクロ１">#REF!</definedName>
    <definedName name="まくろ１" localSheetId="4">#REF!</definedName>
    <definedName name="まくろ１" localSheetId="9">#REF!</definedName>
    <definedName name="まくろ１" localSheetId="8">#REF!</definedName>
    <definedName name="まくろ１">#REF!</definedName>
    <definedName name="まくろ２" localSheetId="4">#REF!</definedName>
    <definedName name="まくろ２" localSheetId="9">#REF!</definedName>
    <definedName name="まくろ２" localSheetId="8">#REF!</definedName>
    <definedName name="まくろ２">#REF!</definedName>
    <definedName name="まくろ３" localSheetId="4">#REF!</definedName>
    <definedName name="まくろ３" localSheetId="9">#REF!</definedName>
    <definedName name="まくろ３" localSheetId="8">#REF!</definedName>
    <definedName name="まくろ３">#REF!</definedName>
    <definedName name="ﾒﾆｭｰ" localSheetId="4">#REF!</definedName>
    <definedName name="ﾒﾆｭｰ" localSheetId="9">#REF!</definedName>
    <definedName name="ﾒﾆｭｰ" localSheetId="8">#REF!</definedName>
    <definedName name="ﾒﾆｭｰ">#REF!</definedName>
    <definedName name="メニュー1" localSheetId="4">#REF!</definedName>
    <definedName name="メニュー1" localSheetId="9">#REF!</definedName>
    <definedName name="メニュー1" localSheetId="8">#REF!</definedName>
    <definedName name="メニュー1">#REF!</definedName>
    <definedName name="よし" localSheetId="4">#REF!</definedName>
    <definedName name="よし" localSheetId="9">#REF!</definedName>
    <definedName name="よし" localSheetId="8">#REF!</definedName>
    <definedName name="よし">#REF!</definedName>
    <definedName name="ﾗﾝﾌﾟ_1" localSheetId="4">[1]電気設備表!#REF!</definedName>
    <definedName name="ﾗﾝﾌﾟ_1" localSheetId="9">[1]電気設備表!#REF!</definedName>
    <definedName name="ﾗﾝﾌﾟ_1" localSheetId="8">[1]電気設備表!#REF!</definedName>
    <definedName name="ﾗﾝﾌﾟ_1">[1]電気設備表!#REF!</definedName>
    <definedName name="ﾗﾝﾌﾟ_2" localSheetId="4">[1]電気設備表!#REF!</definedName>
    <definedName name="ﾗﾝﾌﾟ_2" localSheetId="9">[1]電気設備表!#REF!</definedName>
    <definedName name="ﾗﾝﾌﾟ_2" localSheetId="8">[1]電気設備表!#REF!</definedName>
    <definedName name="ﾗﾝﾌﾟ_2">[1]電気設備表!#REF!</definedName>
    <definedName name="ﾗﾝﾌﾟ_3" localSheetId="4">[1]電気設備表!#REF!</definedName>
    <definedName name="ﾗﾝﾌﾟ_3" localSheetId="9">[1]電気設備表!#REF!</definedName>
    <definedName name="ﾗﾝﾌﾟ_3" localSheetId="8">[1]電気設備表!#REF!</definedName>
    <definedName name="ﾗﾝﾌﾟ_3">[1]電気設備表!#REF!</definedName>
    <definedName name="전체" localSheetId="4">#REF!</definedName>
    <definedName name="전체" localSheetId="9">#REF!</definedName>
    <definedName name="전체" localSheetId="8">#REF!</definedName>
    <definedName name="전체">#REF!</definedName>
    <definedName name="個" localSheetId="4">#REF!</definedName>
    <definedName name="個" localSheetId="9">#REF!</definedName>
    <definedName name="個" localSheetId="8">#REF!</definedName>
    <definedName name="個">#REF!</definedName>
    <definedName name="入力値" localSheetId="4">#REF!</definedName>
    <definedName name="入力値" localSheetId="9">#REF!</definedName>
    <definedName name="入力値" localSheetId="8">#REF!</definedName>
    <definedName name="入力値">#REF!</definedName>
    <definedName name="公式" localSheetId="4">#REF!</definedName>
    <definedName name="公式" localSheetId="9">#REF!</definedName>
    <definedName name="公式" localSheetId="8">#REF!</definedName>
    <definedName name="公式">#REF!</definedName>
    <definedName name="内外装" localSheetId="4">#REF!</definedName>
    <definedName name="内外装" localSheetId="9">#REF!</definedName>
    <definedName name="内外装" localSheetId="8">#REF!</definedName>
    <definedName name="内外装">#REF!</definedName>
    <definedName name="内訳書" localSheetId="4">#REF!</definedName>
    <definedName name="内訳書" localSheetId="9">#REF!</definedName>
    <definedName name="内訳書" localSheetId="8">#REF!</definedName>
    <definedName name="内訳書">#REF!</definedName>
    <definedName name="合計" localSheetId="4">#REF!</definedName>
    <definedName name="合計" localSheetId="9">#REF!</definedName>
    <definedName name="合計" localSheetId="8">#REF!</definedName>
    <definedName name="合計">#REF!</definedName>
    <definedName name="土工事" localSheetId="4">#REF!</definedName>
    <definedName name="土工事" localSheetId="9">#REF!</definedName>
    <definedName name="土工事" localSheetId="8">#REF!</definedName>
    <definedName name="土工事">#REF!</definedName>
    <definedName name="型枠工事" localSheetId="4">#REF!</definedName>
    <definedName name="型枠工事" localSheetId="9">#REF!</definedName>
    <definedName name="型枠工事" localSheetId="8">#REF!</definedName>
    <definedName name="型枠工事">#REF!</definedName>
    <definedName name="塗装工事" localSheetId="4">#REF!</definedName>
    <definedName name="塗装工事" localSheetId="9">#REF!</definedName>
    <definedName name="塗装工事" localSheetId="8">#REF!</definedName>
    <definedName name="塗装工事">#REF!</definedName>
    <definedName name="外構面積">[114]外構・目次!$G$14</definedName>
    <definedName name="屋根工事" localSheetId="4">#REF!</definedName>
    <definedName name="屋根工事" localSheetId="9">#REF!</definedName>
    <definedName name="屋根工事" localSheetId="8">#REF!</definedName>
    <definedName name="屋根工事">#REF!</definedName>
    <definedName name="工場面積">[114]工場棟・目次!$G$17</definedName>
    <definedName name="左官工事" localSheetId="4">#REF!</definedName>
    <definedName name="左官工事" localSheetId="9">#REF!</definedName>
    <definedName name="左官工事" localSheetId="8">#REF!</definedName>
    <definedName name="左官工事">#REF!</definedName>
    <definedName name="支持材種類" localSheetId="4">#REF!</definedName>
    <definedName name="支持材種類" localSheetId="9">#REF!</definedName>
    <definedName name="支持材種類" localSheetId="8">#REF!</definedName>
    <definedName name="支持材種類">#REF!</definedName>
    <definedName name="支持材種類J" localSheetId="4">#REF!</definedName>
    <definedName name="支持材種類J" localSheetId="9">#REF!</definedName>
    <definedName name="支持材種類J" localSheetId="8">#REF!</definedName>
    <definedName name="支持材種類J">#REF!</definedName>
    <definedName name="日" localSheetId="4">#REF!</definedName>
    <definedName name="日" localSheetId="9">#REF!</definedName>
    <definedName name="日" localSheetId="8">#REF!</definedName>
    <definedName name="日">#REF!</definedName>
    <definedName name="木工事" localSheetId="4">#REF!</definedName>
    <definedName name="木工事" localSheetId="9">#REF!</definedName>
    <definedName name="木工事" localSheetId="8">#REF!</definedName>
    <definedName name="木工事">#REF!</definedName>
    <definedName name="木製建具" localSheetId="4">#REF!</definedName>
    <definedName name="木製建具" localSheetId="9">#REF!</definedName>
    <definedName name="木製建具" localSheetId="8">#REF!</definedName>
    <definedName name="木製建具">#REF!</definedName>
    <definedName name="材料単位" localSheetId="4">#REF!</definedName>
    <definedName name="材料単位" localSheetId="9">#REF!</definedName>
    <definedName name="材料単位" localSheetId="8">#REF!</definedName>
    <definedName name="材料単位">#REF!</definedName>
    <definedName name="材料単位J" localSheetId="4">#REF!</definedName>
    <definedName name="材料単位J" localSheetId="9">#REF!</definedName>
    <definedName name="材料単位J" localSheetId="8">#REF!</definedName>
    <definedName name="材料単位J">#REF!</definedName>
    <definedName name="杭工事" localSheetId="4">#REF!</definedName>
    <definedName name="杭工事" localSheetId="9">#REF!</definedName>
    <definedName name="杭工事" localSheetId="8">#REF!</definedName>
    <definedName name="杭工事">#REF!</definedName>
    <definedName name="特15" localSheetId="4">#REF!</definedName>
    <definedName name="特15" localSheetId="9">#REF!</definedName>
    <definedName name="特15" localSheetId="8">#REF!</definedName>
    <definedName name="特15">#REF!</definedName>
    <definedName name="石工事" localSheetId="4">#REF!</definedName>
    <definedName name="石工事" localSheetId="9">#REF!</definedName>
    <definedName name="石工事" localSheetId="8">#REF!</definedName>
    <definedName name="石工事">#REF!</definedName>
    <definedName name="組積工事" localSheetId="4">#REF!</definedName>
    <definedName name="組積工事" localSheetId="9">#REF!</definedName>
    <definedName name="組積工事" localSheetId="8">#REF!</definedName>
    <definedName name="組積工事">#REF!</definedName>
    <definedName name="罫線" localSheetId="4">#REF!</definedName>
    <definedName name="罫線" localSheetId="9">#REF!</definedName>
    <definedName name="罫線" localSheetId="8">#REF!</definedName>
    <definedName name="罫線">#REF!</definedName>
    <definedName name="計算" localSheetId="4">#REF!</definedName>
    <definedName name="計算" localSheetId="9">#REF!</definedName>
    <definedName name="計算" localSheetId="8">#REF!</definedName>
    <definedName name="計算">#REF!</definedName>
    <definedName name="部屋指数" localSheetId="4">#REF!</definedName>
    <definedName name="部屋指数" localSheetId="9">#REF!</definedName>
    <definedName name="部屋指数" localSheetId="8">#REF!</definedName>
    <definedName name="部屋指数">#REF!</definedName>
    <definedName name="金属工事" localSheetId="4">#REF!</definedName>
    <definedName name="金属工事" localSheetId="9">#REF!</definedName>
    <definedName name="金属工事" localSheetId="8">#REF!</definedName>
    <definedName name="金属工事">#REF!</definedName>
    <definedName name="金属製建具" localSheetId="4">#REF!</definedName>
    <definedName name="金属製建具" localSheetId="9">#REF!</definedName>
    <definedName name="金属製建具" localSheetId="8">#REF!</definedName>
    <definedName name="金属製建具">#REF!</definedName>
    <definedName name="鉄筋工事" localSheetId="4">#REF!</definedName>
    <definedName name="鉄筋工事" localSheetId="9">#REF!</definedName>
    <definedName name="鉄筋工事" localSheetId="8">#REF!</definedName>
    <definedName name="鉄筋工事">#REF!</definedName>
    <definedName name="鉄骨工事" localSheetId="4">#REF!</definedName>
    <definedName name="鉄骨工事" localSheetId="9">#REF!</definedName>
    <definedName name="鉄骨工事" localSheetId="8">#REF!</definedName>
    <definedName name="鉄骨工事">#REF!</definedName>
    <definedName name="防水工事" localSheetId="4">#REF!</definedName>
    <definedName name="防水工事" localSheetId="9">#REF!</definedName>
    <definedName name="防水工事" localSheetId="8">#REF!</definedName>
    <definedName name="防水工事">#REF!</definedName>
    <definedName name="雑工事" localSheetId="4">#REF!</definedName>
    <definedName name="雑工事" localSheetId="9">#REF!</definedName>
    <definedName name="雑工事" localSheetId="8">#REF!</definedName>
    <definedName name="雑工事">#REF!</definedName>
    <definedName name="面積">[114]事務棟・目次!$G$17</definedName>
    <definedName name="項目" localSheetId="4">#REF!</definedName>
    <definedName name="項目" localSheetId="9">#REF!</definedName>
    <definedName name="項目" localSheetId="8">#REF!</definedName>
    <definedName name="項目">#REF!</definedName>
  </definedNames>
  <calcPr calcId="144525"/>
</workbook>
</file>

<file path=xl/calcChain.xml><?xml version="1.0" encoding="utf-8"?>
<calcChain xmlns="http://schemas.openxmlformats.org/spreadsheetml/2006/main">
  <c r="J46" i="53" l="1"/>
  <c r="I46" i="53"/>
  <c r="J51" i="53" l="1"/>
  <c r="I51" i="53"/>
  <c r="H51" i="53"/>
  <c r="K81" i="52" l="1"/>
  <c r="K25" i="53"/>
  <c r="K8" i="53"/>
  <c r="K9" i="53"/>
  <c r="K10" i="53"/>
  <c r="K11" i="53"/>
  <c r="K12" i="53"/>
  <c r="K13" i="53"/>
  <c r="K14" i="53"/>
  <c r="K15" i="53"/>
  <c r="K16" i="53"/>
  <c r="K17" i="53"/>
  <c r="K18" i="53"/>
  <c r="K19" i="53"/>
  <c r="K20" i="53"/>
  <c r="K21" i="53"/>
  <c r="K22" i="53"/>
  <c r="K23" i="53"/>
  <c r="K24" i="53"/>
  <c r="K26" i="53"/>
  <c r="K27" i="53"/>
  <c r="K28" i="53"/>
  <c r="K29" i="53"/>
  <c r="K30" i="53"/>
  <c r="K31" i="53"/>
  <c r="K32" i="53"/>
  <c r="K33" i="53"/>
  <c r="K34" i="53"/>
  <c r="K35" i="53"/>
  <c r="K36" i="53"/>
  <c r="K37" i="53"/>
  <c r="K38" i="53"/>
  <c r="K39" i="53"/>
  <c r="K40" i="53"/>
  <c r="K41" i="53"/>
  <c r="K42" i="53"/>
  <c r="K43" i="53"/>
  <c r="K44" i="53"/>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46" i="53"/>
  <c r="J7014" i="34" l="1"/>
  <c r="I7013" i="34"/>
  <c r="I7012" i="34"/>
  <c r="I7004" i="34" l="1"/>
  <c r="I7005" i="34"/>
  <c r="I7006" i="34"/>
  <c r="I7007" i="34"/>
  <c r="I7008" i="34"/>
  <c r="I7009" i="34"/>
  <c r="I7010" i="34"/>
  <c r="I7011" i="34"/>
  <c r="L12" i="54"/>
  <c r="L11" i="54"/>
  <c r="L10" i="54"/>
  <c r="L9" i="54"/>
  <c r="L8" i="54"/>
  <c r="L7" i="54"/>
  <c r="L6" i="54"/>
  <c r="L5" i="54"/>
  <c r="L13" i="54" s="1"/>
  <c r="I8372" i="34" l="1"/>
  <c r="I8373" i="34"/>
  <c r="I6988" i="34" l="1"/>
  <c r="I6989" i="34"/>
  <c r="I6990" i="34"/>
  <c r="I6991" i="34"/>
  <c r="I6992" i="34"/>
  <c r="I6993" i="34"/>
  <c r="I6995" i="34"/>
  <c r="I6996" i="34"/>
  <c r="I6997" i="34"/>
  <c r="I6998" i="34"/>
  <c r="I6999" i="34"/>
  <c r="I8977" i="34"/>
  <c r="I8978" i="34"/>
  <c r="I8979" i="34"/>
  <c r="I8980" i="34"/>
  <c r="I8981" i="34"/>
  <c r="I8982" i="34"/>
  <c r="I8984" i="34"/>
  <c r="I8985" i="34"/>
  <c r="I8986" i="34"/>
  <c r="I8987" i="34"/>
  <c r="I8988" i="34"/>
  <c r="I8991" i="34"/>
  <c r="I8992" i="34"/>
  <c r="I8993" i="34"/>
  <c r="I8994" i="34"/>
  <c r="I8996" i="34"/>
  <c r="I8997" i="34"/>
  <c r="I8998" i="34"/>
  <c r="I9000" i="34"/>
  <c r="I9001" i="34"/>
  <c r="I9002" i="34"/>
  <c r="I9003" i="34"/>
  <c r="I9004" i="34"/>
  <c r="I9005" i="34"/>
  <c r="I9007" i="34"/>
  <c r="I9008" i="34"/>
  <c r="I9009" i="34"/>
  <c r="I9010" i="34"/>
  <c r="I9011" i="34"/>
  <c r="I9012" i="34"/>
  <c r="I9013" i="34"/>
  <c r="I9014" i="34"/>
  <c r="I9016" i="34"/>
  <c r="I9017" i="34"/>
  <c r="I9018" i="34"/>
  <c r="I9019" i="34"/>
  <c r="I9020" i="34"/>
  <c r="I9021" i="34"/>
  <c r="I9022" i="34"/>
  <c r="I9023" i="34"/>
  <c r="I9024" i="34"/>
  <c r="I9025" i="34"/>
  <c r="I9026" i="34"/>
  <c r="I9028" i="34"/>
  <c r="I9029" i="34"/>
  <c r="I9030" i="34"/>
  <c r="I9031" i="34"/>
  <c r="I9032" i="34"/>
  <c r="I9033" i="34"/>
  <c r="I9034" i="34"/>
  <c r="I9035" i="34"/>
  <c r="I9037" i="34"/>
  <c r="I9038" i="34"/>
  <c r="I9040" i="34"/>
  <c r="I9041" i="34"/>
  <c r="I9042" i="34"/>
  <c r="I9043" i="34"/>
  <c r="I9044" i="34"/>
  <c r="I9045" i="34"/>
  <c r="I9046" i="34"/>
  <c r="I9047" i="34"/>
  <c r="I9048" i="34"/>
  <c r="I9049" i="34"/>
  <c r="I9050" i="34"/>
  <c r="I9051" i="34"/>
  <c r="I9052" i="34"/>
  <c r="I9053" i="34"/>
  <c r="I9054" i="34"/>
  <c r="I9056" i="34"/>
  <c r="I9057" i="34"/>
  <c r="I9058" i="34"/>
  <c r="I9060" i="34"/>
  <c r="I9061" i="34"/>
  <c r="I9062" i="34"/>
  <c r="I9063" i="34"/>
  <c r="I9065" i="34"/>
  <c r="I8601" i="34"/>
  <c r="I8600" i="34"/>
  <c r="I8599" i="34"/>
  <c r="I8598" i="34"/>
  <c r="I8597" i="34"/>
  <c r="I8596" i="34"/>
  <c r="I8595" i="34"/>
  <c r="I8594" i="34"/>
  <c r="I8593" i="34"/>
  <c r="I8592" i="34"/>
  <c r="I8591" i="34"/>
  <c r="I8590" i="34"/>
  <c r="I8589" i="34"/>
  <c r="I8588" i="34"/>
  <c r="I8949" i="34"/>
  <c r="I8948" i="34"/>
  <c r="I8947" i="34"/>
  <c r="I8946" i="34"/>
  <c r="I8945" i="34"/>
  <c r="I8944" i="34"/>
  <c r="I8943" i="34"/>
  <c r="I8942" i="34"/>
  <c r="I8941" i="34"/>
  <c r="I8940" i="34"/>
  <c r="I8939" i="34"/>
  <c r="I8938" i="34"/>
  <c r="I8937" i="34"/>
  <c r="I8936" i="34"/>
  <c r="I8935" i="34"/>
  <c r="I8934" i="34"/>
  <c r="I8933" i="34"/>
  <c r="I8932" i="34"/>
  <c r="I8931" i="34"/>
  <c r="I8930" i="34"/>
  <c r="I8929" i="34"/>
  <c r="I8928" i="34"/>
  <c r="I8927" i="34"/>
  <c r="I8926" i="34"/>
  <c r="I8925" i="34"/>
  <c r="I8924" i="34"/>
  <c r="I8923" i="34"/>
  <c r="I8922" i="34"/>
  <c r="I8921" i="34"/>
  <c r="I8920" i="34"/>
  <c r="I8919" i="34"/>
  <c r="I8918" i="34"/>
  <c r="I8917" i="34"/>
  <c r="I8916" i="34"/>
  <c r="I8915" i="34"/>
  <c r="I8914" i="34"/>
  <c r="I8913" i="34"/>
  <c r="I8912" i="34"/>
  <c r="I8911" i="34"/>
  <c r="I8910" i="34"/>
  <c r="I8909" i="34"/>
  <c r="I8908" i="34"/>
  <c r="I8907" i="34"/>
  <c r="I8906" i="34"/>
  <c r="I8905" i="34"/>
  <c r="I8904" i="34"/>
  <c r="I8903" i="34"/>
  <c r="I8902" i="34"/>
  <c r="I8901" i="34"/>
  <c r="I8900" i="34"/>
  <c r="I8899" i="34"/>
  <c r="I8898" i="34"/>
  <c r="I8897" i="34"/>
  <c r="I8896" i="34"/>
  <c r="I8895" i="34"/>
  <c r="I8894" i="34"/>
  <c r="I8893" i="34"/>
  <c r="I8892" i="34"/>
  <c r="I8891" i="34"/>
  <c r="I8890" i="34"/>
  <c r="I8889" i="34"/>
  <c r="I8888" i="34"/>
  <c r="I8887" i="34"/>
  <c r="I8886" i="34"/>
  <c r="I8885" i="34"/>
  <c r="I8884" i="34"/>
  <c r="I8883" i="34"/>
  <c r="I8882" i="34"/>
  <c r="I8881" i="34"/>
  <c r="I8880" i="34"/>
  <c r="I8879" i="34"/>
  <c r="I8878" i="34"/>
  <c r="I8877" i="34"/>
  <c r="I8876" i="34"/>
  <c r="I8875" i="34"/>
  <c r="I8874" i="34"/>
  <c r="I8873" i="34"/>
  <c r="I8872" i="34"/>
  <c r="I8871" i="34"/>
  <c r="I8870" i="34"/>
  <c r="I8869" i="34"/>
  <c r="I8868" i="34"/>
  <c r="I8867" i="34"/>
  <c r="I8866" i="34"/>
  <c r="I8865" i="34"/>
  <c r="I8864" i="34"/>
  <c r="I8863" i="34"/>
  <c r="I8862" i="34"/>
  <c r="I8861" i="34"/>
  <c r="I8860" i="34"/>
  <c r="I8859" i="34"/>
  <c r="I8858" i="34"/>
  <c r="I8857" i="34"/>
  <c r="I8856" i="34"/>
  <c r="I8855" i="34"/>
  <c r="I8854" i="34"/>
  <c r="I8853" i="34"/>
  <c r="I8852" i="34"/>
  <c r="I8851" i="34"/>
  <c r="I8850" i="34"/>
  <c r="I8849" i="34"/>
  <c r="I8848" i="34"/>
  <c r="I8847" i="34"/>
  <c r="I8846" i="34"/>
  <c r="I8845" i="34"/>
  <c r="I8844" i="34"/>
  <c r="I8843" i="34"/>
  <c r="I8842" i="34"/>
  <c r="I8841" i="34"/>
  <c r="I8840" i="34"/>
  <c r="I8839" i="34"/>
  <c r="I8838" i="34"/>
  <c r="I8837" i="34"/>
  <c r="I8836" i="34"/>
  <c r="I8835" i="34"/>
  <c r="I8834" i="34"/>
  <c r="I8833" i="34"/>
  <c r="I8832" i="34"/>
  <c r="I8831" i="34"/>
  <c r="I8830" i="34"/>
  <c r="I8829" i="34"/>
  <c r="I8828" i="34"/>
  <c r="I8827" i="34"/>
  <c r="I8826" i="34"/>
  <c r="I8825" i="34"/>
  <c r="I8824" i="34"/>
  <c r="I8823" i="34"/>
  <c r="I8822" i="34"/>
  <c r="I8821" i="34"/>
  <c r="I8820" i="34"/>
  <c r="I8819" i="34"/>
  <c r="I8818" i="34"/>
  <c r="I8817" i="34"/>
  <c r="I8816" i="34"/>
  <c r="I8815" i="34"/>
  <c r="I8814" i="34"/>
  <c r="I8813" i="34"/>
  <c r="I8812" i="34"/>
  <c r="I8811" i="34"/>
  <c r="I8810" i="34"/>
  <c r="I8809" i="34"/>
  <c r="I8808" i="34"/>
  <c r="I8807" i="34"/>
  <c r="I8806" i="34"/>
  <c r="I8805" i="34"/>
  <c r="I8804" i="34"/>
  <c r="I8803" i="34"/>
  <c r="I8802" i="34"/>
  <c r="I8801" i="34"/>
  <c r="I8800" i="34"/>
  <c r="I8799" i="34"/>
  <c r="I8798" i="34"/>
  <c r="I8797" i="34"/>
  <c r="I8787" i="34"/>
  <c r="I8786" i="34"/>
  <c r="I8785" i="34"/>
  <c r="I8784" i="34"/>
  <c r="I8783" i="34"/>
  <c r="I8782" i="34"/>
  <c r="I8781" i="34"/>
  <c r="I8780" i="34"/>
  <c r="I8779" i="34"/>
  <c r="I8778" i="34"/>
  <c r="I8777" i="34"/>
  <c r="I8776" i="34"/>
  <c r="I8775" i="34"/>
  <c r="I8774" i="34"/>
  <c r="I8773" i="34"/>
  <c r="I8772" i="34"/>
  <c r="I8771" i="34"/>
  <c r="I8770" i="34"/>
  <c r="I8769" i="34"/>
  <c r="I8768" i="34"/>
  <c r="I8767" i="34"/>
  <c r="I8766" i="34"/>
  <c r="I8765" i="34"/>
  <c r="I8764" i="34"/>
  <c r="I8763" i="34"/>
  <c r="I8762" i="34"/>
  <c r="I8761" i="34"/>
  <c r="I8760" i="34"/>
  <c r="I8759" i="34"/>
  <c r="I8758" i="34"/>
  <c r="I8757" i="34"/>
  <c r="I8756" i="34"/>
  <c r="I8755" i="34"/>
  <c r="I8754" i="34"/>
  <c r="I8753" i="34"/>
  <c r="I8752" i="34"/>
  <c r="I8751" i="34"/>
  <c r="I8750" i="34"/>
  <c r="I8749" i="34"/>
  <c r="I8748" i="34"/>
  <c r="I8747" i="34"/>
  <c r="I8746" i="34"/>
  <c r="I8745" i="34"/>
  <c r="I8744" i="34"/>
  <c r="I8743" i="34"/>
  <c r="I8742" i="34"/>
  <c r="I8741" i="34"/>
  <c r="I8740" i="34"/>
  <c r="I8739" i="34"/>
  <c r="I8738" i="34"/>
  <c r="I8737" i="34"/>
  <c r="I8736" i="34"/>
  <c r="I8735" i="34"/>
  <c r="I8734" i="34"/>
  <c r="I8733" i="34"/>
  <c r="I8732" i="34"/>
  <c r="I8731" i="34"/>
  <c r="I8730" i="34"/>
  <c r="I8729" i="34"/>
  <c r="I8728" i="34"/>
  <c r="I8727" i="34"/>
  <c r="I8726" i="34"/>
  <c r="I8725" i="34"/>
  <c r="I8724" i="34"/>
  <c r="I8723" i="34"/>
  <c r="I8722" i="34"/>
  <c r="I8721" i="34"/>
  <c r="I8720" i="34"/>
  <c r="I8719" i="34"/>
  <c r="I8718" i="34"/>
  <c r="I8717" i="34"/>
  <c r="I8716" i="34"/>
  <c r="I8715" i="34"/>
  <c r="I8714" i="34"/>
  <c r="I8713" i="34"/>
  <c r="I8712" i="34"/>
  <c r="I8711" i="34"/>
  <c r="I8710" i="34"/>
  <c r="I8709" i="34"/>
  <c r="I8708" i="34"/>
  <c r="I8707" i="34"/>
  <c r="I8706" i="34"/>
  <c r="I8705" i="34"/>
  <c r="I8704" i="34"/>
  <c r="I8703" i="34"/>
  <c r="I8702" i="34"/>
  <c r="I8701" i="34"/>
  <c r="I8700" i="34"/>
  <c r="I8699" i="34"/>
  <c r="I8698" i="34"/>
  <c r="I8697" i="34"/>
  <c r="I8696" i="34"/>
  <c r="I8695" i="34"/>
  <c r="I8694" i="34"/>
  <c r="I8693" i="34"/>
  <c r="I8692" i="34"/>
  <c r="I8691" i="34"/>
  <c r="I8690" i="34"/>
  <c r="I8689" i="34"/>
  <c r="I8688" i="34"/>
  <c r="I8687" i="34"/>
  <c r="I8686" i="34"/>
  <c r="I8685" i="34"/>
  <c r="I8684" i="34"/>
  <c r="I8683" i="34"/>
  <c r="I8682" i="34"/>
  <c r="I8681" i="34"/>
  <c r="I8680" i="34"/>
  <c r="I8679" i="34"/>
  <c r="I8678" i="34"/>
  <c r="I8677" i="34"/>
  <c r="I8676" i="34"/>
  <c r="I8675" i="34"/>
  <c r="I8674" i="34"/>
  <c r="I8673" i="34"/>
  <c r="I8672" i="34"/>
  <c r="I8671" i="34"/>
  <c r="I8653" i="34"/>
  <c r="I8651" i="34"/>
  <c r="I8649" i="34"/>
  <c r="I8648" i="34"/>
  <c r="I8647" i="34"/>
  <c r="I8646" i="34"/>
  <c r="I8645" i="34"/>
  <c r="I8644" i="34"/>
  <c r="I8642" i="34"/>
  <c r="I8641" i="34"/>
  <c r="I8640" i="34"/>
  <c r="I8639" i="34"/>
  <c r="I8638" i="34"/>
  <c r="I8637" i="34"/>
  <c r="I8636" i="34"/>
  <c r="I8635" i="34"/>
  <c r="I8634" i="34"/>
  <c r="I8633" i="34"/>
  <c r="I8632" i="34"/>
  <c r="I8631" i="34"/>
  <c r="I8630" i="34"/>
  <c r="I8629" i="34"/>
  <c r="I8628" i="34"/>
  <c r="I8627" i="34"/>
  <c r="I8626" i="34"/>
  <c r="I8625" i="34"/>
  <c r="I8624" i="34"/>
  <c r="I8623" i="34"/>
  <c r="I8622" i="34"/>
  <c r="I8621" i="34"/>
  <c r="I8620" i="34"/>
  <c r="I8619" i="34"/>
  <c r="I8618" i="34"/>
  <c r="I8617" i="34"/>
  <c r="I8616" i="34"/>
  <c r="I8615" i="34"/>
  <c r="I8614" i="34"/>
  <c r="I8613" i="34"/>
  <c r="I8612" i="34"/>
  <c r="I8611" i="34"/>
  <c r="I8610" i="34"/>
  <c r="I8578" i="34"/>
  <c r="I8577" i="34"/>
  <c r="I8576" i="34"/>
  <c r="I8575" i="34"/>
  <c r="I8574" i="34"/>
  <c r="I8573" i="34"/>
  <c r="I8572" i="34"/>
  <c r="I8571" i="34"/>
  <c r="I8570" i="34"/>
  <c r="I8569" i="34"/>
  <c r="I8568" i="34"/>
  <c r="I8567" i="34"/>
  <c r="I8566" i="34"/>
  <c r="I8565" i="34"/>
  <c r="I8564" i="34"/>
  <c r="I8563" i="34"/>
  <c r="I8562" i="34"/>
  <c r="I8561" i="34"/>
  <c r="I8560" i="34"/>
  <c r="I8559" i="34"/>
  <c r="I8558" i="34"/>
  <c r="I8557" i="34"/>
  <c r="I8556" i="34"/>
  <c r="I8555" i="34"/>
  <c r="I8554" i="34"/>
  <c r="I8553" i="34"/>
  <c r="I8552" i="34"/>
  <c r="I8551" i="34"/>
  <c r="I8550" i="34"/>
  <c r="I8549" i="34"/>
  <c r="I8548" i="34"/>
  <c r="I8547" i="34"/>
  <c r="I8546" i="34"/>
  <c r="I8545" i="34"/>
  <c r="I8544" i="34"/>
  <c r="I8543" i="34"/>
  <c r="I8542" i="34"/>
  <c r="I8541" i="34"/>
  <c r="I8530" i="34"/>
  <c r="I8529" i="34"/>
  <c r="I8528" i="34"/>
  <c r="I8527" i="34"/>
  <c r="I8526" i="34"/>
  <c r="I8525" i="34"/>
  <c r="I8524" i="34"/>
  <c r="I8523" i="34"/>
  <c r="I8522" i="34"/>
  <c r="I8521" i="34"/>
  <c r="I8520" i="34"/>
  <c r="I8519" i="34"/>
  <c r="I8518" i="34"/>
  <c r="I8517" i="34"/>
  <c r="I8516" i="34"/>
  <c r="I8515" i="34"/>
  <c r="I8514" i="34"/>
  <c r="I8513" i="34"/>
  <c r="I8512" i="34"/>
  <c r="I8511" i="34"/>
  <c r="I8510" i="34"/>
  <c r="I8509" i="34"/>
  <c r="I8508" i="34"/>
  <c r="I8507" i="34"/>
  <c r="I8506" i="34"/>
  <c r="I8505" i="34"/>
  <c r="I8504" i="34"/>
  <c r="I8503" i="34"/>
  <c r="I8502" i="34"/>
  <c r="I8501" i="34"/>
  <c r="I8500" i="34"/>
  <c r="I8499" i="34"/>
  <c r="I8498" i="34"/>
  <c r="I8497" i="34"/>
  <c r="I8496" i="34"/>
  <c r="I8495" i="34"/>
  <c r="I8494" i="34"/>
  <c r="I8493" i="34"/>
  <c r="I8492" i="34"/>
  <c r="I8491" i="34"/>
  <c r="I8490" i="34"/>
  <c r="I8489" i="34"/>
  <c r="I8488" i="34"/>
  <c r="I8487" i="34"/>
  <c r="I8486" i="34"/>
  <c r="I8485" i="34"/>
  <c r="I8484" i="34"/>
  <c r="I8483" i="34"/>
  <c r="I8482" i="34"/>
  <c r="I8481" i="34"/>
  <c r="I8480" i="34"/>
  <c r="I8479" i="34"/>
  <c r="I8478" i="34"/>
  <c r="I8477" i="34"/>
  <c r="I8476" i="34"/>
  <c r="I8475" i="34"/>
  <c r="I8474" i="34"/>
  <c r="I8473" i="34"/>
  <c r="I8472" i="34"/>
  <c r="I8471" i="34"/>
  <c r="I8470" i="34"/>
  <c r="I8469" i="34"/>
  <c r="I8468" i="34"/>
  <c r="I8467" i="34"/>
  <c r="I8466" i="34"/>
  <c r="I8465" i="34"/>
  <c r="I8464" i="34"/>
  <c r="I8463" i="34"/>
  <c r="I8462" i="34"/>
  <c r="I8461" i="34"/>
  <c r="I8460" i="34"/>
  <c r="I8459" i="34"/>
  <c r="I8458" i="34"/>
  <c r="I8457" i="34"/>
  <c r="I8456" i="34"/>
  <c r="I8455" i="34"/>
  <c r="I8454" i="34"/>
  <c r="I8453" i="34"/>
  <c r="I8452" i="34"/>
  <c r="I8451" i="34"/>
  <c r="I8450" i="34"/>
  <c r="I8449" i="34"/>
  <c r="I8448" i="34"/>
  <c r="I8447" i="34"/>
  <c r="I8966" i="34"/>
  <c r="I8965" i="34"/>
  <c r="I8964" i="34"/>
  <c r="I8963" i="34"/>
  <c r="I8962" i="34"/>
  <c r="I8406" i="34"/>
  <c r="I8405" i="34"/>
  <c r="I8404" i="34"/>
  <c r="I8403" i="34"/>
  <c r="I8402" i="34"/>
  <c r="I8401" i="34"/>
  <c r="I8400" i="34"/>
  <c r="I8399" i="34"/>
  <c r="I8398" i="34"/>
  <c r="I8397" i="34"/>
  <c r="I8396" i="34"/>
  <c r="I8395" i="34"/>
  <c r="I8394" i="34"/>
  <c r="I8425" i="34"/>
  <c r="I8424" i="34"/>
  <c r="I8423" i="34"/>
  <c r="I8422" i="34"/>
  <c r="I8421" i="34"/>
  <c r="I8420" i="34"/>
  <c r="I8419" i="34"/>
  <c r="I8418" i="34"/>
  <c r="I8417" i="34"/>
  <c r="I8416" i="34"/>
  <c r="I8415" i="34"/>
  <c r="I8414" i="34"/>
  <c r="I8413" i="34"/>
  <c r="I7290" i="34"/>
  <c r="I7289" i="34"/>
  <c r="I7288" i="34"/>
  <c r="I7287" i="34"/>
  <c r="I7286" i="34"/>
  <c r="I7285" i="34"/>
  <c r="I7284" i="34"/>
  <c r="I7283" i="34"/>
  <c r="I7282" i="34"/>
  <c r="I7281" i="34"/>
  <c r="I7280" i="34"/>
  <c r="I7279" i="34"/>
  <c r="I7278" i="34"/>
  <c r="I7277" i="34"/>
  <c r="I7276" i="34"/>
  <c r="I7275" i="34"/>
  <c r="I7274" i="34"/>
  <c r="I7273" i="34"/>
  <c r="I7272" i="34"/>
  <c r="I7271" i="34"/>
  <c r="I7270" i="34"/>
  <c r="I7269" i="34"/>
  <c r="I7268" i="34"/>
  <c r="I7267" i="34"/>
  <c r="I7266" i="34"/>
  <c r="I7265" i="34"/>
  <c r="I7264" i="34"/>
  <c r="I7263" i="34"/>
  <c r="I7262" i="34"/>
  <c r="I7261" i="34"/>
  <c r="I7260" i="34"/>
  <c r="I7259" i="34"/>
  <c r="I7258" i="34"/>
  <c r="I7257" i="34"/>
  <c r="I7256" i="34"/>
  <c r="I7255" i="34"/>
  <c r="I7254" i="34"/>
  <c r="I7253" i="34"/>
  <c r="I7252" i="34"/>
  <c r="I7251" i="34"/>
  <c r="I7250" i="34"/>
  <c r="I7249" i="34"/>
  <c r="I7248" i="34"/>
  <c r="I7247" i="34"/>
  <c r="I7246" i="34"/>
  <c r="I7245" i="34"/>
  <c r="I7244" i="34"/>
  <c r="I7243" i="34"/>
  <c r="I7242" i="34"/>
  <c r="I7241" i="34"/>
  <c r="I7240" i="34"/>
  <c r="I7239" i="34"/>
  <c r="I7238" i="34"/>
  <c r="I7237" i="34"/>
  <c r="I7236" i="34"/>
  <c r="I7235" i="34"/>
  <c r="I7234" i="34"/>
  <c r="I7233" i="34"/>
  <c r="I7232" i="34"/>
  <c r="I7231" i="34"/>
  <c r="I7230" i="34"/>
  <c r="I7229" i="34"/>
  <c r="I7228" i="34"/>
  <c r="I7227" i="34"/>
  <c r="I7226" i="34"/>
  <c r="I7225" i="34"/>
  <c r="I7224" i="34"/>
  <c r="I7223" i="34"/>
  <c r="I7222" i="34"/>
  <c r="I7221" i="34"/>
  <c r="I7220" i="34"/>
  <c r="I7219" i="34"/>
  <c r="I7218" i="34"/>
  <c r="I7217" i="34"/>
  <c r="I7216" i="34"/>
  <c r="I7215" i="34"/>
  <c r="I7214" i="34"/>
  <c r="I7213" i="34"/>
  <c r="I7212" i="34"/>
  <c r="I7211" i="34"/>
  <c r="I7210" i="34"/>
  <c r="I7209" i="34"/>
  <c r="I7208" i="34"/>
  <c r="I7207" i="34"/>
  <c r="I7206" i="34"/>
  <c r="I7205" i="34"/>
  <c r="I7204" i="34"/>
  <c r="I7203" i="34"/>
  <c r="I7202" i="34"/>
  <c r="I7201" i="34"/>
  <c r="I7200" i="34"/>
  <c r="I7199" i="34"/>
  <c r="I7198" i="34"/>
  <c r="I7197" i="34"/>
  <c r="I7196" i="34"/>
  <c r="I7195" i="34"/>
  <c r="I7194" i="34"/>
  <c r="I7193" i="34"/>
  <c r="I7192" i="34"/>
  <c r="I7191" i="34"/>
  <c r="I7190" i="34"/>
  <c r="I7189" i="34"/>
  <c r="I7188" i="34"/>
  <c r="I7187" i="34"/>
  <c r="I7186" i="34"/>
  <c r="I7185" i="34"/>
  <c r="I7184" i="34"/>
  <c r="I7183" i="34"/>
  <c r="I7182" i="34"/>
  <c r="I7181" i="34"/>
  <c r="I7180" i="34"/>
  <c r="I7179" i="34"/>
  <c r="I7178" i="34"/>
  <c r="I7177" i="34"/>
  <c r="I7176" i="34"/>
  <c r="I7175" i="34"/>
  <c r="I7174" i="34"/>
  <c r="I7173" i="34"/>
  <c r="I7172" i="34"/>
  <c r="I7171" i="34"/>
  <c r="I7170" i="34"/>
  <c r="I7169" i="34"/>
  <c r="I7168" i="34"/>
  <c r="I7167" i="34"/>
  <c r="I7166" i="34"/>
  <c r="I7165" i="34"/>
  <c r="I7164" i="34"/>
  <c r="I7163" i="34"/>
  <c r="I7162" i="34"/>
  <c r="I7161" i="34"/>
  <c r="I7160" i="34"/>
  <c r="I7159" i="34"/>
  <c r="I7158" i="34"/>
  <c r="I7157" i="34"/>
  <c r="I7156" i="34"/>
  <c r="I7155" i="34"/>
  <c r="I7154" i="34"/>
  <c r="I7153" i="34"/>
  <c r="I7152" i="34"/>
  <c r="I7151" i="34"/>
  <c r="I7150" i="34"/>
  <c r="I7149" i="34"/>
  <c r="I7148" i="34"/>
  <c r="I7147" i="34"/>
  <c r="I7146" i="34"/>
  <c r="I7145" i="34"/>
  <c r="I7144" i="34"/>
  <c r="I7143" i="34"/>
  <c r="I7142" i="34"/>
  <c r="I7141" i="34"/>
  <c r="I7140" i="34"/>
  <c r="I7139" i="34"/>
  <c r="I7138" i="34"/>
  <c r="I7137" i="34"/>
  <c r="I7136" i="34"/>
  <c r="I7135" i="34"/>
  <c r="I7134" i="34"/>
  <c r="I7133" i="34"/>
  <c r="I7132" i="34"/>
  <c r="I7131" i="34"/>
  <c r="I7130" i="34"/>
  <c r="I7129" i="34"/>
  <c r="I7128" i="34"/>
  <c r="I7127" i="34"/>
  <c r="I7126" i="34"/>
  <c r="I7125" i="34"/>
  <c r="I7124" i="34"/>
  <c r="I7123" i="34"/>
  <c r="I7122" i="34"/>
  <c r="I7121" i="34"/>
  <c r="I7120" i="34"/>
  <c r="I7119" i="34"/>
  <c r="I7118" i="34"/>
  <c r="I7117" i="34"/>
  <c r="I7116" i="34"/>
  <c r="I7115" i="34"/>
  <c r="I7114" i="34"/>
  <c r="I7113" i="34"/>
  <c r="I7112" i="34"/>
  <c r="I7111" i="34"/>
  <c r="I7110" i="34"/>
  <c r="I7109" i="34"/>
  <c r="I7108" i="34"/>
  <c r="I7107" i="34"/>
  <c r="I7106" i="34"/>
  <c r="I7105" i="34"/>
  <c r="I7104" i="34"/>
  <c r="I7103" i="34"/>
  <c r="I7102" i="34"/>
  <c r="I7101" i="34"/>
  <c r="I7100" i="34"/>
  <c r="I7099" i="34"/>
  <c r="I7098" i="34"/>
  <c r="I7097" i="34"/>
  <c r="I7096" i="34"/>
  <c r="I7095" i="34"/>
  <c r="I7094" i="34"/>
  <c r="I7093" i="34"/>
  <c r="I7092" i="34"/>
  <c r="I7091" i="34"/>
  <c r="I7090" i="34"/>
  <c r="I7089" i="34"/>
  <c r="I7088" i="34"/>
  <c r="I7087" i="34"/>
  <c r="I7086" i="34"/>
  <c r="I7085" i="34"/>
  <c r="I7084" i="34"/>
  <c r="I7083" i="34"/>
  <c r="I7082" i="34"/>
  <c r="I7081" i="34"/>
  <c r="I7080" i="34"/>
  <c r="I7079" i="34"/>
  <c r="I7078" i="34"/>
  <c r="I7077" i="34"/>
  <c r="I7076" i="34"/>
  <c r="I7075" i="34"/>
  <c r="I7074" i="34"/>
  <c r="I7073" i="34"/>
  <c r="I7072" i="34"/>
  <c r="I7071" i="34"/>
  <c r="I7070" i="34"/>
  <c r="I7069" i="34"/>
  <c r="I7068" i="34"/>
  <c r="I7067" i="34"/>
  <c r="I7066" i="34"/>
  <c r="I7065" i="34"/>
  <c r="I7064" i="34"/>
  <c r="I7063" i="34"/>
  <c r="I7062" i="34"/>
  <c r="I7061" i="34"/>
  <c r="I7060" i="34"/>
  <c r="I7059" i="34"/>
  <c r="I7058" i="34"/>
  <c r="I7057" i="34"/>
  <c r="I7056" i="34"/>
  <c r="I7055" i="34"/>
  <c r="I7054" i="34"/>
  <c r="I7053" i="34"/>
  <c r="I7052" i="34"/>
  <c r="I7051" i="34"/>
  <c r="I7050" i="34"/>
  <c r="I7049" i="34"/>
  <c r="I7048" i="34"/>
  <c r="I7047" i="34"/>
  <c r="I7046" i="34"/>
  <c r="I7045" i="34"/>
  <c r="I7044" i="34"/>
  <c r="I7043" i="34"/>
  <c r="I7042" i="34"/>
  <c r="I7041" i="34"/>
  <c r="I7040" i="34"/>
  <c r="I7039" i="34"/>
  <c r="I7038" i="34"/>
  <c r="I7037" i="34"/>
  <c r="I7036" i="34"/>
  <c r="I7035" i="34"/>
  <c r="I7034" i="34"/>
  <c r="I7033" i="34"/>
  <c r="I7032" i="34"/>
  <c r="I7031" i="34"/>
  <c r="I7030" i="34"/>
  <c r="I7029" i="34"/>
  <c r="I7028" i="34"/>
  <c r="I7027" i="34"/>
  <c r="I7026" i="34"/>
  <c r="I7025" i="34"/>
  <c r="I7024" i="34"/>
  <c r="I7023" i="34"/>
  <c r="I7022" i="34"/>
  <c r="I7021" i="34"/>
  <c r="I8387" i="34"/>
  <c r="I8386" i="34"/>
  <c r="I8385" i="34"/>
  <c r="I8384" i="34"/>
  <c r="I8383" i="34"/>
  <c r="I8382" i="34"/>
  <c r="I8662" i="34"/>
  <c r="I8334" i="34"/>
  <c r="I8335" i="34"/>
  <c r="I8342" i="34"/>
  <c r="I8343" i="34"/>
  <c r="I8344" i="34"/>
  <c r="I8345" i="34"/>
  <c r="I8349" i="34"/>
  <c r="I8350" i="34"/>
  <c r="I8351" i="34"/>
  <c r="I8354" i="34"/>
  <c r="I8355" i="34"/>
  <c r="I8358" i="34"/>
  <c r="I8359" i="34"/>
  <c r="I8362" i="34"/>
  <c r="I8365" i="34"/>
  <c r="I8366" i="34"/>
  <c r="I8369" i="34"/>
  <c r="I8321" i="34"/>
  <c r="I8322" i="34"/>
  <c r="I8323" i="34"/>
  <c r="I8324" i="34"/>
  <c r="I8325" i="34"/>
  <c r="I8326" i="34"/>
  <c r="I8327" i="34"/>
  <c r="I8330" i="34"/>
  <c r="I8331" i="34"/>
  <c r="I8317" i="34"/>
  <c r="I8315" i="34"/>
  <c r="I8314" i="34"/>
  <c r="I8313" i="34"/>
  <c r="I8311" i="34"/>
  <c r="I8310" i="34"/>
  <c r="I8309" i="34"/>
  <c r="I8307" i="34"/>
  <c r="I8306" i="34"/>
  <c r="I8305" i="34"/>
  <c r="I8303" i="34"/>
  <c r="I8302" i="34"/>
  <c r="I8301" i="34"/>
  <c r="I8299" i="34"/>
  <c r="I8298" i="34"/>
  <c r="I8297" i="34"/>
  <c r="I8295" i="34"/>
  <c r="I8294" i="34"/>
  <c r="I8293" i="34"/>
  <c r="I8292" i="34"/>
  <c r="I8291" i="34"/>
  <c r="I8287" i="34"/>
  <c r="I8286" i="34"/>
  <c r="I8285" i="34"/>
  <c r="I8284" i="34"/>
  <c r="I8282" i="34"/>
  <c r="I8280" i="34"/>
  <c r="I8278" i="34"/>
  <c r="I8276" i="34"/>
  <c r="I8275" i="34"/>
  <c r="I8273" i="34"/>
  <c r="I8271" i="34"/>
  <c r="I8270" i="34"/>
  <c r="I8268" i="34"/>
  <c r="I8266" i="34"/>
  <c r="I8265" i="34"/>
  <c r="I8264" i="34"/>
  <c r="I8263" i="34"/>
  <c r="I8262" i="34"/>
  <c r="I8261" i="34"/>
  <c r="I8260" i="34"/>
  <c r="I8259" i="34"/>
  <c r="I8258" i="34"/>
  <c r="I8257" i="34"/>
  <c r="I8256" i="34"/>
  <c r="I8255" i="34"/>
  <c r="I8254" i="34"/>
  <c r="I8252" i="34"/>
  <c r="I8251" i="34"/>
  <c r="I8250" i="34"/>
  <c r="I8249" i="34"/>
  <c r="I8248" i="34"/>
  <c r="I8244" i="34"/>
  <c r="I8243" i="34"/>
  <c r="I8242" i="34"/>
  <c r="I8240" i="34"/>
  <c r="I8239" i="34"/>
  <c r="I8238" i="34"/>
  <c r="I8237" i="34"/>
  <c r="I8236" i="34"/>
  <c r="I8235" i="34"/>
  <c r="I8233" i="34"/>
  <c r="I8232" i="34"/>
  <c r="I8231" i="34"/>
  <c r="I8230" i="34"/>
  <c r="I8229" i="34"/>
  <c r="I8228" i="34"/>
  <c r="I8227" i="34"/>
  <c r="I8226" i="34"/>
  <c r="I8225" i="34"/>
  <c r="I8224" i="34"/>
  <c r="I8215" i="34"/>
  <c r="I8210" i="34"/>
  <c r="I8209" i="34"/>
  <c r="I8208" i="34"/>
  <c r="I8207" i="34"/>
  <c r="I8206" i="34"/>
  <c r="I8205" i="34"/>
  <c r="I8204" i="34"/>
  <c r="I8203" i="34"/>
  <c r="I8202" i="34"/>
  <c r="I8201" i="34"/>
  <c r="I8200" i="34"/>
  <c r="I8198" i="34"/>
  <c r="I8197" i="34"/>
  <c r="I8196" i="34"/>
  <c r="I8195" i="34"/>
  <c r="I8194" i="34"/>
  <c r="I8193" i="34"/>
  <c r="I8192" i="34"/>
  <c r="I8191" i="34"/>
  <c r="I8190" i="34"/>
  <c r="I8189" i="34"/>
  <c r="I8188" i="34"/>
  <c r="I8187" i="34"/>
  <c r="I8186" i="34"/>
  <c r="I8185" i="34"/>
  <c r="I8184" i="34"/>
  <c r="I8183" i="34"/>
  <c r="I8182" i="34"/>
  <c r="I8181" i="34"/>
  <c r="I8180" i="34"/>
  <c r="I8179" i="34"/>
  <c r="I8178" i="34"/>
  <c r="I8177" i="34"/>
  <c r="I8176" i="34"/>
  <c r="I8175" i="34"/>
  <c r="I8174" i="34"/>
  <c r="I8173" i="34"/>
  <c r="I8172" i="34"/>
  <c r="I8171" i="34"/>
  <c r="I8170" i="34"/>
  <c r="I8169" i="34"/>
  <c r="I8161" i="34"/>
  <c r="I8160" i="34"/>
  <c r="I8153" i="34"/>
  <c r="I8152" i="34"/>
  <c r="I8148" i="34"/>
  <c r="I8145" i="34"/>
  <c r="I8144" i="34"/>
  <c r="I8143" i="34"/>
  <c r="I8139" i="34"/>
  <c r="I8136" i="34"/>
  <c r="I8135" i="34"/>
  <c r="I8134" i="34"/>
  <c r="I8130" i="34"/>
  <c r="I8129" i="34"/>
  <c r="I8128" i="34"/>
  <c r="I8124" i="34"/>
  <c r="I8123" i="34"/>
  <c r="I8122" i="34"/>
  <c r="I8121" i="34"/>
  <c r="I8118" i="34"/>
  <c r="I8117" i="34"/>
  <c r="I8116" i="34"/>
  <c r="I8115" i="34"/>
  <c r="I8114" i="34"/>
  <c r="I8113" i="34"/>
  <c r="I8108" i="34"/>
  <c r="I8107" i="34"/>
  <c r="I8106" i="34"/>
  <c r="I8097" i="34"/>
  <c r="I8095" i="34"/>
  <c r="I8094" i="34"/>
  <c r="I8093" i="34"/>
  <c r="I8091" i="34"/>
  <c r="I8089" i="34"/>
  <c r="I8088" i="34"/>
  <c r="I8083" i="34"/>
  <c r="I8078" i="34"/>
  <c r="I8077" i="34"/>
  <c r="I8075" i="34"/>
  <c r="I8074" i="34"/>
  <c r="I8072" i="34"/>
  <c r="I8071" i="34"/>
  <c r="I8068" i="34"/>
  <c r="I8067" i="34"/>
  <c r="I8066" i="34"/>
  <c r="I8065" i="34"/>
  <c r="I8064" i="34"/>
  <c r="I8063" i="34"/>
  <c r="I8062" i="34"/>
  <c r="I8061" i="34"/>
  <c r="I8060" i="34"/>
  <c r="I8059" i="34"/>
  <c r="I8058" i="34"/>
  <c r="I8057" i="34"/>
  <c r="I8056" i="34"/>
  <c r="I8055" i="34"/>
  <c r="I8054" i="34"/>
  <c r="I8053" i="34"/>
  <c r="I8052" i="34"/>
  <c r="I8051" i="34"/>
  <c r="I8050" i="34"/>
  <c r="I8049" i="34"/>
  <c r="I8048" i="34"/>
  <c r="I8047" i="34"/>
  <c r="I8046" i="34"/>
  <c r="I8045" i="34"/>
  <c r="I8044" i="34"/>
  <c r="I8043" i="34"/>
  <c r="I8042" i="34"/>
  <c r="I8041" i="34"/>
  <c r="I8040" i="34"/>
  <c r="I8039" i="34"/>
  <c r="I8038" i="34"/>
  <c r="I8037" i="34"/>
  <c r="I8036" i="34"/>
  <c r="I8035" i="34"/>
  <c r="I8034" i="34"/>
  <c r="I8033" i="34"/>
  <c r="I8032" i="34"/>
  <c r="I8031" i="34"/>
  <c r="I8030" i="34"/>
  <c r="I8029" i="34"/>
  <c r="I8028" i="34"/>
  <c r="I8027" i="34"/>
  <c r="I8026" i="34"/>
  <c r="I8025" i="34"/>
  <c r="I8024" i="34"/>
  <c r="I8023" i="34"/>
  <c r="I8022" i="34"/>
  <c r="I8021" i="34"/>
  <c r="I8020" i="34"/>
  <c r="I8019" i="34"/>
  <c r="I8018" i="34"/>
  <c r="I8017" i="34"/>
  <c r="I8016" i="34"/>
  <c r="I8015" i="34"/>
  <c r="I8014" i="34"/>
  <c r="I8013" i="34"/>
  <c r="I8012" i="34"/>
  <c r="I8011" i="34"/>
  <c r="I8010" i="34"/>
  <c r="I8009" i="34"/>
  <c r="I8008" i="34"/>
  <c r="I8007" i="34"/>
  <c r="I8006" i="34"/>
  <c r="I8005" i="34"/>
  <c r="I8004" i="34"/>
  <c r="I8003" i="34"/>
  <c r="I8002" i="34"/>
  <c r="I8001" i="34"/>
  <c r="I8000" i="34"/>
  <c r="I7999" i="34"/>
  <c r="I7998" i="34"/>
  <c r="I7997" i="34"/>
  <c r="I7996" i="34"/>
  <c r="I7995" i="34"/>
  <c r="I7994" i="34"/>
  <c r="I7993" i="34"/>
  <c r="I7992" i="34"/>
  <c r="I7991" i="34"/>
  <c r="I7990" i="34"/>
  <c r="I7988" i="34"/>
  <c r="I7987" i="34"/>
  <c r="I7986" i="34"/>
  <c r="I7985" i="34"/>
  <c r="I7984" i="34"/>
  <c r="I7983" i="34"/>
  <c r="I7982" i="34"/>
  <c r="I7981" i="34"/>
  <c r="I7980" i="34"/>
  <c r="I7979" i="34"/>
  <c r="I7978" i="34"/>
  <c r="I7977" i="34"/>
  <c r="I7976" i="34"/>
  <c r="I7975" i="34"/>
  <c r="I7974" i="34"/>
  <c r="I7973" i="34"/>
  <c r="I7972" i="34"/>
  <c r="I7971" i="34"/>
  <c r="I7970" i="34"/>
  <c r="I7969" i="34"/>
  <c r="I7968" i="34"/>
  <c r="I7967" i="34"/>
  <c r="I7966" i="34"/>
  <c r="I7965" i="34"/>
  <c r="I7964" i="34"/>
  <c r="I7963" i="34"/>
  <c r="I7962" i="34"/>
  <c r="I7961" i="34"/>
  <c r="I7960" i="34"/>
  <c r="I7959" i="34"/>
  <c r="I7958" i="34"/>
  <c r="I7957" i="34"/>
  <c r="I7956" i="34"/>
  <c r="I7955" i="34"/>
  <c r="I7954" i="34"/>
  <c r="I7953" i="34"/>
  <c r="I7952" i="34"/>
  <c r="I7951" i="34"/>
  <c r="I7950" i="34"/>
  <c r="I7949" i="34"/>
  <c r="I7948" i="34"/>
  <c r="I7947" i="34"/>
  <c r="I7946" i="34"/>
  <c r="I7945" i="34"/>
  <c r="I7944" i="34"/>
  <c r="I7943" i="34"/>
  <c r="I7942" i="34"/>
  <c r="I7941" i="34"/>
  <c r="I7940" i="34"/>
  <c r="I7939" i="34"/>
  <c r="I7938" i="34"/>
  <c r="I7937" i="34"/>
  <c r="I7936" i="34"/>
  <c r="I7935" i="34"/>
  <c r="I7934" i="34"/>
  <c r="I7933" i="34"/>
  <c r="I7932" i="34"/>
  <c r="I7931" i="34"/>
  <c r="I7930" i="34"/>
  <c r="I7929" i="34"/>
  <c r="I7928" i="34"/>
  <c r="I7927" i="34"/>
  <c r="I7926" i="34"/>
  <c r="I7925" i="34"/>
  <c r="I7924" i="34"/>
  <c r="I7923" i="34"/>
  <c r="I7922" i="34"/>
  <c r="I7921" i="34"/>
  <c r="I7920" i="34"/>
  <c r="I7919" i="34"/>
  <c r="I7918" i="34"/>
  <c r="I7917" i="34"/>
  <c r="I7916" i="34"/>
  <c r="I7915" i="34"/>
  <c r="I7914" i="34"/>
  <c r="I7913" i="34"/>
  <c r="I7912" i="34"/>
  <c r="I7911" i="34"/>
  <c r="I7910" i="34"/>
  <c r="I7909" i="34"/>
  <c r="I7908" i="34"/>
  <c r="I7907" i="34"/>
  <c r="I7906" i="34"/>
  <c r="I7905" i="34"/>
  <c r="I7904" i="34"/>
  <c r="I7903" i="34"/>
  <c r="I7902" i="34"/>
  <c r="I7901" i="34"/>
  <c r="I7900" i="34"/>
  <c r="I7899" i="34"/>
  <c r="I7898" i="34"/>
  <c r="I7897" i="34"/>
  <c r="I7896" i="34"/>
  <c r="I7895" i="34"/>
  <c r="I7894" i="34"/>
  <c r="I7893" i="34"/>
  <c r="I7892" i="34"/>
  <c r="I7891" i="34"/>
  <c r="I7890" i="34"/>
  <c r="I7889" i="34"/>
  <c r="I7888" i="34"/>
  <c r="I7887" i="34"/>
  <c r="I7886" i="34"/>
  <c r="I7885" i="34"/>
  <c r="I7884" i="34"/>
  <c r="I7883" i="34"/>
  <c r="I7882" i="34"/>
  <c r="I7881" i="34"/>
  <c r="I7880" i="34"/>
  <c r="I7879" i="34"/>
  <c r="I7878" i="34"/>
  <c r="I7877" i="34"/>
  <c r="I7876" i="34"/>
  <c r="I7875" i="34"/>
  <c r="I7874" i="34"/>
  <c r="I7873" i="34"/>
  <c r="I7872" i="34"/>
  <c r="I7871" i="34"/>
  <c r="I7870" i="34"/>
  <c r="I7869" i="34"/>
  <c r="I7868" i="34"/>
  <c r="I7867" i="34"/>
  <c r="I7866" i="34"/>
  <c r="I7865" i="34"/>
  <c r="I7864" i="34"/>
  <c r="I7863" i="34"/>
  <c r="I7862" i="34"/>
  <c r="I7861" i="34"/>
  <c r="I7860" i="34"/>
  <c r="I7859" i="34"/>
  <c r="I7858" i="34"/>
  <c r="I7857" i="34"/>
  <c r="I7856" i="34"/>
  <c r="I7855" i="34"/>
  <c r="I7854" i="34"/>
  <c r="I7853" i="34"/>
  <c r="I7852" i="34"/>
  <c r="I7851" i="34"/>
  <c r="I7850" i="34"/>
  <c r="I7849" i="34"/>
  <c r="I7848" i="34"/>
  <c r="I7847" i="34"/>
  <c r="I7846" i="34"/>
  <c r="I7845" i="34"/>
  <c r="I7844" i="34"/>
  <c r="I7843" i="34"/>
  <c r="I7842" i="34"/>
  <c r="I7841" i="34"/>
  <c r="I7840" i="34"/>
  <c r="I7839" i="34"/>
  <c r="I7838" i="34"/>
  <c r="I7837" i="34"/>
  <c r="I7836" i="34"/>
  <c r="I7835" i="34"/>
  <c r="I7834" i="34"/>
  <c r="I7833" i="34"/>
  <c r="I7832" i="34"/>
  <c r="I7831" i="34"/>
  <c r="I7830" i="34"/>
  <c r="I7829" i="34"/>
  <c r="I7828" i="34"/>
  <c r="I7827" i="34"/>
  <c r="I7826" i="34"/>
  <c r="I7825" i="34"/>
  <c r="I7824" i="34"/>
  <c r="I7823" i="34"/>
  <c r="I7822" i="34"/>
  <c r="I7821" i="34"/>
  <c r="I7820" i="34"/>
  <c r="I7819" i="34"/>
  <c r="I7818" i="34"/>
  <c r="I7817" i="34"/>
  <c r="I7816" i="34"/>
  <c r="I7815" i="34"/>
  <c r="I7814" i="34"/>
  <c r="I7813" i="34"/>
  <c r="I7812" i="34"/>
  <c r="I7811" i="34"/>
  <c r="I7810" i="34"/>
  <c r="I7809" i="34"/>
  <c r="I7808" i="34"/>
  <c r="I7807" i="34"/>
  <c r="I7806" i="34"/>
  <c r="I7805" i="34"/>
  <c r="I7804" i="34"/>
  <c r="I7803" i="34"/>
  <c r="I7802" i="34"/>
  <c r="I7801" i="34"/>
  <c r="I7800" i="34"/>
  <c r="I7799" i="34"/>
  <c r="I7798" i="34"/>
  <c r="I7797" i="34"/>
  <c r="I7796" i="34"/>
  <c r="I7795" i="34"/>
  <c r="I7794" i="34"/>
  <c r="I7793" i="34"/>
  <c r="I7792" i="34"/>
  <c r="I7791" i="34"/>
  <c r="I7790" i="34"/>
  <c r="I7789" i="34"/>
  <c r="I7788" i="34"/>
  <c r="I7787" i="34"/>
  <c r="I7786" i="34"/>
  <c r="I7785" i="34"/>
  <c r="I7784" i="34"/>
  <c r="I7783" i="34"/>
  <c r="I7782" i="34"/>
  <c r="I7781" i="34"/>
  <c r="I7780" i="34"/>
  <c r="I7779" i="34"/>
  <c r="I7778" i="34"/>
  <c r="I7777" i="34"/>
  <c r="I7776" i="34"/>
  <c r="I7775" i="34"/>
  <c r="I7774" i="34"/>
  <c r="I7773" i="34"/>
  <c r="I7772" i="34"/>
  <c r="I7771" i="34"/>
  <c r="I7770" i="34"/>
  <c r="I7769" i="34"/>
  <c r="I7768" i="34"/>
  <c r="I7767" i="34"/>
  <c r="I7766" i="34"/>
  <c r="I7765" i="34"/>
  <c r="I7764" i="34"/>
  <c r="I7763" i="34"/>
  <c r="I7762" i="34"/>
  <c r="I7761" i="34"/>
  <c r="I7760" i="34"/>
  <c r="I7759" i="34"/>
  <c r="I7758" i="34"/>
  <c r="I7757" i="34"/>
  <c r="I7756" i="34"/>
  <c r="I7755" i="34"/>
  <c r="I7754" i="34"/>
  <c r="I7753" i="34"/>
  <c r="I7752" i="34"/>
  <c r="I7751" i="34"/>
  <c r="I7750" i="34"/>
  <c r="I7749" i="34"/>
  <c r="I7748" i="34"/>
  <c r="I7747" i="34"/>
  <c r="I7746" i="34"/>
  <c r="I7745" i="34"/>
  <c r="I7744" i="34"/>
  <c r="I7743" i="34"/>
  <c r="I7742" i="34"/>
  <c r="I7741" i="34"/>
  <c r="I7740" i="34"/>
  <c r="I7739" i="34"/>
  <c r="I7738" i="34"/>
  <c r="I7737" i="34"/>
  <c r="I7736" i="34"/>
  <c r="I7735" i="34"/>
  <c r="I7734" i="34"/>
  <c r="I7733" i="34"/>
  <c r="I7732" i="34"/>
  <c r="I7731" i="34"/>
  <c r="I7730" i="34"/>
  <c r="I7729" i="34"/>
  <c r="I7728" i="34"/>
  <c r="I7727" i="34"/>
  <c r="I7726" i="34"/>
  <c r="I7725" i="34"/>
  <c r="I7724" i="34"/>
  <c r="I7723" i="34"/>
  <c r="I7722" i="34"/>
  <c r="I7721" i="34"/>
  <c r="I7720" i="34"/>
  <c r="I7719" i="34"/>
  <c r="I7718" i="34"/>
  <c r="I7717" i="34"/>
  <c r="I7716" i="34"/>
  <c r="I7715" i="34"/>
  <c r="I7714" i="34"/>
  <c r="I7712" i="34"/>
  <c r="I7711" i="34"/>
  <c r="I7710" i="34"/>
  <c r="I7709" i="34"/>
  <c r="I7708" i="34"/>
  <c r="I7707" i="34"/>
  <c r="I7706" i="34"/>
  <c r="I7705" i="34"/>
  <c r="I7704" i="34"/>
  <c r="I7703" i="34"/>
  <c r="I7702" i="34"/>
  <c r="I7701" i="34"/>
  <c r="I7700" i="34"/>
  <c r="I7699" i="34"/>
  <c r="I7698" i="34"/>
  <c r="I7697" i="34"/>
  <c r="I7696" i="34"/>
  <c r="I7695" i="34"/>
  <c r="I7694" i="34"/>
  <c r="I7693" i="34"/>
  <c r="I7692" i="34"/>
  <c r="I7691" i="34"/>
  <c r="I7690" i="34"/>
  <c r="I7689" i="34"/>
  <c r="I7688" i="34"/>
  <c r="I7687" i="34"/>
  <c r="I7686" i="34"/>
  <c r="I7685" i="34"/>
  <c r="I7684" i="34"/>
  <c r="I7683" i="34"/>
  <c r="I7682" i="34"/>
  <c r="I7681" i="34"/>
  <c r="I7680" i="34"/>
  <c r="I7679" i="34"/>
  <c r="I7678" i="34"/>
  <c r="I7677" i="34"/>
  <c r="I7676" i="34"/>
  <c r="I7675" i="34"/>
  <c r="I7674" i="34"/>
  <c r="I7673" i="34"/>
  <c r="I7672" i="34"/>
  <c r="I7671" i="34"/>
  <c r="I7670" i="34"/>
  <c r="I7669" i="34"/>
  <c r="I7668" i="34"/>
  <c r="I7667" i="34"/>
  <c r="I7666" i="34"/>
  <c r="I7665" i="34"/>
  <c r="I7664" i="34"/>
  <c r="I7663" i="34"/>
  <c r="I7662" i="34"/>
  <c r="I7661" i="34"/>
  <c r="I7660" i="34"/>
  <c r="I7659" i="34"/>
  <c r="I7658" i="34"/>
  <c r="I7657" i="34"/>
  <c r="I7656" i="34"/>
  <c r="I7655" i="34"/>
  <c r="I7654" i="34"/>
  <c r="I7653" i="34"/>
  <c r="I7652" i="34"/>
  <c r="I7651" i="34"/>
  <c r="I7650" i="34"/>
  <c r="I7649" i="34"/>
  <c r="I7648" i="34"/>
  <c r="I7647" i="34"/>
  <c r="I7646" i="34"/>
  <c r="I7645" i="34"/>
  <c r="I7644" i="34"/>
  <c r="I7643" i="34"/>
  <c r="I7642" i="34"/>
  <c r="I7641" i="34"/>
  <c r="I7640" i="34"/>
  <c r="I7639" i="34"/>
  <c r="I7638" i="34"/>
  <c r="I7637" i="34"/>
  <c r="I7636" i="34"/>
  <c r="I7635" i="34"/>
  <c r="I7634" i="34"/>
  <c r="I7633" i="34"/>
  <c r="I7632" i="34"/>
  <c r="I7631" i="34"/>
  <c r="I7630" i="34"/>
  <c r="I7629" i="34"/>
  <c r="I7628" i="34"/>
  <c r="I7627" i="34"/>
  <c r="I7626" i="34"/>
  <c r="I7625" i="34"/>
  <c r="I7624" i="34"/>
  <c r="I7623" i="34"/>
  <c r="I7622" i="34"/>
  <c r="I7621" i="34"/>
  <c r="I7620" i="34"/>
  <c r="I7619" i="34"/>
  <c r="I7618" i="34"/>
  <c r="I7617" i="34"/>
  <c r="I7616" i="34"/>
  <c r="I7615" i="34"/>
  <c r="I7614" i="34"/>
  <c r="I7613" i="34"/>
  <c r="I7612" i="34"/>
  <c r="I7611" i="34"/>
  <c r="I7610" i="34"/>
  <c r="I7609" i="34"/>
  <c r="I7608" i="34"/>
  <c r="I7607" i="34"/>
  <c r="I7606" i="34"/>
  <c r="I7605" i="34"/>
  <c r="I7604" i="34"/>
  <c r="I7603" i="34"/>
  <c r="I7602" i="34"/>
  <c r="I7601" i="34"/>
  <c r="I7600" i="34"/>
  <c r="I7599" i="34"/>
  <c r="I7598" i="34"/>
  <c r="I7597" i="34"/>
  <c r="I7596" i="34"/>
  <c r="I7595" i="34"/>
  <c r="I7594" i="34"/>
  <c r="I7593" i="34"/>
  <c r="I7592" i="34"/>
  <c r="I7591" i="34"/>
  <c r="I7590" i="34"/>
  <c r="I7589" i="34"/>
  <c r="I7588" i="34"/>
  <c r="I7587" i="34"/>
  <c r="I7586" i="34"/>
  <c r="I7585" i="34"/>
  <c r="I7584" i="34"/>
  <c r="I7583" i="34"/>
  <c r="I7582" i="34"/>
  <c r="I7581" i="34"/>
  <c r="I7580" i="34"/>
  <c r="I7579" i="34"/>
  <c r="I7578" i="34"/>
  <c r="I7577" i="34"/>
  <c r="I7576" i="34"/>
  <c r="I7575" i="34"/>
  <c r="I7574" i="34"/>
  <c r="I7573" i="34"/>
  <c r="I7572" i="34"/>
  <c r="I7571" i="34"/>
  <c r="I7570" i="34"/>
  <c r="I7569" i="34"/>
  <c r="I7568" i="34"/>
  <c r="I7567" i="34"/>
  <c r="I7566" i="34"/>
  <c r="I7565" i="34"/>
  <c r="I7564" i="34"/>
  <c r="I7563" i="34"/>
  <c r="I7562" i="34"/>
  <c r="I7561" i="34"/>
  <c r="I7560" i="34"/>
  <c r="I7559" i="34"/>
  <c r="I7558" i="34"/>
  <c r="I7557" i="34"/>
  <c r="I7556" i="34"/>
  <c r="I7555" i="34"/>
  <c r="I7554" i="34"/>
  <c r="I7553" i="34"/>
  <c r="I7552" i="34"/>
  <c r="I7550" i="34"/>
  <c r="I7549" i="34"/>
  <c r="I7548" i="34"/>
  <c r="I7547" i="34"/>
  <c r="I7546" i="34"/>
  <c r="I7545" i="34"/>
  <c r="I7544" i="34"/>
  <c r="I7543" i="34"/>
  <c r="I7542" i="34"/>
  <c r="I7541" i="34"/>
  <c r="I7540" i="34"/>
  <c r="I7539" i="34"/>
  <c r="I7538" i="34"/>
  <c r="I7537" i="34"/>
  <c r="I7536" i="34"/>
  <c r="I7535" i="34"/>
  <c r="I7534" i="34"/>
  <c r="I7533" i="34"/>
  <c r="I7532" i="34"/>
  <c r="I7531" i="34"/>
  <c r="I7530" i="34"/>
  <c r="I7529" i="34"/>
  <c r="I7528" i="34"/>
  <c r="I7527" i="34"/>
  <c r="I7526" i="34"/>
  <c r="I7525" i="34"/>
  <c r="I7524" i="34"/>
  <c r="I7523" i="34"/>
  <c r="I7522" i="34"/>
  <c r="I7521" i="34"/>
  <c r="I7520" i="34"/>
  <c r="I7519" i="34"/>
  <c r="I7518" i="34"/>
  <c r="I7517" i="34"/>
  <c r="I7516" i="34"/>
  <c r="I7515" i="34"/>
  <c r="I7514" i="34"/>
  <c r="I7513" i="34"/>
  <c r="I7512" i="34"/>
  <c r="I7511" i="34"/>
  <c r="I7510" i="34"/>
  <c r="I7509" i="34"/>
  <c r="I7508" i="34"/>
  <c r="I7507" i="34"/>
  <c r="I7506" i="34"/>
  <c r="I7505" i="34"/>
  <c r="I7504" i="34"/>
  <c r="I7503" i="34"/>
  <c r="I7502" i="34"/>
  <c r="I7501" i="34"/>
  <c r="I7500" i="34"/>
  <c r="I7499" i="34"/>
  <c r="I7498" i="34"/>
  <c r="I7497" i="34"/>
  <c r="I7496" i="34"/>
  <c r="I7495" i="34"/>
  <c r="I7494" i="34"/>
  <c r="I7493" i="34"/>
  <c r="I7492" i="34"/>
  <c r="I7491" i="34"/>
  <c r="I7490" i="34"/>
  <c r="I7489" i="34"/>
  <c r="I7488" i="34"/>
  <c r="I7487" i="34"/>
  <c r="I7486" i="34"/>
  <c r="I7485" i="34"/>
  <c r="I7484" i="34"/>
  <c r="I7483" i="34"/>
  <c r="I7482" i="34"/>
  <c r="I7481" i="34"/>
  <c r="I7480" i="34"/>
  <c r="I7479" i="34"/>
  <c r="I7478" i="34"/>
  <c r="I7477" i="34"/>
  <c r="I7476" i="34"/>
  <c r="I7475" i="34"/>
  <c r="I7474" i="34"/>
  <c r="I7473" i="34"/>
  <c r="I7472" i="34"/>
  <c r="I7471" i="34"/>
  <c r="I7470" i="34"/>
  <c r="I7469" i="34"/>
  <c r="I7468" i="34"/>
  <c r="I7467" i="34"/>
  <c r="I7466" i="34"/>
  <c r="I7465" i="34"/>
  <c r="I7464" i="34"/>
  <c r="I7462" i="34"/>
  <c r="I7461" i="34"/>
  <c r="I7460" i="34"/>
  <c r="I7459" i="34"/>
  <c r="I7458" i="34"/>
  <c r="I7457" i="34"/>
  <c r="I7456" i="34"/>
  <c r="I7455" i="34"/>
  <c r="I7454" i="34"/>
  <c r="I7453" i="34"/>
  <c r="I7452" i="34"/>
  <c r="I7446" i="34"/>
  <c r="I7445" i="34"/>
  <c r="I7444" i="34"/>
  <c r="I7443" i="34"/>
  <c r="I7438" i="34"/>
  <c r="I7437" i="34"/>
  <c r="I7436" i="34"/>
  <c r="I7435" i="34"/>
  <c r="I7434" i="34"/>
  <c r="I7433" i="34"/>
  <c r="I7432" i="34"/>
  <c r="I7431" i="34"/>
  <c r="I7430" i="34"/>
  <c r="I7429" i="34"/>
  <c r="I7428" i="34"/>
  <c r="I7427" i="34"/>
  <c r="I7425" i="34"/>
  <c r="I7423" i="34"/>
  <c r="I7417" i="34"/>
  <c r="I7414" i="34"/>
  <c r="I7352" i="34"/>
  <c r="I7351" i="34"/>
  <c r="I6974" i="34"/>
  <c r="I6975" i="34"/>
  <c r="I6976" i="34"/>
  <c r="I6977" i="34"/>
  <c r="I6978" i="34"/>
  <c r="I5821" i="34"/>
  <c r="I5822" i="34"/>
  <c r="I5824" i="34"/>
  <c r="I5827" i="34"/>
  <c r="I5831" i="34"/>
  <c r="I5832" i="34"/>
  <c r="I5843" i="34"/>
  <c r="I5844" i="34"/>
  <c r="I5846" i="34"/>
  <c r="I5848" i="34"/>
  <c r="I5851" i="34"/>
  <c r="I5860" i="34"/>
  <c r="I5861" i="34"/>
  <c r="I5869" i="34"/>
  <c r="I5880" i="34"/>
  <c r="I5881" i="34"/>
  <c r="I5894" i="34"/>
  <c r="I5907" i="34"/>
  <c r="I5909" i="34"/>
  <c r="I5911" i="34"/>
  <c r="I5921" i="34"/>
  <c r="I5922" i="34"/>
  <c r="I5924" i="34"/>
  <c r="I5928" i="34"/>
  <c r="I5939" i="34"/>
  <c r="I5945" i="34"/>
  <c r="I5946" i="34"/>
  <c r="I5947" i="34"/>
  <c r="I5948" i="34"/>
  <c r="I5949" i="34"/>
  <c r="I5950" i="34"/>
  <c r="I5951" i="34"/>
  <c r="I5952" i="34"/>
  <c r="I5953" i="34"/>
  <c r="I5955" i="34"/>
  <c r="I5957" i="34"/>
  <c r="I5958" i="34"/>
  <c r="I5959" i="34"/>
  <c r="I5960" i="34"/>
  <c r="I5965" i="34"/>
  <c r="I5966" i="34"/>
  <c r="I5967" i="34"/>
  <c r="I5968" i="34"/>
  <c r="I5969" i="34"/>
  <c r="I5970" i="34"/>
  <c r="I5972" i="34"/>
  <c r="I5973" i="34"/>
  <c r="I5974" i="34"/>
  <c r="I5975" i="34"/>
  <c r="I5976" i="34"/>
  <c r="I5977" i="34"/>
  <c r="I5978" i="34"/>
  <c r="I5979" i="34"/>
  <c r="I5980" i="34"/>
  <c r="I5981" i="34"/>
  <c r="I5982" i="34"/>
  <c r="I5983" i="34"/>
  <c r="I5984" i="34"/>
  <c r="I5985" i="34"/>
  <c r="I5986" i="34"/>
  <c r="I5987" i="34"/>
  <c r="I5988" i="34"/>
  <c r="I5989" i="34"/>
  <c r="I5990" i="34"/>
  <c r="I5992" i="34"/>
  <c r="I5993" i="34"/>
  <c r="I5994" i="34"/>
  <c r="I5995" i="34"/>
  <c r="I5996" i="34"/>
  <c r="I5997" i="34"/>
  <c r="I5998" i="34"/>
  <c r="I5999" i="34"/>
  <c r="I6000" i="34"/>
  <c r="I6001" i="34"/>
  <c r="I6002" i="34"/>
  <c r="I6003" i="34"/>
  <c r="I6004" i="34"/>
  <c r="I6005" i="34"/>
  <c r="I6006" i="34"/>
  <c r="I6007" i="34"/>
  <c r="I6008" i="34"/>
  <c r="I6009" i="34"/>
  <c r="I6010" i="34"/>
  <c r="I6011" i="34"/>
  <c r="I6012" i="34"/>
  <c r="I6013" i="34"/>
  <c r="I6014" i="34"/>
  <c r="I6015" i="34"/>
  <c r="I6016" i="34"/>
  <c r="I6017" i="34"/>
  <c r="I6018" i="34"/>
  <c r="I6019" i="34"/>
  <c r="I6020" i="34"/>
  <c r="I6021" i="34"/>
  <c r="I6022" i="34"/>
  <c r="I6023" i="34"/>
  <c r="I6024" i="34"/>
  <c r="I6025" i="34"/>
  <c r="I6026" i="34"/>
  <c r="I6027" i="34"/>
  <c r="I6028" i="34"/>
  <c r="I6029" i="34"/>
  <c r="I6030" i="34"/>
  <c r="I6031" i="34"/>
  <c r="I6032" i="34"/>
  <c r="I6033" i="34"/>
  <c r="I6034" i="34"/>
  <c r="I6035" i="34"/>
  <c r="I6036" i="34"/>
  <c r="I6037" i="34"/>
  <c r="I6038" i="34"/>
  <c r="I6039" i="34"/>
  <c r="I6040" i="34"/>
  <c r="I6041" i="34"/>
  <c r="I6042" i="34"/>
  <c r="I6043" i="34"/>
  <c r="I6044" i="34"/>
  <c r="I6045" i="34"/>
  <c r="I6046" i="34"/>
  <c r="I6047" i="34"/>
  <c r="I6048" i="34"/>
  <c r="I6049" i="34"/>
  <c r="I6050" i="34"/>
  <c r="I6051" i="34"/>
  <c r="I6052" i="34"/>
  <c r="I6053" i="34"/>
  <c r="I6054" i="34"/>
  <c r="I6055" i="34"/>
  <c r="I6056" i="34"/>
  <c r="I6057" i="34"/>
  <c r="I6058" i="34"/>
  <c r="I6059" i="34"/>
  <c r="I6060" i="34"/>
  <c r="I6061" i="34"/>
  <c r="I6062" i="34"/>
  <c r="I6063" i="34"/>
  <c r="I6064" i="34"/>
  <c r="I6065" i="34"/>
  <c r="I6066" i="34"/>
  <c r="I6067" i="34"/>
  <c r="I6068" i="34"/>
  <c r="I6069" i="34"/>
  <c r="I6070" i="34"/>
  <c r="I6071" i="34"/>
  <c r="I6072" i="34"/>
  <c r="I6073" i="34"/>
  <c r="I6074" i="34"/>
  <c r="I6075" i="34"/>
  <c r="I6076" i="34"/>
  <c r="I6077" i="34"/>
  <c r="I6078" i="34"/>
  <c r="I6079" i="34"/>
  <c r="I6080" i="34"/>
  <c r="I6081" i="34"/>
  <c r="I6082" i="34"/>
  <c r="I6083" i="34"/>
  <c r="I6084" i="34"/>
  <c r="I6085" i="34"/>
  <c r="I6086" i="34"/>
  <c r="I6087" i="34"/>
  <c r="I6088" i="34"/>
  <c r="I6089" i="34"/>
  <c r="I6090" i="34"/>
  <c r="I6091" i="34"/>
  <c r="I6092" i="34"/>
  <c r="I6093" i="34"/>
  <c r="I6094" i="34"/>
  <c r="I6095" i="34"/>
  <c r="I6096" i="34"/>
  <c r="I6097" i="34"/>
  <c r="I6098" i="34"/>
  <c r="I6099" i="34"/>
  <c r="I6100" i="34"/>
  <c r="I6101" i="34"/>
  <c r="I6102" i="34"/>
  <c r="I6103" i="34"/>
  <c r="I6104" i="34"/>
  <c r="I6105" i="34"/>
  <c r="I6106" i="34"/>
  <c r="I6107" i="34"/>
  <c r="I6108" i="34"/>
  <c r="I6109" i="34"/>
  <c r="I6110" i="34"/>
  <c r="I6111" i="34"/>
  <c r="I6112" i="34"/>
  <c r="I6113" i="34"/>
  <c r="I6114" i="34"/>
  <c r="I6115" i="34"/>
  <c r="I6116" i="34"/>
  <c r="I6117" i="34"/>
  <c r="I6118" i="34"/>
  <c r="I6119" i="34"/>
  <c r="I6120" i="34"/>
  <c r="I6121" i="34"/>
  <c r="I6122" i="34"/>
  <c r="I6123" i="34"/>
  <c r="I6124" i="34"/>
  <c r="I6125" i="34"/>
  <c r="I6126" i="34"/>
  <c r="I6127" i="34"/>
  <c r="I6128" i="34"/>
  <c r="I6129" i="34"/>
  <c r="I6130" i="34"/>
  <c r="I6131" i="34"/>
  <c r="I6132" i="34"/>
  <c r="I6133" i="34"/>
  <c r="I6134" i="34"/>
  <c r="I6135" i="34"/>
  <c r="I6136" i="34"/>
  <c r="I6137" i="34"/>
  <c r="I6138" i="34"/>
  <c r="I6139" i="34"/>
  <c r="I6140" i="34"/>
  <c r="I6141" i="34"/>
  <c r="I6142" i="34"/>
  <c r="I6143" i="34"/>
  <c r="I6144" i="34"/>
  <c r="I6145" i="34"/>
  <c r="I6146" i="34"/>
  <c r="I6147" i="34"/>
  <c r="I6148" i="34"/>
  <c r="I6149" i="34"/>
  <c r="I6150" i="34"/>
  <c r="I6151" i="34"/>
  <c r="I6152" i="34"/>
  <c r="I6153" i="34"/>
  <c r="I6154" i="34"/>
  <c r="I6155" i="34"/>
  <c r="I6156" i="34"/>
  <c r="I6157" i="34"/>
  <c r="I6158" i="34"/>
  <c r="I6159" i="34"/>
  <c r="I6160" i="34"/>
  <c r="I6161" i="34"/>
  <c r="I6162" i="34"/>
  <c r="I6163" i="34"/>
  <c r="I6164" i="34"/>
  <c r="I6165" i="34"/>
  <c r="I6166" i="34"/>
  <c r="I6167" i="34"/>
  <c r="I6168" i="34"/>
  <c r="I6169" i="34"/>
  <c r="I6170" i="34"/>
  <c r="I6171" i="34"/>
  <c r="I6172" i="34"/>
  <c r="I6173" i="34"/>
  <c r="I6174" i="34"/>
  <c r="I6175" i="34"/>
  <c r="I6176" i="34"/>
  <c r="I6177" i="34"/>
  <c r="I6178" i="34"/>
  <c r="I6179" i="34"/>
  <c r="I6180" i="34"/>
  <c r="I6181" i="34"/>
  <c r="I6182" i="34"/>
  <c r="I6183" i="34"/>
  <c r="I6184" i="34"/>
  <c r="I6185" i="34"/>
  <c r="I6186" i="34"/>
  <c r="I6187" i="34"/>
  <c r="I6188" i="34"/>
  <c r="I6189" i="34"/>
  <c r="I6190" i="34"/>
  <c r="I6191" i="34"/>
  <c r="I6192" i="34"/>
  <c r="I6193" i="34"/>
  <c r="I6194" i="34"/>
  <c r="I6195" i="34"/>
  <c r="I6196" i="34"/>
  <c r="I6197" i="34"/>
  <c r="I6198" i="34"/>
  <c r="I6199" i="34"/>
  <c r="I6200" i="34"/>
  <c r="I6201" i="34"/>
  <c r="I6202" i="34"/>
  <c r="I6203" i="34"/>
  <c r="I6204" i="34"/>
  <c r="I6205" i="34"/>
  <c r="I6206" i="34"/>
  <c r="I6207" i="34"/>
  <c r="I6208" i="34"/>
  <c r="I6209" i="34"/>
  <c r="I6210" i="34"/>
  <c r="I6211" i="34"/>
  <c r="I6212" i="34"/>
  <c r="I6213" i="34"/>
  <c r="I6214" i="34"/>
  <c r="I6215" i="34"/>
  <c r="I6216" i="34"/>
  <c r="I6217" i="34"/>
  <c r="I6218" i="34"/>
  <c r="I6219" i="34"/>
  <c r="I6220" i="34"/>
  <c r="I6222" i="34"/>
  <c r="I6223" i="34"/>
  <c r="I6224" i="34"/>
  <c r="I6225" i="34"/>
  <c r="I6226" i="34"/>
  <c r="I6227" i="34"/>
  <c r="I6228" i="34"/>
  <c r="I6229" i="34"/>
  <c r="I6230" i="34"/>
  <c r="I6231" i="34"/>
  <c r="I6232" i="34"/>
  <c r="I6233" i="34"/>
  <c r="I6234" i="34"/>
  <c r="I6235" i="34"/>
  <c r="I6236" i="34"/>
  <c r="I6237" i="34"/>
  <c r="I6238" i="34"/>
  <c r="I6239" i="34"/>
  <c r="I6240" i="34"/>
  <c r="I6241" i="34"/>
  <c r="I6242" i="34"/>
  <c r="I6243" i="34"/>
  <c r="I6244" i="34"/>
  <c r="I6245" i="34"/>
  <c r="I6246" i="34"/>
  <c r="I6247" i="34"/>
  <c r="I6248" i="34"/>
  <c r="I6249" i="34"/>
  <c r="I6250" i="34"/>
  <c r="I6251" i="34"/>
  <c r="I6252" i="34"/>
  <c r="I6253" i="34"/>
  <c r="I6254" i="34"/>
  <c r="I6255" i="34"/>
  <c r="I6256" i="34"/>
  <c r="I6257" i="34"/>
  <c r="I6258" i="34"/>
  <c r="I6259" i="34"/>
  <c r="I6260" i="34"/>
  <c r="I6261" i="34"/>
  <c r="I6262" i="34"/>
  <c r="I6263" i="34"/>
  <c r="I6264" i="34"/>
  <c r="I6265" i="34"/>
  <c r="I6266" i="34"/>
  <c r="I6267" i="34"/>
  <c r="I6268" i="34"/>
  <c r="I6269" i="34"/>
  <c r="I6270" i="34"/>
  <c r="I6271" i="34"/>
  <c r="I6272" i="34"/>
  <c r="I6273" i="34"/>
  <c r="I6274" i="34"/>
  <c r="I6275" i="34"/>
  <c r="I6276" i="34"/>
  <c r="I6277" i="34"/>
  <c r="I6278" i="34"/>
  <c r="I6279" i="34"/>
  <c r="I6280" i="34"/>
  <c r="I6281" i="34"/>
  <c r="I6282" i="34"/>
  <c r="I6283" i="34"/>
  <c r="I6284" i="34"/>
  <c r="I6285" i="34"/>
  <c r="I6286" i="34"/>
  <c r="I6287" i="34"/>
  <c r="I6288" i="34"/>
  <c r="I6289" i="34"/>
  <c r="I6290" i="34"/>
  <c r="I6291" i="34"/>
  <c r="I6292" i="34"/>
  <c r="I6293" i="34"/>
  <c r="I6294" i="34"/>
  <c r="I6295" i="34"/>
  <c r="I6296" i="34"/>
  <c r="I6297" i="34"/>
  <c r="I6298" i="34"/>
  <c r="I6299" i="34"/>
  <c r="I6300" i="34"/>
  <c r="I6301" i="34"/>
  <c r="I6302" i="34"/>
  <c r="I6303" i="34"/>
  <c r="I6304" i="34"/>
  <c r="I6305" i="34"/>
  <c r="I6306" i="34"/>
  <c r="I6307" i="34"/>
  <c r="I6308" i="34"/>
  <c r="I6309" i="34"/>
  <c r="I6310" i="34"/>
  <c r="I6311" i="34"/>
  <c r="I6312" i="34"/>
  <c r="I6313" i="34"/>
  <c r="I6314" i="34"/>
  <c r="I6315" i="34"/>
  <c r="I6316" i="34"/>
  <c r="I6317" i="34"/>
  <c r="I6318" i="34"/>
  <c r="I6319" i="34"/>
  <c r="I6320" i="34"/>
  <c r="I6321" i="34"/>
  <c r="I6322" i="34"/>
  <c r="I6323" i="34"/>
  <c r="I6324" i="34"/>
  <c r="I6325" i="34"/>
  <c r="I6326" i="34"/>
  <c r="I6327" i="34"/>
  <c r="I6328" i="34"/>
  <c r="I6329" i="34"/>
  <c r="I6330" i="34"/>
  <c r="I6331" i="34"/>
  <c r="I6332" i="34"/>
  <c r="I6333" i="34"/>
  <c r="I6334" i="34"/>
  <c r="I6335" i="34"/>
  <c r="I6336" i="34"/>
  <c r="I6337" i="34"/>
  <c r="I6338" i="34"/>
  <c r="I6339" i="34"/>
  <c r="I6340" i="34"/>
  <c r="I6341" i="34"/>
  <c r="I6342" i="34"/>
  <c r="I6344" i="34"/>
  <c r="I6346" i="34"/>
  <c r="I6348" i="34"/>
  <c r="I6349" i="34"/>
  <c r="I6350" i="34"/>
  <c r="I6351" i="34"/>
  <c r="I6352" i="34"/>
  <c r="I6353" i="34"/>
  <c r="I6354" i="34"/>
  <c r="I6355" i="34"/>
  <c r="I6356" i="34"/>
  <c r="I6357" i="34"/>
  <c r="I6358" i="34"/>
  <c r="I6359" i="34"/>
  <c r="I6360" i="34"/>
  <c r="I6361" i="34"/>
  <c r="I6362" i="34"/>
  <c r="I6363" i="34"/>
  <c r="I6364" i="34"/>
  <c r="I6365" i="34"/>
  <c r="I6366" i="34"/>
  <c r="I6367" i="34"/>
  <c r="I6368" i="34"/>
  <c r="I6369" i="34"/>
  <c r="I6370" i="34"/>
  <c r="I6371" i="34"/>
  <c r="I6372" i="34"/>
  <c r="I6373" i="34"/>
  <c r="I6374" i="34"/>
  <c r="I6375" i="34"/>
  <c r="I6376" i="34"/>
  <c r="I6377" i="34"/>
  <c r="I6378" i="34"/>
  <c r="I6379" i="34"/>
  <c r="I6380" i="34"/>
  <c r="I6381" i="34"/>
  <c r="I6382" i="34"/>
  <c r="I6383" i="34"/>
  <c r="I6384" i="34"/>
  <c r="I6385" i="34"/>
  <c r="I6386" i="34"/>
  <c r="I6387" i="34"/>
  <c r="I6388" i="34"/>
  <c r="I6389" i="34"/>
  <c r="I6390" i="34"/>
  <c r="I6391" i="34"/>
  <c r="I6392" i="34"/>
  <c r="I6393" i="34"/>
  <c r="I6394" i="34"/>
  <c r="I6395" i="34"/>
  <c r="I6396" i="34"/>
  <c r="I6397" i="34"/>
  <c r="I6398" i="34"/>
  <c r="I6399" i="34"/>
  <c r="I6400" i="34"/>
  <c r="I6401" i="34"/>
  <c r="I6402" i="34"/>
  <c r="I6403" i="34"/>
  <c r="I6404" i="34"/>
  <c r="I6405" i="34"/>
  <c r="I6406" i="34"/>
  <c r="I6407" i="34"/>
  <c r="I6408" i="34"/>
  <c r="I6409" i="34"/>
  <c r="I6410" i="34"/>
  <c r="I6411" i="34"/>
  <c r="I6412" i="34"/>
  <c r="I6413" i="34"/>
  <c r="I6414" i="34"/>
  <c r="I6415" i="34"/>
  <c r="I6416" i="34"/>
  <c r="I6417" i="34"/>
  <c r="I6418" i="34"/>
  <c r="I6419" i="34"/>
  <c r="I6420" i="34"/>
  <c r="I6421" i="34"/>
  <c r="I6422" i="34"/>
  <c r="I6423" i="34"/>
  <c r="I6424" i="34"/>
  <c r="I6425" i="34"/>
  <c r="I6426" i="34"/>
  <c r="I6427" i="34"/>
  <c r="I6428" i="34"/>
  <c r="I6429" i="34"/>
  <c r="I6430" i="34"/>
  <c r="I6431" i="34"/>
  <c r="I6432" i="34"/>
  <c r="I6433" i="34"/>
  <c r="I6434" i="34"/>
  <c r="I6435" i="34"/>
  <c r="I6436" i="34"/>
  <c r="I6437" i="34"/>
  <c r="I6438" i="34"/>
  <c r="I6439" i="34"/>
  <c r="I6440" i="34"/>
  <c r="I6441" i="34"/>
  <c r="I6442" i="34"/>
  <c r="I6443" i="34"/>
  <c r="I6444" i="34"/>
  <c r="I6445" i="34"/>
  <c r="I6446" i="34"/>
  <c r="I6447" i="34"/>
  <c r="I6448" i="34"/>
  <c r="I6449" i="34"/>
  <c r="I6450" i="34"/>
  <c r="I6451" i="34"/>
  <c r="I6452" i="34"/>
  <c r="I6453" i="34"/>
  <c r="I6454" i="34"/>
  <c r="I6455" i="34"/>
  <c r="I6456" i="34"/>
  <c r="I6457" i="34"/>
  <c r="I6458" i="34"/>
  <c r="I6459" i="34"/>
  <c r="I6460" i="34"/>
  <c r="I6461" i="34"/>
  <c r="I6462" i="34"/>
  <c r="I6463" i="34"/>
  <c r="I6464" i="34"/>
  <c r="I6465" i="34"/>
  <c r="I6466" i="34"/>
  <c r="I6467" i="34"/>
  <c r="I6468" i="34"/>
  <c r="I6469" i="34"/>
  <c r="I6470" i="34"/>
  <c r="I6471" i="34"/>
  <c r="I6472" i="34"/>
  <c r="I6473" i="34"/>
  <c r="I6474" i="34"/>
  <c r="I6475" i="34"/>
  <c r="I6476" i="34"/>
  <c r="I6477" i="34"/>
  <c r="I6478" i="34"/>
  <c r="I6479" i="34"/>
  <c r="I6480" i="34"/>
  <c r="I6481" i="34"/>
  <c r="I6482" i="34"/>
  <c r="I6483" i="34"/>
  <c r="I6484" i="34"/>
  <c r="I6485" i="34"/>
  <c r="I6486" i="34"/>
  <c r="I6487" i="34"/>
  <c r="I6488" i="34"/>
  <c r="I6489" i="34"/>
  <c r="I6490" i="34"/>
  <c r="I6491" i="34"/>
  <c r="I6492" i="34"/>
  <c r="I6493" i="34"/>
  <c r="I6494" i="34"/>
  <c r="I6495" i="34"/>
  <c r="I6496" i="34"/>
  <c r="I6497" i="34"/>
  <c r="I6498" i="34"/>
  <c r="I6499" i="34"/>
  <c r="I6500" i="34"/>
  <c r="I6501" i="34"/>
  <c r="I6502" i="34"/>
  <c r="I6503" i="34"/>
  <c r="I6504" i="34"/>
  <c r="I6505" i="34"/>
  <c r="I6506" i="34"/>
  <c r="I6507" i="34"/>
  <c r="I6508" i="34"/>
  <c r="I6509" i="34"/>
  <c r="I6510" i="34"/>
  <c r="I6511" i="34"/>
  <c r="I6512" i="34"/>
  <c r="I6513" i="34"/>
  <c r="I6514" i="34"/>
  <c r="I6515" i="34"/>
  <c r="I6516" i="34"/>
  <c r="I6517" i="34"/>
  <c r="I6518" i="34"/>
  <c r="I6519" i="34"/>
  <c r="I6520" i="34"/>
  <c r="I6521" i="34"/>
  <c r="I6522" i="34"/>
  <c r="I6542" i="34"/>
  <c r="I6543" i="34"/>
  <c r="I6560" i="34"/>
  <c r="I6561" i="34"/>
  <c r="I6562" i="34"/>
  <c r="I6568" i="34"/>
  <c r="I6577" i="34"/>
  <c r="I6578" i="34"/>
  <c r="I6580" i="34"/>
  <c r="I6582" i="34"/>
  <c r="I6584" i="34"/>
  <c r="I6585" i="34"/>
  <c r="I6684" i="34"/>
  <c r="I6685" i="34"/>
  <c r="I6686" i="34"/>
  <c r="I6694" i="34"/>
  <c r="I6696" i="34"/>
  <c r="I6697" i="34"/>
  <c r="I6704" i="34"/>
  <c r="I6705" i="34"/>
  <c r="I6712" i="34"/>
  <c r="I6713" i="34"/>
  <c r="I6720" i="34"/>
  <c r="I6721" i="34"/>
  <c r="I6728" i="34"/>
  <c r="I6729" i="34"/>
  <c r="I6732" i="34"/>
  <c r="I6733" i="34"/>
  <c r="I6736" i="34"/>
  <c r="I6737" i="34"/>
  <c r="I6738" i="34"/>
  <c r="I6740" i="34"/>
  <c r="I6741" i="34"/>
  <c r="I6743" i="34"/>
  <c r="I6744" i="34"/>
  <c r="I6746" i="34"/>
  <c r="I6747" i="34"/>
  <c r="I6768" i="34"/>
  <c r="I6777" i="34"/>
  <c r="I6792" i="34"/>
  <c r="I6796" i="34"/>
  <c r="I6797" i="34"/>
  <c r="I6803" i="34"/>
  <c r="I6805" i="34"/>
  <c r="I6808" i="34"/>
  <c r="I6809" i="34"/>
  <c r="I6810" i="34"/>
  <c r="I6811" i="34"/>
  <c r="I6812" i="34"/>
  <c r="I6813" i="34"/>
  <c r="I6814" i="34"/>
  <c r="I6815" i="34"/>
  <c r="I6816" i="34"/>
  <c r="I6817" i="34"/>
  <c r="I6819" i="34"/>
  <c r="I6820" i="34"/>
  <c r="I6821" i="34"/>
  <c r="I6822" i="34"/>
  <c r="I6823" i="34"/>
  <c r="I6825" i="34"/>
  <c r="I6828" i="34"/>
  <c r="I6829" i="34"/>
  <c r="I6838" i="34"/>
  <c r="I6839" i="34"/>
  <c r="I6840" i="34"/>
  <c r="I6841" i="34"/>
  <c r="I6842" i="34"/>
  <c r="I6843" i="34"/>
  <c r="I6844" i="34"/>
  <c r="I6845" i="34"/>
  <c r="I6846" i="34"/>
  <c r="I6847" i="34"/>
  <c r="I6856" i="34"/>
  <c r="I6857" i="34"/>
  <c r="I6860" i="34"/>
  <c r="I6861" i="34"/>
  <c r="I6864" i="34"/>
  <c r="I6867" i="34"/>
  <c r="I6872" i="34"/>
  <c r="I6873" i="34"/>
  <c r="I6874" i="34"/>
  <c r="I6875" i="34"/>
  <c r="I6878" i="34"/>
  <c r="I6879" i="34"/>
  <c r="I6880" i="34"/>
  <c r="I6881" i="34"/>
  <c r="I6882" i="34"/>
  <c r="I6883" i="34"/>
  <c r="I6885" i="34"/>
  <c r="I6886" i="34"/>
  <c r="I6887" i="34"/>
  <c r="I6888" i="34"/>
  <c r="I6889" i="34"/>
  <c r="I6892" i="34"/>
  <c r="I6893" i="34"/>
  <c r="I6894" i="34"/>
  <c r="I6895" i="34"/>
  <c r="I6897" i="34"/>
  <c r="I6898" i="34"/>
  <c r="I6899" i="34"/>
  <c r="I6901" i="34"/>
  <c r="I6902" i="34"/>
  <c r="I6903" i="34"/>
  <c r="I6904" i="34"/>
  <c r="I6905" i="34"/>
  <c r="I6906" i="34"/>
  <c r="I6908" i="34"/>
  <c r="I6909" i="34"/>
  <c r="I6910" i="34"/>
  <c r="I6911" i="34"/>
  <c r="I6912" i="34"/>
  <c r="I6913" i="34"/>
  <c r="I6914" i="34"/>
  <c r="I6915" i="34"/>
  <c r="I6917" i="34"/>
  <c r="I6918" i="34"/>
  <c r="I6919" i="34"/>
  <c r="I6920" i="34"/>
  <c r="I6921" i="34"/>
  <c r="I6922" i="34"/>
  <c r="I6923" i="34"/>
  <c r="I6924" i="34"/>
  <c r="I6925" i="34"/>
  <c r="I6926" i="34"/>
  <c r="I6927" i="34"/>
  <c r="I6929" i="34"/>
  <c r="I6930" i="34"/>
  <c r="I6931" i="34"/>
  <c r="I6932" i="34"/>
  <c r="I6933" i="34"/>
  <c r="I6934" i="34"/>
  <c r="I6935" i="34"/>
  <c r="I6936" i="34"/>
  <c r="I6938" i="34"/>
  <c r="I6939" i="34"/>
  <c r="I6941" i="34"/>
  <c r="I6942" i="34"/>
  <c r="I6943" i="34"/>
  <c r="I6944" i="34"/>
  <c r="I6945" i="34"/>
  <c r="I6946" i="34"/>
  <c r="I6947" i="34"/>
  <c r="I6948" i="34"/>
  <c r="I6949" i="34"/>
  <c r="I6950" i="34"/>
  <c r="I6951" i="34"/>
  <c r="I6952" i="34"/>
  <c r="I6953" i="34"/>
  <c r="I6954" i="34"/>
  <c r="I6955" i="34"/>
  <c r="I6957" i="34"/>
  <c r="I6958" i="34"/>
  <c r="I6961" i="34"/>
  <c r="I6962" i="34"/>
  <c r="I6963" i="34"/>
  <c r="I6964" i="34"/>
  <c r="I6966" i="34"/>
  <c r="I6968" i="34"/>
  <c r="I5805" i="34"/>
  <c r="I5804" i="34"/>
  <c r="I5803" i="34"/>
  <c r="I5802" i="34"/>
  <c r="I5801" i="34"/>
  <c r="I5800" i="34"/>
  <c r="I5799" i="34"/>
  <c r="I5798" i="34"/>
  <c r="I5797" i="34"/>
  <c r="I5796" i="34"/>
  <c r="I5795" i="34"/>
  <c r="I5794" i="34"/>
  <c r="I5793" i="34"/>
  <c r="I5792" i="34"/>
  <c r="I5791" i="34"/>
  <c r="I5790" i="34"/>
  <c r="I5789" i="34"/>
  <c r="I5788" i="34"/>
  <c r="I5787" i="34"/>
  <c r="I5786" i="34"/>
  <c r="I5782" i="34"/>
  <c r="I5781" i="34"/>
  <c r="I5780" i="34"/>
  <c r="I5779" i="34"/>
  <c r="I5778" i="34"/>
  <c r="I5777" i="34"/>
  <c r="I5776" i="34"/>
  <c r="I5775" i="34"/>
  <c r="I5774" i="34"/>
  <c r="I5773" i="34"/>
  <c r="I5772" i="34"/>
  <c r="I5761" i="34"/>
  <c r="I5760" i="34"/>
  <c r="I5759" i="34"/>
  <c r="I5758" i="34"/>
  <c r="I5752" i="34"/>
  <c r="I5751" i="34"/>
  <c r="I5750" i="34"/>
  <c r="I5749" i="34"/>
  <c r="I5748" i="34"/>
  <c r="I5747" i="34"/>
  <c r="I5746" i="34"/>
  <c r="I5745" i="34"/>
  <c r="I5744" i="34"/>
  <c r="I5743" i="34"/>
  <c r="I5724" i="34"/>
  <c r="I5723" i="34"/>
  <c r="I5722" i="34"/>
  <c r="I5721" i="34"/>
  <c r="I5720" i="34"/>
  <c r="I5710" i="34"/>
  <c r="I5709" i="34"/>
  <c r="I5708" i="34"/>
  <c r="I5707" i="34"/>
  <c r="I5706" i="34"/>
  <c r="I5700" i="34"/>
  <c r="I5699" i="34"/>
  <c r="I5698" i="34"/>
  <c r="I5697" i="34"/>
  <c r="I5696" i="34"/>
  <c r="I5695" i="34"/>
  <c r="I5694" i="34"/>
  <c r="I5693" i="34"/>
  <c r="I5692" i="34"/>
  <c r="I5691" i="34"/>
  <c r="I5690" i="34"/>
  <c r="I5682" i="34"/>
  <c r="I5681" i="34"/>
  <c r="I5680" i="34"/>
  <c r="I5679" i="34"/>
  <c r="I5678" i="34"/>
  <c r="I5677" i="34"/>
  <c r="I5676" i="34"/>
  <c r="I5675" i="34"/>
  <c r="I5674" i="34"/>
  <c r="I5673" i="34"/>
  <c r="I5672" i="34"/>
  <c r="I5671" i="34"/>
  <c r="I5670" i="34"/>
  <c r="I5669" i="34"/>
  <c r="I5668" i="34"/>
  <c r="I5667" i="34"/>
  <c r="I5666" i="34"/>
  <c r="I5665" i="34"/>
  <c r="I5664" i="34"/>
  <c r="I5663" i="34"/>
  <c r="I5662" i="34"/>
  <c r="I5661" i="34"/>
  <c r="I5660" i="34"/>
  <c r="I5659" i="34"/>
  <c r="I5658" i="34"/>
  <c r="I5657" i="34"/>
  <c r="I5656" i="34"/>
  <c r="I5655" i="34"/>
  <c r="I5654" i="34"/>
  <c r="I5653" i="34"/>
  <c r="I5652" i="34"/>
  <c r="I5651" i="34"/>
  <c r="I5650" i="34"/>
  <c r="I5649" i="34"/>
  <c r="I5648" i="34"/>
  <c r="I5647" i="34"/>
  <c r="I5646" i="34"/>
  <c r="I5645" i="34"/>
  <c r="I5644" i="34"/>
  <c r="I5643" i="34"/>
  <c r="I5642" i="34"/>
  <c r="I5641" i="34"/>
  <c r="I5640" i="34"/>
  <c r="I5639" i="34"/>
  <c r="I5638" i="34"/>
  <c r="I5637" i="34"/>
  <c r="I5636" i="34"/>
  <c r="I5635" i="34"/>
  <c r="I5634" i="34"/>
  <c r="I5633" i="34"/>
  <c r="I5632" i="34"/>
  <c r="I5631" i="34"/>
  <c r="I5630" i="34"/>
  <c r="I5629" i="34"/>
  <c r="I5628" i="34"/>
  <c r="I5627" i="34"/>
  <c r="I5626" i="34"/>
  <c r="I5625" i="34"/>
  <c r="I5624" i="34"/>
  <c r="I5623" i="34"/>
  <c r="I5622" i="34"/>
  <c r="I5621" i="34"/>
  <c r="I5620" i="34"/>
  <c r="I5619" i="34"/>
  <c r="I5618" i="34"/>
  <c r="I5617" i="34"/>
  <c r="I5616" i="34"/>
  <c r="I5615" i="34"/>
  <c r="I5614" i="34"/>
  <c r="I5613" i="34"/>
  <c r="I5612" i="34"/>
  <c r="I5611" i="34"/>
  <c r="I5610" i="34"/>
  <c r="I5609" i="34"/>
  <c r="I5608" i="34"/>
  <c r="I5607" i="34"/>
  <c r="I5606" i="34"/>
  <c r="I5605" i="34"/>
  <c r="I5604" i="34"/>
  <c r="I5603" i="34"/>
  <c r="I5602" i="34"/>
  <c r="I5601" i="34"/>
  <c r="I5600" i="34"/>
  <c r="I5599" i="34"/>
  <c r="I5598" i="34"/>
  <c r="I5597" i="34"/>
  <c r="I5596" i="34"/>
  <c r="I5595" i="34"/>
  <c r="I5594" i="34"/>
  <c r="I5593" i="34"/>
  <c r="I5592" i="34"/>
  <c r="I5591" i="34"/>
  <c r="I5590" i="34"/>
  <c r="I5589" i="34"/>
  <c r="I5588" i="34"/>
  <c r="I5587" i="34"/>
  <c r="I5586" i="34"/>
  <c r="I5585" i="34"/>
  <c r="I5584" i="34"/>
  <c r="I5583" i="34"/>
  <c r="I5582" i="34"/>
  <c r="I5581" i="34"/>
  <c r="I5580" i="34"/>
  <c r="I5579" i="34"/>
  <c r="I5578" i="34"/>
  <c r="I5577" i="34"/>
  <c r="I5576" i="34"/>
  <c r="I5575" i="34"/>
  <c r="I5574" i="34"/>
  <c r="I5573" i="34"/>
  <c r="I5572" i="34"/>
  <c r="I5571" i="34"/>
  <c r="I5570" i="34"/>
  <c r="I5569" i="34"/>
  <c r="I5568" i="34"/>
  <c r="I5567" i="34"/>
  <c r="I5566" i="34"/>
  <c r="I5565" i="34"/>
  <c r="I5564" i="34"/>
  <c r="I5563" i="34"/>
  <c r="I5562" i="34"/>
  <c r="I5561" i="34"/>
  <c r="I5560" i="34"/>
  <c r="I5559" i="34"/>
  <c r="I5558" i="34"/>
  <c r="I5557" i="34"/>
  <c r="I5556" i="34"/>
  <c r="I5555" i="34"/>
  <c r="I5554" i="34"/>
  <c r="I5553" i="34"/>
  <c r="I5552" i="34"/>
  <c r="I5551" i="34"/>
  <c r="I5550" i="34"/>
  <c r="I5549" i="34"/>
  <c r="I5548" i="34"/>
  <c r="I5547" i="34"/>
  <c r="I5546" i="34"/>
  <c r="I5545" i="34"/>
  <c r="I5544" i="34"/>
  <c r="I5543" i="34"/>
  <c r="I5542" i="34"/>
  <c r="I5541" i="34"/>
  <c r="I5540" i="34"/>
  <c r="I5539" i="34"/>
  <c r="I5538" i="34"/>
  <c r="I5537" i="34"/>
  <c r="I5536" i="34"/>
  <c r="I5535" i="34"/>
  <c r="I5534" i="34"/>
  <c r="I5533" i="34"/>
  <c r="I5532" i="34"/>
  <c r="I5531" i="34"/>
  <c r="I5530" i="34"/>
  <c r="I5529" i="34"/>
  <c r="I5528" i="34"/>
  <c r="I5527" i="34"/>
  <c r="I5526" i="34"/>
  <c r="I5525" i="34"/>
  <c r="I5524" i="34"/>
  <c r="I5523" i="34"/>
  <c r="I5522" i="34"/>
  <c r="I5521" i="34"/>
  <c r="I5520" i="34"/>
  <c r="I5519" i="34"/>
  <c r="I5518" i="34"/>
  <c r="I5517" i="34"/>
  <c r="I5516" i="34"/>
  <c r="I5515" i="34"/>
  <c r="I5514" i="34"/>
  <c r="I5513" i="34"/>
  <c r="I5512" i="34"/>
  <c r="I5511" i="34"/>
  <c r="I5510" i="34"/>
  <c r="I5509" i="34"/>
  <c r="I5508" i="34"/>
  <c r="I5507" i="34"/>
  <c r="I5506" i="34"/>
  <c r="I5505" i="34"/>
  <c r="I5504" i="34"/>
  <c r="I5502" i="34"/>
  <c r="I5501" i="34"/>
  <c r="I5500" i="34"/>
  <c r="I5499" i="34"/>
  <c r="I5498" i="34"/>
  <c r="I5497" i="34"/>
  <c r="I5496" i="34"/>
  <c r="I5495" i="34"/>
  <c r="I5494" i="34"/>
  <c r="I5493" i="34"/>
  <c r="I5492" i="34"/>
  <c r="I5491" i="34"/>
  <c r="I5490" i="34"/>
  <c r="I5489" i="34"/>
  <c r="I5488" i="34"/>
  <c r="I5484" i="34"/>
  <c r="I5483" i="34"/>
  <c r="I5482" i="34"/>
  <c r="I5481" i="34"/>
  <c r="I5480" i="34"/>
  <c r="I5479" i="34"/>
  <c r="I5478" i="34"/>
  <c r="I5475" i="34"/>
  <c r="I5474" i="34"/>
  <c r="I5470" i="34"/>
  <c r="I5469" i="34"/>
  <c r="I5468" i="34"/>
  <c r="I5466" i="34"/>
  <c r="I5465" i="34"/>
  <c r="I5464" i="34"/>
  <c r="I5463" i="34"/>
  <c r="I5462" i="34"/>
  <c r="I5461" i="34"/>
  <c r="I5458" i="34"/>
  <c r="I5457" i="34"/>
  <c r="I5456" i="34"/>
  <c r="I5455" i="34"/>
  <c r="I5453" i="34"/>
  <c r="I5452" i="34"/>
  <c r="I5451" i="34"/>
  <c r="I5450" i="34"/>
  <c r="I5448" i="34"/>
  <c r="I5447" i="34"/>
  <c r="I5446" i="34"/>
  <c r="I5445" i="34"/>
  <c r="I5443" i="34"/>
  <c r="I5442" i="34"/>
  <c r="I5441" i="34"/>
  <c r="I5440" i="34"/>
  <c r="I5439" i="34"/>
  <c r="I5438" i="34"/>
  <c r="I5437" i="34"/>
  <c r="I5435" i="34"/>
  <c r="I5434" i="34"/>
  <c r="I5433" i="34"/>
  <c r="I5432" i="34"/>
  <c r="I5431" i="34"/>
  <c r="I5430" i="34"/>
  <c r="I5428" i="34"/>
  <c r="I5427" i="34"/>
  <c r="I5426" i="34"/>
  <c r="I5425" i="34"/>
  <c r="I5421" i="34"/>
  <c r="I5420" i="34"/>
  <c r="I5419" i="34"/>
  <c r="I5418" i="34"/>
  <c r="I5417" i="34"/>
  <c r="I5416" i="34"/>
  <c r="I5414" i="34"/>
  <c r="I5412" i="34"/>
  <c r="I5411" i="34"/>
  <c r="I5410" i="34"/>
  <c r="I5409" i="34"/>
  <c r="I5408" i="34"/>
  <c r="I5407" i="34"/>
  <c r="I5406" i="34"/>
  <c r="I5405" i="34"/>
  <c r="I5404" i="34"/>
  <c r="I5402" i="34"/>
  <c r="I5401" i="34"/>
  <c r="I5400" i="34"/>
  <c r="I5399" i="34"/>
  <c r="I5398" i="34"/>
  <c r="I5397" i="34"/>
  <c r="I5396" i="34"/>
  <c r="I5395" i="34"/>
  <c r="I5394" i="34"/>
  <c r="I5393" i="34"/>
  <c r="I5390" i="34"/>
  <c r="I5389" i="34"/>
  <c r="I5388" i="34"/>
  <c r="I5387" i="34"/>
  <c r="I5379" i="34"/>
  <c r="I5370" i="34"/>
  <c r="I5369" i="34"/>
  <c r="I5368" i="34"/>
  <c r="I5367" i="34"/>
  <c r="I5366" i="34"/>
  <c r="I5365" i="34"/>
  <c r="I5364" i="34"/>
  <c r="I5315" i="34"/>
  <c r="I5316" i="34"/>
  <c r="I5321" i="34"/>
  <c r="I5323" i="34"/>
  <c r="I5324" i="34"/>
  <c r="I5325" i="34"/>
  <c r="I5326" i="34"/>
  <c r="I5335" i="34"/>
  <c r="I5336" i="34"/>
  <c r="I5337" i="34"/>
  <c r="I5353" i="34"/>
  <c r="I5354" i="34"/>
  <c r="I5355" i="34"/>
  <c r="I5314" i="34"/>
  <c r="I5120" i="34"/>
  <c r="I5121" i="34"/>
  <c r="I5122" i="34"/>
  <c r="I5123" i="34"/>
  <c r="I5124" i="34"/>
  <c r="I5128" i="34"/>
  <c r="I5140" i="34"/>
  <c r="I5149" i="34"/>
  <c r="I5150" i="34"/>
  <c r="I5152" i="34"/>
  <c r="I5157" i="34"/>
  <c r="I5168" i="34"/>
  <c r="I5169" i="34"/>
  <c r="I5171" i="34"/>
  <c r="I5173" i="34"/>
  <c r="I5174" i="34"/>
  <c r="I5187" i="34"/>
  <c r="I5188" i="34"/>
  <c r="I5189" i="34"/>
  <c r="I5190" i="34"/>
  <c r="I5191" i="34"/>
  <c r="I5192" i="34"/>
  <c r="I5193" i="34"/>
  <c r="I5194" i="34"/>
  <c r="I5195" i="34"/>
  <c r="I5196" i="34"/>
  <c r="I5197" i="34"/>
  <c r="I5198" i="34"/>
  <c r="I5199" i="34"/>
  <c r="I5200" i="34"/>
  <c r="I5201" i="34"/>
  <c r="I5202" i="34"/>
  <c r="I5203" i="34"/>
  <c r="I5204" i="34"/>
  <c r="I5205" i="34"/>
  <c r="I5206" i="34"/>
  <c r="I5207" i="34"/>
  <c r="I5208" i="34"/>
  <c r="I5209" i="34"/>
  <c r="I5210" i="34"/>
  <c r="I5211" i="34"/>
  <c r="I5212" i="34"/>
  <c r="I5213" i="34"/>
  <c r="I5214" i="34"/>
  <c r="I5215" i="34"/>
  <c r="I5216" i="34"/>
  <c r="I5217" i="34"/>
  <c r="I5218" i="34"/>
  <c r="I5219" i="34"/>
  <c r="I5220" i="34"/>
  <c r="I5221" i="34"/>
  <c r="I5222" i="34"/>
  <c r="I5223" i="34"/>
  <c r="I5224" i="34"/>
  <c r="I5225" i="34"/>
  <c r="I5226" i="34"/>
  <c r="I5227" i="34"/>
  <c r="I5228" i="34"/>
  <c r="I5229" i="34"/>
  <c r="I5230" i="34"/>
  <c r="I5231" i="34"/>
  <c r="I5232" i="34"/>
  <c r="I5233" i="34"/>
  <c r="I5234" i="34"/>
  <c r="I5235" i="34"/>
  <c r="I5236" i="34"/>
  <c r="I5237" i="34"/>
  <c r="I5238" i="34"/>
  <c r="I5239" i="34"/>
  <c r="I5240" i="34"/>
  <c r="I5241" i="34"/>
  <c r="I5242" i="34"/>
  <c r="I5243" i="34"/>
  <c r="I5244" i="34"/>
  <c r="I5245" i="34"/>
  <c r="I5246" i="34"/>
  <c r="I5247" i="34"/>
  <c r="I5248" i="34"/>
  <c r="I5249" i="34"/>
  <c r="I5250" i="34"/>
  <c r="I5251" i="34"/>
  <c r="I5252" i="34"/>
  <c r="I5253" i="34"/>
  <c r="I5254" i="34"/>
  <c r="I5255" i="34"/>
  <c r="I5256" i="34"/>
  <c r="I5257" i="34"/>
  <c r="I5258" i="34"/>
  <c r="I5259" i="34"/>
  <c r="I5260" i="34"/>
  <c r="I5261" i="34"/>
  <c r="I5262" i="34"/>
  <c r="I5263" i="34"/>
  <c r="I5264" i="34"/>
  <c r="I5265" i="34"/>
  <c r="I5266" i="34"/>
  <c r="I5267" i="34"/>
  <c r="I5268" i="34"/>
  <c r="I5269" i="34"/>
  <c r="I5270" i="34"/>
  <c r="I5271" i="34"/>
  <c r="I5272" i="34"/>
  <c r="I5273" i="34"/>
  <c r="I5274" i="34"/>
  <c r="I5275" i="34"/>
  <c r="I5276" i="34"/>
  <c r="I5277" i="34"/>
  <c r="I5278" i="34"/>
  <c r="I5279" i="34"/>
  <c r="I5280" i="34"/>
  <c r="I5281" i="34"/>
  <c r="I5282" i="34"/>
  <c r="I5283" i="34"/>
  <c r="I5284" i="34"/>
  <c r="I5285" i="34"/>
  <c r="I5286" i="34"/>
  <c r="I5287" i="34"/>
  <c r="I5288" i="34"/>
  <c r="I5289" i="34"/>
  <c r="I5290" i="34"/>
  <c r="I5291" i="34"/>
  <c r="I5292" i="34"/>
  <c r="I5293" i="34"/>
  <c r="I5294" i="34"/>
  <c r="I5295" i="34"/>
  <c r="I5296" i="34"/>
  <c r="I5297" i="34"/>
  <c r="I5298" i="34"/>
  <c r="I5299" i="34"/>
  <c r="I5300" i="34"/>
  <c r="I5301" i="34"/>
  <c r="I5302" i="34"/>
  <c r="I5303" i="34"/>
  <c r="I5304" i="34"/>
  <c r="I5305" i="34"/>
  <c r="I5306" i="34"/>
  <c r="I5097" i="34"/>
  <c r="I5098" i="34"/>
  <c r="I5099" i="34"/>
  <c r="I5100" i="34"/>
  <c r="I5101" i="34"/>
  <c r="I5102" i="34"/>
  <c r="I5105" i="34"/>
  <c r="I5107" i="34"/>
  <c r="I5108" i="34"/>
  <c r="I5096" i="34"/>
  <c r="I4952" i="34"/>
  <c r="I4953" i="34"/>
  <c r="I4954" i="34"/>
  <c r="I4956" i="34"/>
  <c r="I4957" i="34"/>
  <c r="I4958" i="34"/>
  <c r="I4959" i="34"/>
  <c r="I4960" i="34"/>
  <c r="I4961" i="34"/>
  <c r="I4962" i="34"/>
  <c r="I4963" i="34"/>
  <c r="I4964" i="34"/>
  <c r="I4965" i="34"/>
  <c r="I4966" i="34"/>
  <c r="I4967" i="34"/>
  <c r="I4968" i="34"/>
  <c r="I4969" i="34"/>
  <c r="I4970" i="34"/>
  <c r="I4972" i="34"/>
  <c r="I4973" i="34"/>
  <c r="I4974" i="34"/>
  <c r="I4976" i="34"/>
  <c r="I4979" i="34"/>
  <c r="I4980" i="34"/>
  <c r="I4981" i="34"/>
  <c r="I4982" i="34"/>
  <c r="I4984" i="34"/>
  <c r="I4988" i="34"/>
  <c r="I4991" i="34"/>
  <c r="I4992" i="34"/>
  <c r="I4993" i="34"/>
  <c r="I4994" i="34"/>
  <c r="I4995" i="34"/>
  <c r="I4996" i="34"/>
  <c r="I4997" i="34"/>
  <c r="I4998" i="34"/>
  <c r="I4999" i="34"/>
  <c r="I5000" i="34"/>
  <c r="I5001" i="34"/>
  <c r="I5002" i="34"/>
  <c r="I5003" i="34"/>
  <c r="I5004" i="34"/>
  <c r="I5005" i="34"/>
  <c r="I5006" i="34"/>
  <c r="I5007" i="34"/>
  <c r="I5008" i="34"/>
  <c r="I5009" i="34"/>
  <c r="I5010" i="34"/>
  <c r="I5011" i="34"/>
  <c r="I5012" i="34"/>
  <c r="I5013" i="34"/>
  <c r="I5014" i="34"/>
  <c r="I5015" i="34"/>
  <c r="I5016" i="34"/>
  <c r="I5017" i="34"/>
  <c r="I5018" i="34"/>
  <c r="I5019" i="34"/>
  <c r="I5020" i="34"/>
  <c r="I5022" i="34"/>
  <c r="I5023" i="34"/>
  <c r="I5024" i="34"/>
  <c r="I5025" i="34"/>
  <c r="I5026" i="34"/>
  <c r="I5027" i="34"/>
  <c r="I5028" i="34"/>
  <c r="I5029" i="34"/>
  <c r="I5030" i="34"/>
  <c r="I5031" i="34"/>
  <c r="I5032" i="34"/>
  <c r="I5033" i="34"/>
  <c r="I5034" i="34"/>
  <c r="I5035" i="34"/>
  <c r="I5036" i="34"/>
  <c r="I5037" i="34"/>
  <c r="I5038" i="34"/>
  <c r="I5039" i="34"/>
  <c r="I5040" i="34"/>
  <c r="I5041" i="34"/>
  <c r="I5042" i="34"/>
  <c r="I5043" i="34"/>
  <c r="I5044" i="34"/>
  <c r="I5045" i="34"/>
  <c r="I5046" i="34"/>
  <c r="I5047" i="34"/>
  <c r="I5048" i="34"/>
  <c r="I5049" i="34"/>
  <c r="I5050" i="34"/>
  <c r="I5051" i="34"/>
  <c r="I5052" i="34"/>
  <c r="I5053" i="34"/>
  <c r="I5054" i="34"/>
  <c r="I5055" i="34"/>
  <c r="I5056" i="34"/>
  <c r="I5057" i="34"/>
  <c r="I5058" i="34"/>
  <c r="I5059" i="34"/>
  <c r="I5060" i="34"/>
  <c r="I5061" i="34"/>
  <c r="I5062" i="34"/>
  <c r="I5063" i="34"/>
  <c r="I5064" i="34"/>
  <c r="I5065" i="34"/>
  <c r="I5066" i="34"/>
  <c r="I5067" i="34"/>
  <c r="I5068" i="34"/>
  <c r="I5069" i="34"/>
  <c r="I5070" i="34"/>
  <c r="I5071" i="34"/>
  <c r="I5072" i="34"/>
  <c r="I5073" i="34"/>
  <c r="I5074" i="34"/>
  <c r="I5075" i="34"/>
  <c r="I5076" i="34"/>
  <c r="I5077" i="34"/>
  <c r="I5078" i="34"/>
  <c r="I5079" i="34"/>
  <c r="I5080" i="34"/>
  <c r="I5081" i="34"/>
  <c r="I5082" i="34"/>
  <c r="I5083" i="34"/>
  <c r="I5084" i="34"/>
  <c r="I5085" i="34"/>
  <c r="I5086" i="34"/>
  <c r="I5087" i="34"/>
  <c r="I4951" i="34"/>
  <c r="I4919" i="34"/>
  <c r="I4922" i="34"/>
  <c r="I4923" i="34"/>
  <c r="I4924" i="34"/>
  <c r="I4925" i="34"/>
  <c r="I4928" i="34"/>
  <c r="I4929" i="34"/>
  <c r="I4930" i="34"/>
  <c r="I4931" i="34"/>
  <c r="I4934" i="34"/>
  <c r="I4935" i="34"/>
  <c r="I4936" i="34"/>
  <c r="I4937" i="34"/>
  <c r="I4940" i="34"/>
  <c r="I4941" i="34"/>
  <c r="I4918" i="34"/>
  <c r="I4890" i="34"/>
  <c r="I4891" i="34"/>
  <c r="I4892" i="34"/>
  <c r="I4893" i="34"/>
  <c r="I4894" i="34"/>
  <c r="I4895" i="34"/>
  <c r="I4896" i="34"/>
  <c r="I4897" i="34"/>
  <c r="I4898" i="34"/>
  <c r="I4899" i="34"/>
  <c r="I4900" i="34"/>
  <c r="I4901" i="34"/>
  <c r="I4902" i="34"/>
  <c r="I4903" i="34"/>
  <c r="I4904" i="34"/>
  <c r="I4905" i="34"/>
  <c r="I4906" i="34"/>
  <c r="I4907" i="34"/>
  <c r="I4908" i="34"/>
  <c r="I4909" i="34"/>
  <c r="I4910" i="34"/>
  <c r="I4581" i="34"/>
  <c r="I4582" i="34"/>
  <c r="I4583" i="34"/>
  <c r="I4584" i="34"/>
  <c r="I4585" i="34"/>
  <c r="I4586" i="34"/>
  <c r="I4587" i="34"/>
  <c r="I4588" i="34"/>
  <c r="I4589" i="34"/>
  <c r="I4590" i="34"/>
  <c r="I4591" i="34"/>
  <c r="I4592" i="34"/>
  <c r="I4593" i="34"/>
  <c r="I4594" i="34"/>
  <c r="I4595" i="34"/>
  <c r="I4596" i="34"/>
  <c r="I4597" i="34"/>
  <c r="I4598" i="34"/>
  <c r="I4599" i="34"/>
  <c r="I4600" i="34"/>
  <c r="I4601" i="34"/>
  <c r="I4602" i="34"/>
  <c r="I4603" i="34"/>
  <c r="I4604" i="34"/>
  <c r="I4605" i="34"/>
  <c r="I4606" i="34"/>
  <c r="I4607" i="34"/>
  <c r="I4608" i="34"/>
  <c r="I4609" i="34"/>
  <c r="I4610" i="34"/>
  <c r="I4611" i="34"/>
  <c r="I4612" i="34"/>
  <c r="I4613" i="34"/>
  <c r="I4614" i="34"/>
  <c r="I4615" i="34"/>
  <c r="I4616" i="34"/>
  <c r="I4617" i="34"/>
  <c r="I4618" i="34"/>
  <c r="I4619" i="34"/>
  <c r="I4620" i="34"/>
  <c r="I4621" i="34"/>
  <c r="I4622" i="34"/>
  <c r="I4623" i="34"/>
  <c r="I4624" i="34"/>
  <c r="I4625" i="34"/>
  <c r="I4626" i="34"/>
  <c r="I4627" i="34"/>
  <c r="I4628" i="34"/>
  <c r="I4629" i="34"/>
  <c r="I4630" i="34"/>
  <c r="I4631" i="34"/>
  <c r="I4632" i="34"/>
  <c r="I4633" i="34"/>
  <c r="I4634" i="34"/>
  <c r="I4635" i="34"/>
  <c r="I4636" i="34"/>
  <c r="I4637" i="34"/>
  <c r="I4638" i="34"/>
  <c r="I4639" i="34"/>
  <c r="I4640" i="34"/>
  <c r="I4641" i="34"/>
  <c r="I4642" i="34"/>
  <c r="I4643" i="34"/>
  <c r="I4644" i="34"/>
  <c r="I4645" i="34"/>
  <c r="I4646" i="34"/>
  <c r="I4647" i="34"/>
  <c r="I4648" i="34"/>
  <c r="I4649" i="34"/>
  <c r="I4650" i="34"/>
  <c r="I4651" i="34"/>
  <c r="I4652" i="34"/>
  <c r="I4653" i="34"/>
  <c r="I4654" i="34"/>
  <c r="I4655" i="34"/>
  <c r="I4656" i="34"/>
  <c r="I4657" i="34"/>
  <c r="I4658" i="34"/>
  <c r="I4659" i="34"/>
  <c r="I4660" i="34"/>
  <c r="I4661" i="34"/>
  <c r="I4662" i="34"/>
  <c r="I4663" i="34"/>
  <c r="I4664" i="34"/>
  <c r="I4665" i="34"/>
  <c r="I4666" i="34"/>
  <c r="I4667" i="34"/>
  <c r="I4668" i="34"/>
  <c r="I4669" i="34"/>
  <c r="I4670" i="34"/>
  <c r="I4671" i="34"/>
  <c r="I4672" i="34"/>
  <c r="I4673" i="34"/>
  <c r="I4674" i="34"/>
  <c r="I4675" i="34"/>
  <c r="I4676" i="34"/>
  <c r="I4677" i="34"/>
  <c r="I4678" i="34"/>
  <c r="I4679" i="34"/>
  <c r="I4680" i="34"/>
  <c r="I4681" i="34"/>
  <c r="I4682" i="34"/>
  <c r="I4683" i="34"/>
  <c r="I4684" i="34"/>
  <c r="I4685" i="34"/>
  <c r="I4686" i="34"/>
  <c r="I4687" i="34"/>
  <c r="I4688" i="34"/>
  <c r="I4689" i="34"/>
  <c r="I4690" i="34"/>
  <c r="I4691" i="34"/>
  <c r="I4692" i="34"/>
  <c r="I4693" i="34"/>
  <c r="I4694" i="34"/>
  <c r="I4695" i="34"/>
  <c r="I4696" i="34"/>
  <c r="I4697" i="34"/>
  <c r="I4698" i="34"/>
  <c r="I4699" i="34"/>
  <c r="I4700" i="34"/>
  <c r="I4701" i="34"/>
  <c r="I4702" i="34"/>
  <c r="I4703" i="34"/>
  <c r="I4704" i="34"/>
  <c r="I4705" i="34"/>
  <c r="I4706" i="34"/>
  <c r="I4707" i="34"/>
  <c r="I4708" i="34"/>
  <c r="I4709" i="34"/>
  <c r="I4710" i="34"/>
  <c r="I4711" i="34"/>
  <c r="I4712" i="34"/>
  <c r="I4713" i="34"/>
  <c r="I4715" i="34"/>
  <c r="I4716" i="34"/>
  <c r="I4717" i="34"/>
  <c r="I4719" i="34"/>
  <c r="I4720" i="34"/>
  <c r="I4721" i="34"/>
  <c r="I4722" i="34"/>
  <c r="I4724" i="34"/>
  <c r="I4725" i="34"/>
  <c r="I4726" i="34"/>
  <c r="I4728" i="34"/>
  <c r="I4729" i="34"/>
  <c r="I4730" i="34"/>
  <c r="I4731" i="34"/>
  <c r="I4733" i="34"/>
  <c r="I4734" i="34"/>
  <c r="I4735" i="34"/>
  <c r="I4737" i="34"/>
  <c r="I4738" i="34"/>
  <c r="I4739" i="34"/>
  <c r="I4740" i="34"/>
  <c r="I4741" i="34"/>
  <c r="I4743" i="34"/>
  <c r="I4744" i="34"/>
  <c r="I4745" i="34"/>
  <c r="I4747" i="34"/>
  <c r="I4748" i="34"/>
  <c r="I4749" i="34"/>
  <c r="I4750" i="34"/>
  <c r="I4751" i="34"/>
  <c r="I4754" i="34"/>
  <c r="I4761" i="34"/>
  <c r="I4764" i="34"/>
  <c r="I4765" i="34"/>
  <c r="I4767" i="34"/>
  <c r="I4768" i="34"/>
  <c r="I4769" i="34"/>
  <c r="I4770" i="34"/>
  <c r="I4771" i="34"/>
  <c r="I4772" i="34"/>
  <c r="I4773" i="34"/>
  <c r="I4774" i="34"/>
  <c r="I4775" i="34"/>
  <c r="I4779" i="34"/>
  <c r="I4780" i="34"/>
  <c r="I4781" i="34"/>
  <c r="I4782" i="34"/>
  <c r="I4783" i="34"/>
  <c r="I4784" i="34"/>
  <c r="I4786" i="34"/>
  <c r="I4787" i="34"/>
  <c r="I4788" i="34"/>
  <c r="I4789" i="34"/>
  <c r="I4790" i="34"/>
  <c r="I4791" i="34"/>
  <c r="I4792" i="34"/>
  <c r="I4793" i="34"/>
  <c r="I4794" i="34"/>
  <c r="I4796" i="34"/>
  <c r="I4801" i="34"/>
  <c r="I4802" i="34"/>
  <c r="I4803" i="34"/>
  <c r="I4804" i="34"/>
  <c r="I4805" i="34"/>
  <c r="I4809" i="34"/>
  <c r="I4812" i="34"/>
  <c r="I4813" i="34"/>
  <c r="I4814" i="34"/>
  <c r="I4817" i="34"/>
  <c r="I4818" i="34"/>
  <c r="I4819" i="34"/>
  <c r="I4820" i="34"/>
  <c r="I4821" i="34"/>
  <c r="I4822" i="34"/>
  <c r="I4823" i="34"/>
  <c r="I4824" i="34"/>
  <c r="I4825" i="34"/>
  <c r="I4826" i="34"/>
  <c r="I4829" i="34"/>
  <c r="I4830" i="34"/>
  <c r="I4831" i="34"/>
  <c r="I4832" i="34"/>
  <c r="I4833" i="34"/>
  <c r="I4834" i="34"/>
  <c r="I4836" i="34"/>
  <c r="I4838" i="34"/>
  <c r="I4841" i="34"/>
  <c r="I4842" i="34"/>
  <c r="I4843" i="34"/>
  <c r="I4844" i="34"/>
  <c r="I4845" i="34"/>
  <c r="I4846" i="34"/>
  <c r="I4847" i="34"/>
  <c r="I4848" i="34"/>
  <c r="I4849" i="34"/>
  <c r="I4850" i="34"/>
  <c r="I4851" i="34"/>
  <c r="I4855" i="34"/>
  <c r="I4856" i="34"/>
  <c r="I4857" i="34"/>
  <c r="I4858" i="34"/>
  <c r="I4859" i="34"/>
  <c r="I4863" i="34"/>
  <c r="I4864" i="34"/>
  <c r="I4865" i="34"/>
  <c r="I4866" i="34"/>
  <c r="I4867" i="34"/>
  <c r="I4868" i="34"/>
  <c r="I4869" i="34"/>
  <c r="I4870" i="34"/>
  <c r="I4871" i="34"/>
  <c r="I4872" i="34"/>
  <c r="I4873" i="34"/>
  <c r="I4874" i="34"/>
  <c r="I4875" i="34"/>
  <c r="I4876" i="34"/>
  <c r="I4877" i="34"/>
  <c r="I4878" i="34"/>
  <c r="I4562" i="34"/>
  <c r="I4563" i="34"/>
  <c r="I4567" i="34"/>
  <c r="I4568" i="34"/>
  <c r="I4569" i="34"/>
  <c r="I4570" i="34"/>
  <c r="I3595" i="34"/>
  <c r="I3605" i="34"/>
  <c r="I3620" i="34"/>
  <c r="I3622" i="34"/>
  <c r="I3625" i="34"/>
  <c r="I3634" i="34"/>
  <c r="I3644" i="34"/>
  <c r="I3655" i="34"/>
  <c r="I3656" i="34"/>
  <c r="I3659" i="34"/>
  <c r="I3670" i="34"/>
  <c r="I3685" i="34"/>
  <c r="I3688" i="34"/>
  <c r="I3691" i="34"/>
  <c r="I3698" i="34"/>
  <c r="I3699" i="34"/>
  <c r="I3701" i="34"/>
  <c r="I3705" i="34"/>
  <c r="I3716" i="34"/>
  <c r="I3717" i="34"/>
  <c r="I3718" i="34"/>
  <c r="I3725" i="34"/>
  <c r="I3726" i="34"/>
  <c r="I3727" i="34"/>
  <c r="I3728" i="34"/>
  <c r="I3729" i="34"/>
  <c r="I3730" i="34"/>
  <c r="I3731" i="34"/>
  <c r="I3732" i="34"/>
  <c r="I3733" i="34"/>
  <c r="I3734" i="34"/>
  <c r="I3735" i="34"/>
  <c r="I3737" i="34"/>
  <c r="I3738" i="34"/>
  <c r="I3739" i="34"/>
  <c r="I3740" i="34"/>
  <c r="I3745" i="34"/>
  <c r="I3746" i="34"/>
  <c r="I3747" i="34"/>
  <c r="I3748" i="34"/>
  <c r="I3749" i="34"/>
  <c r="I3750" i="34"/>
  <c r="I3751" i="34"/>
  <c r="I3752" i="34"/>
  <c r="I3753" i="34"/>
  <c r="I3754" i="34"/>
  <c r="I3755" i="34"/>
  <c r="I3756" i="34"/>
  <c r="I3757" i="34"/>
  <c r="I3758" i="34"/>
  <c r="I3759" i="34"/>
  <c r="I3760" i="34"/>
  <c r="I3761" i="34"/>
  <c r="I3762" i="34"/>
  <c r="I3763" i="34"/>
  <c r="I3764" i="34"/>
  <c r="I3765" i="34"/>
  <c r="I3766" i="34"/>
  <c r="I3767" i="34"/>
  <c r="I3768" i="34"/>
  <c r="I3769" i="34"/>
  <c r="I3770" i="34"/>
  <c r="I3771" i="34"/>
  <c r="I3772" i="34"/>
  <c r="I3773" i="34"/>
  <c r="I3774" i="34"/>
  <c r="I3775" i="34"/>
  <c r="I3776" i="34"/>
  <c r="I3777" i="34"/>
  <c r="I3778" i="34"/>
  <c r="I3780" i="34"/>
  <c r="I3781" i="34"/>
  <c r="I3782" i="34"/>
  <c r="I3783" i="34"/>
  <c r="I3784" i="34"/>
  <c r="I3785" i="34"/>
  <c r="I3786" i="34"/>
  <c r="I3787" i="34"/>
  <c r="I3788" i="34"/>
  <c r="I3789" i="34"/>
  <c r="I3790" i="34"/>
  <c r="I3791" i="34"/>
  <c r="I3792" i="34"/>
  <c r="I3793" i="34"/>
  <c r="I3794" i="34"/>
  <c r="I3795" i="34"/>
  <c r="I3796" i="34"/>
  <c r="I3797" i="34"/>
  <c r="I3798" i="34"/>
  <c r="I3799" i="34"/>
  <c r="I3800" i="34"/>
  <c r="I3801" i="34"/>
  <c r="I3802" i="34"/>
  <c r="I3803" i="34"/>
  <c r="I3804" i="34"/>
  <c r="I3805" i="34"/>
  <c r="I3806" i="34"/>
  <c r="I3807" i="34"/>
  <c r="I3808" i="34"/>
  <c r="I3809" i="34"/>
  <c r="I3810" i="34"/>
  <c r="I3811" i="34"/>
  <c r="I3812" i="34"/>
  <c r="I3813" i="34"/>
  <c r="I3814" i="34"/>
  <c r="I3815" i="34"/>
  <c r="I3816" i="34"/>
  <c r="I3817" i="34"/>
  <c r="I3818" i="34"/>
  <c r="I3819" i="34"/>
  <c r="I3820" i="34"/>
  <c r="I3821" i="34"/>
  <c r="I3822" i="34"/>
  <c r="I3823" i="34"/>
  <c r="I3824" i="34"/>
  <c r="I3825" i="34"/>
  <c r="I3826" i="34"/>
  <c r="I3827" i="34"/>
  <c r="I3828" i="34"/>
  <c r="I3829" i="34"/>
  <c r="I3830" i="34"/>
  <c r="I3831" i="34"/>
  <c r="I3832" i="34"/>
  <c r="I3833" i="34"/>
  <c r="I3834" i="34"/>
  <c r="I3835" i="34"/>
  <c r="I3836" i="34"/>
  <c r="I3837" i="34"/>
  <c r="I3838" i="34"/>
  <c r="I3839" i="34"/>
  <c r="I3840" i="34"/>
  <c r="I3841" i="34"/>
  <c r="I3842" i="34"/>
  <c r="I3843" i="34"/>
  <c r="I3844" i="34"/>
  <c r="I3845" i="34"/>
  <c r="I3846" i="34"/>
  <c r="I3847" i="34"/>
  <c r="I3848" i="34"/>
  <c r="I3849" i="34"/>
  <c r="I3850" i="34"/>
  <c r="I3851" i="34"/>
  <c r="I3852" i="34"/>
  <c r="I3853" i="34"/>
  <c r="I3854" i="34"/>
  <c r="I3855" i="34"/>
  <c r="I3856" i="34"/>
  <c r="I3857" i="34"/>
  <c r="I3858" i="34"/>
  <c r="I3859" i="34"/>
  <c r="I3860" i="34"/>
  <c r="I3861" i="34"/>
  <c r="I3862" i="34"/>
  <c r="I3863" i="34"/>
  <c r="I3864" i="34"/>
  <c r="I3865" i="34"/>
  <c r="I3866" i="34"/>
  <c r="I3867" i="34"/>
  <c r="I3868" i="34"/>
  <c r="I3869" i="34"/>
  <c r="I3870" i="34"/>
  <c r="I3871" i="34"/>
  <c r="I3872" i="34"/>
  <c r="I3873" i="34"/>
  <c r="I3874" i="34"/>
  <c r="I3875" i="34"/>
  <c r="I3876" i="34"/>
  <c r="I3877" i="34"/>
  <c r="I3878" i="34"/>
  <c r="I3879" i="34"/>
  <c r="I3880" i="34"/>
  <c r="I3881" i="34"/>
  <c r="I3882" i="34"/>
  <c r="I3883" i="34"/>
  <c r="I3884" i="34"/>
  <c r="I3885" i="34"/>
  <c r="I3886" i="34"/>
  <c r="I3887" i="34"/>
  <c r="I3888" i="34"/>
  <c r="I3889" i="34"/>
  <c r="I3890" i="34"/>
  <c r="I3891" i="34"/>
  <c r="I3892" i="34"/>
  <c r="I3893" i="34"/>
  <c r="I3894" i="34"/>
  <c r="I3895" i="34"/>
  <c r="I3896" i="34"/>
  <c r="I3897" i="34"/>
  <c r="I3898" i="34"/>
  <c r="I3899" i="34"/>
  <c r="I3900" i="34"/>
  <c r="I3901" i="34"/>
  <c r="I3902" i="34"/>
  <c r="I3903" i="34"/>
  <c r="I3904" i="34"/>
  <c r="I3905" i="34"/>
  <c r="I3906" i="34"/>
  <c r="I3907" i="34"/>
  <c r="I3908" i="34"/>
  <c r="I3909" i="34"/>
  <c r="I3910" i="34"/>
  <c r="I3911" i="34"/>
  <c r="I3912" i="34"/>
  <c r="I3913" i="34"/>
  <c r="I3914" i="34"/>
  <c r="I3915" i="34"/>
  <c r="I3916" i="34"/>
  <c r="I3917" i="34"/>
  <c r="I3918" i="34"/>
  <c r="I3919" i="34"/>
  <c r="I3920" i="34"/>
  <c r="I3921" i="34"/>
  <c r="I3922" i="34"/>
  <c r="I3923" i="34"/>
  <c r="I3924" i="34"/>
  <c r="I3925" i="34"/>
  <c r="I3926" i="34"/>
  <c r="I3927" i="34"/>
  <c r="I3928" i="34"/>
  <c r="I3929" i="34"/>
  <c r="I3930" i="34"/>
  <c r="I3931" i="34"/>
  <c r="I3932" i="34"/>
  <c r="I3933" i="34"/>
  <c r="I3934" i="34"/>
  <c r="I3935" i="34"/>
  <c r="I3936" i="34"/>
  <c r="I3937" i="34"/>
  <c r="I3938" i="34"/>
  <c r="I3939" i="34"/>
  <c r="I3940" i="34"/>
  <c r="I3941" i="34"/>
  <c r="I3942" i="34"/>
  <c r="I3943" i="34"/>
  <c r="I3944" i="34"/>
  <c r="I3945" i="34"/>
  <c r="I3946" i="34"/>
  <c r="I3947" i="34"/>
  <c r="I3948" i="34"/>
  <c r="I3949" i="34"/>
  <c r="I3950" i="34"/>
  <c r="I3951" i="34"/>
  <c r="I3952" i="34"/>
  <c r="I3953" i="34"/>
  <c r="I3954" i="34"/>
  <c r="I3955" i="34"/>
  <c r="I3956" i="34"/>
  <c r="I3957" i="34"/>
  <c r="I3958" i="34"/>
  <c r="I3959" i="34"/>
  <c r="I3960" i="34"/>
  <c r="I3961" i="34"/>
  <c r="I3962" i="34"/>
  <c r="I3963" i="34"/>
  <c r="I3964" i="34"/>
  <c r="I3965" i="34"/>
  <c r="I3966" i="34"/>
  <c r="I3967" i="34"/>
  <c r="I3968" i="34"/>
  <c r="I3969" i="34"/>
  <c r="I3970" i="34"/>
  <c r="I3971" i="34"/>
  <c r="I3972" i="34"/>
  <c r="I3973" i="34"/>
  <c r="I3974" i="34"/>
  <c r="I3975" i="34"/>
  <c r="I3976" i="34"/>
  <c r="I3977" i="34"/>
  <c r="I3978" i="34"/>
  <c r="I3979" i="34"/>
  <c r="I3980" i="34"/>
  <c r="I3981" i="34"/>
  <c r="I3982" i="34"/>
  <c r="I3983" i="34"/>
  <c r="I3984" i="34"/>
  <c r="I3985" i="34"/>
  <c r="I3986" i="34"/>
  <c r="I3987" i="34"/>
  <c r="I3988" i="34"/>
  <c r="I3989" i="34"/>
  <c r="I3990" i="34"/>
  <c r="I3991" i="34"/>
  <c r="I3992" i="34"/>
  <c r="I3993" i="34"/>
  <c r="I3994" i="34"/>
  <c r="I3995" i="34"/>
  <c r="I3996" i="34"/>
  <c r="I3997" i="34"/>
  <c r="I3998" i="34"/>
  <c r="I3999" i="34"/>
  <c r="I4000" i="34"/>
  <c r="I4001" i="34"/>
  <c r="I4002" i="34"/>
  <c r="I4004" i="34"/>
  <c r="I4006" i="34"/>
  <c r="I4008" i="34"/>
  <c r="I4010" i="34"/>
  <c r="I4012" i="34"/>
  <c r="I4014" i="34"/>
  <c r="I4015" i="34"/>
  <c r="I4016" i="34"/>
  <c r="I4017" i="34"/>
  <c r="I4018" i="34"/>
  <c r="I4019" i="34"/>
  <c r="I4020" i="34"/>
  <c r="I4021" i="34"/>
  <c r="I4022" i="34"/>
  <c r="I4023" i="34"/>
  <c r="I4024" i="34"/>
  <c r="I4025" i="34"/>
  <c r="I4026" i="34"/>
  <c r="I4027" i="34"/>
  <c r="I4028" i="34"/>
  <c r="I4029" i="34"/>
  <c r="I4030" i="34"/>
  <c r="I4031" i="34"/>
  <c r="I4032" i="34"/>
  <c r="I4033" i="34"/>
  <c r="I4034" i="34"/>
  <c r="I4035" i="34"/>
  <c r="I4036" i="34"/>
  <c r="I4037" i="34"/>
  <c r="I4038" i="34"/>
  <c r="I4039" i="34"/>
  <c r="I4040" i="34"/>
  <c r="I4041" i="34"/>
  <c r="I4042" i="34"/>
  <c r="I4043" i="34"/>
  <c r="I4044" i="34"/>
  <c r="I4045" i="34"/>
  <c r="I4046" i="34"/>
  <c r="I4047" i="34"/>
  <c r="I4048" i="34"/>
  <c r="I4049" i="34"/>
  <c r="I4050" i="34"/>
  <c r="I4051" i="34"/>
  <c r="I4052" i="34"/>
  <c r="I4053" i="34"/>
  <c r="I4054" i="34"/>
  <c r="I4055" i="34"/>
  <c r="I4056" i="34"/>
  <c r="I4057" i="34"/>
  <c r="I4058" i="34"/>
  <c r="I4059" i="34"/>
  <c r="I4060" i="34"/>
  <c r="I4061" i="34"/>
  <c r="I4062" i="34"/>
  <c r="I4063" i="34"/>
  <c r="I4064" i="34"/>
  <c r="I4065" i="34"/>
  <c r="I4066" i="34"/>
  <c r="I4067" i="34"/>
  <c r="I4068" i="34"/>
  <c r="I4069" i="34"/>
  <c r="I4070" i="34"/>
  <c r="I4071" i="34"/>
  <c r="I4072" i="34"/>
  <c r="I4073" i="34"/>
  <c r="I4074" i="34"/>
  <c r="I4075" i="34"/>
  <c r="I4076" i="34"/>
  <c r="I4077" i="34"/>
  <c r="I4078" i="34"/>
  <c r="I4079" i="34"/>
  <c r="I4080" i="34"/>
  <c r="I4081" i="34"/>
  <c r="I4082" i="34"/>
  <c r="I4083" i="34"/>
  <c r="I4084" i="34"/>
  <c r="I4085" i="34"/>
  <c r="I4086" i="34"/>
  <c r="I4087" i="34"/>
  <c r="I4088" i="34"/>
  <c r="I4089" i="34"/>
  <c r="I4090" i="34"/>
  <c r="I4091" i="34"/>
  <c r="I4092" i="34"/>
  <c r="I4093" i="34"/>
  <c r="I4094" i="34"/>
  <c r="I4095" i="34"/>
  <c r="I4096" i="34"/>
  <c r="I4097" i="34"/>
  <c r="I4098" i="34"/>
  <c r="I4099" i="34"/>
  <c r="I4100" i="34"/>
  <c r="I4101" i="34"/>
  <c r="I4102" i="34"/>
  <c r="I4103" i="34"/>
  <c r="I4104" i="34"/>
  <c r="I4105" i="34"/>
  <c r="I4106" i="34"/>
  <c r="I4107" i="34"/>
  <c r="I4108" i="34"/>
  <c r="I4109" i="34"/>
  <c r="I4110" i="34"/>
  <c r="I4111" i="34"/>
  <c r="I4112" i="34"/>
  <c r="I4113" i="34"/>
  <c r="I4114" i="34"/>
  <c r="I4115" i="34"/>
  <c r="I4116" i="34"/>
  <c r="I4117" i="34"/>
  <c r="I4118" i="34"/>
  <c r="I4119" i="34"/>
  <c r="I4120" i="34"/>
  <c r="I4121" i="34"/>
  <c r="I4122" i="34"/>
  <c r="I4123" i="34"/>
  <c r="I4124" i="34"/>
  <c r="I4126" i="34"/>
  <c r="I4128" i="34"/>
  <c r="I4130" i="34"/>
  <c r="I4131" i="34"/>
  <c r="I4132" i="34"/>
  <c r="I4133" i="34"/>
  <c r="I4134" i="34"/>
  <c r="I4135" i="34"/>
  <c r="I4136" i="34"/>
  <c r="I4137" i="34"/>
  <c r="I4138" i="34"/>
  <c r="I4139" i="34"/>
  <c r="I4140" i="34"/>
  <c r="I4141" i="34"/>
  <c r="I4142" i="34"/>
  <c r="I4143" i="34"/>
  <c r="I4144" i="34"/>
  <c r="I4145" i="34"/>
  <c r="I4146" i="34"/>
  <c r="I4147" i="34"/>
  <c r="I4148" i="34"/>
  <c r="I4149" i="34"/>
  <c r="I4150" i="34"/>
  <c r="I4151" i="34"/>
  <c r="I4152" i="34"/>
  <c r="I4153" i="34"/>
  <c r="I4154" i="34"/>
  <c r="I4155" i="34"/>
  <c r="I4156" i="34"/>
  <c r="I4157" i="34"/>
  <c r="I4158" i="34"/>
  <c r="I4159" i="34"/>
  <c r="I4160" i="34"/>
  <c r="I4161" i="34"/>
  <c r="I4162" i="34"/>
  <c r="I4163" i="34"/>
  <c r="I4164" i="34"/>
  <c r="I4165" i="34"/>
  <c r="I4166" i="34"/>
  <c r="I4167" i="34"/>
  <c r="I4168" i="34"/>
  <c r="I4169" i="34"/>
  <c r="I4170" i="34"/>
  <c r="I4171" i="34"/>
  <c r="I4172" i="34"/>
  <c r="I4173" i="34"/>
  <c r="I4174" i="34"/>
  <c r="I4175" i="34"/>
  <c r="I4176" i="34"/>
  <c r="I4177" i="34"/>
  <c r="I4178" i="34"/>
  <c r="I4179" i="34"/>
  <c r="I4180" i="34"/>
  <c r="I4181" i="34"/>
  <c r="I4182" i="34"/>
  <c r="I4183" i="34"/>
  <c r="I4184" i="34"/>
  <c r="I4185" i="34"/>
  <c r="I4186" i="34"/>
  <c r="I4187" i="34"/>
  <c r="I4188" i="34"/>
  <c r="I4189" i="34"/>
  <c r="I4190" i="34"/>
  <c r="I4191" i="34"/>
  <c r="I4192" i="34"/>
  <c r="I4193" i="34"/>
  <c r="I4194" i="34"/>
  <c r="I4195" i="34"/>
  <c r="I4196" i="34"/>
  <c r="I4197" i="34"/>
  <c r="I4198" i="34"/>
  <c r="I4199" i="34"/>
  <c r="I4200" i="34"/>
  <c r="I4201" i="34"/>
  <c r="I4202" i="34"/>
  <c r="I4203" i="34"/>
  <c r="I4204" i="34"/>
  <c r="I4205" i="34"/>
  <c r="I4206" i="34"/>
  <c r="I4207" i="34"/>
  <c r="I4208" i="34"/>
  <c r="I4209" i="34"/>
  <c r="I4210" i="34"/>
  <c r="I4211" i="34"/>
  <c r="I4212" i="34"/>
  <c r="I4213" i="34"/>
  <c r="I4214" i="34"/>
  <c r="I4215" i="34"/>
  <c r="I4216" i="34"/>
  <c r="I4217" i="34"/>
  <c r="I4218" i="34"/>
  <c r="I4219" i="34"/>
  <c r="I4220" i="34"/>
  <c r="I4221" i="34"/>
  <c r="I4222" i="34"/>
  <c r="I4223" i="34"/>
  <c r="I4224" i="34"/>
  <c r="I4225" i="34"/>
  <c r="I4226" i="34"/>
  <c r="I4227" i="34"/>
  <c r="I4228" i="34"/>
  <c r="I4229" i="34"/>
  <c r="I4230" i="34"/>
  <c r="I4231" i="34"/>
  <c r="I4232" i="34"/>
  <c r="I4233" i="34"/>
  <c r="I4234" i="34"/>
  <c r="I4235" i="34"/>
  <c r="I4236" i="34"/>
  <c r="I4237" i="34"/>
  <c r="I4238" i="34"/>
  <c r="I4239" i="34"/>
  <c r="I4240" i="34"/>
  <c r="I4241" i="34"/>
  <c r="I4242" i="34"/>
  <c r="I4243" i="34"/>
  <c r="I4244" i="34"/>
  <c r="I4245" i="34"/>
  <c r="I4246" i="34"/>
  <c r="I4247" i="34"/>
  <c r="I4248" i="34"/>
  <c r="I4249" i="34"/>
  <c r="I4250" i="34"/>
  <c r="I4251" i="34"/>
  <c r="I4252" i="34"/>
  <c r="I4253" i="34"/>
  <c r="I4254" i="34"/>
  <c r="I4255" i="34"/>
  <c r="I4256" i="34"/>
  <c r="I4257" i="34"/>
  <c r="I4258" i="34"/>
  <c r="I4259" i="34"/>
  <c r="I4260" i="34"/>
  <c r="I4261" i="34"/>
  <c r="I4262" i="34"/>
  <c r="I4263" i="34"/>
  <c r="I4264" i="34"/>
  <c r="I4265" i="34"/>
  <c r="I4266" i="34"/>
  <c r="I4267" i="34"/>
  <c r="I4268" i="34"/>
  <c r="I4269" i="34"/>
  <c r="I4270" i="34"/>
  <c r="I4271" i="34"/>
  <c r="I4272" i="34"/>
  <c r="I4273" i="34"/>
  <c r="I4274" i="34"/>
  <c r="I4275" i="34"/>
  <c r="I4276" i="34"/>
  <c r="I4277" i="34"/>
  <c r="I4278" i="34"/>
  <c r="I4279" i="34"/>
  <c r="I4280" i="34"/>
  <c r="I4281" i="34"/>
  <c r="I4282" i="34"/>
  <c r="I4283" i="34"/>
  <c r="I4284" i="34"/>
  <c r="I4285" i="34"/>
  <c r="I4286" i="34"/>
  <c r="I4287" i="34"/>
  <c r="I4288" i="34"/>
  <c r="I4289" i="34"/>
  <c r="I4290" i="34"/>
  <c r="I4291" i="34"/>
  <c r="I4292" i="34"/>
  <c r="I4293" i="34"/>
  <c r="I4294" i="34"/>
  <c r="I4295" i="34"/>
  <c r="I4296" i="34"/>
  <c r="I4297" i="34"/>
  <c r="I4298" i="34"/>
  <c r="I4299" i="34"/>
  <c r="I4300" i="34"/>
  <c r="I4301" i="34"/>
  <c r="I4302" i="34"/>
  <c r="I4303" i="34"/>
  <c r="I4317" i="34"/>
  <c r="I4318" i="34"/>
  <c r="I4323" i="34"/>
  <c r="I4324" i="34"/>
  <c r="I4330" i="34"/>
  <c r="I4332" i="34"/>
  <c r="I4333" i="34"/>
  <c r="I4334" i="34"/>
  <c r="I4336" i="34"/>
  <c r="I4337" i="34"/>
  <c r="I4338" i="34"/>
  <c r="I4339" i="34"/>
  <c r="I4341" i="34"/>
  <c r="I4342" i="34"/>
  <c r="I4343" i="34"/>
  <c r="I4348" i="34"/>
  <c r="I4349" i="34"/>
  <c r="I4350" i="34"/>
  <c r="I4351" i="34"/>
  <c r="I4352" i="34"/>
  <c r="I4357" i="34"/>
  <c r="I4358" i="34"/>
  <c r="I4359" i="34"/>
  <c r="I4361" i="34"/>
  <c r="I4363" i="34"/>
  <c r="I4366" i="34"/>
  <c r="I4367" i="34"/>
  <c r="I4369" i="34"/>
  <c r="I4371" i="34"/>
  <c r="I4374" i="34"/>
  <c r="I4375" i="34"/>
  <c r="I4377" i="34"/>
  <c r="I4379" i="34"/>
  <c r="I4382" i="34"/>
  <c r="I4387" i="34"/>
  <c r="I4388" i="34"/>
  <c r="I4390" i="34"/>
  <c r="I4391" i="34"/>
  <c r="I4392" i="34"/>
  <c r="I4393" i="34"/>
  <c r="I4395" i="34"/>
  <c r="I4396" i="34"/>
  <c r="I4397" i="34"/>
  <c r="I4398" i="34"/>
  <c r="I4400" i="34"/>
  <c r="I4401" i="34"/>
  <c r="I4402" i="34"/>
  <c r="I4403" i="34"/>
  <c r="I4404" i="34"/>
  <c r="I4405" i="34"/>
  <c r="I4406" i="34"/>
  <c r="I4407" i="34"/>
  <c r="I4408" i="34"/>
  <c r="I4409" i="34"/>
  <c r="I4410" i="34"/>
  <c r="I4411" i="34"/>
  <c r="I4412" i="34"/>
  <c r="I4413" i="34"/>
  <c r="I4414" i="34"/>
  <c r="I4415" i="34"/>
  <c r="I4416" i="34"/>
  <c r="I4417" i="34"/>
  <c r="I4418" i="34"/>
  <c r="I4419" i="34"/>
  <c r="I4420" i="34"/>
  <c r="I4421" i="34"/>
  <c r="I4422" i="34"/>
  <c r="I4423" i="34"/>
  <c r="I4424" i="34"/>
  <c r="I4425" i="34"/>
  <c r="I4426" i="34"/>
  <c r="I4427" i="34"/>
  <c r="I4428" i="34"/>
  <c r="I4429" i="34"/>
  <c r="I4431" i="34"/>
  <c r="I4432" i="34"/>
  <c r="I4433" i="34"/>
  <c r="I4434" i="34"/>
  <c r="I4435" i="34"/>
  <c r="I4436" i="34"/>
  <c r="I4437" i="34"/>
  <c r="I4438" i="34"/>
  <c r="I4439" i="34"/>
  <c r="I4440" i="34"/>
  <c r="I4441" i="34"/>
  <c r="I4442" i="34"/>
  <c r="I4443" i="34"/>
  <c r="I4444" i="34"/>
  <c r="I4445" i="34"/>
  <c r="I4446" i="34"/>
  <c r="I4447" i="34"/>
  <c r="I4448" i="34"/>
  <c r="I4449" i="34"/>
  <c r="I4450" i="34"/>
  <c r="I4451" i="34"/>
  <c r="I4452" i="34"/>
  <c r="I4453" i="34"/>
  <c r="I4454" i="34"/>
  <c r="I4455" i="34"/>
  <c r="I4456" i="34"/>
  <c r="I4457" i="34"/>
  <c r="I4458" i="34"/>
  <c r="I4459" i="34"/>
  <c r="I4460" i="34"/>
  <c r="I4461" i="34"/>
  <c r="I4462" i="34"/>
  <c r="I4463" i="34"/>
  <c r="I4464" i="34"/>
  <c r="I4466" i="34"/>
  <c r="I4467" i="34"/>
  <c r="I4468" i="34"/>
  <c r="I4469" i="34"/>
  <c r="I4470" i="34"/>
  <c r="I4471" i="34"/>
  <c r="I4473" i="34"/>
  <c r="I4474" i="34"/>
  <c r="I4475" i="34"/>
  <c r="I4479" i="34"/>
  <c r="I4480" i="34"/>
  <c r="I4481" i="34"/>
  <c r="I4482" i="34"/>
  <c r="I4483" i="34"/>
  <c r="I4485" i="34"/>
  <c r="I4486" i="34"/>
  <c r="I4487" i="34"/>
  <c r="I4488" i="34"/>
  <c r="I4489" i="34"/>
  <c r="I4490" i="34"/>
  <c r="I4491" i="34"/>
  <c r="I4492" i="34"/>
  <c r="I4493" i="34"/>
  <c r="I4496" i="34"/>
  <c r="I4497" i="34"/>
  <c r="I4499" i="34"/>
  <c r="I4501" i="34"/>
  <c r="I4503" i="34"/>
  <c r="I4504" i="34"/>
  <c r="I4505" i="34"/>
  <c r="I4506" i="34"/>
  <c r="I4508" i="34"/>
  <c r="I4509" i="34"/>
  <c r="I4510" i="34"/>
  <c r="I4511" i="34"/>
  <c r="I4513" i="34"/>
  <c r="I4514" i="34"/>
  <c r="I4515" i="34"/>
  <c r="I4516" i="34"/>
  <c r="I4518" i="34"/>
  <c r="I4519" i="34"/>
  <c r="I4520" i="34"/>
  <c r="I4522" i="34"/>
  <c r="I4524" i="34"/>
  <c r="I4525" i="34"/>
  <c r="I4526" i="34"/>
  <c r="I4527" i="34"/>
  <c r="I4530" i="34"/>
  <c r="I4531" i="34"/>
  <c r="I4532" i="34"/>
  <c r="I4533" i="34"/>
  <c r="I4534" i="34"/>
  <c r="I4535" i="34"/>
  <c r="I4536" i="34"/>
  <c r="I4537" i="34"/>
  <c r="I4538" i="34"/>
  <c r="I4539" i="34"/>
  <c r="I4540" i="34"/>
  <c r="I4541" i="34"/>
  <c r="I4542" i="34"/>
  <c r="I4543" i="34"/>
  <c r="I4544" i="34"/>
  <c r="I4545" i="34"/>
  <c r="I4547" i="34"/>
  <c r="I4548" i="34"/>
  <c r="I4549" i="34"/>
  <c r="I4550" i="34"/>
  <c r="I4551" i="34"/>
  <c r="I4552" i="34"/>
  <c r="I3577" i="34"/>
  <c r="I3578" i="34"/>
  <c r="I3579" i="34"/>
  <c r="I3580" i="34"/>
  <c r="I3576" i="34"/>
  <c r="I1321" i="34"/>
  <c r="I1322" i="34"/>
  <c r="I1323" i="34"/>
  <c r="I1330" i="34"/>
  <c r="I1331" i="34"/>
  <c r="I1332" i="34"/>
  <c r="I1345" i="34"/>
  <c r="I1346" i="34"/>
  <c r="I1347" i="34"/>
  <c r="I1366" i="34"/>
  <c r="I1367" i="34"/>
  <c r="I1368" i="34"/>
  <c r="I1381" i="34"/>
  <c r="I1382" i="34"/>
  <c r="I1411" i="34"/>
  <c r="I1412" i="34"/>
  <c r="I1413" i="34"/>
  <c r="I1417" i="34"/>
  <c r="I1418" i="34"/>
  <c r="I1419" i="34"/>
  <c r="I1423" i="34"/>
  <c r="I1424" i="34"/>
  <c r="I1425" i="34"/>
  <c r="I1426" i="34"/>
  <c r="I1427" i="34"/>
  <c r="I1428" i="34"/>
  <c r="I1429" i="34"/>
  <c r="I1430" i="34"/>
  <c r="I1449" i="34"/>
  <c r="I1450" i="34"/>
  <c r="I1451" i="34"/>
  <c r="I1455" i="34"/>
  <c r="I1456" i="34"/>
  <c r="I1457" i="34"/>
  <c r="I1458" i="34"/>
  <c r="I1465" i="34"/>
  <c r="I1466" i="34"/>
  <c r="I1467" i="34"/>
  <c r="I1468" i="34"/>
  <c r="I1469" i="34"/>
  <c r="I1470" i="34"/>
  <c r="I1471" i="34"/>
  <c r="I1490" i="34"/>
  <c r="I1491" i="34"/>
  <c r="I1492" i="34"/>
  <c r="I1493" i="34"/>
  <c r="I1500" i="34"/>
  <c r="I1501" i="34"/>
  <c r="I1502" i="34"/>
  <c r="I1533" i="34"/>
  <c r="I1534" i="34"/>
  <c r="I1535" i="34"/>
  <c r="I1536" i="34"/>
  <c r="I1537" i="34"/>
  <c r="I1538" i="34"/>
  <c r="I1539" i="34"/>
  <c r="I1540" i="34"/>
  <c r="I1541" i="34"/>
  <c r="I1548" i="34"/>
  <c r="I1549" i="34"/>
  <c r="I1550" i="34"/>
  <c r="I1554" i="34"/>
  <c r="I1555" i="34"/>
  <c r="I1556" i="34"/>
  <c r="I1578" i="34"/>
  <c r="I1579" i="34"/>
  <c r="I1580" i="34"/>
  <c r="I1581" i="34"/>
  <c r="I1582" i="34"/>
  <c r="I1583" i="34"/>
  <c r="I1590" i="34"/>
  <c r="I1591" i="34"/>
  <c r="I1628" i="34"/>
  <c r="I1629" i="34"/>
  <c r="I1630" i="34"/>
  <c r="I1631" i="34"/>
  <c r="I1650" i="34"/>
  <c r="I1651" i="34"/>
  <c r="I1652" i="34"/>
  <c r="I1656" i="34"/>
  <c r="I1657" i="34"/>
  <c r="I1658" i="34"/>
  <c r="I1662" i="34"/>
  <c r="I1678" i="34"/>
  <c r="I1679" i="34"/>
  <c r="I1680" i="34"/>
  <c r="I1681" i="34"/>
  <c r="I1682" i="34"/>
  <c r="I1683" i="34"/>
  <c r="I1684" i="34"/>
  <c r="I1685" i="34"/>
  <c r="I1686" i="34"/>
  <c r="I1687" i="34"/>
  <c r="I1688" i="34"/>
  <c r="I1719" i="34"/>
  <c r="I1720" i="34"/>
  <c r="I1745" i="34"/>
  <c r="I1746" i="34"/>
  <c r="I1747" i="34"/>
  <c r="I1765" i="34"/>
  <c r="I1766" i="34"/>
  <c r="I1767" i="34"/>
  <c r="I1771" i="34"/>
  <c r="I1775" i="34"/>
  <c r="I1779" i="34"/>
  <c r="I1783" i="34"/>
  <c r="I1787" i="34"/>
  <c r="I1791" i="34"/>
  <c r="I1792" i="34"/>
  <c r="I1793" i="34"/>
  <c r="I1794" i="34"/>
  <c r="I1798" i="34"/>
  <c r="I1799" i="34"/>
  <c r="I1800" i="34"/>
  <c r="I1801" i="34"/>
  <c r="I1802" i="34"/>
  <c r="I1803" i="34"/>
  <c r="I1804" i="34"/>
  <c r="I1805" i="34"/>
  <c r="I1806" i="34"/>
  <c r="I1807" i="34"/>
  <c r="I1808" i="34"/>
  <c r="I1809" i="34"/>
  <c r="I1810" i="34"/>
  <c r="I1811" i="34"/>
  <c r="I1812" i="34"/>
  <c r="I1813" i="34"/>
  <c r="I1814" i="34"/>
  <c r="I1821" i="34"/>
  <c r="I1822" i="34"/>
  <c r="I1826" i="34"/>
  <c r="I1827" i="34"/>
  <c r="I1828" i="34"/>
  <c r="I1829" i="34"/>
  <c r="I1830" i="34"/>
  <c r="I1831" i="34"/>
  <c r="I1832" i="34"/>
  <c r="I1833" i="34"/>
  <c r="I1834" i="34"/>
  <c r="I1835" i="34"/>
  <c r="I1836" i="34"/>
  <c r="I1837" i="34"/>
  <c r="I1838" i="34"/>
  <c r="I1839" i="34"/>
  <c r="I1840" i="34"/>
  <c r="I1841" i="34"/>
  <c r="I1842" i="34"/>
  <c r="I1843" i="34"/>
  <c r="I1844" i="34"/>
  <c r="I1845" i="34"/>
  <c r="I1846" i="34"/>
  <c r="I1847" i="34"/>
  <c r="I1848" i="34"/>
  <c r="I1849" i="34"/>
  <c r="I1850" i="34"/>
  <c r="I1851" i="34"/>
  <c r="I1852" i="34"/>
  <c r="I1853" i="34"/>
  <c r="I1854" i="34"/>
  <c r="I1855" i="34"/>
  <c r="I1856" i="34"/>
  <c r="I1857" i="34"/>
  <c r="I1858" i="34"/>
  <c r="I1859" i="34"/>
  <c r="I1860" i="34"/>
  <c r="I1861" i="34"/>
  <c r="I1862" i="34"/>
  <c r="I1863" i="34"/>
  <c r="I1864" i="34"/>
  <c r="I1865" i="34"/>
  <c r="I1866" i="34"/>
  <c r="I1867" i="34"/>
  <c r="I1868" i="34"/>
  <c r="I1869" i="34"/>
  <c r="I1870" i="34"/>
  <c r="I1871" i="34"/>
  <c r="I1872" i="34"/>
  <c r="I1873" i="34"/>
  <c r="I1874" i="34"/>
  <c r="I1875" i="34"/>
  <c r="I1876" i="34"/>
  <c r="I1877" i="34"/>
  <c r="I1878" i="34"/>
  <c r="I1879" i="34"/>
  <c r="I1880" i="34"/>
  <c r="I1881" i="34"/>
  <c r="I1882" i="34"/>
  <c r="I1883" i="34"/>
  <c r="I1884" i="34"/>
  <c r="I1885" i="34"/>
  <c r="I1886" i="34"/>
  <c r="I1887" i="34"/>
  <c r="I1888" i="34"/>
  <c r="I1889" i="34"/>
  <c r="I1890" i="34"/>
  <c r="I1891" i="34"/>
  <c r="I1892" i="34"/>
  <c r="I1893" i="34"/>
  <c r="I1894" i="34"/>
  <c r="I1895" i="34"/>
  <c r="I1896" i="34"/>
  <c r="I1897" i="34"/>
  <c r="I1898" i="34"/>
  <c r="I1899" i="34"/>
  <c r="I1903" i="34"/>
  <c r="I1904" i="34"/>
  <c r="I1905" i="34"/>
  <c r="I1906" i="34"/>
  <c r="I1907" i="34"/>
  <c r="I1908" i="34"/>
  <c r="I1909" i="34"/>
  <c r="I1910" i="34"/>
  <c r="I1911" i="34"/>
  <c r="I1912" i="34"/>
  <c r="I1913" i="34"/>
  <c r="I1914" i="34"/>
  <c r="I1915" i="34"/>
  <c r="I1916" i="34"/>
  <c r="I1917" i="34"/>
  <c r="I1918" i="34"/>
  <c r="I1919" i="34"/>
  <c r="I1920" i="34"/>
  <c r="I1921" i="34"/>
  <c r="I1922" i="34"/>
  <c r="I1923" i="34"/>
  <c r="I1924" i="34"/>
  <c r="I1925" i="34"/>
  <c r="I1926" i="34"/>
  <c r="I1927" i="34"/>
  <c r="I1928" i="34"/>
  <c r="I1929" i="34"/>
  <c r="I1930" i="34"/>
  <c r="I1931" i="34"/>
  <c r="I1932" i="34"/>
  <c r="I1933" i="34"/>
  <c r="I1934" i="34"/>
  <c r="I1935" i="34"/>
  <c r="I1936" i="34"/>
  <c r="I1937" i="34"/>
  <c r="I1938" i="34"/>
  <c r="I1939" i="34"/>
  <c r="I1940" i="34"/>
  <c r="I1941" i="34"/>
  <c r="I1942" i="34"/>
  <c r="I1943" i="34"/>
  <c r="I1944" i="34"/>
  <c r="I1945" i="34"/>
  <c r="I1946" i="34"/>
  <c r="I1947" i="34"/>
  <c r="I1948" i="34"/>
  <c r="I1949" i="34"/>
  <c r="I1950" i="34"/>
  <c r="I1951" i="34"/>
  <c r="I1952" i="34"/>
  <c r="I1953" i="34"/>
  <c r="I1954" i="34"/>
  <c r="I1955" i="34"/>
  <c r="I1956" i="34"/>
  <c r="I1957" i="34"/>
  <c r="I1958" i="34"/>
  <c r="I1959" i="34"/>
  <c r="I1960" i="34"/>
  <c r="I1961" i="34"/>
  <c r="I1962" i="34"/>
  <c r="I1963" i="34"/>
  <c r="I1964" i="34"/>
  <c r="I1965" i="34"/>
  <c r="I1966" i="34"/>
  <c r="I1967" i="34"/>
  <c r="I1968" i="34"/>
  <c r="I1969" i="34"/>
  <c r="I1970" i="34"/>
  <c r="I1971" i="34"/>
  <c r="I1972" i="34"/>
  <c r="I1973" i="34"/>
  <c r="I1974" i="34"/>
  <c r="I1975" i="34"/>
  <c r="I1976" i="34"/>
  <c r="I1977" i="34"/>
  <c r="I1978" i="34"/>
  <c r="I1979" i="34"/>
  <c r="I1980" i="34"/>
  <c r="I1981" i="34"/>
  <c r="I1982" i="34"/>
  <c r="I1983" i="34"/>
  <c r="I1984" i="34"/>
  <c r="I1985" i="34"/>
  <c r="I1986" i="34"/>
  <c r="I1987" i="34"/>
  <c r="I1988" i="34"/>
  <c r="I1989" i="34"/>
  <c r="I1990" i="34"/>
  <c r="I1991" i="34"/>
  <c r="I1992" i="34"/>
  <c r="I1993" i="34"/>
  <c r="I1994" i="34"/>
  <c r="I1995" i="34"/>
  <c r="I1996" i="34"/>
  <c r="I1997" i="34"/>
  <c r="I1998" i="34"/>
  <c r="I1999" i="34"/>
  <c r="I2000" i="34"/>
  <c r="I2001" i="34"/>
  <c r="I2002" i="34"/>
  <c r="I2003" i="34"/>
  <c r="I2004" i="34"/>
  <c r="I2005" i="34"/>
  <c r="I2006" i="34"/>
  <c r="I2007" i="34"/>
  <c r="I2008" i="34"/>
  <c r="I2009" i="34"/>
  <c r="I2010" i="34"/>
  <c r="I2011" i="34"/>
  <c r="I2012" i="34"/>
  <c r="I2013" i="34"/>
  <c r="I2014" i="34"/>
  <c r="I2015" i="34"/>
  <c r="I2016" i="34"/>
  <c r="I2017" i="34"/>
  <c r="I2018" i="34"/>
  <c r="I2019" i="34"/>
  <c r="I2020" i="34"/>
  <c r="I2021" i="34"/>
  <c r="I2022" i="34"/>
  <c r="I2023" i="34"/>
  <c r="I2024" i="34"/>
  <c r="I2025" i="34"/>
  <c r="I2026" i="34"/>
  <c r="I2027" i="34"/>
  <c r="I2028" i="34"/>
  <c r="I2029" i="34"/>
  <c r="I2030" i="34"/>
  <c r="I2031" i="34"/>
  <c r="I2032" i="34"/>
  <c r="I2033" i="34"/>
  <c r="I2034" i="34"/>
  <c r="I2035" i="34"/>
  <c r="I2036" i="34"/>
  <c r="I2037" i="34"/>
  <c r="I2038" i="34"/>
  <c r="I2039" i="34"/>
  <c r="I2040" i="34"/>
  <c r="I2041" i="34"/>
  <c r="I2042" i="34"/>
  <c r="I2043" i="34"/>
  <c r="I2044" i="34"/>
  <c r="I2045" i="34"/>
  <c r="I2046" i="34"/>
  <c r="I2047" i="34"/>
  <c r="I2048" i="34"/>
  <c r="I2049" i="34"/>
  <c r="I2050" i="34"/>
  <c r="I2051" i="34"/>
  <c r="I2052" i="34"/>
  <c r="I2053" i="34"/>
  <c r="I2054" i="34"/>
  <c r="I2055" i="34"/>
  <c r="I2056" i="34"/>
  <c r="I2057" i="34"/>
  <c r="I2058" i="34"/>
  <c r="I2059" i="34"/>
  <c r="I2060" i="34"/>
  <c r="I2061" i="34"/>
  <c r="I2062" i="34"/>
  <c r="I2063" i="34"/>
  <c r="I2064" i="34"/>
  <c r="I2065" i="34"/>
  <c r="I2066" i="34"/>
  <c r="I2067" i="34"/>
  <c r="I2068" i="34"/>
  <c r="I2069" i="34"/>
  <c r="I2070" i="34"/>
  <c r="I2071" i="34"/>
  <c r="I2072" i="34"/>
  <c r="I2073" i="34"/>
  <c r="I2074" i="34"/>
  <c r="I2075" i="34"/>
  <c r="I2076" i="34"/>
  <c r="I2077" i="34"/>
  <c r="I2078" i="34"/>
  <c r="I2079" i="34"/>
  <c r="I2080" i="34"/>
  <c r="I2081" i="34"/>
  <c r="I2082" i="34"/>
  <c r="I2083" i="34"/>
  <c r="I2084" i="34"/>
  <c r="I2085" i="34"/>
  <c r="I2086" i="34"/>
  <c r="I2087" i="34"/>
  <c r="I2088" i="34"/>
  <c r="I2089" i="34"/>
  <c r="I2090" i="34"/>
  <c r="I2091" i="34"/>
  <c r="I2092" i="34"/>
  <c r="I2093" i="34"/>
  <c r="I2094" i="34"/>
  <c r="I2095" i="34"/>
  <c r="I2096" i="34"/>
  <c r="I2097" i="34"/>
  <c r="I2098" i="34"/>
  <c r="I2099" i="34"/>
  <c r="I2100" i="34"/>
  <c r="I2101" i="34"/>
  <c r="I2102" i="34"/>
  <c r="I2103" i="34"/>
  <c r="I2104" i="34"/>
  <c r="I2105" i="34"/>
  <c r="I2106" i="34"/>
  <c r="I2107" i="34"/>
  <c r="I2108" i="34"/>
  <c r="I2109" i="34"/>
  <c r="I2110" i="34"/>
  <c r="I2111" i="34"/>
  <c r="I2112" i="34"/>
  <c r="I2113" i="34"/>
  <c r="I2114" i="34"/>
  <c r="I2115" i="34"/>
  <c r="I2116" i="34"/>
  <c r="I2117" i="34"/>
  <c r="I2118" i="34"/>
  <c r="I2119" i="34"/>
  <c r="I2120" i="34"/>
  <c r="I2121" i="34"/>
  <c r="I2122" i="34"/>
  <c r="I2123" i="34"/>
  <c r="I2124" i="34"/>
  <c r="I2125" i="34"/>
  <c r="I2126" i="34"/>
  <c r="I2127" i="34"/>
  <c r="I2128" i="34"/>
  <c r="I2129" i="34"/>
  <c r="I2130" i="34"/>
  <c r="I2131" i="34"/>
  <c r="I2132" i="34"/>
  <c r="I2133" i="34"/>
  <c r="I2134" i="34"/>
  <c r="I2135" i="34"/>
  <c r="I2136" i="34"/>
  <c r="I2137" i="34"/>
  <c r="I2138" i="34"/>
  <c r="I2139" i="34"/>
  <c r="I2140" i="34"/>
  <c r="I2141" i="34"/>
  <c r="I2142" i="34"/>
  <c r="I2143" i="34"/>
  <c r="I2144" i="34"/>
  <c r="I2145" i="34"/>
  <c r="I2146" i="34"/>
  <c r="I2147" i="34"/>
  <c r="I2148" i="34"/>
  <c r="I2149" i="34"/>
  <c r="I2150" i="34"/>
  <c r="I2151" i="34"/>
  <c r="I2152" i="34"/>
  <c r="I2153" i="34"/>
  <c r="I2154" i="34"/>
  <c r="I2155" i="34"/>
  <c r="I2156" i="34"/>
  <c r="I2157" i="34"/>
  <c r="I2158" i="34"/>
  <c r="I2159" i="34"/>
  <c r="I2160" i="34"/>
  <c r="I2161" i="34"/>
  <c r="I2162" i="34"/>
  <c r="I2163" i="34"/>
  <c r="I2164" i="34"/>
  <c r="I2165" i="34"/>
  <c r="I2166" i="34"/>
  <c r="I2167" i="34"/>
  <c r="I2168" i="34"/>
  <c r="I2169" i="34"/>
  <c r="I2170" i="34"/>
  <c r="I2171" i="34"/>
  <c r="I2172" i="34"/>
  <c r="I2173" i="34"/>
  <c r="I2174" i="34"/>
  <c r="I2175" i="34"/>
  <c r="I2176" i="34"/>
  <c r="I2177" i="34"/>
  <c r="I2178" i="34"/>
  <c r="I2179" i="34"/>
  <c r="I2180" i="34"/>
  <c r="I2181" i="34"/>
  <c r="I2182" i="34"/>
  <c r="I2183" i="34"/>
  <c r="I2184" i="34"/>
  <c r="I2185" i="34"/>
  <c r="I2186" i="34"/>
  <c r="I2187" i="34"/>
  <c r="I2188" i="34"/>
  <c r="I2189" i="34"/>
  <c r="I2190" i="34"/>
  <c r="I2191" i="34"/>
  <c r="I2192" i="34"/>
  <c r="I2193" i="34"/>
  <c r="I2194" i="34"/>
  <c r="I2195" i="34"/>
  <c r="I2196" i="34"/>
  <c r="I2197" i="34"/>
  <c r="I2198" i="34"/>
  <c r="I2199" i="34"/>
  <c r="I2200" i="34"/>
  <c r="I2201" i="34"/>
  <c r="I2202" i="34"/>
  <c r="I2203" i="34"/>
  <c r="I2204" i="34"/>
  <c r="I2205" i="34"/>
  <c r="I2206" i="34"/>
  <c r="I2207" i="34"/>
  <c r="I2208" i="34"/>
  <c r="I2209" i="34"/>
  <c r="I2210" i="34"/>
  <c r="I2211" i="34"/>
  <c r="I2212" i="34"/>
  <c r="I2213" i="34"/>
  <c r="I2214" i="34"/>
  <c r="I2215" i="34"/>
  <c r="I2216" i="34"/>
  <c r="I2217" i="34"/>
  <c r="I2218" i="34"/>
  <c r="I2219" i="34"/>
  <c r="I2220" i="34"/>
  <c r="I2221" i="34"/>
  <c r="I2222" i="34"/>
  <c r="I2223" i="34"/>
  <c r="I2224" i="34"/>
  <c r="I2225" i="34"/>
  <c r="I2226" i="34"/>
  <c r="I2227" i="34"/>
  <c r="I2228" i="34"/>
  <c r="I2229" i="34"/>
  <c r="I2230" i="34"/>
  <c r="I2231" i="34"/>
  <c r="I2232" i="34"/>
  <c r="I2233" i="34"/>
  <c r="I2234" i="34"/>
  <c r="I2235" i="34"/>
  <c r="I2236" i="34"/>
  <c r="I2237" i="34"/>
  <c r="I2238" i="34"/>
  <c r="I2239" i="34"/>
  <c r="I2240" i="34"/>
  <c r="I2241" i="34"/>
  <c r="I2242" i="34"/>
  <c r="I2243" i="34"/>
  <c r="I2244" i="34"/>
  <c r="I2245" i="34"/>
  <c r="I2246" i="34"/>
  <c r="I2247" i="34"/>
  <c r="I2248" i="34"/>
  <c r="I2249" i="34"/>
  <c r="I2250" i="34"/>
  <c r="I2251" i="34"/>
  <c r="I2252" i="34"/>
  <c r="I2253" i="34"/>
  <c r="I2254" i="34"/>
  <c r="I2255" i="34"/>
  <c r="I2256" i="34"/>
  <c r="I2257" i="34"/>
  <c r="I2258" i="34"/>
  <c r="I2259" i="34"/>
  <c r="I2260" i="34"/>
  <c r="I2261" i="34"/>
  <c r="I2262" i="34"/>
  <c r="I2263" i="34"/>
  <c r="I2264" i="34"/>
  <c r="I2265" i="34"/>
  <c r="I2266" i="34"/>
  <c r="I2267" i="34"/>
  <c r="I2268" i="34"/>
  <c r="I2269" i="34"/>
  <c r="I2270" i="34"/>
  <c r="I2271" i="34"/>
  <c r="I2272" i="34"/>
  <c r="I2273" i="34"/>
  <c r="I2274" i="34"/>
  <c r="I2275" i="34"/>
  <c r="I2276" i="34"/>
  <c r="I2277" i="34"/>
  <c r="I2278" i="34"/>
  <c r="I2279" i="34"/>
  <c r="I2280" i="34"/>
  <c r="I2281" i="34"/>
  <c r="I2282" i="34"/>
  <c r="I2283" i="34"/>
  <c r="I2284" i="34"/>
  <c r="I2285" i="34"/>
  <c r="I2286" i="34"/>
  <c r="I2287" i="34"/>
  <c r="I2288" i="34"/>
  <c r="I2289" i="34"/>
  <c r="I2290" i="34"/>
  <c r="I2291" i="34"/>
  <c r="I2292" i="34"/>
  <c r="I2293" i="34"/>
  <c r="I2294" i="34"/>
  <c r="I2295" i="34"/>
  <c r="I2296" i="34"/>
  <c r="I2297" i="34"/>
  <c r="I2298" i="34"/>
  <c r="I2299" i="34"/>
  <c r="I2300" i="34"/>
  <c r="I2301" i="34"/>
  <c r="I2302" i="34"/>
  <c r="I2303" i="34"/>
  <c r="I2304" i="34"/>
  <c r="I2305" i="34"/>
  <c r="I2306" i="34"/>
  <c r="I2307" i="34"/>
  <c r="I2308" i="34"/>
  <c r="I2309" i="34"/>
  <c r="I2310" i="34"/>
  <c r="I2311" i="34"/>
  <c r="I2312" i="34"/>
  <c r="I2313" i="34"/>
  <c r="I2314" i="34"/>
  <c r="I2315" i="34"/>
  <c r="I2316" i="34"/>
  <c r="I2317" i="34"/>
  <c r="I2318" i="34"/>
  <c r="I2319" i="34"/>
  <c r="I2320" i="34"/>
  <c r="I2321" i="34"/>
  <c r="I2322" i="34"/>
  <c r="I2323" i="34"/>
  <c r="I2324" i="34"/>
  <c r="I2325" i="34"/>
  <c r="I2326" i="34"/>
  <c r="I2327" i="34"/>
  <c r="I2328" i="34"/>
  <c r="I2329" i="34"/>
  <c r="I2330" i="34"/>
  <c r="I2331" i="34"/>
  <c r="I2332" i="34"/>
  <c r="I2333" i="34"/>
  <c r="I2334" i="34"/>
  <c r="I2335" i="34"/>
  <c r="I2336" i="34"/>
  <c r="I2337" i="34"/>
  <c r="I2338" i="34"/>
  <c r="I2339" i="34"/>
  <c r="I2340" i="34"/>
  <c r="I2341" i="34"/>
  <c r="I2342" i="34"/>
  <c r="I2343" i="34"/>
  <c r="I2344" i="34"/>
  <c r="I2345" i="34"/>
  <c r="I2346" i="34"/>
  <c r="I2347" i="34"/>
  <c r="I2348" i="34"/>
  <c r="I2349" i="34"/>
  <c r="I2350" i="34"/>
  <c r="I2351" i="34"/>
  <c r="I2352" i="34"/>
  <c r="I2353" i="34"/>
  <c r="I2354" i="34"/>
  <c r="I2355" i="34"/>
  <c r="I2356" i="34"/>
  <c r="I2357" i="34"/>
  <c r="I2358" i="34"/>
  <c r="I2359" i="34"/>
  <c r="I2360" i="34"/>
  <c r="I2361" i="34"/>
  <c r="I2362" i="34"/>
  <c r="I2363" i="34"/>
  <c r="I2364" i="34"/>
  <c r="I2365" i="34"/>
  <c r="I2366" i="34"/>
  <c r="I2367" i="34"/>
  <c r="I2368" i="34"/>
  <c r="I2369" i="34"/>
  <c r="I2370" i="34"/>
  <c r="I2371" i="34"/>
  <c r="I2372" i="34"/>
  <c r="I2373" i="34"/>
  <c r="I2374" i="34"/>
  <c r="I2375" i="34"/>
  <c r="I2376" i="34"/>
  <c r="I2377" i="34"/>
  <c r="I2378" i="34"/>
  <c r="I2379" i="34"/>
  <c r="I2380" i="34"/>
  <c r="I2381" i="34"/>
  <c r="I2382" i="34"/>
  <c r="I2383" i="34"/>
  <c r="I2384" i="34"/>
  <c r="I2385" i="34"/>
  <c r="I2386" i="34"/>
  <c r="I2387" i="34"/>
  <c r="I2388" i="34"/>
  <c r="I2389" i="34"/>
  <c r="I2390" i="34"/>
  <c r="I2391" i="34"/>
  <c r="I2392" i="34"/>
  <c r="I2393" i="34"/>
  <c r="I2394" i="34"/>
  <c r="I2395" i="34"/>
  <c r="I2396" i="34"/>
  <c r="I2397" i="34"/>
  <c r="I2398" i="34"/>
  <c r="I2399" i="34"/>
  <c r="I2400" i="34"/>
  <c r="I2401" i="34"/>
  <c r="I2402" i="34"/>
  <c r="I2403" i="34"/>
  <c r="I2404" i="34"/>
  <c r="I2405" i="34"/>
  <c r="I2406" i="34"/>
  <c r="I2407" i="34"/>
  <c r="I2408" i="34"/>
  <c r="I2409" i="34"/>
  <c r="I2410" i="34"/>
  <c r="I2411" i="34"/>
  <c r="I2412" i="34"/>
  <c r="I2413" i="34"/>
  <c r="I2414" i="34"/>
  <c r="I2415" i="34"/>
  <c r="I2416" i="34"/>
  <c r="I2417" i="34"/>
  <c r="I2418" i="34"/>
  <c r="I2419" i="34"/>
  <c r="I2420" i="34"/>
  <c r="I2421" i="34"/>
  <c r="I2422" i="34"/>
  <c r="I2423" i="34"/>
  <c r="I2424" i="34"/>
  <c r="I2425" i="34"/>
  <c r="I2426" i="34"/>
  <c r="I2427" i="34"/>
  <c r="I2428" i="34"/>
  <c r="I2429" i="34"/>
  <c r="I2430" i="34"/>
  <c r="I2431" i="34"/>
  <c r="I2432" i="34"/>
  <c r="I2433" i="34"/>
  <c r="I2434" i="34"/>
  <c r="I2435" i="34"/>
  <c r="I2436" i="34"/>
  <c r="I2437" i="34"/>
  <c r="I2438" i="34"/>
  <c r="I2439" i="34"/>
  <c r="I2440" i="34"/>
  <c r="I2441" i="34"/>
  <c r="I2442" i="34"/>
  <c r="I2443" i="34"/>
  <c r="I2444" i="34"/>
  <c r="I2445" i="34"/>
  <c r="I2446" i="34"/>
  <c r="I2447" i="34"/>
  <c r="I2448" i="34"/>
  <c r="I2449" i="34"/>
  <c r="I2450" i="34"/>
  <c r="I2451" i="34"/>
  <c r="I2452" i="34"/>
  <c r="I2453" i="34"/>
  <c r="I2454" i="34"/>
  <c r="I2455" i="34"/>
  <c r="I2456" i="34"/>
  <c r="I2457" i="34"/>
  <c r="I2458" i="34"/>
  <c r="I2459" i="34"/>
  <c r="I2460" i="34"/>
  <c r="I2461" i="34"/>
  <c r="I2462" i="34"/>
  <c r="I2463" i="34"/>
  <c r="I2464" i="34"/>
  <c r="I2465" i="34"/>
  <c r="I2466" i="34"/>
  <c r="I2467" i="34"/>
  <c r="I2468" i="34"/>
  <c r="I2469" i="34"/>
  <c r="I2470" i="34"/>
  <c r="I2471" i="34"/>
  <c r="I2472" i="34"/>
  <c r="I2473" i="34"/>
  <c r="I2474" i="34"/>
  <c r="I2475" i="34"/>
  <c r="I2476" i="34"/>
  <c r="I2477" i="34"/>
  <c r="I2478" i="34"/>
  <c r="I2479" i="34"/>
  <c r="I2480" i="34"/>
  <c r="I2481" i="34"/>
  <c r="I2482" i="34"/>
  <c r="I2483" i="34"/>
  <c r="I2484" i="34"/>
  <c r="I2485" i="34"/>
  <c r="I2486" i="34"/>
  <c r="I2487" i="34"/>
  <c r="I2488" i="34"/>
  <c r="I2489" i="34"/>
  <c r="I2490" i="34"/>
  <c r="I2491" i="34"/>
  <c r="I2492" i="34"/>
  <c r="I2493" i="34"/>
  <c r="I2494" i="34"/>
  <c r="I2495" i="34"/>
  <c r="I2496" i="34"/>
  <c r="I2497" i="34"/>
  <c r="I2498" i="34"/>
  <c r="I2499" i="34"/>
  <c r="I2500" i="34"/>
  <c r="I2501" i="34"/>
  <c r="I2502" i="34"/>
  <c r="I2503" i="34"/>
  <c r="I2504" i="34"/>
  <c r="I2505" i="34"/>
  <c r="I2506" i="34"/>
  <c r="I2507" i="34"/>
  <c r="I2508" i="34"/>
  <c r="I2509" i="34"/>
  <c r="I2510" i="34"/>
  <c r="I2511" i="34"/>
  <c r="I2512" i="34"/>
  <c r="I2513" i="34"/>
  <c r="I2514" i="34"/>
  <c r="I2515" i="34"/>
  <c r="I2516" i="34"/>
  <c r="I2517" i="34"/>
  <c r="I2518" i="34"/>
  <c r="I2519" i="34"/>
  <c r="I2520" i="34"/>
  <c r="I2521" i="34"/>
  <c r="I2522" i="34"/>
  <c r="I2523" i="34"/>
  <c r="I2524" i="34"/>
  <c r="I2525" i="34"/>
  <c r="I2526" i="34"/>
  <c r="I2527" i="34"/>
  <c r="I2528" i="34"/>
  <c r="I2529" i="34"/>
  <c r="I2530" i="34"/>
  <c r="I2531" i="34"/>
  <c r="I2532" i="34"/>
  <c r="I2533" i="34"/>
  <c r="I2534" i="34"/>
  <c r="I2535" i="34"/>
  <c r="I2536" i="34"/>
  <c r="I2537" i="34"/>
  <c r="I2538" i="34"/>
  <c r="I2539" i="34"/>
  <c r="I2540" i="34"/>
  <c r="I2541" i="34"/>
  <c r="I2542" i="34"/>
  <c r="I2543" i="34"/>
  <c r="I2544" i="34"/>
  <c r="I2545" i="34"/>
  <c r="I2546" i="34"/>
  <c r="I2547" i="34"/>
  <c r="I2548" i="34"/>
  <c r="I2549" i="34"/>
  <c r="I2550" i="34"/>
  <c r="I2551" i="34"/>
  <c r="I2552" i="34"/>
  <c r="I2553" i="34"/>
  <c r="I2554" i="34"/>
  <c r="I2555" i="34"/>
  <c r="I2556" i="34"/>
  <c r="I2557" i="34"/>
  <c r="I2558" i="34"/>
  <c r="I2559" i="34"/>
  <c r="I2560" i="34"/>
  <c r="I2561" i="34"/>
  <c r="I2562" i="34"/>
  <c r="I2563" i="34"/>
  <c r="I2564" i="34"/>
  <c r="I2565" i="34"/>
  <c r="I2566" i="34"/>
  <c r="I2567" i="34"/>
  <c r="I2568" i="34"/>
  <c r="I2569" i="34"/>
  <c r="I2570" i="34"/>
  <c r="I2571" i="34"/>
  <c r="I2572" i="34"/>
  <c r="I2584" i="34"/>
  <c r="I2585" i="34"/>
  <c r="I2586" i="34"/>
  <c r="I2587" i="34"/>
  <c r="I2588" i="34"/>
  <c r="I2589" i="34"/>
  <c r="I2590" i="34"/>
  <c r="I2591" i="34"/>
  <c r="I2592" i="34"/>
  <c r="I2593" i="34"/>
  <c r="I2594" i="34"/>
  <c r="I2595" i="34"/>
  <c r="I2596" i="34"/>
  <c r="I2597" i="34"/>
  <c r="I2598" i="34"/>
  <c r="I2599" i="34"/>
  <c r="I2600" i="34"/>
  <c r="I2601" i="34"/>
  <c r="I2602" i="34"/>
  <c r="I2603" i="34"/>
  <c r="I2604" i="34"/>
  <c r="I2605" i="34"/>
  <c r="I2606" i="34"/>
  <c r="I2607" i="34"/>
  <c r="I2608" i="34"/>
  <c r="I2609" i="34"/>
  <c r="I2610" i="34"/>
  <c r="I2611" i="34"/>
  <c r="I2612" i="34"/>
  <c r="I2613" i="34"/>
  <c r="I2614" i="34"/>
  <c r="I2615" i="34"/>
  <c r="I2616" i="34"/>
  <c r="I2617" i="34"/>
  <c r="I2618" i="34"/>
  <c r="I2619" i="34"/>
  <c r="I2620" i="34"/>
  <c r="I2621" i="34"/>
  <c r="I2622" i="34"/>
  <c r="I2623" i="34"/>
  <c r="I2624" i="34"/>
  <c r="I2625" i="34"/>
  <c r="I2626" i="34"/>
  <c r="I2627" i="34"/>
  <c r="I2628" i="34"/>
  <c r="I2629" i="34"/>
  <c r="I2630" i="34"/>
  <c r="I2631" i="34"/>
  <c r="I2632" i="34"/>
  <c r="I2633" i="34"/>
  <c r="I2634" i="34"/>
  <c r="I2635" i="34"/>
  <c r="I2636" i="34"/>
  <c r="I2637" i="34"/>
  <c r="I2638" i="34"/>
  <c r="I2639" i="34"/>
  <c r="I2640" i="34"/>
  <c r="I2641" i="34"/>
  <c r="I2642" i="34"/>
  <c r="I2643" i="34"/>
  <c r="I2644" i="34"/>
  <c r="I2645" i="34"/>
  <c r="I2646" i="34"/>
  <c r="I2647" i="34"/>
  <c r="I2648" i="34"/>
  <c r="I2649" i="34"/>
  <c r="I2650" i="34"/>
  <c r="I2651" i="34"/>
  <c r="I2652" i="34"/>
  <c r="I2653" i="34"/>
  <c r="I2654" i="34"/>
  <c r="I2655" i="34"/>
  <c r="I2656" i="34"/>
  <c r="I2657" i="34"/>
  <c r="I2658" i="34"/>
  <c r="I2659" i="34"/>
  <c r="I2660" i="34"/>
  <c r="I2661" i="34"/>
  <c r="I2662" i="34"/>
  <c r="I2663" i="34"/>
  <c r="I2664" i="34"/>
  <c r="I2665" i="34"/>
  <c r="I2666" i="34"/>
  <c r="I2667" i="34"/>
  <c r="I2668" i="34"/>
  <c r="I2669" i="34"/>
  <c r="I2670" i="34"/>
  <c r="I2671" i="34"/>
  <c r="I2672" i="34"/>
  <c r="I2673" i="34"/>
  <c r="I2674" i="34"/>
  <c r="I2675" i="34"/>
  <c r="I2676" i="34"/>
  <c r="I2677" i="34"/>
  <c r="I2678" i="34"/>
  <c r="I2679" i="34"/>
  <c r="I2680" i="34"/>
  <c r="I2681" i="34"/>
  <c r="I2682" i="34"/>
  <c r="I2683" i="34"/>
  <c r="I2684" i="34"/>
  <c r="I2685" i="34"/>
  <c r="I2686" i="34"/>
  <c r="I2687" i="34"/>
  <c r="I2688" i="34"/>
  <c r="I2689" i="34"/>
  <c r="I2690" i="34"/>
  <c r="I2691" i="34"/>
  <c r="I2692" i="34"/>
  <c r="I2693" i="34"/>
  <c r="I2694" i="34"/>
  <c r="I2695" i="34"/>
  <c r="I2696" i="34"/>
  <c r="I2697" i="34"/>
  <c r="I2698" i="34"/>
  <c r="I2699" i="34"/>
  <c r="I2700" i="34"/>
  <c r="I2701" i="34"/>
  <c r="I2702" i="34"/>
  <c r="I2703" i="34"/>
  <c r="I2704" i="34"/>
  <c r="I2705" i="34"/>
  <c r="I2706" i="34"/>
  <c r="I2707" i="34"/>
  <c r="I2708" i="34"/>
  <c r="I2709" i="34"/>
  <c r="I2710" i="34"/>
  <c r="I2711" i="34"/>
  <c r="I2712" i="34"/>
  <c r="I2713" i="34"/>
  <c r="I2714" i="34"/>
  <c r="I2715" i="34"/>
  <c r="I2716" i="34"/>
  <c r="I2717" i="34"/>
  <c r="I2718" i="34"/>
  <c r="I2719" i="34"/>
  <c r="I2720" i="34"/>
  <c r="I2721" i="34"/>
  <c r="I2722" i="34"/>
  <c r="I2723" i="34"/>
  <c r="I2724" i="34"/>
  <c r="I2725" i="34"/>
  <c r="I2726" i="34"/>
  <c r="I2727" i="34"/>
  <c r="I2728" i="34"/>
  <c r="I2729" i="34"/>
  <c r="I2730" i="34"/>
  <c r="I2731" i="34"/>
  <c r="I2732" i="34"/>
  <c r="I2733" i="34"/>
  <c r="I2734" i="34"/>
  <c r="I2735" i="34"/>
  <c r="I2736" i="34"/>
  <c r="I2737" i="34"/>
  <c r="I2738" i="34"/>
  <c r="I2739" i="34"/>
  <c r="I2740" i="34"/>
  <c r="I2741" i="34"/>
  <c r="I2742" i="34"/>
  <c r="I2743" i="34"/>
  <c r="I2744" i="34"/>
  <c r="I2745" i="34"/>
  <c r="I2746" i="34"/>
  <c r="I2747" i="34"/>
  <c r="I2748" i="34"/>
  <c r="I2749" i="34"/>
  <c r="I2750" i="34"/>
  <c r="I2751" i="34"/>
  <c r="I2752" i="34"/>
  <c r="I2753" i="34"/>
  <c r="I2754" i="34"/>
  <c r="I2755" i="34"/>
  <c r="I2756" i="34"/>
  <c r="I2757" i="34"/>
  <c r="I2758" i="34"/>
  <c r="I2759" i="34"/>
  <c r="I2760" i="34"/>
  <c r="I2761" i="34"/>
  <c r="I2762" i="34"/>
  <c r="I2763" i="34"/>
  <c r="I2764" i="34"/>
  <c r="I2765" i="34"/>
  <c r="I2766" i="34"/>
  <c r="I2767" i="34"/>
  <c r="I2768" i="34"/>
  <c r="I2769" i="34"/>
  <c r="I2770" i="34"/>
  <c r="I2771" i="34"/>
  <c r="I2772" i="34"/>
  <c r="I2773" i="34"/>
  <c r="I2774" i="34"/>
  <c r="I2775" i="34"/>
  <c r="I2776" i="34"/>
  <c r="I2777" i="34"/>
  <c r="I2778" i="34"/>
  <c r="I2779" i="34"/>
  <c r="I2780" i="34"/>
  <c r="I2781" i="34"/>
  <c r="I2782" i="34"/>
  <c r="I2783" i="34"/>
  <c r="I2784" i="34"/>
  <c r="I2785" i="34"/>
  <c r="I2786" i="34"/>
  <c r="I2787" i="34"/>
  <c r="I2788" i="34"/>
  <c r="I2789" i="34"/>
  <c r="I2790" i="34"/>
  <c r="I2791" i="34"/>
  <c r="I2792" i="34"/>
  <c r="I2793" i="34"/>
  <c r="I2794" i="34"/>
  <c r="I2795" i="34"/>
  <c r="I2796" i="34"/>
  <c r="I2797" i="34"/>
  <c r="I2798" i="34"/>
  <c r="I2799" i="34"/>
  <c r="I2800" i="34"/>
  <c r="I2801" i="34"/>
  <c r="I2802" i="34"/>
  <c r="I2803" i="34"/>
  <c r="I2804" i="34"/>
  <c r="I2805" i="34"/>
  <c r="I2806" i="34"/>
  <c r="I2807" i="34"/>
  <c r="I2808" i="34"/>
  <c r="I2809" i="34"/>
  <c r="I2810" i="34"/>
  <c r="I2811" i="34"/>
  <c r="I2812" i="34"/>
  <c r="I2813" i="34"/>
  <c r="I2814" i="34"/>
  <c r="I2815" i="34"/>
  <c r="I2816" i="34"/>
  <c r="I2817" i="34"/>
  <c r="I2818" i="34"/>
  <c r="I2819" i="34"/>
  <c r="I2820" i="34"/>
  <c r="I2821" i="34"/>
  <c r="I2822" i="34"/>
  <c r="I2823" i="34"/>
  <c r="I2824" i="34"/>
  <c r="I2825" i="34"/>
  <c r="I2826" i="34"/>
  <c r="I2827" i="34"/>
  <c r="I2828" i="34"/>
  <c r="I2829" i="34"/>
  <c r="I2830" i="34"/>
  <c r="I2831" i="34"/>
  <c r="I2832" i="34"/>
  <c r="I2833" i="34"/>
  <c r="I2834" i="34"/>
  <c r="I2835" i="34"/>
  <c r="I2836" i="34"/>
  <c r="I2837" i="34"/>
  <c r="I2838" i="34"/>
  <c r="I2839" i="34"/>
  <c r="I2840" i="34"/>
  <c r="I2841" i="34"/>
  <c r="I2842" i="34"/>
  <c r="I2843" i="34"/>
  <c r="I2844" i="34"/>
  <c r="I2845" i="34"/>
  <c r="I2846" i="34"/>
  <c r="I2847" i="34"/>
  <c r="I2848" i="34"/>
  <c r="I2849" i="34"/>
  <c r="I2850" i="34"/>
  <c r="I2851" i="34"/>
  <c r="I2852" i="34"/>
  <c r="I2853" i="34"/>
  <c r="I2854" i="34"/>
  <c r="I2855" i="34"/>
  <c r="I2856" i="34"/>
  <c r="I2857" i="34"/>
  <c r="I2858" i="34"/>
  <c r="I2859" i="34"/>
  <c r="I2860" i="34"/>
  <c r="I2861" i="34"/>
  <c r="I2862" i="34"/>
  <c r="I2863" i="34"/>
  <c r="I2864" i="34"/>
  <c r="I2865" i="34"/>
  <c r="I2866" i="34"/>
  <c r="I2867" i="34"/>
  <c r="I2868" i="34"/>
  <c r="I2869" i="34"/>
  <c r="I2870" i="34"/>
  <c r="I2871" i="34"/>
  <c r="I2872" i="34"/>
  <c r="I2873" i="34"/>
  <c r="I2874" i="34"/>
  <c r="I2875" i="34"/>
  <c r="I2876" i="34"/>
  <c r="I2877" i="34"/>
  <c r="I2878" i="34"/>
  <c r="I2879" i="34"/>
  <c r="I2880" i="34"/>
  <c r="I2881" i="34"/>
  <c r="I2882" i="34"/>
  <c r="I2886" i="34"/>
  <c r="I2890" i="34"/>
  <c r="I2897" i="34"/>
  <c r="I2901" i="34"/>
  <c r="I2908" i="34"/>
  <c r="I2912" i="34"/>
  <c r="I2919" i="34"/>
  <c r="I2923" i="34"/>
  <c r="I2930" i="34"/>
  <c r="I2934" i="34"/>
  <c r="I2935" i="34"/>
  <c r="I2937" i="34"/>
  <c r="I2941" i="34"/>
  <c r="I2945" i="34"/>
  <c r="I2949" i="34"/>
  <c r="I2953" i="34"/>
  <c r="I2954" i="34"/>
  <c r="I2958" i="34"/>
  <c r="I2962" i="34"/>
  <c r="I2966" i="34"/>
  <c r="I2970" i="34"/>
  <c r="I2974" i="34"/>
  <c r="I2975" i="34"/>
  <c r="I2976" i="34"/>
  <c r="I2981" i="34"/>
  <c r="I2982" i="34"/>
  <c r="I2983" i="34"/>
  <c r="I2985" i="34"/>
  <c r="I2986" i="34"/>
  <c r="I2987" i="34"/>
  <c r="I2989" i="34"/>
  <c r="I2990" i="34"/>
  <c r="I2991" i="34"/>
  <c r="I2993" i="34"/>
  <c r="I2997" i="34"/>
  <c r="I2998" i="34"/>
  <c r="I2999" i="34"/>
  <c r="I3001" i="34"/>
  <c r="I3002" i="34"/>
  <c r="I3003" i="34"/>
  <c r="I3005" i="34"/>
  <c r="I3006" i="34"/>
  <c r="I3007" i="34"/>
  <c r="I3009" i="34"/>
  <c r="I3010" i="34"/>
  <c r="I3011" i="34"/>
  <c r="I3013" i="34"/>
  <c r="I3019" i="34"/>
  <c r="I3020" i="34"/>
  <c r="I3024" i="34"/>
  <c r="I3028" i="34"/>
  <c r="I3032" i="34"/>
  <c r="I3036" i="34"/>
  <c r="I3037" i="34"/>
  <c r="I3038" i="34"/>
  <c r="I3040" i="34"/>
  <c r="I3041" i="34"/>
  <c r="I3042" i="34"/>
  <c r="I3043" i="34"/>
  <c r="I3044" i="34"/>
  <c r="I3045" i="34"/>
  <c r="I3046" i="34"/>
  <c r="I3047" i="34"/>
  <c r="I3048" i="34"/>
  <c r="I3049" i="34"/>
  <c r="I3050" i="34"/>
  <c r="I3051" i="34"/>
  <c r="I3052" i="34"/>
  <c r="I3056" i="34"/>
  <c r="I3060" i="34"/>
  <c r="I3061" i="34"/>
  <c r="I3062" i="34"/>
  <c r="I3063" i="34"/>
  <c r="I3064" i="34"/>
  <c r="I3065" i="34"/>
  <c r="I3066" i="34"/>
  <c r="I3067" i="34"/>
  <c r="I3068" i="34"/>
  <c r="I3069" i="34"/>
  <c r="I3070" i="34"/>
  <c r="I3071" i="34"/>
  <c r="I3073" i="34"/>
  <c r="I3074" i="34"/>
  <c r="I3075" i="34"/>
  <c r="I3076" i="34"/>
  <c r="I3079" i="34"/>
  <c r="I3082" i="34"/>
  <c r="I3083" i="34"/>
  <c r="I3084" i="34"/>
  <c r="I3087" i="34"/>
  <c r="I3088" i="34"/>
  <c r="I3091" i="34"/>
  <c r="I3092" i="34"/>
  <c r="I3093" i="34"/>
  <c r="I3094" i="34"/>
  <c r="I3095" i="34"/>
  <c r="I3096" i="34"/>
  <c r="I3097" i="34"/>
  <c r="I3099" i="34"/>
  <c r="I3103" i="34"/>
  <c r="I3104" i="34"/>
  <c r="I3105" i="34"/>
  <c r="I3107" i="34"/>
  <c r="I3108" i="34"/>
  <c r="I3109" i="34"/>
  <c r="I3111" i="34"/>
  <c r="I3112" i="34"/>
  <c r="I3113" i="34"/>
  <c r="I3115" i="34"/>
  <c r="I3116" i="34"/>
  <c r="I3117" i="34"/>
  <c r="I3119" i="34"/>
  <c r="I3123" i="34"/>
  <c r="I3124" i="34"/>
  <c r="I3125" i="34"/>
  <c r="I3127" i="34"/>
  <c r="I3128" i="34"/>
  <c r="I3131" i="34"/>
  <c r="I3133" i="34"/>
  <c r="I3140" i="34"/>
  <c r="I3142" i="34"/>
  <c r="I3143" i="34"/>
  <c r="I3144" i="34"/>
  <c r="I3145" i="34"/>
  <c r="I3146" i="34"/>
  <c r="I3149" i="34"/>
  <c r="I3151" i="34"/>
  <c r="I3158" i="34"/>
  <c r="I3160" i="34"/>
  <c r="I3161" i="34"/>
  <c r="I3162" i="34"/>
  <c r="I3163" i="34"/>
  <c r="I3164" i="34"/>
  <c r="I3165" i="34"/>
  <c r="I3168" i="34"/>
  <c r="I3170" i="34"/>
  <c r="I3177" i="34"/>
  <c r="I3179" i="34"/>
  <c r="I3180" i="34"/>
  <c r="I3181" i="34"/>
  <c r="I3182" i="34"/>
  <c r="I3183" i="34"/>
  <c r="I3186" i="34"/>
  <c r="I3188" i="34"/>
  <c r="I3195" i="34"/>
  <c r="I3197" i="34"/>
  <c r="I3198" i="34"/>
  <c r="I3199" i="34"/>
  <c r="I3200" i="34"/>
  <c r="I3201" i="34"/>
  <c r="I3202" i="34"/>
  <c r="I3203" i="34"/>
  <c r="I3204" i="34"/>
  <c r="I3205" i="34"/>
  <c r="I3206" i="34"/>
  <c r="I3207" i="34"/>
  <c r="I3208" i="34"/>
  <c r="I3209" i="34"/>
  <c r="I3210" i="34"/>
  <c r="I3211" i="34"/>
  <c r="I3212" i="34"/>
  <c r="I3213" i="34"/>
  <c r="I3214" i="34"/>
  <c r="I3215" i="34"/>
  <c r="I3216" i="34"/>
  <c r="I3217" i="34"/>
  <c r="I3218" i="34"/>
  <c r="I3219" i="34"/>
  <c r="I3220" i="34"/>
  <c r="I3221" i="34"/>
  <c r="I3222" i="34"/>
  <c r="I3223" i="34"/>
  <c r="I3225" i="34"/>
  <c r="I3226" i="34"/>
  <c r="I3227" i="34"/>
  <c r="I3228" i="34"/>
  <c r="I3230" i="34"/>
  <c r="I3231" i="34"/>
  <c r="I3232" i="34"/>
  <c r="I3233" i="34"/>
  <c r="I3235" i="34"/>
  <c r="I3236" i="34"/>
  <c r="I3237" i="34"/>
  <c r="I3238" i="34"/>
  <c r="I3239" i="34"/>
  <c r="I3240" i="34"/>
  <c r="I3241" i="34"/>
  <c r="I3242" i="34"/>
  <c r="I3243" i="34"/>
  <c r="I3244" i="34"/>
  <c r="I3245" i="34"/>
  <c r="I3246" i="34"/>
  <c r="I3247" i="34"/>
  <c r="I3248" i="34"/>
  <c r="I3249" i="34"/>
  <c r="I3250" i="34"/>
  <c r="I3251" i="34"/>
  <c r="I3252" i="34"/>
  <c r="I3256" i="34"/>
  <c r="I3257" i="34"/>
  <c r="I3258" i="34"/>
  <c r="I3259" i="34"/>
  <c r="I3260" i="34"/>
  <c r="I3261" i="34"/>
  <c r="I3262" i="34"/>
  <c r="I3263" i="34"/>
  <c r="I3264" i="34"/>
  <c r="I3265" i="34"/>
  <c r="I3266" i="34"/>
  <c r="I3267" i="34"/>
  <c r="I3268" i="34"/>
  <c r="I3269" i="34"/>
  <c r="I3270" i="34"/>
  <c r="I3271" i="34"/>
  <c r="I3272" i="34"/>
  <c r="I3273" i="34"/>
  <c r="I3274" i="34"/>
  <c r="I3275" i="34"/>
  <c r="I3276" i="34"/>
  <c r="I3277" i="34"/>
  <c r="I3278" i="34"/>
  <c r="I3279" i="34"/>
  <c r="I3280" i="34"/>
  <c r="I3281" i="34"/>
  <c r="I3282" i="34"/>
  <c r="I3283" i="34"/>
  <c r="I3284" i="34"/>
  <c r="I3285" i="34"/>
  <c r="I3286" i="34"/>
  <c r="I3287" i="34"/>
  <c r="I3288" i="34"/>
  <c r="I3289" i="34"/>
  <c r="I3290" i="34"/>
  <c r="I3291" i="34"/>
  <c r="I3292" i="34"/>
  <c r="I3293" i="34"/>
  <c r="I3294" i="34"/>
  <c r="I3295" i="34"/>
  <c r="I3296" i="34"/>
  <c r="I3297" i="34"/>
  <c r="I3298" i="34"/>
  <c r="I3299" i="34"/>
  <c r="I3300" i="34"/>
  <c r="I3308" i="34"/>
  <c r="I3312" i="34"/>
  <c r="I3316" i="34"/>
  <c r="I3317" i="34"/>
  <c r="I3318" i="34"/>
  <c r="I3322" i="34"/>
  <c r="I3326" i="34"/>
  <c r="I3330" i="34"/>
  <c r="I3334" i="34"/>
  <c r="I3338" i="34"/>
  <c r="I3342" i="34"/>
  <c r="I3346" i="34"/>
  <c r="I3350" i="34"/>
  <c r="I3351" i="34"/>
  <c r="I3352" i="34"/>
  <c r="I3353" i="34"/>
  <c r="I3354" i="34"/>
  <c r="I3355" i="34"/>
  <c r="I3356" i="34"/>
  <c r="I3357" i="34"/>
  <c r="I3358" i="34"/>
  <c r="I3359" i="34"/>
  <c r="I3360" i="34"/>
  <c r="I3361" i="34"/>
  <c r="I3362" i="34"/>
  <c r="I3363" i="34"/>
  <c r="I3364" i="34"/>
  <c r="I3365" i="34"/>
  <c r="I3366" i="34"/>
  <c r="I3367" i="34"/>
  <c r="I3368" i="34"/>
  <c r="I3369" i="34"/>
  <c r="I3370" i="34"/>
  <c r="I3371" i="34"/>
  <c r="I3372" i="34"/>
  <c r="I3373" i="34"/>
  <c r="I3374" i="34"/>
  <c r="I3375" i="34"/>
  <c r="I3376" i="34"/>
  <c r="I3377" i="34"/>
  <c r="I3378" i="34"/>
  <c r="I3379" i="34"/>
  <c r="I3380" i="34"/>
  <c r="I3381" i="34"/>
  <c r="I3382" i="34"/>
  <c r="I3383" i="34"/>
  <c r="I3384" i="34"/>
  <c r="I3385" i="34"/>
  <c r="I3386" i="34"/>
  <c r="I3387" i="34"/>
  <c r="I3391" i="34"/>
  <c r="I3393" i="34"/>
  <c r="I3394" i="34"/>
  <c r="I3395" i="34"/>
  <c r="I3396" i="34"/>
  <c r="I3397" i="34"/>
  <c r="I3398" i="34"/>
  <c r="I3399" i="34"/>
  <c r="I3400" i="34"/>
  <c r="I3401" i="34"/>
  <c r="I3402" i="34"/>
  <c r="I3403" i="34"/>
  <c r="I3404" i="34"/>
  <c r="I3405" i="34"/>
  <c r="I3406" i="34"/>
  <c r="I3407" i="34"/>
  <c r="I3408" i="34"/>
  <c r="I3409" i="34"/>
  <c r="I3410" i="34"/>
  <c r="I3411" i="34"/>
  <c r="I3412" i="34"/>
  <c r="I3416" i="34"/>
  <c r="I3417" i="34"/>
  <c r="I3418" i="34"/>
  <c r="I3419" i="34"/>
  <c r="I3420" i="34"/>
  <c r="I3421" i="34"/>
  <c r="I3422" i="34"/>
  <c r="I3423" i="34"/>
  <c r="I3424" i="34"/>
  <c r="I3436" i="34"/>
  <c r="I3437" i="34"/>
  <c r="I3438" i="34"/>
  <c r="I3439" i="34"/>
  <c r="I3440" i="34"/>
  <c r="I3441" i="34"/>
  <c r="I3442" i="34"/>
  <c r="I3443" i="34"/>
  <c r="I3444" i="34"/>
  <c r="I3445" i="34"/>
  <c r="I3446" i="34"/>
  <c r="I3447" i="34"/>
  <c r="I3448" i="34"/>
  <c r="I3449" i="34"/>
  <c r="I3450" i="34"/>
  <c r="I3451" i="34"/>
  <c r="I3452" i="34"/>
  <c r="I3456" i="34"/>
  <c r="I3457" i="34"/>
  <c r="I3458" i="34"/>
  <c r="I3459" i="34"/>
  <c r="I3460" i="34"/>
  <c r="I3461" i="34"/>
  <c r="I3462" i="34"/>
  <c r="I3463" i="34"/>
  <c r="I3464" i="34"/>
  <c r="I3465" i="34"/>
  <c r="I3466" i="34"/>
  <c r="I3467" i="34"/>
  <c r="I3468" i="34"/>
  <c r="I3469" i="34"/>
  <c r="I3470" i="34"/>
  <c r="I3471" i="34"/>
  <c r="I3472" i="34"/>
  <c r="I3473" i="34"/>
  <c r="I3474" i="34"/>
  <c r="I3475" i="34"/>
  <c r="I3481" i="34"/>
  <c r="I3484" i="34"/>
  <c r="I3489" i="34"/>
  <c r="I3494" i="34"/>
  <c r="I3495" i="34"/>
  <c r="I3496" i="34"/>
  <c r="I3500" i="34"/>
  <c r="I3501" i="34"/>
  <c r="I3503" i="34"/>
  <c r="I3504" i="34"/>
  <c r="I3505" i="34"/>
  <c r="I3507" i="34"/>
  <c r="I3508" i="34"/>
  <c r="I3510" i="34"/>
  <c r="I3511" i="34"/>
  <c r="I3515" i="34"/>
  <c r="I3516" i="34"/>
  <c r="I3518" i="34"/>
  <c r="I3519" i="34"/>
  <c r="I3520" i="34"/>
  <c r="I3522" i="34"/>
  <c r="I3523" i="34"/>
  <c r="I3525" i="34"/>
  <c r="I3526" i="34"/>
  <c r="I3530" i="34"/>
  <c r="I3531" i="34"/>
  <c r="I3533" i="34"/>
  <c r="I3534" i="34"/>
  <c r="I3535" i="34"/>
  <c r="I3537" i="34"/>
  <c r="I3538" i="34"/>
  <c r="I3540" i="34"/>
  <c r="I3544" i="34"/>
  <c r="I3545" i="34"/>
  <c r="I3547" i="34"/>
  <c r="I3551" i="34"/>
  <c r="I3552" i="34"/>
  <c r="I3554" i="34"/>
  <c r="I3555" i="34"/>
  <c r="I3556" i="34"/>
  <c r="I3560" i="34"/>
  <c r="I3561" i="34"/>
  <c r="I3562" i="34"/>
  <c r="I3563" i="34"/>
  <c r="I3565" i="34"/>
  <c r="I3566" i="34"/>
  <c r="I3567" i="34"/>
  <c r="I3568" i="34"/>
  <c r="I1261" i="34"/>
  <c r="I1262" i="34"/>
  <c r="I1263" i="34"/>
  <c r="I1264" i="34"/>
  <c r="I1265" i="34"/>
  <c r="I1266" i="34"/>
  <c r="I1267" i="34"/>
  <c r="I1268" i="34"/>
  <c r="I1269" i="34"/>
  <c r="I1270" i="34"/>
  <c r="I1271" i="34"/>
  <c r="I1272" i="34"/>
  <c r="I1273" i="34"/>
  <c r="I1274" i="34"/>
  <c r="I1275" i="34"/>
  <c r="I1276" i="34"/>
  <c r="I1277" i="34"/>
  <c r="I1278" i="34"/>
  <c r="I1279" i="34"/>
  <c r="I1280" i="34"/>
  <c r="I1281" i="34"/>
  <c r="I1282" i="34"/>
  <c r="I1283" i="34"/>
  <c r="I1287" i="34"/>
  <c r="I1288" i="34"/>
  <c r="I1290" i="34"/>
  <c r="I1291" i="34"/>
  <c r="I1292" i="34"/>
  <c r="I1293" i="34"/>
  <c r="I16" i="34"/>
  <c r="I17" i="34"/>
  <c r="I19" i="34"/>
  <c r="I22" i="34"/>
  <c r="I26" i="34"/>
  <c r="I27" i="34"/>
  <c r="I38" i="34"/>
  <c r="I39" i="34"/>
  <c r="I41" i="34"/>
  <c r="I43" i="34"/>
  <c r="I46" i="34"/>
  <c r="I55" i="34"/>
  <c r="I56" i="34"/>
  <c r="I64" i="34"/>
  <c r="I75" i="34"/>
  <c r="I76" i="34"/>
  <c r="I89" i="34"/>
  <c r="I102" i="34"/>
  <c r="I104" i="34"/>
  <c r="I106" i="34"/>
  <c r="I116" i="34"/>
  <c r="I117" i="34"/>
  <c r="I119" i="34"/>
  <c r="I123" i="34"/>
  <c r="I134" i="34"/>
  <c r="I140" i="34"/>
  <c r="I141" i="34"/>
  <c r="I142" i="34"/>
  <c r="I143" i="34"/>
  <c r="I144" i="34"/>
  <c r="I145" i="34"/>
  <c r="I146" i="34"/>
  <c r="I147" i="34"/>
  <c r="I148" i="34"/>
  <c r="I150" i="34"/>
  <c r="I152" i="34"/>
  <c r="I153" i="34"/>
  <c r="I154" i="34"/>
  <c r="I155" i="34"/>
  <c r="I160" i="34"/>
  <c r="I161" i="34"/>
  <c r="I162" i="34"/>
  <c r="I163" i="34"/>
  <c r="I164" i="34"/>
  <c r="I165" i="34"/>
  <c r="I167" i="34"/>
  <c r="I168" i="34"/>
  <c r="I169" i="34"/>
  <c r="I170" i="34"/>
  <c r="I171" i="34"/>
  <c r="I172" i="34"/>
  <c r="I173" i="34"/>
  <c r="I174" i="34"/>
  <c r="I175" i="34"/>
  <c r="I176" i="34"/>
  <c r="I177" i="34"/>
  <c r="I178" i="34"/>
  <c r="I179" i="34"/>
  <c r="I180" i="34"/>
  <c r="I181" i="34"/>
  <c r="I182" i="34"/>
  <c r="I183" i="34"/>
  <c r="I184" i="34"/>
  <c r="I185" i="34"/>
  <c r="I186" i="34"/>
  <c r="I187" i="34"/>
  <c r="I188" i="34"/>
  <c r="I189" i="34"/>
  <c r="I190" i="34"/>
  <c r="I191" i="34"/>
  <c r="I193" i="34"/>
  <c r="I194" i="34"/>
  <c r="I195" i="34"/>
  <c r="I196" i="34"/>
  <c r="I197" i="34"/>
  <c r="I198" i="34"/>
  <c r="I199" i="34"/>
  <c r="I200" i="34"/>
  <c r="I201" i="34"/>
  <c r="I202" i="34"/>
  <c r="I203" i="34"/>
  <c r="I204" i="34"/>
  <c r="I205" i="34"/>
  <c r="I206" i="34"/>
  <c r="I207" i="34"/>
  <c r="I208" i="34"/>
  <c r="I209" i="34"/>
  <c r="I210" i="34"/>
  <c r="I211" i="34"/>
  <c r="I212" i="34"/>
  <c r="I213" i="34"/>
  <c r="I214" i="34"/>
  <c r="I215" i="34"/>
  <c r="I216" i="34"/>
  <c r="I217" i="34"/>
  <c r="I218" i="34"/>
  <c r="I219" i="34"/>
  <c r="I220" i="34"/>
  <c r="I221" i="34"/>
  <c r="I222" i="34"/>
  <c r="I223" i="34"/>
  <c r="I224" i="34"/>
  <c r="I225" i="34"/>
  <c r="I226" i="34"/>
  <c r="I227" i="34"/>
  <c r="I228" i="34"/>
  <c r="I229" i="34"/>
  <c r="I230" i="34"/>
  <c r="I231" i="34"/>
  <c r="I232" i="34"/>
  <c r="I233" i="34"/>
  <c r="I234" i="34"/>
  <c r="I235" i="34"/>
  <c r="I236" i="34"/>
  <c r="I237" i="34"/>
  <c r="I238" i="34"/>
  <c r="I239" i="34"/>
  <c r="I240" i="34"/>
  <c r="I241" i="34"/>
  <c r="I242" i="34"/>
  <c r="I243" i="34"/>
  <c r="I244" i="34"/>
  <c r="I245" i="34"/>
  <c r="I246" i="34"/>
  <c r="I247" i="34"/>
  <c r="I248" i="34"/>
  <c r="I249" i="34"/>
  <c r="I250" i="34"/>
  <c r="I251" i="34"/>
  <c r="I252" i="34"/>
  <c r="I253" i="34"/>
  <c r="I254" i="34"/>
  <c r="I255" i="34"/>
  <c r="I256" i="34"/>
  <c r="I257" i="34"/>
  <c r="I258" i="34"/>
  <c r="I259" i="34"/>
  <c r="I260" i="34"/>
  <c r="I261" i="34"/>
  <c r="I262" i="34"/>
  <c r="I263" i="34"/>
  <c r="I264" i="34"/>
  <c r="I265" i="34"/>
  <c r="I266" i="34"/>
  <c r="I267" i="34"/>
  <c r="I268" i="34"/>
  <c r="I269" i="34"/>
  <c r="I270" i="34"/>
  <c r="I271" i="34"/>
  <c r="I272" i="34"/>
  <c r="I273" i="34"/>
  <c r="I274" i="34"/>
  <c r="I275" i="34"/>
  <c r="I276" i="34"/>
  <c r="I277" i="34"/>
  <c r="I278" i="34"/>
  <c r="I279" i="34"/>
  <c r="I280" i="34"/>
  <c r="I281" i="34"/>
  <c r="I282" i="34"/>
  <c r="I283" i="34"/>
  <c r="I284" i="34"/>
  <c r="I285" i="34"/>
  <c r="I286" i="34"/>
  <c r="I287" i="34"/>
  <c r="I288" i="34"/>
  <c r="I289" i="34"/>
  <c r="I290" i="34"/>
  <c r="I291" i="34"/>
  <c r="I292" i="34"/>
  <c r="I293" i="34"/>
  <c r="I294" i="34"/>
  <c r="I295" i="34"/>
  <c r="I296" i="34"/>
  <c r="I297" i="34"/>
  <c r="I298" i="34"/>
  <c r="I299" i="34"/>
  <c r="I300" i="34"/>
  <c r="I301" i="34"/>
  <c r="I302" i="34"/>
  <c r="I303" i="34"/>
  <c r="I304" i="34"/>
  <c r="I305" i="34"/>
  <c r="I306" i="34"/>
  <c r="I307" i="34"/>
  <c r="I308" i="34"/>
  <c r="I309" i="34"/>
  <c r="I310" i="34"/>
  <c r="I311" i="34"/>
  <c r="I312" i="34"/>
  <c r="I313" i="34"/>
  <c r="I314" i="34"/>
  <c r="I315" i="34"/>
  <c r="I316" i="34"/>
  <c r="I317" i="34"/>
  <c r="I318" i="34"/>
  <c r="I319" i="34"/>
  <c r="I320" i="34"/>
  <c r="I321" i="34"/>
  <c r="I322" i="34"/>
  <c r="I323" i="34"/>
  <c r="I325" i="34"/>
  <c r="I326" i="34"/>
  <c r="I327" i="34"/>
  <c r="I328" i="34"/>
  <c r="I329" i="34"/>
  <c r="I330" i="34"/>
  <c r="I331" i="34"/>
  <c r="I332" i="34"/>
  <c r="I333" i="34"/>
  <c r="I334" i="34"/>
  <c r="I335" i="34"/>
  <c r="I336" i="34"/>
  <c r="I337" i="34"/>
  <c r="I338" i="34"/>
  <c r="I339" i="34"/>
  <c r="I340" i="34"/>
  <c r="I341" i="34"/>
  <c r="I342" i="34"/>
  <c r="I343" i="34"/>
  <c r="I344" i="34"/>
  <c r="I345" i="34"/>
  <c r="I346" i="34"/>
  <c r="I347" i="34"/>
  <c r="I348" i="34"/>
  <c r="I349" i="34"/>
  <c r="I350" i="34"/>
  <c r="I351" i="34"/>
  <c r="I352" i="34"/>
  <c r="I353" i="34"/>
  <c r="I354" i="34"/>
  <c r="I355" i="34"/>
  <c r="I356" i="34"/>
  <c r="I357" i="34"/>
  <c r="I358" i="34"/>
  <c r="I359" i="34"/>
  <c r="I360" i="34"/>
  <c r="I361" i="34"/>
  <c r="I362" i="34"/>
  <c r="I363" i="34"/>
  <c r="I364" i="34"/>
  <c r="I365" i="34"/>
  <c r="I366" i="34"/>
  <c r="I367" i="34"/>
  <c r="I368" i="34"/>
  <c r="I369" i="34"/>
  <c r="I370" i="34"/>
  <c r="I371" i="34"/>
  <c r="I372" i="34"/>
  <c r="I373" i="34"/>
  <c r="I374" i="34"/>
  <c r="I375" i="34"/>
  <c r="I376" i="34"/>
  <c r="I377" i="34"/>
  <c r="I378" i="34"/>
  <c r="I379" i="34"/>
  <c r="I380" i="34"/>
  <c r="I381" i="34"/>
  <c r="I382" i="34"/>
  <c r="I383" i="34"/>
  <c r="I384" i="34"/>
  <c r="I385" i="34"/>
  <c r="I386" i="34"/>
  <c r="I387" i="34"/>
  <c r="I388" i="34"/>
  <c r="I389" i="34"/>
  <c r="I390" i="34"/>
  <c r="I391" i="34"/>
  <c r="I392" i="34"/>
  <c r="I393" i="34"/>
  <c r="I394" i="34"/>
  <c r="I395" i="34"/>
  <c r="I396" i="34"/>
  <c r="I397" i="34"/>
  <c r="I398" i="34"/>
  <c r="I399" i="34"/>
  <c r="I400" i="34"/>
  <c r="I401" i="34"/>
  <c r="I402" i="34"/>
  <c r="I403" i="34"/>
  <c r="I404" i="34"/>
  <c r="I405" i="34"/>
  <c r="I406" i="34"/>
  <c r="I407" i="34"/>
  <c r="I408" i="34"/>
  <c r="I409" i="34"/>
  <c r="I410" i="34"/>
  <c r="I411" i="34"/>
  <c r="I412" i="34"/>
  <c r="I413" i="34"/>
  <c r="I414" i="34"/>
  <c r="I415" i="34"/>
  <c r="I416" i="34"/>
  <c r="I417" i="34"/>
  <c r="I418" i="34"/>
  <c r="I419" i="34"/>
  <c r="I420" i="34"/>
  <c r="I421" i="34"/>
  <c r="I422" i="34"/>
  <c r="I423" i="34"/>
  <c r="I424" i="34"/>
  <c r="I425" i="34"/>
  <c r="I426" i="34"/>
  <c r="I427" i="34"/>
  <c r="I428" i="34"/>
  <c r="I429" i="34"/>
  <c r="I430" i="34"/>
  <c r="I431" i="34"/>
  <c r="I432" i="34"/>
  <c r="I433" i="34"/>
  <c r="I434" i="34"/>
  <c r="I435" i="34"/>
  <c r="I436" i="34"/>
  <c r="I437" i="34"/>
  <c r="I438" i="34"/>
  <c r="I439" i="34"/>
  <c r="I440" i="34"/>
  <c r="I441" i="34"/>
  <c r="I442" i="34"/>
  <c r="I443" i="34"/>
  <c r="I444" i="34"/>
  <c r="I445" i="34"/>
  <c r="I446" i="34"/>
  <c r="I447" i="34"/>
  <c r="I448" i="34"/>
  <c r="I449" i="34"/>
  <c r="I450" i="34"/>
  <c r="I451" i="34"/>
  <c r="I452" i="34"/>
  <c r="I453" i="34"/>
  <c r="I454" i="34"/>
  <c r="I455" i="34"/>
  <c r="I456" i="34"/>
  <c r="I457" i="34"/>
  <c r="I458" i="34"/>
  <c r="I459" i="34"/>
  <c r="I460" i="34"/>
  <c r="I461" i="34"/>
  <c r="I462" i="34"/>
  <c r="I463" i="34"/>
  <c r="I464" i="34"/>
  <c r="I465" i="34"/>
  <c r="I466" i="34"/>
  <c r="I467" i="34"/>
  <c r="I468" i="34"/>
  <c r="I469" i="34"/>
  <c r="I470" i="34"/>
  <c r="I471" i="34"/>
  <c r="I472" i="34"/>
  <c r="I473" i="34"/>
  <c r="I474" i="34"/>
  <c r="I475" i="34"/>
  <c r="I476" i="34"/>
  <c r="I477" i="34"/>
  <c r="I478" i="34"/>
  <c r="I479" i="34"/>
  <c r="I480" i="34"/>
  <c r="I481" i="34"/>
  <c r="I482" i="34"/>
  <c r="I483" i="34"/>
  <c r="I484" i="34"/>
  <c r="I485" i="34"/>
  <c r="I486" i="34"/>
  <c r="I487" i="34"/>
  <c r="I488" i="34"/>
  <c r="I489" i="34"/>
  <c r="I490" i="34"/>
  <c r="I491" i="34"/>
  <c r="I492" i="34"/>
  <c r="I493" i="34"/>
  <c r="I494" i="34"/>
  <c r="I495" i="34"/>
  <c r="I496" i="34"/>
  <c r="I497" i="34"/>
  <c r="I498" i="34"/>
  <c r="I499" i="34"/>
  <c r="I500" i="34"/>
  <c r="I501" i="34"/>
  <c r="I502" i="34"/>
  <c r="I503" i="34"/>
  <c r="I504" i="34"/>
  <c r="I505" i="34"/>
  <c r="I506" i="34"/>
  <c r="I507" i="34"/>
  <c r="I508" i="34"/>
  <c r="I509" i="34"/>
  <c r="I510" i="34"/>
  <c r="I511" i="34"/>
  <c r="I512" i="34"/>
  <c r="I513" i="34"/>
  <c r="I514" i="34"/>
  <c r="I515" i="34"/>
  <c r="I516" i="34"/>
  <c r="I517" i="34"/>
  <c r="I518" i="34"/>
  <c r="I519" i="34"/>
  <c r="I520" i="34"/>
  <c r="I521" i="34"/>
  <c r="I522" i="34"/>
  <c r="I523" i="34"/>
  <c r="I524" i="34"/>
  <c r="I525" i="34"/>
  <c r="I526" i="34"/>
  <c r="I527" i="34"/>
  <c r="I528" i="34"/>
  <c r="I529" i="34"/>
  <c r="I530" i="34"/>
  <c r="I531" i="34"/>
  <c r="I532" i="34"/>
  <c r="I533" i="34"/>
  <c r="I534" i="34"/>
  <c r="I535" i="34"/>
  <c r="I536" i="34"/>
  <c r="I537" i="34"/>
  <c r="I539" i="34"/>
  <c r="I541" i="34"/>
  <c r="I543" i="34"/>
  <c r="I544" i="34"/>
  <c r="I545" i="34"/>
  <c r="I546" i="34"/>
  <c r="I547" i="34"/>
  <c r="I548" i="34"/>
  <c r="I549" i="34"/>
  <c r="I550" i="34"/>
  <c r="I551" i="34"/>
  <c r="I552" i="34"/>
  <c r="I553" i="34"/>
  <c r="I554" i="34"/>
  <c r="I555" i="34"/>
  <c r="I556" i="34"/>
  <c r="I557" i="34"/>
  <c r="I558" i="34"/>
  <c r="I559" i="34"/>
  <c r="I560" i="34"/>
  <c r="I561" i="34"/>
  <c r="I562" i="34"/>
  <c r="I563" i="34"/>
  <c r="I564" i="34"/>
  <c r="I565" i="34"/>
  <c r="I566" i="34"/>
  <c r="I567" i="34"/>
  <c r="I568" i="34"/>
  <c r="I569" i="34"/>
  <c r="I570" i="34"/>
  <c r="I571" i="34"/>
  <c r="I572" i="34"/>
  <c r="I573" i="34"/>
  <c r="I574" i="34"/>
  <c r="I575" i="34"/>
  <c r="I576" i="34"/>
  <c r="I577" i="34"/>
  <c r="I578" i="34"/>
  <c r="I579" i="34"/>
  <c r="I580" i="34"/>
  <c r="I581" i="34"/>
  <c r="I582" i="34"/>
  <c r="I583" i="34"/>
  <c r="I584" i="34"/>
  <c r="I585" i="34"/>
  <c r="I586" i="34"/>
  <c r="I587" i="34"/>
  <c r="I588" i="34"/>
  <c r="I589" i="34"/>
  <c r="I590" i="34"/>
  <c r="I591" i="34"/>
  <c r="I592" i="34"/>
  <c r="I593" i="34"/>
  <c r="I594" i="34"/>
  <c r="I595" i="34"/>
  <c r="I596" i="34"/>
  <c r="I597" i="34"/>
  <c r="I598" i="34"/>
  <c r="I599" i="34"/>
  <c r="I600" i="34"/>
  <c r="I601" i="34"/>
  <c r="I602" i="34"/>
  <c r="I603" i="34"/>
  <c r="I604" i="34"/>
  <c r="I605" i="34"/>
  <c r="I606" i="34"/>
  <c r="I607" i="34"/>
  <c r="I608" i="34"/>
  <c r="I609" i="34"/>
  <c r="I610" i="34"/>
  <c r="I611" i="34"/>
  <c r="I612" i="34"/>
  <c r="I613" i="34"/>
  <c r="I614" i="34"/>
  <c r="I615" i="34"/>
  <c r="I616" i="34"/>
  <c r="I617" i="34"/>
  <c r="I618" i="34"/>
  <c r="I619" i="34"/>
  <c r="I620" i="34"/>
  <c r="I621" i="34"/>
  <c r="I622" i="34"/>
  <c r="I623" i="34"/>
  <c r="I624" i="34"/>
  <c r="I625" i="34"/>
  <c r="I626" i="34"/>
  <c r="I627" i="34"/>
  <c r="I628" i="34"/>
  <c r="I629" i="34"/>
  <c r="I630" i="34"/>
  <c r="I631" i="34"/>
  <c r="I632" i="34"/>
  <c r="I633" i="34"/>
  <c r="I634" i="34"/>
  <c r="I635" i="34"/>
  <c r="I636" i="34"/>
  <c r="I637" i="34"/>
  <c r="I638" i="34"/>
  <c r="I639" i="34"/>
  <c r="I640" i="34"/>
  <c r="I641" i="34"/>
  <c r="I642" i="34"/>
  <c r="I643" i="34"/>
  <c r="I644" i="34"/>
  <c r="I645" i="34"/>
  <c r="I646" i="34"/>
  <c r="I647" i="34"/>
  <c r="I648" i="34"/>
  <c r="I649" i="34"/>
  <c r="I650" i="34"/>
  <c r="I651" i="34"/>
  <c r="I652" i="34"/>
  <c r="I653" i="34"/>
  <c r="I654" i="34"/>
  <c r="I655" i="34"/>
  <c r="I656" i="34"/>
  <c r="I657" i="34"/>
  <c r="I658" i="34"/>
  <c r="I659" i="34"/>
  <c r="I660" i="34"/>
  <c r="I661" i="34"/>
  <c r="I662" i="34"/>
  <c r="I663" i="34"/>
  <c r="I664" i="34"/>
  <c r="I665" i="34"/>
  <c r="I666" i="34"/>
  <c r="I667" i="34"/>
  <c r="I668" i="34"/>
  <c r="I669" i="34"/>
  <c r="I670" i="34"/>
  <c r="I671" i="34"/>
  <c r="I672" i="34"/>
  <c r="I673" i="34"/>
  <c r="I674" i="34"/>
  <c r="I675" i="34"/>
  <c r="I676" i="34"/>
  <c r="I677" i="34"/>
  <c r="I678" i="34"/>
  <c r="I679" i="34"/>
  <c r="I680" i="34"/>
  <c r="I681" i="34"/>
  <c r="I682" i="34"/>
  <c r="I683" i="34"/>
  <c r="I684" i="34"/>
  <c r="I685" i="34"/>
  <c r="I686" i="34"/>
  <c r="I687" i="34"/>
  <c r="I688" i="34"/>
  <c r="I689" i="34"/>
  <c r="I690" i="34"/>
  <c r="I691" i="34"/>
  <c r="I692" i="34"/>
  <c r="I693" i="34"/>
  <c r="I694" i="34"/>
  <c r="I695" i="34"/>
  <c r="I696" i="34"/>
  <c r="I697" i="34"/>
  <c r="I698" i="34"/>
  <c r="I699" i="34"/>
  <c r="I700" i="34"/>
  <c r="I701" i="34"/>
  <c r="I702" i="34"/>
  <c r="I703" i="34"/>
  <c r="I704" i="34"/>
  <c r="I705" i="34"/>
  <c r="I706" i="34"/>
  <c r="I707" i="34"/>
  <c r="I708" i="34"/>
  <c r="I709" i="34"/>
  <c r="I710" i="34"/>
  <c r="I711" i="34"/>
  <c r="I712" i="34"/>
  <c r="I713" i="34"/>
  <c r="I714" i="34"/>
  <c r="I715" i="34"/>
  <c r="I716" i="34"/>
  <c r="I717" i="34"/>
  <c r="I718" i="34"/>
  <c r="I719" i="34"/>
  <c r="I720" i="34"/>
  <c r="I721" i="34"/>
  <c r="I722" i="34"/>
  <c r="I723" i="34"/>
  <c r="I724" i="34"/>
  <c r="I725" i="34"/>
  <c r="I726" i="34"/>
  <c r="I727" i="34"/>
  <c r="I728" i="34"/>
  <c r="I729" i="34"/>
  <c r="I730" i="34"/>
  <c r="I731" i="34"/>
  <c r="I732" i="34"/>
  <c r="I733" i="34"/>
  <c r="I734" i="34"/>
  <c r="I735" i="34"/>
  <c r="I736" i="34"/>
  <c r="I737" i="34"/>
  <c r="I738" i="34"/>
  <c r="I739" i="34"/>
  <c r="I740" i="34"/>
  <c r="I741" i="34"/>
  <c r="I742" i="34"/>
  <c r="I743" i="34"/>
  <c r="I744" i="34"/>
  <c r="I745" i="34"/>
  <c r="I746" i="34"/>
  <c r="I747" i="34"/>
  <c r="I748" i="34"/>
  <c r="I749" i="34"/>
  <c r="I750" i="34"/>
  <c r="I751" i="34"/>
  <c r="I752" i="34"/>
  <c r="I753" i="34"/>
  <c r="I754" i="34"/>
  <c r="I755" i="34"/>
  <c r="I756" i="34"/>
  <c r="I757" i="34"/>
  <c r="I758" i="34"/>
  <c r="I759" i="34"/>
  <c r="I760" i="34"/>
  <c r="I780" i="34"/>
  <c r="I781" i="34"/>
  <c r="I798" i="34"/>
  <c r="I799" i="34"/>
  <c r="I800" i="34"/>
  <c r="I806" i="34"/>
  <c r="I815" i="34"/>
  <c r="I816" i="34"/>
  <c r="I819" i="34"/>
  <c r="I822" i="34"/>
  <c r="I824" i="34"/>
  <c r="I825" i="34"/>
  <c r="I826" i="34"/>
  <c r="I827" i="34"/>
  <c r="I828" i="34"/>
  <c r="I829" i="34"/>
  <c r="I830" i="34"/>
  <c r="I831" i="34"/>
  <c r="I832" i="34"/>
  <c r="I833" i="34"/>
  <c r="I834" i="34"/>
  <c r="I835" i="34"/>
  <c r="I836" i="34"/>
  <c r="I837" i="34"/>
  <c r="I838" i="34"/>
  <c r="I839" i="34"/>
  <c r="I840" i="34"/>
  <c r="I841" i="34"/>
  <c r="I842" i="34"/>
  <c r="I843" i="34"/>
  <c r="I844" i="34"/>
  <c r="I845" i="34"/>
  <c r="I846" i="34"/>
  <c r="I847" i="34"/>
  <c r="I848" i="34"/>
  <c r="I849" i="34"/>
  <c r="I850" i="34"/>
  <c r="I851" i="34"/>
  <c r="I852" i="34"/>
  <c r="I853" i="34"/>
  <c r="I854" i="34"/>
  <c r="I855" i="34"/>
  <c r="I856" i="34"/>
  <c r="I857" i="34"/>
  <c r="I858" i="34"/>
  <c r="I859" i="34"/>
  <c r="I860" i="34"/>
  <c r="I862" i="34"/>
  <c r="I863" i="34"/>
  <c r="I864" i="34"/>
  <c r="I865" i="34"/>
  <c r="I873" i="34"/>
  <c r="I875" i="34"/>
  <c r="I876" i="34"/>
  <c r="I883" i="34"/>
  <c r="I885" i="34"/>
  <c r="I886" i="34"/>
  <c r="I887" i="34"/>
  <c r="I889" i="34"/>
  <c r="I890" i="34"/>
  <c r="I891" i="34"/>
  <c r="I892" i="34"/>
  <c r="I899" i="34"/>
  <c r="I901" i="34"/>
  <c r="I902" i="34"/>
  <c r="I903" i="34"/>
  <c r="I905" i="34"/>
  <c r="I906" i="34"/>
  <c r="I907" i="34"/>
  <c r="I908" i="34"/>
  <c r="I915" i="34"/>
  <c r="I917" i="34"/>
  <c r="I918" i="34"/>
  <c r="I919" i="34"/>
  <c r="I921" i="34"/>
  <c r="I922" i="34"/>
  <c r="I923" i="34"/>
  <c r="I924" i="34"/>
  <c r="I925" i="34"/>
  <c r="I932" i="34"/>
  <c r="I934" i="34"/>
  <c r="I935" i="34"/>
  <c r="I936" i="34"/>
  <c r="I938" i="34"/>
  <c r="I939" i="34"/>
  <c r="I940" i="34"/>
  <c r="I941" i="34"/>
  <c r="I942" i="34"/>
  <c r="I945" i="34"/>
  <c r="I946" i="34"/>
  <c r="I949" i="34"/>
  <c r="I950" i="34"/>
  <c r="I951" i="34"/>
  <c r="I953" i="34"/>
  <c r="I954" i="34"/>
  <c r="I956" i="34"/>
  <c r="I957" i="34"/>
  <c r="I959" i="34"/>
  <c r="I960" i="34"/>
  <c r="I981" i="34"/>
  <c r="I990" i="34"/>
  <c r="I1005" i="34"/>
  <c r="I1009" i="34"/>
  <c r="I1014" i="34"/>
  <c r="I1015" i="34"/>
  <c r="I1017" i="34"/>
  <c r="I1019" i="34"/>
  <c r="I1022" i="34"/>
  <c r="I1023" i="34"/>
  <c r="I1024" i="34"/>
  <c r="I1025" i="34"/>
  <c r="I1026" i="34"/>
  <c r="I1027" i="34"/>
  <c r="I1028" i="34"/>
  <c r="I1029" i="34"/>
  <c r="I1030" i="34"/>
  <c r="I1031" i="34"/>
  <c r="I1034" i="34"/>
  <c r="I1041" i="34"/>
  <c r="I1044" i="34"/>
  <c r="I1045" i="34"/>
  <c r="I1047" i="34"/>
  <c r="I1048" i="34"/>
  <c r="I1049" i="34"/>
  <c r="I1050" i="34"/>
  <c r="I1051" i="34"/>
  <c r="I1052" i="34"/>
  <c r="I1053" i="34"/>
  <c r="I1054" i="34"/>
  <c r="I1055" i="34"/>
  <c r="I1059" i="34"/>
  <c r="I1060" i="34"/>
  <c r="I1061" i="34"/>
  <c r="I1062" i="34"/>
  <c r="I1063" i="34"/>
  <c r="I1064" i="34"/>
  <c r="I1066" i="34"/>
  <c r="I1067" i="34"/>
  <c r="I1068" i="34"/>
  <c r="I1069" i="34"/>
  <c r="I1070" i="34"/>
  <c r="I1071" i="34"/>
  <c r="I1072" i="34"/>
  <c r="I1073" i="34"/>
  <c r="I1074" i="34"/>
  <c r="I1079" i="34"/>
  <c r="I1080" i="34"/>
  <c r="I1081" i="34"/>
  <c r="I1082" i="34"/>
  <c r="I1086" i="34"/>
  <c r="I1089" i="34"/>
  <c r="I1090" i="34"/>
  <c r="I1091" i="34"/>
  <c r="I1094" i="34"/>
  <c r="I1095" i="34"/>
  <c r="I1096" i="34"/>
  <c r="I1097" i="34"/>
  <c r="I1098" i="34"/>
  <c r="I1099" i="34"/>
  <c r="I1100" i="34"/>
  <c r="I1101" i="34"/>
  <c r="I1102" i="34"/>
  <c r="I1105" i="34"/>
  <c r="I1106" i="34"/>
  <c r="I1107" i="34"/>
  <c r="I1108" i="34"/>
  <c r="I1109" i="34"/>
  <c r="I1111" i="34"/>
  <c r="I1113" i="34"/>
  <c r="I1116" i="34"/>
  <c r="I1117" i="34"/>
  <c r="I1118" i="34"/>
  <c r="I1119" i="34"/>
  <c r="I1120" i="34"/>
  <c r="I1121" i="34"/>
  <c r="I1122" i="34"/>
  <c r="I1123" i="34"/>
  <c r="I1127" i="34"/>
  <c r="I1128" i="34"/>
  <c r="I1129" i="34"/>
  <c r="I1130" i="34"/>
  <c r="I1131" i="34"/>
  <c r="I1135" i="34"/>
  <c r="I1136" i="34"/>
  <c r="I1137" i="34"/>
  <c r="I1140" i="34"/>
  <c r="I1141" i="34"/>
  <c r="I1142" i="34"/>
  <c r="I1144" i="34"/>
  <c r="I1145" i="34"/>
  <c r="I1146" i="34"/>
  <c r="I1148" i="34"/>
  <c r="I1151" i="34"/>
  <c r="I1152" i="34"/>
  <c r="I1161" i="34"/>
  <c r="I1162" i="34"/>
  <c r="I1163" i="34"/>
  <c r="I1164" i="34"/>
  <c r="I1165" i="34"/>
  <c r="I1166" i="34"/>
  <c r="I1167" i="34"/>
  <c r="I1168" i="34"/>
  <c r="I1169" i="34"/>
  <c r="I1170" i="34"/>
  <c r="I1179" i="34"/>
  <c r="I1180" i="34"/>
  <c r="I1184" i="34"/>
  <c r="I1188" i="34"/>
  <c r="I1190" i="34"/>
  <c r="I1191" i="34"/>
  <c r="I1192" i="34"/>
  <c r="I1194" i="34"/>
  <c r="I1196" i="34"/>
  <c r="I1197" i="34"/>
  <c r="I1198" i="34"/>
  <c r="I1199" i="34"/>
  <c r="I1200" i="34"/>
  <c r="I1202" i="34"/>
  <c r="I1203" i="34"/>
  <c r="I1204" i="34"/>
  <c r="I1205" i="34"/>
  <c r="I1206" i="34"/>
  <c r="I1208" i="34"/>
  <c r="I1209" i="34"/>
  <c r="I1210" i="34"/>
  <c r="I1211" i="34"/>
  <c r="I1212" i="34"/>
  <c r="I1213" i="34"/>
  <c r="I1214" i="34"/>
  <c r="I1219" i="34"/>
  <c r="I1224" i="34"/>
  <c r="I1233" i="34"/>
  <c r="I1234" i="34"/>
  <c r="I1235" i="34"/>
  <c r="I1236" i="34"/>
  <c r="I1237" i="34"/>
  <c r="I1238" i="34"/>
  <c r="I1239" i="34"/>
  <c r="I1240" i="34"/>
  <c r="I1241" i="34"/>
  <c r="I1243" i="34"/>
  <c r="I1245" i="34"/>
  <c r="I1246" i="34"/>
  <c r="I1247" i="34"/>
  <c r="I1248" i="34"/>
  <c r="I1249" i="34"/>
  <c r="I1250" i="34"/>
  <c r="I1251" i="34"/>
  <c r="I1861" i="48"/>
  <c r="I1862" i="48"/>
  <c r="I1864" i="48"/>
  <c r="I1865" i="48"/>
  <c r="I1866" i="48"/>
  <c r="I1867" i="48"/>
  <c r="I1868" i="48"/>
  <c r="I1869" i="48"/>
  <c r="I1871" i="48"/>
  <c r="I1879" i="48"/>
  <c r="I1881" i="48"/>
  <c r="I1794" i="48"/>
  <c r="I1795" i="48"/>
  <c r="I1796" i="48"/>
  <c r="I1797" i="48"/>
  <c r="I1798" i="48"/>
  <c r="I1799" i="48"/>
  <c r="I1800" i="48"/>
  <c r="I1801" i="48"/>
  <c r="I1802" i="48"/>
  <c r="I1803" i="48"/>
  <c r="I1804" i="48"/>
  <c r="I1805" i="48"/>
  <c r="I1806" i="48"/>
  <c r="I1807" i="48"/>
  <c r="I1808" i="48"/>
  <c r="I1809" i="48"/>
  <c r="I1810" i="48"/>
  <c r="I1811" i="48"/>
  <c r="I1812" i="48"/>
  <c r="I1813" i="48"/>
  <c r="I1814" i="48"/>
  <c r="I1815" i="48"/>
  <c r="I1816" i="48"/>
  <c r="I1817" i="48"/>
  <c r="I1818" i="48"/>
  <c r="I1819" i="48"/>
  <c r="I1820" i="48"/>
  <c r="I1821" i="48"/>
  <c r="I1822" i="48"/>
  <c r="I1823" i="48"/>
  <c r="I1824" i="48"/>
  <c r="I1825" i="48"/>
  <c r="I1826" i="48"/>
  <c r="I1827" i="48"/>
  <c r="I1828" i="48"/>
  <c r="I1829" i="48"/>
  <c r="I1830" i="48"/>
  <c r="I1831" i="48"/>
  <c r="I1832" i="48"/>
  <c r="I1833" i="48"/>
  <c r="I1834" i="48"/>
  <c r="I1835" i="48"/>
  <c r="I1836" i="48"/>
  <c r="I1837" i="48"/>
  <c r="I1838" i="48"/>
  <c r="I1839" i="48"/>
  <c r="I1840" i="48"/>
  <c r="I1841" i="48"/>
  <c r="I1842" i="48"/>
  <c r="I1843" i="48"/>
  <c r="I1844" i="48"/>
  <c r="I1845" i="48"/>
  <c r="I1846" i="48"/>
  <c r="I1847" i="48"/>
  <c r="I1848" i="48"/>
  <c r="I1849" i="48"/>
  <c r="I1850" i="48"/>
  <c r="I1851" i="48"/>
  <c r="I1632" i="48"/>
  <c r="I1633" i="48"/>
  <c r="I1634" i="48"/>
  <c r="I1635" i="48"/>
  <c r="I1636" i="48"/>
  <c r="I1637" i="48"/>
  <c r="I1638" i="48"/>
  <c r="I1639" i="48"/>
  <c r="I1640" i="48"/>
  <c r="I1641" i="48"/>
  <c r="I1642" i="48"/>
  <c r="I1643" i="48"/>
  <c r="I1644" i="48"/>
  <c r="I1645" i="48"/>
  <c r="I1646" i="48"/>
  <c r="I1647" i="48"/>
  <c r="I1648" i="48"/>
  <c r="I1649" i="48"/>
  <c r="I1650" i="48"/>
  <c r="I1651" i="48"/>
  <c r="I1652" i="48"/>
  <c r="I1653" i="48"/>
  <c r="I1654" i="48"/>
  <c r="I1655" i="48"/>
  <c r="I1656" i="48"/>
  <c r="I1657" i="48"/>
  <c r="I1658" i="48"/>
  <c r="I1659" i="48"/>
  <c r="I1660" i="48"/>
  <c r="I1661" i="48"/>
  <c r="I1662" i="48"/>
  <c r="I1663" i="48"/>
  <c r="I1664" i="48"/>
  <c r="I1665" i="48"/>
  <c r="I1666" i="48"/>
  <c r="I1667" i="48"/>
  <c r="I1668" i="48"/>
  <c r="I1669" i="48"/>
  <c r="I1670" i="48"/>
  <c r="I1671" i="48"/>
  <c r="I1672" i="48"/>
  <c r="I1673" i="48"/>
  <c r="I1674" i="48"/>
  <c r="I1675" i="48"/>
  <c r="I1676" i="48"/>
  <c r="I1677" i="48"/>
  <c r="I1678" i="48"/>
  <c r="I1679" i="48"/>
  <c r="I1680" i="48"/>
  <c r="I1681" i="48"/>
  <c r="I1682" i="48"/>
  <c r="I1683" i="48"/>
  <c r="I1684" i="48"/>
  <c r="I1685" i="48"/>
  <c r="I1686" i="48"/>
  <c r="I1687" i="48"/>
  <c r="I1688" i="48"/>
  <c r="I1689" i="48"/>
  <c r="I1690" i="48"/>
  <c r="I1691" i="48"/>
  <c r="I1692" i="48"/>
  <c r="I1693" i="48"/>
  <c r="I1694" i="48"/>
  <c r="I1695" i="48"/>
  <c r="I1696" i="48"/>
  <c r="I1697" i="48"/>
  <c r="I1698" i="48"/>
  <c r="I1699" i="48"/>
  <c r="I1700" i="48"/>
  <c r="I1701" i="48"/>
  <c r="I1702" i="48"/>
  <c r="I1703" i="48"/>
  <c r="I1704" i="48"/>
  <c r="I1705" i="48"/>
  <c r="I1706" i="48"/>
  <c r="I1707" i="48"/>
  <c r="I1708" i="48"/>
  <c r="I1709" i="48"/>
  <c r="I1710" i="48"/>
  <c r="I1711" i="48"/>
  <c r="I1712" i="48"/>
  <c r="I1713" i="48"/>
  <c r="I1714" i="48"/>
  <c r="I1715" i="48"/>
  <c r="I1716" i="48"/>
  <c r="I1717" i="48"/>
  <c r="I1718" i="48"/>
  <c r="I1719" i="48"/>
  <c r="I1720" i="48"/>
  <c r="I1721" i="48"/>
  <c r="I1722" i="48"/>
  <c r="I1723" i="48"/>
  <c r="I1724" i="48"/>
  <c r="I1725" i="48"/>
  <c r="I1726" i="48"/>
  <c r="I1727" i="48"/>
  <c r="I1728" i="48"/>
  <c r="I1729" i="48"/>
  <c r="I1730" i="48"/>
  <c r="I1731" i="48"/>
  <c r="I1732" i="48"/>
  <c r="I1733" i="48"/>
  <c r="I1734" i="48"/>
  <c r="I1735" i="48"/>
  <c r="I1736" i="48"/>
  <c r="I1737" i="48"/>
  <c r="I1738" i="48"/>
  <c r="I1739" i="48"/>
  <c r="I1740" i="48"/>
  <c r="I1741" i="48"/>
  <c r="I1742" i="48"/>
  <c r="I1743" i="48"/>
  <c r="I1744" i="48"/>
  <c r="I1745" i="48"/>
  <c r="I1746" i="48"/>
  <c r="I1747" i="48"/>
  <c r="I1748" i="48"/>
  <c r="I1749" i="48"/>
  <c r="I1750" i="48"/>
  <c r="I1751" i="48"/>
  <c r="I1752" i="48"/>
  <c r="I1753" i="48"/>
  <c r="I1754" i="48"/>
  <c r="I1755" i="48"/>
  <c r="I1756" i="48"/>
  <c r="I1757" i="48"/>
  <c r="I1758" i="48"/>
  <c r="I1759" i="48"/>
  <c r="I1760" i="48"/>
  <c r="I1761" i="48"/>
  <c r="I1762" i="48"/>
  <c r="I1763" i="48"/>
  <c r="I1764" i="48"/>
  <c r="I1765" i="48"/>
  <c r="I1766" i="48"/>
  <c r="I1767" i="48"/>
  <c r="I1768" i="48"/>
  <c r="I1769" i="48"/>
  <c r="I1770" i="48"/>
  <c r="I1771" i="48"/>
  <c r="I1772" i="48"/>
  <c r="I1773" i="48"/>
  <c r="I1774" i="48"/>
  <c r="I1775" i="48"/>
  <c r="I1776" i="48"/>
  <c r="I1777" i="48"/>
  <c r="I1778" i="48"/>
  <c r="I1779" i="48"/>
  <c r="I1780" i="48"/>
  <c r="I1781" i="48"/>
  <c r="I1782" i="48"/>
  <c r="I1783" i="48"/>
  <c r="I1565" i="48"/>
  <c r="I1566" i="48"/>
  <c r="I1567" i="48"/>
  <c r="I1568" i="48"/>
  <c r="I1569" i="48"/>
  <c r="I1570" i="48"/>
  <c r="I1571" i="48"/>
  <c r="I1572" i="48"/>
  <c r="I1573" i="48"/>
  <c r="I1574" i="48"/>
  <c r="I1575" i="48"/>
  <c r="I1576" i="48"/>
  <c r="I1577" i="48"/>
  <c r="I1578" i="48"/>
  <c r="I1579" i="48"/>
  <c r="I1580" i="48"/>
  <c r="I1581" i="48"/>
  <c r="I1582" i="48"/>
  <c r="I1583" i="48"/>
  <c r="I1584" i="48"/>
  <c r="I1585" i="48"/>
  <c r="I1586" i="48"/>
  <c r="I1587" i="48"/>
  <c r="I1588" i="48"/>
  <c r="I1589" i="48"/>
  <c r="I1590" i="48"/>
  <c r="I1591" i="48"/>
  <c r="I1592" i="48"/>
  <c r="I1593" i="48"/>
  <c r="I1594" i="48"/>
  <c r="I1595" i="48"/>
  <c r="I1596" i="48"/>
  <c r="I1597" i="48"/>
  <c r="I1598" i="48"/>
  <c r="I1599" i="48"/>
  <c r="I1600" i="48"/>
  <c r="I1601" i="48"/>
  <c r="I1602" i="48"/>
  <c r="I1603" i="48"/>
  <c r="I1604" i="48"/>
  <c r="I1605" i="48"/>
  <c r="I1606" i="48"/>
  <c r="I1607" i="48"/>
  <c r="I1608" i="48"/>
  <c r="I1609" i="48"/>
  <c r="I1610" i="48"/>
  <c r="I1611" i="48"/>
  <c r="I1612" i="48"/>
  <c r="I1613" i="48"/>
  <c r="I1614" i="48"/>
  <c r="I1615" i="48"/>
  <c r="I1616" i="48"/>
  <c r="I1617" i="48"/>
  <c r="I1618" i="48"/>
  <c r="I1619" i="48"/>
  <c r="I1620" i="48"/>
  <c r="I1621" i="48"/>
  <c r="I1622" i="48"/>
  <c r="I1317" i="48"/>
  <c r="I1318" i="48"/>
  <c r="I1319" i="48"/>
  <c r="I1320" i="48"/>
  <c r="I1321" i="48"/>
  <c r="I1322" i="48"/>
  <c r="I1323" i="48"/>
  <c r="I1324" i="48"/>
  <c r="I1325" i="48"/>
  <c r="I1326" i="48"/>
  <c r="I1327" i="48"/>
  <c r="I1328" i="48"/>
  <c r="I1329" i="48"/>
  <c r="I1330" i="48"/>
  <c r="I1331" i="48"/>
  <c r="I1332" i="48"/>
  <c r="I1333" i="48"/>
  <c r="I1334" i="48"/>
  <c r="I1335" i="48"/>
  <c r="I1304" i="48"/>
  <c r="I1305" i="48"/>
  <c r="I1306" i="48"/>
  <c r="I1307" i="48"/>
  <c r="I1308" i="48"/>
  <c r="I1278" i="48"/>
  <c r="I1279" i="48"/>
  <c r="I1280" i="48"/>
  <c r="I1281" i="48"/>
  <c r="I1282" i="48"/>
  <c r="I1283" i="48"/>
  <c r="I1284" i="48"/>
  <c r="I1285" i="48"/>
  <c r="I1286" i="48"/>
  <c r="I1287" i="48"/>
  <c r="I1288" i="48"/>
  <c r="I1289" i="48"/>
  <c r="I1290" i="48"/>
  <c r="I1291" i="48"/>
  <c r="I1292" i="48"/>
  <c r="I1293" i="48"/>
  <c r="I1294" i="48"/>
  <c r="I1295" i="48"/>
  <c r="I1296" i="48"/>
  <c r="I1297" i="48"/>
  <c r="I1298" i="48"/>
  <c r="I1556" i="48"/>
  <c r="I1557" i="48"/>
  <c r="I1485" i="48"/>
  <c r="I1486" i="48"/>
  <c r="I1487" i="48"/>
  <c r="I1488" i="48"/>
  <c r="I1489" i="48"/>
  <c r="I1490" i="48"/>
  <c r="I1491" i="48"/>
  <c r="I1492" i="48"/>
  <c r="I1493" i="48"/>
  <c r="I1494" i="48"/>
  <c r="I1495" i="48"/>
  <c r="I1496" i="48"/>
  <c r="I1497" i="48"/>
  <c r="I1498" i="48"/>
  <c r="I1499" i="48"/>
  <c r="I1500" i="48"/>
  <c r="I1501" i="48"/>
  <c r="I1502" i="48"/>
  <c r="I1503" i="48"/>
  <c r="I1504" i="48"/>
  <c r="I1505" i="48"/>
  <c r="I1506" i="48"/>
  <c r="I1507" i="48"/>
  <c r="I1508" i="48"/>
  <c r="I1509" i="48"/>
  <c r="I1510" i="48"/>
  <c r="I1511" i="48"/>
  <c r="I1512" i="48"/>
  <c r="I1513" i="48"/>
  <c r="I1514" i="48"/>
  <c r="I1515" i="48"/>
  <c r="I1516" i="48"/>
  <c r="I1517" i="48"/>
  <c r="I1518" i="48"/>
  <c r="I1519" i="48"/>
  <c r="I1520" i="48"/>
  <c r="I1521" i="48"/>
  <c r="I1522" i="48"/>
  <c r="I1523" i="48"/>
  <c r="I1524" i="48"/>
  <c r="I1525" i="48"/>
  <c r="I1526" i="48"/>
  <c r="I1527" i="48"/>
  <c r="I1528" i="48"/>
  <c r="I1529" i="48"/>
  <c r="I1530" i="48"/>
  <c r="I1531" i="48"/>
  <c r="I1532" i="48"/>
  <c r="I1533" i="48"/>
  <c r="I1534" i="48"/>
  <c r="I1535" i="48"/>
  <c r="I1536" i="48"/>
  <c r="I1537" i="48"/>
  <c r="I1538" i="48"/>
  <c r="I1539" i="48"/>
  <c r="I1540" i="48"/>
  <c r="I1541" i="48"/>
  <c r="I1542" i="48"/>
  <c r="I1543" i="48"/>
  <c r="I1344" i="48"/>
  <c r="I1345" i="48"/>
  <c r="I1346" i="48"/>
  <c r="I1347" i="48"/>
  <c r="I1348" i="48"/>
  <c r="I1349" i="48"/>
  <c r="I1350" i="48"/>
  <c r="I1351" i="48"/>
  <c r="I1352" i="48"/>
  <c r="I1353" i="48"/>
  <c r="I1354" i="48"/>
  <c r="I1355" i="48"/>
  <c r="I1356" i="48"/>
  <c r="I1357" i="48"/>
  <c r="I1358" i="48"/>
  <c r="I1359" i="48"/>
  <c r="I1360" i="48"/>
  <c r="I1361" i="48"/>
  <c r="I1362" i="48"/>
  <c r="I1363" i="48"/>
  <c r="I1364" i="48"/>
  <c r="I1365" i="48"/>
  <c r="I1366" i="48"/>
  <c r="I1367" i="48"/>
  <c r="I1368" i="48"/>
  <c r="I1369" i="48"/>
  <c r="I1370" i="48"/>
  <c r="I1371" i="48"/>
  <c r="I1372" i="48"/>
  <c r="I1373" i="48"/>
  <c r="I1374" i="48"/>
  <c r="I1375" i="48"/>
  <c r="I1376" i="48"/>
  <c r="I1377" i="48"/>
  <c r="I1378" i="48"/>
  <c r="I1379" i="48"/>
  <c r="I1380" i="48"/>
  <c r="I1381" i="48"/>
  <c r="I1382" i="48"/>
  <c r="I1383" i="48"/>
  <c r="I1384" i="48"/>
  <c r="I1385" i="48"/>
  <c r="I1386" i="48"/>
  <c r="I1387" i="48"/>
  <c r="I1388" i="48"/>
  <c r="I1389" i="48"/>
  <c r="I1390" i="48"/>
  <c r="I1391" i="48"/>
  <c r="I1392" i="48"/>
  <c r="I1393" i="48"/>
  <c r="I1394" i="48"/>
  <c r="I1395" i="48"/>
  <c r="I1396" i="48"/>
  <c r="I1397" i="48"/>
  <c r="I1398" i="48"/>
  <c r="I1399" i="48"/>
  <c r="I1400" i="48"/>
  <c r="I1401" i="48"/>
  <c r="I1402" i="48"/>
  <c r="I1403" i="48"/>
  <c r="I1404" i="48"/>
  <c r="I1405" i="48"/>
  <c r="I1406" i="48"/>
  <c r="I1407" i="48"/>
  <c r="I1408" i="48"/>
  <c r="I1409" i="48"/>
  <c r="I1410" i="48"/>
  <c r="I1411" i="48"/>
  <c r="I1412" i="48"/>
  <c r="I1413" i="48"/>
  <c r="I1414" i="48"/>
  <c r="I1415" i="48"/>
  <c r="I1416" i="48"/>
  <c r="I1417" i="48"/>
  <c r="I1418" i="48"/>
  <c r="I1419" i="48"/>
  <c r="I1420" i="48"/>
  <c r="I1421" i="48"/>
  <c r="I1422" i="48"/>
  <c r="I1423" i="48"/>
  <c r="I1424" i="48"/>
  <c r="I1425" i="48"/>
  <c r="I1426" i="48"/>
  <c r="I1427" i="48"/>
  <c r="I1428" i="48"/>
  <c r="I1429" i="48"/>
  <c r="I1430" i="48"/>
  <c r="I1431" i="48"/>
  <c r="I1432" i="48"/>
  <c r="I1433" i="48"/>
  <c r="I1434" i="48"/>
  <c r="I1435" i="48"/>
  <c r="I1436" i="48"/>
  <c r="I1437" i="48"/>
  <c r="I1438" i="48"/>
  <c r="I1439" i="48"/>
  <c r="I1440" i="48"/>
  <c r="I1441" i="48"/>
  <c r="I1442" i="48"/>
  <c r="I1443" i="48"/>
  <c r="I1444" i="48"/>
  <c r="I1445" i="48"/>
  <c r="I1446" i="48"/>
  <c r="I1447" i="48"/>
  <c r="I1448" i="48"/>
  <c r="I1449" i="48"/>
  <c r="I1450" i="48"/>
  <c r="I1451" i="48"/>
  <c r="I1452" i="48"/>
  <c r="I1453" i="48"/>
  <c r="I1454" i="48"/>
  <c r="I1455" i="48"/>
  <c r="I1456" i="48"/>
  <c r="I1457" i="48"/>
  <c r="I1458" i="48"/>
  <c r="I1459" i="48"/>
  <c r="I1460" i="48"/>
  <c r="I1461" i="48"/>
  <c r="I1462" i="48"/>
  <c r="I1463" i="48"/>
  <c r="I1464" i="48"/>
  <c r="I1465" i="48"/>
  <c r="I1466" i="48"/>
  <c r="I1467" i="48"/>
  <c r="I1468" i="48"/>
  <c r="I1469" i="48"/>
  <c r="I1470" i="48"/>
  <c r="I1471" i="48"/>
  <c r="I1472" i="48"/>
  <c r="I1473" i="48"/>
  <c r="I1474" i="48"/>
  <c r="I1094" i="48"/>
  <c r="I1095" i="48"/>
  <c r="I1096" i="48"/>
  <c r="I1097" i="48"/>
  <c r="I1098" i="48"/>
  <c r="I1099" i="48"/>
  <c r="I1100" i="48"/>
  <c r="I1101" i="48"/>
  <c r="I1102" i="48"/>
  <c r="I1103" i="48"/>
  <c r="I1104" i="48"/>
  <c r="I1105" i="48"/>
  <c r="I1106" i="48"/>
  <c r="I1107" i="48"/>
  <c r="I1108" i="48"/>
  <c r="I1109" i="48"/>
  <c r="I1110" i="48"/>
  <c r="I1111" i="48"/>
  <c r="I1112" i="48"/>
  <c r="I1113" i="48"/>
  <c r="I1114" i="48"/>
  <c r="I1128" i="48"/>
  <c r="I1129" i="48"/>
  <c r="I1138" i="48"/>
  <c r="I1173" i="48"/>
  <c r="I1174" i="48"/>
  <c r="I1175" i="48"/>
  <c r="I1178" i="48"/>
  <c r="I1181" i="48"/>
  <c r="I1184" i="48"/>
  <c r="I1185" i="48"/>
  <c r="I1194" i="48"/>
  <c r="I1195" i="48"/>
  <c r="I1196" i="48"/>
  <c r="I1198" i="48"/>
  <c r="I1199" i="48"/>
  <c r="I1201" i="48"/>
  <c r="I1202" i="48"/>
  <c r="I1204" i="48"/>
  <c r="I1205" i="48"/>
  <c r="I1207" i="48"/>
  <c r="I1208" i="48"/>
  <c r="I1209" i="48"/>
  <c r="I1214" i="48"/>
  <c r="I1224" i="48"/>
  <c r="I1225" i="48"/>
  <c r="I1234" i="48"/>
  <c r="I1253" i="48"/>
  <c r="I1254" i="48"/>
  <c r="I1255" i="48"/>
  <c r="I1256" i="48"/>
  <c r="I1257" i="48"/>
  <c r="I1258" i="48"/>
  <c r="I1259" i="48"/>
  <c r="I1260" i="48"/>
  <c r="I981" i="48"/>
  <c r="I983" i="48"/>
  <c r="I985" i="48"/>
  <c r="I1000" i="48"/>
  <c r="I1005" i="48"/>
  <c r="I1006" i="48"/>
  <c r="I1010" i="48"/>
  <c r="I1011" i="48"/>
  <c r="I1013" i="48"/>
  <c r="I1014" i="48"/>
  <c r="I1015" i="48"/>
  <c r="I1020" i="48"/>
  <c r="I1021" i="48"/>
  <c r="I1022" i="48"/>
  <c r="I1023" i="48"/>
  <c r="I1038" i="48"/>
  <c r="I1039" i="48"/>
  <c r="I1043" i="48"/>
  <c r="I1044" i="48"/>
  <c r="I1045" i="48"/>
  <c r="I1060" i="48"/>
  <c r="I1064" i="48"/>
  <c r="I1065" i="48"/>
  <c r="I1066" i="48"/>
  <c r="I1071" i="48"/>
  <c r="I1072" i="48"/>
  <c r="I1073" i="48"/>
  <c r="I1074" i="48"/>
  <c r="I1076" i="48"/>
  <c r="I1080" i="48"/>
  <c r="I1081" i="48"/>
  <c r="I1082" i="48"/>
  <c r="I968" i="48"/>
  <c r="I969" i="48"/>
  <c r="I970" i="48"/>
  <c r="I541" i="48"/>
  <c r="I542" i="48"/>
  <c r="I545" i="48"/>
  <c r="I546" i="48"/>
  <c r="I547" i="48"/>
  <c r="I548" i="48"/>
  <c r="I550" i="48"/>
  <c r="I551" i="48"/>
  <c r="I554" i="48"/>
  <c r="I555" i="48"/>
  <c r="I556" i="48"/>
  <c r="I557" i="48"/>
  <c r="I558" i="48"/>
  <c r="I559" i="48"/>
  <c r="I560" i="48"/>
  <c r="I561" i="48"/>
  <c r="I807" i="48"/>
  <c r="I809" i="48"/>
  <c r="I851" i="48"/>
  <c r="I865" i="48"/>
  <c r="I873" i="48"/>
  <c r="I876" i="48"/>
  <c r="I880" i="48"/>
  <c r="I883" i="48"/>
  <c r="I884" i="48"/>
  <c r="I885" i="48"/>
  <c r="I886" i="48"/>
  <c r="I887" i="48"/>
  <c r="I888" i="48"/>
  <c r="I889" i="48"/>
  <c r="I890" i="48"/>
  <c r="I891" i="48"/>
  <c r="I892" i="48"/>
  <c r="I894" i="48"/>
  <c r="I897" i="48"/>
  <c r="I898" i="48"/>
  <c r="I902" i="48"/>
  <c r="I903" i="48"/>
  <c r="I904" i="48"/>
  <c r="I906" i="48"/>
  <c r="I908" i="48"/>
  <c r="I911" i="48"/>
  <c r="I913" i="48"/>
  <c r="I915" i="48"/>
  <c r="I918" i="48"/>
  <c r="I920" i="48"/>
  <c r="I922" i="48"/>
  <c r="I925" i="48"/>
  <c r="I927" i="48"/>
  <c r="I929" i="48"/>
  <c r="I932" i="48"/>
  <c r="I934" i="48"/>
  <c r="I936" i="48"/>
  <c r="I939" i="48"/>
  <c r="I941" i="48"/>
  <c r="I943" i="48"/>
  <c r="I946" i="48"/>
  <c r="I948" i="48"/>
  <c r="I950" i="48"/>
  <c r="I953" i="48"/>
  <c r="I954" i="48"/>
  <c r="I956" i="48"/>
  <c r="I957" i="48"/>
  <c r="I958" i="48"/>
  <c r="I707" i="48"/>
  <c r="I724" i="48"/>
  <c r="I734" i="48"/>
  <c r="I742" i="48"/>
  <c r="I744" i="48"/>
  <c r="I769" i="48"/>
  <c r="I770" i="48"/>
  <c r="I771" i="48"/>
  <c r="I786" i="48"/>
  <c r="I796" i="48"/>
  <c r="I799" i="48"/>
  <c r="I672" i="48"/>
  <c r="I673" i="48"/>
  <c r="I674" i="48"/>
  <c r="I675" i="48"/>
  <c r="I676" i="48"/>
  <c r="I565" i="48"/>
  <c r="I566" i="48"/>
  <c r="I628" i="48"/>
  <c r="I632" i="48"/>
  <c r="I633" i="48"/>
  <c r="I635" i="48"/>
  <c r="I636" i="48"/>
  <c r="I651" i="48"/>
  <c r="I661" i="48"/>
  <c r="I662" i="48"/>
  <c r="I663" i="48"/>
  <c r="I664" i="48"/>
  <c r="I665" i="48"/>
  <c r="I666" i="48"/>
  <c r="I667" i="48"/>
  <c r="I564" i="48"/>
  <c r="I263" i="48"/>
  <c r="I264" i="48"/>
  <c r="I265" i="48"/>
  <c r="I268" i="48"/>
  <c r="I269" i="48"/>
  <c r="I271" i="48"/>
  <c r="I272" i="48"/>
  <c r="I274" i="48"/>
  <c r="I275" i="48"/>
  <c r="I277" i="48"/>
  <c r="I278" i="48"/>
  <c r="I281" i="48"/>
  <c r="I283" i="48"/>
  <c r="I284" i="48"/>
  <c r="I288" i="48"/>
  <c r="I292" i="48"/>
  <c r="I296" i="48"/>
  <c r="I300" i="48"/>
  <c r="I301" i="48"/>
  <c r="I302" i="48"/>
  <c r="I304" i="48"/>
  <c r="I308" i="48"/>
  <c r="I312" i="48"/>
  <c r="I316" i="48"/>
  <c r="I320" i="48"/>
  <c r="I324" i="48"/>
  <c r="I328" i="48"/>
  <c r="I332" i="48"/>
  <c r="I336" i="48"/>
  <c r="I340" i="48"/>
  <c r="I344" i="48"/>
  <c r="I348" i="48"/>
  <c r="I352" i="48"/>
  <c r="I356" i="48"/>
  <c r="I357" i="48"/>
  <c r="I358" i="48"/>
  <c r="I359" i="48"/>
  <c r="I361" i="48"/>
  <c r="I362" i="48"/>
  <c r="I363" i="48"/>
  <c r="I365" i="48"/>
  <c r="I366" i="48"/>
  <c r="I367" i="48"/>
  <c r="I369" i="48"/>
  <c r="I370" i="48"/>
  <c r="I374" i="48"/>
  <c r="I378" i="48"/>
  <c r="I382" i="48"/>
  <c r="I386" i="48"/>
  <c r="I387" i="48"/>
  <c r="I388" i="48"/>
  <c r="I389" i="48"/>
  <c r="I391" i="48"/>
  <c r="I392" i="48"/>
  <c r="I393" i="48"/>
  <c r="I395" i="48"/>
  <c r="I396" i="48"/>
  <c r="I397" i="48"/>
  <c r="I399" i="48"/>
  <c r="I400" i="48"/>
  <c r="I401" i="48"/>
  <c r="I403" i="48"/>
  <c r="I404" i="48"/>
  <c r="I406" i="48"/>
  <c r="I407" i="48"/>
  <c r="I408" i="48"/>
  <c r="I409" i="48"/>
  <c r="I410" i="48"/>
  <c r="I411" i="48"/>
  <c r="I412" i="48"/>
  <c r="I413" i="48"/>
  <c r="I414" i="48"/>
  <c r="I418" i="48"/>
  <c r="I422" i="48"/>
  <c r="I426" i="48"/>
  <c r="I430" i="48"/>
  <c r="I431" i="48"/>
  <c r="I432" i="48"/>
  <c r="I434" i="48"/>
  <c r="I438" i="48"/>
  <c r="I442" i="48"/>
  <c r="I446" i="48"/>
  <c r="I450" i="48"/>
  <c r="I454" i="48"/>
  <c r="I458" i="48"/>
  <c r="I462" i="48"/>
  <c r="I466" i="48"/>
  <c r="I470" i="48"/>
  <c r="I471" i="48"/>
  <c r="I475" i="48"/>
  <c r="I479" i="48"/>
  <c r="I483" i="48"/>
  <c r="I487" i="48"/>
  <c r="I488" i="48"/>
  <c r="I489" i="48"/>
  <c r="I491" i="48"/>
  <c r="I495" i="48"/>
  <c r="I499" i="48"/>
  <c r="I503" i="48"/>
  <c r="I507" i="48"/>
  <c r="I511" i="48"/>
  <c r="I515" i="48"/>
  <c r="I519" i="48"/>
  <c r="I523" i="48"/>
  <c r="I527" i="48"/>
  <c r="I528" i="48"/>
  <c r="I124" i="48"/>
  <c r="I123" i="48"/>
  <c r="I13" i="48"/>
  <c r="I14" i="48"/>
  <c r="I15" i="48"/>
  <c r="I20" i="48"/>
  <c r="I33" i="48"/>
  <c r="I37" i="48"/>
  <c r="I41" i="48"/>
  <c r="I45" i="48"/>
  <c r="I46" i="48"/>
  <c r="I47" i="48"/>
  <c r="I49" i="48"/>
  <c r="I51" i="48"/>
  <c r="I53" i="48"/>
  <c r="I54" i="48"/>
  <c r="I59" i="48"/>
  <c r="I60" i="48"/>
  <c r="I61" i="48"/>
  <c r="I63" i="48"/>
  <c r="I64" i="48"/>
  <c r="I66" i="48"/>
  <c r="I67" i="48"/>
  <c r="I69" i="48"/>
  <c r="I70" i="48"/>
  <c r="I72" i="48"/>
  <c r="I73" i="48"/>
  <c r="I74" i="48"/>
  <c r="I79" i="48"/>
  <c r="I89" i="48"/>
  <c r="I90" i="48"/>
  <c r="I95" i="48"/>
  <c r="I105" i="48"/>
  <c r="I106" i="48"/>
  <c r="I107" i="48"/>
  <c r="I110" i="48"/>
  <c r="I111" i="48"/>
  <c r="I113" i="48"/>
  <c r="I114" i="48"/>
  <c r="J15" i="45" l="1"/>
  <c r="I15" i="45"/>
  <c r="H15" i="45"/>
  <c r="H17" i="45" s="1"/>
  <c r="J10" i="45"/>
  <c r="I10" i="45"/>
  <c r="I17" i="45" s="1"/>
  <c r="H10" i="45"/>
  <c r="J17" i="45" l="1"/>
  <c r="I31" i="53" l="1"/>
  <c r="I32" i="53"/>
  <c r="E61" i="17" l="1"/>
  <c r="I30" i="53"/>
  <c r="I44" i="53"/>
  <c r="L40" i="53"/>
  <c r="I40" i="53"/>
  <c r="L39" i="53"/>
  <c r="I39" i="53"/>
  <c r="L36" i="53"/>
  <c r="I36" i="53"/>
  <c r="L35" i="53"/>
  <c r="I35" i="53"/>
  <c r="L41" i="53"/>
  <c r="I41" i="53"/>
  <c r="I38" i="53"/>
  <c r="I42" i="53"/>
  <c r="L37" i="53"/>
  <c r="I37" i="53"/>
  <c r="I29" i="53"/>
  <c r="I28" i="53"/>
  <c r="J26" i="53"/>
  <c r="I24" i="53"/>
  <c r="I23" i="53"/>
  <c r="I22" i="53"/>
  <c r="I20" i="53"/>
  <c r="I18" i="53"/>
  <c r="I16" i="53"/>
  <c r="I15" i="53"/>
  <c r="I14" i="53"/>
  <c r="I13" i="53"/>
  <c r="I12" i="53"/>
  <c r="I11" i="53"/>
  <c r="I10" i="53"/>
  <c r="G10" i="53"/>
  <c r="I9" i="53"/>
  <c r="I8" i="53"/>
  <c r="G8" i="53"/>
  <c r="I7" i="53"/>
  <c r="A3" i="53"/>
  <c r="B1" i="53"/>
  <c r="J30" i="53" l="1"/>
  <c r="J8" i="53"/>
  <c r="I25" i="53"/>
  <c r="C9" i="45" s="1"/>
  <c r="C14" i="45"/>
  <c r="I80" i="52"/>
  <c r="I55" i="52"/>
  <c r="I79" i="52"/>
  <c r="I78" i="52"/>
  <c r="I67" i="52"/>
  <c r="L71" i="52"/>
  <c r="I71" i="52"/>
  <c r="L70" i="52"/>
  <c r="I70" i="52"/>
  <c r="L68" i="52"/>
  <c r="I68" i="52"/>
  <c r="L66" i="52"/>
  <c r="I66" i="52"/>
  <c r="I73" i="52"/>
  <c r="I72" i="52"/>
  <c r="I64" i="52"/>
  <c r="I63" i="52"/>
  <c r="I65" i="52"/>
  <c r="I56" i="52"/>
  <c r="I77" i="52"/>
  <c r="I76" i="52"/>
  <c r="I69" i="52"/>
  <c r="I75" i="52"/>
  <c r="I57" i="52"/>
  <c r="K53" i="52"/>
  <c r="J53" i="52" s="1"/>
  <c r="I51" i="52"/>
  <c r="I50" i="52"/>
  <c r="I49" i="52"/>
  <c r="I48" i="52"/>
  <c r="I47" i="52"/>
  <c r="I46" i="52"/>
  <c r="K45" i="52"/>
  <c r="I45" i="52"/>
  <c r="G45" i="52"/>
  <c r="I37" i="52"/>
  <c r="I25" i="52"/>
  <c r="I22" i="52"/>
  <c r="I20" i="52"/>
  <c r="I18" i="52"/>
  <c r="I16" i="52"/>
  <c r="I12" i="52"/>
  <c r="I10" i="52"/>
  <c r="I8" i="52"/>
  <c r="B3" i="52"/>
  <c r="B2" i="52"/>
  <c r="B1" i="52"/>
  <c r="I47" i="53" l="1"/>
  <c r="J45" i="52"/>
  <c r="J80" i="52"/>
  <c r="J76" i="52"/>
  <c r="J75" i="52"/>
  <c r="J57" i="52"/>
  <c r="G75" i="52"/>
  <c r="I52" i="52"/>
  <c r="C8" i="45" s="1"/>
  <c r="I81" i="52"/>
  <c r="C13" i="45" s="1"/>
  <c r="I82" i="52" l="1"/>
  <c r="J1606" i="50"/>
  <c r="M4549" i="34"/>
  <c r="I671" i="48" l="1"/>
  <c r="D8650" i="34"/>
  <c r="I8650" i="34" s="1"/>
  <c r="D8652" i="34"/>
  <c r="I8652" i="34" s="1"/>
  <c r="D8643" i="34"/>
  <c r="I8643" i="34" s="1"/>
  <c r="B1" i="47" l="1"/>
  <c r="N1591" i="50" l="1"/>
  <c r="O1591" i="50" s="1"/>
  <c r="P1591" i="50"/>
  <c r="Q1591" i="50"/>
  <c r="R1591" i="50"/>
  <c r="S1591" i="50"/>
  <c r="T1591" i="50"/>
  <c r="U1591" i="50"/>
  <c r="V1591" i="50"/>
  <c r="N1592" i="50"/>
  <c r="O1592" i="50" s="1"/>
  <c r="P1592" i="50"/>
  <c r="Q1592" i="50"/>
  <c r="R1592" i="50"/>
  <c r="S1592" i="50"/>
  <c r="T1592" i="50"/>
  <c r="U1592" i="50"/>
  <c r="V1592" i="50"/>
  <c r="N1593" i="50"/>
  <c r="O1593" i="50" s="1"/>
  <c r="P1593" i="50"/>
  <c r="Q1593" i="50"/>
  <c r="R1593" i="50"/>
  <c r="S1593" i="50"/>
  <c r="T1593" i="50"/>
  <c r="U1593" i="50"/>
  <c r="V1593" i="50"/>
  <c r="N1594" i="50"/>
  <c r="O1594" i="50" s="1"/>
  <c r="P1594" i="50"/>
  <c r="Q1594" i="50"/>
  <c r="R1594" i="50"/>
  <c r="S1594" i="50"/>
  <c r="T1594" i="50"/>
  <c r="U1594" i="50"/>
  <c r="V1594" i="50"/>
  <c r="P1595" i="50"/>
  <c r="R1595" i="50"/>
  <c r="S1595" i="50"/>
  <c r="T1595" i="50"/>
  <c r="U1595" i="50"/>
  <c r="V1595" i="50"/>
  <c r="P1596" i="50"/>
  <c r="R1596" i="50"/>
  <c r="S1596" i="50"/>
  <c r="T1596" i="50"/>
  <c r="U1596" i="50"/>
  <c r="V1596" i="50"/>
  <c r="N1597" i="50"/>
  <c r="O1597" i="50" s="1"/>
  <c r="P1597" i="50"/>
  <c r="Q1597" i="50"/>
  <c r="R1597" i="50"/>
  <c r="S1597" i="50"/>
  <c r="T1597" i="50"/>
  <c r="U1597" i="50"/>
  <c r="V1597" i="50"/>
  <c r="P1598" i="50"/>
  <c r="Q1598" i="50"/>
  <c r="S1598" i="50"/>
  <c r="T1598" i="50"/>
  <c r="U1598" i="50"/>
  <c r="V1598" i="50"/>
  <c r="N1599" i="50"/>
  <c r="O1599" i="50" s="1"/>
  <c r="Q1599" i="50"/>
  <c r="R1599" i="50"/>
  <c r="S1599" i="50"/>
  <c r="T1599" i="50"/>
  <c r="U1599" i="50"/>
  <c r="V1599" i="50"/>
  <c r="N1600" i="50"/>
  <c r="O1600" i="50" s="1"/>
  <c r="P1600" i="50"/>
  <c r="Q1600" i="50"/>
  <c r="R1600" i="50"/>
  <c r="S1600" i="50"/>
  <c r="T1600" i="50"/>
  <c r="U1600" i="50"/>
  <c r="V1600" i="50"/>
  <c r="N1601" i="50"/>
  <c r="O1601" i="50" s="1"/>
  <c r="P1601" i="50"/>
  <c r="Q1601" i="50"/>
  <c r="R1601" i="50"/>
  <c r="S1601" i="50"/>
  <c r="T1601" i="50"/>
  <c r="U1601" i="50"/>
  <c r="V1601" i="50"/>
  <c r="N1602" i="50"/>
  <c r="O1602" i="50" s="1"/>
  <c r="P1602" i="50"/>
  <c r="Q1602" i="50"/>
  <c r="R1602" i="50"/>
  <c r="S1602" i="50"/>
  <c r="T1602" i="50"/>
  <c r="U1602" i="50"/>
  <c r="V1602" i="50"/>
  <c r="N1603" i="50"/>
  <c r="O1603" i="50" s="1"/>
  <c r="P1603" i="50"/>
  <c r="Q1603" i="50"/>
  <c r="R1603" i="50"/>
  <c r="S1603" i="50"/>
  <c r="T1603" i="50"/>
  <c r="U1603" i="50"/>
  <c r="V1603" i="50"/>
  <c r="P1604" i="50"/>
  <c r="R1604" i="50"/>
  <c r="S1604" i="50"/>
  <c r="T1604" i="50"/>
  <c r="U1604" i="50"/>
  <c r="V1604" i="50"/>
  <c r="P1605" i="50"/>
  <c r="R1605" i="50"/>
  <c r="S1605" i="50"/>
  <c r="T1605" i="50"/>
  <c r="U1605" i="50"/>
  <c r="V1605" i="50"/>
  <c r="N1606" i="50"/>
  <c r="O1606" i="50" s="1"/>
  <c r="Q1606" i="50" s="1"/>
  <c r="P1606" i="50"/>
  <c r="R1606" i="50"/>
  <c r="S1606" i="50"/>
  <c r="T1606" i="50"/>
  <c r="U1606" i="50"/>
  <c r="V1606" i="50"/>
  <c r="N1607" i="50"/>
  <c r="O1607" i="50" s="1"/>
  <c r="P1607" i="50"/>
  <c r="Q1607" i="50"/>
  <c r="R1607" i="50"/>
  <c r="S1607" i="50"/>
  <c r="T1607" i="50"/>
  <c r="U1607" i="50"/>
  <c r="V1607" i="50"/>
  <c r="N1608" i="50"/>
  <c r="O1608" i="50" s="1"/>
  <c r="R1608" i="50" s="1"/>
  <c r="P1608" i="50"/>
  <c r="Q1608" i="50"/>
  <c r="S1608" i="50"/>
  <c r="T1608" i="50"/>
  <c r="U1608" i="50"/>
  <c r="V1608" i="50"/>
  <c r="N1609" i="50"/>
  <c r="O1609" i="50" s="1"/>
  <c r="Q1609" i="50"/>
  <c r="R1609" i="50"/>
  <c r="S1609" i="50"/>
  <c r="T1609" i="50"/>
  <c r="U1609" i="50"/>
  <c r="V1609" i="50"/>
  <c r="N1610" i="50"/>
  <c r="O1610" i="50" s="1"/>
  <c r="Q1610" i="50"/>
  <c r="R1610" i="50"/>
  <c r="S1610" i="50"/>
  <c r="T1610" i="50"/>
  <c r="U1610" i="50"/>
  <c r="V1610" i="50"/>
  <c r="N1611" i="50"/>
  <c r="O1611" i="50" s="1"/>
  <c r="P1611" i="50"/>
  <c r="Q1611" i="50"/>
  <c r="R1611" i="50"/>
  <c r="S1611" i="50"/>
  <c r="T1611" i="50"/>
  <c r="U1611" i="50"/>
  <c r="V1611" i="50"/>
  <c r="P1610" i="50" l="1"/>
  <c r="D1860" i="48"/>
  <c r="I1860" i="48" s="1"/>
  <c r="F1860" i="48"/>
  <c r="F1863" i="48"/>
  <c r="I1863" i="48" s="1"/>
  <c r="I1793" i="48"/>
  <c r="J1790" i="48"/>
  <c r="I1853" i="48"/>
  <c r="I1792" i="48"/>
  <c r="I1855" i="48"/>
  <c r="I1854" i="48"/>
  <c r="I1791" i="48"/>
  <c r="I53" i="47"/>
  <c r="L52" i="47"/>
  <c r="I52" i="47"/>
  <c r="L50" i="47"/>
  <c r="F1870" i="48"/>
  <c r="I1870" i="48" s="1"/>
  <c r="F1872" i="48"/>
  <c r="I1872" i="48" s="1"/>
  <c r="F1873" i="48"/>
  <c r="I1873" i="48" s="1"/>
  <c r="F1874" i="48"/>
  <c r="I1874" i="48" s="1"/>
  <c r="F1875" i="48"/>
  <c r="I1875" i="48" s="1"/>
  <c r="F1876" i="48"/>
  <c r="I1876" i="48" s="1"/>
  <c r="F1877" i="48"/>
  <c r="I1877" i="48" s="1"/>
  <c r="F1878" i="48"/>
  <c r="I1878" i="48" s="1"/>
  <c r="F1880" i="48"/>
  <c r="I1880" i="48" s="1"/>
  <c r="I1631" i="48"/>
  <c r="I1630" i="48"/>
  <c r="I1785" i="48"/>
  <c r="I1787" i="48"/>
  <c r="I1786" i="48"/>
  <c r="I1629" i="48"/>
  <c r="I1628" i="48"/>
  <c r="J1628" i="48" s="1"/>
  <c r="I51" i="47"/>
  <c r="I50" i="47"/>
  <c r="I1625" i="48"/>
  <c r="I1624" i="48"/>
  <c r="I1564" i="48"/>
  <c r="I1563" i="48"/>
  <c r="I1562" i="48"/>
  <c r="I1561" i="48"/>
  <c r="J1561" i="48" s="1"/>
  <c r="I49" i="47"/>
  <c r="L48" i="47"/>
  <c r="I48" i="47"/>
  <c r="I1337" i="48"/>
  <c r="I1336" i="48"/>
  <c r="I1316" i="48"/>
  <c r="I1315" i="48"/>
  <c r="I1314" i="48"/>
  <c r="I1313" i="48"/>
  <c r="J1313" i="48" s="1"/>
  <c r="I47" i="47"/>
  <c r="L46" i="47"/>
  <c r="I46" i="47"/>
  <c r="I1303" i="48"/>
  <c r="I1301" i="48"/>
  <c r="I1300" i="48"/>
  <c r="I1277" i="48"/>
  <c r="I1276" i="48"/>
  <c r="I1275" i="48"/>
  <c r="I1269" i="48"/>
  <c r="I1268" i="48"/>
  <c r="I1310" i="48"/>
  <c r="I1309" i="48"/>
  <c r="I1267" i="48"/>
  <c r="I1266" i="48"/>
  <c r="J1266" i="48" s="1"/>
  <c r="I45" i="47"/>
  <c r="L44" i="47"/>
  <c r="I44" i="47"/>
  <c r="I43" i="47"/>
  <c r="L42" i="47"/>
  <c r="I42" i="47"/>
  <c r="L41" i="47"/>
  <c r="I41" i="47"/>
  <c r="K40" i="47"/>
  <c r="I40" i="47"/>
  <c r="I1558" i="48"/>
  <c r="I1555" i="48"/>
  <c r="I1554" i="48"/>
  <c r="J1554" i="48" s="1"/>
  <c r="I1545" i="48"/>
  <c r="I1484" i="48"/>
  <c r="I1483" i="48"/>
  <c r="I1482" i="48"/>
  <c r="I1481" i="48"/>
  <c r="I1343" i="48"/>
  <c r="I1342" i="48"/>
  <c r="L35" i="47"/>
  <c r="I34" i="47"/>
  <c r="I33" i="47"/>
  <c r="I1093" i="48"/>
  <c r="I1092" i="48"/>
  <c r="I1115" i="48"/>
  <c r="I1117" i="48"/>
  <c r="I1116" i="48"/>
  <c r="I1091" i="48"/>
  <c r="I1090" i="48"/>
  <c r="I24" i="47"/>
  <c r="I23" i="47"/>
  <c r="I967" i="48"/>
  <c r="I966" i="48"/>
  <c r="I973" i="48"/>
  <c r="I972" i="48"/>
  <c r="I971" i="48"/>
  <c r="I965" i="48"/>
  <c r="I963" i="48"/>
  <c r="I8602" i="34"/>
  <c r="I8587" i="34"/>
  <c r="I8586" i="34"/>
  <c r="I8604" i="34"/>
  <c r="I8603" i="34"/>
  <c r="I8585" i="34"/>
  <c r="I8584" i="34"/>
  <c r="J8584" i="34" s="1"/>
  <c r="I91" i="17"/>
  <c r="I90" i="17"/>
  <c r="I8796" i="34"/>
  <c r="I8795" i="34"/>
  <c r="D8975" i="34"/>
  <c r="I8975" i="34" s="1"/>
  <c r="D8976" i="34"/>
  <c r="I8976" i="34" s="1"/>
  <c r="D8983" i="34"/>
  <c r="I8983" i="34" s="1"/>
  <c r="D8989" i="34"/>
  <c r="I8989" i="34" s="1"/>
  <c r="D8990" i="34"/>
  <c r="I8990" i="34" s="1"/>
  <c r="D8995" i="34"/>
  <c r="I8995" i="34" s="1"/>
  <c r="D8999" i="34"/>
  <c r="I8999" i="34" s="1"/>
  <c r="D9006" i="34"/>
  <c r="I9006" i="34" s="1"/>
  <c r="D9015" i="34"/>
  <c r="I9015" i="34" s="1"/>
  <c r="D9027" i="34"/>
  <c r="I9027" i="34" s="1"/>
  <c r="D9036" i="34"/>
  <c r="I9036" i="34" s="1"/>
  <c r="D9039" i="34"/>
  <c r="I9039" i="34" s="1"/>
  <c r="D9055" i="34"/>
  <c r="I9055" i="34" s="1"/>
  <c r="L88" i="17"/>
  <c r="I89" i="17"/>
  <c r="I88" i="17"/>
  <c r="I8952" i="34"/>
  <c r="I8951" i="34"/>
  <c r="I8794" i="34"/>
  <c r="I8793" i="34"/>
  <c r="J8793" i="34" s="1"/>
  <c r="I8670" i="34"/>
  <c r="I8669" i="34"/>
  <c r="I8790" i="34"/>
  <c r="I8789" i="34"/>
  <c r="I8668" i="34"/>
  <c r="I8667" i="34"/>
  <c r="J8667" i="34" s="1"/>
  <c r="L86" i="17"/>
  <c r="I87" i="17"/>
  <c r="I86" i="17"/>
  <c r="L84" i="17"/>
  <c r="L82" i="17"/>
  <c r="L80" i="17"/>
  <c r="I85" i="17"/>
  <c r="I84" i="17"/>
  <c r="I8609" i="34"/>
  <c r="I8655" i="34"/>
  <c r="I8654" i="34"/>
  <c r="I8657" i="34"/>
  <c r="I8656" i="34"/>
  <c r="I8608" i="34"/>
  <c r="I8607" i="34"/>
  <c r="J8607" i="34" s="1"/>
  <c r="I83" i="17"/>
  <c r="I82" i="17"/>
  <c r="I8540" i="34"/>
  <c r="I8582" i="34"/>
  <c r="I8533" i="34"/>
  <c r="I8532" i="34"/>
  <c r="J8532" i="34" s="1"/>
  <c r="I81" i="17"/>
  <c r="I80" i="17"/>
  <c r="I8446" i="34"/>
  <c r="I8580" i="34"/>
  <c r="I8431" i="34"/>
  <c r="I8430" i="34"/>
  <c r="J8430" i="34" s="1"/>
  <c r="I8968" i="34"/>
  <c r="I8967" i="34"/>
  <c r="J8962" i="34"/>
  <c r="I79" i="17"/>
  <c r="I78" i="17"/>
  <c r="F1544" i="48" l="1"/>
  <c r="I1544" i="48" s="1"/>
  <c r="F1475" i="48"/>
  <c r="I1475" i="48" s="1"/>
  <c r="F1784" i="48"/>
  <c r="I1784" i="48" s="1"/>
  <c r="J1787" i="48" s="1"/>
  <c r="J1788" i="48" s="1"/>
  <c r="H50" i="47" s="1"/>
  <c r="K50" i="47" s="1"/>
  <c r="J50" i="47" s="1"/>
  <c r="F1623" i="48"/>
  <c r="I1623" i="48" s="1"/>
  <c r="J1625" i="48" s="1"/>
  <c r="J1626" i="48" s="1"/>
  <c r="F1852" i="48"/>
  <c r="I1852" i="48" s="1"/>
  <c r="J1854" i="48" s="1"/>
  <c r="J1855" i="48" s="1"/>
  <c r="F8950" i="34"/>
  <c r="I8950" i="34" s="1"/>
  <c r="J8952" i="34" s="1"/>
  <c r="J8580" i="34"/>
  <c r="F8788" i="34"/>
  <c r="I8788" i="34" s="1"/>
  <c r="J8790" i="34" s="1"/>
  <c r="J8604" i="34"/>
  <c r="J8605" i="34" s="1"/>
  <c r="J40" i="47"/>
  <c r="J1337" i="48"/>
  <c r="J1338" i="48" s="1"/>
  <c r="J1310" i="48"/>
  <c r="J1311" i="48" s="1"/>
  <c r="J1558" i="48"/>
  <c r="J1559" i="48" s="1"/>
  <c r="J1117" i="48"/>
  <c r="J1090" i="48"/>
  <c r="J972" i="48"/>
  <c r="J965" i="48"/>
  <c r="J8657" i="34"/>
  <c r="J8968" i="34"/>
  <c r="J8969" i="34" s="1"/>
  <c r="H44" i="47" l="1"/>
  <c r="K44" i="47" s="1"/>
  <c r="J44" i="47" s="1"/>
  <c r="H48" i="47"/>
  <c r="K48" i="47" s="1"/>
  <c r="J48" i="47" s="1"/>
  <c r="H39" i="53"/>
  <c r="H41" i="47"/>
  <c r="G41" i="47" s="1"/>
  <c r="H41" i="53"/>
  <c r="H46" i="47"/>
  <c r="K46" i="47" s="1"/>
  <c r="J46" i="47" s="1"/>
  <c r="H36" i="53"/>
  <c r="H42" i="47"/>
  <c r="K42" i="47" s="1"/>
  <c r="J42" i="47" s="1"/>
  <c r="H35" i="53"/>
  <c r="H78" i="17"/>
  <c r="H73" i="52"/>
  <c r="H90" i="17"/>
  <c r="H67" i="52"/>
  <c r="H52" i="47"/>
  <c r="G52" i="47" s="1"/>
  <c r="H40" i="53"/>
  <c r="G50" i="47"/>
  <c r="J1118" i="48"/>
  <c r="J973" i="48"/>
  <c r="J8953" i="34"/>
  <c r="J8791" i="34"/>
  <c r="J8658" i="34"/>
  <c r="J8581" i="34"/>
  <c r="K41" i="47" l="1"/>
  <c r="J41" i="47" s="1"/>
  <c r="G48" i="47"/>
  <c r="G42" i="47"/>
  <c r="G46" i="47"/>
  <c r="H84" i="17"/>
  <c r="K84" i="17" s="1"/>
  <c r="J84" i="17" s="1"/>
  <c r="H68" i="52"/>
  <c r="H86" i="17"/>
  <c r="H70" i="52"/>
  <c r="J40" i="53"/>
  <c r="G40" i="53"/>
  <c r="J35" i="53"/>
  <c r="G35" i="53"/>
  <c r="J41" i="53"/>
  <c r="G41" i="53"/>
  <c r="H80" i="17"/>
  <c r="K80" i="17" s="1"/>
  <c r="J80" i="17" s="1"/>
  <c r="H66" i="52"/>
  <c r="H82" i="17"/>
  <c r="K82" i="17" s="1"/>
  <c r="J82" i="17" s="1"/>
  <c r="H23" i="47"/>
  <c r="K23" i="47" s="1"/>
  <c r="H23" i="53"/>
  <c r="G44" i="47"/>
  <c r="K52" i="47"/>
  <c r="J52" i="47" s="1"/>
  <c r="G67" i="52"/>
  <c r="J67" i="52"/>
  <c r="J73" i="52"/>
  <c r="G73" i="52"/>
  <c r="J36" i="53"/>
  <c r="G36" i="53"/>
  <c r="J39" i="53"/>
  <c r="G39" i="53"/>
  <c r="H88" i="17"/>
  <c r="K88" i="17" s="1"/>
  <c r="J88" i="17" s="1"/>
  <c r="H71" i="52"/>
  <c r="H33" i="47"/>
  <c r="K33" i="47" s="1"/>
  <c r="J33" i="47" s="1"/>
  <c r="H29" i="53"/>
  <c r="G33" i="47"/>
  <c r="G80" i="17" l="1"/>
  <c r="G88" i="17"/>
  <c r="G84" i="17"/>
  <c r="G23" i="47"/>
  <c r="G82" i="17"/>
  <c r="J29" i="53"/>
  <c r="G29" i="53"/>
  <c r="J70" i="52"/>
  <c r="G70" i="52"/>
  <c r="J71" i="52"/>
  <c r="G71" i="52"/>
  <c r="J23" i="53"/>
  <c r="G23" i="53"/>
  <c r="J66" i="52"/>
  <c r="G66" i="52"/>
  <c r="J68" i="52"/>
  <c r="G68" i="52"/>
  <c r="J23" i="47"/>
  <c r="I8407" i="34" l="1"/>
  <c r="I8427" i="34"/>
  <c r="D9059" i="34"/>
  <c r="I9059" i="34" s="1"/>
  <c r="D9064" i="34"/>
  <c r="I9064" i="34" s="1"/>
  <c r="D6987" i="34"/>
  <c r="I6987" i="34" s="1"/>
  <c r="D6994" i="34"/>
  <c r="I6994" i="34" s="1"/>
  <c r="I7020" i="34"/>
  <c r="I7019" i="34"/>
  <c r="I7291" i="34"/>
  <c r="I8381" i="34"/>
  <c r="I8389" i="34"/>
  <c r="I8388" i="34"/>
  <c r="D8333" i="34"/>
  <c r="D8332" i="34"/>
  <c r="D8329" i="34"/>
  <c r="D8328" i="34"/>
  <c r="F8333" i="34"/>
  <c r="F8332" i="34"/>
  <c r="F8329" i="34"/>
  <c r="F8328" i="34"/>
  <c r="D8360" i="34"/>
  <c r="I8360" i="34" s="1"/>
  <c r="D8361" i="34"/>
  <c r="I8361" i="34" s="1"/>
  <c r="I8320" i="34"/>
  <c r="I22" i="17"/>
  <c r="K21" i="17"/>
  <c r="I21" i="17"/>
  <c r="G21" i="17"/>
  <c r="I4889" i="34"/>
  <c r="I4888" i="34"/>
  <c r="I4911" i="34"/>
  <c r="I4914" i="34"/>
  <c r="I4913" i="34"/>
  <c r="I4912" i="34"/>
  <c r="I4887" i="34"/>
  <c r="I4886" i="34"/>
  <c r="J4886" i="34" s="1"/>
  <c r="I4884" i="34"/>
  <c r="I5785" i="34"/>
  <c r="I5713" i="34"/>
  <c r="I5712" i="34"/>
  <c r="I5711" i="34"/>
  <c r="F5717" i="34"/>
  <c r="I5717" i="34" s="1"/>
  <c r="F5718" i="34"/>
  <c r="H5718" i="34"/>
  <c r="F5719" i="34"/>
  <c r="H5719" i="34"/>
  <c r="F5730" i="34"/>
  <c r="G5730" i="34"/>
  <c r="D5731" i="34"/>
  <c r="F5731" i="34"/>
  <c r="G5731" i="34"/>
  <c r="I5683" i="34"/>
  <c r="D5317" i="34"/>
  <c r="I5317" i="34" s="1"/>
  <c r="F5317" i="34"/>
  <c r="D5318" i="34"/>
  <c r="I5318" i="34" s="1"/>
  <c r="F5318" i="34"/>
  <c r="D5319" i="34"/>
  <c r="I5319" i="34" s="1"/>
  <c r="F5319" i="34"/>
  <c r="D5320" i="34"/>
  <c r="I5320" i="34" s="1"/>
  <c r="F5320" i="34"/>
  <c r="F5322" i="34"/>
  <c r="I5322" i="34" s="1"/>
  <c r="I5719" i="34" l="1"/>
  <c r="I5730" i="34"/>
  <c r="I5718" i="34"/>
  <c r="I5731" i="34"/>
  <c r="I8332" i="34"/>
  <c r="I8333" i="34"/>
  <c r="I8328" i="34"/>
  <c r="I8329" i="34"/>
  <c r="F5806" i="34"/>
  <c r="I5806" i="34" s="1"/>
  <c r="F8426" i="34"/>
  <c r="I8426" i="34" s="1"/>
  <c r="J21" i="17"/>
  <c r="J4913" i="34"/>
  <c r="J4914" i="34" s="1"/>
  <c r="E4955" i="34"/>
  <c r="I4955" i="34" s="1"/>
  <c r="I4880" i="34"/>
  <c r="V1617" i="50"/>
  <c r="U1617" i="50"/>
  <c r="T1617" i="50"/>
  <c r="S1617" i="50"/>
  <c r="R1617" i="50"/>
  <c r="N1617" i="50"/>
  <c r="O1617" i="50" s="1"/>
  <c r="V1612" i="50"/>
  <c r="V1614" i="50" s="1"/>
  <c r="U1612" i="50"/>
  <c r="U1614" i="50" s="1"/>
  <c r="T1612" i="50"/>
  <c r="T1614" i="50" s="1"/>
  <c r="S1612" i="50"/>
  <c r="S1614" i="50" s="1"/>
  <c r="H1609" i="50"/>
  <c r="P1609" i="50" s="1"/>
  <c r="K1605" i="50"/>
  <c r="J1605" i="50"/>
  <c r="I1605" i="50"/>
  <c r="K1604" i="50"/>
  <c r="J1604" i="50"/>
  <c r="I1604" i="50"/>
  <c r="H1599" i="50"/>
  <c r="P1599" i="50" s="1"/>
  <c r="J1598" i="50"/>
  <c r="N1598" i="50" s="1"/>
  <c r="O1598" i="50" s="1"/>
  <c r="R1598" i="50" s="1"/>
  <c r="R1612" i="50" s="1"/>
  <c r="R1614" i="50" s="1"/>
  <c r="K1596" i="50"/>
  <c r="J1596" i="50"/>
  <c r="I1596" i="50"/>
  <c r="K1595" i="50"/>
  <c r="J1595" i="50"/>
  <c r="I1595" i="50"/>
  <c r="V1590" i="50"/>
  <c r="U1590" i="50"/>
  <c r="T1590" i="50"/>
  <c r="S1590" i="50"/>
  <c r="R1590" i="50"/>
  <c r="Q1590" i="50"/>
  <c r="P1590" i="50"/>
  <c r="N1590" i="50"/>
  <c r="O1590" i="50" s="1"/>
  <c r="V1588" i="50"/>
  <c r="U1588" i="50"/>
  <c r="T1588" i="50"/>
  <c r="S1588" i="50"/>
  <c r="R1588" i="50"/>
  <c r="Q1588" i="50"/>
  <c r="P1588" i="50"/>
  <c r="N1588" i="50"/>
  <c r="O1588" i="50" s="1"/>
  <c r="V1581" i="50"/>
  <c r="U1581" i="50"/>
  <c r="T1581" i="50"/>
  <c r="S1581" i="50"/>
  <c r="R1581" i="50"/>
  <c r="Q1581" i="50"/>
  <c r="P1581" i="50"/>
  <c r="N1581" i="50"/>
  <c r="O1581" i="50" s="1"/>
  <c r="V1580" i="50"/>
  <c r="U1580" i="50"/>
  <c r="T1580" i="50"/>
  <c r="S1580" i="50"/>
  <c r="R1580" i="50"/>
  <c r="Q1580" i="50"/>
  <c r="P1580" i="50"/>
  <c r="N1580" i="50"/>
  <c r="O1580" i="50" s="1"/>
  <c r="V1579" i="50"/>
  <c r="U1579" i="50"/>
  <c r="T1579" i="50"/>
  <c r="S1579" i="50"/>
  <c r="R1579" i="50"/>
  <c r="Q1579" i="50"/>
  <c r="N1579" i="50"/>
  <c r="V1578" i="50"/>
  <c r="U1578" i="50"/>
  <c r="T1578" i="50"/>
  <c r="S1578" i="50"/>
  <c r="Q1578" i="50"/>
  <c r="P1578" i="50"/>
  <c r="J1578" i="50"/>
  <c r="I1578" i="50"/>
  <c r="V1577" i="50"/>
  <c r="U1577" i="50"/>
  <c r="T1577" i="50"/>
  <c r="S1577" i="50"/>
  <c r="Q1577" i="50"/>
  <c r="P1577" i="50"/>
  <c r="J1577" i="50"/>
  <c r="H1579" i="50" s="1"/>
  <c r="I1577" i="50"/>
  <c r="V1576" i="50"/>
  <c r="U1576" i="50"/>
  <c r="T1576" i="50"/>
  <c r="S1576" i="50"/>
  <c r="R1576" i="50"/>
  <c r="Q1576" i="50"/>
  <c r="P1576" i="50"/>
  <c r="N1576" i="50"/>
  <c r="O1576" i="50" s="1"/>
  <c r="V1575" i="50"/>
  <c r="U1575" i="50"/>
  <c r="T1575" i="50"/>
  <c r="S1575" i="50"/>
  <c r="R1575" i="50"/>
  <c r="Q1575" i="50"/>
  <c r="P1575" i="50"/>
  <c r="N1575" i="50"/>
  <c r="O1575" i="50" s="1"/>
  <c r="V1574" i="50"/>
  <c r="U1574" i="50"/>
  <c r="T1574" i="50"/>
  <c r="S1574" i="50"/>
  <c r="R1574" i="50"/>
  <c r="Q1574" i="50"/>
  <c r="N1574" i="50"/>
  <c r="V1573" i="50"/>
  <c r="U1573" i="50"/>
  <c r="T1573" i="50"/>
  <c r="S1573" i="50"/>
  <c r="Q1573" i="50"/>
  <c r="P1573" i="50"/>
  <c r="J1573" i="50"/>
  <c r="I1573" i="50"/>
  <c r="V1572" i="50"/>
  <c r="U1572" i="50"/>
  <c r="T1572" i="50"/>
  <c r="S1572" i="50"/>
  <c r="Q1572" i="50"/>
  <c r="P1572" i="50"/>
  <c r="J1572" i="50"/>
  <c r="H1574" i="50" s="1"/>
  <c r="I1572" i="50"/>
  <c r="V1571" i="50"/>
  <c r="U1571" i="50"/>
  <c r="T1571" i="50"/>
  <c r="S1571" i="50"/>
  <c r="R1571" i="50"/>
  <c r="Q1571" i="50"/>
  <c r="P1571" i="50"/>
  <c r="N1571" i="50"/>
  <c r="O1571" i="50" s="1"/>
  <c r="V1570" i="50"/>
  <c r="U1570" i="50"/>
  <c r="T1570" i="50"/>
  <c r="S1570" i="50"/>
  <c r="R1570" i="50"/>
  <c r="Q1570" i="50"/>
  <c r="P1570" i="50"/>
  <c r="N1570" i="50"/>
  <c r="O1570" i="50" s="1"/>
  <c r="V1569" i="50"/>
  <c r="U1569" i="50"/>
  <c r="T1569" i="50"/>
  <c r="S1569" i="50"/>
  <c r="R1569" i="50"/>
  <c r="Q1569" i="50"/>
  <c r="N1569" i="50"/>
  <c r="V1568" i="50"/>
  <c r="U1568" i="50"/>
  <c r="T1568" i="50"/>
  <c r="S1568" i="50"/>
  <c r="Q1568" i="50"/>
  <c r="P1568" i="50"/>
  <c r="J1568" i="50"/>
  <c r="I1568" i="50"/>
  <c r="V1567" i="50"/>
  <c r="U1567" i="50"/>
  <c r="T1567" i="50"/>
  <c r="S1567" i="50"/>
  <c r="Q1567" i="50"/>
  <c r="P1567" i="50"/>
  <c r="N1567" i="50"/>
  <c r="O1567" i="50" s="1"/>
  <c r="J1567" i="50"/>
  <c r="H1569" i="50" s="1"/>
  <c r="I1567" i="50"/>
  <c r="V1566" i="50"/>
  <c r="U1566" i="50"/>
  <c r="T1566" i="50"/>
  <c r="S1566" i="50"/>
  <c r="R1566" i="50"/>
  <c r="Q1566" i="50"/>
  <c r="P1566" i="50"/>
  <c r="N1566" i="50"/>
  <c r="O1566" i="50" s="1"/>
  <c r="V1565" i="50"/>
  <c r="U1565" i="50"/>
  <c r="T1565" i="50"/>
  <c r="S1565" i="50"/>
  <c r="R1565" i="50"/>
  <c r="Q1565" i="50"/>
  <c r="P1565" i="50"/>
  <c r="N1565" i="50"/>
  <c r="O1565" i="50" s="1"/>
  <c r="V1564" i="50"/>
  <c r="U1564" i="50"/>
  <c r="T1564" i="50"/>
  <c r="S1564" i="50"/>
  <c r="R1564" i="50"/>
  <c r="Q1564" i="50"/>
  <c r="N1564" i="50"/>
  <c r="V1563" i="50"/>
  <c r="U1563" i="50"/>
  <c r="T1563" i="50"/>
  <c r="S1563" i="50"/>
  <c r="Q1563" i="50"/>
  <c r="P1563" i="50"/>
  <c r="J1563" i="50"/>
  <c r="I1563" i="50"/>
  <c r="V1562" i="50"/>
  <c r="U1562" i="50"/>
  <c r="T1562" i="50"/>
  <c r="S1562" i="50"/>
  <c r="Q1562" i="50"/>
  <c r="P1562" i="50"/>
  <c r="J1562" i="50"/>
  <c r="H1564" i="50" s="1"/>
  <c r="I1562" i="50"/>
  <c r="V1561" i="50"/>
  <c r="U1561" i="50"/>
  <c r="T1561" i="50"/>
  <c r="S1561" i="50"/>
  <c r="R1561" i="50"/>
  <c r="Q1561" i="50"/>
  <c r="P1561" i="50"/>
  <c r="N1561" i="50"/>
  <c r="O1561" i="50" s="1"/>
  <c r="V1560" i="50"/>
  <c r="U1560" i="50"/>
  <c r="T1560" i="50"/>
  <c r="S1560" i="50"/>
  <c r="R1560" i="50"/>
  <c r="Q1560" i="50"/>
  <c r="P1560" i="50"/>
  <c r="N1560" i="50"/>
  <c r="O1560" i="50" s="1"/>
  <c r="V1559" i="50"/>
  <c r="U1559" i="50"/>
  <c r="T1559" i="50"/>
  <c r="S1559" i="50"/>
  <c r="R1559" i="50"/>
  <c r="Q1559" i="50"/>
  <c r="N1559" i="50"/>
  <c r="V1558" i="50"/>
  <c r="U1558" i="50"/>
  <c r="T1558" i="50"/>
  <c r="S1558" i="50"/>
  <c r="Q1558" i="50"/>
  <c r="P1558" i="50"/>
  <c r="J1558" i="50"/>
  <c r="I1558" i="50"/>
  <c r="V1557" i="50"/>
  <c r="U1557" i="50"/>
  <c r="T1557" i="50"/>
  <c r="S1557" i="50"/>
  <c r="Q1557" i="50"/>
  <c r="P1557" i="50"/>
  <c r="J1557" i="50"/>
  <c r="H1559" i="50" s="1"/>
  <c r="I1557" i="50"/>
  <c r="V1556" i="50"/>
  <c r="U1556" i="50"/>
  <c r="T1556" i="50"/>
  <c r="S1556" i="50"/>
  <c r="R1556" i="50"/>
  <c r="Q1556" i="50"/>
  <c r="P1556" i="50"/>
  <c r="N1556" i="50"/>
  <c r="O1556" i="50" s="1"/>
  <c r="V1555" i="50"/>
  <c r="U1555" i="50"/>
  <c r="T1555" i="50"/>
  <c r="S1555" i="50"/>
  <c r="R1555" i="50"/>
  <c r="Q1555" i="50"/>
  <c r="P1555" i="50"/>
  <c r="N1555" i="50"/>
  <c r="O1555" i="50" s="1"/>
  <c r="V1554" i="50"/>
  <c r="U1554" i="50"/>
  <c r="T1554" i="50"/>
  <c r="S1554" i="50"/>
  <c r="R1554" i="50"/>
  <c r="Q1554" i="50"/>
  <c r="N1554" i="50"/>
  <c r="V1553" i="50"/>
  <c r="U1553" i="50"/>
  <c r="T1553" i="50"/>
  <c r="S1553" i="50"/>
  <c r="Q1553" i="50"/>
  <c r="P1553" i="50"/>
  <c r="J1553" i="50"/>
  <c r="I1553" i="50"/>
  <c r="V1552" i="50"/>
  <c r="U1552" i="50"/>
  <c r="T1552" i="50"/>
  <c r="S1552" i="50"/>
  <c r="Q1552" i="50"/>
  <c r="P1552" i="50"/>
  <c r="J1552" i="50"/>
  <c r="H1554" i="50" s="1"/>
  <c r="I1552" i="50"/>
  <c r="V1551" i="50"/>
  <c r="U1551" i="50"/>
  <c r="T1551" i="50"/>
  <c r="S1551" i="50"/>
  <c r="R1551" i="50"/>
  <c r="Q1551" i="50"/>
  <c r="P1551" i="50"/>
  <c r="N1551" i="50"/>
  <c r="O1551" i="50" s="1"/>
  <c r="V1550" i="50"/>
  <c r="U1550" i="50"/>
  <c r="T1550" i="50"/>
  <c r="S1550" i="50"/>
  <c r="R1550" i="50"/>
  <c r="Q1550" i="50"/>
  <c r="P1550" i="50"/>
  <c r="N1550" i="50"/>
  <c r="O1550" i="50" s="1"/>
  <c r="V1549" i="50"/>
  <c r="U1549" i="50"/>
  <c r="T1549" i="50"/>
  <c r="S1549" i="50"/>
  <c r="R1549" i="50"/>
  <c r="Q1549" i="50"/>
  <c r="P1549" i="50"/>
  <c r="N1549" i="50"/>
  <c r="O1549" i="50" s="1"/>
  <c r="V1548" i="50"/>
  <c r="U1548" i="50"/>
  <c r="T1548" i="50"/>
  <c r="S1548" i="50"/>
  <c r="R1548" i="50"/>
  <c r="Q1548" i="50"/>
  <c r="P1548" i="50"/>
  <c r="N1548" i="50"/>
  <c r="O1548" i="50" s="1"/>
  <c r="V1547" i="50"/>
  <c r="U1547" i="50"/>
  <c r="T1547" i="50"/>
  <c r="S1547" i="50"/>
  <c r="R1547" i="50"/>
  <c r="Q1547" i="50"/>
  <c r="P1547" i="50"/>
  <c r="N1547" i="50"/>
  <c r="O1547" i="50" s="1"/>
  <c r="V1546" i="50"/>
  <c r="U1546" i="50"/>
  <c r="T1546" i="50"/>
  <c r="S1546" i="50"/>
  <c r="R1546" i="50"/>
  <c r="Q1546" i="50"/>
  <c r="K1546" i="50"/>
  <c r="J1546" i="50"/>
  <c r="H1546" i="50" s="1"/>
  <c r="I1546" i="50"/>
  <c r="V1545" i="50"/>
  <c r="U1545" i="50"/>
  <c r="T1545" i="50"/>
  <c r="S1545" i="50"/>
  <c r="R1545" i="50"/>
  <c r="Q1545" i="50"/>
  <c r="K1545" i="50"/>
  <c r="J1545" i="50"/>
  <c r="H1545" i="50" s="1"/>
  <c r="I1545" i="50"/>
  <c r="V1544" i="50"/>
  <c r="U1544" i="50"/>
  <c r="T1544" i="50"/>
  <c r="S1544" i="50"/>
  <c r="R1544" i="50"/>
  <c r="Q1544" i="50"/>
  <c r="P1544" i="50"/>
  <c r="N1544" i="50"/>
  <c r="O1544" i="50" s="1"/>
  <c r="V1543" i="50"/>
  <c r="U1543" i="50"/>
  <c r="T1543" i="50"/>
  <c r="S1543" i="50"/>
  <c r="R1543" i="50"/>
  <c r="Q1543" i="50"/>
  <c r="P1543" i="50"/>
  <c r="N1543" i="50"/>
  <c r="O1543" i="50" s="1"/>
  <c r="V1542" i="50"/>
  <c r="U1542" i="50"/>
  <c r="T1542" i="50"/>
  <c r="S1542" i="50"/>
  <c r="R1542" i="50"/>
  <c r="Q1542" i="50"/>
  <c r="N1542" i="50"/>
  <c r="O1542" i="50" s="1"/>
  <c r="V1541" i="50"/>
  <c r="U1541" i="50"/>
  <c r="T1541" i="50"/>
  <c r="S1541" i="50"/>
  <c r="R1541" i="50"/>
  <c r="P1541" i="50"/>
  <c r="J1541" i="50"/>
  <c r="I1541" i="50"/>
  <c r="V1540" i="50"/>
  <c r="U1540" i="50"/>
  <c r="T1540" i="50"/>
  <c r="S1540" i="50"/>
  <c r="R1540" i="50"/>
  <c r="P1540" i="50"/>
  <c r="J1540" i="50"/>
  <c r="H1542" i="50" s="1"/>
  <c r="I1540" i="50"/>
  <c r="V1539" i="50"/>
  <c r="U1539" i="50"/>
  <c r="T1539" i="50"/>
  <c r="S1539" i="50"/>
  <c r="R1539" i="50"/>
  <c r="Q1539" i="50"/>
  <c r="P1539" i="50"/>
  <c r="N1539" i="50"/>
  <c r="O1539" i="50" s="1"/>
  <c r="V1538" i="50"/>
  <c r="U1538" i="50"/>
  <c r="T1538" i="50"/>
  <c r="S1538" i="50"/>
  <c r="R1538" i="50"/>
  <c r="Q1538" i="50"/>
  <c r="N1538" i="50"/>
  <c r="O1538" i="50" s="1"/>
  <c r="V1537" i="50"/>
  <c r="U1537" i="50"/>
  <c r="T1537" i="50"/>
  <c r="S1537" i="50"/>
  <c r="R1537" i="50"/>
  <c r="P1537" i="50"/>
  <c r="J1537" i="50"/>
  <c r="I1537" i="50"/>
  <c r="N1537" i="50" s="1"/>
  <c r="V1536" i="50"/>
  <c r="U1536" i="50"/>
  <c r="T1536" i="50"/>
  <c r="S1536" i="50"/>
  <c r="R1536" i="50"/>
  <c r="P1536" i="50"/>
  <c r="J1536" i="50"/>
  <c r="I1536" i="50"/>
  <c r="V1535" i="50"/>
  <c r="U1535" i="50"/>
  <c r="T1535" i="50"/>
  <c r="S1535" i="50"/>
  <c r="R1535" i="50"/>
  <c r="Q1535" i="50"/>
  <c r="P1535" i="50"/>
  <c r="N1535" i="50"/>
  <c r="O1535" i="50" s="1"/>
  <c r="V1534" i="50"/>
  <c r="U1534" i="50"/>
  <c r="T1534" i="50"/>
  <c r="S1534" i="50"/>
  <c r="R1534" i="50"/>
  <c r="Q1534" i="50"/>
  <c r="N1534" i="50"/>
  <c r="O1534" i="50" s="1"/>
  <c r="H1534" i="50"/>
  <c r="V1533" i="50"/>
  <c r="U1533" i="50"/>
  <c r="T1533" i="50"/>
  <c r="S1533" i="50"/>
  <c r="R1533" i="50"/>
  <c r="P1533" i="50"/>
  <c r="J1533" i="50"/>
  <c r="I1533" i="50"/>
  <c r="V1532" i="50"/>
  <c r="U1532" i="50"/>
  <c r="T1532" i="50"/>
  <c r="S1532" i="50"/>
  <c r="R1532" i="50"/>
  <c r="P1532" i="50"/>
  <c r="J1532" i="50"/>
  <c r="I1532" i="50"/>
  <c r="N1532" i="50" s="1"/>
  <c r="V1531" i="50"/>
  <c r="U1531" i="50"/>
  <c r="T1531" i="50"/>
  <c r="S1531" i="50"/>
  <c r="R1531" i="50"/>
  <c r="Q1531" i="50"/>
  <c r="P1531" i="50"/>
  <c r="N1531" i="50"/>
  <c r="O1531" i="50" s="1"/>
  <c r="V1530" i="50"/>
  <c r="U1530" i="50"/>
  <c r="T1530" i="50"/>
  <c r="S1530" i="50"/>
  <c r="R1530" i="50"/>
  <c r="Q1530" i="50"/>
  <c r="N1530" i="50"/>
  <c r="O1530" i="50" s="1"/>
  <c r="V1529" i="50"/>
  <c r="U1529" i="50"/>
  <c r="T1529" i="50"/>
  <c r="S1529" i="50"/>
  <c r="R1529" i="50"/>
  <c r="P1529" i="50"/>
  <c r="J1529" i="50"/>
  <c r="I1529" i="50"/>
  <c r="V1528" i="50"/>
  <c r="U1528" i="50"/>
  <c r="T1528" i="50"/>
  <c r="S1528" i="50"/>
  <c r="R1528" i="50"/>
  <c r="P1528" i="50"/>
  <c r="J1528" i="50"/>
  <c r="I1528" i="50"/>
  <c r="V1527" i="50"/>
  <c r="U1527" i="50"/>
  <c r="T1527" i="50"/>
  <c r="S1527" i="50"/>
  <c r="R1527" i="50"/>
  <c r="Q1527" i="50"/>
  <c r="P1527" i="50"/>
  <c r="N1527" i="50"/>
  <c r="O1527" i="50" s="1"/>
  <c r="V1526" i="50"/>
  <c r="U1526" i="50"/>
  <c r="T1526" i="50"/>
  <c r="S1526" i="50"/>
  <c r="R1526" i="50"/>
  <c r="Q1526" i="50"/>
  <c r="N1526" i="50"/>
  <c r="O1526" i="50" s="1"/>
  <c r="V1525" i="50"/>
  <c r="U1525" i="50"/>
  <c r="T1525" i="50"/>
  <c r="S1525" i="50"/>
  <c r="R1525" i="50"/>
  <c r="P1525" i="50"/>
  <c r="J1525" i="50"/>
  <c r="I1525" i="50"/>
  <c r="V1524" i="50"/>
  <c r="U1524" i="50"/>
  <c r="T1524" i="50"/>
  <c r="S1524" i="50"/>
  <c r="R1524" i="50"/>
  <c r="P1524" i="50"/>
  <c r="J1524" i="50"/>
  <c r="H1526" i="50" s="1"/>
  <c r="I1524" i="50"/>
  <c r="V1523" i="50"/>
  <c r="U1523" i="50"/>
  <c r="T1523" i="50"/>
  <c r="S1523" i="50"/>
  <c r="R1523" i="50"/>
  <c r="Q1523" i="50"/>
  <c r="P1523" i="50"/>
  <c r="N1523" i="50"/>
  <c r="O1523" i="50" s="1"/>
  <c r="V1522" i="50"/>
  <c r="U1522" i="50"/>
  <c r="T1522" i="50"/>
  <c r="S1522" i="50"/>
  <c r="R1522" i="50"/>
  <c r="Q1522" i="50"/>
  <c r="N1522" i="50"/>
  <c r="O1522" i="50" s="1"/>
  <c r="H1522" i="50"/>
  <c r="V1521" i="50"/>
  <c r="U1521" i="50"/>
  <c r="T1521" i="50"/>
  <c r="S1521" i="50"/>
  <c r="R1521" i="50"/>
  <c r="P1521" i="50"/>
  <c r="I1521" i="50"/>
  <c r="N1521" i="50" s="1"/>
  <c r="V1520" i="50"/>
  <c r="U1520" i="50"/>
  <c r="T1520" i="50"/>
  <c r="S1520" i="50"/>
  <c r="R1520" i="50"/>
  <c r="P1520" i="50"/>
  <c r="I1520" i="50"/>
  <c r="N1520" i="50" s="1"/>
  <c r="V1519" i="50"/>
  <c r="U1519" i="50"/>
  <c r="T1519" i="50"/>
  <c r="S1519" i="50"/>
  <c r="R1519" i="50"/>
  <c r="Q1519" i="50"/>
  <c r="P1519" i="50"/>
  <c r="N1519" i="50"/>
  <c r="O1519" i="50" s="1"/>
  <c r="V1518" i="50"/>
  <c r="U1518" i="50"/>
  <c r="T1518" i="50"/>
  <c r="S1518" i="50"/>
  <c r="R1518" i="50"/>
  <c r="Q1518" i="50"/>
  <c r="N1518" i="50"/>
  <c r="O1518" i="50" s="1"/>
  <c r="V1517" i="50"/>
  <c r="U1517" i="50"/>
  <c r="T1517" i="50"/>
  <c r="S1517" i="50"/>
  <c r="R1517" i="50"/>
  <c r="P1517" i="50"/>
  <c r="J1517" i="50"/>
  <c r="I1517" i="50"/>
  <c r="V1516" i="50"/>
  <c r="U1516" i="50"/>
  <c r="T1516" i="50"/>
  <c r="S1516" i="50"/>
  <c r="R1516" i="50"/>
  <c r="P1516" i="50"/>
  <c r="J1516" i="50"/>
  <c r="H1518" i="50" s="1"/>
  <c r="I1516" i="50"/>
  <c r="V1515" i="50"/>
  <c r="U1515" i="50"/>
  <c r="T1515" i="50"/>
  <c r="S1515" i="50"/>
  <c r="R1515" i="50"/>
  <c r="Q1515" i="50"/>
  <c r="P1515" i="50"/>
  <c r="N1515" i="50"/>
  <c r="O1515" i="50" s="1"/>
  <c r="V1514" i="50"/>
  <c r="U1514" i="50"/>
  <c r="T1514" i="50"/>
  <c r="S1514" i="50"/>
  <c r="R1514" i="50"/>
  <c r="Q1514" i="50"/>
  <c r="N1514" i="50"/>
  <c r="O1514" i="50" s="1"/>
  <c r="V1513" i="50"/>
  <c r="U1513" i="50"/>
  <c r="T1513" i="50"/>
  <c r="S1513" i="50"/>
  <c r="R1513" i="50"/>
  <c r="P1513" i="50"/>
  <c r="J1513" i="50"/>
  <c r="I1513" i="50"/>
  <c r="V1512" i="50"/>
  <c r="U1512" i="50"/>
  <c r="T1512" i="50"/>
  <c r="S1512" i="50"/>
  <c r="R1512" i="50"/>
  <c r="P1512" i="50"/>
  <c r="J1512" i="50"/>
  <c r="H1514" i="50" s="1"/>
  <c r="I1512" i="50"/>
  <c r="N1512" i="50" s="1"/>
  <c r="V1511" i="50"/>
  <c r="U1511" i="50"/>
  <c r="T1511" i="50"/>
  <c r="S1511" i="50"/>
  <c r="R1511" i="50"/>
  <c r="Q1511" i="50"/>
  <c r="P1511" i="50"/>
  <c r="N1511" i="50"/>
  <c r="O1511" i="50" s="1"/>
  <c r="V1510" i="50"/>
  <c r="U1510" i="50"/>
  <c r="T1510" i="50"/>
  <c r="S1510" i="50"/>
  <c r="R1510" i="50"/>
  <c r="Q1510" i="50"/>
  <c r="P1510" i="50"/>
  <c r="N1510" i="50"/>
  <c r="O1510" i="50" s="1"/>
  <c r="V1509" i="50"/>
  <c r="U1509" i="50"/>
  <c r="T1509" i="50"/>
  <c r="S1509" i="50"/>
  <c r="R1509" i="50"/>
  <c r="Q1509" i="50"/>
  <c r="P1509" i="50"/>
  <c r="N1509" i="50"/>
  <c r="O1509" i="50" s="1"/>
  <c r="V1508" i="50"/>
  <c r="U1508" i="50"/>
  <c r="T1508" i="50"/>
  <c r="S1508" i="50"/>
  <c r="R1508" i="50"/>
  <c r="Q1508" i="50"/>
  <c r="P1508" i="50"/>
  <c r="N1508" i="50"/>
  <c r="O1508" i="50" s="1"/>
  <c r="V1507" i="50"/>
  <c r="U1507" i="50"/>
  <c r="T1507" i="50"/>
  <c r="S1507" i="50"/>
  <c r="R1507" i="50"/>
  <c r="Q1507" i="50"/>
  <c r="N1507" i="50"/>
  <c r="O1507" i="50" s="1"/>
  <c r="V1506" i="50"/>
  <c r="U1506" i="50"/>
  <c r="T1506" i="50"/>
  <c r="S1506" i="50"/>
  <c r="R1506" i="50"/>
  <c r="P1506" i="50"/>
  <c r="J1506" i="50"/>
  <c r="I1506" i="50"/>
  <c r="V1505" i="50"/>
  <c r="U1505" i="50"/>
  <c r="T1505" i="50"/>
  <c r="S1505" i="50"/>
  <c r="R1505" i="50"/>
  <c r="P1505" i="50"/>
  <c r="J1505" i="50"/>
  <c r="H1507" i="50" s="1"/>
  <c r="I1505" i="50"/>
  <c r="V1504" i="50"/>
  <c r="U1504" i="50"/>
  <c r="T1504" i="50"/>
  <c r="S1504" i="50"/>
  <c r="R1504" i="50"/>
  <c r="Q1504" i="50"/>
  <c r="P1504" i="50"/>
  <c r="N1504" i="50"/>
  <c r="O1504" i="50" s="1"/>
  <c r="V1503" i="50"/>
  <c r="U1503" i="50"/>
  <c r="T1503" i="50"/>
  <c r="S1503" i="50"/>
  <c r="R1503" i="50"/>
  <c r="Q1503" i="50"/>
  <c r="N1503" i="50"/>
  <c r="O1503" i="50" s="1"/>
  <c r="H1503" i="50"/>
  <c r="V1502" i="50"/>
  <c r="U1502" i="50"/>
  <c r="T1502" i="50"/>
  <c r="S1502" i="50"/>
  <c r="R1502" i="50"/>
  <c r="P1502" i="50"/>
  <c r="I1502" i="50"/>
  <c r="N1502" i="50" s="1"/>
  <c r="O1502" i="50" s="1"/>
  <c r="Q1502" i="50" s="1"/>
  <c r="V1501" i="50"/>
  <c r="U1501" i="50"/>
  <c r="T1501" i="50"/>
  <c r="S1501" i="50"/>
  <c r="R1501" i="50"/>
  <c r="P1501" i="50"/>
  <c r="I1501" i="50"/>
  <c r="N1501" i="50" s="1"/>
  <c r="V1500" i="50"/>
  <c r="U1500" i="50"/>
  <c r="T1500" i="50"/>
  <c r="S1500" i="50"/>
  <c r="R1500" i="50"/>
  <c r="Q1500" i="50"/>
  <c r="P1500" i="50"/>
  <c r="N1500" i="50"/>
  <c r="O1500" i="50" s="1"/>
  <c r="V1499" i="50"/>
  <c r="U1499" i="50"/>
  <c r="T1499" i="50"/>
  <c r="S1499" i="50"/>
  <c r="R1499" i="50"/>
  <c r="Q1499" i="50"/>
  <c r="N1499" i="50"/>
  <c r="O1499" i="50" s="1"/>
  <c r="V1498" i="50"/>
  <c r="U1498" i="50"/>
  <c r="T1498" i="50"/>
  <c r="S1498" i="50"/>
  <c r="R1498" i="50"/>
  <c r="P1498" i="50"/>
  <c r="J1498" i="50"/>
  <c r="I1498" i="50"/>
  <c r="V1497" i="50"/>
  <c r="U1497" i="50"/>
  <c r="T1497" i="50"/>
  <c r="S1497" i="50"/>
  <c r="R1497" i="50"/>
  <c r="P1497" i="50"/>
  <c r="J1497" i="50"/>
  <c r="H1499" i="50" s="1"/>
  <c r="I1497" i="50"/>
  <c r="V1496" i="50"/>
  <c r="U1496" i="50"/>
  <c r="T1496" i="50"/>
  <c r="S1496" i="50"/>
  <c r="R1496" i="50"/>
  <c r="Q1496" i="50"/>
  <c r="P1496" i="50"/>
  <c r="N1496" i="50"/>
  <c r="O1496" i="50" s="1"/>
  <c r="V1495" i="50"/>
  <c r="U1495" i="50"/>
  <c r="T1495" i="50"/>
  <c r="S1495" i="50"/>
  <c r="R1495" i="50"/>
  <c r="Q1495" i="50"/>
  <c r="N1495" i="50"/>
  <c r="V1494" i="50"/>
  <c r="U1494" i="50"/>
  <c r="T1494" i="50"/>
  <c r="S1494" i="50"/>
  <c r="R1494" i="50"/>
  <c r="P1494" i="50"/>
  <c r="J1494" i="50"/>
  <c r="I1494" i="50"/>
  <c r="V1493" i="50"/>
  <c r="U1493" i="50"/>
  <c r="T1493" i="50"/>
  <c r="S1493" i="50"/>
  <c r="R1493" i="50"/>
  <c r="P1493" i="50"/>
  <c r="J1493" i="50"/>
  <c r="H1495" i="50" s="1"/>
  <c r="I1493" i="50"/>
  <c r="V1492" i="50"/>
  <c r="U1492" i="50"/>
  <c r="T1492" i="50"/>
  <c r="S1492" i="50"/>
  <c r="R1492" i="50"/>
  <c r="Q1492" i="50"/>
  <c r="P1492" i="50"/>
  <c r="N1492" i="50"/>
  <c r="O1492" i="50" s="1"/>
  <c r="V1491" i="50"/>
  <c r="U1491" i="50"/>
  <c r="T1491" i="50"/>
  <c r="S1491" i="50"/>
  <c r="R1491" i="50"/>
  <c r="Q1491" i="50"/>
  <c r="P1491" i="50"/>
  <c r="N1491" i="50"/>
  <c r="O1491" i="50" s="1"/>
  <c r="V1490" i="50"/>
  <c r="U1490" i="50"/>
  <c r="T1490" i="50"/>
  <c r="S1490" i="50"/>
  <c r="R1490" i="50"/>
  <c r="Q1490" i="50"/>
  <c r="P1490" i="50"/>
  <c r="N1490" i="50"/>
  <c r="O1490" i="50" s="1"/>
  <c r="V1489" i="50"/>
  <c r="U1489" i="50"/>
  <c r="T1489" i="50"/>
  <c r="S1489" i="50"/>
  <c r="R1489" i="50"/>
  <c r="Q1489" i="50"/>
  <c r="P1489" i="50"/>
  <c r="N1489" i="50"/>
  <c r="O1489" i="50" s="1"/>
  <c r="V1488" i="50"/>
  <c r="U1488" i="50"/>
  <c r="T1488" i="50"/>
  <c r="S1488" i="50"/>
  <c r="R1488" i="50"/>
  <c r="Q1488" i="50"/>
  <c r="N1488" i="50"/>
  <c r="O1488" i="50" s="1"/>
  <c r="V1487" i="50"/>
  <c r="U1487" i="50"/>
  <c r="T1487" i="50"/>
  <c r="S1487" i="50"/>
  <c r="R1487" i="50"/>
  <c r="P1487" i="50"/>
  <c r="J1487" i="50"/>
  <c r="I1487" i="50"/>
  <c r="V1486" i="50"/>
  <c r="U1486" i="50"/>
  <c r="T1486" i="50"/>
  <c r="S1486" i="50"/>
  <c r="R1486" i="50"/>
  <c r="P1486" i="50"/>
  <c r="J1486" i="50"/>
  <c r="H1488" i="50" s="1"/>
  <c r="I1486" i="50"/>
  <c r="N1486" i="50" s="1"/>
  <c r="V1485" i="50"/>
  <c r="U1485" i="50"/>
  <c r="T1485" i="50"/>
  <c r="S1485" i="50"/>
  <c r="R1485" i="50"/>
  <c r="Q1485" i="50"/>
  <c r="P1485" i="50"/>
  <c r="N1485" i="50"/>
  <c r="O1485" i="50" s="1"/>
  <c r="V1484" i="50"/>
  <c r="U1484" i="50"/>
  <c r="T1484" i="50"/>
  <c r="S1484" i="50"/>
  <c r="R1484" i="50"/>
  <c r="Q1484" i="50"/>
  <c r="N1484" i="50"/>
  <c r="O1484" i="50" s="1"/>
  <c r="H1484" i="50"/>
  <c r="V1483" i="50"/>
  <c r="U1483" i="50"/>
  <c r="T1483" i="50"/>
  <c r="S1483" i="50"/>
  <c r="R1483" i="50"/>
  <c r="P1483" i="50"/>
  <c r="I1483" i="50"/>
  <c r="N1483" i="50" s="1"/>
  <c r="V1482" i="50"/>
  <c r="U1482" i="50"/>
  <c r="T1482" i="50"/>
  <c r="S1482" i="50"/>
  <c r="R1482" i="50"/>
  <c r="P1482" i="50"/>
  <c r="I1482" i="50"/>
  <c r="N1482" i="50" s="1"/>
  <c r="V1481" i="50"/>
  <c r="U1481" i="50"/>
  <c r="T1481" i="50"/>
  <c r="S1481" i="50"/>
  <c r="R1481" i="50"/>
  <c r="Q1481" i="50"/>
  <c r="P1481" i="50"/>
  <c r="N1481" i="50"/>
  <c r="O1481" i="50" s="1"/>
  <c r="V1480" i="50"/>
  <c r="U1480" i="50"/>
  <c r="T1480" i="50"/>
  <c r="S1480" i="50"/>
  <c r="R1480" i="50"/>
  <c r="Q1480" i="50"/>
  <c r="N1480" i="50"/>
  <c r="O1480" i="50" s="1"/>
  <c r="V1479" i="50"/>
  <c r="U1479" i="50"/>
  <c r="T1479" i="50"/>
  <c r="S1479" i="50"/>
  <c r="R1479" i="50"/>
  <c r="P1479" i="50"/>
  <c r="J1479" i="50"/>
  <c r="I1479" i="50"/>
  <c r="V1478" i="50"/>
  <c r="U1478" i="50"/>
  <c r="T1478" i="50"/>
  <c r="S1478" i="50"/>
  <c r="R1478" i="50"/>
  <c r="P1478" i="50"/>
  <c r="J1478" i="50"/>
  <c r="H1480" i="50" s="1"/>
  <c r="I1478" i="50"/>
  <c r="V1477" i="50"/>
  <c r="U1477" i="50"/>
  <c r="T1477" i="50"/>
  <c r="S1477" i="50"/>
  <c r="R1477" i="50"/>
  <c r="Q1477" i="50"/>
  <c r="P1477" i="50"/>
  <c r="N1477" i="50"/>
  <c r="O1477" i="50" s="1"/>
  <c r="V1476" i="50"/>
  <c r="U1476" i="50"/>
  <c r="T1476" i="50"/>
  <c r="S1476" i="50"/>
  <c r="R1476" i="50"/>
  <c r="Q1476" i="50"/>
  <c r="N1476" i="50"/>
  <c r="O1476" i="50" s="1"/>
  <c r="V1475" i="50"/>
  <c r="U1475" i="50"/>
  <c r="T1475" i="50"/>
  <c r="S1475" i="50"/>
  <c r="R1475" i="50"/>
  <c r="P1475" i="50"/>
  <c r="J1475" i="50"/>
  <c r="I1475" i="50"/>
  <c r="N1475" i="50" s="1"/>
  <c r="V1474" i="50"/>
  <c r="U1474" i="50"/>
  <c r="T1474" i="50"/>
  <c r="S1474" i="50"/>
  <c r="R1474" i="50"/>
  <c r="P1474" i="50"/>
  <c r="J1474" i="50"/>
  <c r="H1476" i="50" s="1"/>
  <c r="I1474" i="50"/>
  <c r="N1474" i="50" s="1"/>
  <c r="V1462" i="50"/>
  <c r="U1462" i="50"/>
  <c r="T1462" i="50"/>
  <c r="S1462" i="50"/>
  <c r="R1462" i="50"/>
  <c r="Q1462" i="50"/>
  <c r="P1462" i="50"/>
  <c r="V1460" i="50"/>
  <c r="U1460" i="50"/>
  <c r="T1460" i="50"/>
  <c r="S1460" i="50"/>
  <c r="R1460" i="50"/>
  <c r="Q1460" i="50"/>
  <c r="P1460" i="50"/>
  <c r="N1460" i="50"/>
  <c r="O1460" i="50" s="1"/>
  <c r="V1458" i="50"/>
  <c r="U1458" i="50"/>
  <c r="T1458" i="50"/>
  <c r="S1458" i="50"/>
  <c r="R1458" i="50"/>
  <c r="Q1458" i="50"/>
  <c r="P1458" i="50"/>
  <c r="N1458" i="50"/>
  <c r="O1458" i="50" s="1"/>
  <c r="V1457" i="50"/>
  <c r="U1457" i="50"/>
  <c r="T1457" i="50"/>
  <c r="S1457" i="50"/>
  <c r="R1457" i="50"/>
  <c r="P1457" i="50"/>
  <c r="J1457" i="50"/>
  <c r="N1457" i="50" s="1"/>
  <c r="V1456" i="50"/>
  <c r="U1456" i="50"/>
  <c r="T1456" i="50"/>
  <c r="S1456" i="50"/>
  <c r="R1456" i="50"/>
  <c r="P1456" i="50"/>
  <c r="J1456" i="50"/>
  <c r="N1456" i="50" s="1"/>
  <c r="H1456" i="50"/>
  <c r="V1455" i="50"/>
  <c r="U1455" i="50"/>
  <c r="T1455" i="50"/>
  <c r="S1455" i="50"/>
  <c r="R1455" i="50"/>
  <c r="P1455" i="50"/>
  <c r="J1455" i="50"/>
  <c r="N1455" i="50" s="1"/>
  <c r="H1455" i="50"/>
  <c r="V1454" i="50"/>
  <c r="U1454" i="50"/>
  <c r="T1454" i="50"/>
  <c r="S1454" i="50"/>
  <c r="R1454" i="50"/>
  <c r="P1454" i="50"/>
  <c r="J1454" i="50"/>
  <c r="N1454" i="50" s="1"/>
  <c r="H1454" i="50"/>
  <c r="V1453" i="50"/>
  <c r="U1453" i="50"/>
  <c r="T1453" i="50"/>
  <c r="S1453" i="50"/>
  <c r="R1453" i="50"/>
  <c r="P1453" i="50"/>
  <c r="J1453" i="50"/>
  <c r="N1453" i="50" s="1"/>
  <c r="O1453" i="50" s="1"/>
  <c r="H1453" i="50"/>
  <c r="V1452" i="50"/>
  <c r="U1452" i="50"/>
  <c r="T1452" i="50"/>
  <c r="S1452" i="50"/>
  <c r="R1452" i="50"/>
  <c r="P1452" i="50"/>
  <c r="J1452" i="50"/>
  <c r="H1452" i="50" s="1"/>
  <c r="I1452" i="50"/>
  <c r="V1451" i="50"/>
  <c r="U1451" i="50"/>
  <c r="T1451" i="50"/>
  <c r="S1451" i="50"/>
  <c r="R1451" i="50"/>
  <c r="P1451" i="50"/>
  <c r="J1451" i="50"/>
  <c r="H1451" i="50" s="1"/>
  <c r="I1451" i="50"/>
  <c r="V1448" i="50"/>
  <c r="U1448" i="50"/>
  <c r="T1448" i="50"/>
  <c r="S1448" i="50"/>
  <c r="R1448" i="50"/>
  <c r="Q1448" i="50"/>
  <c r="P1448" i="50"/>
  <c r="N1448" i="50"/>
  <c r="O1448" i="50" s="1"/>
  <c r="V1447" i="50"/>
  <c r="U1447" i="50"/>
  <c r="T1447" i="50"/>
  <c r="S1447" i="50"/>
  <c r="R1447" i="50"/>
  <c r="P1447" i="50"/>
  <c r="J1447" i="50"/>
  <c r="N1447" i="50" s="1"/>
  <c r="O1447" i="50" s="1"/>
  <c r="Q1447" i="50" s="1"/>
  <c r="V1446" i="50"/>
  <c r="U1446" i="50"/>
  <c r="T1446" i="50"/>
  <c r="S1446" i="50"/>
  <c r="R1446" i="50"/>
  <c r="P1446" i="50"/>
  <c r="N1446" i="50"/>
  <c r="O1446" i="50" s="1"/>
  <c r="H1446" i="50"/>
  <c r="V1445" i="50"/>
  <c r="U1445" i="50"/>
  <c r="T1445" i="50"/>
  <c r="S1445" i="50"/>
  <c r="R1445" i="50"/>
  <c r="P1445" i="50"/>
  <c r="N1445" i="50"/>
  <c r="O1445" i="50" s="1"/>
  <c r="H1445" i="50"/>
  <c r="V1444" i="50"/>
  <c r="U1444" i="50"/>
  <c r="T1444" i="50"/>
  <c r="S1444" i="50"/>
  <c r="R1444" i="50"/>
  <c r="P1444" i="50"/>
  <c r="J1444" i="50"/>
  <c r="N1444" i="50" s="1"/>
  <c r="H1444" i="50"/>
  <c r="V1443" i="50"/>
  <c r="U1443" i="50"/>
  <c r="T1443" i="50"/>
  <c r="S1443" i="50"/>
  <c r="R1443" i="50"/>
  <c r="P1443" i="50"/>
  <c r="J1443" i="50"/>
  <c r="N1443" i="50" s="1"/>
  <c r="H1443" i="50"/>
  <c r="V1442" i="50"/>
  <c r="U1442" i="50"/>
  <c r="T1442" i="50"/>
  <c r="S1442" i="50"/>
  <c r="R1442" i="50"/>
  <c r="P1442" i="50"/>
  <c r="J1442" i="50"/>
  <c r="H1442" i="50" s="1"/>
  <c r="I1442" i="50"/>
  <c r="V1441" i="50"/>
  <c r="U1441" i="50"/>
  <c r="T1441" i="50"/>
  <c r="S1441" i="50"/>
  <c r="R1441" i="50"/>
  <c r="P1441" i="50"/>
  <c r="J1441" i="50"/>
  <c r="H1441" i="50" s="1"/>
  <c r="I1441" i="50"/>
  <c r="V1437" i="50"/>
  <c r="U1437" i="50"/>
  <c r="T1437" i="50"/>
  <c r="S1437" i="50"/>
  <c r="R1437" i="50"/>
  <c r="P1437" i="50"/>
  <c r="L1437" i="50"/>
  <c r="J1437" i="50"/>
  <c r="H1437" i="50"/>
  <c r="V1436" i="50"/>
  <c r="U1436" i="50"/>
  <c r="T1436" i="50"/>
  <c r="S1436" i="50"/>
  <c r="R1436" i="50"/>
  <c r="P1436" i="50"/>
  <c r="J1436" i="50"/>
  <c r="N1436" i="50" s="1"/>
  <c r="H1436" i="50"/>
  <c r="V1435" i="50"/>
  <c r="U1435" i="50"/>
  <c r="T1435" i="50"/>
  <c r="S1435" i="50"/>
  <c r="R1435" i="50"/>
  <c r="P1435" i="50"/>
  <c r="J1435" i="50"/>
  <c r="N1435" i="50" s="1"/>
  <c r="H1435" i="50"/>
  <c r="V1434" i="50"/>
  <c r="U1434" i="50"/>
  <c r="T1434" i="50"/>
  <c r="S1434" i="50"/>
  <c r="R1434" i="50"/>
  <c r="P1434" i="50"/>
  <c r="J1434" i="50"/>
  <c r="N1434" i="50" s="1"/>
  <c r="O1434" i="50" s="1"/>
  <c r="H1434" i="50"/>
  <c r="V1433" i="50"/>
  <c r="U1433" i="50"/>
  <c r="T1433" i="50"/>
  <c r="S1433" i="50"/>
  <c r="R1433" i="50"/>
  <c r="P1433" i="50"/>
  <c r="J1433" i="50"/>
  <c r="N1433" i="50" s="1"/>
  <c r="H1433" i="50"/>
  <c r="V1427" i="50"/>
  <c r="U1427" i="50"/>
  <c r="T1427" i="50"/>
  <c r="S1427" i="50"/>
  <c r="R1427" i="50"/>
  <c r="Q1427" i="50"/>
  <c r="N1427" i="50"/>
  <c r="O1427" i="50" s="1"/>
  <c r="V1426" i="50"/>
  <c r="U1426" i="50"/>
  <c r="T1426" i="50"/>
  <c r="S1426" i="50"/>
  <c r="R1426" i="50"/>
  <c r="P1426" i="50"/>
  <c r="J1426" i="50"/>
  <c r="I1426" i="50"/>
  <c r="V1425" i="50"/>
  <c r="U1425" i="50"/>
  <c r="T1425" i="50"/>
  <c r="S1425" i="50"/>
  <c r="R1425" i="50"/>
  <c r="P1425" i="50"/>
  <c r="J1425" i="50"/>
  <c r="H1427" i="50" s="1"/>
  <c r="I1425" i="50"/>
  <c r="V1423" i="50"/>
  <c r="U1423" i="50"/>
  <c r="T1423" i="50"/>
  <c r="S1423" i="50"/>
  <c r="R1423" i="50"/>
  <c r="Q1423" i="50"/>
  <c r="N1423" i="50"/>
  <c r="O1423" i="50" s="1"/>
  <c r="V1422" i="50"/>
  <c r="U1422" i="50"/>
  <c r="T1422" i="50"/>
  <c r="S1422" i="50"/>
  <c r="R1422" i="50"/>
  <c r="P1422" i="50"/>
  <c r="J1422" i="50"/>
  <c r="I1422" i="50"/>
  <c r="V1421" i="50"/>
  <c r="U1421" i="50"/>
  <c r="T1421" i="50"/>
  <c r="S1421" i="50"/>
  <c r="R1421" i="50"/>
  <c r="P1421" i="50"/>
  <c r="J1421" i="50"/>
  <c r="H1423" i="50" s="1"/>
  <c r="I1421" i="50"/>
  <c r="V1417" i="50"/>
  <c r="U1417" i="50"/>
  <c r="T1417" i="50"/>
  <c r="S1417" i="50"/>
  <c r="R1417" i="50"/>
  <c r="Q1417" i="50"/>
  <c r="N1417" i="50"/>
  <c r="O1417" i="50" s="1"/>
  <c r="V1416" i="50"/>
  <c r="U1416" i="50"/>
  <c r="T1416" i="50"/>
  <c r="S1416" i="50"/>
  <c r="R1416" i="50"/>
  <c r="P1416" i="50"/>
  <c r="J1416" i="50"/>
  <c r="I1416" i="50"/>
  <c r="V1415" i="50"/>
  <c r="U1415" i="50"/>
  <c r="T1415" i="50"/>
  <c r="S1415" i="50"/>
  <c r="R1415" i="50"/>
  <c r="P1415" i="50"/>
  <c r="J1415" i="50"/>
  <c r="H1417" i="50" s="1"/>
  <c r="I1415" i="50"/>
  <c r="V1413" i="50"/>
  <c r="U1413" i="50"/>
  <c r="T1413" i="50"/>
  <c r="S1413" i="50"/>
  <c r="R1413" i="50"/>
  <c r="Q1413" i="50"/>
  <c r="N1413" i="50"/>
  <c r="O1413" i="50" s="1"/>
  <c r="V1412" i="50"/>
  <c r="U1412" i="50"/>
  <c r="T1412" i="50"/>
  <c r="S1412" i="50"/>
  <c r="R1412" i="50"/>
  <c r="P1412" i="50"/>
  <c r="J1412" i="50"/>
  <c r="I1412" i="50"/>
  <c r="V1411" i="50"/>
  <c r="U1411" i="50"/>
  <c r="T1411" i="50"/>
  <c r="S1411" i="50"/>
  <c r="R1411" i="50"/>
  <c r="P1411" i="50"/>
  <c r="J1411" i="50"/>
  <c r="H1413" i="50" s="1"/>
  <c r="I1411" i="50"/>
  <c r="V1407" i="50"/>
  <c r="U1407" i="50"/>
  <c r="T1407" i="50"/>
  <c r="S1407" i="50"/>
  <c r="R1407" i="50"/>
  <c r="Q1407" i="50"/>
  <c r="N1407" i="50"/>
  <c r="O1407" i="50" s="1"/>
  <c r="V1406" i="50"/>
  <c r="U1406" i="50"/>
  <c r="T1406" i="50"/>
  <c r="S1406" i="50"/>
  <c r="R1406" i="50"/>
  <c r="P1406" i="50"/>
  <c r="J1406" i="50"/>
  <c r="I1406" i="50"/>
  <c r="V1405" i="50"/>
  <c r="U1405" i="50"/>
  <c r="T1405" i="50"/>
  <c r="S1405" i="50"/>
  <c r="R1405" i="50"/>
  <c r="P1405" i="50"/>
  <c r="J1405" i="50"/>
  <c r="H1407" i="50" s="1"/>
  <c r="I1405" i="50"/>
  <c r="V1401" i="50"/>
  <c r="U1401" i="50"/>
  <c r="T1401" i="50"/>
  <c r="S1401" i="50"/>
  <c r="R1401" i="50"/>
  <c r="Q1401" i="50"/>
  <c r="N1401" i="50"/>
  <c r="O1401" i="50" s="1"/>
  <c r="V1400" i="50"/>
  <c r="U1400" i="50"/>
  <c r="T1400" i="50"/>
  <c r="S1400" i="50"/>
  <c r="R1400" i="50"/>
  <c r="P1400" i="50"/>
  <c r="J1400" i="50"/>
  <c r="I1400" i="50"/>
  <c r="V1399" i="50"/>
  <c r="U1399" i="50"/>
  <c r="T1399" i="50"/>
  <c r="S1399" i="50"/>
  <c r="R1399" i="50"/>
  <c r="P1399" i="50"/>
  <c r="J1399" i="50"/>
  <c r="H1401" i="50" s="1"/>
  <c r="I1399" i="50"/>
  <c r="V1397" i="50"/>
  <c r="U1397" i="50"/>
  <c r="T1397" i="50"/>
  <c r="S1397" i="50"/>
  <c r="R1397" i="50"/>
  <c r="Q1397" i="50"/>
  <c r="N1397" i="50"/>
  <c r="V1396" i="50"/>
  <c r="U1396" i="50"/>
  <c r="T1396" i="50"/>
  <c r="S1396" i="50"/>
  <c r="R1396" i="50"/>
  <c r="P1396" i="50"/>
  <c r="J1396" i="50"/>
  <c r="I1396" i="50"/>
  <c r="V1395" i="50"/>
  <c r="U1395" i="50"/>
  <c r="T1395" i="50"/>
  <c r="S1395" i="50"/>
  <c r="R1395" i="50"/>
  <c r="P1395" i="50"/>
  <c r="J1395" i="50"/>
  <c r="H1397" i="50" s="1"/>
  <c r="I1395" i="50"/>
  <c r="V1393" i="50"/>
  <c r="U1393" i="50"/>
  <c r="T1393" i="50"/>
  <c r="S1393" i="50"/>
  <c r="R1393" i="50"/>
  <c r="Q1393" i="50"/>
  <c r="N1393" i="50"/>
  <c r="O1393" i="50" s="1"/>
  <c r="V1392" i="50"/>
  <c r="U1392" i="50"/>
  <c r="T1392" i="50"/>
  <c r="S1392" i="50"/>
  <c r="R1392" i="50"/>
  <c r="P1392" i="50"/>
  <c r="J1392" i="50"/>
  <c r="I1392" i="50"/>
  <c r="V1391" i="50"/>
  <c r="U1391" i="50"/>
  <c r="T1391" i="50"/>
  <c r="S1391" i="50"/>
  <c r="R1391" i="50"/>
  <c r="P1391" i="50"/>
  <c r="J1391" i="50"/>
  <c r="H1393" i="50" s="1"/>
  <c r="I1391" i="50"/>
  <c r="V1389" i="50"/>
  <c r="U1389" i="50"/>
  <c r="T1389" i="50"/>
  <c r="S1389" i="50"/>
  <c r="R1389" i="50"/>
  <c r="Q1389" i="50"/>
  <c r="N1389" i="50"/>
  <c r="O1389" i="50" s="1"/>
  <c r="V1388" i="50"/>
  <c r="U1388" i="50"/>
  <c r="T1388" i="50"/>
  <c r="S1388" i="50"/>
  <c r="R1388" i="50"/>
  <c r="P1388" i="50"/>
  <c r="J1388" i="50"/>
  <c r="I1388" i="50"/>
  <c r="V1387" i="50"/>
  <c r="U1387" i="50"/>
  <c r="T1387" i="50"/>
  <c r="S1387" i="50"/>
  <c r="R1387" i="50"/>
  <c r="P1387" i="50"/>
  <c r="J1387" i="50"/>
  <c r="H1389" i="50" s="1"/>
  <c r="I1387" i="50"/>
  <c r="V1385" i="50"/>
  <c r="U1385" i="50"/>
  <c r="T1385" i="50"/>
  <c r="S1385" i="50"/>
  <c r="R1385" i="50"/>
  <c r="Q1385" i="50"/>
  <c r="N1385" i="50"/>
  <c r="V1384" i="50"/>
  <c r="U1384" i="50"/>
  <c r="T1384" i="50"/>
  <c r="S1384" i="50"/>
  <c r="R1384" i="50"/>
  <c r="P1384" i="50"/>
  <c r="J1384" i="50"/>
  <c r="I1384" i="50"/>
  <c r="V1383" i="50"/>
  <c r="U1383" i="50"/>
  <c r="T1383" i="50"/>
  <c r="S1383" i="50"/>
  <c r="R1383" i="50"/>
  <c r="P1383" i="50"/>
  <c r="J1383" i="50"/>
  <c r="H1385" i="50" s="1"/>
  <c r="I1383" i="50"/>
  <c r="V1379" i="50"/>
  <c r="U1379" i="50"/>
  <c r="T1379" i="50"/>
  <c r="S1379" i="50"/>
  <c r="R1379" i="50"/>
  <c r="Q1379" i="50"/>
  <c r="N1379" i="50"/>
  <c r="V1378" i="50"/>
  <c r="U1378" i="50"/>
  <c r="T1378" i="50"/>
  <c r="S1378" i="50"/>
  <c r="R1378" i="50"/>
  <c r="P1378" i="50"/>
  <c r="J1378" i="50"/>
  <c r="I1378" i="50"/>
  <c r="V1377" i="50"/>
  <c r="U1377" i="50"/>
  <c r="T1377" i="50"/>
  <c r="S1377" i="50"/>
  <c r="R1377" i="50"/>
  <c r="P1377" i="50"/>
  <c r="J1377" i="50"/>
  <c r="H1379" i="50" s="1"/>
  <c r="I1377" i="50"/>
  <c r="V1375" i="50"/>
  <c r="U1375" i="50"/>
  <c r="T1375" i="50"/>
  <c r="S1375" i="50"/>
  <c r="R1375" i="50"/>
  <c r="Q1375" i="50"/>
  <c r="N1375" i="50"/>
  <c r="O1375" i="50" s="1"/>
  <c r="V1374" i="50"/>
  <c r="U1374" i="50"/>
  <c r="T1374" i="50"/>
  <c r="S1374" i="50"/>
  <c r="R1374" i="50"/>
  <c r="P1374" i="50"/>
  <c r="J1374" i="50"/>
  <c r="I1374" i="50"/>
  <c r="V1373" i="50"/>
  <c r="U1373" i="50"/>
  <c r="T1373" i="50"/>
  <c r="S1373" i="50"/>
  <c r="R1373" i="50"/>
  <c r="P1373" i="50"/>
  <c r="J1373" i="50"/>
  <c r="H1375" i="50" s="1"/>
  <c r="I1373" i="50"/>
  <c r="V1371" i="50"/>
  <c r="U1371" i="50"/>
  <c r="T1371" i="50"/>
  <c r="S1371" i="50"/>
  <c r="R1371" i="50"/>
  <c r="Q1371" i="50"/>
  <c r="N1371" i="50"/>
  <c r="O1371" i="50" s="1"/>
  <c r="V1370" i="50"/>
  <c r="U1370" i="50"/>
  <c r="T1370" i="50"/>
  <c r="S1370" i="50"/>
  <c r="R1370" i="50"/>
  <c r="P1370" i="50"/>
  <c r="J1370" i="50"/>
  <c r="I1370" i="50"/>
  <c r="V1369" i="50"/>
  <c r="U1369" i="50"/>
  <c r="T1369" i="50"/>
  <c r="S1369" i="50"/>
  <c r="R1369" i="50"/>
  <c r="P1369" i="50"/>
  <c r="J1369" i="50"/>
  <c r="H1371" i="50" s="1"/>
  <c r="I1369" i="50"/>
  <c r="V1364" i="50"/>
  <c r="U1364" i="50"/>
  <c r="T1364" i="50"/>
  <c r="S1364" i="50"/>
  <c r="R1364" i="50"/>
  <c r="Q1364" i="50"/>
  <c r="N1364" i="50"/>
  <c r="O1364" i="50" s="1"/>
  <c r="V1363" i="50"/>
  <c r="U1363" i="50"/>
  <c r="T1363" i="50"/>
  <c r="S1363" i="50"/>
  <c r="R1363" i="50"/>
  <c r="P1363" i="50"/>
  <c r="J1363" i="50"/>
  <c r="I1363" i="50"/>
  <c r="V1362" i="50"/>
  <c r="U1362" i="50"/>
  <c r="T1362" i="50"/>
  <c r="S1362" i="50"/>
  <c r="R1362" i="50"/>
  <c r="P1362" i="50"/>
  <c r="J1362" i="50"/>
  <c r="H1364" i="50" s="1"/>
  <c r="I1362" i="50"/>
  <c r="V1360" i="50"/>
  <c r="U1360" i="50"/>
  <c r="T1360" i="50"/>
  <c r="S1360" i="50"/>
  <c r="R1360" i="50"/>
  <c r="Q1360" i="50"/>
  <c r="N1360" i="50"/>
  <c r="V1359" i="50"/>
  <c r="U1359" i="50"/>
  <c r="T1359" i="50"/>
  <c r="S1359" i="50"/>
  <c r="R1359" i="50"/>
  <c r="P1359" i="50"/>
  <c r="J1359" i="50"/>
  <c r="I1359" i="50"/>
  <c r="V1358" i="50"/>
  <c r="U1358" i="50"/>
  <c r="T1358" i="50"/>
  <c r="S1358" i="50"/>
  <c r="R1358" i="50"/>
  <c r="P1358" i="50"/>
  <c r="J1358" i="50"/>
  <c r="H1360" i="50" s="1"/>
  <c r="I1358" i="50"/>
  <c r="V1356" i="50"/>
  <c r="U1356" i="50"/>
  <c r="T1356" i="50"/>
  <c r="S1356" i="50"/>
  <c r="R1356" i="50"/>
  <c r="Q1356" i="50"/>
  <c r="N1356" i="50"/>
  <c r="O1356" i="50" s="1"/>
  <c r="V1355" i="50"/>
  <c r="U1355" i="50"/>
  <c r="T1355" i="50"/>
  <c r="S1355" i="50"/>
  <c r="R1355" i="50"/>
  <c r="P1355" i="50"/>
  <c r="J1355" i="50"/>
  <c r="I1355" i="50"/>
  <c r="V1354" i="50"/>
  <c r="U1354" i="50"/>
  <c r="T1354" i="50"/>
  <c r="S1354" i="50"/>
  <c r="R1354" i="50"/>
  <c r="P1354" i="50"/>
  <c r="J1354" i="50"/>
  <c r="H1356" i="50" s="1"/>
  <c r="I1354" i="50"/>
  <c r="V1352" i="50"/>
  <c r="U1352" i="50"/>
  <c r="T1352" i="50"/>
  <c r="S1352" i="50"/>
  <c r="R1352" i="50"/>
  <c r="Q1352" i="50"/>
  <c r="N1352" i="50"/>
  <c r="O1352" i="50" s="1"/>
  <c r="V1351" i="50"/>
  <c r="U1351" i="50"/>
  <c r="T1351" i="50"/>
  <c r="S1351" i="50"/>
  <c r="R1351" i="50"/>
  <c r="P1351" i="50"/>
  <c r="J1351" i="50"/>
  <c r="I1351" i="50"/>
  <c r="V1350" i="50"/>
  <c r="U1350" i="50"/>
  <c r="T1350" i="50"/>
  <c r="S1350" i="50"/>
  <c r="R1350" i="50"/>
  <c r="P1350" i="50"/>
  <c r="J1350" i="50"/>
  <c r="H1352" i="50" s="1"/>
  <c r="I1350" i="50"/>
  <c r="V1348" i="50"/>
  <c r="U1348" i="50"/>
  <c r="T1348" i="50"/>
  <c r="S1348" i="50"/>
  <c r="R1348" i="50"/>
  <c r="Q1348" i="50"/>
  <c r="N1348" i="50"/>
  <c r="O1348" i="50" s="1"/>
  <c r="V1347" i="50"/>
  <c r="U1347" i="50"/>
  <c r="T1347" i="50"/>
  <c r="S1347" i="50"/>
  <c r="R1347" i="50"/>
  <c r="P1347" i="50"/>
  <c r="J1347" i="50"/>
  <c r="I1347" i="50"/>
  <c r="V1346" i="50"/>
  <c r="U1346" i="50"/>
  <c r="T1346" i="50"/>
  <c r="S1346" i="50"/>
  <c r="R1346" i="50"/>
  <c r="P1346" i="50"/>
  <c r="J1346" i="50"/>
  <c r="H1348" i="50" s="1"/>
  <c r="I1346" i="50"/>
  <c r="V1344" i="50"/>
  <c r="U1344" i="50"/>
  <c r="T1344" i="50"/>
  <c r="S1344" i="50"/>
  <c r="R1344" i="50"/>
  <c r="Q1344" i="50"/>
  <c r="N1344" i="50"/>
  <c r="O1344" i="50" s="1"/>
  <c r="V1343" i="50"/>
  <c r="U1343" i="50"/>
  <c r="T1343" i="50"/>
  <c r="S1343" i="50"/>
  <c r="R1343" i="50"/>
  <c r="P1343" i="50"/>
  <c r="J1343" i="50"/>
  <c r="I1343" i="50"/>
  <c r="V1342" i="50"/>
  <c r="U1342" i="50"/>
  <c r="T1342" i="50"/>
  <c r="S1342" i="50"/>
  <c r="R1342" i="50"/>
  <c r="P1342" i="50"/>
  <c r="J1342" i="50"/>
  <c r="H1344" i="50" s="1"/>
  <c r="I1342" i="50"/>
  <c r="V1338" i="50"/>
  <c r="U1338" i="50"/>
  <c r="T1338" i="50"/>
  <c r="S1338" i="50"/>
  <c r="R1338" i="50"/>
  <c r="Q1338" i="50"/>
  <c r="N1338" i="50"/>
  <c r="O1338" i="50" s="1"/>
  <c r="V1337" i="50"/>
  <c r="U1337" i="50"/>
  <c r="T1337" i="50"/>
  <c r="S1337" i="50"/>
  <c r="R1337" i="50"/>
  <c r="P1337" i="50"/>
  <c r="J1337" i="50"/>
  <c r="I1337" i="50"/>
  <c r="V1336" i="50"/>
  <c r="U1336" i="50"/>
  <c r="T1336" i="50"/>
  <c r="S1336" i="50"/>
  <c r="R1336" i="50"/>
  <c r="P1336" i="50"/>
  <c r="J1336" i="50"/>
  <c r="H1338" i="50" s="1"/>
  <c r="I1336" i="50"/>
  <c r="V1334" i="50"/>
  <c r="U1334" i="50"/>
  <c r="T1334" i="50"/>
  <c r="S1334" i="50"/>
  <c r="R1334" i="50"/>
  <c r="Q1334" i="50"/>
  <c r="N1334" i="50"/>
  <c r="O1334" i="50" s="1"/>
  <c r="V1333" i="50"/>
  <c r="U1333" i="50"/>
  <c r="T1333" i="50"/>
  <c r="S1333" i="50"/>
  <c r="R1333" i="50"/>
  <c r="P1333" i="50"/>
  <c r="J1333" i="50"/>
  <c r="I1333" i="50"/>
  <c r="V1332" i="50"/>
  <c r="U1332" i="50"/>
  <c r="T1332" i="50"/>
  <c r="S1332" i="50"/>
  <c r="R1332" i="50"/>
  <c r="P1332" i="50"/>
  <c r="J1332" i="50"/>
  <c r="H1334" i="50" s="1"/>
  <c r="I1332" i="50"/>
  <c r="V1330" i="50"/>
  <c r="U1330" i="50"/>
  <c r="T1330" i="50"/>
  <c r="S1330" i="50"/>
  <c r="R1330" i="50"/>
  <c r="Q1330" i="50"/>
  <c r="N1330" i="50"/>
  <c r="O1330" i="50" s="1"/>
  <c r="V1329" i="50"/>
  <c r="U1329" i="50"/>
  <c r="T1329" i="50"/>
  <c r="S1329" i="50"/>
  <c r="R1329" i="50"/>
  <c r="P1329" i="50"/>
  <c r="J1329" i="50"/>
  <c r="I1329" i="50"/>
  <c r="V1328" i="50"/>
  <c r="U1328" i="50"/>
  <c r="T1328" i="50"/>
  <c r="S1328" i="50"/>
  <c r="R1328" i="50"/>
  <c r="P1328" i="50"/>
  <c r="J1328" i="50"/>
  <c r="H1330" i="50" s="1"/>
  <c r="I1328" i="50"/>
  <c r="V1326" i="50"/>
  <c r="U1326" i="50"/>
  <c r="T1326" i="50"/>
  <c r="S1326" i="50"/>
  <c r="R1326" i="50"/>
  <c r="Q1326" i="50"/>
  <c r="N1326" i="50"/>
  <c r="O1326" i="50" s="1"/>
  <c r="V1325" i="50"/>
  <c r="U1325" i="50"/>
  <c r="T1325" i="50"/>
  <c r="S1325" i="50"/>
  <c r="R1325" i="50"/>
  <c r="P1325" i="50"/>
  <c r="J1325" i="50"/>
  <c r="I1325" i="50"/>
  <c r="V1324" i="50"/>
  <c r="U1324" i="50"/>
  <c r="T1324" i="50"/>
  <c r="S1324" i="50"/>
  <c r="R1324" i="50"/>
  <c r="P1324" i="50"/>
  <c r="J1324" i="50"/>
  <c r="H1326" i="50" s="1"/>
  <c r="I1324" i="50"/>
  <c r="V1322" i="50"/>
  <c r="U1322" i="50"/>
  <c r="T1322" i="50"/>
  <c r="S1322" i="50"/>
  <c r="R1322" i="50"/>
  <c r="Q1322" i="50"/>
  <c r="N1322" i="50"/>
  <c r="O1322" i="50" s="1"/>
  <c r="V1321" i="50"/>
  <c r="U1321" i="50"/>
  <c r="T1321" i="50"/>
  <c r="S1321" i="50"/>
  <c r="R1321" i="50"/>
  <c r="P1321" i="50"/>
  <c r="J1321" i="50"/>
  <c r="I1321" i="50"/>
  <c r="V1320" i="50"/>
  <c r="U1320" i="50"/>
  <c r="T1320" i="50"/>
  <c r="S1320" i="50"/>
  <c r="R1320" i="50"/>
  <c r="P1320" i="50"/>
  <c r="J1320" i="50"/>
  <c r="H1322" i="50" s="1"/>
  <c r="I1320" i="50"/>
  <c r="V1318" i="50"/>
  <c r="U1318" i="50"/>
  <c r="T1318" i="50"/>
  <c r="S1318" i="50"/>
  <c r="R1318" i="50"/>
  <c r="Q1318" i="50"/>
  <c r="N1318" i="50"/>
  <c r="O1318" i="50" s="1"/>
  <c r="V1317" i="50"/>
  <c r="U1317" i="50"/>
  <c r="T1317" i="50"/>
  <c r="S1317" i="50"/>
  <c r="R1317" i="50"/>
  <c r="P1317" i="50"/>
  <c r="J1317" i="50"/>
  <c r="I1317" i="50"/>
  <c r="V1316" i="50"/>
  <c r="U1316" i="50"/>
  <c r="T1316" i="50"/>
  <c r="S1316" i="50"/>
  <c r="R1316" i="50"/>
  <c r="P1316" i="50"/>
  <c r="J1316" i="50"/>
  <c r="H1318" i="50" s="1"/>
  <c r="I1316" i="50"/>
  <c r="V1314" i="50"/>
  <c r="U1314" i="50"/>
  <c r="T1314" i="50"/>
  <c r="S1314" i="50"/>
  <c r="R1314" i="50"/>
  <c r="Q1314" i="50"/>
  <c r="N1314" i="50"/>
  <c r="O1314" i="50" s="1"/>
  <c r="V1313" i="50"/>
  <c r="U1313" i="50"/>
  <c r="T1313" i="50"/>
  <c r="S1313" i="50"/>
  <c r="R1313" i="50"/>
  <c r="P1313" i="50"/>
  <c r="J1313" i="50"/>
  <c r="I1313" i="50"/>
  <c r="V1312" i="50"/>
  <c r="U1312" i="50"/>
  <c r="T1312" i="50"/>
  <c r="S1312" i="50"/>
  <c r="R1312" i="50"/>
  <c r="P1312" i="50"/>
  <c r="J1312" i="50"/>
  <c r="H1314" i="50" s="1"/>
  <c r="I1312" i="50"/>
  <c r="V1310" i="50"/>
  <c r="U1310" i="50"/>
  <c r="T1310" i="50"/>
  <c r="S1310" i="50"/>
  <c r="R1310" i="50"/>
  <c r="Q1310" i="50"/>
  <c r="N1310" i="50"/>
  <c r="O1310" i="50" s="1"/>
  <c r="V1309" i="50"/>
  <c r="U1309" i="50"/>
  <c r="T1309" i="50"/>
  <c r="S1309" i="50"/>
  <c r="R1309" i="50"/>
  <c r="P1309" i="50"/>
  <c r="J1309" i="50"/>
  <c r="I1309" i="50"/>
  <c r="V1308" i="50"/>
  <c r="U1308" i="50"/>
  <c r="T1308" i="50"/>
  <c r="S1308" i="50"/>
  <c r="R1308" i="50"/>
  <c r="P1308" i="50"/>
  <c r="J1308" i="50"/>
  <c r="H1310" i="50" s="1"/>
  <c r="I1308" i="50"/>
  <c r="V1304" i="50"/>
  <c r="U1304" i="50"/>
  <c r="T1304" i="50"/>
  <c r="S1304" i="50"/>
  <c r="R1304" i="50"/>
  <c r="Q1304" i="50"/>
  <c r="N1304" i="50"/>
  <c r="O1304" i="50" s="1"/>
  <c r="V1303" i="50"/>
  <c r="U1303" i="50"/>
  <c r="T1303" i="50"/>
  <c r="S1303" i="50"/>
  <c r="R1303" i="50"/>
  <c r="P1303" i="50"/>
  <c r="J1303" i="50"/>
  <c r="I1303" i="50"/>
  <c r="V1302" i="50"/>
  <c r="U1302" i="50"/>
  <c r="T1302" i="50"/>
  <c r="S1302" i="50"/>
  <c r="R1302" i="50"/>
  <c r="P1302" i="50"/>
  <c r="J1302" i="50"/>
  <c r="H1304" i="50" s="1"/>
  <c r="I1302" i="50"/>
  <c r="V1300" i="50"/>
  <c r="U1300" i="50"/>
  <c r="T1300" i="50"/>
  <c r="S1300" i="50"/>
  <c r="R1300" i="50"/>
  <c r="Q1300" i="50"/>
  <c r="N1300" i="50"/>
  <c r="O1300" i="50" s="1"/>
  <c r="V1299" i="50"/>
  <c r="U1299" i="50"/>
  <c r="T1299" i="50"/>
  <c r="S1299" i="50"/>
  <c r="R1299" i="50"/>
  <c r="P1299" i="50"/>
  <c r="J1299" i="50"/>
  <c r="I1299" i="50"/>
  <c r="V1298" i="50"/>
  <c r="U1298" i="50"/>
  <c r="T1298" i="50"/>
  <c r="S1298" i="50"/>
  <c r="R1298" i="50"/>
  <c r="P1298" i="50"/>
  <c r="J1298" i="50"/>
  <c r="H1300" i="50" s="1"/>
  <c r="I1298" i="50"/>
  <c r="V1296" i="50"/>
  <c r="U1296" i="50"/>
  <c r="T1296" i="50"/>
  <c r="S1296" i="50"/>
  <c r="R1296" i="50"/>
  <c r="Q1296" i="50"/>
  <c r="N1296" i="50"/>
  <c r="O1296" i="50" s="1"/>
  <c r="V1295" i="50"/>
  <c r="U1295" i="50"/>
  <c r="T1295" i="50"/>
  <c r="S1295" i="50"/>
  <c r="R1295" i="50"/>
  <c r="P1295" i="50"/>
  <c r="J1295" i="50"/>
  <c r="I1295" i="50"/>
  <c r="V1294" i="50"/>
  <c r="U1294" i="50"/>
  <c r="T1294" i="50"/>
  <c r="S1294" i="50"/>
  <c r="R1294" i="50"/>
  <c r="P1294" i="50"/>
  <c r="J1294" i="50"/>
  <c r="H1296" i="50" s="1"/>
  <c r="I1294" i="50"/>
  <c r="V1292" i="50"/>
  <c r="U1292" i="50"/>
  <c r="T1292" i="50"/>
  <c r="S1292" i="50"/>
  <c r="R1292" i="50"/>
  <c r="Q1292" i="50"/>
  <c r="N1292" i="50"/>
  <c r="O1292" i="50" s="1"/>
  <c r="V1291" i="50"/>
  <c r="U1291" i="50"/>
  <c r="T1291" i="50"/>
  <c r="S1291" i="50"/>
  <c r="R1291" i="50"/>
  <c r="P1291" i="50"/>
  <c r="J1291" i="50"/>
  <c r="I1291" i="50"/>
  <c r="V1290" i="50"/>
  <c r="U1290" i="50"/>
  <c r="T1290" i="50"/>
  <c r="S1290" i="50"/>
  <c r="R1290" i="50"/>
  <c r="P1290" i="50"/>
  <c r="J1290" i="50"/>
  <c r="H1292" i="50" s="1"/>
  <c r="I1290" i="50"/>
  <c r="V1288" i="50"/>
  <c r="U1288" i="50"/>
  <c r="T1288" i="50"/>
  <c r="S1288" i="50"/>
  <c r="R1288" i="50"/>
  <c r="Q1288" i="50"/>
  <c r="N1288" i="50"/>
  <c r="O1288" i="50" s="1"/>
  <c r="V1287" i="50"/>
  <c r="U1287" i="50"/>
  <c r="T1287" i="50"/>
  <c r="S1287" i="50"/>
  <c r="R1287" i="50"/>
  <c r="P1287" i="50"/>
  <c r="J1287" i="50"/>
  <c r="I1287" i="50"/>
  <c r="V1286" i="50"/>
  <c r="U1286" i="50"/>
  <c r="T1286" i="50"/>
  <c r="S1286" i="50"/>
  <c r="R1286" i="50"/>
  <c r="P1286" i="50"/>
  <c r="J1286" i="50"/>
  <c r="H1288" i="50" s="1"/>
  <c r="I1286" i="50"/>
  <c r="V1284" i="50"/>
  <c r="U1284" i="50"/>
  <c r="T1284" i="50"/>
  <c r="S1284" i="50"/>
  <c r="R1284" i="50"/>
  <c r="Q1284" i="50"/>
  <c r="N1284" i="50"/>
  <c r="O1284" i="50" s="1"/>
  <c r="V1283" i="50"/>
  <c r="U1283" i="50"/>
  <c r="T1283" i="50"/>
  <c r="S1283" i="50"/>
  <c r="R1283" i="50"/>
  <c r="P1283" i="50"/>
  <c r="J1283" i="50"/>
  <c r="I1283" i="50"/>
  <c r="V1282" i="50"/>
  <c r="U1282" i="50"/>
  <c r="T1282" i="50"/>
  <c r="S1282" i="50"/>
  <c r="R1282" i="50"/>
  <c r="P1282" i="50"/>
  <c r="J1282" i="50"/>
  <c r="H1284" i="50" s="1"/>
  <c r="I1282" i="50"/>
  <c r="V1280" i="50"/>
  <c r="U1280" i="50"/>
  <c r="T1280" i="50"/>
  <c r="S1280" i="50"/>
  <c r="R1280" i="50"/>
  <c r="Q1280" i="50"/>
  <c r="N1280" i="50"/>
  <c r="O1280" i="50" s="1"/>
  <c r="V1279" i="50"/>
  <c r="U1279" i="50"/>
  <c r="T1279" i="50"/>
  <c r="S1279" i="50"/>
  <c r="R1279" i="50"/>
  <c r="P1279" i="50"/>
  <c r="J1279" i="50"/>
  <c r="I1279" i="50"/>
  <c r="V1278" i="50"/>
  <c r="U1278" i="50"/>
  <c r="T1278" i="50"/>
  <c r="S1278" i="50"/>
  <c r="R1278" i="50"/>
  <c r="P1278" i="50"/>
  <c r="J1278" i="50"/>
  <c r="H1280" i="50" s="1"/>
  <c r="I1278" i="50"/>
  <c r="V1276" i="50"/>
  <c r="U1276" i="50"/>
  <c r="T1276" i="50"/>
  <c r="S1276" i="50"/>
  <c r="R1276" i="50"/>
  <c r="Q1276" i="50"/>
  <c r="N1276" i="50"/>
  <c r="O1276" i="50" s="1"/>
  <c r="V1275" i="50"/>
  <c r="U1275" i="50"/>
  <c r="T1275" i="50"/>
  <c r="S1275" i="50"/>
  <c r="R1275" i="50"/>
  <c r="P1275" i="50"/>
  <c r="J1275" i="50"/>
  <c r="I1275" i="50"/>
  <c r="V1274" i="50"/>
  <c r="U1274" i="50"/>
  <c r="T1274" i="50"/>
  <c r="S1274" i="50"/>
  <c r="R1274" i="50"/>
  <c r="P1274" i="50"/>
  <c r="J1274" i="50"/>
  <c r="H1276" i="50" s="1"/>
  <c r="I1274" i="50"/>
  <c r="V1270" i="50"/>
  <c r="U1270" i="50"/>
  <c r="T1270" i="50"/>
  <c r="S1270" i="50"/>
  <c r="R1270" i="50"/>
  <c r="Q1270" i="50"/>
  <c r="N1270" i="50"/>
  <c r="O1270" i="50" s="1"/>
  <c r="V1269" i="50"/>
  <c r="U1269" i="50"/>
  <c r="T1269" i="50"/>
  <c r="S1269" i="50"/>
  <c r="R1269" i="50"/>
  <c r="P1269" i="50"/>
  <c r="J1269" i="50"/>
  <c r="I1269" i="50"/>
  <c r="V1268" i="50"/>
  <c r="U1268" i="50"/>
  <c r="T1268" i="50"/>
  <c r="S1268" i="50"/>
  <c r="R1268" i="50"/>
  <c r="P1268" i="50"/>
  <c r="J1268" i="50"/>
  <c r="H1270" i="50" s="1"/>
  <c r="I1268" i="50"/>
  <c r="V1266" i="50"/>
  <c r="U1266" i="50"/>
  <c r="T1266" i="50"/>
  <c r="S1266" i="50"/>
  <c r="R1266" i="50"/>
  <c r="Q1266" i="50"/>
  <c r="N1266" i="50"/>
  <c r="O1266" i="50" s="1"/>
  <c r="V1265" i="50"/>
  <c r="U1265" i="50"/>
  <c r="T1265" i="50"/>
  <c r="S1265" i="50"/>
  <c r="R1265" i="50"/>
  <c r="P1265" i="50"/>
  <c r="J1265" i="50"/>
  <c r="I1265" i="50"/>
  <c r="V1264" i="50"/>
  <c r="U1264" i="50"/>
  <c r="T1264" i="50"/>
  <c r="S1264" i="50"/>
  <c r="R1264" i="50"/>
  <c r="P1264" i="50"/>
  <c r="J1264" i="50"/>
  <c r="H1266" i="50" s="1"/>
  <c r="I1264" i="50"/>
  <c r="V1262" i="50"/>
  <c r="U1262" i="50"/>
  <c r="T1262" i="50"/>
  <c r="S1262" i="50"/>
  <c r="R1262" i="50"/>
  <c r="Q1262" i="50"/>
  <c r="N1262" i="50"/>
  <c r="V1261" i="50"/>
  <c r="U1261" i="50"/>
  <c r="T1261" i="50"/>
  <c r="S1261" i="50"/>
  <c r="R1261" i="50"/>
  <c r="P1261" i="50"/>
  <c r="J1261" i="50"/>
  <c r="I1261" i="50"/>
  <c r="V1260" i="50"/>
  <c r="U1260" i="50"/>
  <c r="T1260" i="50"/>
  <c r="S1260" i="50"/>
  <c r="R1260" i="50"/>
  <c r="P1260" i="50"/>
  <c r="J1260" i="50"/>
  <c r="H1262" i="50" s="1"/>
  <c r="I1260" i="50"/>
  <c r="V1258" i="50"/>
  <c r="U1258" i="50"/>
  <c r="T1258" i="50"/>
  <c r="S1258" i="50"/>
  <c r="R1258" i="50"/>
  <c r="Q1258" i="50"/>
  <c r="N1258" i="50"/>
  <c r="V1257" i="50"/>
  <c r="U1257" i="50"/>
  <c r="T1257" i="50"/>
  <c r="S1257" i="50"/>
  <c r="R1257" i="50"/>
  <c r="P1257" i="50"/>
  <c r="J1257" i="50"/>
  <c r="I1257" i="50"/>
  <c r="V1256" i="50"/>
  <c r="U1256" i="50"/>
  <c r="T1256" i="50"/>
  <c r="S1256" i="50"/>
  <c r="R1256" i="50"/>
  <c r="P1256" i="50"/>
  <c r="J1256" i="50"/>
  <c r="H1258" i="50" s="1"/>
  <c r="I1256" i="50"/>
  <c r="V1252" i="50"/>
  <c r="U1252" i="50"/>
  <c r="T1252" i="50"/>
  <c r="S1252" i="50"/>
  <c r="R1252" i="50"/>
  <c r="Q1252" i="50"/>
  <c r="N1252" i="50"/>
  <c r="O1252" i="50" s="1"/>
  <c r="V1251" i="50"/>
  <c r="U1251" i="50"/>
  <c r="T1251" i="50"/>
  <c r="S1251" i="50"/>
  <c r="R1251" i="50"/>
  <c r="P1251" i="50"/>
  <c r="J1251" i="50"/>
  <c r="I1251" i="50"/>
  <c r="V1250" i="50"/>
  <c r="U1250" i="50"/>
  <c r="T1250" i="50"/>
  <c r="S1250" i="50"/>
  <c r="R1250" i="50"/>
  <c r="P1250" i="50"/>
  <c r="J1250" i="50"/>
  <c r="H1252" i="50" s="1"/>
  <c r="I1250" i="50"/>
  <c r="V1248" i="50"/>
  <c r="U1248" i="50"/>
  <c r="T1248" i="50"/>
  <c r="S1248" i="50"/>
  <c r="R1248" i="50"/>
  <c r="Q1248" i="50"/>
  <c r="N1248" i="50"/>
  <c r="O1248" i="50" s="1"/>
  <c r="V1247" i="50"/>
  <c r="U1247" i="50"/>
  <c r="T1247" i="50"/>
  <c r="S1247" i="50"/>
  <c r="R1247" i="50"/>
  <c r="P1247" i="50"/>
  <c r="J1247" i="50"/>
  <c r="I1247" i="50"/>
  <c r="V1246" i="50"/>
  <c r="U1246" i="50"/>
  <c r="T1246" i="50"/>
  <c r="S1246" i="50"/>
  <c r="R1246" i="50"/>
  <c r="P1246" i="50"/>
  <c r="J1246" i="50"/>
  <c r="H1248" i="50" s="1"/>
  <c r="I1246" i="50"/>
  <c r="V1244" i="50"/>
  <c r="U1244" i="50"/>
  <c r="T1244" i="50"/>
  <c r="S1244" i="50"/>
  <c r="R1244" i="50"/>
  <c r="Q1244" i="50"/>
  <c r="N1244" i="50"/>
  <c r="V1243" i="50"/>
  <c r="U1243" i="50"/>
  <c r="T1243" i="50"/>
  <c r="S1243" i="50"/>
  <c r="R1243" i="50"/>
  <c r="P1243" i="50"/>
  <c r="J1243" i="50"/>
  <c r="I1243" i="50"/>
  <c r="V1242" i="50"/>
  <c r="U1242" i="50"/>
  <c r="T1242" i="50"/>
  <c r="S1242" i="50"/>
  <c r="R1242" i="50"/>
  <c r="P1242" i="50"/>
  <c r="J1242" i="50"/>
  <c r="H1244" i="50" s="1"/>
  <c r="I1242" i="50"/>
  <c r="V1240" i="50"/>
  <c r="U1240" i="50"/>
  <c r="T1240" i="50"/>
  <c r="S1240" i="50"/>
  <c r="R1240" i="50"/>
  <c r="Q1240" i="50"/>
  <c r="N1240" i="50"/>
  <c r="V1239" i="50"/>
  <c r="U1239" i="50"/>
  <c r="T1239" i="50"/>
  <c r="S1239" i="50"/>
  <c r="R1239" i="50"/>
  <c r="P1239" i="50"/>
  <c r="J1239" i="50"/>
  <c r="I1239" i="50"/>
  <c r="V1238" i="50"/>
  <c r="U1238" i="50"/>
  <c r="T1238" i="50"/>
  <c r="S1238" i="50"/>
  <c r="R1238" i="50"/>
  <c r="P1238" i="50"/>
  <c r="J1238" i="50"/>
  <c r="H1240" i="50" s="1"/>
  <c r="I1238" i="50"/>
  <c r="V1236" i="50"/>
  <c r="U1236" i="50"/>
  <c r="T1236" i="50"/>
  <c r="S1236" i="50"/>
  <c r="R1236" i="50"/>
  <c r="Q1236" i="50"/>
  <c r="N1236" i="50"/>
  <c r="O1236" i="50" s="1"/>
  <c r="V1235" i="50"/>
  <c r="U1235" i="50"/>
  <c r="T1235" i="50"/>
  <c r="S1235" i="50"/>
  <c r="R1235" i="50"/>
  <c r="P1235" i="50"/>
  <c r="J1235" i="50"/>
  <c r="I1235" i="50"/>
  <c r="V1234" i="50"/>
  <c r="U1234" i="50"/>
  <c r="T1234" i="50"/>
  <c r="S1234" i="50"/>
  <c r="R1234" i="50"/>
  <c r="P1234" i="50"/>
  <c r="J1234" i="50"/>
  <c r="H1236" i="50" s="1"/>
  <c r="I1234" i="50"/>
  <c r="V1232" i="50"/>
  <c r="U1232" i="50"/>
  <c r="T1232" i="50"/>
  <c r="S1232" i="50"/>
  <c r="R1232" i="50"/>
  <c r="Q1232" i="50"/>
  <c r="N1232" i="50"/>
  <c r="O1232" i="50" s="1"/>
  <c r="V1231" i="50"/>
  <c r="U1231" i="50"/>
  <c r="T1231" i="50"/>
  <c r="S1231" i="50"/>
  <c r="R1231" i="50"/>
  <c r="P1231" i="50"/>
  <c r="J1231" i="50"/>
  <c r="I1231" i="50"/>
  <c r="V1230" i="50"/>
  <c r="U1230" i="50"/>
  <c r="T1230" i="50"/>
  <c r="S1230" i="50"/>
  <c r="R1230" i="50"/>
  <c r="P1230" i="50"/>
  <c r="J1230" i="50"/>
  <c r="H1232" i="50" s="1"/>
  <c r="I1230" i="50"/>
  <c r="V1228" i="50"/>
  <c r="U1228" i="50"/>
  <c r="T1228" i="50"/>
  <c r="S1228" i="50"/>
  <c r="R1228" i="50"/>
  <c r="Q1228" i="50"/>
  <c r="N1228" i="50"/>
  <c r="V1227" i="50"/>
  <c r="U1227" i="50"/>
  <c r="T1227" i="50"/>
  <c r="S1227" i="50"/>
  <c r="R1227" i="50"/>
  <c r="P1227" i="50"/>
  <c r="J1227" i="50"/>
  <c r="I1227" i="50"/>
  <c r="V1226" i="50"/>
  <c r="U1226" i="50"/>
  <c r="T1226" i="50"/>
  <c r="S1226" i="50"/>
  <c r="R1226" i="50"/>
  <c r="P1226" i="50"/>
  <c r="J1226" i="50"/>
  <c r="H1228" i="50" s="1"/>
  <c r="I1226" i="50"/>
  <c r="V1224" i="50"/>
  <c r="U1224" i="50"/>
  <c r="T1224" i="50"/>
  <c r="S1224" i="50"/>
  <c r="R1224" i="50"/>
  <c r="Q1224" i="50"/>
  <c r="N1224" i="50"/>
  <c r="V1223" i="50"/>
  <c r="U1223" i="50"/>
  <c r="T1223" i="50"/>
  <c r="S1223" i="50"/>
  <c r="R1223" i="50"/>
  <c r="P1223" i="50"/>
  <c r="J1223" i="50"/>
  <c r="I1223" i="50"/>
  <c r="V1222" i="50"/>
  <c r="U1222" i="50"/>
  <c r="T1222" i="50"/>
  <c r="S1222" i="50"/>
  <c r="R1222" i="50"/>
  <c r="P1222" i="50"/>
  <c r="J1222" i="50"/>
  <c r="H1224" i="50" s="1"/>
  <c r="I1222" i="50"/>
  <c r="V1220" i="50"/>
  <c r="U1220" i="50"/>
  <c r="T1220" i="50"/>
  <c r="S1220" i="50"/>
  <c r="R1220" i="50"/>
  <c r="Q1220" i="50"/>
  <c r="N1220" i="50"/>
  <c r="O1220" i="50" s="1"/>
  <c r="V1219" i="50"/>
  <c r="U1219" i="50"/>
  <c r="T1219" i="50"/>
  <c r="S1219" i="50"/>
  <c r="R1219" i="50"/>
  <c r="P1219" i="50"/>
  <c r="J1219" i="50"/>
  <c r="I1219" i="50"/>
  <c r="V1218" i="50"/>
  <c r="U1218" i="50"/>
  <c r="T1218" i="50"/>
  <c r="S1218" i="50"/>
  <c r="R1218" i="50"/>
  <c r="P1218" i="50"/>
  <c r="J1218" i="50"/>
  <c r="H1220" i="50" s="1"/>
  <c r="I1218" i="50"/>
  <c r="V1216" i="50"/>
  <c r="U1216" i="50"/>
  <c r="T1216" i="50"/>
  <c r="S1216" i="50"/>
  <c r="R1216" i="50"/>
  <c r="Q1216" i="50"/>
  <c r="N1216" i="50"/>
  <c r="O1216" i="50" s="1"/>
  <c r="V1215" i="50"/>
  <c r="U1215" i="50"/>
  <c r="T1215" i="50"/>
  <c r="S1215" i="50"/>
  <c r="R1215" i="50"/>
  <c r="P1215" i="50"/>
  <c r="J1215" i="50"/>
  <c r="I1215" i="50"/>
  <c r="V1214" i="50"/>
  <c r="U1214" i="50"/>
  <c r="T1214" i="50"/>
  <c r="S1214" i="50"/>
  <c r="R1214" i="50"/>
  <c r="P1214" i="50"/>
  <c r="J1214" i="50"/>
  <c r="H1216" i="50" s="1"/>
  <c r="I1214" i="50"/>
  <c r="V1211" i="50"/>
  <c r="U1211" i="50"/>
  <c r="T1211" i="50"/>
  <c r="S1211" i="50"/>
  <c r="R1211" i="50"/>
  <c r="Q1211" i="50"/>
  <c r="N1211" i="50"/>
  <c r="V1210" i="50"/>
  <c r="U1210" i="50"/>
  <c r="T1210" i="50"/>
  <c r="S1210" i="50"/>
  <c r="R1210" i="50"/>
  <c r="P1210" i="50"/>
  <c r="J1210" i="50"/>
  <c r="I1210" i="50"/>
  <c r="V1209" i="50"/>
  <c r="U1209" i="50"/>
  <c r="T1209" i="50"/>
  <c r="S1209" i="50"/>
  <c r="R1209" i="50"/>
  <c r="P1209" i="50"/>
  <c r="J1209" i="50"/>
  <c r="H1211" i="50" s="1"/>
  <c r="I1209" i="50"/>
  <c r="V1207" i="50"/>
  <c r="U1207" i="50"/>
  <c r="T1207" i="50"/>
  <c r="S1207" i="50"/>
  <c r="R1207" i="50"/>
  <c r="Q1207" i="50"/>
  <c r="N1207" i="50"/>
  <c r="V1206" i="50"/>
  <c r="U1206" i="50"/>
  <c r="T1206" i="50"/>
  <c r="S1206" i="50"/>
  <c r="R1206" i="50"/>
  <c r="P1206" i="50"/>
  <c r="J1206" i="50"/>
  <c r="I1206" i="50"/>
  <c r="V1205" i="50"/>
  <c r="U1205" i="50"/>
  <c r="T1205" i="50"/>
  <c r="S1205" i="50"/>
  <c r="R1205" i="50"/>
  <c r="P1205" i="50"/>
  <c r="J1205" i="50"/>
  <c r="H1207" i="50" s="1"/>
  <c r="I1205" i="50"/>
  <c r="V1201" i="50"/>
  <c r="U1201" i="50"/>
  <c r="T1201" i="50"/>
  <c r="S1201" i="50"/>
  <c r="R1201" i="50"/>
  <c r="Q1201" i="50"/>
  <c r="N1201" i="50"/>
  <c r="O1201" i="50" s="1"/>
  <c r="V1200" i="50"/>
  <c r="U1200" i="50"/>
  <c r="T1200" i="50"/>
  <c r="S1200" i="50"/>
  <c r="R1200" i="50"/>
  <c r="P1200" i="50"/>
  <c r="J1200" i="50"/>
  <c r="I1200" i="50"/>
  <c r="V1199" i="50"/>
  <c r="U1199" i="50"/>
  <c r="T1199" i="50"/>
  <c r="S1199" i="50"/>
  <c r="R1199" i="50"/>
  <c r="P1199" i="50"/>
  <c r="J1199" i="50"/>
  <c r="H1201" i="50" s="1"/>
  <c r="I1199" i="50"/>
  <c r="V1197" i="50"/>
  <c r="U1197" i="50"/>
  <c r="T1197" i="50"/>
  <c r="S1197" i="50"/>
  <c r="R1197" i="50"/>
  <c r="Q1197" i="50"/>
  <c r="N1197" i="50"/>
  <c r="O1197" i="50" s="1"/>
  <c r="V1196" i="50"/>
  <c r="U1196" i="50"/>
  <c r="T1196" i="50"/>
  <c r="S1196" i="50"/>
  <c r="R1196" i="50"/>
  <c r="P1196" i="50"/>
  <c r="J1196" i="50"/>
  <c r="I1196" i="50"/>
  <c r="V1195" i="50"/>
  <c r="U1195" i="50"/>
  <c r="T1195" i="50"/>
  <c r="S1195" i="50"/>
  <c r="R1195" i="50"/>
  <c r="P1195" i="50"/>
  <c r="J1195" i="50"/>
  <c r="H1197" i="50" s="1"/>
  <c r="I1195" i="50"/>
  <c r="V1193" i="50"/>
  <c r="U1193" i="50"/>
  <c r="T1193" i="50"/>
  <c r="S1193" i="50"/>
  <c r="R1193" i="50"/>
  <c r="Q1193" i="50"/>
  <c r="N1193" i="50"/>
  <c r="V1192" i="50"/>
  <c r="U1192" i="50"/>
  <c r="T1192" i="50"/>
  <c r="S1192" i="50"/>
  <c r="R1192" i="50"/>
  <c r="P1192" i="50"/>
  <c r="J1192" i="50"/>
  <c r="I1192" i="50"/>
  <c r="V1191" i="50"/>
  <c r="U1191" i="50"/>
  <c r="T1191" i="50"/>
  <c r="S1191" i="50"/>
  <c r="R1191" i="50"/>
  <c r="P1191" i="50"/>
  <c r="J1191" i="50"/>
  <c r="H1193" i="50" s="1"/>
  <c r="I1191" i="50"/>
  <c r="V1189" i="50"/>
  <c r="U1189" i="50"/>
  <c r="T1189" i="50"/>
  <c r="S1189" i="50"/>
  <c r="R1189" i="50"/>
  <c r="Q1189" i="50"/>
  <c r="N1189" i="50"/>
  <c r="V1188" i="50"/>
  <c r="U1188" i="50"/>
  <c r="T1188" i="50"/>
  <c r="S1188" i="50"/>
  <c r="R1188" i="50"/>
  <c r="P1188" i="50"/>
  <c r="J1188" i="50"/>
  <c r="I1188" i="50"/>
  <c r="V1187" i="50"/>
  <c r="U1187" i="50"/>
  <c r="T1187" i="50"/>
  <c r="S1187" i="50"/>
  <c r="R1187" i="50"/>
  <c r="P1187" i="50"/>
  <c r="J1187" i="50"/>
  <c r="H1189" i="50" s="1"/>
  <c r="I1187" i="50"/>
  <c r="V1185" i="50"/>
  <c r="U1185" i="50"/>
  <c r="T1185" i="50"/>
  <c r="S1185" i="50"/>
  <c r="R1185" i="50"/>
  <c r="Q1185" i="50"/>
  <c r="N1185" i="50"/>
  <c r="O1185" i="50" s="1"/>
  <c r="V1184" i="50"/>
  <c r="U1184" i="50"/>
  <c r="T1184" i="50"/>
  <c r="S1184" i="50"/>
  <c r="R1184" i="50"/>
  <c r="P1184" i="50"/>
  <c r="J1184" i="50"/>
  <c r="I1184" i="50"/>
  <c r="V1183" i="50"/>
  <c r="U1183" i="50"/>
  <c r="T1183" i="50"/>
  <c r="S1183" i="50"/>
  <c r="R1183" i="50"/>
  <c r="P1183" i="50"/>
  <c r="J1183" i="50"/>
  <c r="H1185" i="50" s="1"/>
  <c r="I1183" i="50"/>
  <c r="V1179" i="50"/>
  <c r="U1179" i="50"/>
  <c r="T1179" i="50"/>
  <c r="S1179" i="50"/>
  <c r="R1179" i="50"/>
  <c r="Q1179" i="50"/>
  <c r="N1179" i="50"/>
  <c r="O1179" i="50" s="1"/>
  <c r="V1178" i="50"/>
  <c r="U1178" i="50"/>
  <c r="T1178" i="50"/>
  <c r="S1178" i="50"/>
  <c r="R1178" i="50"/>
  <c r="P1178" i="50"/>
  <c r="J1178" i="50"/>
  <c r="I1178" i="50"/>
  <c r="V1177" i="50"/>
  <c r="U1177" i="50"/>
  <c r="T1177" i="50"/>
  <c r="S1177" i="50"/>
  <c r="R1177" i="50"/>
  <c r="P1177" i="50"/>
  <c r="J1177" i="50"/>
  <c r="H1179" i="50" s="1"/>
  <c r="I1177" i="50"/>
  <c r="V1175" i="50"/>
  <c r="U1175" i="50"/>
  <c r="T1175" i="50"/>
  <c r="S1175" i="50"/>
  <c r="R1175" i="50"/>
  <c r="Q1175" i="50"/>
  <c r="N1175" i="50"/>
  <c r="V1174" i="50"/>
  <c r="U1174" i="50"/>
  <c r="T1174" i="50"/>
  <c r="S1174" i="50"/>
  <c r="R1174" i="50"/>
  <c r="P1174" i="50"/>
  <c r="J1174" i="50"/>
  <c r="I1174" i="50"/>
  <c r="V1173" i="50"/>
  <c r="U1173" i="50"/>
  <c r="T1173" i="50"/>
  <c r="S1173" i="50"/>
  <c r="R1173" i="50"/>
  <c r="P1173" i="50"/>
  <c r="J1173" i="50"/>
  <c r="H1175" i="50" s="1"/>
  <c r="I1173" i="50"/>
  <c r="V1170" i="50"/>
  <c r="U1170" i="50"/>
  <c r="T1170" i="50"/>
  <c r="S1170" i="50"/>
  <c r="R1170" i="50"/>
  <c r="Q1170" i="50"/>
  <c r="N1170" i="50"/>
  <c r="V1169" i="50"/>
  <c r="U1169" i="50"/>
  <c r="T1169" i="50"/>
  <c r="S1169" i="50"/>
  <c r="R1169" i="50"/>
  <c r="P1169" i="50"/>
  <c r="J1169" i="50"/>
  <c r="I1169" i="50"/>
  <c r="V1168" i="50"/>
  <c r="U1168" i="50"/>
  <c r="T1168" i="50"/>
  <c r="S1168" i="50"/>
  <c r="R1168" i="50"/>
  <c r="P1168" i="50"/>
  <c r="J1168" i="50"/>
  <c r="H1170" i="50" s="1"/>
  <c r="I1168" i="50"/>
  <c r="V1166" i="50"/>
  <c r="U1166" i="50"/>
  <c r="T1166" i="50"/>
  <c r="S1166" i="50"/>
  <c r="R1166" i="50"/>
  <c r="Q1166" i="50"/>
  <c r="N1166" i="50"/>
  <c r="O1166" i="50" s="1"/>
  <c r="V1165" i="50"/>
  <c r="U1165" i="50"/>
  <c r="T1165" i="50"/>
  <c r="S1165" i="50"/>
  <c r="R1165" i="50"/>
  <c r="P1165" i="50"/>
  <c r="J1165" i="50"/>
  <c r="I1165" i="50"/>
  <c r="V1164" i="50"/>
  <c r="U1164" i="50"/>
  <c r="T1164" i="50"/>
  <c r="S1164" i="50"/>
  <c r="R1164" i="50"/>
  <c r="P1164" i="50"/>
  <c r="J1164" i="50"/>
  <c r="H1166" i="50" s="1"/>
  <c r="I1164" i="50"/>
  <c r="V1161" i="50"/>
  <c r="U1161" i="50"/>
  <c r="T1161" i="50"/>
  <c r="S1161" i="50"/>
  <c r="R1161" i="50"/>
  <c r="Q1161" i="50"/>
  <c r="N1161" i="50"/>
  <c r="O1161" i="50" s="1"/>
  <c r="V1160" i="50"/>
  <c r="U1160" i="50"/>
  <c r="T1160" i="50"/>
  <c r="S1160" i="50"/>
  <c r="R1160" i="50"/>
  <c r="P1160" i="50"/>
  <c r="J1160" i="50"/>
  <c r="I1160" i="50"/>
  <c r="V1159" i="50"/>
  <c r="U1159" i="50"/>
  <c r="T1159" i="50"/>
  <c r="S1159" i="50"/>
  <c r="R1159" i="50"/>
  <c r="P1159" i="50"/>
  <c r="J1159" i="50"/>
  <c r="H1161" i="50" s="1"/>
  <c r="I1159" i="50"/>
  <c r="V1157" i="50"/>
  <c r="U1157" i="50"/>
  <c r="T1157" i="50"/>
  <c r="S1157" i="50"/>
  <c r="R1157" i="50"/>
  <c r="Q1157" i="50"/>
  <c r="N1157" i="50"/>
  <c r="O1157" i="50" s="1"/>
  <c r="V1156" i="50"/>
  <c r="U1156" i="50"/>
  <c r="T1156" i="50"/>
  <c r="S1156" i="50"/>
  <c r="R1156" i="50"/>
  <c r="P1156" i="50"/>
  <c r="J1156" i="50"/>
  <c r="I1156" i="50"/>
  <c r="V1155" i="50"/>
  <c r="U1155" i="50"/>
  <c r="T1155" i="50"/>
  <c r="S1155" i="50"/>
  <c r="R1155" i="50"/>
  <c r="P1155" i="50"/>
  <c r="J1155" i="50"/>
  <c r="H1157" i="50" s="1"/>
  <c r="I1155" i="50"/>
  <c r="V1153" i="50"/>
  <c r="U1153" i="50"/>
  <c r="T1153" i="50"/>
  <c r="S1153" i="50"/>
  <c r="R1153" i="50"/>
  <c r="Q1153" i="50"/>
  <c r="N1153" i="50"/>
  <c r="O1153" i="50" s="1"/>
  <c r="V1152" i="50"/>
  <c r="U1152" i="50"/>
  <c r="T1152" i="50"/>
  <c r="S1152" i="50"/>
  <c r="R1152" i="50"/>
  <c r="P1152" i="50"/>
  <c r="J1152" i="50"/>
  <c r="I1152" i="50"/>
  <c r="V1151" i="50"/>
  <c r="U1151" i="50"/>
  <c r="T1151" i="50"/>
  <c r="S1151" i="50"/>
  <c r="R1151" i="50"/>
  <c r="P1151" i="50"/>
  <c r="J1151" i="50"/>
  <c r="H1153" i="50" s="1"/>
  <c r="I1151" i="50"/>
  <c r="V1149" i="50"/>
  <c r="U1149" i="50"/>
  <c r="T1149" i="50"/>
  <c r="S1149" i="50"/>
  <c r="R1149" i="50"/>
  <c r="Q1149" i="50"/>
  <c r="N1149" i="50"/>
  <c r="O1149" i="50" s="1"/>
  <c r="V1148" i="50"/>
  <c r="U1148" i="50"/>
  <c r="T1148" i="50"/>
  <c r="S1148" i="50"/>
  <c r="R1148" i="50"/>
  <c r="P1148" i="50"/>
  <c r="J1148" i="50"/>
  <c r="I1148" i="50"/>
  <c r="V1147" i="50"/>
  <c r="U1147" i="50"/>
  <c r="T1147" i="50"/>
  <c r="S1147" i="50"/>
  <c r="R1147" i="50"/>
  <c r="P1147" i="50"/>
  <c r="J1147" i="50"/>
  <c r="H1149" i="50" s="1"/>
  <c r="I1147" i="50"/>
  <c r="V1145" i="50"/>
  <c r="U1145" i="50"/>
  <c r="T1145" i="50"/>
  <c r="S1145" i="50"/>
  <c r="R1145" i="50"/>
  <c r="Q1145" i="50"/>
  <c r="N1145" i="50"/>
  <c r="O1145" i="50" s="1"/>
  <c r="V1144" i="50"/>
  <c r="U1144" i="50"/>
  <c r="T1144" i="50"/>
  <c r="S1144" i="50"/>
  <c r="R1144" i="50"/>
  <c r="P1144" i="50"/>
  <c r="J1144" i="50"/>
  <c r="I1144" i="50"/>
  <c r="V1143" i="50"/>
  <c r="U1143" i="50"/>
  <c r="T1143" i="50"/>
  <c r="S1143" i="50"/>
  <c r="R1143" i="50"/>
  <c r="P1143" i="50"/>
  <c r="J1143" i="50"/>
  <c r="H1145" i="50" s="1"/>
  <c r="I1143" i="50"/>
  <c r="V1141" i="50"/>
  <c r="U1141" i="50"/>
  <c r="T1141" i="50"/>
  <c r="S1141" i="50"/>
  <c r="R1141" i="50"/>
  <c r="Q1141" i="50"/>
  <c r="N1141" i="50"/>
  <c r="O1141" i="50" s="1"/>
  <c r="V1140" i="50"/>
  <c r="U1140" i="50"/>
  <c r="T1140" i="50"/>
  <c r="S1140" i="50"/>
  <c r="R1140" i="50"/>
  <c r="P1140" i="50"/>
  <c r="J1140" i="50"/>
  <c r="I1140" i="50"/>
  <c r="V1139" i="50"/>
  <c r="U1139" i="50"/>
  <c r="T1139" i="50"/>
  <c r="S1139" i="50"/>
  <c r="R1139" i="50"/>
  <c r="P1139" i="50"/>
  <c r="J1139" i="50"/>
  <c r="H1141" i="50" s="1"/>
  <c r="I1139" i="50"/>
  <c r="V1138" i="50"/>
  <c r="U1138" i="50"/>
  <c r="T1138" i="50"/>
  <c r="S1138" i="50"/>
  <c r="R1138" i="50"/>
  <c r="Q1138" i="50"/>
  <c r="P1138" i="50"/>
  <c r="N1138" i="50"/>
  <c r="O1138" i="50" s="1"/>
  <c r="V1137" i="50"/>
  <c r="U1137" i="50"/>
  <c r="T1137" i="50"/>
  <c r="S1137" i="50"/>
  <c r="R1137" i="50"/>
  <c r="Q1137" i="50"/>
  <c r="N1137" i="50"/>
  <c r="O1137" i="50" s="1"/>
  <c r="V1136" i="50"/>
  <c r="U1136" i="50"/>
  <c r="T1136" i="50"/>
  <c r="S1136" i="50"/>
  <c r="R1136" i="50"/>
  <c r="P1136" i="50"/>
  <c r="J1136" i="50"/>
  <c r="I1136" i="50"/>
  <c r="V1135" i="50"/>
  <c r="U1135" i="50"/>
  <c r="T1135" i="50"/>
  <c r="S1135" i="50"/>
  <c r="R1135" i="50"/>
  <c r="P1135" i="50"/>
  <c r="J1135" i="50"/>
  <c r="H1137" i="50" s="1"/>
  <c r="I1135" i="50"/>
  <c r="V1134" i="50"/>
  <c r="U1134" i="50"/>
  <c r="T1134" i="50"/>
  <c r="S1134" i="50"/>
  <c r="R1134" i="50"/>
  <c r="Q1134" i="50"/>
  <c r="P1134" i="50"/>
  <c r="N1134" i="50"/>
  <c r="O1134" i="50" s="1"/>
  <c r="V1133" i="50"/>
  <c r="U1133" i="50"/>
  <c r="T1133" i="50"/>
  <c r="S1133" i="50"/>
  <c r="R1133" i="50"/>
  <c r="Q1133" i="50"/>
  <c r="N1133" i="50"/>
  <c r="O1133" i="50" s="1"/>
  <c r="V1132" i="50"/>
  <c r="U1132" i="50"/>
  <c r="T1132" i="50"/>
  <c r="S1132" i="50"/>
  <c r="R1132" i="50"/>
  <c r="P1132" i="50"/>
  <c r="J1132" i="50"/>
  <c r="I1132" i="50"/>
  <c r="N1132" i="50" s="1"/>
  <c r="V1131" i="50"/>
  <c r="U1131" i="50"/>
  <c r="T1131" i="50"/>
  <c r="S1131" i="50"/>
  <c r="R1131" i="50"/>
  <c r="P1131" i="50"/>
  <c r="J1131" i="50"/>
  <c r="H1133" i="50" s="1"/>
  <c r="I1131" i="50"/>
  <c r="N1131" i="50" s="1"/>
  <c r="V1130" i="50"/>
  <c r="U1130" i="50"/>
  <c r="T1130" i="50"/>
  <c r="S1130" i="50"/>
  <c r="R1130" i="50"/>
  <c r="Q1130" i="50"/>
  <c r="P1130" i="50"/>
  <c r="N1130" i="50"/>
  <c r="O1130" i="50" s="1"/>
  <c r="V1116" i="50"/>
  <c r="U1116" i="50"/>
  <c r="T1116" i="50"/>
  <c r="S1116" i="50"/>
  <c r="R1116" i="50"/>
  <c r="Q1116" i="50"/>
  <c r="P1116" i="50"/>
  <c r="V1114" i="50"/>
  <c r="U1114" i="50"/>
  <c r="T1114" i="50"/>
  <c r="S1114" i="50"/>
  <c r="R1114" i="50"/>
  <c r="Q1114" i="50"/>
  <c r="P1114" i="50"/>
  <c r="N1114" i="50"/>
  <c r="O1114" i="50" s="1"/>
  <c r="V1113" i="50"/>
  <c r="U1113" i="50"/>
  <c r="T1113" i="50"/>
  <c r="S1113" i="50"/>
  <c r="R1113" i="50"/>
  <c r="Q1113" i="50"/>
  <c r="P1113" i="50"/>
  <c r="N1113" i="50"/>
  <c r="O1113" i="50" s="1"/>
  <c r="V1112" i="50"/>
  <c r="U1112" i="50"/>
  <c r="T1112" i="50"/>
  <c r="S1112" i="50"/>
  <c r="R1112" i="50"/>
  <c r="Q1112" i="50"/>
  <c r="P1112" i="50"/>
  <c r="N1112" i="50"/>
  <c r="O1112" i="50" s="1"/>
  <c r="V1111" i="50"/>
  <c r="U1111" i="50"/>
  <c r="T1111" i="50"/>
  <c r="S1111" i="50"/>
  <c r="R1111" i="50"/>
  <c r="Q1111" i="50"/>
  <c r="P1111" i="50"/>
  <c r="N1111" i="50"/>
  <c r="O1111" i="50" s="1"/>
  <c r="V1110" i="50"/>
  <c r="U1110" i="50"/>
  <c r="T1110" i="50"/>
  <c r="S1110" i="50"/>
  <c r="R1110" i="50"/>
  <c r="Q1110" i="50"/>
  <c r="P1110" i="50"/>
  <c r="N1110" i="50"/>
  <c r="O1110" i="50" s="1"/>
  <c r="V1109" i="50"/>
  <c r="U1109" i="50"/>
  <c r="T1109" i="50"/>
  <c r="S1109" i="50"/>
  <c r="R1109" i="50"/>
  <c r="Q1109" i="50"/>
  <c r="P1109" i="50"/>
  <c r="N1109" i="50"/>
  <c r="O1109" i="50" s="1"/>
  <c r="V1108" i="50"/>
  <c r="U1108" i="50"/>
  <c r="T1108" i="50"/>
  <c r="S1108" i="50"/>
  <c r="R1108" i="50"/>
  <c r="P1108" i="50"/>
  <c r="J1108" i="50"/>
  <c r="N1108" i="50" s="1"/>
  <c r="V1107" i="50"/>
  <c r="U1107" i="50"/>
  <c r="T1107" i="50"/>
  <c r="S1107" i="50"/>
  <c r="R1107" i="50"/>
  <c r="Q1107" i="50"/>
  <c r="J1107" i="50"/>
  <c r="N1107" i="50" s="1"/>
  <c r="V1106" i="50"/>
  <c r="U1106" i="50"/>
  <c r="T1106" i="50"/>
  <c r="S1106" i="50"/>
  <c r="R1106" i="50"/>
  <c r="P1106" i="50"/>
  <c r="J1106" i="50"/>
  <c r="I1106" i="50"/>
  <c r="V1105" i="50"/>
  <c r="U1105" i="50"/>
  <c r="T1105" i="50"/>
  <c r="S1105" i="50"/>
  <c r="R1105" i="50"/>
  <c r="P1105" i="50"/>
  <c r="N1105" i="50"/>
  <c r="J1105" i="50"/>
  <c r="H1105" i="50"/>
  <c r="V1104" i="50"/>
  <c r="U1104" i="50"/>
  <c r="T1104" i="50"/>
  <c r="S1104" i="50"/>
  <c r="R1104" i="50"/>
  <c r="P1104" i="50"/>
  <c r="N1104" i="50"/>
  <c r="O1104" i="50" s="1"/>
  <c r="Q1104" i="50" s="1"/>
  <c r="K1104" i="50"/>
  <c r="V1103" i="50"/>
  <c r="U1103" i="50"/>
  <c r="T1103" i="50"/>
  <c r="S1103" i="50"/>
  <c r="R1103" i="50"/>
  <c r="P1103" i="50"/>
  <c r="N1103" i="50"/>
  <c r="O1103" i="50" s="1"/>
  <c r="Q1103" i="50" s="1"/>
  <c r="K1103" i="50"/>
  <c r="V1102" i="50"/>
  <c r="U1102" i="50"/>
  <c r="T1102" i="50"/>
  <c r="S1102" i="50"/>
  <c r="R1102" i="50"/>
  <c r="Q1102" i="50"/>
  <c r="P1102" i="50"/>
  <c r="N1102" i="50"/>
  <c r="O1102" i="50" s="1"/>
  <c r="V1101" i="50"/>
  <c r="U1101" i="50"/>
  <c r="T1101" i="50"/>
  <c r="S1101" i="50"/>
  <c r="R1101" i="50"/>
  <c r="Q1101" i="50"/>
  <c r="P1101" i="50"/>
  <c r="N1101" i="50"/>
  <c r="O1101" i="50" s="1"/>
  <c r="V1100" i="50"/>
  <c r="U1100" i="50"/>
  <c r="T1100" i="50"/>
  <c r="S1100" i="50"/>
  <c r="R1100" i="50"/>
  <c r="P1100" i="50"/>
  <c r="L1100" i="50"/>
  <c r="J1100" i="50"/>
  <c r="V1099" i="50"/>
  <c r="U1099" i="50"/>
  <c r="T1099" i="50"/>
  <c r="S1099" i="50"/>
  <c r="R1099" i="50"/>
  <c r="P1099" i="50"/>
  <c r="K1099" i="50"/>
  <c r="J1099" i="50"/>
  <c r="N1099" i="50" s="1"/>
  <c r="H1099" i="50"/>
  <c r="V1098" i="50"/>
  <c r="U1098" i="50"/>
  <c r="T1098" i="50"/>
  <c r="S1098" i="50"/>
  <c r="R1098" i="50"/>
  <c r="P1098" i="50"/>
  <c r="J1098" i="50"/>
  <c r="I1098" i="50"/>
  <c r="V1097" i="50"/>
  <c r="U1097" i="50"/>
  <c r="T1097" i="50"/>
  <c r="S1097" i="50"/>
  <c r="R1097" i="50"/>
  <c r="Q1097" i="50"/>
  <c r="P1097" i="50"/>
  <c r="N1097" i="50"/>
  <c r="O1097" i="50" s="1"/>
  <c r="V1096" i="50"/>
  <c r="U1096" i="50"/>
  <c r="T1096" i="50"/>
  <c r="S1096" i="50"/>
  <c r="R1096" i="50"/>
  <c r="P1096" i="50"/>
  <c r="J1096" i="50"/>
  <c r="N1096" i="50" s="1"/>
  <c r="H1096" i="50"/>
  <c r="V1095" i="50"/>
  <c r="U1095" i="50"/>
  <c r="T1095" i="50"/>
  <c r="S1095" i="50"/>
  <c r="R1095" i="50"/>
  <c r="P1095" i="50"/>
  <c r="J1095" i="50"/>
  <c r="I1095" i="50"/>
  <c r="V1094" i="50"/>
  <c r="U1094" i="50"/>
  <c r="T1094" i="50"/>
  <c r="S1094" i="50"/>
  <c r="R1094" i="50"/>
  <c r="Q1094" i="50"/>
  <c r="P1094" i="50"/>
  <c r="N1094" i="50"/>
  <c r="O1094" i="50" s="1"/>
  <c r="V1093" i="50"/>
  <c r="U1093" i="50"/>
  <c r="T1093" i="50"/>
  <c r="S1093" i="50"/>
  <c r="R1093" i="50"/>
  <c r="Q1093" i="50"/>
  <c r="P1093" i="50"/>
  <c r="N1093" i="50"/>
  <c r="O1093" i="50" s="1"/>
  <c r="V1092" i="50"/>
  <c r="U1092" i="50"/>
  <c r="T1092" i="50"/>
  <c r="S1092" i="50"/>
  <c r="R1092" i="50"/>
  <c r="Q1092" i="50"/>
  <c r="P1092" i="50"/>
  <c r="N1092" i="50"/>
  <c r="O1092" i="50" s="1"/>
  <c r="V1091" i="50"/>
  <c r="U1091" i="50"/>
  <c r="T1091" i="50"/>
  <c r="S1091" i="50"/>
  <c r="R1091" i="50"/>
  <c r="Q1091" i="50"/>
  <c r="P1091" i="50"/>
  <c r="N1091" i="50"/>
  <c r="O1091" i="50" s="1"/>
  <c r="V1090" i="50"/>
  <c r="U1090" i="50"/>
  <c r="T1090" i="50"/>
  <c r="S1090" i="50"/>
  <c r="R1090" i="50"/>
  <c r="Q1090" i="50"/>
  <c r="P1090" i="50"/>
  <c r="N1090" i="50"/>
  <c r="O1090" i="50" s="1"/>
  <c r="V1089" i="50"/>
  <c r="U1089" i="50"/>
  <c r="T1089" i="50"/>
  <c r="S1089" i="50"/>
  <c r="R1089" i="50"/>
  <c r="Q1089" i="50"/>
  <c r="P1089" i="50"/>
  <c r="N1089" i="50"/>
  <c r="O1089" i="50" s="1"/>
  <c r="V1088" i="50"/>
  <c r="U1088" i="50"/>
  <c r="T1088" i="50"/>
  <c r="S1088" i="50"/>
  <c r="R1088" i="50"/>
  <c r="Q1088" i="50"/>
  <c r="P1088" i="50"/>
  <c r="N1088" i="50"/>
  <c r="O1088" i="50" s="1"/>
  <c r="V1087" i="50"/>
  <c r="U1087" i="50"/>
  <c r="T1087" i="50"/>
  <c r="S1087" i="50"/>
  <c r="R1087" i="50"/>
  <c r="Q1087" i="50"/>
  <c r="J1087" i="50"/>
  <c r="N1087" i="50" s="1"/>
  <c r="G1087" i="50"/>
  <c r="V1086" i="50"/>
  <c r="U1086" i="50"/>
  <c r="T1086" i="50"/>
  <c r="S1086" i="50"/>
  <c r="R1086" i="50"/>
  <c r="Q1086" i="50"/>
  <c r="J1086" i="50"/>
  <c r="I1086" i="50"/>
  <c r="N1086" i="50" s="1"/>
  <c r="H1086" i="50"/>
  <c r="V1085" i="50"/>
  <c r="U1085" i="50"/>
  <c r="T1085" i="50"/>
  <c r="S1085" i="50"/>
  <c r="R1085" i="50"/>
  <c r="Q1085" i="50"/>
  <c r="J1085" i="50"/>
  <c r="I1085" i="50"/>
  <c r="H1085" i="50"/>
  <c r="V1084" i="50"/>
  <c r="U1084" i="50"/>
  <c r="T1084" i="50"/>
  <c r="S1084" i="50"/>
  <c r="R1084" i="50"/>
  <c r="Q1084" i="50"/>
  <c r="N1084" i="50"/>
  <c r="J1084" i="50"/>
  <c r="H1084" i="50"/>
  <c r="V1083" i="50"/>
  <c r="U1083" i="50"/>
  <c r="T1083" i="50"/>
  <c r="S1083" i="50"/>
  <c r="R1083" i="50"/>
  <c r="Q1083" i="50"/>
  <c r="P1083" i="50"/>
  <c r="N1083" i="50"/>
  <c r="O1083" i="50" s="1"/>
  <c r="V1082" i="50"/>
  <c r="U1082" i="50"/>
  <c r="T1082" i="50"/>
  <c r="S1082" i="50"/>
  <c r="R1082" i="50"/>
  <c r="Q1082" i="50"/>
  <c r="P1082" i="50"/>
  <c r="N1082" i="50"/>
  <c r="O1082" i="50" s="1"/>
  <c r="V1081" i="50"/>
  <c r="U1081" i="50"/>
  <c r="T1081" i="50"/>
  <c r="S1081" i="50"/>
  <c r="R1081" i="50"/>
  <c r="P1081" i="50"/>
  <c r="L1081" i="50"/>
  <c r="J1081" i="50"/>
  <c r="N1081" i="50" s="1"/>
  <c r="V1080" i="50"/>
  <c r="U1080" i="50"/>
  <c r="T1080" i="50"/>
  <c r="S1080" i="50"/>
  <c r="R1080" i="50"/>
  <c r="Q1080" i="50"/>
  <c r="J1080" i="50"/>
  <c r="N1080" i="50" s="1"/>
  <c r="H1080" i="50"/>
  <c r="V1079" i="50"/>
  <c r="U1079" i="50"/>
  <c r="T1079" i="50"/>
  <c r="S1079" i="50"/>
  <c r="R1079" i="50"/>
  <c r="Q1079" i="50"/>
  <c r="J1079" i="50"/>
  <c r="N1079" i="50" s="1"/>
  <c r="H1079" i="50"/>
  <c r="V1078" i="50"/>
  <c r="U1078" i="50"/>
  <c r="T1078" i="50"/>
  <c r="S1078" i="50"/>
  <c r="R1078" i="50"/>
  <c r="Q1078" i="50"/>
  <c r="P1078" i="50"/>
  <c r="N1078" i="50"/>
  <c r="O1078" i="50" s="1"/>
  <c r="V1077" i="50"/>
  <c r="U1077" i="50"/>
  <c r="T1077" i="50"/>
  <c r="S1077" i="50"/>
  <c r="R1077" i="50"/>
  <c r="Q1077" i="50"/>
  <c r="J1077" i="50"/>
  <c r="N1077" i="50" s="1"/>
  <c r="H1077" i="50"/>
  <c r="V1076" i="50"/>
  <c r="U1076" i="50"/>
  <c r="T1076" i="50"/>
  <c r="S1076" i="50"/>
  <c r="R1076" i="50"/>
  <c r="Q1076" i="50"/>
  <c r="J1076" i="50"/>
  <c r="N1076" i="50" s="1"/>
  <c r="H1076" i="50"/>
  <c r="V1075" i="50"/>
  <c r="U1075" i="50"/>
  <c r="T1075" i="50"/>
  <c r="S1075" i="50"/>
  <c r="R1075" i="50"/>
  <c r="Q1075" i="50"/>
  <c r="P1075" i="50"/>
  <c r="N1075" i="50"/>
  <c r="O1075" i="50" s="1"/>
  <c r="V1074" i="50"/>
  <c r="U1074" i="50"/>
  <c r="T1074" i="50"/>
  <c r="S1074" i="50"/>
  <c r="R1074" i="50"/>
  <c r="Q1074" i="50"/>
  <c r="P1074" i="50"/>
  <c r="N1074" i="50"/>
  <c r="O1074" i="50" s="1"/>
  <c r="V1073" i="50"/>
  <c r="U1073" i="50"/>
  <c r="T1073" i="50"/>
  <c r="S1073" i="50"/>
  <c r="R1073" i="50"/>
  <c r="Q1073" i="50"/>
  <c r="P1073" i="50"/>
  <c r="N1073" i="50"/>
  <c r="O1073" i="50" s="1"/>
  <c r="V1072" i="50"/>
  <c r="U1072" i="50"/>
  <c r="T1072" i="50"/>
  <c r="S1072" i="50"/>
  <c r="R1072" i="50"/>
  <c r="Q1072" i="50"/>
  <c r="J1072" i="50"/>
  <c r="N1072" i="50" s="1"/>
  <c r="G1072" i="50"/>
  <c r="V1071" i="50"/>
  <c r="U1071" i="50"/>
  <c r="T1071" i="50"/>
  <c r="S1071" i="50"/>
  <c r="R1071" i="50"/>
  <c r="Q1071" i="50"/>
  <c r="J1071" i="50"/>
  <c r="I1071" i="50"/>
  <c r="H1071" i="50"/>
  <c r="G1071" i="50"/>
  <c r="V1070" i="50"/>
  <c r="U1070" i="50"/>
  <c r="T1070" i="50"/>
  <c r="S1070" i="50"/>
  <c r="R1070" i="50"/>
  <c r="Q1070" i="50"/>
  <c r="J1070" i="50"/>
  <c r="I1070" i="50"/>
  <c r="H1070" i="50"/>
  <c r="G1070" i="50"/>
  <c r="V1069" i="50"/>
  <c r="U1069" i="50"/>
  <c r="T1069" i="50"/>
  <c r="S1069" i="50"/>
  <c r="R1069" i="50"/>
  <c r="Q1069" i="50"/>
  <c r="J1069" i="50"/>
  <c r="N1069" i="50" s="1"/>
  <c r="H1069" i="50"/>
  <c r="G1069" i="50"/>
  <c r="V1068" i="50"/>
  <c r="U1068" i="50"/>
  <c r="T1068" i="50"/>
  <c r="S1068" i="50"/>
  <c r="R1068" i="50"/>
  <c r="Q1068" i="50"/>
  <c r="P1068" i="50"/>
  <c r="N1068" i="50"/>
  <c r="O1068" i="50" s="1"/>
  <c r="V1067" i="50"/>
  <c r="U1067" i="50"/>
  <c r="T1067" i="50"/>
  <c r="S1067" i="50"/>
  <c r="R1067" i="50"/>
  <c r="Q1067" i="50"/>
  <c r="P1067" i="50"/>
  <c r="N1067" i="50"/>
  <c r="O1067" i="50" s="1"/>
  <c r="V1066" i="50"/>
  <c r="U1066" i="50"/>
  <c r="T1066" i="50"/>
  <c r="S1066" i="50"/>
  <c r="R1066" i="50"/>
  <c r="P1066" i="50"/>
  <c r="L1066" i="50"/>
  <c r="J1066" i="50"/>
  <c r="V1065" i="50"/>
  <c r="U1065" i="50"/>
  <c r="T1065" i="50"/>
  <c r="S1065" i="50"/>
  <c r="R1065" i="50"/>
  <c r="Q1065" i="50"/>
  <c r="J1065" i="50"/>
  <c r="N1065" i="50" s="1"/>
  <c r="H1065" i="50"/>
  <c r="V1064" i="50"/>
  <c r="U1064" i="50"/>
  <c r="T1064" i="50"/>
  <c r="S1064" i="50"/>
  <c r="R1064" i="50"/>
  <c r="Q1064" i="50"/>
  <c r="J1064" i="50"/>
  <c r="N1064" i="50" s="1"/>
  <c r="H1064" i="50"/>
  <c r="V1063" i="50"/>
  <c r="U1063" i="50"/>
  <c r="T1063" i="50"/>
  <c r="S1063" i="50"/>
  <c r="R1063" i="50"/>
  <c r="Q1063" i="50"/>
  <c r="P1063" i="50"/>
  <c r="N1063" i="50"/>
  <c r="O1063" i="50" s="1"/>
  <c r="V1062" i="50"/>
  <c r="U1062" i="50"/>
  <c r="T1062" i="50"/>
  <c r="S1062" i="50"/>
  <c r="R1062" i="50"/>
  <c r="Q1062" i="50"/>
  <c r="J1062" i="50"/>
  <c r="N1062" i="50" s="1"/>
  <c r="H1062" i="50"/>
  <c r="V1061" i="50"/>
  <c r="U1061" i="50"/>
  <c r="T1061" i="50"/>
  <c r="S1061" i="50"/>
  <c r="R1061" i="50"/>
  <c r="Q1061" i="50"/>
  <c r="J1061" i="50"/>
  <c r="N1061" i="50" s="1"/>
  <c r="H1061" i="50"/>
  <c r="V1060" i="50"/>
  <c r="U1060" i="50"/>
  <c r="T1060" i="50"/>
  <c r="S1060" i="50"/>
  <c r="R1060" i="50"/>
  <c r="Q1060" i="50"/>
  <c r="P1060" i="50"/>
  <c r="N1060" i="50"/>
  <c r="O1060" i="50" s="1"/>
  <c r="V1059" i="50"/>
  <c r="U1059" i="50"/>
  <c r="T1059" i="50"/>
  <c r="S1059" i="50"/>
  <c r="R1059" i="50"/>
  <c r="Q1059" i="50"/>
  <c r="P1059" i="50"/>
  <c r="N1059" i="50"/>
  <c r="O1059" i="50" s="1"/>
  <c r="V1058" i="50"/>
  <c r="U1058" i="50"/>
  <c r="T1058" i="50"/>
  <c r="S1058" i="50"/>
  <c r="R1058" i="50"/>
  <c r="Q1058" i="50"/>
  <c r="P1058" i="50"/>
  <c r="N1058" i="50"/>
  <c r="O1058" i="50" s="1"/>
  <c r="V1057" i="50"/>
  <c r="U1057" i="50"/>
  <c r="T1057" i="50"/>
  <c r="S1057" i="50"/>
  <c r="R1057" i="50"/>
  <c r="Q1057" i="50"/>
  <c r="P1057" i="50"/>
  <c r="N1057" i="50"/>
  <c r="O1057" i="50" s="1"/>
  <c r="V1056" i="50"/>
  <c r="U1056" i="50"/>
  <c r="T1056" i="50"/>
  <c r="S1056" i="50"/>
  <c r="R1056" i="50"/>
  <c r="Q1056" i="50"/>
  <c r="P1056" i="50"/>
  <c r="N1056" i="50"/>
  <c r="O1056" i="50" s="1"/>
  <c r="V1055" i="50"/>
  <c r="U1055" i="50"/>
  <c r="T1055" i="50"/>
  <c r="S1055" i="50"/>
  <c r="R1055" i="50"/>
  <c r="Q1055" i="50"/>
  <c r="J1055" i="50"/>
  <c r="N1055" i="50" s="1"/>
  <c r="G1055" i="50"/>
  <c r="V1054" i="50"/>
  <c r="U1054" i="50"/>
  <c r="T1054" i="50"/>
  <c r="S1054" i="50"/>
  <c r="R1054" i="50"/>
  <c r="Q1054" i="50"/>
  <c r="J1054" i="50"/>
  <c r="I1054" i="50"/>
  <c r="H1054" i="50"/>
  <c r="G1054" i="50"/>
  <c r="V1053" i="50"/>
  <c r="U1053" i="50"/>
  <c r="T1053" i="50"/>
  <c r="S1053" i="50"/>
  <c r="R1053" i="50"/>
  <c r="Q1053" i="50"/>
  <c r="J1053" i="50"/>
  <c r="I1053" i="50"/>
  <c r="N1053" i="50" s="1"/>
  <c r="H1053" i="50"/>
  <c r="G1053" i="50"/>
  <c r="V1052" i="50"/>
  <c r="U1052" i="50"/>
  <c r="T1052" i="50"/>
  <c r="S1052" i="50"/>
  <c r="R1052" i="50"/>
  <c r="Q1052" i="50"/>
  <c r="J1052" i="50"/>
  <c r="N1052" i="50" s="1"/>
  <c r="G1052" i="50"/>
  <c r="V1051" i="50"/>
  <c r="U1051" i="50"/>
  <c r="T1051" i="50"/>
  <c r="S1051" i="50"/>
  <c r="R1051" i="50"/>
  <c r="Q1051" i="50"/>
  <c r="P1051" i="50"/>
  <c r="N1051" i="50"/>
  <c r="O1051" i="50" s="1"/>
  <c r="V1050" i="50"/>
  <c r="U1050" i="50"/>
  <c r="T1050" i="50"/>
  <c r="S1050" i="50"/>
  <c r="R1050" i="50"/>
  <c r="Q1050" i="50"/>
  <c r="P1050" i="50"/>
  <c r="N1050" i="50"/>
  <c r="O1050" i="50" s="1"/>
  <c r="V1049" i="50"/>
  <c r="U1049" i="50"/>
  <c r="T1049" i="50"/>
  <c r="S1049" i="50"/>
  <c r="R1049" i="50"/>
  <c r="P1049" i="50"/>
  <c r="L1049" i="50"/>
  <c r="J1049" i="50"/>
  <c r="V1048" i="50"/>
  <c r="U1048" i="50"/>
  <c r="T1048" i="50"/>
  <c r="S1048" i="50"/>
  <c r="R1048" i="50"/>
  <c r="Q1048" i="50"/>
  <c r="J1048" i="50"/>
  <c r="N1048" i="50" s="1"/>
  <c r="H1048" i="50"/>
  <c r="V1047" i="50"/>
  <c r="U1047" i="50"/>
  <c r="T1047" i="50"/>
  <c r="S1047" i="50"/>
  <c r="R1047" i="50"/>
  <c r="Q1047" i="50"/>
  <c r="N1047" i="50"/>
  <c r="J1047" i="50"/>
  <c r="H1047" i="50"/>
  <c r="V1046" i="50"/>
  <c r="U1046" i="50"/>
  <c r="T1046" i="50"/>
  <c r="S1046" i="50"/>
  <c r="R1046" i="50"/>
  <c r="Q1046" i="50"/>
  <c r="P1046" i="50"/>
  <c r="N1046" i="50"/>
  <c r="O1046" i="50" s="1"/>
  <c r="V1045" i="50"/>
  <c r="U1045" i="50"/>
  <c r="T1045" i="50"/>
  <c r="S1045" i="50"/>
  <c r="R1045" i="50"/>
  <c r="Q1045" i="50"/>
  <c r="J1045" i="50"/>
  <c r="N1045" i="50" s="1"/>
  <c r="H1045" i="50"/>
  <c r="V1044" i="50"/>
  <c r="U1044" i="50"/>
  <c r="T1044" i="50"/>
  <c r="S1044" i="50"/>
  <c r="R1044" i="50"/>
  <c r="Q1044" i="50"/>
  <c r="J1044" i="50"/>
  <c r="N1044" i="50" s="1"/>
  <c r="H1044" i="50"/>
  <c r="V1043" i="50"/>
  <c r="U1043" i="50"/>
  <c r="T1043" i="50"/>
  <c r="S1043" i="50"/>
  <c r="R1043" i="50"/>
  <c r="Q1043" i="50"/>
  <c r="P1043" i="50"/>
  <c r="N1043" i="50"/>
  <c r="O1043" i="50" s="1"/>
  <c r="V1042" i="50"/>
  <c r="U1042" i="50"/>
  <c r="T1042" i="50"/>
  <c r="S1042" i="50"/>
  <c r="R1042" i="50"/>
  <c r="Q1042" i="50"/>
  <c r="P1042" i="50"/>
  <c r="N1042" i="50"/>
  <c r="O1042" i="50" s="1"/>
  <c r="V1041" i="50"/>
  <c r="U1041" i="50"/>
  <c r="T1041" i="50"/>
  <c r="S1041" i="50"/>
  <c r="R1041" i="50"/>
  <c r="Q1041" i="50"/>
  <c r="P1041" i="50"/>
  <c r="N1041" i="50"/>
  <c r="O1041" i="50" s="1"/>
  <c r="V1040" i="50"/>
  <c r="U1040" i="50"/>
  <c r="T1040" i="50"/>
  <c r="S1040" i="50"/>
  <c r="R1040" i="50"/>
  <c r="Q1040" i="50"/>
  <c r="J1040" i="50"/>
  <c r="N1040" i="50" s="1"/>
  <c r="G1040" i="50"/>
  <c r="V1039" i="50"/>
  <c r="U1039" i="50"/>
  <c r="T1039" i="50"/>
  <c r="S1039" i="50"/>
  <c r="R1039" i="50"/>
  <c r="Q1039" i="50"/>
  <c r="J1039" i="50"/>
  <c r="I1039" i="50"/>
  <c r="H1039" i="50"/>
  <c r="G1039" i="50"/>
  <c r="V1038" i="50"/>
  <c r="U1038" i="50"/>
  <c r="T1038" i="50"/>
  <c r="S1038" i="50"/>
  <c r="R1038" i="50"/>
  <c r="Q1038" i="50"/>
  <c r="J1038" i="50"/>
  <c r="I1038" i="50"/>
  <c r="H1038" i="50"/>
  <c r="G1038" i="50"/>
  <c r="V1037" i="50"/>
  <c r="U1037" i="50"/>
  <c r="T1037" i="50"/>
  <c r="S1037" i="50"/>
  <c r="R1037" i="50"/>
  <c r="Q1037" i="50"/>
  <c r="J1037" i="50"/>
  <c r="N1037" i="50" s="1"/>
  <c r="H1037" i="50"/>
  <c r="G1037" i="50"/>
  <c r="V1036" i="50"/>
  <c r="U1036" i="50"/>
  <c r="T1036" i="50"/>
  <c r="S1036" i="50"/>
  <c r="R1036" i="50"/>
  <c r="Q1036" i="50"/>
  <c r="P1036" i="50"/>
  <c r="N1036" i="50"/>
  <c r="O1036" i="50" s="1"/>
  <c r="V1035" i="50"/>
  <c r="U1035" i="50"/>
  <c r="T1035" i="50"/>
  <c r="S1035" i="50"/>
  <c r="R1035" i="50"/>
  <c r="Q1035" i="50"/>
  <c r="P1035" i="50"/>
  <c r="N1035" i="50"/>
  <c r="O1035" i="50" s="1"/>
  <c r="V1034" i="50"/>
  <c r="U1034" i="50"/>
  <c r="T1034" i="50"/>
  <c r="S1034" i="50"/>
  <c r="R1034" i="50"/>
  <c r="P1034" i="50"/>
  <c r="L1034" i="50"/>
  <c r="J1034" i="50"/>
  <c r="N1034" i="50" s="1"/>
  <c r="V1033" i="50"/>
  <c r="U1033" i="50"/>
  <c r="T1033" i="50"/>
  <c r="S1033" i="50"/>
  <c r="R1033" i="50"/>
  <c r="Q1033" i="50"/>
  <c r="J1033" i="50"/>
  <c r="N1033" i="50" s="1"/>
  <c r="H1033" i="50"/>
  <c r="V1032" i="50"/>
  <c r="U1032" i="50"/>
  <c r="T1032" i="50"/>
  <c r="S1032" i="50"/>
  <c r="R1032" i="50"/>
  <c r="Q1032" i="50"/>
  <c r="J1032" i="50"/>
  <c r="N1032" i="50" s="1"/>
  <c r="H1032" i="50"/>
  <c r="V1031" i="50"/>
  <c r="U1031" i="50"/>
  <c r="T1031" i="50"/>
  <c r="S1031" i="50"/>
  <c r="R1031" i="50"/>
  <c r="Q1031" i="50"/>
  <c r="P1031" i="50"/>
  <c r="N1031" i="50"/>
  <c r="O1031" i="50" s="1"/>
  <c r="V1030" i="50"/>
  <c r="U1030" i="50"/>
  <c r="T1030" i="50"/>
  <c r="S1030" i="50"/>
  <c r="R1030" i="50"/>
  <c r="Q1030" i="50"/>
  <c r="J1030" i="50"/>
  <c r="N1030" i="50" s="1"/>
  <c r="H1030" i="50"/>
  <c r="V1029" i="50"/>
  <c r="U1029" i="50"/>
  <c r="T1029" i="50"/>
  <c r="S1029" i="50"/>
  <c r="R1029" i="50"/>
  <c r="Q1029" i="50"/>
  <c r="J1029" i="50"/>
  <c r="N1029" i="50" s="1"/>
  <c r="H1029" i="50"/>
  <c r="V1028" i="50"/>
  <c r="U1028" i="50"/>
  <c r="T1028" i="50"/>
  <c r="S1028" i="50"/>
  <c r="R1028" i="50"/>
  <c r="Q1028" i="50"/>
  <c r="P1028" i="50"/>
  <c r="N1028" i="50"/>
  <c r="O1028" i="50" s="1"/>
  <c r="V1027" i="50"/>
  <c r="U1027" i="50"/>
  <c r="T1027" i="50"/>
  <c r="S1027" i="50"/>
  <c r="R1027" i="50"/>
  <c r="Q1027" i="50"/>
  <c r="P1027" i="50"/>
  <c r="N1027" i="50"/>
  <c r="O1027" i="50" s="1"/>
  <c r="V1026" i="50"/>
  <c r="U1026" i="50"/>
  <c r="T1026" i="50"/>
  <c r="S1026" i="50"/>
  <c r="R1026" i="50"/>
  <c r="Q1026" i="50"/>
  <c r="P1026" i="50"/>
  <c r="N1026" i="50"/>
  <c r="O1026" i="50" s="1"/>
  <c r="V1025" i="50"/>
  <c r="U1025" i="50"/>
  <c r="T1025" i="50"/>
  <c r="S1025" i="50"/>
  <c r="R1025" i="50"/>
  <c r="Q1025" i="50"/>
  <c r="P1025" i="50"/>
  <c r="N1025" i="50"/>
  <c r="O1025" i="50" s="1"/>
  <c r="V1024" i="50"/>
  <c r="U1024" i="50"/>
  <c r="T1024" i="50"/>
  <c r="S1024" i="50"/>
  <c r="R1024" i="50"/>
  <c r="Q1024" i="50"/>
  <c r="P1024" i="50"/>
  <c r="N1024" i="50"/>
  <c r="O1024" i="50" s="1"/>
  <c r="V1023" i="50"/>
  <c r="U1023" i="50"/>
  <c r="T1023" i="50"/>
  <c r="S1023" i="50"/>
  <c r="R1023" i="50"/>
  <c r="Q1023" i="50"/>
  <c r="N1023" i="50"/>
  <c r="O1023" i="50" s="1"/>
  <c r="V1022" i="50"/>
  <c r="U1022" i="50"/>
  <c r="T1022" i="50"/>
  <c r="S1022" i="50"/>
  <c r="R1022" i="50"/>
  <c r="P1022" i="50"/>
  <c r="J1022" i="50"/>
  <c r="I1022" i="50"/>
  <c r="V1021" i="50"/>
  <c r="U1021" i="50"/>
  <c r="T1021" i="50"/>
  <c r="S1021" i="50"/>
  <c r="R1021" i="50"/>
  <c r="P1021" i="50"/>
  <c r="J1021" i="50"/>
  <c r="H1023" i="50" s="1"/>
  <c r="I1021" i="50"/>
  <c r="V1020" i="50"/>
  <c r="U1020" i="50"/>
  <c r="T1020" i="50"/>
  <c r="S1020" i="50"/>
  <c r="R1020" i="50"/>
  <c r="Q1020" i="50"/>
  <c r="P1020" i="50"/>
  <c r="N1020" i="50"/>
  <c r="O1020" i="50" s="1"/>
  <c r="V1019" i="50"/>
  <c r="U1019" i="50"/>
  <c r="T1019" i="50"/>
  <c r="S1019" i="50"/>
  <c r="R1019" i="50"/>
  <c r="Q1019" i="50"/>
  <c r="N1019" i="50"/>
  <c r="V1018" i="50"/>
  <c r="U1018" i="50"/>
  <c r="T1018" i="50"/>
  <c r="S1018" i="50"/>
  <c r="R1018" i="50"/>
  <c r="P1018" i="50"/>
  <c r="J1018" i="50"/>
  <c r="I1018" i="50"/>
  <c r="V1017" i="50"/>
  <c r="U1017" i="50"/>
  <c r="T1017" i="50"/>
  <c r="S1017" i="50"/>
  <c r="R1017" i="50"/>
  <c r="P1017" i="50"/>
  <c r="J1017" i="50"/>
  <c r="H1019" i="50" s="1"/>
  <c r="I1017" i="50"/>
  <c r="V1016" i="50"/>
  <c r="U1016" i="50"/>
  <c r="T1016" i="50"/>
  <c r="S1016" i="50"/>
  <c r="R1016" i="50"/>
  <c r="Q1016" i="50"/>
  <c r="P1016" i="50"/>
  <c r="N1016" i="50"/>
  <c r="O1016" i="50" s="1"/>
  <c r="V1015" i="50"/>
  <c r="U1015" i="50"/>
  <c r="T1015" i="50"/>
  <c r="S1015" i="50"/>
  <c r="R1015" i="50"/>
  <c r="Q1015" i="50"/>
  <c r="P1015" i="50"/>
  <c r="N1015" i="50"/>
  <c r="O1015" i="50" s="1"/>
  <c r="V1014" i="50"/>
  <c r="U1014" i="50"/>
  <c r="T1014" i="50"/>
  <c r="S1014" i="50"/>
  <c r="R1014" i="50"/>
  <c r="Q1014" i="50"/>
  <c r="P1014" i="50"/>
  <c r="N1014" i="50"/>
  <c r="O1014" i="50" s="1"/>
  <c r="V1013" i="50"/>
  <c r="U1013" i="50"/>
  <c r="T1013" i="50"/>
  <c r="S1013" i="50"/>
  <c r="R1013" i="50"/>
  <c r="Q1013" i="50"/>
  <c r="N1013" i="50"/>
  <c r="V1012" i="50"/>
  <c r="U1012" i="50"/>
  <c r="T1012" i="50"/>
  <c r="S1012" i="50"/>
  <c r="R1012" i="50"/>
  <c r="P1012" i="50"/>
  <c r="N1012" i="50"/>
  <c r="V1011" i="50"/>
  <c r="U1011" i="50"/>
  <c r="T1011" i="50"/>
  <c r="S1011" i="50"/>
  <c r="R1011" i="50"/>
  <c r="P1011" i="50"/>
  <c r="N1011" i="50"/>
  <c r="O1011" i="50" s="1"/>
  <c r="Q1011" i="50" s="1"/>
  <c r="V1010" i="50"/>
  <c r="U1010" i="50"/>
  <c r="T1010" i="50"/>
  <c r="S1010" i="50"/>
  <c r="R1010" i="50"/>
  <c r="Q1010" i="50"/>
  <c r="P1010" i="50"/>
  <c r="N1010" i="50"/>
  <c r="O1010" i="50" s="1"/>
  <c r="V1009" i="50"/>
  <c r="U1009" i="50"/>
  <c r="T1009" i="50"/>
  <c r="S1009" i="50"/>
  <c r="R1009" i="50"/>
  <c r="Q1009" i="50"/>
  <c r="N1009" i="50"/>
  <c r="V1008" i="50"/>
  <c r="U1008" i="50"/>
  <c r="T1008" i="50"/>
  <c r="S1008" i="50"/>
  <c r="R1008" i="50"/>
  <c r="P1008" i="50"/>
  <c r="J1008" i="50"/>
  <c r="I1008" i="50"/>
  <c r="V1007" i="50"/>
  <c r="U1007" i="50"/>
  <c r="T1007" i="50"/>
  <c r="S1007" i="50"/>
  <c r="R1007" i="50"/>
  <c r="P1007" i="50"/>
  <c r="J1007" i="50"/>
  <c r="H1009" i="50" s="1"/>
  <c r="I1007" i="50"/>
  <c r="V1006" i="50"/>
  <c r="U1006" i="50"/>
  <c r="T1006" i="50"/>
  <c r="S1006" i="50"/>
  <c r="R1006" i="50"/>
  <c r="Q1006" i="50"/>
  <c r="P1006" i="50"/>
  <c r="N1006" i="50"/>
  <c r="O1006" i="50" s="1"/>
  <c r="V1005" i="50"/>
  <c r="U1005" i="50"/>
  <c r="T1005" i="50"/>
  <c r="S1005" i="50"/>
  <c r="R1005" i="50"/>
  <c r="Q1005" i="50"/>
  <c r="N1005" i="50"/>
  <c r="H1005" i="50"/>
  <c r="V1004" i="50"/>
  <c r="U1004" i="50"/>
  <c r="T1004" i="50"/>
  <c r="S1004" i="50"/>
  <c r="R1004" i="50"/>
  <c r="P1004" i="50"/>
  <c r="I1004" i="50"/>
  <c r="N1004" i="50" s="1"/>
  <c r="V1003" i="50"/>
  <c r="U1003" i="50"/>
  <c r="T1003" i="50"/>
  <c r="S1003" i="50"/>
  <c r="R1003" i="50"/>
  <c r="P1003" i="50"/>
  <c r="I1003" i="50"/>
  <c r="N1003" i="50" s="1"/>
  <c r="V1002" i="50"/>
  <c r="U1002" i="50"/>
  <c r="T1002" i="50"/>
  <c r="S1002" i="50"/>
  <c r="R1002" i="50"/>
  <c r="Q1002" i="50"/>
  <c r="P1002" i="50"/>
  <c r="N1002" i="50"/>
  <c r="O1002" i="50" s="1"/>
  <c r="V1001" i="50"/>
  <c r="U1001" i="50"/>
  <c r="T1001" i="50"/>
  <c r="S1001" i="50"/>
  <c r="R1001" i="50"/>
  <c r="Q1001" i="50"/>
  <c r="P1001" i="50"/>
  <c r="N1001" i="50"/>
  <c r="O1001" i="50" s="1"/>
  <c r="V1000" i="50"/>
  <c r="U1000" i="50"/>
  <c r="T1000" i="50"/>
  <c r="S1000" i="50"/>
  <c r="R1000" i="50"/>
  <c r="Q1000" i="50"/>
  <c r="N1000" i="50"/>
  <c r="H1000" i="50"/>
  <c r="V999" i="50"/>
  <c r="U999" i="50"/>
  <c r="T999" i="50"/>
  <c r="S999" i="50"/>
  <c r="R999" i="50"/>
  <c r="P999" i="50"/>
  <c r="I999" i="50"/>
  <c r="N999" i="50" s="1"/>
  <c r="V998" i="50"/>
  <c r="U998" i="50"/>
  <c r="T998" i="50"/>
  <c r="S998" i="50"/>
  <c r="R998" i="50"/>
  <c r="P998" i="50"/>
  <c r="I998" i="50"/>
  <c r="N998" i="50" s="1"/>
  <c r="V997" i="50"/>
  <c r="U997" i="50"/>
  <c r="T997" i="50"/>
  <c r="S997" i="50"/>
  <c r="R997" i="50"/>
  <c r="Q997" i="50"/>
  <c r="P997" i="50"/>
  <c r="N997" i="50"/>
  <c r="O997" i="50" s="1"/>
  <c r="V996" i="50"/>
  <c r="U996" i="50"/>
  <c r="T996" i="50"/>
  <c r="S996" i="50"/>
  <c r="R996" i="50"/>
  <c r="Q996" i="50"/>
  <c r="N996" i="50"/>
  <c r="O996" i="50" s="1"/>
  <c r="H996" i="50"/>
  <c r="V995" i="50"/>
  <c r="U995" i="50"/>
  <c r="T995" i="50"/>
  <c r="S995" i="50"/>
  <c r="R995" i="50"/>
  <c r="P995" i="50"/>
  <c r="J995" i="50"/>
  <c r="I995" i="50"/>
  <c r="N995" i="50" s="1"/>
  <c r="V994" i="50"/>
  <c r="U994" i="50"/>
  <c r="T994" i="50"/>
  <c r="S994" i="50"/>
  <c r="R994" i="50"/>
  <c r="P994" i="50"/>
  <c r="J994" i="50"/>
  <c r="I994" i="50"/>
  <c r="N994" i="50" s="1"/>
  <c r="V993" i="50"/>
  <c r="U993" i="50"/>
  <c r="T993" i="50"/>
  <c r="S993" i="50"/>
  <c r="R993" i="50"/>
  <c r="Q993" i="50"/>
  <c r="P993" i="50"/>
  <c r="N993" i="50"/>
  <c r="O993" i="50" s="1"/>
  <c r="V992" i="50"/>
  <c r="U992" i="50"/>
  <c r="T992" i="50"/>
  <c r="S992" i="50"/>
  <c r="R992" i="50"/>
  <c r="Q992" i="50"/>
  <c r="N992" i="50"/>
  <c r="V991" i="50"/>
  <c r="U991" i="50"/>
  <c r="T991" i="50"/>
  <c r="S991" i="50"/>
  <c r="R991" i="50"/>
  <c r="P991" i="50"/>
  <c r="J991" i="50"/>
  <c r="I991" i="50"/>
  <c r="V990" i="50"/>
  <c r="U990" i="50"/>
  <c r="T990" i="50"/>
  <c r="S990" i="50"/>
  <c r="R990" i="50"/>
  <c r="P990" i="50"/>
  <c r="J990" i="50"/>
  <c r="H992" i="50" s="1"/>
  <c r="I990" i="50"/>
  <c r="V989" i="50"/>
  <c r="U989" i="50"/>
  <c r="T989" i="50"/>
  <c r="S989" i="50"/>
  <c r="R989" i="50"/>
  <c r="Q989" i="50"/>
  <c r="P989" i="50"/>
  <c r="N989" i="50"/>
  <c r="O989" i="50" s="1"/>
  <c r="V988" i="50"/>
  <c r="U988" i="50"/>
  <c r="T988" i="50"/>
  <c r="S988" i="50"/>
  <c r="R988" i="50"/>
  <c r="Q988" i="50"/>
  <c r="P988" i="50"/>
  <c r="N988" i="50"/>
  <c r="O988" i="50" s="1"/>
  <c r="V987" i="50"/>
  <c r="U987" i="50"/>
  <c r="T987" i="50"/>
  <c r="S987" i="50"/>
  <c r="R987" i="50"/>
  <c r="Q987" i="50"/>
  <c r="P987" i="50"/>
  <c r="N987" i="50"/>
  <c r="O987" i="50" s="1"/>
  <c r="V986" i="50"/>
  <c r="U986" i="50"/>
  <c r="T986" i="50"/>
  <c r="S986" i="50"/>
  <c r="R986" i="50"/>
  <c r="Q986" i="50"/>
  <c r="P986" i="50"/>
  <c r="N986" i="50"/>
  <c r="O986" i="50" s="1"/>
  <c r="V985" i="50"/>
  <c r="U985" i="50"/>
  <c r="T985" i="50"/>
  <c r="S985" i="50"/>
  <c r="R985" i="50"/>
  <c r="Q985" i="50"/>
  <c r="N985" i="50"/>
  <c r="V984" i="50"/>
  <c r="U984" i="50"/>
  <c r="T984" i="50"/>
  <c r="S984" i="50"/>
  <c r="R984" i="50"/>
  <c r="P984" i="50"/>
  <c r="J984" i="50"/>
  <c r="I984" i="50"/>
  <c r="V983" i="50"/>
  <c r="U983" i="50"/>
  <c r="T983" i="50"/>
  <c r="S983" i="50"/>
  <c r="R983" i="50"/>
  <c r="P983" i="50"/>
  <c r="J983" i="50"/>
  <c r="H985" i="50" s="1"/>
  <c r="I983" i="50"/>
  <c r="V982" i="50"/>
  <c r="U982" i="50"/>
  <c r="T982" i="50"/>
  <c r="S982" i="50"/>
  <c r="R982" i="50"/>
  <c r="Q982" i="50"/>
  <c r="P982" i="50"/>
  <c r="N982" i="50"/>
  <c r="O982" i="50" s="1"/>
  <c r="V981" i="50"/>
  <c r="U981" i="50"/>
  <c r="T981" i="50"/>
  <c r="S981" i="50"/>
  <c r="R981" i="50"/>
  <c r="Q981" i="50"/>
  <c r="N981" i="50"/>
  <c r="V980" i="50"/>
  <c r="U980" i="50"/>
  <c r="T980" i="50"/>
  <c r="S980" i="50"/>
  <c r="R980" i="50"/>
  <c r="P980" i="50"/>
  <c r="J980" i="50"/>
  <c r="I980" i="50"/>
  <c r="V979" i="50"/>
  <c r="U979" i="50"/>
  <c r="T979" i="50"/>
  <c r="S979" i="50"/>
  <c r="R979" i="50"/>
  <c r="P979" i="50"/>
  <c r="J979" i="50"/>
  <c r="H981" i="50" s="1"/>
  <c r="I979" i="50"/>
  <c r="V978" i="50"/>
  <c r="U978" i="50"/>
  <c r="T978" i="50"/>
  <c r="S978" i="50"/>
  <c r="R978" i="50"/>
  <c r="Q978" i="50"/>
  <c r="P978" i="50"/>
  <c r="N978" i="50"/>
  <c r="O978" i="50" s="1"/>
  <c r="V977" i="50"/>
  <c r="U977" i="50"/>
  <c r="T977" i="50"/>
  <c r="S977" i="50"/>
  <c r="R977" i="50"/>
  <c r="Q977" i="50"/>
  <c r="N977" i="50"/>
  <c r="H977" i="50"/>
  <c r="V976" i="50"/>
  <c r="U976" i="50"/>
  <c r="T976" i="50"/>
  <c r="S976" i="50"/>
  <c r="R976" i="50"/>
  <c r="P976" i="50"/>
  <c r="I976" i="50"/>
  <c r="N976" i="50" s="1"/>
  <c r="V975" i="50"/>
  <c r="U975" i="50"/>
  <c r="T975" i="50"/>
  <c r="S975" i="50"/>
  <c r="R975" i="50"/>
  <c r="P975" i="50"/>
  <c r="I975" i="50"/>
  <c r="N975" i="50" s="1"/>
  <c r="V974" i="50"/>
  <c r="U974" i="50"/>
  <c r="T974" i="50"/>
  <c r="S974" i="50"/>
  <c r="R974" i="50"/>
  <c r="Q974" i="50"/>
  <c r="P974" i="50"/>
  <c r="N974" i="50"/>
  <c r="O974" i="50" s="1"/>
  <c r="V973" i="50"/>
  <c r="U973" i="50"/>
  <c r="T973" i="50"/>
  <c r="S973" i="50"/>
  <c r="R973" i="50"/>
  <c r="Q973" i="50"/>
  <c r="N973" i="50"/>
  <c r="O973" i="50" s="1"/>
  <c r="V972" i="50"/>
  <c r="U972" i="50"/>
  <c r="T972" i="50"/>
  <c r="S972" i="50"/>
  <c r="R972" i="50"/>
  <c r="P972" i="50"/>
  <c r="J972" i="50"/>
  <c r="I972" i="50"/>
  <c r="V971" i="50"/>
  <c r="U971" i="50"/>
  <c r="T971" i="50"/>
  <c r="S971" i="50"/>
  <c r="R971" i="50"/>
  <c r="P971" i="50"/>
  <c r="J971" i="50"/>
  <c r="H973" i="50" s="1"/>
  <c r="I971" i="50"/>
  <c r="V970" i="50"/>
  <c r="U970" i="50"/>
  <c r="T970" i="50"/>
  <c r="S970" i="50"/>
  <c r="R970" i="50"/>
  <c r="Q970" i="50"/>
  <c r="P970" i="50"/>
  <c r="N970" i="50"/>
  <c r="O970" i="50" s="1"/>
  <c r="V969" i="50"/>
  <c r="U969" i="50"/>
  <c r="T969" i="50"/>
  <c r="S969" i="50"/>
  <c r="R969" i="50"/>
  <c r="Q969" i="50"/>
  <c r="N969" i="50"/>
  <c r="V968" i="50"/>
  <c r="U968" i="50"/>
  <c r="T968" i="50"/>
  <c r="S968" i="50"/>
  <c r="R968" i="50"/>
  <c r="P968" i="50"/>
  <c r="J968" i="50"/>
  <c r="I968" i="50"/>
  <c r="V967" i="50"/>
  <c r="U967" i="50"/>
  <c r="T967" i="50"/>
  <c r="S967" i="50"/>
  <c r="R967" i="50"/>
  <c r="P967" i="50"/>
  <c r="J967" i="50"/>
  <c r="H969" i="50" s="1"/>
  <c r="I967" i="50"/>
  <c r="V966" i="50"/>
  <c r="U966" i="50"/>
  <c r="T966" i="50"/>
  <c r="S966" i="50"/>
  <c r="R966" i="50"/>
  <c r="Q966" i="50"/>
  <c r="P966" i="50"/>
  <c r="N966" i="50"/>
  <c r="O966" i="50" s="1"/>
  <c r="V965" i="50"/>
  <c r="U965" i="50"/>
  <c r="T965" i="50"/>
  <c r="S965" i="50"/>
  <c r="R965" i="50"/>
  <c r="Q965" i="50"/>
  <c r="P965" i="50"/>
  <c r="N965" i="50"/>
  <c r="O965" i="50" s="1"/>
  <c r="V964" i="50"/>
  <c r="U964" i="50"/>
  <c r="T964" i="50"/>
  <c r="S964" i="50"/>
  <c r="R964" i="50"/>
  <c r="Q964" i="50"/>
  <c r="P964" i="50"/>
  <c r="N964" i="50"/>
  <c r="O964" i="50" s="1"/>
  <c r="V963" i="50"/>
  <c r="U963" i="50"/>
  <c r="T963" i="50"/>
  <c r="S963" i="50"/>
  <c r="R963" i="50"/>
  <c r="Q963" i="50"/>
  <c r="P963" i="50"/>
  <c r="N963" i="50"/>
  <c r="O963" i="50" s="1"/>
  <c r="V962" i="50"/>
  <c r="U962" i="50"/>
  <c r="T962" i="50"/>
  <c r="S962" i="50"/>
  <c r="R962" i="50"/>
  <c r="Q962" i="50"/>
  <c r="N962" i="50"/>
  <c r="V961" i="50"/>
  <c r="U961" i="50"/>
  <c r="T961" i="50"/>
  <c r="S961" i="50"/>
  <c r="Q961" i="50"/>
  <c r="P961" i="50"/>
  <c r="J961" i="50"/>
  <c r="I961" i="50"/>
  <c r="G961" i="50"/>
  <c r="V960" i="50"/>
  <c r="U960" i="50"/>
  <c r="T960" i="50"/>
  <c r="S960" i="50"/>
  <c r="Q960" i="50"/>
  <c r="P960" i="50"/>
  <c r="J960" i="50"/>
  <c r="H962" i="50" s="1"/>
  <c r="I960" i="50"/>
  <c r="V959" i="50"/>
  <c r="U959" i="50"/>
  <c r="T959" i="50"/>
  <c r="S959" i="50"/>
  <c r="R959" i="50"/>
  <c r="Q959" i="50"/>
  <c r="P959" i="50"/>
  <c r="N959" i="50"/>
  <c r="O959" i="50" s="1"/>
  <c r="V958" i="50"/>
  <c r="U958" i="50"/>
  <c r="T958" i="50"/>
  <c r="S958" i="50"/>
  <c r="R958" i="50"/>
  <c r="Q958" i="50"/>
  <c r="P958" i="50"/>
  <c r="N958" i="50"/>
  <c r="O958" i="50" s="1"/>
  <c r="V957" i="50"/>
  <c r="U957" i="50"/>
  <c r="T957" i="50"/>
  <c r="S957" i="50"/>
  <c r="R957" i="50"/>
  <c r="Q957" i="50"/>
  <c r="N957" i="50"/>
  <c r="O957" i="50" s="1"/>
  <c r="V956" i="50"/>
  <c r="U956" i="50"/>
  <c r="T956" i="50"/>
  <c r="S956" i="50"/>
  <c r="R956" i="50"/>
  <c r="P956" i="50"/>
  <c r="J956" i="50"/>
  <c r="I956" i="50"/>
  <c r="V955" i="50"/>
  <c r="U955" i="50"/>
  <c r="T955" i="50"/>
  <c r="S955" i="50"/>
  <c r="R955" i="50"/>
  <c r="P955" i="50"/>
  <c r="J955" i="50"/>
  <c r="H957" i="50" s="1"/>
  <c r="I955" i="50"/>
  <c r="V954" i="50"/>
  <c r="U954" i="50"/>
  <c r="T954" i="50"/>
  <c r="S954" i="50"/>
  <c r="R954" i="50"/>
  <c r="Q954" i="50"/>
  <c r="P954" i="50"/>
  <c r="N954" i="50"/>
  <c r="O954" i="50" s="1"/>
  <c r="V953" i="50"/>
  <c r="U953" i="50"/>
  <c r="T953" i="50"/>
  <c r="S953" i="50"/>
  <c r="R953" i="50"/>
  <c r="Q953" i="50"/>
  <c r="N953" i="50"/>
  <c r="H953" i="50"/>
  <c r="V952" i="50"/>
  <c r="U952" i="50"/>
  <c r="T952" i="50"/>
  <c r="S952" i="50"/>
  <c r="R952" i="50"/>
  <c r="P952" i="50"/>
  <c r="I952" i="50"/>
  <c r="N952" i="50" s="1"/>
  <c r="V951" i="50"/>
  <c r="U951" i="50"/>
  <c r="T951" i="50"/>
  <c r="S951" i="50"/>
  <c r="R951" i="50"/>
  <c r="P951" i="50"/>
  <c r="I951" i="50"/>
  <c r="N951" i="50" s="1"/>
  <c r="V950" i="50"/>
  <c r="U950" i="50"/>
  <c r="T950" i="50"/>
  <c r="S950" i="50"/>
  <c r="R950" i="50"/>
  <c r="Q950" i="50"/>
  <c r="P950" i="50"/>
  <c r="N950" i="50"/>
  <c r="O950" i="50" s="1"/>
  <c r="V949" i="50"/>
  <c r="U949" i="50"/>
  <c r="T949" i="50"/>
  <c r="S949" i="50"/>
  <c r="R949" i="50"/>
  <c r="Q949" i="50"/>
  <c r="N949" i="50"/>
  <c r="H949" i="50"/>
  <c r="V948" i="50"/>
  <c r="U948" i="50"/>
  <c r="T948" i="50"/>
  <c r="S948" i="50"/>
  <c r="R948" i="50"/>
  <c r="P948" i="50"/>
  <c r="I948" i="50"/>
  <c r="N948" i="50" s="1"/>
  <c r="V947" i="50"/>
  <c r="U947" i="50"/>
  <c r="T947" i="50"/>
  <c r="S947" i="50"/>
  <c r="R947" i="50"/>
  <c r="P947" i="50"/>
  <c r="I947" i="50"/>
  <c r="N947" i="50" s="1"/>
  <c r="V946" i="50"/>
  <c r="U946" i="50"/>
  <c r="T946" i="50"/>
  <c r="S946" i="50"/>
  <c r="R946" i="50"/>
  <c r="Q946" i="50"/>
  <c r="P946" i="50"/>
  <c r="N946" i="50"/>
  <c r="O946" i="50" s="1"/>
  <c r="V945" i="50"/>
  <c r="U945" i="50"/>
  <c r="T945" i="50"/>
  <c r="S945" i="50"/>
  <c r="R945" i="50"/>
  <c r="Q945" i="50"/>
  <c r="N945" i="50"/>
  <c r="H945" i="50"/>
  <c r="V944" i="50"/>
  <c r="U944" i="50"/>
  <c r="T944" i="50"/>
  <c r="S944" i="50"/>
  <c r="R944" i="50"/>
  <c r="P944" i="50"/>
  <c r="M944" i="50"/>
  <c r="I944" i="50"/>
  <c r="N944" i="50" s="1"/>
  <c r="V943" i="50"/>
  <c r="U943" i="50"/>
  <c r="T943" i="50"/>
  <c r="S943" i="50"/>
  <c r="R943" i="50"/>
  <c r="P943" i="50"/>
  <c r="M943" i="50"/>
  <c r="I943" i="50"/>
  <c r="N943" i="50" s="1"/>
  <c r="V942" i="50"/>
  <c r="U942" i="50"/>
  <c r="T942" i="50"/>
  <c r="S942" i="50"/>
  <c r="R942" i="50"/>
  <c r="Q942" i="50"/>
  <c r="P942" i="50"/>
  <c r="N942" i="50"/>
  <c r="O942" i="50" s="1"/>
  <c r="V941" i="50"/>
  <c r="U941" i="50"/>
  <c r="T941" i="50"/>
  <c r="S941" i="50"/>
  <c r="R941" i="50"/>
  <c r="Q941" i="50"/>
  <c r="N941" i="50"/>
  <c r="H941" i="50"/>
  <c r="V940" i="50"/>
  <c r="U940" i="50"/>
  <c r="T940" i="50"/>
  <c r="S940" i="50"/>
  <c r="R940" i="50"/>
  <c r="P940" i="50"/>
  <c r="I940" i="50"/>
  <c r="N940" i="50" s="1"/>
  <c r="V939" i="50"/>
  <c r="U939" i="50"/>
  <c r="T939" i="50"/>
  <c r="S939" i="50"/>
  <c r="R939" i="50"/>
  <c r="P939" i="50"/>
  <c r="I939" i="50"/>
  <c r="N939" i="50" s="1"/>
  <c r="V938" i="50"/>
  <c r="U938" i="50"/>
  <c r="T938" i="50"/>
  <c r="S938" i="50"/>
  <c r="R938" i="50"/>
  <c r="Q938" i="50"/>
  <c r="P938" i="50"/>
  <c r="N938" i="50"/>
  <c r="O938" i="50" s="1"/>
  <c r="V937" i="50"/>
  <c r="U937" i="50"/>
  <c r="T937" i="50"/>
  <c r="S937" i="50"/>
  <c r="R937" i="50"/>
  <c r="Q937" i="50"/>
  <c r="N937" i="50"/>
  <c r="H937" i="50"/>
  <c r="V936" i="50"/>
  <c r="U936" i="50"/>
  <c r="T936" i="50"/>
  <c r="S936" i="50"/>
  <c r="R936" i="50"/>
  <c r="P936" i="50"/>
  <c r="I936" i="50"/>
  <c r="N936" i="50" s="1"/>
  <c r="V935" i="50"/>
  <c r="U935" i="50"/>
  <c r="T935" i="50"/>
  <c r="S935" i="50"/>
  <c r="R935" i="50"/>
  <c r="P935" i="50"/>
  <c r="I935" i="50"/>
  <c r="N935" i="50" s="1"/>
  <c r="V934" i="50"/>
  <c r="U934" i="50"/>
  <c r="T934" i="50"/>
  <c r="S934" i="50"/>
  <c r="R934" i="50"/>
  <c r="Q934" i="50"/>
  <c r="P934" i="50"/>
  <c r="N934" i="50"/>
  <c r="O934" i="50" s="1"/>
  <c r="V933" i="50"/>
  <c r="U933" i="50"/>
  <c r="T933" i="50"/>
  <c r="S933" i="50"/>
  <c r="R933" i="50"/>
  <c r="Q933" i="50"/>
  <c r="N933" i="50"/>
  <c r="H933" i="50"/>
  <c r="V932" i="50"/>
  <c r="U932" i="50"/>
  <c r="T932" i="50"/>
  <c r="S932" i="50"/>
  <c r="R932" i="50"/>
  <c r="P932" i="50"/>
  <c r="I932" i="50"/>
  <c r="N932" i="50" s="1"/>
  <c r="V931" i="50"/>
  <c r="U931" i="50"/>
  <c r="T931" i="50"/>
  <c r="S931" i="50"/>
  <c r="R931" i="50"/>
  <c r="P931" i="50"/>
  <c r="I931" i="50"/>
  <c r="N931" i="50" s="1"/>
  <c r="V930" i="50"/>
  <c r="U930" i="50"/>
  <c r="T930" i="50"/>
  <c r="S930" i="50"/>
  <c r="R930" i="50"/>
  <c r="Q930" i="50"/>
  <c r="P930" i="50"/>
  <c r="N930" i="50"/>
  <c r="O930" i="50" s="1"/>
  <c r="V929" i="50"/>
  <c r="U929" i="50"/>
  <c r="T929" i="50"/>
  <c r="S929" i="50"/>
  <c r="R929" i="50"/>
  <c r="Q929" i="50"/>
  <c r="N929" i="50"/>
  <c r="H929" i="50"/>
  <c r="V928" i="50"/>
  <c r="U928" i="50"/>
  <c r="T928" i="50"/>
  <c r="S928" i="50"/>
  <c r="R928" i="50"/>
  <c r="P928" i="50"/>
  <c r="I928" i="50"/>
  <c r="N928" i="50" s="1"/>
  <c r="V927" i="50"/>
  <c r="U927" i="50"/>
  <c r="T927" i="50"/>
  <c r="S927" i="50"/>
  <c r="R927" i="50"/>
  <c r="P927" i="50"/>
  <c r="I927" i="50"/>
  <c r="N927" i="50" s="1"/>
  <c r="V926" i="50"/>
  <c r="U926" i="50"/>
  <c r="T926" i="50"/>
  <c r="S926" i="50"/>
  <c r="R926" i="50"/>
  <c r="Q926" i="50"/>
  <c r="P926" i="50"/>
  <c r="N926" i="50"/>
  <c r="O926" i="50" s="1"/>
  <c r="V925" i="50"/>
  <c r="U925" i="50"/>
  <c r="T925" i="50"/>
  <c r="S925" i="50"/>
  <c r="R925" i="50"/>
  <c r="Q925" i="50"/>
  <c r="N925" i="50"/>
  <c r="V924" i="50"/>
  <c r="U924" i="50"/>
  <c r="T924" i="50"/>
  <c r="S924" i="50"/>
  <c r="R924" i="50"/>
  <c r="P924" i="50"/>
  <c r="J924" i="50"/>
  <c r="I924" i="50"/>
  <c r="V923" i="50"/>
  <c r="U923" i="50"/>
  <c r="T923" i="50"/>
  <c r="S923" i="50"/>
  <c r="R923" i="50"/>
  <c r="P923" i="50"/>
  <c r="J923" i="50"/>
  <c r="H925" i="50" s="1"/>
  <c r="I923" i="50"/>
  <c r="V922" i="50"/>
  <c r="U922" i="50"/>
  <c r="T922" i="50"/>
  <c r="S922" i="50"/>
  <c r="R922" i="50"/>
  <c r="Q922" i="50"/>
  <c r="P922" i="50"/>
  <c r="N922" i="50"/>
  <c r="O922" i="50" s="1"/>
  <c r="V921" i="50"/>
  <c r="U921" i="50"/>
  <c r="T921" i="50"/>
  <c r="S921" i="50"/>
  <c r="R921" i="50"/>
  <c r="Q921" i="50"/>
  <c r="N921" i="50"/>
  <c r="V920" i="50"/>
  <c r="U920" i="50"/>
  <c r="T920" i="50"/>
  <c r="S920" i="50"/>
  <c r="R920" i="50"/>
  <c r="P920" i="50"/>
  <c r="J920" i="50"/>
  <c r="I920" i="50"/>
  <c r="V919" i="50"/>
  <c r="U919" i="50"/>
  <c r="T919" i="50"/>
  <c r="S919" i="50"/>
  <c r="R919" i="50"/>
  <c r="P919" i="50"/>
  <c r="J919" i="50"/>
  <c r="H921" i="50" s="1"/>
  <c r="I919" i="50"/>
  <c r="V918" i="50"/>
  <c r="U918" i="50"/>
  <c r="T918" i="50"/>
  <c r="S918" i="50"/>
  <c r="R918" i="50"/>
  <c r="Q918" i="50"/>
  <c r="P918" i="50"/>
  <c r="N918" i="50"/>
  <c r="O918" i="50" s="1"/>
  <c r="V917" i="50"/>
  <c r="U917" i="50"/>
  <c r="T917" i="50"/>
  <c r="S917" i="50"/>
  <c r="R917" i="50"/>
  <c r="Q917" i="50"/>
  <c r="P917" i="50"/>
  <c r="N917" i="50"/>
  <c r="O917" i="50" s="1"/>
  <c r="V916" i="50"/>
  <c r="U916" i="50"/>
  <c r="T916" i="50"/>
  <c r="S916" i="50"/>
  <c r="R916" i="50"/>
  <c r="Q916" i="50"/>
  <c r="P916" i="50"/>
  <c r="N916" i="50"/>
  <c r="O916" i="50" s="1"/>
  <c r="V915" i="50"/>
  <c r="U915" i="50"/>
  <c r="T915" i="50"/>
  <c r="S915" i="50"/>
  <c r="R915" i="50"/>
  <c r="Q915" i="50"/>
  <c r="N915" i="50"/>
  <c r="O915" i="50" s="1"/>
  <c r="V914" i="50"/>
  <c r="U914" i="50"/>
  <c r="T914" i="50"/>
  <c r="S914" i="50"/>
  <c r="R914" i="50"/>
  <c r="P914" i="50"/>
  <c r="J914" i="50"/>
  <c r="I914" i="50"/>
  <c r="V913" i="50"/>
  <c r="U913" i="50"/>
  <c r="T913" i="50"/>
  <c r="S913" i="50"/>
  <c r="R913" i="50"/>
  <c r="P913" i="50"/>
  <c r="J913" i="50"/>
  <c r="H915" i="50" s="1"/>
  <c r="I913" i="50"/>
  <c r="V912" i="50"/>
  <c r="U912" i="50"/>
  <c r="T912" i="50"/>
  <c r="S912" i="50"/>
  <c r="R912" i="50"/>
  <c r="Q912" i="50"/>
  <c r="P912" i="50"/>
  <c r="N912" i="50"/>
  <c r="O912" i="50" s="1"/>
  <c r="V911" i="50"/>
  <c r="U911" i="50"/>
  <c r="T911" i="50"/>
  <c r="S911" i="50"/>
  <c r="R911" i="50"/>
  <c r="Q911" i="50"/>
  <c r="N911" i="50"/>
  <c r="V910" i="50"/>
  <c r="U910" i="50"/>
  <c r="T910" i="50"/>
  <c r="S910" i="50"/>
  <c r="R910" i="50"/>
  <c r="P910" i="50"/>
  <c r="J910" i="50"/>
  <c r="I910" i="50"/>
  <c r="V909" i="50"/>
  <c r="U909" i="50"/>
  <c r="T909" i="50"/>
  <c r="S909" i="50"/>
  <c r="R909" i="50"/>
  <c r="P909" i="50"/>
  <c r="J909" i="50"/>
  <c r="H911" i="50" s="1"/>
  <c r="I909" i="50"/>
  <c r="V908" i="50"/>
  <c r="U908" i="50"/>
  <c r="T908" i="50"/>
  <c r="S908" i="50"/>
  <c r="R908" i="50"/>
  <c r="Q908" i="50"/>
  <c r="P908" i="50"/>
  <c r="N908" i="50"/>
  <c r="O908" i="50" s="1"/>
  <c r="V907" i="50"/>
  <c r="U907" i="50"/>
  <c r="T907" i="50"/>
  <c r="S907" i="50"/>
  <c r="R907" i="50"/>
  <c r="Q907" i="50"/>
  <c r="N907" i="50"/>
  <c r="O907" i="50" s="1"/>
  <c r="V906" i="50"/>
  <c r="U906" i="50"/>
  <c r="T906" i="50"/>
  <c r="S906" i="50"/>
  <c r="R906" i="50"/>
  <c r="P906" i="50"/>
  <c r="J906" i="50"/>
  <c r="I906" i="50"/>
  <c r="V905" i="50"/>
  <c r="U905" i="50"/>
  <c r="T905" i="50"/>
  <c r="S905" i="50"/>
  <c r="R905" i="50"/>
  <c r="P905" i="50"/>
  <c r="J905" i="50"/>
  <c r="H907" i="50" s="1"/>
  <c r="I905" i="50"/>
  <c r="V904" i="50"/>
  <c r="U904" i="50"/>
  <c r="T904" i="50"/>
  <c r="S904" i="50"/>
  <c r="R904" i="50"/>
  <c r="Q904" i="50"/>
  <c r="P904" i="50"/>
  <c r="N904" i="50"/>
  <c r="O904" i="50" s="1"/>
  <c r="V903" i="50"/>
  <c r="U903" i="50"/>
  <c r="T903" i="50"/>
  <c r="S903" i="50"/>
  <c r="R903" i="50"/>
  <c r="Q903" i="50"/>
  <c r="N903" i="50"/>
  <c r="V902" i="50"/>
  <c r="U902" i="50"/>
  <c r="T902" i="50"/>
  <c r="S902" i="50"/>
  <c r="R902" i="50"/>
  <c r="P902" i="50"/>
  <c r="J902" i="50"/>
  <c r="I902" i="50"/>
  <c r="N902" i="50" s="1"/>
  <c r="V901" i="50"/>
  <c r="U901" i="50"/>
  <c r="T901" i="50"/>
  <c r="S901" i="50"/>
  <c r="R901" i="50"/>
  <c r="P901" i="50"/>
  <c r="J901" i="50"/>
  <c r="H903" i="50" s="1"/>
  <c r="I901" i="50"/>
  <c r="N901" i="50" s="1"/>
  <c r="V900" i="50"/>
  <c r="U900" i="50"/>
  <c r="T900" i="50"/>
  <c r="S900" i="50"/>
  <c r="R900" i="50"/>
  <c r="Q900" i="50"/>
  <c r="P900" i="50"/>
  <c r="N900" i="50"/>
  <c r="O900" i="50" s="1"/>
  <c r="V899" i="50"/>
  <c r="U899" i="50"/>
  <c r="T899" i="50"/>
  <c r="S899" i="50"/>
  <c r="R899" i="50"/>
  <c r="Q899" i="50"/>
  <c r="N899" i="50"/>
  <c r="H899" i="50"/>
  <c r="V898" i="50"/>
  <c r="U898" i="50"/>
  <c r="T898" i="50"/>
  <c r="S898" i="50"/>
  <c r="R898" i="50"/>
  <c r="P898" i="50"/>
  <c r="J898" i="50"/>
  <c r="I898" i="50"/>
  <c r="N898" i="50" s="1"/>
  <c r="V897" i="50"/>
  <c r="U897" i="50"/>
  <c r="T897" i="50"/>
  <c r="S897" i="50"/>
  <c r="R897" i="50"/>
  <c r="P897" i="50"/>
  <c r="J897" i="50"/>
  <c r="I897" i="50"/>
  <c r="N897" i="50" s="1"/>
  <c r="V896" i="50"/>
  <c r="U896" i="50"/>
  <c r="T896" i="50"/>
  <c r="S896" i="50"/>
  <c r="R896" i="50"/>
  <c r="Q896" i="50"/>
  <c r="P896" i="50"/>
  <c r="N896" i="50"/>
  <c r="O896" i="50" s="1"/>
  <c r="V895" i="50"/>
  <c r="U895" i="50"/>
  <c r="T895" i="50"/>
  <c r="S895" i="50"/>
  <c r="R895" i="50"/>
  <c r="Q895" i="50"/>
  <c r="N895" i="50"/>
  <c r="V894" i="50"/>
  <c r="U894" i="50"/>
  <c r="T894" i="50"/>
  <c r="S894" i="50"/>
  <c r="R894" i="50"/>
  <c r="P894" i="50"/>
  <c r="J894" i="50"/>
  <c r="I894" i="50"/>
  <c r="V893" i="50"/>
  <c r="U893" i="50"/>
  <c r="T893" i="50"/>
  <c r="S893" i="50"/>
  <c r="R893" i="50"/>
  <c r="P893" i="50"/>
  <c r="J893" i="50"/>
  <c r="H895" i="50" s="1"/>
  <c r="I893" i="50"/>
  <c r="V892" i="50"/>
  <c r="U892" i="50"/>
  <c r="T892" i="50"/>
  <c r="S892" i="50"/>
  <c r="R892" i="50"/>
  <c r="Q892" i="50"/>
  <c r="P892" i="50"/>
  <c r="N892" i="50"/>
  <c r="O892" i="50" s="1"/>
  <c r="V891" i="50"/>
  <c r="U891" i="50"/>
  <c r="T891" i="50"/>
  <c r="S891" i="50"/>
  <c r="R891" i="50"/>
  <c r="Q891" i="50"/>
  <c r="P891" i="50"/>
  <c r="N891" i="50"/>
  <c r="O891" i="50" s="1"/>
  <c r="V890" i="50"/>
  <c r="U890" i="50"/>
  <c r="T890" i="50"/>
  <c r="S890" i="50"/>
  <c r="R890" i="50"/>
  <c r="Q890" i="50"/>
  <c r="P890" i="50"/>
  <c r="N890" i="50"/>
  <c r="O890" i="50" s="1"/>
  <c r="V889" i="50"/>
  <c r="U889" i="50"/>
  <c r="T889" i="50"/>
  <c r="S889" i="50"/>
  <c r="R889" i="50"/>
  <c r="Q889" i="50"/>
  <c r="N889" i="50"/>
  <c r="O889" i="50" s="1"/>
  <c r="V888" i="50"/>
  <c r="U888" i="50"/>
  <c r="T888" i="50"/>
  <c r="S888" i="50"/>
  <c r="R888" i="50"/>
  <c r="P888" i="50"/>
  <c r="J888" i="50"/>
  <c r="I888" i="50"/>
  <c r="V887" i="50"/>
  <c r="U887" i="50"/>
  <c r="T887" i="50"/>
  <c r="S887" i="50"/>
  <c r="R887" i="50"/>
  <c r="P887" i="50"/>
  <c r="J887" i="50"/>
  <c r="H889" i="50" s="1"/>
  <c r="I887" i="50"/>
  <c r="V886" i="50"/>
  <c r="U886" i="50"/>
  <c r="T886" i="50"/>
  <c r="S886" i="50"/>
  <c r="R886" i="50"/>
  <c r="Q886" i="50"/>
  <c r="P886" i="50"/>
  <c r="N886" i="50"/>
  <c r="O886" i="50" s="1"/>
  <c r="V885" i="50"/>
  <c r="U885" i="50"/>
  <c r="T885" i="50"/>
  <c r="S885" i="50"/>
  <c r="R885" i="50"/>
  <c r="Q885" i="50"/>
  <c r="N885" i="50"/>
  <c r="V884" i="50"/>
  <c r="U884" i="50"/>
  <c r="T884" i="50"/>
  <c r="S884" i="50"/>
  <c r="R884" i="50"/>
  <c r="P884" i="50"/>
  <c r="J884" i="50"/>
  <c r="I884" i="50"/>
  <c r="V883" i="50"/>
  <c r="U883" i="50"/>
  <c r="T883" i="50"/>
  <c r="S883" i="50"/>
  <c r="R883" i="50"/>
  <c r="P883" i="50"/>
  <c r="J883" i="50"/>
  <c r="H885" i="50" s="1"/>
  <c r="I883" i="50"/>
  <c r="V882" i="50"/>
  <c r="U882" i="50"/>
  <c r="T882" i="50"/>
  <c r="S882" i="50"/>
  <c r="R882" i="50"/>
  <c r="Q882" i="50"/>
  <c r="P882" i="50"/>
  <c r="N882" i="50"/>
  <c r="O882" i="50" s="1"/>
  <c r="V881" i="50"/>
  <c r="U881" i="50"/>
  <c r="T881" i="50"/>
  <c r="S881" i="50"/>
  <c r="R881" i="50"/>
  <c r="Q881" i="50"/>
  <c r="N881" i="50"/>
  <c r="O881" i="50" s="1"/>
  <c r="V880" i="50"/>
  <c r="U880" i="50"/>
  <c r="T880" i="50"/>
  <c r="S880" i="50"/>
  <c r="R880" i="50"/>
  <c r="P880" i="50"/>
  <c r="J880" i="50"/>
  <c r="I880" i="50"/>
  <c r="V879" i="50"/>
  <c r="U879" i="50"/>
  <c r="T879" i="50"/>
  <c r="S879" i="50"/>
  <c r="R879" i="50"/>
  <c r="P879" i="50"/>
  <c r="J879" i="50"/>
  <c r="H881" i="50" s="1"/>
  <c r="I879" i="50"/>
  <c r="V878" i="50"/>
  <c r="U878" i="50"/>
  <c r="T878" i="50"/>
  <c r="S878" i="50"/>
  <c r="R878" i="50"/>
  <c r="Q878" i="50"/>
  <c r="P878" i="50"/>
  <c r="N878" i="50"/>
  <c r="O878" i="50" s="1"/>
  <c r="V877" i="50"/>
  <c r="U877" i="50"/>
  <c r="T877" i="50"/>
  <c r="S877" i="50"/>
  <c r="R877" i="50"/>
  <c r="Q877" i="50"/>
  <c r="N877" i="50"/>
  <c r="V876" i="50"/>
  <c r="U876" i="50"/>
  <c r="T876" i="50"/>
  <c r="S876" i="50"/>
  <c r="R876" i="50"/>
  <c r="P876" i="50"/>
  <c r="J876" i="50"/>
  <c r="I876" i="50"/>
  <c r="V875" i="50"/>
  <c r="U875" i="50"/>
  <c r="T875" i="50"/>
  <c r="S875" i="50"/>
  <c r="R875" i="50"/>
  <c r="P875" i="50"/>
  <c r="J875" i="50"/>
  <c r="H877" i="50" s="1"/>
  <c r="I875" i="50"/>
  <c r="V874" i="50"/>
  <c r="U874" i="50"/>
  <c r="T874" i="50"/>
  <c r="S874" i="50"/>
  <c r="R874" i="50"/>
  <c r="Q874" i="50"/>
  <c r="P874" i="50"/>
  <c r="N874" i="50"/>
  <c r="O874" i="50" s="1"/>
  <c r="V873" i="50"/>
  <c r="U873" i="50"/>
  <c r="T873" i="50"/>
  <c r="S873" i="50"/>
  <c r="R873" i="50"/>
  <c r="Q873" i="50"/>
  <c r="N873" i="50"/>
  <c r="O873" i="50" s="1"/>
  <c r="V872" i="50"/>
  <c r="U872" i="50"/>
  <c r="T872" i="50"/>
  <c r="S872" i="50"/>
  <c r="R872" i="50"/>
  <c r="P872" i="50"/>
  <c r="J872" i="50"/>
  <c r="I872" i="50"/>
  <c r="V871" i="50"/>
  <c r="U871" i="50"/>
  <c r="T871" i="50"/>
  <c r="S871" i="50"/>
  <c r="R871" i="50"/>
  <c r="P871" i="50"/>
  <c r="J871" i="50"/>
  <c r="H873" i="50" s="1"/>
  <c r="I871" i="50"/>
  <c r="V870" i="50"/>
  <c r="U870" i="50"/>
  <c r="T870" i="50"/>
  <c r="S870" i="50"/>
  <c r="R870" i="50"/>
  <c r="Q870" i="50"/>
  <c r="P870" i="50"/>
  <c r="N870" i="50"/>
  <c r="O870" i="50" s="1"/>
  <c r="V869" i="50"/>
  <c r="U869" i="50"/>
  <c r="T869" i="50"/>
  <c r="S869" i="50"/>
  <c r="R869" i="50"/>
  <c r="Q869" i="50"/>
  <c r="P869" i="50"/>
  <c r="N869" i="50"/>
  <c r="O869" i="50" s="1"/>
  <c r="V868" i="50"/>
  <c r="U868" i="50"/>
  <c r="T868" i="50"/>
  <c r="S868" i="50"/>
  <c r="R868" i="50"/>
  <c r="Q868" i="50"/>
  <c r="P868" i="50"/>
  <c r="N868" i="50"/>
  <c r="O868" i="50" s="1"/>
  <c r="V867" i="50"/>
  <c r="U867" i="50"/>
  <c r="T867" i="50"/>
  <c r="S867" i="50"/>
  <c r="R867" i="50"/>
  <c r="Q867" i="50"/>
  <c r="N867" i="50"/>
  <c r="V866" i="50"/>
  <c r="U866" i="50"/>
  <c r="T866" i="50"/>
  <c r="S866" i="50"/>
  <c r="R866" i="50"/>
  <c r="P866" i="50"/>
  <c r="J866" i="50"/>
  <c r="I866" i="50"/>
  <c r="V865" i="50"/>
  <c r="U865" i="50"/>
  <c r="T865" i="50"/>
  <c r="S865" i="50"/>
  <c r="R865" i="50"/>
  <c r="P865" i="50"/>
  <c r="J865" i="50"/>
  <c r="H867" i="50" s="1"/>
  <c r="I865" i="50"/>
  <c r="V864" i="50"/>
  <c r="U864" i="50"/>
  <c r="T864" i="50"/>
  <c r="S864" i="50"/>
  <c r="R864" i="50"/>
  <c r="Q864" i="50"/>
  <c r="P864" i="50"/>
  <c r="N864" i="50"/>
  <c r="O864" i="50" s="1"/>
  <c r="V863" i="50"/>
  <c r="U863" i="50"/>
  <c r="T863" i="50"/>
  <c r="S863" i="50"/>
  <c r="R863" i="50"/>
  <c r="Q863" i="50"/>
  <c r="N863" i="50"/>
  <c r="O863" i="50" s="1"/>
  <c r="H863" i="50"/>
  <c r="V862" i="50"/>
  <c r="U862" i="50"/>
  <c r="T862" i="50"/>
  <c r="S862" i="50"/>
  <c r="R862" i="50"/>
  <c r="P862" i="50"/>
  <c r="I862" i="50"/>
  <c r="N862" i="50" s="1"/>
  <c r="V861" i="50"/>
  <c r="U861" i="50"/>
  <c r="T861" i="50"/>
  <c r="S861" i="50"/>
  <c r="R861" i="50"/>
  <c r="P861" i="50"/>
  <c r="I861" i="50"/>
  <c r="N861" i="50" s="1"/>
  <c r="V860" i="50"/>
  <c r="U860" i="50"/>
  <c r="T860" i="50"/>
  <c r="S860" i="50"/>
  <c r="R860" i="50"/>
  <c r="Q860" i="50"/>
  <c r="P860" i="50"/>
  <c r="N860" i="50"/>
  <c r="O860" i="50" s="1"/>
  <c r="V859" i="50"/>
  <c r="U859" i="50"/>
  <c r="T859" i="50"/>
  <c r="S859" i="50"/>
  <c r="R859" i="50"/>
  <c r="Q859" i="50"/>
  <c r="N859" i="50"/>
  <c r="O859" i="50" s="1"/>
  <c r="H859" i="50"/>
  <c r="V858" i="50"/>
  <c r="U858" i="50"/>
  <c r="T858" i="50"/>
  <c r="S858" i="50"/>
  <c r="R858" i="50"/>
  <c r="P858" i="50"/>
  <c r="I858" i="50"/>
  <c r="N858" i="50" s="1"/>
  <c r="V857" i="50"/>
  <c r="U857" i="50"/>
  <c r="T857" i="50"/>
  <c r="S857" i="50"/>
  <c r="R857" i="50"/>
  <c r="P857" i="50"/>
  <c r="I857" i="50"/>
  <c r="N857" i="50" s="1"/>
  <c r="V856" i="50"/>
  <c r="U856" i="50"/>
  <c r="T856" i="50"/>
  <c r="S856" i="50"/>
  <c r="R856" i="50"/>
  <c r="Q856" i="50"/>
  <c r="P856" i="50"/>
  <c r="N856" i="50"/>
  <c r="O856" i="50" s="1"/>
  <c r="V855" i="50"/>
  <c r="U855" i="50"/>
  <c r="T855" i="50"/>
  <c r="S855" i="50"/>
  <c r="R855" i="50"/>
  <c r="Q855" i="50"/>
  <c r="N855" i="50"/>
  <c r="O855" i="50" s="1"/>
  <c r="V854" i="50"/>
  <c r="U854" i="50"/>
  <c r="T854" i="50"/>
  <c r="S854" i="50"/>
  <c r="R854" i="50"/>
  <c r="P854" i="50"/>
  <c r="J854" i="50"/>
  <c r="I854" i="50"/>
  <c r="V853" i="50"/>
  <c r="U853" i="50"/>
  <c r="T853" i="50"/>
  <c r="S853" i="50"/>
  <c r="R853" i="50"/>
  <c r="P853" i="50"/>
  <c r="J853" i="50"/>
  <c r="H855" i="50" s="1"/>
  <c r="I853" i="50"/>
  <c r="V852" i="50"/>
  <c r="U852" i="50"/>
  <c r="T852" i="50"/>
  <c r="S852" i="50"/>
  <c r="R852" i="50"/>
  <c r="Q852" i="50"/>
  <c r="P852" i="50"/>
  <c r="N852" i="50"/>
  <c r="O852" i="50" s="1"/>
  <c r="V851" i="50"/>
  <c r="U851" i="50"/>
  <c r="T851" i="50"/>
  <c r="S851" i="50"/>
  <c r="R851" i="50"/>
  <c r="Q851" i="50"/>
  <c r="N851" i="50"/>
  <c r="O851" i="50" s="1"/>
  <c r="H851" i="50"/>
  <c r="V850" i="50"/>
  <c r="U850" i="50"/>
  <c r="T850" i="50"/>
  <c r="S850" i="50"/>
  <c r="R850" i="50"/>
  <c r="P850" i="50"/>
  <c r="I850" i="50"/>
  <c r="N850" i="50" s="1"/>
  <c r="V849" i="50"/>
  <c r="U849" i="50"/>
  <c r="T849" i="50"/>
  <c r="S849" i="50"/>
  <c r="R849" i="50"/>
  <c r="P849" i="50"/>
  <c r="I849" i="50"/>
  <c r="N849" i="50" s="1"/>
  <c r="V848" i="50"/>
  <c r="U848" i="50"/>
  <c r="T848" i="50"/>
  <c r="S848" i="50"/>
  <c r="R848" i="50"/>
  <c r="Q848" i="50"/>
  <c r="P848" i="50"/>
  <c r="N848" i="50"/>
  <c r="O848" i="50" s="1"/>
  <c r="V847" i="50"/>
  <c r="U847" i="50"/>
  <c r="T847" i="50"/>
  <c r="S847" i="50"/>
  <c r="R847" i="50"/>
  <c r="Q847" i="50"/>
  <c r="N847" i="50"/>
  <c r="O847" i="50" s="1"/>
  <c r="H847" i="50"/>
  <c r="V846" i="50"/>
  <c r="U846" i="50"/>
  <c r="T846" i="50"/>
  <c r="S846" i="50"/>
  <c r="R846" i="50"/>
  <c r="P846" i="50"/>
  <c r="I846" i="50"/>
  <c r="N846" i="50" s="1"/>
  <c r="V845" i="50"/>
  <c r="U845" i="50"/>
  <c r="T845" i="50"/>
  <c r="S845" i="50"/>
  <c r="R845" i="50"/>
  <c r="P845" i="50"/>
  <c r="I845" i="50"/>
  <c r="N845" i="50" s="1"/>
  <c r="V844" i="50"/>
  <c r="U844" i="50"/>
  <c r="T844" i="50"/>
  <c r="S844" i="50"/>
  <c r="R844" i="50"/>
  <c r="Q844" i="50"/>
  <c r="P844" i="50"/>
  <c r="N844" i="50"/>
  <c r="O844" i="50" s="1"/>
  <c r="V843" i="50"/>
  <c r="U843" i="50"/>
  <c r="T843" i="50"/>
  <c r="S843" i="50"/>
  <c r="R843" i="50"/>
  <c r="Q843" i="50"/>
  <c r="N843" i="50"/>
  <c r="O843" i="50" s="1"/>
  <c r="V842" i="50"/>
  <c r="U842" i="50"/>
  <c r="T842" i="50"/>
  <c r="S842" i="50"/>
  <c r="R842" i="50"/>
  <c r="P842" i="50"/>
  <c r="J842" i="50"/>
  <c r="I842" i="50"/>
  <c r="V841" i="50"/>
  <c r="U841" i="50"/>
  <c r="T841" i="50"/>
  <c r="S841" i="50"/>
  <c r="R841" i="50"/>
  <c r="P841" i="50"/>
  <c r="J841" i="50"/>
  <c r="H843" i="50" s="1"/>
  <c r="I841" i="50"/>
  <c r="V840" i="50"/>
  <c r="U840" i="50"/>
  <c r="T840" i="50"/>
  <c r="S840" i="50"/>
  <c r="R840" i="50"/>
  <c r="Q840" i="50"/>
  <c r="P840" i="50"/>
  <c r="N840" i="50"/>
  <c r="O840" i="50" s="1"/>
  <c r="V839" i="50"/>
  <c r="U839" i="50"/>
  <c r="T839" i="50"/>
  <c r="S839" i="50"/>
  <c r="R839" i="50"/>
  <c r="Q839" i="50"/>
  <c r="N839" i="50"/>
  <c r="O839" i="50" s="1"/>
  <c r="H839" i="50"/>
  <c r="V838" i="50"/>
  <c r="U838" i="50"/>
  <c r="T838" i="50"/>
  <c r="S838" i="50"/>
  <c r="R838" i="50"/>
  <c r="P838" i="50"/>
  <c r="I838" i="50"/>
  <c r="N838" i="50" s="1"/>
  <c r="V837" i="50"/>
  <c r="U837" i="50"/>
  <c r="T837" i="50"/>
  <c r="S837" i="50"/>
  <c r="R837" i="50"/>
  <c r="P837" i="50"/>
  <c r="I837" i="50"/>
  <c r="N837" i="50" s="1"/>
  <c r="V836" i="50"/>
  <c r="U836" i="50"/>
  <c r="T836" i="50"/>
  <c r="S836" i="50"/>
  <c r="R836" i="50"/>
  <c r="Q836" i="50"/>
  <c r="P836" i="50"/>
  <c r="N836" i="50"/>
  <c r="O836" i="50" s="1"/>
  <c r="V835" i="50"/>
  <c r="U835" i="50"/>
  <c r="T835" i="50"/>
  <c r="S835" i="50"/>
  <c r="R835" i="50"/>
  <c r="Q835" i="50"/>
  <c r="N835" i="50"/>
  <c r="O835" i="50" s="1"/>
  <c r="H835" i="50"/>
  <c r="V834" i="50"/>
  <c r="U834" i="50"/>
  <c r="T834" i="50"/>
  <c r="S834" i="50"/>
  <c r="R834" i="50"/>
  <c r="P834" i="50"/>
  <c r="I834" i="50"/>
  <c r="N834" i="50" s="1"/>
  <c r="V833" i="50"/>
  <c r="U833" i="50"/>
  <c r="T833" i="50"/>
  <c r="S833" i="50"/>
  <c r="R833" i="50"/>
  <c r="P833" i="50"/>
  <c r="I833" i="50"/>
  <c r="N833" i="50" s="1"/>
  <c r="V832" i="50"/>
  <c r="U832" i="50"/>
  <c r="T832" i="50"/>
  <c r="S832" i="50"/>
  <c r="R832" i="50"/>
  <c r="Q832" i="50"/>
  <c r="P832" i="50"/>
  <c r="N832" i="50"/>
  <c r="O832" i="50" s="1"/>
  <c r="V831" i="50"/>
  <c r="U831" i="50"/>
  <c r="T831" i="50"/>
  <c r="S831" i="50"/>
  <c r="R831" i="50"/>
  <c r="Q831" i="50"/>
  <c r="N831" i="50"/>
  <c r="O831" i="50" s="1"/>
  <c r="V830" i="50"/>
  <c r="U830" i="50"/>
  <c r="T830" i="50"/>
  <c r="S830" i="50"/>
  <c r="R830" i="50"/>
  <c r="P830" i="50"/>
  <c r="J830" i="50"/>
  <c r="I830" i="50"/>
  <c r="N830" i="50" s="1"/>
  <c r="V829" i="50"/>
  <c r="U829" i="50"/>
  <c r="T829" i="50"/>
  <c r="S829" i="50"/>
  <c r="R829" i="50"/>
  <c r="P829" i="50"/>
  <c r="J829" i="50"/>
  <c r="H831" i="50" s="1"/>
  <c r="I829" i="50"/>
  <c r="N829" i="50" s="1"/>
  <c r="V828" i="50"/>
  <c r="U828" i="50"/>
  <c r="T828" i="50"/>
  <c r="S828" i="50"/>
  <c r="R828" i="50"/>
  <c r="Q828" i="50"/>
  <c r="P828" i="50"/>
  <c r="N828" i="50"/>
  <c r="O828" i="50" s="1"/>
  <c r="V827" i="50"/>
  <c r="U827" i="50"/>
  <c r="T827" i="50"/>
  <c r="S827" i="50"/>
  <c r="R827" i="50"/>
  <c r="Q827" i="50"/>
  <c r="N827" i="50"/>
  <c r="O827" i="50" s="1"/>
  <c r="H827" i="50"/>
  <c r="V826" i="50"/>
  <c r="U826" i="50"/>
  <c r="T826" i="50"/>
  <c r="S826" i="50"/>
  <c r="R826" i="50"/>
  <c r="P826" i="50"/>
  <c r="I826" i="50"/>
  <c r="N826" i="50" s="1"/>
  <c r="V825" i="50"/>
  <c r="U825" i="50"/>
  <c r="T825" i="50"/>
  <c r="S825" i="50"/>
  <c r="R825" i="50"/>
  <c r="P825" i="50"/>
  <c r="I825" i="50"/>
  <c r="N825" i="50" s="1"/>
  <c r="V824" i="50"/>
  <c r="U824" i="50"/>
  <c r="T824" i="50"/>
  <c r="S824" i="50"/>
  <c r="R824" i="50"/>
  <c r="Q824" i="50"/>
  <c r="P824" i="50"/>
  <c r="N824" i="50"/>
  <c r="O824" i="50" s="1"/>
  <c r="V823" i="50"/>
  <c r="U823" i="50"/>
  <c r="T823" i="50"/>
  <c r="S823" i="50"/>
  <c r="R823" i="50"/>
  <c r="Q823" i="50"/>
  <c r="N823" i="50"/>
  <c r="O823" i="50" s="1"/>
  <c r="H823" i="50"/>
  <c r="V822" i="50"/>
  <c r="U822" i="50"/>
  <c r="T822" i="50"/>
  <c r="S822" i="50"/>
  <c r="R822" i="50"/>
  <c r="P822" i="50"/>
  <c r="I822" i="50"/>
  <c r="N822" i="50" s="1"/>
  <c r="V821" i="50"/>
  <c r="U821" i="50"/>
  <c r="T821" i="50"/>
  <c r="S821" i="50"/>
  <c r="R821" i="50"/>
  <c r="P821" i="50"/>
  <c r="I821" i="50"/>
  <c r="N821" i="50" s="1"/>
  <c r="V820" i="50"/>
  <c r="U820" i="50"/>
  <c r="T820" i="50"/>
  <c r="S820" i="50"/>
  <c r="R820" i="50"/>
  <c r="Q820" i="50"/>
  <c r="P820" i="50"/>
  <c r="N820" i="50"/>
  <c r="O820" i="50" s="1"/>
  <c r="V819" i="50"/>
  <c r="U819" i="50"/>
  <c r="T819" i="50"/>
  <c r="S819" i="50"/>
  <c r="R819" i="50"/>
  <c r="Q819" i="50"/>
  <c r="N819" i="50"/>
  <c r="O819" i="50" s="1"/>
  <c r="H819" i="50"/>
  <c r="V818" i="50"/>
  <c r="U818" i="50"/>
  <c r="T818" i="50"/>
  <c r="S818" i="50"/>
  <c r="R818" i="50"/>
  <c r="P818" i="50"/>
  <c r="J818" i="50"/>
  <c r="I818" i="50"/>
  <c r="N818" i="50" s="1"/>
  <c r="V817" i="50"/>
  <c r="U817" i="50"/>
  <c r="T817" i="50"/>
  <c r="S817" i="50"/>
  <c r="R817" i="50"/>
  <c r="P817" i="50"/>
  <c r="J817" i="50"/>
  <c r="I817" i="50"/>
  <c r="N817" i="50" s="1"/>
  <c r="V816" i="50"/>
  <c r="U816" i="50"/>
  <c r="T816" i="50"/>
  <c r="S816" i="50"/>
  <c r="R816" i="50"/>
  <c r="Q816" i="50"/>
  <c r="P816" i="50"/>
  <c r="N816" i="50"/>
  <c r="O816" i="50" s="1"/>
  <c r="V815" i="50"/>
  <c r="U815" i="50"/>
  <c r="T815" i="50"/>
  <c r="S815" i="50"/>
  <c r="R815" i="50"/>
  <c r="Q815" i="50"/>
  <c r="N815" i="50"/>
  <c r="O815" i="50" s="1"/>
  <c r="V814" i="50"/>
  <c r="U814" i="50"/>
  <c r="T814" i="50"/>
  <c r="S814" i="50"/>
  <c r="R814" i="50"/>
  <c r="P814" i="50"/>
  <c r="J814" i="50"/>
  <c r="I814" i="50"/>
  <c r="V813" i="50"/>
  <c r="U813" i="50"/>
  <c r="T813" i="50"/>
  <c r="S813" i="50"/>
  <c r="R813" i="50"/>
  <c r="P813" i="50"/>
  <c r="J813" i="50"/>
  <c r="H815" i="50" s="1"/>
  <c r="I813" i="50"/>
  <c r="V812" i="50"/>
  <c r="U812" i="50"/>
  <c r="T812" i="50"/>
  <c r="S812" i="50"/>
  <c r="R812" i="50"/>
  <c r="Q812" i="50"/>
  <c r="P812" i="50"/>
  <c r="N812" i="50"/>
  <c r="O812" i="50" s="1"/>
  <c r="V811" i="50"/>
  <c r="U811" i="50"/>
  <c r="T811" i="50"/>
  <c r="S811" i="50"/>
  <c r="R811" i="50"/>
  <c r="Q811" i="50"/>
  <c r="P811" i="50"/>
  <c r="N811" i="50"/>
  <c r="O811" i="50" s="1"/>
  <c r="V810" i="50"/>
  <c r="U810" i="50"/>
  <c r="T810" i="50"/>
  <c r="S810" i="50"/>
  <c r="R810" i="50"/>
  <c r="Q810" i="50"/>
  <c r="P810" i="50"/>
  <c r="N810" i="50"/>
  <c r="O810" i="50" s="1"/>
  <c r="V809" i="50"/>
  <c r="U809" i="50"/>
  <c r="T809" i="50"/>
  <c r="S809" i="50"/>
  <c r="R809" i="50"/>
  <c r="Q809" i="50"/>
  <c r="P809" i="50"/>
  <c r="N809" i="50"/>
  <c r="O809" i="50" s="1"/>
  <c r="V808" i="50"/>
  <c r="U808" i="50"/>
  <c r="T808" i="50"/>
  <c r="S808" i="50"/>
  <c r="R808" i="50"/>
  <c r="Q808" i="50"/>
  <c r="P808" i="50"/>
  <c r="N808" i="50"/>
  <c r="O808" i="50" s="1"/>
  <c r="V807" i="50"/>
  <c r="U807" i="50"/>
  <c r="T807" i="50"/>
  <c r="S807" i="50"/>
  <c r="R807" i="50"/>
  <c r="Q807" i="50"/>
  <c r="P807" i="50"/>
  <c r="N807" i="50"/>
  <c r="O807" i="50" s="1"/>
  <c r="N806" i="50"/>
  <c r="O806" i="50" s="1"/>
  <c r="N805" i="50"/>
  <c r="O805" i="50" s="1"/>
  <c r="N804" i="50"/>
  <c r="O804" i="50" s="1"/>
  <c r="V803" i="50"/>
  <c r="U803" i="50"/>
  <c r="T803" i="50"/>
  <c r="S803" i="50"/>
  <c r="R803" i="50"/>
  <c r="Q803" i="50"/>
  <c r="P803" i="50"/>
  <c r="N803" i="50"/>
  <c r="O803" i="50" s="1"/>
  <c r="N802" i="50"/>
  <c r="O802" i="50" s="1"/>
  <c r="V801" i="50"/>
  <c r="U801" i="50"/>
  <c r="T801" i="50"/>
  <c r="S801" i="50"/>
  <c r="R801" i="50"/>
  <c r="Q801" i="50"/>
  <c r="P801" i="50"/>
  <c r="N801" i="50"/>
  <c r="O801" i="50" s="1"/>
  <c r="V800" i="50"/>
  <c r="U800" i="50"/>
  <c r="T800" i="50"/>
  <c r="S800" i="50"/>
  <c r="R800" i="50"/>
  <c r="Q800" i="50"/>
  <c r="P800" i="50"/>
  <c r="N800" i="50"/>
  <c r="O800" i="50" s="1"/>
  <c r="V799" i="50"/>
  <c r="U799" i="50"/>
  <c r="T799" i="50"/>
  <c r="S799" i="50"/>
  <c r="R799" i="50"/>
  <c r="P799" i="50"/>
  <c r="L799" i="50"/>
  <c r="J799" i="50"/>
  <c r="H799" i="50"/>
  <c r="V798" i="50"/>
  <c r="U798" i="50"/>
  <c r="T798" i="50"/>
  <c r="S798" i="50"/>
  <c r="R798" i="50"/>
  <c r="P798" i="50"/>
  <c r="J798" i="50"/>
  <c r="I798" i="50"/>
  <c r="H798" i="50"/>
  <c r="V797" i="50"/>
  <c r="U797" i="50"/>
  <c r="T797" i="50"/>
  <c r="S797" i="50"/>
  <c r="R797" i="50"/>
  <c r="P797" i="50"/>
  <c r="J797" i="50"/>
  <c r="I797" i="50"/>
  <c r="H797" i="50"/>
  <c r="V796" i="50"/>
  <c r="U796" i="50"/>
  <c r="T796" i="50"/>
  <c r="S796" i="50"/>
  <c r="R796" i="50"/>
  <c r="Q796" i="50"/>
  <c r="P796" i="50"/>
  <c r="N796" i="50"/>
  <c r="O796" i="50" s="1"/>
  <c r="V795" i="50"/>
  <c r="U795" i="50"/>
  <c r="T795" i="50"/>
  <c r="S795" i="50"/>
  <c r="R795" i="50"/>
  <c r="P795" i="50"/>
  <c r="J795" i="50"/>
  <c r="I795" i="50"/>
  <c r="H795" i="50"/>
  <c r="V794" i="50"/>
  <c r="U794" i="50"/>
  <c r="T794" i="50"/>
  <c r="S794" i="50"/>
  <c r="R794" i="50"/>
  <c r="P794" i="50"/>
  <c r="J794" i="50"/>
  <c r="I794" i="50"/>
  <c r="H794" i="50"/>
  <c r="S783" i="50"/>
  <c r="Q783" i="50"/>
  <c r="P783" i="50"/>
  <c r="V780" i="50"/>
  <c r="U780" i="50"/>
  <c r="T780" i="50"/>
  <c r="S780" i="50"/>
  <c r="R780" i="50"/>
  <c r="Q780" i="50"/>
  <c r="N780" i="50"/>
  <c r="G780" i="50"/>
  <c r="V779" i="50"/>
  <c r="U779" i="50"/>
  <c r="T779" i="50"/>
  <c r="S779" i="50"/>
  <c r="R779" i="50"/>
  <c r="Q779" i="50"/>
  <c r="N779" i="50"/>
  <c r="H779" i="50"/>
  <c r="G779" i="50"/>
  <c r="V778" i="50"/>
  <c r="U778" i="50"/>
  <c r="T778" i="50"/>
  <c r="S778" i="50"/>
  <c r="R778" i="50"/>
  <c r="Q778" i="50"/>
  <c r="N778" i="50"/>
  <c r="H778" i="50"/>
  <c r="G778" i="50"/>
  <c r="V777" i="50"/>
  <c r="U777" i="50"/>
  <c r="T777" i="50"/>
  <c r="S777" i="50"/>
  <c r="R777" i="50"/>
  <c r="Q777" i="50"/>
  <c r="N777" i="50"/>
  <c r="H777" i="50"/>
  <c r="G777" i="50"/>
  <c r="V776" i="50"/>
  <c r="U776" i="50"/>
  <c r="T776" i="50"/>
  <c r="S776" i="50"/>
  <c r="R776" i="50"/>
  <c r="Q776" i="50"/>
  <c r="P776" i="50"/>
  <c r="N776" i="50"/>
  <c r="V775" i="50"/>
  <c r="U775" i="50"/>
  <c r="T775" i="50"/>
  <c r="S775" i="50"/>
  <c r="R775" i="50"/>
  <c r="P775" i="50"/>
  <c r="L775" i="50"/>
  <c r="J775" i="50"/>
  <c r="G775" i="50"/>
  <c r="V774" i="50"/>
  <c r="U774" i="50"/>
  <c r="T774" i="50"/>
  <c r="S774" i="50"/>
  <c r="R774" i="50"/>
  <c r="Q774" i="50"/>
  <c r="N774" i="50"/>
  <c r="H774" i="50"/>
  <c r="V773" i="50"/>
  <c r="U773" i="50"/>
  <c r="T773" i="50"/>
  <c r="S773" i="50"/>
  <c r="R773" i="50"/>
  <c r="Q773" i="50"/>
  <c r="N773" i="50"/>
  <c r="H773" i="50"/>
  <c r="V772" i="50"/>
  <c r="U772" i="50"/>
  <c r="T772" i="50"/>
  <c r="S772" i="50"/>
  <c r="R772" i="50"/>
  <c r="Q772" i="50"/>
  <c r="P772" i="50"/>
  <c r="N772" i="50"/>
  <c r="V771" i="50"/>
  <c r="U771" i="50"/>
  <c r="T771" i="50"/>
  <c r="S771" i="50"/>
  <c r="R771" i="50"/>
  <c r="Q771" i="50"/>
  <c r="N771" i="50"/>
  <c r="H771" i="50"/>
  <c r="V770" i="50"/>
  <c r="U770" i="50"/>
  <c r="T770" i="50"/>
  <c r="S770" i="50"/>
  <c r="R770" i="50"/>
  <c r="Q770" i="50"/>
  <c r="N770" i="50"/>
  <c r="H770" i="50"/>
  <c r="V769" i="50"/>
  <c r="U769" i="50"/>
  <c r="T769" i="50"/>
  <c r="S769" i="50"/>
  <c r="R769" i="50"/>
  <c r="Q769" i="50"/>
  <c r="P769" i="50"/>
  <c r="N769" i="50"/>
  <c r="V768" i="50"/>
  <c r="U768" i="50"/>
  <c r="T768" i="50"/>
  <c r="S768" i="50"/>
  <c r="R768" i="50"/>
  <c r="Q768" i="50"/>
  <c r="P768" i="50"/>
  <c r="N768" i="50"/>
  <c r="V767" i="50"/>
  <c r="U767" i="50"/>
  <c r="T767" i="50"/>
  <c r="S767" i="50"/>
  <c r="R767" i="50"/>
  <c r="Q767" i="50"/>
  <c r="N767" i="50"/>
  <c r="G767" i="50"/>
  <c r="V766" i="50"/>
  <c r="U766" i="50"/>
  <c r="T766" i="50"/>
  <c r="S766" i="50"/>
  <c r="R766" i="50"/>
  <c r="Q766" i="50"/>
  <c r="N766" i="50"/>
  <c r="H766" i="50"/>
  <c r="G766" i="50"/>
  <c r="V765" i="50"/>
  <c r="U765" i="50"/>
  <c r="T765" i="50"/>
  <c r="S765" i="50"/>
  <c r="R765" i="50"/>
  <c r="Q765" i="50"/>
  <c r="N765" i="50"/>
  <c r="H765" i="50"/>
  <c r="G765" i="50"/>
  <c r="V764" i="50"/>
  <c r="U764" i="50"/>
  <c r="T764" i="50"/>
  <c r="S764" i="50"/>
  <c r="R764" i="50"/>
  <c r="Q764" i="50"/>
  <c r="N764" i="50"/>
  <c r="H764" i="50"/>
  <c r="G764" i="50"/>
  <c r="V763" i="50"/>
  <c r="U763" i="50"/>
  <c r="T763" i="50"/>
  <c r="S763" i="50"/>
  <c r="R763" i="50"/>
  <c r="Q763" i="50"/>
  <c r="P763" i="50"/>
  <c r="N763" i="50"/>
  <c r="V762" i="50"/>
  <c r="U762" i="50"/>
  <c r="T762" i="50"/>
  <c r="S762" i="50"/>
  <c r="R762" i="50"/>
  <c r="P762" i="50"/>
  <c r="L762" i="50"/>
  <c r="J762" i="50"/>
  <c r="V761" i="50"/>
  <c r="U761" i="50"/>
  <c r="T761" i="50"/>
  <c r="S761" i="50"/>
  <c r="R761" i="50"/>
  <c r="Q761" i="50"/>
  <c r="N761" i="50"/>
  <c r="H761" i="50"/>
  <c r="V760" i="50"/>
  <c r="U760" i="50"/>
  <c r="T760" i="50"/>
  <c r="S760" i="50"/>
  <c r="R760" i="50"/>
  <c r="Q760" i="50"/>
  <c r="N760" i="50"/>
  <c r="H760" i="50"/>
  <c r="V759" i="50"/>
  <c r="U759" i="50"/>
  <c r="T759" i="50"/>
  <c r="S759" i="50"/>
  <c r="R759" i="50"/>
  <c r="Q759" i="50"/>
  <c r="P759" i="50"/>
  <c r="N759" i="50"/>
  <c r="V758" i="50"/>
  <c r="U758" i="50"/>
  <c r="T758" i="50"/>
  <c r="S758" i="50"/>
  <c r="R758" i="50"/>
  <c r="Q758" i="50"/>
  <c r="N758" i="50"/>
  <c r="H758" i="50"/>
  <c r="V757" i="50"/>
  <c r="U757" i="50"/>
  <c r="T757" i="50"/>
  <c r="S757" i="50"/>
  <c r="R757" i="50"/>
  <c r="Q757" i="50"/>
  <c r="N757" i="50"/>
  <c r="H757" i="50"/>
  <c r="V756" i="50"/>
  <c r="U756" i="50"/>
  <c r="T756" i="50"/>
  <c r="S756" i="50"/>
  <c r="R756" i="50"/>
  <c r="Q756" i="50"/>
  <c r="P756" i="50"/>
  <c r="N756" i="50"/>
  <c r="V755" i="50"/>
  <c r="U755" i="50"/>
  <c r="T755" i="50"/>
  <c r="S755" i="50"/>
  <c r="R755" i="50"/>
  <c r="Q755" i="50"/>
  <c r="P755" i="50"/>
  <c r="N755" i="50"/>
  <c r="V754" i="50"/>
  <c r="U754" i="50"/>
  <c r="T754" i="50"/>
  <c r="S754" i="50"/>
  <c r="R754" i="50"/>
  <c r="Q754" i="50"/>
  <c r="P754" i="50"/>
  <c r="N754" i="50"/>
  <c r="V753" i="50"/>
  <c r="U753" i="50"/>
  <c r="T753" i="50"/>
  <c r="S753" i="50"/>
  <c r="R753" i="50"/>
  <c r="Q753" i="50"/>
  <c r="N753" i="50"/>
  <c r="G753" i="50"/>
  <c r="V752" i="50"/>
  <c r="U752" i="50"/>
  <c r="T752" i="50"/>
  <c r="S752" i="50"/>
  <c r="R752" i="50"/>
  <c r="Q752" i="50"/>
  <c r="N752" i="50"/>
  <c r="H752" i="50"/>
  <c r="G752" i="50"/>
  <c r="V751" i="50"/>
  <c r="U751" i="50"/>
  <c r="T751" i="50"/>
  <c r="S751" i="50"/>
  <c r="R751" i="50"/>
  <c r="Q751" i="50"/>
  <c r="N751" i="50"/>
  <c r="H751" i="50"/>
  <c r="G751" i="50"/>
  <c r="V750" i="50"/>
  <c r="U750" i="50"/>
  <c r="T750" i="50"/>
  <c r="S750" i="50"/>
  <c r="R750" i="50"/>
  <c r="Q750" i="50"/>
  <c r="N750" i="50"/>
  <c r="H750" i="50"/>
  <c r="G750" i="50"/>
  <c r="V749" i="50"/>
  <c r="U749" i="50"/>
  <c r="T749" i="50"/>
  <c r="S749" i="50"/>
  <c r="R749" i="50"/>
  <c r="Q749" i="50"/>
  <c r="P749" i="50"/>
  <c r="N749" i="50"/>
  <c r="V748" i="50"/>
  <c r="U748" i="50"/>
  <c r="T748" i="50"/>
  <c r="S748" i="50"/>
  <c r="R748" i="50"/>
  <c r="P748" i="50"/>
  <c r="L748" i="50"/>
  <c r="J748" i="50"/>
  <c r="V747" i="50"/>
  <c r="U747" i="50"/>
  <c r="T747" i="50"/>
  <c r="S747" i="50"/>
  <c r="R747" i="50"/>
  <c r="Q747" i="50"/>
  <c r="N747" i="50"/>
  <c r="H747" i="50"/>
  <c r="V746" i="50"/>
  <c r="U746" i="50"/>
  <c r="T746" i="50"/>
  <c r="S746" i="50"/>
  <c r="R746" i="50"/>
  <c r="Q746" i="50"/>
  <c r="N746" i="50"/>
  <c r="H746" i="50"/>
  <c r="V745" i="50"/>
  <c r="U745" i="50"/>
  <c r="T745" i="50"/>
  <c r="S745" i="50"/>
  <c r="R745" i="50"/>
  <c r="Q745" i="50"/>
  <c r="P745" i="50"/>
  <c r="N745" i="50"/>
  <c r="V744" i="50"/>
  <c r="U744" i="50"/>
  <c r="T744" i="50"/>
  <c r="S744" i="50"/>
  <c r="R744" i="50"/>
  <c r="Q744" i="50"/>
  <c r="N744" i="50"/>
  <c r="H744" i="50"/>
  <c r="V743" i="50"/>
  <c r="U743" i="50"/>
  <c r="T743" i="50"/>
  <c r="S743" i="50"/>
  <c r="R743" i="50"/>
  <c r="Q743" i="50"/>
  <c r="N743" i="50"/>
  <c r="H743" i="50"/>
  <c r="V742" i="50"/>
  <c r="U742" i="50"/>
  <c r="T742" i="50"/>
  <c r="S742" i="50"/>
  <c r="R742" i="50"/>
  <c r="Q742" i="50"/>
  <c r="P742" i="50"/>
  <c r="N742" i="50"/>
  <c r="V741" i="50"/>
  <c r="U741" i="50"/>
  <c r="T741" i="50"/>
  <c r="S741" i="50"/>
  <c r="R741" i="50"/>
  <c r="Q741" i="50"/>
  <c r="P741" i="50"/>
  <c r="N741" i="50"/>
  <c r="V740" i="50"/>
  <c r="U740" i="50"/>
  <c r="T740" i="50"/>
  <c r="S740" i="50"/>
  <c r="R740" i="50"/>
  <c r="Q740" i="50"/>
  <c r="N740" i="50"/>
  <c r="G740" i="50"/>
  <c r="V739" i="50"/>
  <c r="U739" i="50"/>
  <c r="T739" i="50"/>
  <c r="S739" i="50"/>
  <c r="R739" i="50"/>
  <c r="Q739" i="50"/>
  <c r="N739" i="50"/>
  <c r="H739" i="50"/>
  <c r="G739" i="50"/>
  <c r="V738" i="50"/>
  <c r="U738" i="50"/>
  <c r="T738" i="50"/>
  <c r="S738" i="50"/>
  <c r="R738" i="50"/>
  <c r="Q738" i="50"/>
  <c r="N738" i="50"/>
  <c r="H738" i="50"/>
  <c r="G738" i="50"/>
  <c r="V737" i="50"/>
  <c r="U737" i="50"/>
  <c r="T737" i="50"/>
  <c r="S737" i="50"/>
  <c r="R737" i="50"/>
  <c r="Q737" i="50"/>
  <c r="N737" i="50"/>
  <c r="H737" i="50"/>
  <c r="G737" i="50"/>
  <c r="V736" i="50"/>
  <c r="U736" i="50"/>
  <c r="T736" i="50"/>
  <c r="S736" i="50"/>
  <c r="R736" i="50"/>
  <c r="Q736" i="50"/>
  <c r="P736" i="50"/>
  <c r="N736" i="50"/>
  <c r="V735" i="50"/>
  <c r="U735" i="50"/>
  <c r="T735" i="50"/>
  <c r="S735" i="50"/>
  <c r="R735" i="50"/>
  <c r="P735" i="50"/>
  <c r="L735" i="50"/>
  <c r="J735" i="50"/>
  <c r="V734" i="50"/>
  <c r="U734" i="50"/>
  <c r="T734" i="50"/>
  <c r="S734" i="50"/>
  <c r="R734" i="50"/>
  <c r="Q734" i="50"/>
  <c r="N734" i="50"/>
  <c r="H734" i="50"/>
  <c r="V733" i="50"/>
  <c r="U733" i="50"/>
  <c r="T733" i="50"/>
  <c r="S733" i="50"/>
  <c r="R733" i="50"/>
  <c r="Q733" i="50"/>
  <c r="N733" i="50"/>
  <c r="H733" i="50"/>
  <c r="V732" i="50"/>
  <c r="U732" i="50"/>
  <c r="T732" i="50"/>
  <c r="S732" i="50"/>
  <c r="R732" i="50"/>
  <c r="Q732" i="50"/>
  <c r="P732" i="50"/>
  <c r="N732" i="50"/>
  <c r="V731" i="50"/>
  <c r="U731" i="50"/>
  <c r="T731" i="50"/>
  <c r="S731" i="50"/>
  <c r="R731" i="50"/>
  <c r="Q731" i="50"/>
  <c r="N731" i="50"/>
  <c r="H731" i="50"/>
  <c r="V730" i="50"/>
  <c r="U730" i="50"/>
  <c r="T730" i="50"/>
  <c r="S730" i="50"/>
  <c r="R730" i="50"/>
  <c r="Q730" i="50"/>
  <c r="N730" i="50"/>
  <c r="H730" i="50"/>
  <c r="V729" i="50"/>
  <c r="U729" i="50"/>
  <c r="T729" i="50"/>
  <c r="S729" i="50"/>
  <c r="R729" i="50"/>
  <c r="Q729" i="50"/>
  <c r="P729" i="50"/>
  <c r="N729" i="50"/>
  <c r="V728" i="50"/>
  <c r="U728" i="50"/>
  <c r="T728" i="50"/>
  <c r="S728" i="50"/>
  <c r="R728" i="50"/>
  <c r="Q728" i="50"/>
  <c r="P728" i="50"/>
  <c r="N728" i="50"/>
  <c r="V727" i="50"/>
  <c r="U727" i="50"/>
  <c r="T727" i="50"/>
  <c r="S727" i="50"/>
  <c r="R727" i="50"/>
  <c r="Q727" i="50"/>
  <c r="P727" i="50"/>
  <c r="N727" i="50"/>
  <c r="V726" i="50"/>
  <c r="U726" i="50"/>
  <c r="T726" i="50"/>
  <c r="S726" i="50"/>
  <c r="R726" i="50"/>
  <c r="Q726" i="50"/>
  <c r="N726" i="50"/>
  <c r="H726" i="50"/>
  <c r="V725" i="50"/>
  <c r="U725" i="50"/>
  <c r="T725" i="50"/>
  <c r="S725" i="50"/>
  <c r="R725" i="50"/>
  <c r="P725" i="50"/>
  <c r="N725" i="50"/>
  <c r="Q725" i="50" s="1"/>
  <c r="V724" i="50"/>
  <c r="U724" i="50"/>
  <c r="T724" i="50"/>
  <c r="S724" i="50"/>
  <c r="R724" i="50"/>
  <c r="P724" i="50"/>
  <c r="N724" i="50"/>
  <c r="Q724" i="50" s="1"/>
  <c r="V723" i="50"/>
  <c r="U723" i="50"/>
  <c r="T723" i="50"/>
  <c r="S723" i="50"/>
  <c r="R723" i="50"/>
  <c r="Q723" i="50"/>
  <c r="N723" i="50"/>
  <c r="H723" i="50"/>
  <c r="V722" i="50"/>
  <c r="U722" i="50"/>
  <c r="T722" i="50"/>
  <c r="S722" i="50"/>
  <c r="R722" i="50"/>
  <c r="P722" i="50"/>
  <c r="N722" i="50"/>
  <c r="Q722" i="50" s="1"/>
  <c r="V721" i="50"/>
  <c r="U721" i="50"/>
  <c r="T721" i="50"/>
  <c r="S721" i="50"/>
  <c r="R721" i="50"/>
  <c r="P721" i="50"/>
  <c r="N721" i="50"/>
  <c r="Q721" i="50" s="1"/>
  <c r="V720" i="50"/>
  <c r="U720" i="50"/>
  <c r="T720" i="50"/>
  <c r="S720" i="50"/>
  <c r="R720" i="50"/>
  <c r="Q720" i="50"/>
  <c r="N720" i="50"/>
  <c r="H720" i="50"/>
  <c r="V719" i="50"/>
  <c r="U719" i="50"/>
  <c r="T719" i="50"/>
  <c r="S719" i="50"/>
  <c r="R719" i="50"/>
  <c r="P719" i="50"/>
  <c r="N719" i="50"/>
  <c r="Q719" i="50" s="1"/>
  <c r="V718" i="50"/>
  <c r="U718" i="50"/>
  <c r="T718" i="50"/>
  <c r="S718" i="50"/>
  <c r="R718" i="50"/>
  <c r="P718" i="50"/>
  <c r="N718" i="50"/>
  <c r="Q718" i="50" s="1"/>
  <c r="V717" i="50"/>
  <c r="U717" i="50"/>
  <c r="T717" i="50"/>
  <c r="S717" i="50"/>
  <c r="R717" i="50"/>
  <c r="Q717" i="50"/>
  <c r="N717" i="50"/>
  <c r="H717" i="50"/>
  <c r="V716" i="50"/>
  <c r="U716" i="50"/>
  <c r="T716" i="50"/>
  <c r="S716" i="50"/>
  <c r="R716" i="50"/>
  <c r="P716" i="50"/>
  <c r="N716" i="50"/>
  <c r="Q716" i="50" s="1"/>
  <c r="V715" i="50"/>
  <c r="U715" i="50"/>
  <c r="T715" i="50"/>
  <c r="S715" i="50"/>
  <c r="R715" i="50"/>
  <c r="P715" i="50"/>
  <c r="N715" i="50"/>
  <c r="Q715" i="50" s="1"/>
  <c r="V714" i="50"/>
  <c r="U714" i="50"/>
  <c r="T714" i="50"/>
  <c r="S714" i="50"/>
  <c r="R714" i="50"/>
  <c r="Q714" i="50"/>
  <c r="P714" i="50"/>
  <c r="N714" i="50"/>
  <c r="V713" i="50"/>
  <c r="U713" i="50"/>
  <c r="T713" i="50"/>
  <c r="S713" i="50"/>
  <c r="R713" i="50"/>
  <c r="Q713" i="50"/>
  <c r="N713" i="50"/>
  <c r="H713" i="50"/>
  <c r="V712" i="50"/>
  <c r="U712" i="50"/>
  <c r="T712" i="50"/>
  <c r="S712" i="50"/>
  <c r="R712" i="50"/>
  <c r="P712" i="50"/>
  <c r="N712" i="50"/>
  <c r="Q712" i="50" s="1"/>
  <c r="V711" i="50"/>
  <c r="U711" i="50"/>
  <c r="T711" i="50"/>
  <c r="S711" i="50"/>
  <c r="R711" i="50"/>
  <c r="P711" i="50"/>
  <c r="N711" i="50"/>
  <c r="Q711" i="50" s="1"/>
  <c r="V710" i="50"/>
  <c r="U710" i="50"/>
  <c r="T710" i="50"/>
  <c r="S710" i="50"/>
  <c r="R710" i="50"/>
  <c r="Q710" i="50"/>
  <c r="N710" i="50"/>
  <c r="H710" i="50"/>
  <c r="V709" i="50"/>
  <c r="U709" i="50"/>
  <c r="T709" i="50"/>
  <c r="S709" i="50"/>
  <c r="R709" i="50"/>
  <c r="P709" i="50"/>
  <c r="N709" i="50"/>
  <c r="Q709" i="50" s="1"/>
  <c r="V708" i="50"/>
  <c r="U708" i="50"/>
  <c r="T708" i="50"/>
  <c r="S708" i="50"/>
  <c r="R708" i="50"/>
  <c r="P708" i="50"/>
  <c r="N708" i="50"/>
  <c r="Q708" i="50" s="1"/>
  <c r="V707" i="50"/>
  <c r="U707" i="50"/>
  <c r="T707" i="50"/>
  <c r="S707" i="50"/>
  <c r="R707" i="50"/>
  <c r="P707" i="50"/>
  <c r="N707" i="50"/>
  <c r="Q707" i="50" s="1"/>
  <c r="V706" i="50"/>
  <c r="U706" i="50"/>
  <c r="T706" i="50"/>
  <c r="S706" i="50"/>
  <c r="R706" i="50"/>
  <c r="Q706" i="50"/>
  <c r="P706" i="50"/>
  <c r="N706" i="50"/>
  <c r="V705" i="50"/>
  <c r="U705" i="50"/>
  <c r="T705" i="50"/>
  <c r="S705" i="50"/>
  <c r="R705" i="50"/>
  <c r="Q705" i="50"/>
  <c r="P705" i="50"/>
  <c r="N705" i="50"/>
  <c r="V704" i="50"/>
  <c r="U704" i="50"/>
  <c r="T704" i="50"/>
  <c r="S704" i="50"/>
  <c r="R704" i="50"/>
  <c r="Q704" i="50"/>
  <c r="P704" i="50"/>
  <c r="N704" i="50"/>
  <c r="V703" i="50"/>
  <c r="U703" i="50"/>
  <c r="T703" i="50"/>
  <c r="S703" i="50"/>
  <c r="R703" i="50"/>
  <c r="Q703" i="50"/>
  <c r="N703" i="50"/>
  <c r="H703" i="50"/>
  <c r="V702" i="50"/>
  <c r="U702" i="50"/>
  <c r="T702" i="50"/>
  <c r="S702" i="50"/>
  <c r="R702" i="50"/>
  <c r="P702" i="50"/>
  <c r="N702" i="50"/>
  <c r="Q702" i="50" s="1"/>
  <c r="V701" i="50"/>
  <c r="U701" i="50"/>
  <c r="T701" i="50"/>
  <c r="S701" i="50"/>
  <c r="R701" i="50"/>
  <c r="P701" i="50"/>
  <c r="N701" i="50"/>
  <c r="Q701" i="50" s="1"/>
  <c r="V700" i="50"/>
  <c r="U700" i="50"/>
  <c r="T700" i="50"/>
  <c r="S700" i="50"/>
  <c r="R700" i="50"/>
  <c r="P700" i="50"/>
  <c r="N700" i="50"/>
  <c r="Q700" i="50" s="1"/>
  <c r="V699" i="50"/>
  <c r="U699" i="50"/>
  <c r="T699" i="50"/>
  <c r="S699" i="50"/>
  <c r="R699" i="50"/>
  <c r="Q699" i="50"/>
  <c r="P699" i="50"/>
  <c r="N699" i="50"/>
  <c r="V698" i="50"/>
  <c r="U698" i="50"/>
  <c r="T698" i="50"/>
  <c r="S698" i="50"/>
  <c r="R698" i="50"/>
  <c r="Q698" i="50"/>
  <c r="N698" i="50"/>
  <c r="H698" i="50"/>
  <c r="V697" i="50"/>
  <c r="U697" i="50"/>
  <c r="T697" i="50"/>
  <c r="S697" i="50"/>
  <c r="R697" i="50"/>
  <c r="P697" i="50"/>
  <c r="N697" i="50"/>
  <c r="Q697" i="50" s="1"/>
  <c r="V696" i="50"/>
  <c r="U696" i="50"/>
  <c r="T696" i="50"/>
  <c r="S696" i="50"/>
  <c r="R696" i="50"/>
  <c r="P696" i="50"/>
  <c r="N696" i="50"/>
  <c r="Q696" i="50" s="1"/>
  <c r="V695" i="50"/>
  <c r="U695" i="50"/>
  <c r="T695" i="50"/>
  <c r="S695" i="50"/>
  <c r="R695" i="50"/>
  <c r="P695" i="50"/>
  <c r="N695" i="50"/>
  <c r="Q695" i="50" s="1"/>
  <c r="V694" i="50"/>
  <c r="U694" i="50"/>
  <c r="T694" i="50"/>
  <c r="S694" i="50"/>
  <c r="R694" i="50"/>
  <c r="Q694" i="50"/>
  <c r="P694" i="50"/>
  <c r="N694" i="50"/>
  <c r="V693" i="50"/>
  <c r="U693" i="50"/>
  <c r="T693" i="50"/>
  <c r="S693" i="50"/>
  <c r="R693" i="50"/>
  <c r="Q693" i="50"/>
  <c r="P693" i="50"/>
  <c r="N693" i="50"/>
  <c r="V692" i="50"/>
  <c r="U692" i="50"/>
  <c r="T692" i="50"/>
  <c r="S692" i="50"/>
  <c r="R692" i="50"/>
  <c r="Q692" i="50"/>
  <c r="P692" i="50"/>
  <c r="N692" i="50"/>
  <c r="V691" i="50"/>
  <c r="U691" i="50"/>
  <c r="T691" i="50"/>
  <c r="S691" i="50"/>
  <c r="R691" i="50"/>
  <c r="Q691" i="50"/>
  <c r="N691" i="50"/>
  <c r="H691" i="50"/>
  <c r="V690" i="50"/>
  <c r="U690" i="50"/>
  <c r="T690" i="50"/>
  <c r="S690" i="50"/>
  <c r="R690" i="50"/>
  <c r="P690" i="50"/>
  <c r="N690" i="50"/>
  <c r="Q690" i="50" s="1"/>
  <c r="V689" i="50"/>
  <c r="U689" i="50"/>
  <c r="T689" i="50"/>
  <c r="S689" i="50"/>
  <c r="R689" i="50"/>
  <c r="P689" i="50"/>
  <c r="N689" i="50"/>
  <c r="Q689" i="50" s="1"/>
  <c r="V688" i="50"/>
  <c r="U688" i="50"/>
  <c r="T688" i="50"/>
  <c r="S688" i="50"/>
  <c r="R688" i="50"/>
  <c r="Q688" i="50"/>
  <c r="N688" i="50"/>
  <c r="H688" i="50"/>
  <c r="V687" i="50"/>
  <c r="U687" i="50"/>
  <c r="T687" i="50"/>
  <c r="S687" i="50"/>
  <c r="R687" i="50"/>
  <c r="P687" i="50"/>
  <c r="N687" i="50"/>
  <c r="Q687" i="50" s="1"/>
  <c r="V686" i="50"/>
  <c r="U686" i="50"/>
  <c r="T686" i="50"/>
  <c r="S686" i="50"/>
  <c r="R686" i="50"/>
  <c r="P686" i="50"/>
  <c r="N686" i="50"/>
  <c r="Q686" i="50" s="1"/>
  <c r="V685" i="50"/>
  <c r="U685" i="50"/>
  <c r="T685" i="50"/>
  <c r="S685" i="50"/>
  <c r="R685" i="50"/>
  <c r="Q685" i="50"/>
  <c r="P685" i="50"/>
  <c r="N685" i="50"/>
  <c r="V684" i="50"/>
  <c r="U684" i="50"/>
  <c r="T684" i="50"/>
  <c r="S684" i="50"/>
  <c r="R684" i="50"/>
  <c r="Q684" i="50"/>
  <c r="P684" i="50"/>
  <c r="N684" i="50"/>
  <c r="V683" i="50"/>
  <c r="U683" i="50"/>
  <c r="T683" i="50"/>
  <c r="S683" i="50"/>
  <c r="R683" i="50"/>
  <c r="Q683" i="50"/>
  <c r="P683" i="50"/>
  <c r="N683" i="50"/>
  <c r="V682" i="50"/>
  <c r="U682" i="50"/>
  <c r="T682" i="50"/>
  <c r="S682" i="50"/>
  <c r="R682" i="50"/>
  <c r="Q682" i="50"/>
  <c r="N682" i="50"/>
  <c r="H682" i="50"/>
  <c r="V681" i="50"/>
  <c r="U681" i="50"/>
  <c r="T681" i="50"/>
  <c r="S681" i="50"/>
  <c r="R681" i="50"/>
  <c r="P681" i="50"/>
  <c r="N681" i="50"/>
  <c r="Q681" i="50" s="1"/>
  <c r="V680" i="50"/>
  <c r="U680" i="50"/>
  <c r="T680" i="50"/>
  <c r="S680" i="50"/>
  <c r="R680" i="50"/>
  <c r="P680" i="50"/>
  <c r="N680" i="50"/>
  <c r="Q680" i="50" s="1"/>
  <c r="V679" i="50"/>
  <c r="U679" i="50"/>
  <c r="T679" i="50"/>
  <c r="S679" i="50"/>
  <c r="R679" i="50"/>
  <c r="Q679" i="50"/>
  <c r="P679" i="50"/>
  <c r="N679" i="50"/>
  <c r="V678" i="50"/>
  <c r="U678" i="50"/>
  <c r="T678" i="50"/>
  <c r="S678" i="50"/>
  <c r="R678" i="50"/>
  <c r="Q678" i="50"/>
  <c r="P678" i="50"/>
  <c r="N678" i="50"/>
  <c r="V677" i="50"/>
  <c r="U677" i="50"/>
  <c r="T677" i="50"/>
  <c r="S677" i="50"/>
  <c r="R677" i="50"/>
  <c r="Q677" i="50"/>
  <c r="N677" i="50"/>
  <c r="H677" i="50"/>
  <c r="V676" i="50"/>
  <c r="U676" i="50"/>
  <c r="T676" i="50"/>
  <c r="S676" i="50"/>
  <c r="R676" i="50"/>
  <c r="P676" i="50"/>
  <c r="N676" i="50"/>
  <c r="Q676" i="50" s="1"/>
  <c r="V675" i="50"/>
  <c r="U675" i="50"/>
  <c r="T675" i="50"/>
  <c r="S675" i="50"/>
  <c r="R675" i="50"/>
  <c r="P675" i="50"/>
  <c r="N675" i="50"/>
  <c r="Q675" i="50" s="1"/>
  <c r="V674" i="50"/>
  <c r="U674" i="50"/>
  <c r="T674" i="50"/>
  <c r="S674" i="50"/>
  <c r="R674" i="50"/>
  <c r="P674" i="50"/>
  <c r="N674" i="50"/>
  <c r="Q674" i="50" s="1"/>
  <c r="V673" i="50"/>
  <c r="U673" i="50"/>
  <c r="T673" i="50"/>
  <c r="S673" i="50"/>
  <c r="R673" i="50"/>
  <c r="Q673" i="50"/>
  <c r="N673" i="50"/>
  <c r="H673" i="50"/>
  <c r="V672" i="50"/>
  <c r="U672" i="50"/>
  <c r="T672" i="50"/>
  <c r="S672" i="50"/>
  <c r="R672" i="50"/>
  <c r="P672" i="50"/>
  <c r="N672" i="50"/>
  <c r="Q672" i="50" s="1"/>
  <c r="V671" i="50"/>
  <c r="U671" i="50"/>
  <c r="T671" i="50"/>
  <c r="S671" i="50"/>
  <c r="R671" i="50"/>
  <c r="P671" i="50"/>
  <c r="N671" i="50"/>
  <c r="Q671" i="50" s="1"/>
  <c r="V670" i="50"/>
  <c r="U670" i="50"/>
  <c r="T670" i="50"/>
  <c r="S670" i="50"/>
  <c r="R670" i="50"/>
  <c r="P670" i="50"/>
  <c r="N670" i="50"/>
  <c r="Q670" i="50" s="1"/>
  <c r="V669" i="50"/>
  <c r="U669" i="50"/>
  <c r="T669" i="50"/>
  <c r="S669" i="50"/>
  <c r="R669" i="50"/>
  <c r="Q669" i="50"/>
  <c r="P669" i="50"/>
  <c r="N669" i="50"/>
  <c r="V668" i="50"/>
  <c r="U668" i="50"/>
  <c r="T668" i="50"/>
  <c r="S668" i="50"/>
  <c r="R668" i="50"/>
  <c r="Q668" i="50"/>
  <c r="P668" i="50"/>
  <c r="N668" i="50"/>
  <c r="V667" i="50"/>
  <c r="U667" i="50"/>
  <c r="T667" i="50"/>
  <c r="S667" i="50"/>
  <c r="R667" i="50"/>
  <c r="Q667" i="50"/>
  <c r="P667" i="50"/>
  <c r="N667" i="50"/>
  <c r="V666" i="50"/>
  <c r="U666" i="50"/>
  <c r="T666" i="50"/>
  <c r="S666" i="50"/>
  <c r="R666" i="50"/>
  <c r="Q666" i="50"/>
  <c r="P666" i="50"/>
  <c r="N666" i="50"/>
  <c r="V665" i="50"/>
  <c r="U665" i="50"/>
  <c r="T665" i="50"/>
  <c r="S665" i="50"/>
  <c r="R665" i="50"/>
  <c r="Q665" i="50"/>
  <c r="N665" i="50"/>
  <c r="H665" i="50"/>
  <c r="V664" i="50"/>
  <c r="U664" i="50"/>
  <c r="T664" i="50"/>
  <c r="S664" i="50"/>
  <c r="Q664" i="50"/>
  <c r="P664" i="50"/>
  <c r="N664" i="50"/>
  <c r="G664" i="50"/>
  <c r="V663" i="50"/>
  <c r="U663" i="50"/>
  <c r="T663" i="50"/>
  <c r="S663" i="50"/>
  <c r="Q663" i="50"/>
  <c r="P663" i="50"/>
  <c r="N663" i="50"/>
  <c r="R663" i="50" s="1"/>
  <c r="V662" i="50"/>
  <c r="U662" i="50"/>
  <c r="T662" i="50"/>
  <c r="S662" i="50"/>
  <c r="R662" i="50"/>
  <c r="Q662" i="50"/>
  <c r="P662" i="50"/>
  <c r="N662" i="50"/>
  <c r="V661" i="50"/>
  <c r="U661" i="50"/>
  <c r="T661" i="50"/>
  <c r="S661" i="50"/>
  <c r="R661" i="50"/>
  <c r="Q661" i="50"/>
  <c r="P661" i="50"/>
  <c r="N661" i="50"/>
  <c r="V660" i="50"/>
  <c r="U660" i="50"/>
  <c r="T660" i="50"/>
  <c r="S660" i="50"/>
  <c r="R660" i="50"/>
  <c r="Q660" i="50"/>
  <c r="N660" i="50"/>
  <c r="H660" i="50"/>
  <c r="V659" i="50"/>
  <c r="U659" i="50"/>
  <c r="T659" i="50"/>
  <c r="S659" i="50"/>
  <c r="R659" i="50"/>
  <c r="P659" i="50"/>
  <c r="N659" i="50"/>
  <c r="Q659" i="50" s="1"/>
  <c r="V658" i="50"/>
  <c r="U658" i="50"/>
  <c r="T658" i="50"/>
  <c r="S658" i="50"/>
  <c r="R658" i="50"/>
  <c r="P658" i="50"/>
  <c r="N658" i="50"/>
  <c r="Q658" i="50" s="1"/>
  <c r="V657" i="50"/>
  <c r="U657" i="50"/>
  <c r="T657" i="50"/>
  <c r="S657" i="50"/>
  <c r="R657" i="50"/>
  <c r="Q657" i="50"/>
  <c r="P657" i="50"/>
  <c r="N657" i="50"/>
  <c r="V656" i="50"/>
  <c r="U656" i="50"/>
  <c r="T656" i="50"/>
  <c r="S656" i="50"/>
  <c r="R656" i="50"/>
  <c r="Q656" i="50"/>
  <c r="N656" i="50"/>
  <c r="H656" i="50"/>
  <c r="V655" i="50"/>
  <c r="U655" i="50"/>
  <c r="T655" i="50"/>
  <c r="S655" i="50"/>
  <c r="R655" i="50"/>
  <c r="P655" i="50"/>
  <c r="N655" i="50"/>
  <c r="Q655" i="50" s="1"/>
  <c r="V654" i="50"/>
  <c r="U654" i="50"/>
  <c r="T654" i="50"/>
  <c r="S654" i="50"/>
  <c r="R654" i="50"/>
  <c r="P654" i="50"/>
  <c r="N654" i="50"/>
  <c r="Q654" i="50" s="1"/>
  <c r="V653" i="50"/>
  <c r="U653" i="50"/>
  <c r="T653" i="50"/>
  <c r="S653" i="50"/>
  <c r="R653" i="50"/>
  <c r="P653" i="50"/>
  <c r="N653" i="50"/>
  <c r="Q653" i="50" s="1"/>
  <c r="V652" i="50"/>
  <c r="U652" i="50"/>
  <c r="T652" i="50"/>
  <c r="S652" i="50"/>
  <c r="R652" i="50"/>
  <c r="Q652" i="50"/>
  <c r="N652" i="50"/>
  <c r="H652" i="50"/>
  <c r="V651" i="50"/>
  <c r="U651" i="50"/>
  <c r="T651" i="50"/>
  <c r="S651" i="50"/>
  <c r="R651" i="50"/>
  <c r="P651" i="50"/>
  <c r="N651" i="50"/>
  <c r="Q651" i="50" s="1"/>
  <c r="V650" i="50"/>
  <c r="U650" i="50"/>
  <c r="T650" i="50"/>
  <c r="S650" i="50"/>
  <c r="R650" i="50"/>
  <c r="P650" i="50"/>
  <c r="N650" i="50"/>
  <c r="Q650" i="50" s="1"/>
  <c r="V649" i="50"/>
  <c r="U649" i="50"/>
  <c r="T649" i="50"/>
  <c r="S649" i="50"/>
  <c r="R649" i="50"/>
  <c r="P649" i="50"/>
  <c r="N649" i="50"/>
  <c r="Q649" i="50" s="1"/>
  <c r="V648" i="50"/>
  <c r="U648" i="50"/>
  <c r="T648" i="50"/>
  <c r="S648" i="50"/>
  <c r="R648" i="50"/>
  <c r="Q648" i="50"/>
  <c r="P648" i="50"/>
  <c r="N648" i="50"/>
  <c r="V647" i="50"/>
  <c r="U647" i="50"/>
  <c r="T647" i="50"/>
  <c r="S647" i="50"/>
  <c r="R647" i="50"/>
  <c r="Q647" i="50"/>
  <c r="P647" i="50"/>
  <c r="N647" i="50"/>
  <c r="V646" i="50"/>
  <c r="U646" i="50"/>
  <c r="T646" i="50"/>
  <c r="S646" i="50"/>
  <c r="R646" i="50"/>
  <c r="Q646" i="50"/>
  <c r="P646" i="50"/>
  <c r="N646" i="50"/>
  <c r="V645" i="50"/>
  <c r="U645" i="50"/>
  <c r="T645" i="50"/>
  <c r="S645" i="50"/>
  <c r="R645" i="50"/>
  <c r="Q645" i="50"/>
  <c r="P645" i="50"/>
  <c r="N645" i="50"/>
  <c r="V644" i="50"/>
  <c r="U644" i="50"/>
  <c r="T644" i="50"/>
  <c r="S644" i="50"/>
  <c r="R644" i="50"/>
  <c r="Q644" i="50"/>
  <c r="N644" i="50"/>
  <c r="H644" i="50"/>
  <c r="V643" i="50"/>
  <c r="U643" i="50"/>
  <c r="T643" i="50"/>
  <c r="S643" i="50"/>
  <c r="R643" i="50"/>
  <c r="P643" i="50"/>
  <c r="N643" i="50"/>
  <c r="Q643" i="50" s="1"/>
  <c r="V642" i="50"/>
  <c r="U642" i="50"/>
  <c r="T642" i="50"/>
  <c r="S642" i="50"/>
  <c r="R642" i="50"/>
  <c r="P642" i="50"/>
  <c r="N642" i="50"/>
  <c r="Q642" i="50" s="1"/>
  <c r="V641" i="50"/>
  <c r="U641" i="50"/>
  <c r="T641" i="50"/>
  <c r="S641" i="50"/>
  <c r="R641" i="50"/>
  <c r="Q641" i="50"/>
  <c r="N641" i="50"/>
  <c r="H641" i="50"/>
  <c r="V640" i="50"/>
  <c r="U640" i="50"/>
  <c r="T640" i="50"/>
  <c r="S640" i="50"/>
  <c r="R640" i="50"/>
  <c r="P640" i="50"/>
  <c r="N640" i="50"/>
  <c r="Q640" i="50" s="1"/>
  <c r="V639" i="50"/>
  <c r="U639" i="50"/>
  <c r="T639" i="50"/>
  <c r="S639" i="50"/>
  <c r="R639" i="50"/>
  <c r="P639" i="50"/>
  <c r="N639" i="50"/>
  <c r="Q639" i="50" s="1"/>
  <c r="V638" i="50"/>
  <c r="U638" i="50"/>
  <c r="T638" i="50"/>
  <c r="S638" i="50"/>
  <c r="R638" i="50"/>
  <c r="Q638" i="50"/>
  <c r="N638" i="50"/>
  <c r="H638" i="50"/>
  <c r="G638" i="50"/>
  <c r="V637" i="50"/>
  <c r="U637" i="50"/>
  <c r="T637" i="50"/>
  <c r="S637" i="50"/>
  <c r="R637" i="50"/>
  <c r="P637" i="50"/>
  <c r="N637" i="50"/>
  <c r="G637" i="50"/>
  <c r="V636" i="50"/>
  <c r="U636" i="50"/>
  <c r="T636" i="50"/>
  <c r="S636" i="50"/>
  <c r="R636" i="50"/>
  <c r="P636" i="50"/>
  <c r="N636" i="50"/>
  <c r="G636" i="50"/>
  <c r="V635" i="50"/>
  <c r="U635" i="50"/>
  <c r="T635" i="50"/>
  <c r="S635" i="50"/>
  <c r="R635" i="50"/>
  <c r="Q635" i="50"/>
  <c r="N635" i="50"/>
  <c r="H635" i="50"/>
  <c r="V634" i="50"/>
  <c r="U634" i="50"/>
  <c r="T634" i="50"/>
  <c r="S634" i="50"/>
  <c r="R634" i="50"/>
  <c r="P634" i="50"/>
  <c r="N634" i="50"/>
  <c r="Q634" i="50" s="1"/>
  <c r="V633" i="50"/>
  <c r="U633" i="50"/>
  <c r="T633" i="50"/>
  <c r="S633" i="50"/>
  <c r="R633" i="50"/>
  <c r="P633" i="50"/>
  <c r="N633" i="50"/>
  <c r="Q633" i="50" s="1"/>
  <c r="V632" i="50"/>
  <c r="U632" i="50"/>
  <c r="T632" i="50"/>
  <c r="S632" i="50"/>
  <c r="R632" i="50"/>
  <c r="Q632" i="50"/>
  <c r="N632" i="50"/>
  <c r="H632" i="50"/>
  <c r="V631" i="50"/>
  <c r="U631" i="50"/>
  <c r="T631" i="50"/>
  <c r="S631" i="50"/>
  <c r="R631" i="50"/>
  <c r="P631" i="50"/>
  <c r="N631" i="50"/>
  <c r="Q631" i="50" s="1"/>
  <c r="V630" i="50"/>
  <c r="U630" i="50"/>
  <c r="T630" i="50"/>
  <c r="S630" i="50"/>
  <c r="R630" i="50"/>
  <c r="P630" i="50"/>
  <c r="N630" i="50"/>
  <c r="Q630" i="50" s="1"/>
  <c r="V629" i="50"/>
  <c r="U629" i="50"/>
  <c r="T629" i="50"/>
  <c r="S629" i="50"/>
  <c r="R629" i="50"/>
  <c r="Q629" i="50"/>
  <c r="N629" i="50"/>
  <c r="H629" i="50"/>
  <c r="V628" i="50"/>
  <c r="U628" i="50"/>
  <c r="T628" i="50"/>
  <c r="S628" i="50"/>
  <c r="R628" i="50"/>
  <c r="P628" i="50"/>
  <c r="N628" i="50"/>
  <c r="Q628" i="50" s="1"/>
  <c r="V627" i="50"/>
  <c r="U627" i="50"/>
  <c r="T627" i="50"/>
  <c r="S627" i="50"/>
  <c r="R627" i="50"/>
  <c r="P627" i="50"/>
  <c r="N627" i="50"/>
  <c r="Q627" i="50" s="1"/>
  <c r="V626" i="50"/>
  <c r="U626" i="50"/>
  <c r="T626" i="50"/>
  <c r="S626" i="50"/>
  <c r="R626" i="50"/>
  <c r="Q626" i="50"/>
  <c r="N626" i="50"/>
  <c r="H626" i="50"/>
  <c r="V625" i="50"/>
  <c r="U625" i="50"/>
  <c r="T625" i="50"/>
  <c r="S625" i="50"/>
  <c r="R625" i="50"/>
  <c r="P625" i="50"/>
  <c r="N625" i="50"/>
  <c r="Q625" i="50" s="1"/>
  <c r="V624" i="50"/>
  <c r="U624" i="50"/>
  <c r="T624" i="50"/>
  <c r="S624" i="50"/>
  <c r="R624" i="50"/>
  <c r="P624" i="50"/>
  <c r="N624" i="50"/>
  <c r="Q624" i="50" s="1"/>
  <c r="V623" i="50"/>
  <c r="U623" i="50"/>
  <c r="T623" i="50"/>
  <c r="S623" i="50"/>
  <c r="R623" i="50"/>
  <c r="Q623" i="50"/>
  <c r="N623" i="50"/>
  <c r="H623" i="50"/>
  <c r="V622" i="50"/>
  <c r="U622" i="50"/>
  <c r="T622" i="50"/>
  <c r="S622" i="50"/>
  <c r="R622" i="50"/>
  <c r="P622" i="50"/>
  <c r="N622" i="50"/>
  <c r="Q622" i="50" s="1"/>
  <c r="V621" i="50"/>
  <c r="U621" i="50"/>
  <c r="T621" i="50"/>
  <c r="S621" i="50"/>
  <c r="R621" i="50"/>
  <c r="P621" i="50"/>
  <c r="N621" i="50"/>
  <c r="Q621" i="50" s="1"/>
  <c r="V620" i="50"/>
  <c r="U620" i="50"/>
  <c r="T620" i="50"/>
  <c r="S620" i="50"/>
  <c r="R620" i="50"/>
  <c r="Q620" i="50"/>
  <c r="P620" i="50"/>
  <c r="N620" i="50"/>
  <c r="V619" i="50"/>
  <c r="U619" i="50"/>
  <c r="T619" i="50"/>
  <c r="S619" i="50"/>
  <c r="R619" i="50"/>
  <c r="Q619" i="50"/>
  <c r="N619" i="50"/>
  <c r="H619" i="50"/>
  <c r="V618" i="50"/>
  <c r="U618" i="50"/>
  <c r="T618" i="50"/>
  <c r="S618" i="50"/>
  <c r="R618" i="50"/>
  <c r="P618" i="50"/>
  <c r="N618" i="50"/>
  <c r="Q618" i="50" s="1"/>
  <c r="V617" i="50"/>
  <c r="U617" i="50"/>
  <c r="T617" i="50"/>
  <c r="S617" i="50"/>
  <c r="R617" i="50"/>
  <c r="P617" i="50"/>
  <c r="N617" i="50"/>
  <c r="Q617" i="50" s="1"/>
  <c r="V616" i="50"/>
  <c r="U616" i="50"/>
  <c r="T616" i="50"/>
  <c r="S616" i="50"/>
  <c r="R616" i="50"/>
  <c r="Q616" i="50"/>
  <c r="N616" i="50"/>
  <c r="H616" i="50"/>
  <c r="V615" i="50"/>
  <c r="U615" i="50"/>
  <c r="T615" i="50"/>
  <c r="S615" i="50"/>
  <c r="R615" i="50"/>
  <c r="P615" i="50"/>
  <c r="N615" i="50"/>
  <c r="Q615" i="50" s="1"/>
  <c r="V614" i="50"/>
  <c r="U614" i="50"/>
  <c r="T614" i="50"/>
  <c r="S614" i="50"/>
  <c r="R614" i="50"/>
  <c r="P614" i="50"/>
  <c r="N614" i="50"/>
  <c r="Q614" i="50" s="1"/>
  <c r="V613" i="50"/>
  <c r="U613" i="50"/>
  <c r="T613" i="50"/>
  <c r="S613" i="50"/>
  <c r="R613" i="50"/>
  <c r="Q613" i="50"/>
  <c r="N613" i="50"/>
  <c r="H613" i="50"/>
  <c r="V612" i="50"/>
  <c r="U612" i="50"/>
  <c r="T612" i="50"/>
  <c r="S612" i="50"/>
  <c r="R612" i="50"/>
  <c r="P612" i="50"/>
  <c r="N612" i="50"/>
  <c r="Q612" i="50" s="1"/>
  <c r="V611" i="50"/>
  <c r="U611" i="50"/>
  <c r="T611" i="50"/>
  <c r="S611" i="50"/>
  <c r="R611" i="50"/>
  <c r="P611" i="50"/>
  <c r="N611" i="50"/>
  <c r="Q611" i="50" s="1"/>
  <c r="V610" i="50"/>
  <c r="U610" i="50"/>
  <c r="T610" i="50"/>
  <c r="S610" i="50"/>
  <c r="R610" i="50"/>
  <c r="Q610" i="50"/>
  <c r="N610" i="50"/>
  <c r="H610" i="50"/>
  <c r="V609" i="50"/>
  <c r="U609" i="50"/>
  <c r="T609" i="50"/>
  <c r="S609" i="50"/>
  <c r="R609" i="50"/>
  <c r="P609" i="50"/>
  <c r="N609" i="50"/>
  <c r="Q609" i="50" s="1"/>
  <c r="V608" i="50"/>
  <c r="U608" i="50"/>
  <c r="T608" i="50"/>
  <c r="S608" i="50"/>
  <c r="R608" i="50"/>
  <c r="P608" i="50"/>
  <c r="N608" i="50"/>
  <c r="Q608" i="50" s="1"/>
  <c r="V607" i="50"/>
  <c r="U607" i="50"/>
  <c r="T607" i="50"/>
  <c r="S607" i="50"/>
  <c r="R607" i="50"/>
  <c r="Q607" i="50"/>
  <c r="N607" i="50"/>
  <c r="H607" i="50"/>
  <c r="V606" i="50"/>
  <c r="U606" i="50"/>
  <c r="T606" i="50"/>
  <c r="S606" i="50"/>
  <c r="R606" i="50"/>
  <c r="P606" i="50"/>
  <c r="N606" i="50"/>
  <c r="Q606" i="50" s="1"/>
  <c r="V605" i="50"/>
  <c r="U605" i="50"/>
  <c r="T605" i="50"/>
  <c r="S605" i="50"/>
  <c r="R605" i="50"/>
  <c r="P605" i="50"/>
  <c r="N605" i="50"/>
  <c r="Q605" i="50" s="1"/>
  <c r="V604" i="50"/>
  <c r="U604" i="50"/>
  <c r="T604" i="50"/>
  <c r="S604" i="50"/>
  <c r="R604" i="50"/>
  <c r="Q604" i="50"/>
  <c r="N604" i="50"/>
  <c r="H604" i="50"/>
  <c r="V603" i="50"/>
  <c r="U603" i="50"/>
  <c r="T603" i="50"/>
  <c r="S603" i="50"/>
  <c r="R603" i="50"/>
  <c r="P603" i="50"/>
  <c r="N603" i="50"/>
  <c r="Q603" i="50" s="1"/>
  <c r="V602" i="50"/>
  <c r="U602" i="50"/>
  <c r="T602" i="50"/>
  <c r="S602" i="50"/>
  <c r="R602" i="50"/>
  <c r="P602" i="50"/>
  <c r="N602" i="50"/>
  <c r="Q602" i="50" s="1"/>
  <c r="V601" i="50"/>
  <c r="U601" i="50"/>
  <c r="T601" i="50"/>
  <c r="S601" i="50"/>
  <c r="R601" i="50"/>
  <c r="Q601" i="50"/>
  <c r="N601" i="50"/>
  <c r="H601" i="50"/>
  <c r="V600" i="50"/>
  <c r="U600" i="50"/>
  <c r="T600" i="50"/>
  <c r="S600" i="50"/>
  <c r="R600" i="50"/>
  <c r="P600" i="50"/>
  <c r="N600" i="50"/>
  <c r="Q600" i="50" s="1"/>
  <c r="V599" i="50"/>
  <c r="U599" i="50"/>
  <c r="T599" i="50"/>
  <c r="S599" i="50"/>
  <c r="R599" i="50"/>
  <c r="P599" i="50"/>
  <c r="N599" i="50"/>
  <c r="Q599" i="50" s="1"/>
  <c r="V598" i="50"/>
  <c r="U598" i="50"/>
  <c r="T598" i="50"/>
  <c r="S598" i="50"/>
  <c r="R598" i="50"/>
  <c r="P598" i="50"/>
  <c r="N598" i="50"/>
  <c r="Q598" i="50" s="1"/>
  <c r="V597" i="50"/>
  <c r="U597" i="50"/>
  <c r="T597" i="50"/>
  <c r="S597" i="50"/>
  <c r="R597" i="50"/>
  <c r="Q597" i="50"/>
  <c r="N597" i="50"/>
  <c r="H597" i="50"/>
  <c r="V596" i="50"/>
  <c r="U596" i="50"/>
  <c r="T596" i="50"/>
  <c r="S596" i="50"/>
  <c r="R596" i="50"/>
  <c r="P596" i="50"/>
  <c r="N596" i="50"/>
  <c r="Q596" i="50" s="1"/>
  <c r="V595" i="50"/>
  <c r="U595" i="50"/>
  <c r="T595" i="50"/>
  <c r="S595" i="50"/>
  <c r="R595" i="50"/>
  <c r="P595" i="50"/>
  <c r="N595" i="50"/>
  <c r="Q595" i="50" s="1"/>
  <c r="V594" i="50"/>
  <c r="U594" i="50"/>
  <c r="T594" i="50"/>
  <c r="S594" i="50"/>
  <c r="R594" i="50"/>
  <c r="P594" i="50"/>
  <c r="N594" i="50"/>
  <c r="Q594" i="50" s="1"/>
  <c r="V593" i="50"/>
  <c r="U593" i="50"/>
  <c r="T593" i="50"/>
  <c r="S593" i="50"/>
  <c r="R593" i="50"/>
  <c r="Q593" i="50"/>
  <c r="P593" i="50"/>
  <c r="N593" i="50"/>
  <c r="V592" i="50"/>
  <c r="U592" i="50"/>
  <c r="T592" i="50"/>
  <c r="S592" i="50"/>
  <c r="R592" i="50"/>
  <c r="Q592" i="50"/>
  <c r="P592" i="50"/>
  <c r="N592" i="50"/>
  <c r="V591" i="50"/>
  <c r="U591" i="50"/>
  <c r="T591" i="50"/>
  <c r="S591" i="50"/>
  <c r="R591" i="50"/>
  <c r="Q591" i="50"/>
  <c r="P591" i="50"/>
  <c r="N591" i="50"/>
  <c r="V590" i="50"/>
  <c r="U590" i="50"/>
  <c r="T590" i="50"/>
  <c r="S590" i="50"/>
  <c r="R590" i="50"/>
  <c r="Q590" i="50"/>
  <c r="N590" i="50"/>
  <c r="H590" i="50"/>
  <c r="V589" i="50"/>
  <c r="U589" i="50"/>
  <c r="T589" i="50"/>
  <c r="S589" i="50"/>
  <c r="R589" i="50"/>
  <c r="P589" i="50"/>
  <c r="N589" i="50"/>
  <c r="Q589" i="50" s="1"/>
  <c r="V588" i="50"/>
  <c r="U588" i="50"/>
  <c r="T588" i="50"/>
  <c r="S588" i="50"/>
  <c r="R588" i="50"/>
  <c r="P588" i="50"/>
  <c r="N588" i="50"/>
  <c r="Q588" i="50" s="1"/>
  <c r="V587" i="50"/>
  <c r="U587" i="50"/>
  <c r="T587" i="50"/>
  <c r="S587" i="50"/>
  <c r="R587" i="50"/>
  <c r="Q587" i="50"/>
  <c r="P587" i="50"/>
  <c r="N587" i="50"/>
  <c r="V586" i="50"/>
  <c r="U586" i="50"/>
  <c r="T586" i="50"/>
  <c r="S586" i="50"/>
  <c r="R586" i="50"/>
  <c r="Q586" i="50"/>
  <c r="N586" i="50"/>
  <c r="H586" i="50"/>
  <c r="V585" i="50"/>
  <c r="U585" i="50"/>
  <c r="T585" i="50"/>
  <c r="S585" i="50"/>
  <c r="R585" i="50"/>
  <c r="P585" i="50"/>
  <c r="N585" i="50"/>
  <c r="Q585" i="50" s="1"/>
  <c r="V584" i="50"/>
  <c r="U584" i="50"/>
  <c r="T584" i="50"/>
  <c r="S584" i="50"/>
  <c r="R584" i="50"/>
  <c r="P584" i="50"/>
  <c r="N584" i="50"/>
  <c r="Q584" i="50" s="1"/>
  <c r="V583" i="50"/>
  <c r="U583" i="50"/>
  <c r="T583" i="50"/>
  <c r="S583" i="50"/>
  <c r="R583" i="50"/>
  <c r="P583" i="50"/>
  <c r="N583" i="50"/>
  <c r="Q583" i="50" s="1"/>
  <c r="V582" i="50"/>
  <c r="U582" i="50"/>
  <c r="T582" i="50"/>
  <c r="S582" i="50"/>
  <c r="R582" i="50"/>
  <c r="Q582" i="50"/>
  <c r="P582" i="50"/>
  <c r="N582" i="50"/>
  <c r="V581" i="50"/>
  <c r="U581" i="50"/>
  <c r="T581" i="50"/>
  <c r="S581" i="50"/>
  <c r="R581" i="50"/>
  <c r="Q581" i="50"/>
  <c r="P581" i="50"/>
  <c r="N581" i="50"/>
  <c r="V580" i="50"/>
  <c r="U580" i="50"/>
  <c r="T580" i="50"/>
  <c r="S580" i="50"/>
  <c r="R580" i="50"/>
  <c r="Q580" i="50"/>
  <c r="P580" i="50"/>
  <c r="N580" i="50"/>
  <c r="V579" i="50"/>
  <c r="U579" i="50"/>
  <c r="T579" i="50"/>
  <c r="S579" i="50"/>
  <c r="R579" i="50"/>
  <c r="Q579" i="50"/>
  <c r="N579" i="50"/>
  <c r="H579" i="50"/>
  <c r="V578" i="50"/>
  <c r="U578" i="50"/>
  <c r="T578" i="50"/>
  <c r="S578" i="50"/>
  <c r="R578" i="50"/>
  <c r="P578" i="50"/>
  <c r="N578" i="50"/>
  <c r="Q578" i="50" s="1"/>
  <c r="V577" i="50"/>
  <c r="U577" i="50"/>
  <c r="T577" i="50"/>
  <c r="S577" i="50"/>
  <c r="R577" i="50"/>
  <c r="P577" i="50"/>
  <c r="N577" i="50"/>
  <c r="Q577" i="50" s="1"/>
  <c r="V576" i="50"/>
  <c r="U576" i="50"/>
  <c r="T576" i="50"/>
  <c r="S576" i="50"/>
  <c r="R576" i="50"/>
  <c r="Q576" i="50"/>
  <c r="N576" i="50"/>
  <c r="H576" i="50"/>
  <c r="V575" i="50"/>
  <c r="U575" i="50"/>
  <c r="T575" i="50"/>
  <c r="S575" i="50"/>
  <c r="R575" i="50"/>
  <c r="P575" i="50"/>
  <c r="N575" i="50"/>
  <c r="Q575" i="50" s="1"/>
  <c r="V574" i="50"/>
  <c r="U574" i="50"/>
  <c r="T574" i="50"/>
  <c r="S574" i="50"/>
  <c r="R574" i="50"/>
  <c r="P574" i="50"/>
  <c r="N574" i="50"/>
  <c r="Q574" i="50" s="1"/>
  <c r="V573" i="50"/>
  <c r="U573" i="50"/>
  <c r="T573" i="50"/>
  <c r="S573" i="50"/>
  <c r="R573" i="50"/>
  <c r="Q573" i="50"/>
  <c r="N573" i="50"/>
  <c r="H573" i="50"/>
  <c r="V572" i="50"/>
  <c r="U572" i="50"/>
  <c r="T572" i="50"/>
  <c r="S572" i="50"/>
  <c r="R572" i="50"/>
  <c r="P572" i="50"/>
  <c r="N572" i="50"/>
  <c r="Q572" i="50" s="1"/>
  <c r="V571" i="50"/>
  <c r="U571" i="50"/>
  <c r="T571" i="50"/>
  <c r="S571" i="50"/>
  <c r="R571" i="50"/>
  <c r="P571" i="50"/>
  <c r="N571" i="50"/>
  <c r="Q571" i="50" s="1"/>
  <c r="V570" i="50"/>
  <c r="U570" i="50"/>
  <c r="T570" i="50"/>
  <c r="S570" i="50"/>
  <c r="R570" i="50"/>
  <c r="Q570" i="50"/>
  <c r="N570" i="50"/>
  <c r="H570" i="50"/>
  <c r="V569" i="50"/>
  <c r="U569" i="50"/>
  <c r="T569" i="50"/>
  <c r="S569" i="50"/>
  <c r="R569" i="50"/>
  <c r="P569" i="50"/>
  <c r="N569" i="50"/>
  <c r="Q569" i="50" s="1"/>
  <c r="V568" i="50"/>
  <c r="U568" i="50"/>
  <c r="T568" i="50"/>
  <c r="S568" i="50"/>
  <c r="R568" i="50"/>
  <c r="P568" i="50"/>
  <c r="N568" i="50"/>
  <c r="Q568" i="50" s="1"/>
  <c r="V567" i="50"/>
  <c r="U567" i="50"/>
  <c r="T567" i="50"/>
  <c r="S567" i="50"/>
  <c r="R567" i="50"/>
  <c r="Q567" i="50"/>
  <c r="N567" i="50"/>
  <c r="H567" i="50"/>
  <c r="V566" i="50"/>
  <c r="U566" i="50"/>
  <c r="T566" i="50"/>
  <c r="S566" i="50"/>
  <c r="R566" i="50"/>
  <c r="P566" i="50"/>
  <c r="N566" i="50"/>
  <c r="Q566" i="50" s="1"/>
  <c r="V565" i="50"/>
  <c r="U565" i="50"/>
  <c r="T565" i="50"/>
  <c r="S565" i="50"/>
  <c r="R565" i="50"/>
  <c r="P565" i="50"/>
  <c r="N565" i="50"/>
  <c r="Q565" i="50" s="1"/>
  <c r="V564" i="50"/>
  <c r="U564" i="50"/>
  <c r="T564" i="50"/>
  <c r="S564" i="50"/>
  <c r="R564" i="50"/>
  <c r="Q564" i="50"/>
  <c r="N564" i="50"/>
  <c r="H564" i="50"/>
  <c r="V563" i="50"/>
  <c r="U563" i="50"/>
  <c r="T563" i="50"/>
  <c r="S563" i="50"/>
  <c r="R563" i="50"/>
  <c r="P563" i="50"/>
  <c r="N563" i="50"/>
  <c r="Q563" i="50" s="1"/>
  <c r="V562" i="50"/>
  <c r="U562" i="50"/>
  <c r="T562" i="50"/>
  <c r="S562" i="50"/>
  <c r="R562" i="50"/>
  <c r="P562" i="50"/>
  <c r="N562" i="50"/>
  <c r="Q562" i="50" s="1"/>
  <c r="V561" i="50"/>
  <c r="U561" i="50"/>
  <c r="T561" i="50"/>
  <c r="S561" i="50"/>
  <c r="R561" i="50"/>
  <c r="Q561" i="50"/>
  <c r="N561" i="50"/>
  <c r="H561" i="50"/>
  <c r="V560" i="50"/>
  <c r="U560" i="50"/>
  <c r="T560" i="50"/>
  <c r="S560" i="50"/>
  <c r="R560" i="50"/>
  <c r="P560" i="50"/>
  <c r="N560" i="50"/>
  <c r="Q560" i="50" s="1"/>
  <c r="V559" i="50"/>
  <c r="U559" i="50"/>
  <c r="T559" i="50"/>
  <c r="S559" i="50"/>
  <c r="R559" i="50"/>
  <c r="P559" i="50"/>
  <c r="N559" i="50"/>
  <c r="Q559" i="50" s="1"/>
  <c r="V558" i="50"/>
  <c r="U558" i="50"/>
  <c r="T558" i="50"/>
  <c r="S558" i="50"/>
  <c r="R558" i="50"/>
  <c r="Q558" i="50"/>
  <c r="P558" i="50"/>
  <c r="N558" i="50"/>
  <c r="V557" i="50"/>
  <c r="U557" i="50"/>
  <c r="T557" i="50"/>
  <c r="S557" i="50"/>
  <c r="R557" i="50"/>
  <c r="Q557" i="50"/>
  <c r="N557" i="50"/>
  <c r="H557" i="50"/>
  <c r="G557" i="50"/>
  <c r="V556" i="50"/>
  <c r="U556" i="50"/>
  <c r="T556" i="50"/>
  <c r="S556" i="50"/>
  <c r="Q556" i="50"/>
  <c r="P556" i="50"/>
  <c r="N556" i="50"/>
  <c r="G556" i="50"/>
  <c r="V555" i="50"/>
  <c r="U555" i="50"/>
  <c r="T555" i="50"/>
  <c r="S555" i="50"/>
  <c r="Q555" i="50"/>
  <c r="P555" i="50"/>
  <c r="N555" i="50"/>
  <c r="R555" i="50" s="1"/>
  <c r="V554" i="50"/>
  <c r="U554" i="50"/>
  <c r="T554" i="50"/>
  <c r="S554" i="50"/>
  <c r="R554" i="50"/>
  <c r="Q554" i="50"/>
  <c r="N554" i="50"/>
  <c r="H554" i="50"/>
  <c r="G554" i="50"/>
  <c r="V553" i="50"/>
  <c r="U553" i="50"/>
  <c r="T553" i="50"/>
  <c r="S553" i="50"/>
  <c r="R553" i="50"/>
  <c r="P553" i="50"/>
  <c r="N553" i="50"/>
  <c r="G553" i="50"/>
  <c r="V552" i="50"/>
  <c r="U552" i="50"/>
  <c r="T552" i="50"/>
  <c r="S552" i="50"/>
  <c r="R552" i="50"/>
  <c r="P552" i="50"/>
  <c r="N552" i="50"/>
  <c r="Q552" i="50" s="1"/>
  <c r="V551" i="50"/>
  <c r="U551" i="50"/>
  <c r="T551" i="50"/>
  <c r="S551" i="50"/>
  <c r="R551" i="50"/>
  <c r="Q551" i="50"/>
  <c r="N551" i="50"/>
  <c r="H551" i="50"/>
  <c r="G551" i="50"/>
  <c r="V550" i="50"/>
  <c r="U550" i="50"/>
  <c r="T550" i="50"/>
  <c r="S550" i="50"/>
  <c r="R550" i="50"/>
  <c r="P550" i="50"/>
  <c r="N550" i="50"/>
  <c r="G550" i="50"/>
  <c r="V549" i="50"/>
  <c r="U549" i="50"/>
  <c r="T549" i="50"/>
  <c r="S549" i="50"/>
  <c r="R549" i="50"/>
  <c r="P549" i="50"/>
  <c r="N549" i="50"/>
  <c r="Q549" i="50" s="1"/>
  <c r="V548" i="50"/>
  <c r="U548" i="50"/>
  <c r="T548" i="50"/>
  <c r="S548" i="50"/>
  <c r="R548" i="50"/>
  <c r="Q548" i="50"/>
  <c r="N548" i="50"/>
  <c r="H548" i="50"/>
  <c r="G548" i="50"/>
  <c r="V547" i="50"/>
  <c r="U547" i="50"/>
  <c r="T547" i="50"/>
  <c r="S547" i="50"/>
  <c r="R547" i="50"/>
  <c r="P547" i="50"/>
  <c r="N547" i="50"/>
  <c r="G547" i="50"/>
  <c r="V546" i="50"/>
  <c r="U546" i="50"/>
  <c r="T546" i="50"/>
  <c r="S546" i="50"/>
  <c r="R546" i="50"/>
  <c r="P546" i="50"/>
  <c r="N546" i="50"/>
  <c r="Q546" i="50" s="1"/>
  <c r="V545" i="50"/>
  <c r="U545" i="50"/>
  <c r="T545" i="50"/>
  <c r="S545" i="50"/>
  <c r="R545" i="50"/>
  <c r="Q545" i="50"/>
  <c r="N545" i="50"/>
  <c r="H545" i="50"/>
  <c r="G545" i="50"/>
  <c r="V544" i="50"/>
  <c r="U544" i="50"/>
  <c r="T544" i="50"/>
  <c r="S544" i="50"/>
  <c r="R544" i="50"/>
  <c r="P544" i="50"/>
  <c r="N544" i="50"/>
  <c r="G544" i="50"/>
  <c r="V543" i="50"/>
  <c r="U543" i="50"/>
  <c r="T543" i="50"/>
  <c r="S543" i="50"/>
  <c r="R543" i="50"/>
  <c r="P543" i="50"/>
  <c r="N543" i="50"/>
  <c r="Q543" i="50" s="1"/>
  <c r="V542" i="50"/>
  <c r="U542" i="50"/>
  <c r="T542" i="50"/>
  <c r="S542" i="50"/>
  <c r="R542" i="50"/>
  <c r="Q542" i="50"/>
  <c r="N542" i="50"/>
  <c r="H542" i="50"/>
  <c r="G542" i="50"/>
  <c r="V541" i="50"/>
  <c r="U541" i="50"/>
  <c r="T541" i="50"/>
  <c r="S541" i="50"/>
  <c r="R541" i="50"/>
  <c r="P541" i="50"/>
  <c r="N541" i="50"/>
  <c r="G541" i="50"/>
  <c r="V540" i="50"/>
  <c r="U540" i="50"/>
  <c r="T540" i="50"/>
  <c r="S540" i="50"/>
  <c r="R540" i="50"/>
  <c r="P540" i="50"/>
  <c r="N540" i="50"/>
  <c r="Q540" i="50" s="1"/>
  <c r="V539" i="50"/>
  <c r="U539" i="50"/>
  <c r="T539" i="50"/>
  <c r="S539" i="50"/>
  <c r="R539" i="50"/>
  <c r="Q539" i="50"/>
  <c r="N539" i="50"/>
  <c r="H539" i="50"/>
  <c r="G539" i="50"/>
  <c r="V538" i="50"/>
  <c r="U538" i="50"/>
  <c r="T538" i="50"/>
  <c r="S538" i="50"/>
  <c r="R538" i="50"/>
  <c r="P538" i="50"/>
  <c r="N538" i="50"/>
  <c r="G538" i="50"/>
  <c r="V537" i="50"/>
  <c r="U537" i="50"/>
  <c r="T537" i="50"/>
  <c r="S537" i="50"/>
  <c r="R537" i="50"/>
  <c r="P537" i="50"/>
  <c r="N537" i="50"/>
  <c r="Q537" i="50" s="1"/>
  <c r="V536" i="50"/>
  <c r="U536" i="50"/>
  <c r="T536" i="50"/>
  <c r="S536" i="50"/>
  <c r="R536" i="50"/>
  <c r="Q536" i="50"/>
  <c r="N536" i="50"/>
  <c r="H536" i="50"/>
  <c r="G536" i="50"/>
  <c r="V535" i="50"/>
  <c r="U535" i="50"/>
  <c r="T535" i="50"/>
  <c r="S535" i="50"/>
  <c r="R535" i="50"/>
  <c r="P535" i="50"/>
  <c r="N535" i="50"/>
  <c r="G535" i="50"/>
  <c r="V534" i="50"/>
  <c r="U534" i="50"/>
  <c r="T534" i="50"/>
  <c r="S534" i="50"/>
  <c r="R534" i="50"/>
  <c r="P534" i="50"/>
  <c r="N534" i="50"/>
  <c r="Q534" i="50" s="1"/>
  <c r="V533" i="50"/>
  <c r="U533" i="50"/>
  <c r="T533" i="50"/>
  <c r="S533" i="50"/>
  <c r="R533" i="50"/>
  <c r="Q533" i="50"/>
  <c r="N533" i="50"/>
  <c r="H533" i="50"/>
  <c r="G533" i="50"/>
  <c r="V532" i="50"/>
  <c r="U532" i="50"/>
  <c r="T532" i="50"/>
  <c r="S532" i="50"/>
  <c r="R532" i="50"/>
  <c r="P532" i="50"/>
  <c r="N532" i="50"/>
  <c r="G532" i="50"/>
  <c r="V531" i="50"/>
  <c r="U531" i="50"/>
  <c r="T531" i="50"/>
  <c r="S531" i="50"/>
  <c r="R531" i="50"/>
  <c r="P531" i="50"/>
  <c r="N531" i="50"/>
  <c r="Q531" i="50" s="1"/>
  <c r="V530" i="50"/>
  <c r="U530" i="50"/>
  <c r="T530" i="50"/>
  <c r="S530" i="50"/>
  <c r="R530" i="50"/>
  <c r="Q530" i="50"/>
  <c r="N530" i="50"/>
  <c r="H530" i="50"/>
  <c r="G530" i="50"/>
  <c r="V529" i="50"/>
  <c r="U529" i="50"/>
  <c r="T529" i="50"/>
  <c r="S529" i="50"/>
  <c r="R529" i="50"/>
  <c r="P529" i="50"/>
  <c r="N529" i="50"/>
  <c r="G529" i="50"/>
  <c r="V528" i="50"/>
  <c r="U528" i="50"/>
  <c r="T528" i="50"/>
  <c r="S528" i="50"/>
  <c r="R528" i="50"/>
  <c r="P528" i="50"/>
  <c r="N528" i="50"/>
  <c r="Q528" i="50" s="1"/>
  <c r="V527" i="50"/>
  <c r="U527" i="50"/>
  <c r="T527" i="50"/>
  <c r="S527" i="50"/>
  <c r="R527" i="50"/>
  <c r="Q527" i="50"/>
  <c r="N527" i="50"/>
  <c r="H527" i="50"/>
  <c r="G527" i="50"/>
  <c r="V526" i="50"/>
  <c r="U526" i="50"/>
  <c r="T526" i="50"/>
  <c r="S526" i="50"/>
  <c r="R526" i="50"/>
  <c r="P526" i="50"/>
  <c r="N526" i="50"/>
  <c r="G526" i="50"/>
  <c r="V525" i="50"/>
  <c r="U525" i="50"/>
  <c r="T525" i="50"/>
  <c r="S525" i="50"/>
  <c r="R525" i="50"/>
  <c r="P525" i="50"/>
  <c r="N525" i="50"/>
  <c r="Q525" i="50" s="1"/>
  <c r="V524" i="50"/>
  <c r="U524" i="50"/>
  <c r="T524" i="50"/>
  <c r="S524" i="50"/>
  <c r="R524" i="50"/>
  <c r="Q524" i="50"/>
  <c r="N524" i="50"/>
  <c r="H524" i="50"/>
  <c r="G524" i="50"/>
  <c r="V523" i="50"/>
  <c r="U523" i="50"/>
  <c r="T523" i="50"/>
  <c r="S523" i="50"/>
  <c r="R523" i="50"/>
  <c r="P523" i="50"/>
  <c r="N523" i="50"/>
  <c r="G523" i="50"/>
  <c r="V522" i="50"/>
  <c r="U522" i="50"/>
  <c r="T522" i="50"/>
  <c r="S522" i="50"/>
  <c r="R522" i="50"/>
  <c r="P522" i="50"/>
  <c r="N522" i="50"/>
  <c r="Q522" i="50" s="1"/>
  <c r="V521" i="50"/>
  <c r="U521" i="50"/>
  <c r="T521" i="50"/>
  <c r="S521" i="50"/>
  <c r="R521" i="50"/>
  <c r="Q521" i="50"/>
  <c r="P521" i="50"/>
  <c r="N521" i="50"/>
  <c r="V520" i="50"/>
  <c r="U520" i="50"/>
  <c r="T520" i="50"/>
  <c r="S520" i="50"/>
  <c r="R520" i="50"/>
  <c r="Q520" i="50"/>
  <c r="P520" i="50"/>
  <c r="N520" i="50"/>
  <c r="V519" i="50"/>
  <c r="U519" i="50"/>
  <c r="T519" i="50"/>
  <c r="S519" i="50"/>
  <c r="R519" i="50"/>
  <c r="Q519" i="50"/>
  <c r="P519" i="50"/>
  <c r="N519" i="50"/>
  <c r="V518" i="50"/>
  <c r="U518" i="50"/>
  <c r="T518" i="50"/>
  <c r="S518" i="50"/>
  <c r="R518" i="50"/>
  <c r="Q518" i="50"/>
  <c r="N518" i="50"/>
  <c r="H518" i="50"/>
  <c r="V517" i="50"/>
  <c r="U517" i="50"/>
  <c r="T517" i="50"/>
  <c r="S517" i="50"/>
  <c r="R517" i="50"/>
  <c r="P517" i="50"/>
  <c r="N517" i="50"/>
  <c r="Q517" i="50" s="1"/>
  <c r="V516" i="50"/>
  <c r="U516" i="50"/>
  <c r="T516" i="50"/>
  <c r="S516" i="50"/>
  <c r="R516" i="50"/>
  <c r="P516" i="50"/>
  <c r="N516" i="50"/>
  <c r="Q516" i="50" s="1"/>
  <c r="V515" i="50"/>
  <c r="U515" i="50"/>
  <c r="T515" i="50"/>
  <c r="S515" i="50"/>
  <c r="R515" i="50"/>
  <c r="Q515" i="50"/>
  <c r="N515" i="50"/>
  <c r="H515" i="50"/>
  <c r="V514" i="50"/>
  <c r="U514" i="50"/>
  <c r="T514" i="50"/>
  <c r="S514" i="50"/>
  <c r="R514" i="50"/>
  <c r="P514" i="50"/>
  <c r="N514" i="50"/>
  <c r="Q514" i="50" s="1"/>
  <c r="V513" i="50"/>
  <c r="U513" i="50"/>
  <c r="T513" i="50"/>
  <c r="S513" i="50"/>
  <c r="R513" i="50"/>
  <c r="P513" i="50"/>
  <c r="N513" i="50"/>
  <c r="Q513" i="50" s="1"/>
  <c r="V512" i="50"/>
  <c r="U512" i="50"/>
  <c r="T512" i="50"/>
  <c r="S512" i="50"/>
  <c r="R512" i="50"/>
  <c r="Q512" i="50"/>
  <c r="N512" i="50"/>
  <c r="H512" i="50"/>
  <c r="V511" i="50"/>
  <c r="U511" i="50"/>
  <c r="T511" i="50"/>
  <c r="S511" i="50"/>
  <c r="R511" i="50"/>
  <c r="P511" i="50"/>
  <c r="N511" i="50"/>
  <c r="Q511" i="50" s="1"/>
  <c r="V510" i="50"/>
  <c r="U510" i="50"/>
  <c r="T510" i="50"/>
  <c r="S510" i="50"/>
  <c r="R510" i="50"/>
  <c r="P510" i="50"/>
  <c r="N510" i="50"/>
  <c r="Q510" i="50" s="1"/>
  <c r="V509" i="50"/>
  <c r="U509" i="50"/>
  <c r="T509" i="50"/>
  <c r="S509" i="50"/>
  <c r="R509" i="50"/>
  <c r="Q509" i="50"/>
  <c r="N509" i="50"/>
  <c r="H509" i="50"/>
  <c r="V508" i="50"/>
  <c r="U508" i="50"/>
  <c r="T508" i="50"/>
  <c r="S508" i="50"/>
  <c r="R508" i="50"/>
  <c r="P508" i="50"/>
  <c r="N508" i="50"/>
  <c r="Q508" i="50" s="1"/>
  <c r="V507" i="50"/>
  <c r="U507" i="50"/>
  <c r="T507" i="50"/>
  <c r="S507" i="50"/>
  <c r="R507" i="50"/>
  <c r="P507" i="50"/>
  <c r="N507" i="50"/>
  <c r="Q507" i="50" s="1"/>
  <c r="V506" i="50"/>
  <c r="U506" i="50"/>
  <c r="T506" i="50"/>
  <c r="S506" i="50"/>
  <c r="R506" i="50"/>
  <c r="Q506" i="50"/>
  <c r="P506" i="50"/>
  <c r="N506" i="50"/>
  <c r="V505" i="50"/>
  <c r="U505" i="50"/>
  <c r="T505" i="50"/>
  <c r="S505" i="50"/>
  <c r="R505" i="50"/>
  <c r="Q505" i="50"/>
  <c r="N505" i="50"/>
  <c r="H505" i="50"/>
  <c r="V504" i="50"/>
  <c r="U504" i="50"/>
  <c r="T504" i="50"/>
  <c r="S504" i="50"/>
  <c r="Q504" i="50"/>
  <c r="P504" i="50"/>
  <c r="N504" i="50"/>
  <c r="R504" i="50" s="1"/>
  <c r="V503" i="50"/>
  <c r="U503" i="50"/>
  <c r="T503" i="50"/>
  <c r="S503" i="50"/>
  <c r="Q503" i="50"/>
  <c r="P503" i="50"/>
  <c r="N503" i="50"/>
  <c r="R503" i="50" s="1"/>
  <c r="V502" i="50"/>
  <c r="U502" i="50"/>
  <c r="T502" i="50"/>
  <c r="S502" i="50"/>
  <c r="R502" i="50"/>
  <c r="Q502" i="50"/>
  <c r="N502" i="50"/>
  <c r="H502" i="50"/>
  <c r="V501" i="50"/>
  <c r="U501" i="50"/>
  <c r="T501" i="50"/>
  <c r="S501" i="50"/>
  <c r="R501" i="50"/>
  <c r="P501" i="50"/>
  <c r="N501" i="50"/>
  <c r="Q501" i="50" s="1"/>
  <c r="V500" i="50"/>
  <c r="U500" i="50"/>
  <c r="T500" i="50"/>
  <c r="S500" i="50"/>
  <c r="R500" i="50"/>
  <c r="P500" i="50"/>
  <c r="N500" i="50"/>
  <c r="Q500" i="50" s="1"/>
  <c r="V499" i="50"/>
  <c r="U499" i="50"/>
  <c r="T499" i="50"/>
  <c r="S499" i="50"/>
  <c r="R499" i="50"/>
  <c r="Q499" i="50"/>
  <c r="N499" i="50"/>
  <c r="H499" i="50"/>
  <c r="V498" i="50"/>
  <c r="U498" i="50"/>
  <c r="T498" i="50"/>
  <c r="S498" i="50"/>
  <c r="R498" i="50"/>
  <c r="P498" i="50"/>
  <c r="N498" i="50"/>
  <c r="Q498" i="50" s="1"/>
  <c r="V497" i="50"/>
  <c r="U497" i="50"/>
  <c r="T497" i="50"/>
  <c r="S497" i="50"/>
  <c r="R497" i="50"/>
  <c r="P497" i="50"/>
  <c r="N497" i="50"/>
  <c r="Q497" i="50" s="1"/>
  <c r="V496" i="50"/>
  <c r="U496" i="50"/>
  <c r="T496" i="50"/>
  <c r="S496" i="50"/>
  <c r="R496" i="50"/>
  <c r="Q496" i="50"/>
  <c r="N496" i="50"/>
  <c r="H496" i="50"/>
  <c r="V495" i="50"/>
  <c r="U495" i="50"/>
  <c r="T495" i="50"/>
  <c r="S495" i="50"/>
  <c r="R495" i="50"/>
  <c r="P495" i="50"/>
  <c r="N495" i="50"/>
  <c r="Q495" i="50" s="1"/>
  <c r="V494" i="50"/>
  <c r="U494" i="50"/>
  <c r="T494" i="50"/>
  <c r="S494" i="50"/>
  <c r="R494" i="50"/>
  <c r="P494" i="50"/>
  <c r="N494" i="50"/>
  <c r="Q494" i="50" s="1"/>
  <c r="V493" i="50"/>
  <c r="U493" i="50"/>
  <c r="T493" i="50"/>
  <c r="S493" i="50"/>
  <c r="R493" i="50"/>
  <c r="Q493" i="50"/>
  <c r="N493" i="50"/>
  <c r="H493" i="50"/>
  <c r="V492" i="50"/>
  <c r="U492" i="50"/>
  <c r="T492" i="50"/>
  <c r="S492" i="50"/>
  <c r="R492" i="50"/>
  <c r="P492" i="50"/>
  <c r="N492" i="50"/>
  <c r="Q492" i="50" s="1"/>
  <c r="V491" i="50"/>
  <c r="U491" i="50"/>
  <c r="T491" i="50"/>
  <c r="S491" i="50"/>
  <c r="R491" i="50"/>
  <c r="P491" i="50"/>
  <c r="N491" i="50"/>
  <c r="Q491" i="50" s="1"/>
  <c r="V490" i="50"/>
  <c r="U490" i="50"/>
  <c r="T490" i="50"/>
  <c r="S490" i="50"/>
  <c r="R490" i="50"/>
  <c r="Q490" i="50"/>
  <c r="N490" i="50"/>
  <c r="H490" i="50"/>
  <c r="G490" i="50"/>
  <c r="V489" i="50"/>
  <c r="U489" i="50"/>
  <c r="T489" i="50"/>
  <c r="S489" i="50"/>
  <c r="R489" i="50"/>
  <c r="P489" i="50"/>
  <c r="N489" i="50"/>
  <c r="Q489" i="50" s="1"/>
  <c r="G489" i="50"/>
  <c r="V488" i="50"/>
  <c r="U488" i="50"/>
  <c r="T488" i="50"/>
  <c r="S488" i="50"/>
  <c r="R488" i="50"/>
  <c r="P488" i="50"/>
  <c r="N488" i="50"/>
  <c r="G488" i="50"/>
  <c r="V487" i="50"/>
  <c r="U487" i="50"/>
  <c r="T487" i="50"/>
  <c r="S487" i="50"/>
  <c r="R487" i="50"/>
  <c r="Q487" i="50"/>
  <c r="N487" i="50"/>
  <c r="H487" i="50"/>
  <c r="V486" i="50"/>
  <c r="U486" i="50"/>
  <c r="T486" i="50"/>
  <c r="S486" i="50"/>
  <c r="R486" i="50"/>
  <c r="P486" i="50"/>
  <c r="N486" i="50"/>
  <c r="Q486" i="50" s="1"/>
  <c r="V485" i="50"/>
  <c r="U485" i="50"/>
  <c r="T485" i="50"/>
  <c r="S485" i="50"/>
  <c r="R485" i="50"/>
  <c r="P485" i="50"/>
  <c r="N485" i="50"/>
  <c r="Q485" i="50" s="1"/>
  <c r="V484" i="50"/>
  <c r="U484" i="50"/>
  <c r="T484" i="50"/>
  <c r="S484" i="50"/>
  <c r="R484" i="50"/>
  <c r="Q484" i="50"/>
  <c r="N484" i="50"/>
  <c r="H484" i="50"/>
  <c r="G484" i="50"/>
  <c r="V483" i="50"/>
  <c r="U483" i="50"/>
  <c r="T483" i="50"/>
  <c r="S483" i="50"/>
  <c r="R483" i="50"/>
  <c r="P483" i="50"/>
  <c r="N483" i="50"/>
  <c r="G483" i="50"/>
  <c r="V482" i="50"/>
  <c r="U482" i="50"/>
  <c r="T482" i="50"/>
  <c r="S482" i="50"/>
  <c r="R482" i="50"/>
  <c r="P482" i="50"/>
  <c r="N482" i="50"/>
  <c r="G482" i="50"/>
  <c r="V481" i="50"/>
  <c r="U481" i="50"/>
  <c r="T481" i="50"/>
  <c r="S481" i="50"/>
  <c r="R481" i="50"/>
  <c r="Q481" i="50"/>
  <c r="N481" i="50"/>
  <c r="H481" i="50"/>
  <c r="V480" i="50"/>
  <c r="U480" i="50"/>
  <c r="T480" i="50"/>
  <c r="S480" i="50"/>
  <c r="R480" i="50"/>
  <c r="P480" i="50"/>
  <c r="N480" i="50"/>
  <c r="Q480" i="50" s="1"/>
  <c r="V479" i="50"/>
  <c r="U479" i="50"/>
  <c r="T479" i="50"/>
  <c r="S479" i="50"/>
  <c r="R479" i="50"/>
  <c r="P479" i="50"/>
  <c r="N479" i="50"/>
  <c r="Q479" i="50" s="1"/>
  <c r="V478" i="50"/>
  <c r="U478" i="50"/>
  <c r="T478" i="50"/>
  <c r="S478" i="50"/>
  <c r="R478" i="50"/>
  <c r="Q478" i="50"/>
  <c r="N478" i="50"/>
  <c r="H478" i="50"/>
  <c r="V477" i="50"/>
  <c r="U477" i="50"/>
  <c r="T477" i="50"/>
  <c r="S477" i="50"/>
  <c r="R477" i="50"/>
  <c r="P477" i="50"/>
  <c r="N477" i="50"/>
  <c r="Q477" i="50" s="1"/>
  <c r="V476" i="50"/>
  <c r="U476" i="50"/>
  <c r="T476" i="50"/>
  <c r="S476" i="50"/>
  <c r="R476" i="50"/>
  <c r="P476" i="50"/>
  <c r="N476" i="50"/>
  <c r="Q476" i="50" s="1"/>
  <c r="V475" i="50"/>
  <c r="U475" i="50"/>
  <c r="T475" i="50"/>
  <c r="S475" i="50"/>
  <c r="R475" i="50"/>
  <c r="Q475" i="50"/>
  <c r="N475" i="50"/>
  <c r="H475" i="50"/>
  <c r="V474" i="50"/>
  <c r="U474" i="50"/>
  <c r="T474" i="50"/>
  <c r="S474" i="50"/>
  <c r="R474" i="50"/>
  <c r="P474" i="50"/>
  <c r="N474" i="50"/>
  <c r="Q474" i="50" s="1"/>
  <c r="V473" i="50"/>
  <c r="U473" i="50"/>
  <c r="T473" i="50"/>
  <c r="S473" i="50"/>
  <c r="R473" i="50"/>
  <c r="P473" i="50"/>
  <c r="N473" i="50"/>
  <c r="Q473" i="50" s="1"/>
  <c r="V472" i="50"/>
  <c r="U472" i="50"/>
  <c r="T472" i="50"/>
  <c r="S472" i="50"/>
  <c r="R472" i="50"/>
  <c r="Q472" i="50"/>
  <c r="N472" i="50"/>
  <c r="H472" i="50"/>
  <c r="V471" i="50"/>
  <c r="U471" i="50"/>
  <c r="T471" i="50"/>
  <c r="S471" i="50"/>
  <c r="R471" i="50"/>
  <c r="P471" i="50"/>
  <c r="N471" i="50"/>
  <c r="Q471" i="50" s="1"/>
  <c r="V470" i="50"/>
  <c r="U470" i="50"/>
  <c r="T470" i="50"/>
  <c r="S470" i="50"/>
  <c r="R470" i="50"/>
  <c r="P470" i="50"/>
  <c r="N470" i="50"/>
  <c r="Q470" i="50" s="1"/>
  <c r="V469" i="50"/>
  <c r="U469" i="50"/>
  <c r="T469" i="50"/>
  <c r="S469" i="50"/>
  <c r="R469" i="50"/>
  <c r="Q469" i="50"/>
  <c r="P469" i="50"/>
  <c r="N469" i="50"/>
  <c r="V468" i="50"/>
  <c r="U468" i="50"/>
  <c r="T468" i="50"/>
  <c r="S468" i="50"/>
  <c r="R468" i="50"/>
  <c r="Q468" i="50"/>
  <c r="P468" i="50"/>
  <c r="N468" i="50"/>
  <c r="V467" i="50"/>
  <c r="U467" i="50"/>
  <c r="T467" i="50"/>
  <c r="S467" i="50"/>
  <c r="R467" i="50"/>
  <c r="Q467" i="50"/>
  <c r="P467" i="50"/>
  <c r="N467" i="50"/>
  <c r="V466" i="50"/>
  <c r="U466" i="50"/>
  <c r="T466" i="50"/>
  <c r="S466" i="50"/>
  <c r="R466" i="50"/>
  <c r="Q466" i="50"/>
  <c r="N466" i="50"/>
  <c r="H466" i="50"/>
  <c r="V465" i="50"/>
  <c r="U465" i="50"/>
  <c r="T465" i="50"/>
  <c r="S465" i="50"/>
  <c r="Q465" i="50"/>
  <c r="P465" i="50"/>
  <c r="N465" i="50"/>
  <c r="R465" i="50" s="1"/>
  <c r="V464" i="50"/>
  <c r="U464" i="50"/>
  <c r="T464" i="50"/>
  <c r="S464" i="50"/>
  <c r="Q464" i="50"/>
  <c r="P464" i="50"/>
  <c r="N464" i="50"/>
  <c r="R464" i="50" s="1"/>
  <c r="V463" i="50"/>
  <c r="U463" i="50"/>
  <c r="T463" i="50"/>
  <c r="S463" i="50"/>
  <c r="R463" i="50"/>
  <c r="Q463" i="50"/>
  <c r="N463" i="50"/>
  <c r="H463" i="50"/>
  <c r="V462" i="50"/>
  <c r="U462" i="50"/>
  <c r="T462" i="50"/>
  <c r="S462" i="50"/>
  <c r="R462" i="50"/>
  <c r="P462" i="50"/>
  <c r="N462" i="50"/>
  <c r="Q462" i="50" s="1"/>
  <c r="V461" i="50"/>
  <c r="U461" i="50"/>
  <c r="T461" i="50"/>
  <c r="S461" i="50"/>
  <c r="R461" i="50"/>
  <c r="P461" i="50"/>
  <c r="N461" i="50"/>
  <c r="Q461" i="50" s="1"/>
  <c r="V460" i="50"/>
  <c r="U460" i="50"/>
  <c r="T460" i="50"/>
  <c r="S460" i="50"/>
  <c r="R460" i="50"/>
  <c r="Q460" i="50"/>
  <c r="N460" i="50"/>
  <c r="H460" i="50"/>
  <c r="V459" i="50"/>
  <c r="U459" i="50"/>
  <c r="T459" i="50"/>
  <c r="S459" i="50"/>
  <c r="R459" i="50"/>
  <c r="P459" i="50"/>
  <c r="N459" i="50"/>
  <c r="Q459" i="50" s="1"/>
  <c r="V458" i="50"/>
  <c r="U458" i="50"/>
  <c r="T458" i="50"/>
  <c r="S458" i="50"/>
  <c r="R458" i="50"/>
  <c r="P458" i="50"/>
  <c r="N458" i="50"/>
  <c r="Q458" i="50" s="1"/>
  <c r="V457" i="50"/>
  <c r="U457" i="50"/>
  <c r="T457" i="50"/>
  <c r="S457" i="50"/>
  <c r="R457" i="50"/>
  <c r="Q457" i="50"/>
  <c r="N457" i="50"/>
  <c r="H457" i="50"/>
  <c r="V456" i="50"/>
  <c r="U456" i="50"/>
  <c r="T456" i="50"/>
  <c r="S456" i="50"/>
  <c r="R456" i="50"/>
  <c r="P456" i="50"/>
  <c r="N456" i="50"/>
  <c r="Q456" i="50" s="1"/>
  <c r="V455" i="50"/>
  <c r="U455" i="50"/>
  <c r="T455" i="50"/>
  <c r="S455" i="50"/>
  <c r="R455" i="50"/>
  <c r="P455" i="50"/>
  <c r="N455" i="50"/>
  <c r="Q455" i="50" s="1"/>
  <c r="V454" i="50"/>
  <c r="U454" i="50"/>
  <c r="T454" i="50"/>
  <c r="S454" i="50"/>
  <c r="R454" i="50"/>
  <c r="Q454" i="50"/>
  <c r="N454" i="50"/>
  <c r="H454" i="50"/>
  <c r="V453" i="50"/>
  <c r="U453" i="50"/>
  <c r="T453" i="50"/>
  <c r="S453" i="50"/>
  <c r="R453" i="50"/>
  <c r="P453" i="50"/>
  <c r="N453" i="50"/>
  <c r="Q453" i="50" s="1"/>
  <c r="V452" i="50"/>
  <c r="U452" i="50"/>
  <c r="T452" i="50"/>
  <c r="S452" i="50"/>
  <c r="R452" i="50"/>
  <c r="P452" i="50"/>
  <c r="N452" i="50"/>
  <c r="Q452" i="50" s="1"/>
  <c r="V451" i="50"/>
  <c r="U451" i="50"/>
  <c r="T451" i="50"/>
  <c r="S451" i="50"/>
  <c r="R451" i="50"/>
  <c r="Q451" i="50"/>
  <c r="N451" i="50"/>
  <c r="H451" i="50"/>
  <c r="V450" i="50"/>
  <c r="U450" i="50"/>
  <c r="T450" i="50"/>
  <c r="S450" i="50"/>
  <c r="R450" i="50"/>
  <c r="P450" i="50"/>
  <c r="N450" i="50"/>
  <c r="Q450" i="50" s="1"/>
  <c r="V449" i="50"/>
  <c r="U449" i="50"/>
  <c r="T449" i="50"/>
  <c r="S449" i="50"/>
  <c r="R449" i="50"/>
  <c r="P449" i="50"/>
  <c r="N449" i="50"/>
  <c r="Q449" i="50" s="1"/>
  <c r="V448" i="50"/>
  <c r="U448" i="50"/>
  <c r="T448" i="50"/>
  <c r="S448" i="50"/>
  <c r="R448" i="50"/>
  <c r="Q448" i="50"/>
  <c r="N448" i="50"/>
  <c r="H448" i="50"/>
  <c r="V447" i="50"/>
  <c r="U447" i="50"/>
  <c r="T447" i="50"/>
  <c r="S447" i="50"/>
  <c r="R447" i="50"/>
  <c r="P447" i="50"/>
  <c r="N447" i="50"/>
  <c r="Q447" i="50" s="1"/>
  <c r="V446" i="50"/>
  <c r="U446" i="50"/>
  <c r="T446" i="50"/>
  <c r="S446" i="50"/>
  <c r="R446" i="50"/>
  <c r="P446" i="50"/>
  <c r="N446" i="50"/>
  <c r="Q446" i="50" s="1"/>
  <c r="V445" i="50"/>
  <c r="U445" i="50"/>
  <c r="T445" i="50"/>
  <c r="S445" i="50"/>
  <c r="R445" i="50"/>
  <c r="Q445" i="50"/>
  <c r="N445" i="50"/>
  <c r="H445" i="50"/>
  <c r="V444" i="50"/>
  <c r="U444" i="50"/>
  <c r="T444" i="50"/>
  <c r="S444" i="50"/>
  <c r="R444" i="50"/>
  <c r="P444" i="50"/>
  <c r="N444" i="50"/>
  <c r="Q444" i="50" s="1"/>
  <c r="V443" i="50"/>
  <c r="U443" i="50"/>
  <c r="T443" i="50"/>
  <c r="S443" i="50"/>
  <c r="R443" i="50"/>
  <c r="P443" i="50"/>
  <c r="N443" i="50"/>
  <c r="Q443" i="50" s="1"/>
  <c r="V442" i="50"/>
  <c r="U442" i="50"/>
  <c r="T442" i="50"/>
  <c r="S442" i="50"/>
  <c r="R442" i="50"/>
  <c r="Q442" i="50"/>
  <c r="N442" i="50"/>
  <c r="H442" i="50"/>
  <c r="V441" i="50"/>
  <c r="U441" i="50"/>
  <c r="T441" i="50"/>
  <c r="S441" i="50"/>
  <c r="R441" i="50"/>
  <c r="P441" i="50"/>
  <c r="N441" i="50"/>
  <c r="Q441" i="50" s="1"/>
  <c r="V440" i="50"/>
  <c r="U440" i="50"/>
  <c r="T440" i="50"/>
  <c r="S440" i="50"/>
  <c r="R440" i="50"/>
  <c r="P440" i="50"/>
  <c r="N440" i="50"/>
  <c r="Q440" i="50" s="1"/>
  <c r="V439" i="50"/>
  <c r="U439" i="50"/>
  <c r="T439" i="50"/>
  <c r="S439" i="50"/>
  <c r="R439" i="50"/>
  <c r="Q439" i="50"/>
  <c r="N439" i="50"/>
  <c r="H439" i="50"/>
  <c r="V438" i="50"/>
  <c r="U438" i="50"/>
  <c r="T438" i="50"/>
  <c r="S438" i="50"/>
  <c r="R438" i="50"/>
  <c r="P438" i="50"/>
  <c r="N438" i="50"/>
  <c r="Q438" i="50" s="1"/>
  <c r="V437" i="50"/>
  <c r="U437" i="50"/>
  <c r="T437" i="50"/>
  <c r="S437" i="50"/>
  <c r="R437" i="50"/>
  <c r="P437" i="50"/>
  <c r="N437" i="50"/>
  <c r="Q437" i="50" s="1"/>
  <c r="V436" i="50"/>
  <c r="U436" i="50"/>
  <c r="T436" i="50"/>
  <c r="S436" i="50"/>
  <c r="R436" i="50"/>
  <c r="Q436" i="50"/>
  <c r="N436" i="50"/>
  <c r="H436" i="50"/>
  <c r="V435" i="50"/>
  <c r="U435" i="50"/>
  <c r="T435" i="50"/>
  <c r="S435" i="50"/>
  <c r="R435" i="50"/>
  <c r="P435" i="50"/>
  <c r="N435" i="50"/>
  <c r="Q435" i="50" s="1"/>
  <c r="V434" i="50"/>
  <c r="U434" i="50"/>
  <c r="T434" i="50"/>
  <c r="S434" i="50"/>
  <c r="R434" i="50"/>
  <c r="P434" i="50"/>
  <c r="N434" i="50"/>
  <c r="Q434" i="50" s="1"/>
  <c r="V433" i="50"/>
  <c r="U433" i="50"/>
  <c r="T433" i="50"/>
  <c r="S433" i="50"/>
  <c r="R433" i="50"/>
  <c r="Q433" i="50"/>
  <c r="N433" i="50"/>
  <c r="H433" i="50"/>
  <c r="V432" i="50"/>
  <c r="U432" i="50"/>
  <c r="T432" i="50"/>
  <c r="S432" i="50"/>
  <c r="R432" i="50"/>
  <c r="P432" i="50"/>
  <c r="N432" i="50"/>
  <c r="Q432" i="50" s="1"/>
  <c r="V431" i="50"/>
  <c r="U431" i="50"/>
  <c r="T431" i="50"/>
  <c r="S431" i="50"/>
  <c r="R431" i="50"/>
  <c r="P431" i="50"/>
  <c r="N431" i="50"/>
  <c r="Q431" i="50" s="1"/>
  <c r="V430" i="50"/>
  <c r="U430" i="50"/>
  <c r="T430" i="50"/>
  <c r="S430" i="50"/>
  <c r="R430" i="50"/>
  <c r="Q430" i="50"/>
  <c r="N430" i="50"/>
  <c r="H430" i="50"/>
  <c r="V429" i="50"/>
  <c r="U429" i="50"/>
  <c r="T429" i="50"/>
  <c r="S429" i="50"/>
  <c r="R429" i="50"/>
  <c r="P429" i="50"/>
  <c r="N429" i="50"/>
  <c r="Q429" i="50" s="1"/>
  <c r="V428" i="50"/>
  <c r="U428" i="50"/>
  <c r="T428" i="50"/>
  <c r="S428" i="50"/>
  <c r="R428" i="50"/>
  <c r="P428" i="50"/>
  <c r="N428" i="50"/>
  <c r="Q428" i="50" s="1"/>
  <c r="V427" i="50"/>
  <c r="U427" i="50"/>
  <c r="T427" i="50"/>
  <c r="S427" i="50"/>
  <c r="R427" i="50"/>
  <c r="Q427" i="50"/>
  <c r="N427" i="50"/>
  <c r="H427" i="50"/>
  <c r="V426" i="50"/>
  <c r="U426" i="50"/>
  <c r="T426" i="50"/>
  <c r="S426" i="50"/>
  <c r="R426" i="50"/>
  <c r="P426" i="50"/>
  <c r="N426" i="50"/>
  <c r="Q426" i="50" s="1"/>
  <c r="V425" i="50"/>
  <c r="U425" i="50"/>
  <c r="T425" i="50"/>
  <c r="S425" i="50"/>
  <c r="R425" i="50"/>
  <c r="P425" i="50"/>
  <c r="N425" i="50"/>
  <c r="Q425" i="50" s="1"/>
  <c r="V424" i="50"/>
  <c r="U424" i="50"/>
  <c r="T424" i="50"/>
  <c r="S424" i="50"/>
  <c r="R424" i="50"/>
  <c r="Q424" i="50"/>
  <c r="P424" i="50"/>
  <c r="N424" i="50"/>
  <c r="V423" i="50"/>
  <c r="U423" i="50"/>
  <c r="T423" i="50"/>
  <c r="S423" i="50"/>
  <c r="R423" i="50"/>
  <c r="Q423" i="50"/>
  <c r="N423" i="50"/>
  <c r="H423" i="50"/>
  <c r="V422" i="50"/>
  <c r="U422" i="50"/>
  <c r="T422" i="50"/>
  <c r="S422" i="50"/>
  <c r="R422" i="50"/>
  <c r="P422" i="50"/>
  <c r="N422" i="50"/>
  <c r="Q422" i="50" s="1"/>
  <c r="V421" i="50"/>
  <c r="U421" i="50"/>
  <c r="T421" i="50"/>
  <c r="S421" i="50"/>
  <c r="R421" i="50"/>
  <c r="P421" i="50"/>
  <c r="N421" i="50"/>
  <c r="Q421" i="50" s="1"/>
  <c r="V420" i="50"/>
  <c r="U420" i="50"/>
  <c r="T420" i="50"/>
  <c r="S420" i="50"/>
  <c r="R420" i="50"/>
  <c r="Q420" i="50"/>
  <c r="N420" i="50"/>
  <c r="H420" i="50"/>
  <c r="V419" i="50"/>
  <c r="U419" i="50"/>
  <c r="T419" i="50"/>
  <c r="S419" i="50"/>
  <c r="R419" i="50"/>
  <c r="P419" i="50"/>
  <c r="N419" i="50"/>
  <c r="Q419" i="50" s="1"/>
  <c r="V418" i="50"/>
  <c r="U418" i="50"/>
  <c r="T418" i="50"/>
  <c r="S418" i="50"/>
  <c r="R418" i="50"/>
  <c r="P418" i="50"/>
  <c r="N418" i="50"/>
  <c r="Q418" i="50" s="1"/>
  <c r="V417" i="50"/>
  <c r="U417" i="50"/>
  <c r="T417" i="50"/>
  <c r="S417" i="50"/>
  <c r="R417" i="50"/>
  <c r="Q417" i="50"/>
  <c r="N417" i="50"/>
  <c r="H417" i="50"/>
  <c r="V416" i="50"/>
  <c r="U416" i="50"/>
  <c r="T416" i="50"/>
  <c r="S416" i="50"/>
  <c r="R416" i="50"/>
  <c r="P416" i="50"/>
  <c r="N416" i="50"/>
  <c r="Q416" i="50" s="1"/>
  <c r="V415" i="50"/>
  <c r="U415" i="50"/>
  <c r="T415" i="50"/>
  <c r="S415" i="50"/>
  <c r="R415" i="50"/>
  <c r="P415" i="50"/>
  <c r="N415" i="50"/>
  <c r="Q415" i="50" s="1"/>
  <c r="V414" i="50"/>
  <c r="U414" i="50"/>
  <c r="T414" i="50"/>
  <c r="S414" i="50"/>
  <c r="R414" i="50"/>
  <c r="Q414" i="50"/>
  <c r="N414" i="50"/>
  <c r="H414" i="50"/>
  <c r="V413" i="50"/>
  <c r="U413" i="50"/>
  <c r="T413" i="50"/>
  <c r="S413" i="50"/>
  <c r="R413" i="50"/>
  <c r="P413" i="50"/>
  <c r="N413" i="50"/>
  <c r="Q413" i="50" s="1"/>
  <c r="V412" i="50"/>
  <c r="U412" i="50"/>
  <c r="T412" i="50"/>
  <c r="S412" i="50"/>
  <c r="R412" i="50"/>
  <c r="P412" i="50"/>
  <c r="N412" i="50"/>
  <c r="Q412" i="50" s="1"/>
  <c r="V411" i="50"/>
  <c r="U411" i="50"/>
  <c r="T411" i="50"/>
  <c r="S411" i="50"/>
  <c r="R411" i="50"/>
  <c r="Q411" i="50"/>
  <c r="N411" i="50"/>
  <c r="H411" i="50"/>
  <c r="V410" i="50"/>
  <c r="U410" i="50"/>
  <c r="T410" i="50"/>
  <c r="S410" i="50"/>
  <c r="R410" i="50"/>
  <c r="P410" i="50"/>
  <c r="N410" i="50"/>
  <c r="Q410" i="50" s="1"/>
  <c r="V409" i="50"/>
  <c r="U409" i="50"/>
  <c r="T409" i="50"/>
  <c r="S409" i="50"/>
  <c r="R409" i="50"/>
  <c r="P409" i="50"/>
  <c r="N409" i="50"/>
  <c r="Q409" i="50" s="1"/>
  <c r="V408" i="50"/>
  <c r="U408" i="50"/>
  <c r="T408" i="50"/>
  <c r="S408" i="50"/>
  <c r="R408" i="50"/>
  <c r="Q408" i="50"/>
  <c r="N408" i="50"/>
  <c r="H408" i="50"/>
  <c r="V407" i="50"/>
  <c r="U407" i="50"/>
  <c r="T407" i="50"/>
  <c r="S407" i="50"/>
  <c r="R407" i="50"/>
  <c r="P407" i="50"/>
  <c r="N407" i="50"/>
  <c r="Q407" i="50" s="1"/>
  <c r="V406" i="50"/>
  <c r="U406" i="50"/>
  <c r="T406" i="50"/>
  <c r="S406" i="50"/>
  <c r="R406" i="50"/>
  <c r="P406" i="50"/>
  <c r="N406" i="50"/>
  <c r="Q406" i="50" s="1"/>
  <c r="V405" i="50"/>
  <c r="U405" i="50"/>
  <c r="T405" i="50"/>
  <c r="S405" i="50"/>
  <c r="R405" i="50"/>
  <c r="Q405" i="50"/>
  <c r="N405" i="50"/>
  <c r="H405" i="50"/>
  <c r="V404" i="50"/>
  <c r="U404" i="50"/>
  <c r="T404" i="50"/>
  <c r="S404" i="50"/>
  <c r="R404" i="50"/>
  <c r="P404" i="50"/>
  <c r="N404" i="50"/>
  <c r="Q404" i="50" s="1"/>
  <c r="V403" i="50"/>
  <c r="U403" i="50"/>
  <c r="T403" i="50"/>
  <c r="S403" i="50"/>
  <c r="R403" i="50"/>
  <c r="P403" i="50"/>
  <c r="N403" i="50"/>
  <c r="Q403" i="50" s="1"/>
  <c r="V402" i="50"/>
  <c r="U402" i="50"/>
  <c r="T402" i="50"/>
  <c r="S402" i="50"/>
  <c r="R402" i="50"/>
  <c r="Q402" i="50"/>
  <c r="N402" i="50"/>
  <c r="H402" i="50"/>
  <c r="V401" i="50"/>
  <c r="U401" i="50"/>
  <c r="T401" i="50"/>
  <c r="S401" i="50"/>
  <c r="R401" i="50"/>
  <c r="P401" i="50"/>
  <c r="N401" i="50"/>
  <c r="Q401" i="50" s="1"/>
  <c r="V400" i="50"/>
  <c r="U400" i="50"/>
  <c r="T400" i="50"/>
  <c r="S400" i="50"/>
  <c r="R400" i="50"/>
  <c r="P400" i="50"/>
  <c r="N400" i="50"/>
  <c r="Q400" i="50" s="1"/>
  <c r="V399" i="50"/>
  <c r="U399" i="50"/>
  <c r="T399" i="50"/>
  <c r="S399" i="50"/>
  <c r="R399" i="50"/>
  <c r="Q399" i="50"/>
  <c r="P399" i="50"/>
  <c r="N399" i="50"/>
  <c r="V398" i="50"/>
  <c r="U398" i="50"/>
  <c r="T398" i="50"/>
  <c r="S398" i="50"/>
  <c r="R398" i="50"/>
  <c r="Q398" i="50"/>
  <c r="P398" i="50"/>
  <c r="N398" i="50"/>
  <c r="V397" i="50"/>
  <c r="U397" i="50"/>
  <c r="T397" i="50"/>
  <c r="S397" i="50"/>
  <c r="R397" i="50"/>
  <c r="Q397" i="50"/>
  <c r="P397" i="50"/>
  <c r="N397" i="50"/>
  <c r="V396" i="50"/>
  <c r="U396" i="50"/>
  <c r="T396" i="50"/>
  <c r="S396" i="50"/>
  <c r="R396" i="50"/>
  <c r="Q396" i="50"/>
  <c r="N396" i="50"/>
  <c r="H396" i="50"/>
  <c r="V395" i="50"/>
  <c r="U395" i="50"/>
  <c r="T395" i="50"/>
  <c r="S395" i="50"/>
  <c r="R395" i="50"/>
  <c r="P395" i="50"/>
  <c r="N395" i="50"/>
  <c r="Q395" i="50" s="1"/>
  <c r="V394" i="50"/>
  <c r="U394" i="50"/>
  <c r="T394" i="50"/>
  <c r="S394" i="50"/>
  <c r="R394" i="50"/>
  <c r="P394" i="50"/>
  <c r="N394" i="50"/>
  <c r="Q394" i="50" s="1"/>
  <c r="V393" i="50"/>
  <c r="U393" i="50"/>
  <c r="T393" i="50"/>
  <c r="S393" i="50"/>
  <c r="R393" i="50"/>
  <c r="Q393" i="50"/>
  <c r="N393" i="50"/>
  <c r="H393" i="50"/>
  <c r="V392" i="50"/>
  <c r="U392" i="50"/>
  <c r="T392" i="50"/>
  <c r="S392" i="50"/>
  <c r="R392" i="50"/>
  <c r="P392" i="50"/>
  <c r="N392" i="50"/>
  <c r="Q392" i="50" s="1"/>
  <c r="V391" i="50"/>
  <c r="U391" i="50"/>
  <c r="T391" i="50"/>
  <c r="S391" i="50"/>
  <c r="R391" i="50"/>
  <c r="P391" i="50"/>
  <c r="N391" i="50"/>
  <c r="Q391" i="50" s="1"/>
  <c r="V390" i="50"/>
  <c r="U390" i="50"/>
  <c r="T390" i="50"/>
  <c r="S390" i="50"/>
  <c r="R390" i="50"/>
  <c r="Q390" i="50"/>
  <c r="N390" i="50"/>
  <c r="H390" i="50"/>
  <c r="V389" i="50"/>
  <c r="U389" i="50"/>
  <c r="T389" i="50"/>
  <c r="S389" i="50"/>
  <c r="R389" i="50"/>
  <c r="P389" i="50"/>
  <c r="N389" i="50"/>
  <c r="Q389" i="50" s="1"/>
  <c r="V388" i="50"/>
  <c r="U388" i="50"/>
  <c r="T388" i="50"/>
  <c r="S388" i="50"/>
  <c r="R388" i="50"/>
  <c r="P388" i="50"/>
  <c r="N388" i="50"/>
  <c r="Q388" i="50" s="1"/>
  <c r="V387" i="50"/>
  <c r="U387" i="50"/>
  <c r="T387" i="50"/>
  <c r="S387" i="50"/>
  <c r="R387" i="50"/>
  <c r="Q387" i="50"/>
  <c r="P387" i="50"/>
  <c r="N387" i="50"/>
  <c r="V386" i="50"/>
  <c r="U386" i="50"/>
  <c r="T386" i="50"/>
  <c r="S386" i="50"/>
  <c r="R386" i="50"/>
  <c r="Q386" i="50"/>
  <c r="N386" i="50"/>
  <c r="H386" i="50"/>
  <c r="V385" i="50"/>
  <c r="U385" i="50"/>
  <c r="T385" i="50"/>
  <c r="S385" i="50"/>
  <c r="Q385" i="50"/>
  <c r="P385" i="50"/>
  <c r="N385" i="50"/>
  <c r="R385" i="50" s="1"/>
  <c r="V384" i="50"/>
  <c r="U384" i="50"/>
  <c r="T384" i="50"/>
  <c r="S384" i="50"/>
  <c r="Q384" i="50"/>
  <c r="P384" i="50"/>
  <c r="N384" i="50"/>
  <c r="R384" i="50" s="1"/>
  <c r="V383" i="50"/>
  <c r="U383" i="50"/>
  <c r="T383" i="50"/>
  <c r="S383" i="50"/>
  <c r="R383" i="50"/>
  <c r="Q383" i="50"/>
  <c r="N383" i="50"/>
  <c r="H383" i="50"/>
  <c r="V382" i="50"/>
  <c r="U382" i="50"/>
  <c r="T382" i="50"/>
  <c r="S382" i="50"/>
  <c r="R382" i="50"/>
  <c r="P382" i="50"/>
  <c r="N382" i="50"/>
  <c r="Q382" i="50" s="1"/>
  <c r="V381" i="50"/>
  <c r="U381" i="50"/>
  <c r="T381" i="50"/>
  <c r="S381" i="50"/>
  <c r="R381" i="50"/>
  <c r="P381" i="50"/>
  <c r="N381" i="50"/>
  <c r="Q381" i="50" s="1"/>
  <c r="V380" i="50"/>
  <c r="U380" i="50"/>
  <c r="T380" i="50"/>
  <c r="S380" i="50"/>
  <c r="R380" i="50"/>
  <c r="Q380" i="50"/>
  <c r="N380" i="50"/>
  <c r="H380" i="50"/>
  <c r="V379" i="50"/>
  <c r="U379" i="50"/>
  <c r="T379" i="50"/>
  <c r="S379" i="50"/>
  <c r="R379" i="50"/>
  <c r="P379" i="50"/>
  <c r="N379" i="50"/>
  <c r="Q379" i="50" s="1"/>
  <c r="V378" i="50"/>
  <c r="U378" i="50"/>
  <c r="T378" i="50"/>
  <c r="S378" i="50"/>
  <c r="R378" i="50"/>
  <c r="P378" i="50"/>
  <c r="N378" i="50"/>
  <c r="Q378" i="50" s="1"/>
  <c r="V377" i="50"/>
  <c r="U377" i="50"/>
  <c r="T377" i="50"/>
  <c r="S377" i="50"/>
  <c r="R377" i="50"/>
  <c r="Q377" i="50"/>
  <c r="N377" i="50"/>
  <c r="H377" i="50"/>
  <c r="G377" i="50"/>
  <c r="V376" i="50"/>
  <c r="U376" i="50"/>
  <c r="T376" i="50"/>
  <c r="S376" i="50"/>
  <c r="R376" i="50"/>
  <c r="P376" i="50"/>
  <c r="N376" i="50"/>
  <c r="G376" i="50"/>
  <c r="V375" i="50"/>
  <c r="U375" i="50"/>
  <c r="T375" i="50"/>
  <c r="S375" i="50"/>
  <c r="R375" i="50"/>
  <c r="P375" i="50"/>
  <c r="N375" i="50"/>
  <c r="G375" i="50"/>
  <c r="V374" i="50"/>
  <c r="U374" i="50"/>
  <c r="T374" i="50"/>
  <c r="S374" i="50"/>
  <c r="R374" i="50"/>
  <c r="Q374" i="50"/>
  <c r="N374" i="50"/>
  <c r="H374" i="50"/>
  <c r="V373" i="50"/>
  <c r="U373" i="50"/>
  <c r="T373" i="50"/>
  <c r="S373" i="50"/>
  <c r="R373" i="50"/>
  <c r="P373" i="50"/>
  <c r="N373" i="50"/>
  <c r="Q373" i="50" s="1"/>
  <c r="V372" i="50"/>
  <c r="U372" i="50"/>
  <c r="T372" i="50"/>
  <c r="S372" i="50"/>
  <c r="R372" i="50"/>
  <c r="P372" i="50"/>
  <c r="N372" i="50"/>
  <c r="Q372" i="50" s="1"/>
  <c r="V371" i="50"/>
  <c r="U371" i="50"/>
  <c r="T371" i="50"/>
  <c r="S371" i="50"/>
  <c r="R371" i="50"/>
  <c r="Q371" i="50"/>
  <c r="N371" i="50"/>
  <c r="H371" i="50"/>
  <c r="G371" i="50"/>
  <c r="V370" i="50"/>
  <c r="U370" i="50"/>
  <c r="T370" i="50"/>
  <c r="S370" i="50"/>
  <c r="R370" i="50"/>
  <c r="P370" i="50"/>
  <c r="N370" i="50"/>
  <c r="G370" i="50"/>
  <c r="V369" i="50"/>
  <c r="U369" i="50"/>
  <c r="T369" i="50"/>
  <c r="S369" i="50"/>
  <c r="R369" i="50"/>
  <c r="P369" i="50"/>
  <c r="N369" i="50"/>
  <c r="G369" i="50"/>
  <c r="V368" i="50"/>
  <c r="U368" i="50"/>
  <c r="T368" i="50"/>
  <c r="S368" i="50"/>
  <c r="R368" i="50"/>
  <c r="Q368" i="50"/>
  <c r="N368" i="50"/>
  <c r="H368" i="50"/>
  <c r="V367" i="50"/>
  <c r="U367" i="50"/>
  <c r="T367" i="50"/>
  <c r="S367" i="50"/>
  <c r="R367" i="50"/>
  <c r="P367" i="50"/>
  <c r="N367" i="50"/>
  <c r="Q367" i="50" s="1"/>
  <c r="V366" i="50"/>
  <c r="U366" i="50"/>
  <c r="T366" i="50"/>
  <c r="S366" i="50"/>
  <c r="R366" i="50"/>
  <c r="P366" i="50"/>
  <c r="N366" i="50"/>
  <c r="Q366" i="50" s="1"/>
  <c r="V365" i="50"/>
  <c r="U365" i="50"/>
  <c r="T365" i="50"/>
  <c r="S365" i="50"/>
  <c r="R365" i="50"/>
  <c r="Q365" i="50"/>
  <c r="N365" i="50"/>
  <c r="H365" i="50"/>
  <c r="V364" i="50"/>
  <c r="U364" i="50"/>
  <c r="T364" i="50"/>
  <c r="S364" i="50"/>
  <c r="R364" i="50"/>
  <c r="P364" i="50"/>
  <c r="N364" i="50"/>
  <c r="Q364" i="50" s="1"/>
  <c r="V363" i="50"/>
  <c r="U363" i="50"/>
  <c r="T363" i="50"/>
  <c r="S363" i="50"/>
  <c r="R363" i="50"/>
  <c r="P363" i="50"/>
  <c r="N363" i="50"/>
  <c r="Q363" i="50" s="1"/>
  <c r="V362" i="50"/>
  <c r="U362" i="50"/>
  <c r="T362" i="50"/>
  <c r="S362" i="50"/>
  <c r="R362" i="50"/>
  <c r="Q362" i="50"/>
  <c r="P362" i="50"/>
  <c r="N362" i="50"/>
  <c r="V361" i="50"/>
  <c r="U361" i="50"/>
  <c r="T361" i="50"/>
  <c r="S361" i="50"/>
  <c r="R361" i="50"/>
  <c r="Q361" i="50"/>
  <c r="P361" i="50"/>
  <c r="N361" i="50"/>
  <c r="V360" i="50"/>
  <c r="U360" i="50"/>
  <c r="T360" i="50"/>
  <c r="S360" i="50"/>
  <c r="R360" i="50"/>
  <c r="Q360" i="50"/>
  <c r="N360" i="50"/>
  <c r="H360" i="50"/>
  <c r="V359" i="50"/>
  <c r="U359" i="50"/>
  <c r="T359" i="50"/>
  <c r="S359" i="50"/>
  <c r="R359" i="50"/>
  <c r="P359" i="50"/>
  <c r="N359" i="50"/>
  <c r="Q359" i="50" s="1"/>
  <c r="V358" i="50"/>
  <c r="U358" i="50"/>
  <c r="T358" i="50"/>
  <c r="S358" i="50"/>
  <c r="R358" i="50"/>
  <c r="P358" i="50"/>
  <c r="N358" i="50"/>
  <c r="Q358" i="50" s="1"/>
  <c r="V357" i="50"/>
  <c r="U357" i="50"/>
  <c r="T357" i="50"/>
  <c r="S357" i="50"/>
  <c r="R357" i="50"/>
  <c r="Q357" i="50"/>
  <c r="N357" i="50"/>
  <c r="H357" i="50"/>
  <c r="V356" i="50"/>
  <c r="U356" i="50"/>
  <c r="T356" i="50"/>
  <c r="S356" i="50"/>
  <c r="R356" i="50"/>
  <c r="P356" i="50"/>
  <c r="N356" i="50"/>
  <c r="Q356" i="50" s="1"/>
  <c r="V355" i="50"/>
  <c r="U355" i="50"/>
  <c r="T355" i="50"/>
  <c r="S355" i="50"/>
  <c r="R355" i="50"/>
  <c r="P355" i="50"/>
  <c r="N355" i="50"/>
  <c r="Q355" i="50" s="1"/>
  <c r="V354" i="50"/>
  <c r="U354" i="50"/>
  <c r="T354" i="50"/>
  <c r="S354" i="50"/>
  <c r="R354" i="50"/>
  <c r="Q354" i="50"/>
  <c r="N354" i="50"/>
  <c r="P354" i="50" s="1"/>
  <c r="V353" i="50"/>
  <c r="U353" i="50"/>
  <c r="T353" i="50"/>
  <c r="S353" i="50"/>
  <c r="R353" i="50"/>
  <c r="P353" i="50"/>
  <c r="N353" i="50"/>
  <c r="Q353" i="50" s="1"/>
  <c r="V352" i="50"/>
  <c r="U352" i="50"/>
  <c r="T352" i="50"/>
  <c r="S352" i="50"/>
  <c r="R352" i="50"/>
  <c r="P352" i="50"/>
  <c r="N352" i="50"/>
  <c r="Q352" i="50" s="1"/>
  <c r="V351" i="50"/>
  <c r="U351" i="50"/>
  <c r="T351" i="50"/>
  <c r="S351" i="50"/>
  <c r="R351" i="50"/>
  <c r="Q351" i="50"/>
  <c r="N351" i="50"/>
  <c r="H351" i="50"/>
  <c r="V350" i="50"/>
  <c r="U350" i="50"/>
  <c r="T350" i="50"/>
  <c r="S350" i="50"/>
  <c r="R350" i="50"/>
  <c r="P350" i="50"/>
  <c r="N350" i="50"/>
  <c r="Q350" i="50" s="1"/>
  <c r="V349" i="50"/>
  <c r="U349" i="50"/>
  <c r="T349" i="50"/>
  <c r="S349" i="50"/>
  <c r="R349" i="50"/>
  <c r="P349" i="50"/>
  <c r="N349" i="50"/>
  <c r="Q349" i="50" s="1"/>
  <c r="V348" i="50"/>
  <c r="U348" i="50"/>
  <c r="T348" i="50"/>
  <c r="S348" i="50"/>
  <c r="R348" i="50"/>
  <c r="Q348" i="50"/>
  <c r="N348" i="50"/>
  <c r="H348" i="50"/>
  <c r="V347" i="50"/>
  <c r="U347" i="50"/>
  <c r="T347" i="50"/>
  <c r="S347" i="50"/>
  <c r="R347" i="50"/>
  <c r="P347" i="50"/>
  <c r="N347" i="50"/>
  <c r="Q347" i="50" s="1"/>
  <c r="V346" i="50"/>
  <c r="U346" i="50"/>
  <c r="T346" i="50"/>
  <c r="S346" i="50"/>
  <c r="R346" i="50"/>
  <c r="P346" i="50"/>
  <c r="N346" i="50"/>
  <c r="Q346" i="50" s="1"/>
  <c r="V345" i="50"/>
  <c r="U345" i="50"/>
  <c r="T345" i="50"/>
  <c r="S345" i="50"/>
  <c r="R345" i="50"/>
  <c r="Q345" i="50"/>
  <c r="N345" i="50"/>
  <c r="H345" i="50"/>
  <c r="V344" i="50"/>
  <c r="U344" i="50"/>
  <c r="T344" i="50"/>
  <c r="S344" i="50"/>
  <c r="R344" i="50"/>
  <c r="P344" i="50"/>
  <c r="N344" i="50"/>
  <c r="Q344" i="50" s="1"/>
  <c r="V343" i="50"/>
  <c r="U343" i="50"/>
  <c r="T343" i="50"/>
  <c r="S343" i="50"/>
  <c r="R343" i="50"/>
  <c r="P343" i="50"/>
  <c r="N343" i="50"/>
  <c r="Q343" i="50" s="1"/>
  <c r="V342" i="50"/>
  <c r="U342" i="50"/>
  <c r="T342" i="50"/>
  <c r="S342" i="50"/>
  <c r="R342" i="50"/>
  <c r="Q342" i="50"/>
  <c r="P342" i="50"/>
  <c r="N342" i="50"/>
  <c r="V341" i="50"/>
  <c r="U341" i="50"/>
  <c r="T341" i="50"/>
  <c r="S341" i="50"/>
  <c r="R341" i="50"/>
  <c r="Q341" i="50"/>
  <c r="N341" i="50"/>
  <c r="H341" i="50"/>
  <c r="V340" i="50"/>
  <c r="U340" i="50"/>
  <c r="T340" i="50"/>
  <c r="S340" i="50"/>
  <c r="Q340" i="50"/>
  <c r="P340" i="50"/>
  <c r="N340" i="50"/>
  <c r="R340" i="50" s="1"/>
  <c r="V339" i="50"/>
  <c r="U339" i="50"/>
  <c r="T339" i="50"/>
  <c r="S339" i="50"/>
  <c r="Q339" i="50"/>
  <c r="P339" i="50"/>
  <c r="N339" i="50"/>
  <c r="R339" i="50" s="1"/>
  <c r="V338" i="50"/>
  <c r="U338" i="50"/>
  <c r="T338" i="50"/>
  <c r="S338" i="50"/>
  <c r="R338" i="50"/>
  <c r="Q338" i="50"/>
  <c r="N338" i="50"/>
  <c r="H338" i="50"/>
  <c r="V337" i="50"/>
  <c r="U337" i="50"/>
  <c r="T337" i="50"/>
  <c r="S337" i="50"/>
  <c r="R337" i="50"/>
  <c r="P337" i="50"/>
  <c r="N337" i="50"/>
  <c r="Q337" i="50" s="1"/>
  <c r="V336" i="50"/>
  <c r="U336" i="50"/>
  <c r="T336" i="50"/>
  <c r="S336" i="50"/>
  <c r="R336" i="50"/>
  <c r="P336" i="50"/>
  <c r="N336" i="50"/>
  <c r="Q336" i="50" s="1"/>
  <c r="V335" i="50"/>
  <c r="U335" i="50"/>
  <c r="T335" i="50"/>
  <c r="S335" i="50"/>
  <c r="R335" i="50"/>
  <c r="Q335" i="50"/>
  <c r="N335" i="50"/>
  <c r="H335" i="50"/>
  <c r="V334" i="50"/>
  <c r="U334" i="50"/>
  <c r="T334" i="50"/>
  <c r="S334" i="50"/>
  <c r="R334" i="50"/>
  <c r="P334" i="50"/>
  <c r="N334" i="50"/>
  <c r="Q334" i="50" s="1"/>
  <c r="V333" i="50"/>
  <c r="U333" i="50"/>
  <c r="T333" i="50"/>
  <c r="S333" i="50"/>
  <c r="R333" i="50"/>
  <c r="P333" i="50"/>
  <c r="N333" i="50"/>
  <c r="Q333" i="50" s="1"/>
  <c r="V332" i="50"/>
  <c r="U332" i="50"/>
  <c r="T332" i="50"/>
  <c r="S332" i="50"/>
  <c r="R332" i="50"/>
  <c r="Q332" i="50"/>
  <c r="N332" i="50"/>
  <c r="H332" i="50"/>
  <c r="V331" i="50"/>
  <c r="U331" i="50"/>
  <c r="T331" i="50"/>
  <c r="S331" i="50"/>
  <c r="R331" i="50"/>
  <c r="P331" i="50"/>
  <c r="N331" i="50"/>
  <c r="Q331" i="50" s="1"/>
  <c r="V330" i="50"/>
  <c r="U330" i="50"/>
  <c r="T330" i="50"/>
  <c r="S330" i="50"/>
  <c r="R330" i="50"/>
  <c r="P330" i="50"/>
  <c r="N330" i="50"/>
  <c r="Q330" i="50" s="1"/>
  <c r="V329" i="50"/>
  <c r="U329" i="50"/>
  <c r="T329" i="50"/>
  <c r="S329" i="50"/>
  <c r="R329" i="50"/>
  <c r="Q329" i="50"/>
  <c r="N329" i="50"/>
  <c r="H329" i="50"/>
  <c r="V328" i="50"/>
  <c r="U328" i="50"/>
  <c r="T328" i="50"/>
  <c r="S328" i="50"/>
  <c r="R328" i="50"/>
  <c r="P328" i="50"/>
  <c r="N328" i="50"/>
  <c r="Q328" i="50" s="1"/>
  <c r="V327" i="50"/>
  <c r="U327" i="50"/>
  <c r="T327" i="50"/>
  <c r="S327" i="50"/>
  <c r="R327" i="50"/>
  <c r="P327" i="50"/>
  <c r="N327" i="50"/>
  <c r="Q327" i="50" s="1"/>
  <c r="V326" i="50"/>
  <c r="U326" i="50"/>
  <c r="T326" i="50"/>
  <c r="S326" i="50"/>
  <c r="R326" i="50"/>
  <c r="Q326" i="50"/>
  <c r="N326" i="50"/>
  <c r="H326" i="50"/>
  <c r="V325" i="50"/>
  <c r="U325" i="50"/>
  <c r="T325" i="50"/>
  <c r="S325" i="50"/>
  <c r="R325" i="50"/>
  <c r="P325" i="50"/>
  <c r="N325" i="50"/>
  <c r="Q325" i="50" s="1"/>
  <c r="V324" i="50"/>
  <c r="U324" i="50"/>
  <c r="T324" i="50"/>
  <c r="S324" i="50"/>
  <c r="R324" i="50"/>
  <c r="P324" i="50"/>
  <c r="N324" i="50"/>
  <c r="Q324" i="50" s="1"/>
  <c r="V323" i="50"/>
  <c r="U323" i="50"/>
  <c r="T323" i="50"/>
  <c r="S323" i="50"/>
  <c r="R323" i="50"/>
  <c r="Q323" i="50"/>
  <c r="N323" i="50"/>
  <c r="H323" i="50"/>
  <c r="V322" i="50"/>
  <c r="U322" i="50"/>
  <c r="T322" i="50"/>
  <c r="S322" i="50"/>
  <c r="R322" i="50"/>
  <c r="P322" i="50"/>
  <c r="N322" i="50"/>
  <c r="Q322" i="50" s="1"/>
  <c r="V321" i="50"/>
  <c r="U321" i="50"/>
  <c r="T321" i="50"/>
  <c r="S321" i="50"/>
  <c r="R321" i="50"/>
  <c r="P321" i="50"/>
  <c r="N321" i="50"/>
  <c r="Q321" i="50" s="1"/>
  <c r="V320" i="50"/>
  <c r="U320" i="50"/>
  <c r="T320" i="50"/>
  <c r="S320" i="50"/>
  <c r="R320" i="50"/>
  <c r="Q320" i="50"/>
  <c r="N320" i="50"/>
  <c r="H320" i="50"/>
  <c r="G320" i="50"/>
  <c r="V319" i="50"/>
  <c r="U319" i="50"/>
  <c r="T319" i="50"/>
  <c r="S319" i="50"/>
  <c r="R319" i="50"/>
  <c r="P319" i="50"/>
  <c r="N319" i="50"/>
  <c r="G319" i="50"/>
  <c r="V318" i="50"/>
  <c r="U318" i="50"/>
  <c r="T318" i="50"/>
  <c r="S318" i="50"/>
  <c r="R318" i="50"/>
  <c r="P318" i="50"/>
  <c r="N318" i="50"/>
  <c r="G318" i="50"/>
  <c r="V317" i="50"/>
  <c r="U317" i="50"/>
  <c r="T317" i="50"/>
  <c r="S317" i="50"/>
  <c r="R317" i="50"/>
  <c r="Q317" i="50"/>
  <c r="N317" i="50"/>
  <c r="H317" i="50"/>
  <c r="V316" i="50"/>
  <c r="U316" i="50"/>
  <c r="T316" i="50"/>
  <c r="S316" i="50"/>
  <c r="R316" i="50"/>
  <c r="P316" i="50"/>
  <c r="N316" i="50"/>
  <c r="Q316" i="50" s="1"/>
  <c r="V315" i="50"/>
  <c r="U315" i="50"/>
  <c r="T315" i="50"/>
  <c r="S315" i="50"/>
  <c r="R315" i="50"/>
  <c r="P315" i="50"/>
  <c r="N315" i="50"/>
  <c r="Q315" i="50" s="1"/>
  <c r="V314" i="50"/>
  <c r="U314" i="50"/>
  <c r="T314" i="50"/>
  <c r="S314" i="50"/>
  <c r="R314" i="50"/>
  <c r="Q314" i="50"/>
  <c r="N314" i="50"/>
  <c r="H314" i="50"/>
  <c r="V313" i="50"/>
  <c r="U313" i="50"/>
  <c r="T313" i="50"/>
  <c r="S313" i="50"/>
  <c r="R313" i="50"/>
  <c r="P313" i="50"/>
  <c r="N313" i="50"/>
  <c r="Q313" i="50" s="1"/>
  <c r="V312" i="50"/>
  <c r="U312" i="50"/>
  <c r="T312" i="50"/>
  <c r="S312" i="50"/>
  <c r="R312" i="50"/>
  <c r="P312" i="50"/>
  <c r="N312" i="50"/>
  <c r="Q312" i="50" s="1"/>
  <c r="V311" i="50"/>
  <c r="U311" i="50"/>
  <c r="T311" i="50"/>
  <c r="S311" i="50"/>
  <c r="R311" i="50"/>
  <c r="Q311" i="50"/>
  <c r="N311" i="50"/>
  <c r="H311" i="50"/>
  <c r="V310" i="50"/>
  <c r="U310" i="50"/>
  <c r="T310" i="50"/>
  <c r="S310" i="50"/>
  <c r="R310" i="50"/>
  <c r="P310" i="50"/>
  <c r="N310" i="50"/>
  <c r="Q310" i="50" s="1"/>
  <c r="V309" i="50"/>
  <c r="U309" i="50"/>
  <c r="T309" i="50"/>
  <c r="S309" i="50"/>
  <c r="R309" i="50"/>
  <c r="P309" i="50"/>
  <c r="N309" i="50"/>
  <c r="Q309" i="50" s="1"/>
  <c r="V308" i="50"/>
  <c r="U308" i="50"/>
  <c r="T308" i="50"/>
  <c r="S308" i="50"/>
  <c r="R308" i="50"/>
  <c r="Q308" i="50"/>
  <c r="N308" i="50"/>
  <c r="H308" i="50"/>
  <c r="V307" i="50"/>
  <c r="U307" i="50"/>
  <c r="T307" i="50"/>
  <c r="S307" i="50"/>
  <c r="R307" i="50"/>
  <c r="P307" i="50"/>
  <c r="N307" i="50"/>
  <c r="Q307" i="50" s="1"/>
  <c r="V306" i="50"/>
  <c r="U306" i="50"/>
  <c r="T306" i="50"/>
  <c r="S306" i="50"/>
  <c r="R306" i="50"/>
  <c r="P306" i="50"/>
  <c r="N306" i="50"/>
  <c r="Q306" i="50" s="1"/>
  <c r="V305" i="50"/>
  <c r="U305" i="50"/>
  <c r="T305" i="50"/>
  <c r="S305" i="50"/>
  <c r="R305" i="50"/>
  <c r="Q305" i="50"/>
  <c r="N305" i="50"/>
  <c r="H305" i="50"/>
  <c r="G305" i="50"/>
  <c r="V304" i="50"/>
  <c r="U304" i="50"/>
  <c r="T304" i="50"/>
  <c r="S304" i="50"/>
  <c r="R304" i="50"/>
  <c r="P304" i="50"/>
  <c r="N304" i="50"/>
  <c r="G304" i="50"/>
  <c r="V303" i="50"/>
  <c r="U303" i="50"/>
  <c r="T303" i="50"/>
  <c r="S303" i="50"/>
  <c r="R303" i="50"/>
  <c r="P303" i="50"/>
  <c r="N303" i="50"/>
  <c r="G303" i="50"/>
  <c r="V302" i="50"/>
  <c r="U302" i="50"/>
  <c r="T302" i="50"/>
  <c r="S302" i="50"/>
  <c r="R302" i="50"/>
  <c r="Q302" i="50"/>
  <c r="N302" i="50"/>
  <c r="H302" i="50"/>
  <c r="G302" i="50"/>
  <c r="V301" i="50"/>
  <c r="U301" i="50"/>
  <c r="T301" i="50"/>
  <c r="S301" i="50"/>
  <c r="R301" i="50"/>
  <c r="P301" i="50"/>
  <c r="N301" i="50"/>
  <c r="G301" i="50"/>
  <c r="V300" i="50"/>
  <c r="U300" i="50"/>
  <c r="T300" i="50"/>
  <c r="S300" i="50"/>
  <c r="R300" i="50"/>
  <c r="P300" i="50"/>
  <c r="N300" i="50"/>
  <c r="G300" i="50"/>
  <c r="V299" i="50"/>
  <c r="U299" i="50"/>
  <c r="T299" i="50"/>
  <c r="S299" i="50"/>
  <c r="R299" i="50"/>
  <c r="Q299" i="50"/>
  <c r="N299" i="50"/>
  <c r="H299" i="50"/>
  <c r="G299" i="50"/>
  <c r="V298" i="50"/>
  <c r="U298" i="50"/>
  <c r="T298" i="50"/>
  <c r="S298" i="50"/>
  <c r="R298" i="50"/>
  <c r="P298" i="50"/>
  <c r="N298" i="50"/>
  <c r="G298" i="50"/>
  <c r="V297" i="50"/>
  <c r="U297" i="50"/>
  <c r="T297" i="50"/>
  <c r="S297" i="50"/>
  <c r="R297" i="50"/>
  <c r="P297" i="50"/>
  <c r="N297" i="50"/>
  <c r="G297" i="50"/>
  <c r="V296" i="50"/>
  <c r="U296" i="50"/>
  <c r="T296" i="50"/>
  <c r="S296" i="50"/>
  <c r="R296" i="50"/>
  <c r="Q296" i="50"/>
  <c r="N296" i="50"/>
  <c r="H296" i="50"/>
  <c r="V295" i="50"/>
  <c r="U295" i="50"/>
  <c r="T295" i="50"/>
  <c r="S295" i="50"/>
  <c r="R295" i="50"/>
  <c r="P295" i="50"/>
  <c r="N295" i="50"/>
  <c r="Q295" i="50" s="1"/>
  <c r="V294" i="50"/>
  <c r="U294" i="50"/>
  <c r="T294" i="50"/>
  <c r="S294" i="50"/>
  <c r="R294" i="50"/>
  <c r="P294" i="50"/>
  <c r="N294" i="50"/>
  <c r="Q294" i="50" s="1"/>
  <c r="V293" i="50"/>
  <c r="U293" i="50"/>
  <c r="T293" i="50"/>
  <c r="S293" i="50"/>
  <c r="R293" i="50"/>
  <c r="Q293" i="50"/>
  <c r="N293" i="50"/>
  <c r="H293" i="50"/>
  <c r="V292" i="50"/>
  <c r="U292" i="50"/>
  <c r="T292" i="50"/>
  <c r="S292" i="50"/>
  <c r="R292" i="50"/>
  <c r="P292" i="50"/>
  <c r="N292" i="50"/>
  <c r="Q292" i="50" s="1"/>
  <c r="V291" i="50"/>
  <c r="U291" i="50"/>
  <c r="T291" i="50"/>
  <c r="S291" i="50"/>
  <c r="R291" i="50"/>
  <c r="P291" i="50"/>
  <c r="N291" i="50"/>
  <c r="Q291" i="50" s="1"/>
  <c r="V290" i="50"/>
  <c r="U290" i="50"/>
  <c r="T290" i="50"/>
  <c r="S290" i="50"/>
  <c r="R290" i="50"/>
  <c r="Q290" i="50"/>
  <c r="N290" i="50"/>
  <c r="H290" i="50"/>
  <c r="V289" i="50"/>
  <c r="U289" i="50"/>
  <c r="T289" i="50"/>
  <c r="S289" i="50"/>
  <c r="R289" i="50"/>
  <c r="P289" i="50"/>
  <c r="N289" i="50"/>
  <c r="Q289" i="50" s="1"/>
  <c r="V288" i="50"/>
  <c r="U288" i="50"/>
  <c r="T288" i="50"/>
  <c r="S288" i="50"/>
  <c r="R288" i="50"/>
  <c r="P288" i="50"/>
  <c r="N288" i="50"/>
  <c r="Q288" i="50" s="1"/>
  <c r="V287" i="50"/>
  <c r="U287" i="50"/>
  <c r="T287" i="50"/>
  <c r="S287" i="50"/>
  <c r="R287" i="50"/>
  <c r="Q287" i="50"/>
  <c r="P287" i="50"/>
  <c r="N287" i="50"/>
  <c r="V286" i="50"/>
  <c r="U286" i="50"/>
  <c r="T286" i="50"/>
  <c r="S286" i="50"/>
  <c r="R286" i="50"/>
  <c r="Q286" i="50"/>
  <c r="P286" i="50"/>
  <c r="N286" i="50"/>
  <c r="V285" i="50"/>
  <c r="U285" i="50"/>
  <c r="T285" i="50"/>
  <c r="S285" i="50"/>
  <c r="R285" i="50"/>
  <c r="Q285" i="50"/>
  <c r="P285" i="50"/>
  <c r="N285" i="50"/>
  <c r="V284" i="50"/>
  <c r="U284" i="50"/>
  <c r="T284" i="50"/>
  <c r="S284" i="50"/>
  <c r="R284" i="50"/>
  <c r="Q284" i="50"/>
  <c r="N284" i="50"/>
  <c r="H284" i="50"/>
  <c r="V283" i="50"/>
  <c r="U283" i="50"/>
  <c r="T283" i="50"/>
  <c r="S283" i="50"/>
  <c r="R283" i="50"/>
  <c r="P283" i="50"/>
  <c r="N283" i="50"/>
  <c r="Q283" i="50" s="1"/>
  <c r="V282" i="50"/>
  <c r="U282" i="50"/>
  <c r="T282" i="50"/>
  <c r="S282" i="50"/>
  <c r="R282" i="50"/>
  <c r="P282" i="50"/>
  <c r="N282" i="50"/>
  <c r="Q282" i="50" s="1"/>
  <c r="V281" i="50"/>
  <c r="U281" i="50"/>
  <c r="T281" i="50"/>
  <c r="S281" i="50"/>
  <c r="R281" i="50"/>
  <c r="Q281" i="50"/>
  <c r="N281" i="50"/>
  <c r="H281" i="50"/>
  <c r="V280" i="50"/>
  <c r="U280" i="50"/>
  <c r="T280" i="50"/>
  <c r="S280" i="50"/>
  <c r="R280" i="50"/>
  <c r="P280" i="50"/>
  <c r="N280" i="50"/>
  <c r="Q280" i="50" s="1"/>
  <c r="V279" i="50"/>
  <c r="U279" i="50"/>
  <c r="T279" i="50"/>
  <c r="S279" i="50"/>
  <c r="R279" i="50"/>
  <c r="P279" i="50"/>
  <c r="N279" i="50"/>
  <c r="Q279" i="50" s="1"/>
  <c r="V278" i="50"/>
  <c r="U278" i="50"/>
  <c r="T278" i="50"/>
  <c r="S278" i="50"/>
  <c r="R278" i="50"/>
  <c r="Q278" i="50"/>
  <c r="N278" i="50"/>
  <c r="H278" i="50"/>
  <c r="V277" i="50"/>
  <c r="U277" i="50"/>
  <c r="T277" i="50"/>
  <c r="S277" i="50"/>
  <c r="R277" i="50"/>
  <c r="P277" i="50"/>
  <c r="N277" i="50"/>
  <c r="Q277" i="50" s="1"/>
  <c r="V276" i="50"/>
  <c r="U276" i="50"/>
  <c r="T276" i="50"/>
  <c r="S276" i="50"/>
  <c r="R276" i="50"/>
  <c r="P276" i="50"/>
  <c r="N276" i="50"/>
  <c r="Q276" i="50" s="1"/>
  <c r="V275" i="50"/>
  <c r="U275" i="50"/>
  <c r="T275" i="50"/>
  <c r="S275" i="50"/>
  <c r="R275" i="50"/>
  <c r="Q275" i="50"/>
  <c r="N275" i="50"/>
  <c r="H275" i="50"/>
  <c r="V274" i="50"/>
  <c r="U274" i="50"/>
  <c r="T274" i="50"/>
  <c r="S274" i="50"/>
  <c r="R274" i="50"/>
  <c r="P274" i="50"/>
  <c r="N274" i="50"/>
  <c r="Q274" i="50" s="1"/>
  <c r="V273" i="50"/>
  <c r="U273" i="50"/>
  <c r="T273" i="50"/>
  <c r="S273" i="50"/>
  <c r="R273" i="50"/>
  <c r="P273" i="50"/>
  <c r="N273" i="50"/>
  <c r="Q273" i="50" s="1"/>
  <c r="V272" i="50"/>
  <c r="U272" i="50"/>
  <c r="T272" i="50"/>
  <c r="S272" i="50"/>
  <c r="R272" i="50"/>
  <c r="Q272" i="50"/>
  <c r="P272" i="50"/>
  <c r="N272" i="50"/>
  <c r="V271" i="50"/>
  <c r="U271" i="50"/>
  <c r="T271" i="50"/>
  <c r="S271" i="50"/>
  <c r="R271" i="50"/>
  <c r="Q271" i="50"/>
  <c r="N271" i="50"/>
  <c r="H271" i="50"/>
  <c r="V270" i="50"/>
  <c r="U270" i="50"/>
  <c r="T270" i="50"/>
  <c r="S270" i="50"/>
  <c r="Q270" i="50"/>
  <c r="P270" i="50"/>
  <c r="N270" i="50"/>
  <c r="R270" i="50" s="1"/>
  <c r="V269" i="50"/>
  <c r="U269" i="50"/>
  <c r="T269" i="50"/>
  <c r="S269" i="50"/>
  <c r="Q269" i="50"/>
  <c r="P269" i="50"/>
  <c r="N269" i="50"/>
  <c r="R269" i="50" s="1"/>
  <c r="V268" i="50"/>
  <c r="U268" i="50"/>
  <c r="T268" i="50"/>
  <c r="S268" i="50"/>
  <c r="R268" i="50"/>
  <c r="Q268" i="50"/>
  <c r="N268" i="50"/>
  <c r="H268" i="50"/>
  <c r="V267" i="50"/>
  <c r="U267" i="50"/>
  <c r="T267" i="50"/>
  <c r="S267" i="50"/>
  <c r="R267" i="50"/>
  <c r="P267" i="50"/>
  <c r="N267" i="50"/>
  <c r="Q267" i="50" s="1"/>
  <c r="V266" i="50"/>
  <c r="U266" i="50"/>
  <c r="T266" i="50"/>
  <c r="S266" i="50"/>
  <c r="R266" i="50"/>
  <c r="P266" i="50"/>
  <c r="N266" i="50"/>
  <c r="Q266" i="50" s="1"/>
  <c r="V265" i="50"/>
  <c r="U265" i="50"/>
  <c r="T265" i="50"/>
  <c r="S265" i="50"/>
  <c r="R265" i="50"/>
  <c r="Q265" i="50"/>
  <c r="N265" i="50"/>
  <c r="H265" i="50"/>
  <c r="G265" i="50"/>
  <c r="V264" i="50"/>
  <c r="U264" i="50"/>
  <c r="T264" i="50"/>
  <c r="S264" i="50"/>
  <c r="R264" i="50"/>
  <c r="P264" i="50"/>
  <c r="N264" i="50"/>
  <c r="G264" i="50"/>
  <c r="V263" i="50"/>
  <c r="U263" i="50"/>
  <c r="T263" i="50"/>
  <c r="S263" i="50"/>
  <c r="R263" i="50"/>
  <c r="P263" i="50"/>
  <c r="N263" i="50"/>
  <c r="G263" i="50"/>
  <c r="V262" i="50"/>
  <c r="U262" i="50"/>
  <c r="T262" i="50"/>
  <c r="S262" i="50"/>
  <c r="R262" i="50"/>
  <c r="Q262" i="50"/>
  <c r="N262" i="50"/>
  <c r="H262" i="50"/>
  <c r="V261" i="50"/>
  <c r="U261" i="50"/>
  <c r="T261" i="50"/>
  <c r="S261" i="50"/>
  <c r="R261" i="50"/>
  <c r="P261" i="50"/>
  <c r="N261" i="50"/>
  <c r="Q261" i="50" s="1"/>
  <c r="V260" i="50"/>
  <c r="U260" i="50"/>
  <c r="T260" i="50"/>
  <c r="S260" i="50"/>
  <c r="R260" i="50"/>
  <c r="P260" i="50"/>
  <c r="N260" i="50"/>
  <c r="Q260" i="50" s="1"/>
  <c r="V259" i="50"/>
  <c r="U259" i="50"/>
  <c r="T259" i="50"/>
  <c r="S259" i="50"/>
  <c r="R259" i="50"/>
  <c r="Q259" i="50"/>
  <c r="N259" i="50"/>
  <c r="H259" i="50"/>
  <c r="V258" i="50"/>
  <c r="U258" i="50"/>
  <c r="T258" i="50"/>
  <c r="S258" i="50"/>
  <c r="R258" i="50"/>
  <c r="P258" i="50"/>
  <c r="N258" i="50"/>
  <c r="Q258" i="50" s="1"/>
  <c r="V257" i="50"/>
  <c r="U257" i="50"/>
  <c r="T257" i="50"/>
  <c r="S257" i="50"/>
  <c r="R257" i="50"/>
  <c r="P257" i="50"/>
  <c r="N257" i="50"/>
  <c r="Q257" i="50" s="1"/>
  <c r="V256" i="50"/>
  <c r="U256" i="50"/>
  <c r="T256" i="50"/>
  <c r="S256" i="50"/>
  <c r="R256" i="50"/>
  <c r="Q256" i="50"/>
  <c r="N256" i="50"/>
  <c r="H256" i="50"/>
  <c r="V255" i="50"/>
  <c r="U255" i="50"/>
  <c r="T255" i="50"/>
  <c r="S255" i="50"/>
  <c r="R255" i="50"/>
  <c r="P255" i="50"/>
  <c r="N255" i="50"/>
  <c r="Q255" i="50" s="1"/>
  <c r="V254" i="50"/>
  <c r="U254" i="50"/>
  <c r="T254" i="50"/>
  <c r="S254" i="50"/>
  <c r="R254" i="50"/>
  <c r="P254" i="50"/>
  <c r="N254" i="50"/>
  <c r="Q254" i="50" s="1"/>
  <c r="V253" i="50"/>
  <c r="U253" i="50"/>
  <c r="T253" i="50"/>
  <c r="S253" i="50"/>
  <c r="R253" i="50"/>
  <c r="Q253" i="50"/>
  <c r="N253" i="50"/>
  <c r="H253" i="50"/>
  <c r="G253" i="50"/>
  <c r="V252" i="50"/>
  <c r="U252" i="50"/>
  <c r="T252" i="50"/>
  <c r="S252" i="50"/>
  <c r="R252" i="50"/>
  <c r="P252" i="50"/>
  <c r="N252" i="50"/>
  <c r="G252" i="50"/>
  <c r="V251" i="50"/>
  <c r="U251" i="50"/>
  <c r="T251" i="50"/>
  <c r="S251" i="50"/>
  <c r="R251" i="50"/>
  <c r="P251" i="50"/>
  <c r="N251" i="50"/>
  <c r="G251" i="50"/>
  <c r="V250" i="50"/>
  <c r="U250" i="50"/>
  <c r="T250" i="50"/>
  <c r="S250" i="50"/>
  <c r="R250" i="50"/>
  <c r="Q250" i="50"/>
  <c r="N250" i="50"/>
  <c r="H250" i="50"/>
  <c r="V249" i="50"/>
  <c r="U249" i="50"/>
  <c r="T249" i="50"/>
  <c r="S249" i="50"/>
  <c r="R249" i="50"/>
  <c r="P249" i="50"/>
  <c r="N249" i="50"/>
  <c r="Q249" i="50" s="1"/>
  <c r="V248" i="50"/>
  <c r="U248" i="50"/>
  <c r="T248" i="50"/>
  <c r="S248" i="50"/>
  <c r="R248" i="50"/>
  <c r="P248" i="50"/>
  <c r="N248" i="50"/>
  <c r="Q248" i="50" s="1"/>
  <c r="V247" i="50"/>
  <c r="U247" i="50"/>
  <c r="T247" i="50"/>
  <c r="S247" i="50"/>
  <c r="R247" i="50"/>
  <c r="Q247" i="50"/>
  <c r="N247" i="50"/>
  <c r="H247" i="50"/>
  <c r="V246" i="50"/>
  <c r="U246" i="50"/>
  <c r="T246" i="50"/>
  <c r="S246" i="50"/>
  <c r="R246" i="50"/>
  <c r="P246" i="50"/>
  <c r="N246" i="50"/>
  <c r="Q246" i="50" s="1"/>
  <c r="V245" i="50"/>
  <c r="U245" i="50"/>
  <c r="T245" i="50"/>
  <c r="S245" i="50"/>
  <c r="R245" i="50"/>
  <c r="P245" i="50"/>
  <c r="N245" i="50"/>
  <c r="Q245" i="50" s="1"/>
  <c r="V244" i="50"/>
  <c r="U244" i="50"/>
  <c r="T244" i="50"/>
  <c r="S244" i="50"/>
  <c r="R244" i="50"/>
  <c r="Q244" i="50"/>
  <c r="N244" i="50"/>
  <c r="H244" i="50"/>
  <c r="V243" i="50"/>
  <c r="U243" i="50"/>
  <c r="T243" i="50"/>
  <c r="S243" i="50"/>
  <c r="R243" i="50"/>
  <c r="P243" i="50"/>
  <c r="N243" i="50"/>
  <c r="Q243" i="50" s="1"/>
  <c r="V242" i="50"/>
  <c r="U242" i="50"/>
  <c r="T242" i="50"/>
  <c r="S242" i="50"/>
  <c r="R242" i="50"/>
  <c r="P242" i="50"/>
  <c r="N242" i="50"/>
  <c r="Q242" i="50" s="1"/>
  <c r="V241" i="50"/>
  <c r="U241" i="50"/>
  <c r="T241" i="50"/>
  <c r="S241" i="50"/>
  <c r="R241" i="50"/>
  <c r="Q241" i="50"/>
  <c r="N241" i="50"/>
  <c r="H241" i="50"/>
  <c r="G241" i="50"/>
  <c r="V240" i="50"/>
  <c r="U240" i="50"/>
  <c r="T240" i="50"/>
  <c r="S240" i="50"/>
  <c r="R240" i="50"/>
  <c r="P240" i="50"/>
  <c r="N240" i="50"/>
  <c r="G240" i="50"/>
  <c r="V239" i="50"/>
  <c r="U239" i="50"/>
  <c r="T239" i="50"/>
  <c r="S239" i="50"/>
  <c r="R239" i="50"/>
  <c r="P239" i="50"/>
  <c r="N239" i="50"/>
  <c r="G239" i="50"/>
  <c r="V238" i="50"/>
  <c r="U238" i="50"/>
  <c r="T238" i="50"/>
  <c r="S238" i="50"/>
  <c r="R238" i="50"/>
  <c r="Q238" i="50"/>
  <c r="N238" i="50"/>
  <c r="H238" i="50"/>
  <c r="V237" i="50"/>
  <c r="U237" i="50"/>
  <c r="T237" i="50"/>
  <c r="S237" i="50"/>
  <c r="R237" i="50"/>
  <c r="P237" i="50"/>
  <c r="N237" i="50"/>
  <c r="Q237" i="50" s="1"/>
  <c r="V236" i="50"/>
  <c r="U236" i="50"/>
  <c r="T236" i="50"/>
  <c r="S236" i="50"/>
  <c r="R236" i="50"/>
  <c r="P236" i="50"/>
  <c r="N236" i="50"/>
  <c r="Q236" i="50" s="1"/>
  <c r="V235" i="50"/>
  <c r="U235" i="50"/>
  <c r="T235" i="50"/>
  <c r="S235" i="50"/>
  <c r="R235" i="50"/>
  <c r="Q235" i="50"/>
  <c r="N235" i="50"/>
  <c r="H235" i="50"/>
  <c r="V234" i="50"/>
  <c r="U234" i="50"/>
  <c r="T234" i="50"/>
  <c r="S234" i="50"/>
  <c r="R234" i="50"/>
  <c r="P234" i="50"/>
  <c r="N234" i="50"/>
  <c r="Q234" i="50" s="1"/>
  <c r="V233" i="50"/>
  <c r="U233" i="50"/>
  <c r="T233" i="50"/>
  <c r="S233" i="50"/>
  <c r="R233" i="50"/>
  <c r="P233" i="50"/>
  <c r="N233" i="50"/>
  <c r="Q233" i="50" s="1"/>
  <c r="V232" i="50"/>
  <c r="U232" i="50"/>
  <c r="T232" i="50"/>
  <c r="S232" i="50"/>
  <c r="R232" i="50"/>
  <c r="Q232" i="50"/>
  <c r="P232" i="50"/>
  <c r="N232" i="50"/>
  <c r="V231" i="50"/>
  <c r="U231" i="50"/>
  <c r="T231" i="50"/>
  <c r="S231" i="50"/>
  <c r="R231" i="50"/>
  <c r="Q231" i="50"/>
  <c r="P231" i="50"/>
  <c r="N231" i="50"/>
  <c r="V230" i="50"/>
  <c r="U230" i="50"/>
  <c r="T230" i="50"/>
  <c r="S230" i="50"/>
  <c r="R230" i="50"/>
  <c r="Q230" i="50"/>
  <c r="N230" i="50"/>
  <c r="H230" i="50"/>
  <c r="V229" i="50"/>
  <c r="U229" i="50"/>
  <c r="T229" i="50"/>
  <c r="S229" i="50"/>
  <c r="R229" i="50"/>
  <c r="P229" i="50"/>
  <c r="N229" i="50"/>
  <c r="Q229" i="50" s="1"/>
  <c r="V228" i="50"/>
  <c r="U228" i="50"/>
  <c r="T228" i="50"/>
  <c r="S228" i="50"/>
  <c r="R228" i="50"/>
  <c r="P228" i="50"/>
  <c r="N228" i="50"/>
  <c r="Q228" i="50" s="1"/>
  <c r="V227" i="50"/>
  <c r="U227" i="50"/>
  <c r="T227" i="50"/>
  <c r="S227" i="50"/>
  <c r="R227" i="50"/>
  <c r="Q227" i="50"/>
  <c r="N227" i="50"/>
  <c r="H227" i="50"/>
  <c r="V226" i="50"/>
  <c r="U226" i="50"/>
  <c r="T226" i="50"/>
  <c r="S226" i="50"/>
  <c r="R226" i="50"/>
  <c r="P226" i="50"/>
  <c r="N226" i="50"/>
  <c r="Q226" i="50" s="1"/>
  <c r="V225" i="50"/>
  <c r="U225" i="50"/>
  <c r="T225" i="50"/>
  <c r="S225" i="50"/>
  <c r="R225" i="50"/>
  <c r="P225" i="50"/>
  <c r="N225" i="50"/>
  <c r="Q225" i="50" s="1"/>
  <c r="V224" i="50"/>
  <c r="U224" i="50"/>
  <c r="T224" i="50"/>
  <c r="S224" i="50"/>
  <c r="R224" i="50"/>
  <c r="Q224" i="50"/>
  <c r="N224" i="50"/>
  <c r="H224" i="50"/>
  <c r="V223" i="50"/>
  <c r="U223" i="50"/>
  <c r="T223" i="50"/>
  <c r="S223" i="50"/>
  <c r="R223" i="50"/>
  <c r="P223" i="50"/>
  <c r="N223" i="50"/>
  <c r="Q223" i="50" s="1"/>
  <c r="V222" i="50"/>
  <c r="U222" i="50"/>
  <c r="T222" i="50"/>
  <c r="S222" i="50"/>
  <c r="R222" i="50"/>
  <c r="P222" i="50"/>
  <c r="N222" i="50"/>
  <c r="Q222" i="50" s="1"/>
  <c r="V221" i="50"/>
  <c r="U221" i="50"/>
  <c r="T221" i="50"/>
  <c r="S221" i="50"/>
  <c r="R221" i="50"/>
  <c r="Q221" i="50"/>
  <c r="P221" i="50"/>
  <c r="N221" i="50"/>
  <c r="V220" i="50"/>
  <c r="U220" i="50"/>
  <c r="T220" i="50"/>
  <c r="S220" i="50"/>
  <c r="R220" i="50"/>
  <c r="Q220" i="50"/>
  <c r="N220" i="50"/>
  <c r="H220" i="50"/>
  <c r="V219" i="50"/>
  <c r="U219" i="50"/>
  <c r="T219" i="50"/>
  <c r="S219" i="50"/>
  <c r="Q219" i="50"/>
  <c r="P219" i="50"/>
  <c r="N219" i="50"/>
  <c r="R219" i="50" s="1"/>
  <c r="V218" i="50"/>
  <c r="U218" i="50"/>
  <c r="T218" i="50"/>
  <c r="S218" i="50"/>
  <c r="Q218" i="50"/>
  <c r="P218" i="50"/>
  <c r="N218" i="50"/>
  <c r="R218" i="50" s="1"/>
  <c r="V217" i="50"/>
  <c r="U217" i="50"/>
  <c r="T217" i="50"/>
  <c r="S217" i="50"/>
  <c r="R217" i="50"/>
  <c r="Q217" i="50"/>
  <c r="N217" i="50"/>
  <c r="H217" i="50"/>
  <c r="V216" i="50"/>
  <c r="U216" i="50"/>
  <c r="T216" i="50"/>
  <c r="S216" i="50"/>
  <c r="R216" i="50"/>
  <c r="P216" i="50"/>
  <c r="N216" i="50"/>
  <c r="Q216" i="50" s="1"/>
  <c r="V215" i="50"/>
  <c r="U215" i="50"/>
  <c r="T215" i="50"/>
  <c r="S215" i="50"/>
  <c r="R215" i="50"/>
  <c r="P215" i="50"/>
  <c r="N215" i="50"/>
  <c r="Q215" i="50" s="1"/>
  <c r="V214" i="50"/>
  <c r="U214" i="50"/>
  <c r="T214" i="50"/>
  <c r="S214" i="50"/>
  <c r="R214" i="50"/>
  <c r="Q214" i="50"/>
  <c r="N214" i="50"/>
  <c r="H214" i="50"/>
  <c r="V213" i="50"/>
  <c r="U213" i="50"/>
  <c r="T213" i="50"/>
  <c r="S213" i="50"/>
  <c r="R213" i="50"/>
  <c r="P213" i="50"/>
  <c r="N213" i="50"/>
  <c r="Q213" i="50" s="1"/>
  <c r="V212" i="50"/>
  <c r="U212" i="50"/>
  <c r="T212" i="50"/>
  <c r="S212" i="50"/>
  <c r="R212" i="50"/>
  <c r="P212" i="50"/>
  <c r="N212" i="50"/>
  <c r="Q212" i="50" s="1"/>
  <c r="V211" i="50"/>
  <c r="U211" i="50"/>
  <c r="T211" i="50"/>
  <c r="S211" i="50"/>
  <c r="R211" i="50"/>
  <c r="Q211" i="50"/>
  <c r="N211" i="50"/>
  <c r="H211" i="50"/>
  <c r="V210" i="50"/>
  <c r="U210" i="50"/>
  <c r="T210" i="50"/>
  <c r="S210" i="50"/>
  <c r="R210" i="50"/>
  <c r="P210" i="50"/>
  <c r="N210" i="50"/>
  <c r="Q210" i="50" s="1"/>
  <c r="V209" i="50"/>
  <c r="U209" i="50"/>
  <c r="T209" i="50"/>
  <c r="S209" i="50"/>
  <c r="R209" i="50"/>
  <c r="P209" i="50"/>
  <c r="N209" i="50"/>
  <c r="Q209" i="50" s="1"/>
  <c r="V208" i="50"/>
  <c r="U208" i="50"/>
  <c r="T208" i="50"/>
  <c r="S208" i="50"/>
  <c r="R208" i="50"/>
  <c r="Q208" i="50"/>
  <c r="N208" i="50"/>
  <c r="H208" i="50"/>
  <c r="G208" i="50"/>
  <c r="V207" i="50"/>
  <c r="U207" i="50"/>
  <c r="T207" i="50"/>
  <c r="S207" i="50"/>
  <c r="R207" i="50"/>
  <c r="P207" i="50"/>
  <c r="N207" i="50"/>
  <c r="Q207" i="50" s="1"/>
  <c r="G207" i="50"/>
  <c r="V206" i="50"/>
  <c r="U206" i="50"/>
  <c r="T206" i="50"/>
  <c r="S206" i="50"/>
  <c r="R206" i="50"/>
  <c r="P206" i="50"/>
  <c r="N206" i="50"/>
  <c r="G206" i="50"/>
  <c r="V205" i="50"/>
  <c r="U205" i="50"/>
  <c r="T205" i="50"/>
  <c r="S205" i="50"/>
  <c r="R205" i="50"/>
  <c r="Q205" i="50"/>
  <c r="N205" i="50"/>
  <c r="H205" i="50"/>
  <c r="V204" i="50"/>
  <c r="U204" i="50"/>
  <c r="T204" i="50"/>
  <c r="S204" i="50"/>
  <c r="R204" i="50"/>
  <c r="P204" i="50"/>
  <c r="N204" i="50"/>
  <c r="Q204" i="50" s="1"/>
  <c r="V203" i="50"/>
  <c r="U203" i="50"/>
  <c r="T203" i="50"/>
  <c r="S203" i="50"/>
  <c r="R203" i="50"/>
  <c r="P203" i="50"/>
  <c r="N203" i="50"/>
  <c r="Q203" i="50" s="1"/>
  <c r="V202" i="50"/>
  <c r="U202" i="50"/>
  <c r="T202" i="50"/>
  <c r="S202" i="50"/>
  <c r="R202" i="50"/>
  <c r="Q202" i="50"/>
  <c r="N202" i="50"/>
  <c r="H202" i="50"/>
  <c r="V201" i="50"/>
  <c r="U201" i="50"/>
  <c r="T201" i="50"/>
  <c r="S201" i="50"/>
  <c r="R201" i="50"/>
  <c r="P201" i="50"/>
  <c r="N201" i="50"/>
  <c r="Q201" i="50" s="1"/>
  <c r="V200" i="50"/>
  <c r="U200" i="50"/>
  <c r="T200" i="50"/>
  <c r="S200" i="50"/>
  <c r="R200" i="50"/>
  <c r="P200" i="50"/>
  <c r="N200" i="50"/>
  <c r="Q200" i="50" s="1"/>
  <c r="V199" i="50"/>
  <c r="U199" i="50"/>
  <c r="T199" i="50"/>
  <c r="S199" i="50"/>
  <c r="R199" i="50"/>
  <c r="Q199" i="50"/>
  <c r="N199" i="50"/>
  <c r="H199" i="50"/>
  <c r="V198" i="50"/>
  <c r="U198" i="50"/>
  <c r="T198" i="50"/>
  <c r="S198" i="50"/>
  <c r="R198" i="50"/>
  <c r="P198" i="50"/>
  <c r="N198" i="50"/>
  <c r="Q198" i="50" s="1"/>
  <c r="V197" i="50"/>
  <c r="U197" i="50"/>
  <c r="T197" i="50"/>
  <c r="S197" i="50"/>
  <c r="R197" i="50"/>
  <c r="P197" i="50"/>
  <c r="N197" i="50"/>
  <c r="Q197" i="50" s="1"/>
  <c r="V196" i="50"/>
  <c r="U196" i="50"/>
  <c r="T196" i="50"/>
  <c r="S196" i="50"/>
  <c r="R196" i="50"/>
  <c r="Q196" i="50"/>
  <c r="N196" i="50"/>
  <c r="H196" i="50"/>
  <c r="G196" i="50"/>
  <c r="V195" i="50"/>
  <c r="U195" i="50"/>
  <c r="T195" i="50"/>
  <c r="S195" i="50"/>
  <c r="R195" i="50"/>
  <c r="P195" i="50"/>
  <c r="N195" i="50"/>
  <c r="G195" i="50"/>
  <c r="V194" i="50"/>
  <c r="U194" i="50"/>
  <c r="T194" i="50"/>
  <c r="S194" i="50"/>
  <c r="R194" i="50"/>
  <c r="P194" i="50"/>
  <c r="N194" i="50"/>
  <c r="G194" i="50"/>
  <c r="V193" i="50"/>
  <c r="U193" i="50"/>
  <c r="T193" i="50"/>
  <c r="S193" i="50"/>
  <c r="R193" i="50"/>
  <c r="Q193" i="50"/>
  <c r="N193" i="50"/>
  <c r="H193" i="50"/>
  <c r="G193" i="50"/>
  <c r="V192" i="50"/>
  <c r="U192" i="50"/>
  <c r="T192" i="50"/>
  <c r="S192" i="50"/>
  <c r="R192" i="50"/>
  <c r="P192" i="50"/>
  <c r="N192" i="50"/>
  <c r="G192" i="50"/>
  <c r="V191" i="50"/>
  <c r="U191" i="50"/>
  <c r="T191" i="50"/>
  <c r="S191" i="50"/>
  <c r="R191" i="50"/>
  <c r="P191" i="50"/>
  <c r="N191" i="50"/>
  <c r="Q191" i="50" s="1"/>
  <c r="G191" i="50"/>
  <c r="V190" i="50"/>
  <c r="U190" i="50"/>
  <c r="T190" i="50"/>
  <c r="S190" i="50"/>
  <c r="R190" i="50"/>
  <c r="Q190" i="50"/>
  <c r="N190" i="50"/>
  <c r="H190" i="50"/>
  <c r="V189" i="50"/>
  <c r="U189" i="50"/>
  <c r="T189" i="50"/>
  <c r="S189" i="50"/>
  <c r="R189" i="50"/>
  <c r="P189" i="50"/>
  <c r="N189" i="50"/>
  <c r="Q189" i="50" s="1"/>
  <c r="V188" i="50"/>
  <c r="U188" i="50"/>
  <c r="T188" i="50"/>
  <c r="S188" i="50"/>
  <c r="R188" i="50"/>
  <c r="P188" i="50"/>
  <c r="N188" i="50"/>
  <c r="Q188" i="50" s="1"/>
  <c r="V187" i="50"/>
  <c r="U187" i="50"/>
  <c r="T187" i="50"/>
  <c r="S187" i="50"/>
  <c r="R187" i="50"/>
  <c r="Q187" i="50"/>
  <c r="N187" i="50"/>
  <c r="H187" i="50"/>
  <c r="G187" i="50"/>
  <c r="V186" i="50"/>
  <c r="U186" i="50"/>
  <c r="T186" i="50"/>
  <c r="S186" i="50"/>
  <c r="R186" i="50"/>
  <c r="P186" i="50"/>
  <c r="N186" i="50"/>
  <c r="G186" i="50"/>
  <c r="V185" i="50"/>
  <c r="U185" i="50"/>
  <c r="T185" i="50"/>
  <c r="S185" i="50"/>
  <c r="R185" i="50"/>
  <c r="P185" i="50"/>
  <c r="N185" i="50"/>
  <c r="G185" i="50"/>
  <c r="V184" i="50"/>
  <c r="U184" i="50"/>
  <c r="T184" i="50"/>
  <c r="S184" i="50"/>
  <c r="R184" i="50"/>
  <c r="Q184" i="50"/>
  <c r="N184" i="50"/>
  <c r="H184" i="50"/>
  <c r="V183" i="50"/>
  <c r="U183" i="50"/>
  <c r="T183" i="50"/>
  <c r="S183" i="50"/>
  <c r="R183" i="50"/>
  <c r="P183" i="50"/>
  <c r="N183" i="50"/>
  <c r="Q183" i="50" s="1"/>
  <c r="V182" i="50"/>
  <c r="U182" i="50"/>
  <c r="T182" i="50"/>
  <c r="S182" i="50"/>
  <c r="R182" i="50"/>
  <c r="P182" i="50"/>
  <c r="N182" i="50"/>
  <c r="Q182" i="50" s="1"/>
  <c r="V181" i="50"/>
  <c r="U181" i="50"/>
  <c r="T181" i="50"/>
  <c r="S181" i="50"/>
  <c r="R181" i="50"/>
  <c r="Q181" i="50"/>
  <c r="N181" i="50"/>
  <c r="H181" i="50"/>
  <c r="V180" i="50"/>
  <c r="U180" i="50"/>
  <c r="T180" i="50"/>
  <c r="S180" i="50"/>
  <c r="R180" i="50"/>
  <c r="P180" i="50"/>
  <c r="N180" i="50"/>
  <c r="Q180" i="50" s="1"/>
  <c r="V179" i="50"/>
  <c r="U179" i="50"/>
  <c r="T179" i="50"/>
  <c r="S179" i="50"/>
  <c r="R179" i="50"/>
  <c r="P179" i="50"/>
  <c r="N179" i="50"/>
  <c r="Q179" i="50" s="1"/>
  <c r="V178" i="50"/>
  <c r="U178" i="50"/>
  <c r="T178" i="50"/>
  <c r="S178" i="50"/>
  <c r="R178" i="50"/>
  <c r="Q178" i="50"/>
  <c r="N178" i="50"/>
  <c r="H178" i="50"/>
  <c r="V177" i="50"/>
  <c r="U177" i="50"/>
  <c r="T177" i="50"/>
  <c r="S177" i="50"/>
  <c r="R177" i="50"/>
  <c r="P177" i="50"/>
  <c r="N177" i="50"/>
  <c r="Q177" i="50" s="1"/>
  <c r="V176" i="50"/>
  <c r="U176" i="50"/>
  <c r="T176" i="50"/>
  <c r="S176" i="50"/>
  <c r="R176" i="50"/>
  <c r="P176" i="50"/>
  <c r="N176" i="50"/>
  <c r="Q176" i="50" s="1"/>
  <c r="V175" i="50"/>
  <c r="U175" i="50"/>
  <c r="T175" i="50"/>
  <c r="S175" i="50"/>
  <c r="R175" i="50"/>
  <c r="Q175" i="50"/>
  <c r="P175" i="50"/>
  <c r="N175" i="50"/>
  <c r="V174" i="50"/>
  <c r="U174" i="50"/>
  <c r="T174" i="50"/>
  <c r="S174" i="50"/>
  <c r="R174" i="50"/>
  <c r="Q174" i="50"/>
  <c r="P174" i="50"/>
  <c r="N174" i="50"/>
  <c r="V173" i="50"/>
  <c r="U173" i="50"/>
  <c r="T173" i="50"/>
  <c r="S173" i="50"/>
  <c r="R173" i="50"/>
  <c r="Q173" i="50"/>
  <c r="N173" i="50"/>
  <c r="H173" i="50"/>
  <c r="V172" i="50"/>
  <c r="U172" i="50"/>
  <c r="T172" i="50"/>
  <c r="S172" i="50"/>
  <c r="R172" i="50"/>
  <c r="P172" i="50"/>
  <c r="N172" i="50"/>
  <c r="Q172" i="50" s="1"/>
  <c r="V171" i="50"/>
  <c r="U171" i="50"/>
  <c r="T171" i="50"/>
  <c r="S171" i="50"/>
  <c r="R171" i="50"/>
  <c r="P171" i="50"/>
  <c r="N171" i="50"/>
  <c r="Q171" i="50" s="1"/>
  <c r="V170" i="50"/>
  <c r="U170" i="50"/>
  <c r="T170" i="50"/>
  <c r="S170" i="50"/>
  <c r="R170" i="50"/>
  <c r="Q170" i="50"/>
  <c r="N170" i="50"/>
  <c r="H170" i="50"/>
  <c r="V169" i="50"/>
  <c r="U169" i="50"/>
  <c r="T169" i="50"/>
  <c r="S169" i="50"/>
  <c r="R169" i="50"/>
  <c r="P169" i="50"/>
  <c r="N169" i="50"/>
  <c r="Q169" i="50" s="1"/>
  <c r="V168" i="50"/>
  <c r="U168" i="50"/>
  <c r="T168" i="50"/>
  <c r="S168" i="50"/>
  <c r="R168" i="50"/>
  <c r="P168" i="50"/>
  <c r="N168" i="50"/>
  <c r="Q168" i="50" s="1"/>
  <c r="V167" i="50"/>
  <c r="U167" i="50"/>
  <c r="T167" i="50"/>
  <c r="S167" i="50"/>
  <c r="R167" i="50"/>
  <c r="Q167" i="50"/>
  <c r="N167" i="50"/>
  <c r="H167" i="50"/>
  <c r="V166" i="50"/>
  <c r="U166" i="50"/>
  <c r="T166" i="50"/>
  <c r="S166" i="50"/>
  <c r="R166" i="50"/>
  <c r="P166" i="50"/>
  <c r="N166" i="50"/>
  <c r="Q166" i="50" s="1"/>
  <c r="V165" i="50"/>
  <c r="U165" i="50"/>
  <c r="T165" i="50"/>
  <c r="S165" i="50"/>
  <c r="R165" i="50"/>
  <c r="P165" i="50"/>
  <c r="N165" i="50"/>
  <c r="Q165" i="50" s="1"/>
  <c r="V164" i="50"/>
  <c r="U164" i="50"/>
  <c r="T164" i="50"/>
  <c r="S164" i="50"/>
  <c r="R164" i="50"/>
  <c r="Q164" i="50"/>
  <c r="N164" i="50"/>
  <c r="H164" i="50"/>
  <c r="V163" i="50"/>
  <c r="U163" i="50"/>
  <c r="T163" i="50"/>
  <c r="S163" i="50"/>
  <c r="R163" i="50"/>
  <c r="P163" i="50"/>
  <c r="N163" i="50"/>
  <c r="Q163" i="50" s="1"/>
  <c r="V162" i="50"/>
  <c r="U162" i="50"/>
  <c r="T162" i="50"/>
  <c r="S162" i="50"/>
  <c r="R162" i="50"/>
  <c r="P162" i="50"/>
  <c r="N162" i="50"/>
  <c r="Q162" i="50" s="1"/>
  <c r="V161" i="50"/>
  <c r="U161" i="50"/>
  <c r="T161" i="50"/>
  <c r="S161" i="50"/>
  <c r="R161" i="50"/>
  <c r="Q161" i="50"/>
  <c r="N161" i="50"/>
  <c r="H161" i="50"/>
  <c r="V160" i="50"/>
  <c r="U160" i="50"/>
  <c r="T160" i="50"/>
  <c r="S160" i="50"/>
  <c r="R160" i="50"/>
  <c r="P160" i="50"/>
  <c r="N160" i="50"/>
  <c r="Q160" i="50" s="1"/>
  <c r="V159" i="50"/>
  <c r="U159" i="50"/>
  <c r="T159" i="50"/>
  <c r="S159" i="50"/>
  <c r="R159" i="50"/>
  <c r="P159" i="50"/>
  <c r="N159" i="50"/>
  <c r="Q159" i="50" s="1"/>
  <c r="V158" i="50"/>
  <c r="U158" i="50"/>
  <c r="T158" i="50"/>
  <c r="S158" i="50"/>
  <c r="R158" i="50"/>
  <c r="Q158" i="50"/>
  <c r="N158" i="50"/>
  <c r="H158" i="50"/>
  <c r="V157" i="50"/>
  <c r="U157" i="50"/>
  <c r="T157" i="50"/>
  <c r="S157" i="50"/>
  <c r="R157" i="50"/>
  <c r="P157" i="50"/>
  <c r="N157" i="50"/>
  <c r="Q157" i="50" s="1"/>
  <c r="V156" i="50"/>
  <c r="U156" i="50"/>
  <c r="T156" i="50"/>
  <c r="S156" i="50"/>
  <c r="R156" i="50"/>
  <c r="P156" i="50"/>
  <c r="N156" i="50"/>
  <c r="Q156" i="50" s="1"/>
  <c r="V155" i="50"/>
  <c r="U155" i="50"/>
  <c r="T155" i="50"/>
  <c r="S155" i="50"/>
  <c r="R155" i="50"/>
  <c r="Q155" i="50"/>
  <c r="P155" i="50"/>
  <c r="N155" i="50"/>
  <c r="V154" i="50"/>
  <c r="U154" i="50"/>
  <c r="T154" i="50"/>
  <c r="S154" i="50"/>
  <c r="R154" i="50"/>
  <c r="Q154" i="50"/>
  <c r="N154" i="50"/>
  <c r="H154" i="50"/>
  <c r="V153" i="50"/>
  <c r="U153" i="50"/>
  <c r="T153" i="50"/>
  <c r="S153" i="50"/>
  <c r="Q153" i="50"/>
  <c r="P153" i="50"/>
  <c r="N153" i="50"/>
  <c r="R153" i="50" s="1"/>
  <c r="V152" i="50"/>
  <c r="U152" i="50"/>
  <c r="T152" i="50"/>
  <c r="S152" i="50"/>
  <c r="Q152" i="50"/>
  <c r="P152" i="50"/>
  <c r="N152" i="50"/>
  <c r="R152" i="50" s="1"/>
  <c r="V151" i="50"/>
  <c r="U151" i="50"/>
  <c r="T151" i="50"/>
  <c r="S151" i="50"/>
  <c r="R151" i="50"/>
  <c r="Q151" i="50"/>
  <c r="N151" i="50"/>
  <c r="H151" i="50"/>
  <c r="V150" i="50"/>
  <c r="U150" i="50"/>
  <c r="T150" i="50"/>
  <c r="S150" i="50"/>
  <c r="R150" i="50"/>
  <c r="P150" i="50"/>
  <c r="N150" i="50"/>
  <c r="Q150" i="50" s="1"/>
  <c r="V149" i="50"/>
  <c r="U149" i="50"/>
  <c r="T149" i="50"/>
  <c r="S149" i="50"/>
  <c r="R149" i="50"/>
  <c r="P149" i="50"/>
  <c r="N149" i="50"/>
  <c r="Q149" i="50" s="1"/>
  <c r="V148" i="50"/>
  <c r="U148" i="50"/>
  <c r="T148" i="50"/>
  <c r="S148" i="50"/>
  <c r="R148" i="50"/>
  <c r="Q148" i="50"/>
  <c r="N148" i="50"/>
  <c r="H148" i="50"/>
  <c r="V147" i="50"/>
  <c r="U147" i="50"/>
  <c r="T147" i="50"/>
  <c r="S147" i="50"/>
  <c r="R147" i="50"/>
  <c r="P147" i="50"/>
  <c r="N147" i="50"/>
  <c r="Q147" i="50" s="1"/>
  <c r="V146" i="50"/>
  <c r="U146" i="50"/>
  <c r="T146" i="50"/>
  <c r="S146" i="50"/>
  <c r="R146" i="50"/>
  <c r="P146" i="50"/>
  <c r="N146" i="50"/>
  <c r="Q146" i="50" s="1"/>
  <c r="V145" i="50"/>
  <c r="U145" i="50"/>
  <c r="T145" i="50"/>
  <c r="S145" i="50"/>
  <c r="R145" i="50"/>
  <c r="Q145" i="50"/>
  <c r="N145" i="50"/>
  <c r="H145" i="50"/>
  <c r="V144" i="50"/>
  <c r="U144" i="50"/>
  <c r="T144" i="50"/>
  <c r="S144" i="50"/>
  <c r="R144" i="50"/>
  <c r="P144" i="50"/>
  <c r="N144" i="50"/>
  <c r="Q144" i="50" s="1"/>
  <c r="V143" i="50"/>
  <c r="U143" i="50"/>
  <c r="T143" i="50"/>
  <c r="S143" i="50"/>
  <c r="R143" i="50"/>
  <c r="P143" i="50"/>
  <c r="N143" i="50"/>
  <c r="Q143" i="50" s="1"/>
  <c r="V142" i="50"/>
  <c r="U142" i="50"/>
  <c r="T142" i="50"/>
  <c r="S142" i="50"/>
  <c r="R142" i="50"/>
  <c r="Q142" i="50"/>
  <c r="N142" i="50"/>
  <c r="H142" i="50"/>
  <c r="G142" i="50"/>
  <c r="V141" i="50"/>
  <c r="U141" i="50"/>
  <c r="T141" i="50"/>
  <c r="S141" i="50"/>
  <c r="R141" i="50"/>
  <c r="P141" i="50"/>
  <c r="N141" i="50"/>
  <c r="G141" i="50"/>
  <c r="V140" i="50"/>
  <c r="U140" i="50"/>
  <c r="T140" i="50"/>
  <c r="S140" i="50"/>
  <c r="R140" i="50"/>
  <c r="P140" i="50"/>
  <c r="N140" i="50"/>
  <c r="G140" i="50"/>
  <c r="V139" i="50"/>
  <c r="U139" i="50"/>
  <c r="T139" i="50"/>
  <c r="S139" i="50"/>
  <c r="R139" i="50"/>
  <c r="Q139" i="50"/>
  <c r="N139" i="50"/>
  <c r="H139" i="50"/>
  <c r="V138" i="50"/>
  <c r="U138" i="50"/>
  <c r="T138" i="50"/>
  <c r="S138" i="50"/>
  <c r="R138" i="50"/>
  <c r="P138" i="50"/>
  <c r="N138" i="50"/>
  <c r="Q138" i="50" s="1"/>
  <c r="V137" i="50"/>
  <c r="U137" i="50"/>
  <c r="T137" i="50"/>
  <c r="S137" i="50"/>
  <c r="R137" i="50"/>
  <c r="P137" i="50"/>
  <c r="N137" i="50"/>
  <c r="Q137" i="50" s="1"/>
  <c r="V136" i="50"/>
  <c r="U136" i="50"/>
  <c r="T136" i="50"/>
  <c r="S136" i="50"/>
  <c r="R136" i="50"/>
  <c r="Q136" i="50"/>
  <c r="N136" i="50"/>
  <c r="H136" i="50"/>
  <c r="G136" i="50"/>
  <c r="V135" i="50"/>
  <c r="U135" i="50"/>
  <c r="T135" i="50"/>
  <c r="S135" i="50"/>
  <c r="R135" i="50"/>
  <c r="P135" i="50"/>
  <c r="N135" i="50"/>
  <c r="G135" i="50"/>
  <c r="V134" i="50"/>
  <c r="U134" i="50"/>
  <c r="T134" i="50"/>
  <c r="S134" i="50"/>
  <c r="R134" i="50"/>
  <c r="P134" i="50"/>
  <c r="N134" i="50"/>
  <c r="G134" i="50"/>
  <c r="V133" i="50"/>
  <c r="U133" i="50"/>
  <c r="T133" i="50"/>
  <c r="S133" i="50"/>
  <c r="R133" i="50"/>
  <c r="Q133" i="50"/>
  <c r="N133" i="50"/>
  <c r="H133" i="50"/>
  <c r="V132" i="50"/>
  <c r="U132" i="50"/>
  <c r="T132" i="50"/>
  <c r="S132" i="50"/>
  <c r="R132" i="50"/>
  <c r="P132" i="50"/>
  <c r="N132" i="50"/>
  <c r="Q132" i="50" s="1"/>
  <c r="V131" i="50"/>
  <c r="U131" i="50"/>
  <c r="T131" i="50"/>
  <c r="S131" i="50"/>
  <c r="R131" i="50"/>
  <c r="P131" i="50"/>
  <c r="N131" i="50"/>
  <c r="Q131" i="50" s="1"/>
  <c r="V130" i="50"/>
  <c r="U130" i="50"/>
  <c r="T130" i="50"/>
  <c r="S130" i="50"/>
  <c r="R130" i="50"/>
  <c r="Q130" i="50"/>
  <c r="N130" i="50"/>
  <c r="H130" i="50"/>
  <c r="G130" i="50"/>
  <c r="V129" i="50"/>
  <c r="U129" i="50"/>
  <c r="T129" i="50"/>
  <c r="S129" i="50"/>
  <c r="R129" i="50"/>
  <c r="P129" i="50"/>
  <c r="N129" i="50"/>
  <c r="Q129" i="50" s="1"/>
  <c r="G129" i="50"/>
  <c r="V128" i="50"/>
  <c r="U128" i="50"/>
  <c r="T128" i="50"/>
  <c r="S128" i="50"/>
  <c r="R128" i="50"/>
  <c r="P128" i="50"/>
  <c r="N128" i="50"/>
  <c r="G128" i="50"/>
  <c r="V127" i="50"/>
  <c r="U127" i="50"/>
  <c r="T127" i="50"/>
  <c r="S127" i="50"/>
  <c r="R127" i="50"/>
  <c r="Q127" i="50"/>
  <c r="N127" i="50"/>
  <c r="H127" i="50"/>
  <c r="G127" i="50"/>
  <c r="V126" i="50"/>
  <c r="U126" i="50"/>
  <c r="T126" i="50"/>
  <c r="S126" i="50"/>
  <c r="R126" i="50"/>
  <c r="P126" i="50"/>
  <c r="N126" i="50"/>
  <c r="G126" i="50"/>
  <c r="V125" i="50"/>
  <c r="U125" i="50"/>
  <c r="T125" i="50"/>
  <c r="S125" i="50"/>
  <c r="R125" i="50"/>
  <c r="P125" i="50"/>
  <c r="N125" i="50"/>
  <c r="G125" i="50"/>
  <c r="V124" i="50"/>
  <c r="U124" i="50"/>
  <c r="T124" i="50"/>
  <c r="S124" i="50"/>
  <c r="R124" i="50"/>
  <c r="Q124" i="50"/>
  <c r="N124" i="50"/>
  <c r="H124" i="50"/>
  <c r="V123" i="50"/>
  <c r="U123" i="50"/>
  <c r="T123" i="50"/>
  <c r="S123" i="50"/>
  <c r="R123" i="50"/>
  <c r="P123" i="50"/>
  <c r="N123" i="50"/>
  <c r="Q123" i="50" s="1"/>
  <c r="V122" i="50"/>
  <c r="U122" i="50"/>
  <c r="T122" i="50"/>
  <c r="S122" i="50"/>
  <c r="R122" i="50"/>
  <c r="P122" i="50"/>
  <c r="N122" i="50"/>
  <c r="Q122" i="50" s="1"/>
  <c r="V121" i="50"/>
  <c r="U121" i="50"/>
  <c r="T121" i="50"/>
  <c r="S121" i="50"/>
  <c r="R121" i="50"/>
  <c r="Q121" i="50"/>
  <c r="N121" i="50"/>
  <c r="H121" i="50"/>
  <c r="V120" i="50"/>
  <c r="U120" i="50"/>
  <c r="T120" i="50"/>
  <c r="S120" i="50"/>
  <c r="R120" i="50"/>
  <c r="P120" i="50"/>
  <c r="N120" i="50"/>
  <c r="Q120" i="50" s="1"/>
  <c r="V119" i="50"/>
  <c r="U119" i="50"/>
  <c r="T119" i="50"/>
  <c r="S119" i="50"/>
  <c r="R119" i="50"/>
  <c r="P119" i="50"/>
  <c r="N119" i="50"/>
  <c r="Q119" i="50" s="1"/>
  <c r="V118" i="50"/>
  <c r="U118" i="50"/>
  <c r="T118" i="50"/>
  <c r="S118" i="50"/>
  <c r="R118" i="50"/>
  <c r="Q118" i="50"/>
  <c r="N118" i="50"/>
  <c r="H118" i="50"/>
  <c r="V117" i="50"/>
  <c r="U117" i="50"/>
  <c r="T117" i="50"/>
  <c r="S117" i="50"/>
  <c r="R117" i="50"/>
  <c r="P117" i="50"/>
  <c r="N117" i="50"/>
  <c r="Q117" i="50" s="1"/>
  <c r="V116" i="50"/>
  <c r="U116" i="50"/>
  <c r="T116" i="50"/>
  <c r="S116" i="50"/>
  <c r="R116" i="50"/>
  <c r="P116" i="50"/>
  <c r="N116" i="50"/>
  <c r="Q116" i="50" s="1"/>
  <c r="V115" i="50"/>
  <c r="U115" i="50"/>
  <c r="T115" i="50"/>
  <c r="S115" i="50"/>
  <c r="R115" i="50"/>
  <c r="Q115" i="50"/>
  <c r="N115" i="50"/>
  <c r="H115" i="50"/>
  <c r="V114" i="50"/>
  <c r="U114" i="50"/>
  <c r="T114" i="50"/>
  <c r="S114" i="50"/>
  <c r="R114" i="50"/>
  <c r="P114" i="50"/>
  <c r="N114" i="50"/>
  <c r="Q114" i="50" s="1"/>
  <c r="V113" i="50"/>
  <c r="U113" i="50"/>
  <c r="T113" i="50"/>
  <c r="S113" i="50"/>
  <c r="R113" i="50"/>
  <c r="P113" i="50"/>
  <c r="N113" i="50"/>
  <c r="Q113" i="50" s="1"/>
  <c r="V112" i="50"/>
  <c r="U112" i="50"/>
  <c r="T112" i="50"/>
  <c r="S112" i="50"/>
  <c r="R112" i="50"/>
  <c r="Q112" i="50"/>
  <c r="N112" i="50"/>
  <c r="H112" i="50"/>
  <c r="V111" i="50"/>
  <c r="U111" i="50"/>
  <c r="T111" i="50"/>
  <c r="S111" i="50"/>
  <c r="R111" i="50"/>
  <c r="P111" i="50"/>
  <c r="N111" i="50"/>
  <c r="Q111" i="50" s="1"/>
  <c r="V110" i="50"/>
  <c r="U110" i="50"/>
  <c r="T110" i="50"/>
  <c r="S110" i="50"/>
  <c r="R110" i="50"/>
  <c r="P110" i="50"/>
  <c r="N110" i="50"/>
  <c r="Q110" i="50" s="1"/>
  <c r="V109" i="50"/>
  <c r="U109" i="50"/>
  <c r="T109" i="50"/>
  <c r="S109" i="50"/>
  <c r="R109" i="50"/>
  <c r="Q109" i="50"/>
  <c r="P109" i="50"/>
  <c r="N109" i="50"/>
  <c r="V108" i="50"/>
  <c r="U108" i="50"/>
  <c r="T108" i="50"/>
  <c r="S108" i="50"/>
  <c r="R108" i="50"/>
  <c r="Q108" i="50"/>
  <c r="P108" i="50"/>
  <c r="N108" i="50"/>
  <c r="V107" i="50"/>
  <c r="U107" i="50"/>
  <c r="T107" i="50"/>
  <c r="S107" i="50"/>
  <c r="R107" i="50"/>
  <c r="Q107" i="50"/>
  <c r="P107" i="50"/>
  <c r="N107" i="50"/>
  <c r="V106" i="50"/>
  <c r="U106" i="50"/>
  <c r="T106" i="50"/>
  <c r="S106" i="50"/>
  <c r="R106" i="50"/>
  <c r="Q106" i="50"/>
  <c r="N106" i="50"/>
  <c r="H106" i="50"/>
  <c r="V105" i="50"/>
  <c r="U105" i="50"/>
  <c r="T105" i="50"/>
  <c r="S105" i="50"/>
  <c r="Q105" i="50"/>
  <c r="P105" i="50"/>
  <c r="N105" i="50"/>
  <c r="R105" i="50" s="1"/>
  <c r="V104" i="50"/>
  <c r="U104" i="50"/>
  <c r="T104" i="50"/>
  <c r="S104" i="50"/>
  <c r="Q104" i="50"/>
  <c r="P104" i="50"/>
  <c r="N104" i="50"/>
  <c r="R104" i="50" s="1"/>
  <c r="V103" i="50"/>
  <c r="U103" i="50"/>
  <c r="T103" i="50"/>
  <c r="S103" i="50"/>
  <c r="R103" i="50"/>
  <c r="Q103" i="50"/>
  <c r="N103" i="50"/>
  <c r="H103" i="50"/>
  <c r="V102" i="50"/>
  <c r="U102" i="50"/>
  <c r="T102" i="50"/>
  <c r="S102" i="50"/>
  <c r="R102" i="50"/>
  <c r="P102" i="50"/>
  <c r="N102" i="50"/>
  <c r="Q102" i="50" s="1"/>
  <c r="V101" i="50"/>
  <c r="U101" i="50"/>
  <c r="T101" i="50"/>
  <c r="S101" i="50"/>
  <c r="R101" i="50"/>
  <c r="P101" i="50"/>
  <c r="N101" i="50"/>
  <c r="Q101" i="50" s="1"/>
  <c r="V100" i="50"/>
  <c r="U100" i="50"/>
  <c r="T100" i="50"/>
  <c r="S100" i="50"/>
  <c r="R100" i="50"/>
  <c r="Q100" i="50"/>
  <c r="N100" i="50"/>
  <c r="H100" i="50"/>
  <c r="V99" i="50"/>
  <c r="U99" i="50"/>
  <c r="T99" i="50"/>
  <c r="S99" i="50"/>
  <c r="R99" i="50"/>
  <c r="P99" i="50"/>
  <c r="N99" i="50"/>
  <c r="Q99" i="50" s="1"/>
  <c r="V98" i="50"/>
  <c r="U98" i="50"/>
  <c r="T98" i="50"/>
  <c r="S98" i="50"/>
  <c r="R98" i="50"/>
  <c r="P98" i="50"/>
  <c r="N98" i="50"/>
  <c r="Q98" i="50" s="1"/>
  <c r="V97" i="50"/>
  <c r="U97" i="50"/>
  <c r="T97" i="50"/>
  <c r="S97" i="50"/>
  <c r="R97" i="50"/>
  <c r="Q97" i="50"/>
  <c r="N97" i="50"/>
  <c r="H97" i="50"/>
  <c r="V96" i="50"/>
  <c r="U96" i="50"/>
  <c r="T96" i="50"/>
  <c r="S96" i="50"/>
  <c r="R96" i="50"/>
  <c r="P96" i="50"/>
  <c r="N96" i="50"/>
  <c r="Q96" i="50" s="1"/>
  <c r="V95" i="50"/>
  <c r="U95" i="50"/>
  <c r="T95" i="50"/>
  <c r="S95" i="50"/>
  <c r="R95" i="50"/>
  <c r="P95" i="50"/>
  <c r="N95" i="50"/>
  <c r="Q95" i="50" s="1"/>
  <c r="V94" i="50"/>
  <c r="U94" i="50"/>
  <c r="T94" i="50"/>
  <c r="S94" i="50"/>
  <c r="R94" i="50"/>
  <c r="Q94" i="50"/>
  <c r="N94" i="50"/>
  <c r="H94" i="50"/>
  <c r="V93" i="50"/>
  <c r="U93" i="50"/>
  <c r="T93" i="50"/>
  <c r="S93" i="50"/>
  <c r="R93" i="50"/>
  <c r="P93" i="50"/>
  <c r="N93" i="50"/>
  <c r="Q93" i="50" s="1"/>
  <c r="V92" i="50"/>
  <c r="U92" i="50"/>
  <c r="T92" i="50"/>
  <c r="S92" i="50"/>
  <c r="R92" i="50"/>
  <c r="P92" i="50"/>
  <c r="N92" i="50"/>
  <c r="Q92" i="50" s="1"/>
  <c r="V91" i="50"/>
  <c r="U91" i="50"/>
  <c r="T91" i="50"/>
  <c r="S91" i="50"/>
  <c r="R91" i="50"/>
  <c r="Q91" i="50"/>
  <c r="P91" i="50"/>
  <c r="N91" i="50"/>
  <c r="V90" i="50"/>
  <c r="U90" i="50"/>
  <c r="T90" i="50"/>
  <c r="S90" i="50"/>
  <c r="R90" i="50"/>
  <c r="Q90" i="50"/>
  <c r="N90" i="50"/>
  <c r="H90" i="50"/>
  <c r="V89" i="50"/>
  <c r="U89" i="50"/>
  <c r="T89" i="50"/>
  <c r="S89" i="50"/>
  <c r="R89" i="50"/>
  <c r="P89" i="50"/>
  <c r="N89" i="50"/>
  <c r="Q89" i="50" s="1"/>
  <c r="V88" i="50"/>
  <c r="U88" i="50"/>
  <c r="T88" i="50"/>
  <c r="S88" i="50"/>
  <c r="R88" i="50"/>
  <c r="P88" i="50"/>
  <c r="N88" i="50"/>
  <c r="Q88" i="50" s="1"/>
  <c r="V87" i="50"/>
  <c r="U87" i="50"/>
  <c r="T87" i="50"/>
  <c r="S87" i="50"/>
  <c r="R87" i="50"/>
  <c r="Q87" i="50"/>
  <c r="N87" i="50"/>
  <c r="H87" i="50"/>
  <c r="V86" i="50"/>
  <c r="U86" i="50"/>
  <c r="T86" i="50"/>
  <c r="S86" i="50"/>
  <c r="R86" i="50"/>
  <c r="P86" i="50"/>
  <c r="N86" i="50"/>
  <c r="Q86" i="50" s="1"/>
  <c r="V85" i="50"/>
  <c r="U85" i="50"/>
  <c r="T85" i="50"/>
  <c r="S85" i="50"/>
  <c r="R85" i="50"/>
  <c r="P85" i="50"/>
  <c r="N85" i="50"/>
  <c r="Q85" i="50" s="1"/>
  <c r="V84" i="50"/>
  <c r="U84" i="50"/>
  <c r="T84" i="50"/>
  <c r="S84" i="50"/>
  <c r="R84" i="50"/>
  <c r="Q84" i="50"/>
  <c r="N84" i="50"/>
  <c r="H84" i="50"/>
  <c r="V83" i="50"/>
  <c r="U83" i="50"/>
  <c r="T83" i="50"/>
  <c r="S83" i="50"/>
  <c r="R83" i="50"/>
  <c r="P83" i="50"/>
  <c r="N83" i="50"/>
  <c r="Q83" i="50" s="1"/>
  <c r="V82" i="50"/>
  <c r="U82" i="50"/>
  <c r="T82" i="50"/>
  <c r="S82" i="50"/>
  <c r="R82" i="50"/>
  <c r="P82" i="50"/>
  <c r="N82" i="50"/>
  <c r="Q82" i="50" s="1"/>
  <c r="V81" i="50"/>
  <c r="U81" i="50"/>
  <c r="T81" i="50"/>
  <c r="S81" i="50"/>
  <c r="R81" i="50"/>
  <c r="Q81" i="50"/>
  <c r="N81" i="50"/>
  <c r="H81" i="50"/>
  <c r="V80" i="50"/>
  <c r="U80" i="50"/>
  <c r="T80" i="50"/>
  <c r="S80" i="50"/>
  <c r="R80" i="50"/>
  <c r="P80" i="50"/>
  <c r="N80" i="50"/>
  <c r="Q80" i="50" s="1"/>
  <c r="V79" i="50"/>
  <c r="U79" i="50"/>
  <c r="T79" i="50"/>
  <c r="S79" i="50"/>
  <c r="R79" i="50"/>
  <c r="P79" i="50"/>
  <c r="N79" i="50"/>
  <c r="Q79" i="50" s="1"/>
  <c r="V78" i="50"/>
  <c r="U78" i="50"/>
  <c r="T78" i="50"/>
  <c r="S78" i="50"/>
  <c r="R78" i="50"/>
  <c r="Q78" i="50"/>
  <c r="N78" i="50"/>
  <c r="H78" i="50"/>
  <c r="V77" i="50"/>
  <c r="U77" i="50"/>
  <c r="T77" i="50"/>
  <c r="S77" i="50"/>
  <c r="R77" i="50"/>
  <c r="P77" i="50"/>
  <c r="N77" i="50"/>
  <c r="Q77" i="50" s="1"/>
  <c r="V76" i="50"/>
  <c r="U76" i="50"/>
  <c r="T76" i="50"/>
  <c r="S76" i="50"/>
  <c r="R76" i="50"/>
  <c r="P76" i="50"/>
  <c r="N76" i="50"/>
  <c r="Q76" i="50" s="1"/>
  <c r="V75" i="50"/>
  <c r="U75" i="50"/>
  <c r="T75" i="50"/>
  <c r="S75" i="50"/>
  <c r="R75" i="50"/>
  <c r="Q75" i="50"/>
  <c r="N75" i="50"/>
  <c r="H75" i="50"/>
  <c r="G75" i="50"/>
  <c r="V74" i="50"/>
  <c r="U74" i="50"/>
  <c r="T74" i="50"/>
  <c r="S74" i="50"/>
  <c r="R74" i="50"/>
  <c r="P74" i="50"/>
  <c r="N74" i="50"/>
  <c r="G74" i="50"/>
  <c r="V73" i="50"/>
  <c r="U73" i="50"/>
  <c r="T73" i="50"/>
  <c r="S73" i="50"/>
  <c r="R73" i="50"/>
  <c r="P73" i="50"/>
  <c r="N73" i="50"/>
  <c r="G73" i="50"/>
  <c r="V72" i="50"/>
  <c r="U72" i="50"/>
  <c r="T72" i="50"/>
  <c r="S72" i="50"/>
  <c r="R72" i="50"/>
  <c r="Q72" i="50"/>
  <c r="N72" i="50"/>
  <c r="H72" i="50"/>
  <c r="V71" i="50"/>
  <c r="U71" i="50"/>
  <c r="T71" i="50"/>
  <c r="S71" i="50"/>
  <c r="R71" i="50"/>
  <c r="P71" i="50"/>
  <c r="N71" i="50"/>
  <c r="Q71" i="50" s="1"/>
  <c r="V70" i="50"/>
  <c r="U70" i="50"/>
  <c r="T70" i="50"/>
  <c r="S70" i="50"/>
  <c r="R70" i="50"/>
  <c r="P70" i="50"/>
  <c r="N70" i="50"/>
  <c r="Q70" i="50" s="1"/>
  <c r="V69" i="50"/>
  <c r="U69" i="50"/>
  <c r="T69" i="50"/>
  <c r="S69" i="50"/>
  <c r="R69" i="50"/>
  <c r="Q69" i="50"/>
  <c r="N69" i="50"/>
  <c r="H69" i="50"/>
  <c r="V68" i="50"/>
  <c r="U68" i="50"/>
  <c r="T68" i="50"/>
  <c r="S68" i="50"/>
  <c r="R68" i="50"/>
  <c r="P68" i="50"/>
  <c r="N68" i="50"/>
  <c r="Q68" i="50" s="1"/>
  <c r="V67" i="50"/>
  <c r="U67" i="50"/>
  <c r="T67" i="50"/>
  <c r="S67" i="50"/>
  <c r="R67" i="50"/>
  <c r="P67" i="50"/>
  <c r="N67" i="50"/>
  <c r="Q67" i="50" s="1"/>
  <c r="V66" i="50"/>
  <c r="U66" i="50"/>
  <c r="T66" i="50"/>
  <c r="S66" i="50"/>
  <c r="R66" i="50"/>
  <c r="Q66" i="50"/>
  <c r="N66" i="50"/>
  <c r="H66" i="50"/>
  <c r="V65" i="50"/>
  <c r="U65" i="50"/>
  <c r="T65" i="50"/>
  <c r="S65" i="50"/>
  <c r="R65" i="50"/>
  <c r="P65" i="50"/>
  <c r="N65" i="50"/>
  <c r="Q65" i="50" s="1"/>
  <c r="V64" i="50"/>
  <c r="U64" i="50"/>
  <c r="T64" i="50"/>
  <c r="S64" i="50"/>
  <c r="R64" i="50"/>
  <c r="P64" i="50"/>
  <c r="N64" i="50"/>
  <c r="Q64" i="50" s="1"/>
  <c r="V63" i="50"/>
  <c r="U63" i="50"/>
  <c r="T63" i="50"/>
  <c r="S63" i="50"/>
  <c r="R63" i="50"/>
  <c r="Q63" i="50"/>
  <c r="N63" i="50"/>
  <c r="P63" i="50" s="1"/>
  <c r="V62" i="50"/>
  <c r="U62" i="50"/>
  <c r="T62" i="50"/>
  <c r="S62" i="50"/>
  <c r="R62" i="50"/>
  <c r="P62" i="50"/>
  <c r="N62" i="50"/>
  <c r="Q62" i="50" s="1"/>
  <c r="V61" i="50"/>
  <c r="U61" i="50"/>
  <c r="T61" i="50"/>
  <c r="S61" i="50"/>
  <c r="R61" i="50"/>
  <c r="P61" i="50"/>
  <c r="N61" i="50"/>
  <c r="Q61" i="50" s="1"/>
  <c r="V60" i="50"/>
  <c r="U60" i="50"/>
  <c r="T60" i="50"/>
  <c r="S60" i="50"/>
  <c r="R60" i="50"/>
  <c r="Q60" i="50"/>
  <c r="N60" i="50"/>
  <c r="P60" i="50" s="1"/>
  <c r="V59" i="50"/>
  <c r="U59" i="50"/>
  <c r="T59" i="50"/>
  <c r="S59" i="50"/>
  <c r="R59" i="50"/>
  <c r="P59" i="50"/>
  <c r="N59" i="50"/>
  <c r="Q59" i="50" s="1"/>
  <c r="V58" i="50"/>
  <c r="U58" i="50"/>
  <c r="T58" i="50"/>
  <c r="S58" i="50"/>
  <c r="R58" i="50"/>
  <c r="P58" i="50"/>
  <c r="N58" i="50"/>
  <c r="Q58" i="50" s="1"/>
  <c r="V57" i="50"/>
  <c r="U57" i="50"/>
  <c r="T57" i="50"/>
  <c r="S57" i="50"/>
  <c r="R57" i="50"/>
  <c r="Q57" i="50"/>
  <c r="P57" i="50"/>
  <c r="N57" i="50"/>
  <c r="V56" i="50"/>
  <c r="U56" i="50"/>
  <c r="T56" i="50"/>
  <c r="S56" i="50"/>
  <c r="R56" i="50"/>
  <c r="Q56" i="50"/>
  <c r="P56" i="50"/>
  <c r="N56" i="50"/>
  <c r="V55" i="50"/>
  <c r="U55" i="50"/>
  <c r="T55" i="50"/>
  <c r="S55" i="50"/>
  <c r="R55" i="50"/>
  <c r="Q55" i="50"/>
  <c r="N55" i="50"/>
  <c r="H55" i="50"/>
  <c r="V54" i="50"/>
  <c r="U54" i="50"/>
  <c r="T54" i="50"/>
  <c r="S54" i="50"/>
  <c r="R54" i="50"/>
  <c r="P54" i="50"/>
  <c r="N54" i="50"/>
  <c r="Q54" i="50" s="1"/>
  <c r="V53" i="50"/>
  <c r="U53" i="50"/>
  <c r="T53" i="50"/>
  <c r="S53" i="50"/>
  <c r="R53" i="50"/>
  <c r="P53" i="50"/>
  <c r="N53" i="50"/>
  <c r="Q53" i="50" s="1"/>
  <c r="V52" i="50"/>
  <c r="U52" i="50"/>
  <c r="T52" i="50"/>
  <c r="S52" i="50"/>
  <c r="R52" i="50"/>
  <c r="Q52" i="50"/>
  <c r="N52" i="50"/>
  <c r="H52" i="50"/>
  <c r="V51" i="50"/>
  <c r="U51" i="50"/>
  <c r="T51" i="50"/>
  <c r="S51" i="50"/>
  <c r="R51" i="50"/>
  <c r="P51" i="50"/>
  <c r="N51" i="50"/>
  <c r="Q51" i="50" s="1"/>
  <c r="V50" i="50"/>
  <c r="U50" i="50"/>
  <c r="T50" i="50"/>
  <c r="S50" i="50"/>
  <c r="R50" i="50"/>
  <c r="P50" i="50"/>
  <c r="N50" i="50"/>
  <c r="Q50" i="50" s="1"/>
  <c r="V49" i="50"/>
  <c r="U49" i="50"/>
  <c r="T49" i="50"/>
  <c r="S49" i="50"/>
  <c r="R49" i="50"/>
  <c r="Q49" i="50"/>
  <c r="N49" i="50"/>
  <c r="H49" i="50"/>
  <c r="V48" i="50"/>
  <c r="U48" i="50"/>
  <c r="T48" i="50"/>
  <c r="S48" i="50"/>
  <c r="R48" i="50"/>
  <c r="P48" i="50"/>
  <c r="N48" i="50"/>
  <c r="Q48" i="50" s="1"/>
  <c r="V47" i="50"/>
  <c r="U47" i="50"/>
  <c r="T47" i="50"/>
  <c r="S47" i="50"/>
  <c r="R47" i="50"/>
  <c r="P47" i="50"/>
  <c r="N47" i="50"/>
  <c r="Q47" i="50" s="1"/>
  <c r="V46" i="50"/>
  <c r="U46" i="50"/>
  <c r="T46" i="50"/>
  <c r="S46" i="50"/>
  <c r="R46" i="50"/>
  <c r="Q46" i="50"/>
  <c r="N46" i="50"/>
  <c r="H46" i="50"/>
  <c r="V45" i="50"/>
  <c r="U45" i="50"/>
  <c r="T45" i="50"/>
  <c r="S45" i="50"/>
  <c r="R45" i="50"/>
  <c r="P45" i="50"/>
  <c r="N45" i="50"/>
  <c r="Q45" i="50" s="1"/>
  <c r="V44" i="50"/>
  <c r="U44" i="50"/>
  <c r="T44" i="50"/>
  <c r="S44" i="50"/>
  <c r="R44" i="50"/>
  <c r="P44" i="50"/>
  <c r="N44" i="50"/>
  <c r="Q44" i="50" s="1"/>
  <c r="V43" i="50"/>
  <c r="U43" i="50"/>
  <c r="T43" i="50"/>
  <c r="S43" i="50"/>
  <c r="R43" i="50"/>
  <c r="Q43" i="50"/>
  <c r="N43" i="50"/>
  <c r="H43" i="50"/>
  <c r="V42" i="50"/>
  <c r="U42" i="50"/>
  <c r="T42" i="50"/>
  <c r="S42" i="50"/>
  <c r="R42" i="50"/>
  <c r="P42" i="50"/>
  <c r="N42" i="50"/>
  <c r="Q42" i="50" s="1"/>
  <c r="V41" i="50"/>
  <c r="U41" i="50"/>
  <c r="T41" i="50"/>
  <c r="S41" i="50"/>
  <c r="R41" i="50"/>
  <c r="P41" i="50"/>
  <c r="N41" i="50"/>
  <c r="Q41" i="50" s="1"/>
  <c r="V40" i="50"/>
  <c r="U40" i="50"/>
  <c r="T40" i="50"/>
  <c r="S40" i="50"/>
  <c r="R40" i="50"/>
  <c r="Q40" i="50"/>
  <c r="N40" i="50"/>
  <c r="H40" i="50"/>
  <c r="V39" i="50"/>
  <c r="U39" i="50"/>
  <c r="T39" i="50"/>
  <c r="S39" i="50"/>
  <c r="R39" i="50"/>
  <c r="P39" i="50"/>
  <c r="N39" i="50"/>
  <c r="Q39" i="50" s="1"/>
  <c r="V38" i="50"/>
  <c r="U38" i="50"/>
  <c r="T38" i="50"/>
  <c r="S38" i="50"/>
  <c r="R38" i="50"/>
  <c r="P38" i="50"/>
  <c r="N38" i="50"/>
  <c r="Q38" i="50" s="1"/>
  <c r="V37" i="50"/>
  <c r="U37" i="50"/>
  <c r="T37" i="50"/>
  <c r="S37" i="50"/>
  <c r="R37" i="50"/>
  <c r="Q37" i="50"/>
  <c r="N37" i="50"/>
  <c r="H37" i="50"/>
  <c r="V36" i="50"/>
  <c r="U36" i="50"/>
  <c r="T36" i="50"/>
  <c r="S36" i="50"/>
  <c r="R36" i="50"/>
  <c r="P36" i="50"/>
  <c r="N36" i="50"/>
  <c r="Q36" i="50" s="1"/>
  <c r="V35" i="50"/>
  <c r="U35" i="50"/>
  <c r="T35" i="50"/>
  <c r="S35" i="50"/>
  <c r="R35" i="50"/>
  <c r="P35" i="50"/>
  <c r="N35" i="50"/>
  <c r="Q35" i="50" s="1"/>
  <c r="V34" i="50"/>
  <c r="U34" i="50"/>
  <c r="T34" i="50"/>
  <c r="S34" i="50"/>
  <c r="R34" i="50"/>
  <c r="Q34" i="50"/>
  <c r="P34" i="50"/>
  <c r="N34" i="50"/>
  <c r="V33" i="50"/>
  <c r="U33" i="50"/>
  <c r="T33" i="50"/>
  <c r="S33" i="50"/>
  <c r="R33" i="50"/>
  <c r="Q33" i="50"/>
  <c r="N33" i="50"/>
  <c r="H33" i="50"/>
  <c r="V32" i="50"/>
  <c r="U32" i="50"/>
  <c r="T32" i="50"/>
  <c r="S32" i="50"/>
  <c r="R32" i="50"/>
  <c r="P32" i="50"/>
  <c r="N32" i="50"/>
  <c r="Q32" i="50" s="1"/>
  <c r="V31" i="50"/>
  <c r="U31" i="50"/>
  <c r="T31" i="50"/>
  <c r="S31" i="50"/>
  <c r="R31" i="50"/>
  <c r="P31" i="50"/>
  <c r="N31" i="50"/>
  <c r="Q31" i="50" s="1"/>
  <c r="V30" i="50"/>
  <c r="U30" i="50"/>
  <c r="T30" i="50"/>
  <c r="S30" i="50"/>
  <c r="R30" i="50"/>
  <c r="Q30" i="50"/>
  <c r="N30" i="50"/>
  <c r="H30" i="50"/>
  <c r="V29" i="50"/>
  <c r="U29" i="50"/>
  <c r="T29" i="50"/>
  <c r="S29" i="50"/>
  <c r="R29" i="50"/>
  <c r="P29" i="50"/>
  <c r="N29" i="50"/>
  <c r="Q29" i="50" s="1"/>
  <c r="V28" i="50"/>
  <c r="U28" i="50"/>
  <c r="T28" i="50"/>
  <c r="S28" i="50"/>
  <c r="R28" i="50"/>
  <c r="P28" i="50"/>
  <c r="N28" i="50"/>
  <c r="Q28" i="50" s="1"/>
  <c r="V27" i="50"/>
  <c r="U27" i="50"/>
  <c r="T27" i="50"/>
  <c r="S27" i="50"/>
  <c r="R27" i="50"/>
  <c r="Q27" i="50"/>
  <c r="N27" i="50"/>
  <c r="H27" i="50"/>
  <c r="V26" i="50"/>
  <c r="U26" i="50"/>
  <c r="T26" i="50"/>
  <c r="S26" i="50"/>
  <c r="R26" i="50"/>
  <c r="P26" i="50"/>
  <c r="N26" i="50"/>
  <c r="Q26" i="50" s="1"/>
  <c r="V25" i="50"/>
  <c r="U25" i="50"/>
  <c r="T25" i="50"/>
  <c r="S25" i="50"/>
  <c r="R25" i="50"/>
  <c r="P25" i="50"/>
  <c r="N25" i="50"/>
  <c r="Q25" i="50" s="1"/>
  <c r="V24" i="50"/>
  <c r="U24" i="50"/>
  <c r="T24" i="50"/>
  <c r="S24" i="50"/>
  <c r="R24" i="50"/>
  <c r="Q24" i="50"/>
  <c r="N24" i="50"/>
  <c r="H24" i="50"/>
  <c r="V23" i="50"/>
  <c r="U23" i="50"/>
  <c r="T23" i="50"/>
  <c r="S23" i="50"/>
  <c r="R23" i="50"/>
  <c r="P23" i="50"/>
  <c r="N23" i="50"/>
  <c r="Q23" i="50" s="1"/>
  <c r="V22" i="50"/>
  <c r="U22" i="50"/>
  <c r="T22" i="50"/>
  <c r="S22" i="50"/>
  <c r="R22" i="50"/>
  <c r="P22" i="50"/>
  <c r="N22" i="50"/>
  <c r="Q22" i="50" s="1"/>
  <c r="V21" i="50"/>
  <c r="U21" i="50"/>
  <c r="T21" i="50"/>
  <c r="S21" i="50"/>
  <c r="R21" i="50"/>
  <c r="Q21" i="50"/>
  <c r="N21" i="50"/>
  <c r="H21" i="50"/>
  <c r="V20" i="50"/>
  <c r="U20" i="50"/>
  <c r="T20" i="50"/>
  <c r="S20" i="50"/>
  <c r="R20" i="50"/>
  <c r="P20" i="50"/>
  <c r="N20" i="50"/>
  <c r="Q20" i="50" s="1"/>
  <c r="V19" i="50"/>
  <c r="U19" i="50"/>
  <c r="T19" i="50"/>
  <c r="S19" i="50"/>
  <c r="R19" i="50"/>
  <c r="P19" i="50"/>
  <c r="N19" i="50"/>
  <c r="Q19" i="50" s="1"/>
  <c r="V18" i="50"/>
  <c r="U18" i="50"/>
  <c r="T18" i="50"/>
  <c r="S18" i="50"/>
  <c r="R18" i="50"/>
  <c r="Q18" i="50"/>
  <c r="N18" i="50"/>
  <c r="H18" i="50"/>
  <c r="V17" i="50"/>
  <c r="U17" i="50"/>
  <c r="T17" i="50"/>
  <c r="S17" i="50"/>
  <c r="R17" i="50"/>
  <c r="P17" i="50"/>
  <c r="N17" i="50"/>
  <c r="Q17" i="50" s="1"/>
  <c r="V16" i="50"/>
  <c r="U16" i="50"/>
  <c r="T16" i="50"/>
  <c r="S16" i="50"/>
  <c r="R16" i="50"/>
  <c r="P16" i="50"/>
  <c r="N16" i="50"/>
  <c r="Q16" i="50" s="1"/>
  <c r="V15" i="50"/>
  <c r="U15" i="50"/>
  <c r="T15" i="50"/>
  <c r="S15" i="50"/>
  <c r="R15" i="50"/>
  <c r="Q15" i="50"/>
  <c r="N15" i="50"/>
  <c r="H15" i="50"/>
  <c r="V14" i="50"/>
  <c r="U14" i="50"/>
  <c r="T14" i="50"/>
  <c r="S14" i="50"/>
  <c r="R14" i="50"/>
  <c r="P14" i="50"/>
  <c r="N14" i="50"/>
  <c r="Q14" i="50" s="1"/>
  <c r="V13" i="50"/>
  <c r="U13" i="50"/>
  <c r="T13" i="50"/>
  <c r="S13" i="50"/>
  <c r="R13" i="50"/>
  <c r="P13" i="50"/>
  <c r="N13" i="50"/>
  <c r="Q13" i="50" s="1"/>
  <c r="V12" i="50"/>
  <c r="U12" i="50"/>
  <c r="T12" i="50"/>
  <c r="S12" i="50"/>
  <c r="R12" i="50"/>
  <c r="Q12" i="50"/>
  <c r="N12" i="50"/>
  <c r="H12" i="50"/>
  <c r="V11" i="50"/>
  <c r="U11" i="50"/>
  <c r="T11" i="50"/>
  <c r="S11" i="50"/>
  <c r="R11" i="50"/>
  <c r="P11" i="50"/>
  <c r="N11" i="50"/>
  <c r="Q11" i="50" s="1"/>
  <c r="V10" i="50"/>
  <c r="U10" i="50"/>
  <c r="T10" i="50"/>
  <c r="S10" i="50"/>
  <c r="R10" i="50"/>
  <c r="P10" i="50"/>
  <c r="N10" i="50"/>
  <c r="T7" i="50"/>
  <c r="S7" i="50"/>
  <c r="R7" i="50"/>
  <c r="Q7" i="50"/>
  <c r="P7" i="50"/>
  <c r="O7" i="50"/>
  <c r="N7" i="50"/>
  <c r="Q126" i="50" l="1"/>
  <c r="Q319" i="50"/>
  <c r="N1151" i="50"/>
  <c r="N1152" i="50"/>
  <c r="N1256" i="50"/>
  <c r="N1260" i="50"/>
  <c r="N1264" i="50"/>
  <c r="N1268" i="50"/>
  <c r="N1269" i="50"/>
  <c r="N1274" i="50"/>
  <c r="N1275" i="50"/>
  <c r="N1278" i="50"/>
  <c r="N1279" i="50"/>
  <c r="N1070" i="50"/>
  <c r="Q1446" i="50"/>
  <c r="P244" i="50"/>
  <c r="P250" i="50"/>
  <c r="Q251" i="50"/>
  <c r="P271" i="50"/>
  <c r="P278" i="50"/>
  <c r="P284" i="50"/>
  <c r="N1095" i="50"/>
  <c r="N1098" i="50"/>
  <c r="N1513" i="50"/>
  <c r="N762" i="50"/>
  <c r="Q762" i="50" s="1"/>
  <c r="N795" i="50"/>
  <c r="N865" i="50"/>
  <c r="N866" i="50"/>
  <c r="N871" i="50"/>
  <c r="N872" i="50"/>
  <c r="N913" i="50"/>
  <c r="N914" i="50"/>
  <c r="N919" i="50"/>
  <c r="N920" i="50"/>
  <c r="N971" i="50"/>
  <c r="N972" i="50"/>
  <c r="N990" i="50"/>
  <c r="N991" i="50"/>
  <c r="N1135" i="50"/>
  <c r="N1136" i="50"/>
  <c r="N1139" i="50"/>
  <c r="N1140" i="50"/>
  <c r="N1155" i="50"/>
  <c r="N1156" i="50"/>
  <c r="N1506" i="50"/>
  <c r="N1540" i="50"/>
  <c r="N1541" i="50"/>
  <c r="O1541" i="50" s="1"/>
  <c r="Q1541" i="50" s="1"/>
  <c r="N1562" i="50"/>
  <c r="O1562" i="50" s="1"/>
  <c r="N1596" i="50"/>
  <c r="O1596" i="50" s="1"/>
  <c r="Q1596" i="50" s="1"/>
  <c r="N748" i="50"/>
  <c r="Q748" i="50" s="1"/>
  <c r="N841" i="50"/>
  <c r="N842" i="50"/>
  <c r="N853" i="50"/>
  <c r="N854" i="50"/>
  <c r="N883" i="50"/>
  <c r="N884" i="50"/>
  <c r="N905" i="50"/>
  <c r="N906" i="50"/>
  <c r="N909" i="50"/>
  <c r="N910" i="50"/>
  <c r="N960" i="50"/>
  <c r="N967" i="50"/>
  <c r="N968" i="50"/>
  <c r="N1038" i="50"/>
  <c r="N1066" i="50"/>
  <c r="N1282" i="50"/>
  <c r="N1283" i="50"/>
  <c r="N1286" i="50"/>
  <c r="N1287" i="50"/>
  <c r="N1290" i="50"/>
  <c r="N1291" i="50"/>
  <c r="N1294" i="50"/>
  <c r="N1295" i="50"/>
  <c r="N1298" i="50"/>
  <c r="N1299" i="50"/>
  <c r="N1302" i="50"/>
  <c r="N1303" i="50"/>
  <c r="N1308" i="50"/>
  <c r="N1309" i="50"/>
  <c r="N1312" i="50"/>
  <c r="N1313" i="50"/>
  <c r="N1316" i="50"/>
  <c r="N1317" i="50"/>
  <c r="N1320" i="50"/>
  <c r="N1321" i="50"/>
  <c r="N1425" i="50"/>
  <c r="N1426" i="50"/>
  <c r="N1017" i="50"/>
  <c r="N1018" i="50"/>
  <c r="N1183" i="50"/>
  <c r="N1187" i="50"/>
  <c r="N1191" i="50"/>
  <c r="N1195" i="50"/>
  <c r="N1199" i="50"/>
  <c r="N1205" i="50"/>
  <c r="N1209" i="50"/>
  <c r="N1214" i="50"/>
  <c r="N1451" i="50"/>
  <c r="N1478" i="50"/>
  <c r="N893" i="50"/>
  <c r="N894" i="50"/>
  <c r="N1369" i="50"/>
  <c r="N1370" i="50"/>
  <c r="N1373" i="50"/>
  <c r="N1374" i="50"/>
  <c r="N1377" i="50"/>
  <c r="N1378" i="50"/>
  <c r="N1383" i="50"/>
  <c r="N1384" i="50"/>
  <c r="N1387" i="50"/>
  <c r="N1388" i="50"/>
  <c r="N1391" i="50"/>
  <c r="N1392" i="50"/>
  <c r="N1395" i="50"/>
  <c r="N1396" i="50"/>
  <c r="N1399" i="50"/>
  <c r="N1400" i="50"/>
  <c r="N1405" i="50"/>
  <c r="N1406" i="50"/>
  <c r="N1411" i="50"/>
  <c r="N1412" i="50"/>
  <c r="N1442" i="50"/>
  <c r="N1452" i="50"/>
  <c r="N1545" i="50"/>
  <c r="O1545" i="50" s="1"/>
  <c r="N1546" i="50"/>
  <c r="O1546" i="50" s="1"/>
  <c r="P590" i="50"/>
  <c r="P604" i="50"/>
  <c r="P610" i="50"/>
  <c r="P616" i="50"/>
  <c r="P623" i="50"/>
  <c r="P629" i="50"/>
  <c r="P635" i="50"/>
  <c r="Q636" i="50"/>
  <c r="P638" i="50"/>
  <c r="R664" i="50"/>
  <c r="P665" i="50"/>
  <c r="P682" i="50"/>
  <c r="P691" i="50"/>
  <c r="P740" i="50"/>
  <c r="P743" i="50"/>
  <c r="P746" i="50"/>
  <c r="P747" i="50"/>
  <c r="P750" i="50"/>
  <c r="S1461" i="50"/>
  <c r="S1463" i="50" s="1"/>
  <c r="P509" i="50"/>
  <c r="P515" i="50"/>
  <c r="P472" i="50"/>
  <c r="P478" i="50"/>
  <c r="P493" i="50"/>
  <c r="P499" i="50"/>
  <c r="N1517" i="50"/>
  <c r="P170" i="50"/>
  <c r="P178" i="50"/>
  <c r="P184" i="50"/>
  <c r="Q185" i="50"/>
  <c r="P193" i="50"/>
  <c r="Q195" i="50"/>
  <c r="P214" i="50"/>
  <c r="P220" i="50"/>
  <c r="P227" i="50"/>
  <c r="P235" i="50"/>
  <c r="P256" i="50"/>
  <c r="P262" i="50"/>
  <c r="Q263" i="50"/>
  <c r="Q264" i="50"/>
  <c r="P265" i="50"/>
  <c r="Q300" i="50"/>
  <c r="P302" i="50"/>
  <c r="P308" i="50"/>
  <c r="P314" i="50"/>
  <c r="P360" i="50"/>
  <c r="P368" i="50"/>
  <c r="Q369" i="50"/>
  <c r="Q370" i="50"/>
  <c r="P371" i="50"/>
  <c r="P383" i="50"/>
  <c r="P390" i="50"/>
  <c r="P396" i="50"/>
  <c r="P405" i="50"/>
  <c r="P411" i="50"/>
  <c r="P417" i="50"/>
  <c r="P423" i="50"/>
  <c r="P430" i="50"/>
  <c r="P436" i="50"/>
  <c r="P442" i="50"/>
  <c r="P448" i="50"/>
  <c r="P454" i="50"/>
  <c r="P460" i="50"/>
  <c r="P293" i="50"/>
  <c r="Q303" i="50"/>
  <c r="P323" i="50"/>
  <c r="P329" i="50"/>
  <c r="P335" i="50"/>
  <c r="P341" i="50"/>
  <c r="P348" i="50"/>
  <c r="Q74" i="50"/>
  <c r="Q252" i="50"/>
  <c r="Q304" i="50"/>
  <c r="P15" i="50"/>
  <c r="P21" i="50"/>
  <c r="P27" i="50"/>
  <c r="P33" i="50"/>
  <c r="P40" i="50"/>
  <c r="P46" i="50"/>
  <c r="P52" i="50"/>
  <c r="P69" i="50"/>
  <c r="Q128" i="50"/>
  <c r="P190" i="50"/>
  <c r="Q192" i="50"/>
  <c r="P199" i="50"/>
  <c r="P205" i="50"/>
  <c r="Q206" i="50"/>
  <c r="P208" i="50"/>
  <c r="Q298" i="50"/>
  <c r="Q376" i="50"/>
  <c r="Q637" i="50"/>
  <c r="Q186" i="50"/>
  <c r="Q194" i="50"/>
  <c r="Q301" i="50"/>
  <c r="P487" i="50"/>
  <c r="Q488" i="50"/>
  <c r="R556" i="50"/>
  <c r="P586" i="50"/>
  <c r="P601" i="50"/>
  <c r="P607" i="50"/>
  <c r="P613" i="50"/>
  <c r="P619" i="50"/>
  <c r="P626" i="50"/>
  <c r="P632" i="50"/>
  <c r="P652" i="50"/>
  <c r="P739" i="50"/>
  <c r="P764" i="50"/>
  <c r="P777" i="50"/>
  <c r="P802" i="50"/>
  <c r="P804" i="50" s="1"/>
  <c r="N1324" i="50"/>
  <c r="N1325" i="50"/>
  <c r="N1328" i="50"/>
  <c r="N1329" i="50"/>
  <c r="N1332" i="50"/>
  <c r="N1333" i="50"/>
  <c r="N1336" i="50"/>
  <c r="N1337" i="50"/>
  <c r="N1342" i="50"/>
  <c r="N1343" i="50"/>
  <c r="N1346" i="50"/>
  <c r="N1347" i="50"/>
  <c r="N1350" i="50"/>
  <c r="N1351" i="50"/>
  <c r="N1354" i="50"/>
  <c r="N1355" i="50"/>
  <c r="N1358" i="50"/>
  <c r="N1359" i="50"/>
  <c r="N1362" i="50"/>
  <c r="N1363" i="50"/>
  <c r="P1484" i="50"/>
  <c r="N1493" i="50"/>
  <c r="N1497" i="50"/>
  <c r="N1498" i="50"/>
  <c r="N1516" i="50"/>
  <c r="N1552" i="50"/>
  <c r="O1552" i="50" s="1"/>
  <c r="N1553" i="50"/>
  <c r="O1553" i="50" s="1"/>
  <c r="R1553" i="50" s="1"/>
  <c r="N1557" i="50"/>
  <c r="O1557" i="50" s="1"/>
  <c r="N1558" i="50"/>
  <c r="N1595" i="50"/>
  <c r="N1605" i="50"/>
  <c r="N735" i="50"/>
  <c r="Q735" i="50" s="1"/>
  <c r="P751" i="50"/>
  <c r="N813" i="50"/>
  <c r="N814" i="50"/>
  <c r="O814" i="50" s="1"/>
  <c r="Q814" i="50" s="1"/>
  <c r="N961" i="50"/>
  <c r="N979" i="50"/>
  <c r="N980" i="50"/>
  <c r="N983" i="50"/>
  <c r="N984" i="50"/>
  <c r="N1049" i="50"/>
  <c r="N1054" i="50"/>
  <c r="N1071" i="50"/>
  <c r="N1100" i="50"/>
  <c r="N1147" i="50"/>
  <c r="N1148" i="50"/>
  <c r="N1218" i="50"/>
  <c r="N1222" i="50"/>
  <c r="N1226" i="50"/>
  <c r="N1230" i="50"/>
  <c r="N1234" i="50"/>
  <c r="Q1434" i="50"/>
  <c r="Q1453" i="50"/>
  <c r="N1563" i="50"/>
  <c r="N1604" i="50"/>
  <c r="H22" i="17"/>
  <c r="K22" i="17" s="1"/>
  <c r="J22" i="17" s="1"/>
  <c r="H22" i="52"/>
  <c r="P688" i="50"/>
  <c r="P703" i="50"/>
  <c r="P737" i="50"/>
  <c r="P766" i="50"/>
  <c r="P767" i="50"/>
  <c r="P770" i="50"/>
  <c r="P773" i="50"/>
  <c r="P774" i="50"/>
  <c r="P779" i="50"/>
  <c r="N794" i="50"/>
  <c r="O794" i="50" s="1"/>
  <c r="Q794" i="50" s="1"/>
  <c r="N798" i="50"/>
  <c r="N875" i="50"/>
  <c r="N876" i="50"/>
  <c r="N879" i="50"/>
  <c r="N880" i="50"/>
  <c r="N887" i="50"/>
  <c r="N888" i="50"/>
  <c r="N923" i="50"/>
  <c r="N924" i="50"/>
  <c r="N955" i="50"/>
  <c r="N956" i="50"/>
  <c r="N1007" i="50"/>
  <c r="O1007" i="50" s="1"/>
  <c r="Q1007" i="50" s="1"/>
  <c r="N1008" i="50"/>
  <c r="N1021" i="50"/>
  <c r="N1022" i="50"/>
  <c r="N1039" i="50"/>
  <c r="O1039" i="50" s="1"/>
  <c r="P1039" i="50" s="1"/>
  <c r="N1085" i="50"/>
  <c r="N1106" i="50"/>
  <c r="N1143" i="50"/>
  <c r="N1144" i="50"/>
  <c r="N1159" i="50"/>
  <c r="N1164" i="50"/>
  <c r="N1168" i="50"/>
  <c r="N1173" i="50"/>
  <c r="N1177" i="50"/>
  <c r="N1238" i="50"/>
  <c r="N1242" i="50"/>
  <c r="N1246" i="50"/>
  <c r="N1250" i="50"/>
  <c r="N1415" i="50"/>
  <c r="N1416" i="50"/>
  <c r="N1421" i="50"/>
  <c r="N1422" i="50"/>
  <c r="N1437" i="50"/>
  <c r="Q1445" i="50"/>
  <c r="N1524" i="50"/>
  <c r="N1529" i="50"/>
  <c r="N1533" i="50"/>
  <c r="N1568" i="50"/>
  <c r="N1572" i="50"/>
  <c r="O1572" i="50" s="1"/>
  <c r="N1573" i="50"/>
  <c r="N1577" i="50"/>
  <c r="O1577" i="50" s="1"/>
  <c r="N1578" i="50"/>
  <c r="F5021" i="34"/>
  <c r="I5021" i="34" s="1"/>
  <c r="P75" i="50"/>
  <c r="P81" i="50"/>
  <c r="P87" i="50"/>
  <c r="P94" i="50"/>
  <c r="P100" i="50"/>
  <c r="P112" i="50"/>
  <c r="P118" i="50"/>
  <c r="P124" i="50"/>
  <c r="Q125" i="50"/>
  <c r="P127" i="50"/>
  <c r="P133" i="50"/>
  <c r="Q134" i="50"/>
  <c r="Q135" i="50"/>
  <c r="P136" i="50"/>
  <c r="P148" i="50"/>
  <c r="P154" i="50"/>
  <c r="P161" i="50"/>
  <c r="P167" i="50"/>
  <c r="P173" i="50"/>
  <c r="P181" i="50"/>
  <c r="P211" i="50"/>
  <c r="P217" i="50"/>
  <c r="P224" i="50"/>
  <c r="P230" i="50"/>
  <c r="P238" i="50"/>
  <c r="Q239" i="50"/>
  <c r="Q240" i="50"/>
  <c r="P259" i="50"/>
  <c r="P311" i="50"/>
  <c r="P427" i="50"/>
  <c r="P433" i="50"/>
  <c r="P439" i="50"/>
  <c r="P445" i="50"/>
  <c r="P451" i="50"/>
  <c r="P457" i="50"/>
  <c r="P463" i="50"/>
  <c r="P466" i="50"/>
  <c r="P475" i="50"/>
  <c r="P481" i="50"/>
  <c r="Q482" i="50"/>
  <c r="Q483" i="50"/>
  <c r="P496" i="50"/>
  <c r="P502" i="50"/>
  <c r="P505" i="50"/>
  <c r="P512" i="50"/>
  <c r="P518" i="50"/>
  <c r="P524" i="50"/>
  <c r="Q526" i="50"/>
  <c r="P530" i="50"/>
  <c r="Q532" i="50"/>
  <c r="P536" i="50"/>
  <c r="Q538" i="50"/>
  <c r="P542" i="50"/>
  <c r="Q544" i="50"/>
  <c r="Q550" i="50"/>
  <c r="P554" i="50"/>
  <c r="P142" i="50"/>
  <c r="P253" i="50"/>
  <c r="P305" i="50"/>
  <c r="P490" i="50"/>
  <c r="V1115" i="50"/>
  <c r="V1117" i="50" s="1"/>
  <c r="S1583" i="50"/>
  <c r="S1585" i="50" s="1"/>
  <c r="R782" i="50"/>
  <c r="R784" i="50" s="1"/>
  <c r="V782" i="50"/>
  <c r="V784" i="50" s="1"/>
  <c r="P12" i="50"/>
  <c r="P18" i="50"/>
  <c r="P24" i="50"/>
  <c r="P30" i="50"/>
  <c r="P37" i="50"/>
  <c r="P43" i="50"/>
  <c r="P49" i="50"/>
  <c r="P55" i="50"/>
  <c r="P66" i="50"/>
  <c r="P72" i="50"/>
  <c r="Q73" i="50"/>
  <c r="P139" i="50"/>
  <c r="Q140" i="50"/>
  <c r="Q141" i="50"/>
  <c r="P196" i="50"/>
  <c r="P202" i="50"/>
  <c r="P247" i="50"/>
  <c r="P268" i="50"/>
  <c r="P275" i="50"/>
  <c r="P281" i="50"/>
  <c r="P290" i="50"/>
  <c r="P296" i="50"/>
  <c r="Q297" i="50"/>
  <c r="P299" i="50"/>
  <c r="P326" i="50"/>
  <c r="P332" i="50"/>
  <c r="P338" i="50"/>
  <c r="P345" i="50"/>
  <c r="P351" i="50"/>
  <c r="P374" i="50"/>
  <c r="Q375" i="50"/>
  <c r="P377" i="50"/>
  <c r="P564" i="50"/>
  <c r="P570" i="50"/>
  <c r="P576" i="50"/>
  <c r="P641" i="50"/>
  <c r="P656" i="50"/>
  <c r="P710" i="50"/>
  <c r="P717" i="50"/>
  <c r="P738" i="50"/>
  <c r="P753" i="50"/>
  <c r="P757" i="50"/>
  <c r="P758" i="50"/>
  <c r="P761" i="50"/>
  <c r="T802" i="50"/>
  <c r="T804" i="50" s="1"/>
  <c r="U1115" i="50"/>
  <c r="U1117" i="50" s="1"/>
  <c r="P843" i="50"/>
  <c r="P851" i="50"/>
  <c r="P889" i="50"/>
  <c r="O925" i="50"/>
  <c r="P925" i="50" s="1"/>
  <c r="O933" i="50"/>
  <c r="P933" i="50" s="1"/>
  <c r="O941" i="50"/>
  <c r="P941" i="50" s="1"/>
  <c r="O981" i="50"/>
  <c r="P981" i="50" s="1"/>
  <c r="O1013" i="50"/>
  <c r="P1013" i="50" s="1"/>
  <c r="O1563" i="50"/>
  <c r="R1563" i="50" s="1"/>
  <c r="O1568" i="50"/>
  <c r="R1568" i="50" s="1"/>
  <c r="T782" i="50"/>
  <c r="T784" i="50" s="1"/>
  <c r="Q523" i="50"/>
  <c r="P527" i="50"/>
  <c r="Q529" i="50"/>
  <c r="P533" i="50"/>
  <c r="Q535" i="50"/>
  <c r="P539" i="50"/>
  <c r="Q541" i="50"/>
  <c r="P545" i="50"/>
  <c r="Q547" i="50"/>
  <c r="P548" i="50"/>
  <c r="P551" i="50"/>
  <c r="Q553" i="50"/>
  <c r="P561" i="50"/>
  <c r="P567" i="50"/>
  <c r="P573" i="50"/>
  <c r="P579" i="50"/>
  <c r="P597" i="50"/>
  <c r="P644" i="50"/>
  <c r="P660" i="50"/>
  <c r="P673" i="50"/>
  <c r="P698" i="50"/>
  <c r="P713" i="50"/>
  <c r="P720" i="50"/>
  <c r="P726" i="50"/>
  <c r="P730" i="50"/>
  <c r="P731" i="50"/>
  <c r="P734" i="50"/>
  <c r="P765" i="50"/>
  <c r="P778" i="50"/>
  <c r="R802" i="50"/>
  <c r="R804" i="50" s="1"/>
  <c r="V802" i="50"/>
  <c r="V804" i="50" s="1"/>
  <c r="S1115" i="50"/>
  <c r="S1117" i="50" s="1"/>
  <c r="P835" i="50"/>
  <c r="O867" i="50"/>
  <c r="P867" i="50" s="1"/>
  <c r="O899" i="50"/>
  <c r="P899" i="50" s="1"/>
  <c r="O949" i="50"/>
  <c r="P949" i="50" s="1"/>
  <c r="O1573" i="50"/>
  <c r="R1573" i="50" s="1"/>
  <c r="P130" i="50"/>
  <c r="P78" i="50"/>
  <c r="P84" i="50"/>
  <c r="P90" i="50"/>
  <c r="P97" i="50"/>
  <c r="P103" i="50"/>
  <c r="P106" i="50"/>
  <c r="P115" i="50"/>
  <c r="P121" i="50"/>
  <c r="P145" i="50"/>
  <c r="P151" i="50"/>
  <c r="P158" i="50"/>
  <c r="P164" i="50"/>
  <c r="P187" i="50"/>
  <c r="P241" i="50"/>
  <c r="P317" i="50"/>
  <c r="Q318" i="50"/>
  <c r="P320" i="50"/>
  <c r="P357" i="50"/>
  <c r="P365" i="50"/>
  <c r="P380" i="50"/>
  <c r="P386" i="50"/>
  <c r="P393" i="50"/>
  <c r="P402" i="50"/>
  <c r="P408" i="50"/>
  <c r="P414" i="50"/>
  <c r="P420" i="50"/>
  <c r="P484" i="50"/>
  <c r="P557" i="50"/>
  <c r="P752" i="50"/>
  <c r="T1115" i="50"/>
  <c r="T1117" i="50" s="1"/>
  <c r="P819" i="50"/>
  <c r="P827" i="50"/>
  <c r="P859" i="50"/>
  <c r="O1558" i="50"/>
  <c r="R1558" i="50" s="1"/>
  <c r="O1578" i="50"/>
  <c r="R1578" i="50" s="1"/>
  <c r="R1461" i="50"/>
  <c r="R1463" i="50" s="1"/>
  <c r="P1166" i="50"/>
  <c r="P1185" i="50"/>
  <c r="P1201" i="50"/>
  <c r="P1220" i="50"/>
  <c r="P1236" i="50"/>
  <c r="P1252" i="50"/>
  <c r="P1270" i="50"/>
  <c r="P1375" i="50"/>
  <c r="P1393" i="50"/>
  <c r="P1514" i="50"/>
  <c r="N1525" i="50"/>
  <c r="O1525" i="50" s="1"/>
  <c r="Q1525" i="50" s="1"/>
  <c r="P881" i="50"/>
  <c r="P907" i="50"/>
  <c r="T1461" i="50"/>
  <c r="T1463" i="50" s="1"/>
  <c r="O1170" i="50"/>
  <c r="P1170" i="50" s="1"/>
  <c r="O1189" i="50"/>
  <c r="P1189" i="50" s="1"/>
  <c r="O1207" i="50"/>
  <c r="P1207" i="50" s="1"/>
  <c r="O1224" i="50"/>
  <c r="P1224" i="50" s="1"/>
  <c r="O1240" i="50"/>
  <c r="P1240" i="50" s="1"/>
  <c r="O1258" i="50"/>
  <c r="P1258" i="50" s="1"/>
  <c r="O1360" i="50"/>
  <c r="P1360" i="50" s="1"/>
  <c r="P1364" i="50"/>
  <c r="O1379" i="50"/>
  <c r="P1379" i="50" s="1"/>
  <c r="O1397" i="50"/>
  <c r="P1397" i="50" s="1"/>
  <c r="P1401" i="50"/>
  <c r="P1476" i="50"/>
  <c r="P1488" i="50"/>
  <c r="O1495" i="50"/>
  <c r="P1495" i="50" s="1"/>
  <c r="P1499" i="50"/>
  <c r="O1554" i="50"/>
  <c r="P1554" i="50" s="1"/>
  <c r="O1559" i="50"/>
  <c r="P1559" i="50" s="1"/>
  <c r="O1564" i="50"/>
  <c r="P1564" i="50" s="1"/>
  <c r="O1569" i="50"/>
  <c r="P1569" i="50" s="1"/>
  <c r="O1574" i="50"/>
  <c r="P1574" i="50" s="1"/>
  <c r="O1579" i="50"/>
  <c r="P1579" i="50" s="1"/>
  <c r="P915" i="50"/>
  <c r="P957" i="50"/>
  <c r="P973" i="50"/>
  <c r="P996" i="50"/>
  <c r="O1009" i="50"/>
  <c r="P1009" i="50" s="1"/>
  <c r="P1023" i="50"/>
  <c r="U1461" i="50"/>
  <c r="U1463" i="50" s="1"/>
  <c r="P1161" i="50"/>
  <c r="O1175" i="50"/>
  <c r="P1175" i="50" s="1"/>
  <c r="P1179" i="50"/>
  <c r="O1193" i="50"/>
  <c r="P1193" i="50" s="1"/>
  <c r="P1197" i="50"/>
  <c r="O1211" i="50"/>
  <c r="P1211" i="50" s="1"/>
  <c r="P1216" i="50"/>
  <c r="O1228" i="50"/>
  <c r="P1228" i="50" s="1"/>
  <c r="P1232" i="50"/>
  <c r="O1244" i="50"/>
  <c r="P1244" i="50" s="1"/>
  <c r="P1248" i="50"/>
  <c r="O1262" i="50"/>
  <c r="P1262" i="50" s="1"/>
  <c r="P1266" i="50"/>
  <c r="P1371" i="50"/>
  <c r="O1385" i="50"/>
  <c r="P1385" i="50" s="1"/>
  <c r="P1389" i="50"/>
  <c r="P1407" i="50"/>
  <c r="U1583" i="50"/>
  <c r="U1585" i="50" s="1"/>
  <c r="P1480" i="50"/>
  <c r="P1522" i="50"/>
  <c r="P1546" i="50"/>
  <c r="O10" i="50"/>
  <c r="Q10" i="50" s="1"/>
  <c r="Q782" i="50" s="1"/>
  <c r="Q784" i="50" s="1"/>
  <c r="S782" i="50"/>
  <c r="S784" i="50" s="1"/>
  <c r="U782" i="50"/>
  <c r="U784" i="50" s="1"/>
  <c r="O795" i="50"/>
  <c r="Q795" i="50" s="1"/>
  <c r="P782" i="50"/>
  <c r="P784" i="50" s="1"/>
  <c r="P723" i="50"/>
  <c r="P733" i="50"/>
  <c r="P744" i="50"/>
  <c r="P760" i="50"/>
  <c r="P771" i="50"/>
  <c r="N775" i="50"/>
  <c r="Q775" i="50" s="1"/>
  <c r="P780" i="50"/>
  <c r="S802" i="50"/>
  <c r="S804" i="50" s="1"/>
  <c r="U802" i="50"/>
  <c r="U804" i="50" s="1"/>
  <c r="N797" i="50"/>
  <c r="N799" i="50"/>
  <c r="O813" i="50"/>
  <c r="Q813" i="50" s="1"/>
  <c r="O817" i="50"/>
  <c r="Q817" i="50" s="1"/>
  <c r="O818" i="50"/>
  <c r="Q818" i="50" s="1"/>
  <c r="O825" i="50"/>
  <c r="Q825" i="50" s="1"/>
  <c r="O834" i="50"/>
  <c r="Q834" i="50" s="1"/>
  <c r="O850" i="50"/>
  <c r="Q850" i="50" s="1"/>
  <c r="O853" i="50"/>
  <c r="Q853" i="50" s="1"/>
  <c r="O854" i="50"/>
  <c r="Q854" i="50" s="1"/>
  <c r="O857" i="50"/>
  <c r="Q857" i="50" s="1"/>
  <c r="O865" i="50"/>
  <c r="Q865" i="50" s="1"/>
  <c r="O866" i="50"/>
  <c r="Q866" i="50" s="1"/>
  <c r="O871" i="50"/>
  <c r="Q871" i="50" s="1"/>
  <c r="O872" i="50"/>
  <c r="Q872" i="50" s="1"/>
  <c r="O875" i="50"/>
  <c r="Q875" i="50" s="1"/>
  <c r="O876" i="50"/>
  <c r="Q876" i="50" s="1"/>
  <c r="O883" i="50"/>
  <c r="Q883" i="50" s="1"/>
  <c r="O884" i="50"/>
  <c r="Q884" i="50" s="1"/>
  <c r="O887" i="50"/>
  <c r="Q887" i="50" s="1"/>
  <c r="O888" i="50"/>
  <c r="Q888" i="50" s="1"/>
  <c r="O893" i="50"/>
  <c r="Q893" i="50" s="1"/>
  <c r="O894" i="50"/>
  <c r="Q894" i="50" s="1"/>
  <c r="O897" i="50"/>
  <c r="Q897" i="50" s="1"/>
  <c r="O898" i="50"/>
  <c r="Q898" i="50" s="1"/>
  <c r="O909" i="50"/>
  <c r="Q909" i="50" s="1"/>
  <c r="O910" i="50"/>
  <c r="Q910" i="50" s="1"/>
  <c r="O913" i="50"/>
  <c r="Q913" i="50" s="1"/>
  <c r="O914" i="50"/>
  <c r="Q914" i="50" s="1"/>
  <c r="O919" i="50"/>
  <c r="Q919" i="50" s="1"/>
  <c r="O920" i="50"/>
  <c r="Q920" i="50" s="1"/>
  <c r="O923" i="50"/>
  <c r="Q923" i="50" s="1"/>
  <c r="O924" i="50"/>
  <c r="Q924" i="50" s="1"/>
  <c r="O931" i="50"/>
  <c r="Q931" i="50" s="1"/>
  <c r="O939" i="50"/>
  <c r="Q939" i="50" s="1"/>
  <c r="O947" i="50"/>
  <c r="Q947" i="50" s="1"/>
  <c r="O955" i="50"/>
  <c r="Q955" i="50" s="1"/>
  <c r="O956" i="50"/>
  <c r="Q956" i="50" s="1"/>
  <c r="O960" i="50"/>
  <c r="R960" i="50" s="1"/>
  <c r="O967" i="50"/>
  <c r="Q967" i="50" s="1"/>
  <c r="O968" i="50"/>
  <c r="Q968" i="50" s="1"/>
  <c r="O971" i="50"/>
  <c r="Q971" i="50" s="1"/>
  <c r="O972" i="50"/>
  <c r="Q972" i="50" s="1"/>
  <c r="O979" i="50"/>
  <c r="Q979" i="50" s="1"/>
  <c r="O980" i="50"/>
  <c r="Q980" i="50" s="1"/>
  <c r="O990" i="50"/>
  <c r="Q990" i="50" s="1"/>
  <c r="O991" i="50"/>
  <c r="Q991" i="50" s="1"/>
  <c r="O994" i="50"/>
  <c r="Q994" i="50" s="1"/>
  <c r="O995" i="50"/>
  <c r="Q995" i="50" s="1"/>
  <c r="O1017" i="50"/>
  <c r="Q1017" i="50" s="1"/>
  <c r="O1018" i="50"/>
  <c r="Q1018" i="50" s="1"/>
  <c r="O1021" i="50"/>
  <c r="Q1021" i="50" s="1"/>
  <c r="O1022" i="50"/>
  <c r="Q1022" i="50" s="1"/>
  <c r="O1029" i="50"/>
  <c r="P1029" i="50" s="1"/>
  <c r="O1034" i="50"/>
  <c r="Q1034" i="50" s="1"/>
  <c r="O1040" i="50"/>
  <c r="P1040" i="50" s="1"/>
  <c r="O1048" i="50"/>
  <c r="P1048" i="50" s="1"/>
  <c r="O1053" i="50"/>
  <c r="P1053" i="50" s="1"/>
  <c r="O1054" i="50"/>
  <c r="P1054" i="50" s="1"/>
  <c r="O1062" i="50"/>
  <c r="P1062" i="50" s="1"/>
  <c r="O1064" i="50"/>
  <c r="P1064" i="50" s="1"/>
  <c r="O1066" i="50"/>
  <c r="Q1066" i="50" s="1"/>
  <c r="O1070" i="50"/>
  <c r="P1070" i="50" s="1"/>
  <c r="O1071" i="50"/>
  <c r="P1071" i="50" s="1"/>
  <c r="O1085" i="50"/>
  <c r="P1085" i="50" s="1"/>
  <c r="O1087" i="50"/>
  <c r="P1087" i="50" s="1"/>
  <c r="O1095" i="50"/>
  <c r="Q1095" i="50" s="1"/>
  <c r="O1098" i="50"/>
  <c r="Q1098" i="50" s="1"/>
  <c r="O1108" i="50"/>
  <c r="Q1108" i="50" s="1"/>
  <c r="P677" i="50"/>
  <c r="O798" i="50"/>
  <c r="Q798" i="50" s="1"/>
  <c r="O826" i="50"/>
  <c r="Q826" i="50" s="1"/>
  <c r="O829" i="50"/>
  <c r="Q829" i="50" s="1"/>
  <c r="O830" i="50"/>
  <c r="Q830" i="50" s="1"/>
  <c r="O833" i="50"/>
  <c r="Q833" i="50" s="1"/>
  <c r="O841" i="50"/>
  <c r="Q841" i="50" s="1"/>
  <c r="O842" i="50"/>
  <c r="Q842" i="50" s="1"/>
  <c r="O849" i="50"/>
  <c r="Q849" i="50" s="1"/>
  <c r="O858" i="50"/>
  <c r="Q858" i="50" s="1"/>
  <c r="O879" i="50"/>
  <c r="Q879" i="50" s="1"/>
  <c r="O880" i="50"/>
  <c r="Q880" i="50" s="1"/>
  <c r="O901" i="50"/>
  <c r="Q901" i="50" s="1"/>
  <c r="O902" i="50"/>
  <c r="Q902" i="50" s="1"/>
  <c r="O905" i="50"/>
  <c r="Q905" i="50" s="1"/>
  <c r="O906" i="50"/>
  <c r="Q906" i="50" s="1"/>
  <c r="O932" i="50"/>
  <c r="Q932" i="50" s="1"/>
  <c r="O940" i="50"/>
  <c r="Q940" i="50" s="1"/>
  <c r="O943" i="50"/>
  <c r="Q943" i="50" s="1"/>
  <c r="O944" i="50"/>
  <c r="Q944" i="50" s="1"/>
  <c r="O948" i="50"/>
  <c r="Q948" i="50" s="1"/>
  <c r="O961" i="50"/>
  <c r="R961" i="50" s="1"/>
  <c r="O983" i="50"/>
  <c r="Q983" i="50" s="1"/>
  <c r="O984" i="50"/>
  <c r="Q984" i="50" s="1"/>
  <c r="O1008" i="50"/>
  <c r="Q1008" i="50" s="1"/>
  <c r="O1033" i="50"/>
  <c r="P1033" i="50" s="1"/>
  <c r="O1038" i="50"/>
  <c r="P1038" i="50" s="1"/>
  <c r="O1044" i="50"/>
  <c r="P1044" i="50" s="1"/>
  <c r="O1049" i="50"/>
  <c r="Q1049" i="50" s="1"/>
  <c r="O1052" i="50"/>
  <c r="P1052" i="50" s="1"/>
  <c r="O1069" i="50"/>
  <c r="P1069" i="50" s="1"/>
  <c r="O1077" i="50"/>
  <c r="P1077" i="50" s="1"/>
  <c r="O1079" i="50"/>
  <c r="P1079" i="50" s="1"/>
  <c r="O1081" i="50"/>
  <c r="Q1081" i="50" s="1"/>
  <c r="O1086" i="50"/>
  <c r="P1086" i="50" s="1"/>
  <c r="O1099" i="50"/>
  <c r="Q1099" i="50" s="1"/>
  <c r="O1100" i="50"/>
  <c r="Q1100" i="50" s="1"/>
  <c r="O1106" i="50"/>
  <c r="Q1106" i="50" s="1"/>
  <c r="O1107" i="50"/>
  <c r="P1107" i="50" s="1"/>
  <c r="O1131" i="50"/>
  <c r="Q1131" i="50" s="1"/>
  <c r="O1132" i="50"/>
  <c r="Q1132" i="50" s="1"/>
  <c r="O1135" i="50"/>
  <c r="Q1135" i="50" s="1"/>
  <c r="P815" i="50"/>
  <c r="P823" i="50"/>
  <c r="P831" i="50"/>
  <c r="P839" i="50"/>
  <c r="P847" i="50"/>
  <c r="P855" i="50"/>
  <c r="P863" i="50"/>
  <c r="P873" i="50"/>
  <c r="O877" i="50"/>
  <c r="P877" i="50" s="1"/>
  <c r="O885" i="50"/>
  <c r="P885" i="50" s="1"/>
  <c r="O895" i="50"/>
  <c r="P895" i="50" s="1"/>
  <c r="O903" i="50"/>
  <c r="P903" i="50" s="1"/>
  <c r="O911" i="50"/>
  <c r="P911" i="50" s="1"/>
  <c r="O921" i="50"/>
  <c r="P921" i="50" s="1"/>
  <c r="O927" i="50"/>
  <c r="Q927" i="50" s="1"/>
  <c r="O928" i="50"/>
  <c r="Q928" i="50" s="1"/>
  <c r="O929" i="50"/>
  <c r="P929" i="50" s="1"/>
  <c r="O935" i="50"/>
  <c r="Q935" i="50" s="1"/>
  <c r="O936" i="50"/>
  <c r="Q936" i="50" s="1"/>
  <c r="O937" i="50"/>
  <c r="P937" i="50" s="1"/>
  <c r="O945" i="50"/>
  <c r="P945" i="50" s="1"/>
  <c r="O951" i="50"/>
  <c r="Q951" i="50" s="1"/>
  <c r="O952" i="50"/>
  <c r="Q952" i="50" s="1"/>
  <c r="O953" i="50"/>
  <c r="P953" i="50" s="1"/>
  <c r="O962" i="50"/>
  <c r="P962" i="50" s="1"/>
  <c r="O969" i="50"/>
  <c r="P969" i="50" s="1"/>
  <c r="O975" i="50"/>
  <c r="Q975" i="50" s="1"/>
  <c r="O976" i="50"/>
  <c r="Q976" i="50" s="1"/>
  <c r="O977" i="50"/>
  <c r="P977" i="50" s="1"/>
  <c r="O985" i="50"/>
  <c r="P985" i="50" s="1"/>
  <c r="O992" i="50"/>
  <c r="P992" i="50" s="1"/>
  <c r="O998" i="50"/>
  <c r="Q998" i="50" s="1"/>
  <c r="O999" i="50"/>
  <c r="Q999" i="50" s="1"/>
  <c r="O1000" i="50"/>
  <c r="P1000" i="50" s="1"/>
  <c r="O1003" i="50"/>
  <c r="Q1003" i="50" s="1"/>
  <c r="O1004" i="50"/>
  <c r="Q1004" i="50" s="1"/>
  <c r="O1005" i="50"/>
  <c r="P1005" i="50" s="1"/>
  <c r="O1012" i="50"/>
  <c r="Q1012" i="50" s="1"/>
  <c r="O1019" i="50"/>
  <c r="P1019" i="50" s="1"/>
  <c r="O1030" i="50"/>
  <c r="P1030" i="50" s="1"/>
  <c r="O1032" i="50"/>
  <c r="P1032" i="50" s="1"/>
  <c r="O1037" i="50"/>
  <c r="P1037" i="50" s="1"/>
  <c r="O1045" i="50"/>
  <c r="P1045" i="50" s="1"/>
  <c r="O1047" i="50"/>
  <c r="P1047" i="50" s="1"/>
  <c r="O1055" i="50"/>
  <c r="P1055" i="50" s="1"/>
  <c r="O1061" i="50"/>
  <c r="P1061" i="50" s="1"/>
  <c r="O1065" i="50"/>
  <c r="P1065" i="50" s="1"/>
  <c r="O1072" i="50"/>
  <c r="P1072" i="50" s="1"/>
  <c r="O1076" i="50"/>
  <c r="P1076" i="50" s="1"/>
  <c r="O1080" i="50"/>
  <c r="P1080" i="50" s="1"/>
  <c r="O1084" i="50"/>
  <c r="P1084" i="50" s="1"/>
  <c r="O1096" i="50"/>
  <c r="Q1096" i="50" s="1"/>
  <c r="O1105" i="50"/>
  <c r="Q1105" i="50" s="1"/>
  <c r="P1133" i="50"/>
  <c r="P1137" i="50"/>
  <c r="O1139" i="50"/>
  <c r="Q1139" i="50" s="1"/>
  <c r="O1140" i="50"/>
  <c r="Q1140" i="50" s="1"/>
  <c r="O1147" i="50"/>
  <c r="Q1147" i="50" s="1"/>
  <c r="O1148" i="50"/>
  <c r="Q1148" i="50" s="1"/>
  <c r="O1155" i="50"/>
  <c r="Q1155" i="50" s="1"/>
  <c r="O1156" i="50"/>
  <c r="Q1156" i="50" s="1"/>
  <c r="O1159" i="50"/>
  <c r="Q1159" i="50" s="1"/>
  <c r="O1168" i="50"/>
  <c r="Q1168" i="50" s="1"/>
  <c r="O1177" i="50"/>
  <c r="Q1177" i="50" s="1"/>
  <c r="O1187" i="50"/>
  <c r="Q1187" i="50" s="1"/>
  <c r="O1195" i="50"/>
  <c r="Q1195" i="50" s="1"/>
  <c r="O1205" i="50"/>
  <c r="Q1205" i="50" s="1"/>
  <c r="O1214" i="50"/>
  <c r="Q1214" i="50" s="1"/>
  <c r="O1222" i="50"/>
  <c r="Q1222" i="50" s="1"/>
  <c r="O1230" i="50"/>
  <c r="Q1230" i="50" s="1"/>
  <c r="O1238" i="50"/>
  <c r="Q1238" i="50" s="1"/>
  <c r="O1246" i="50"/>
  <c r="Q1246" i="50" s="1"/>
  <c r="O1256" i="50"/>
  <c r="Q1256" i="50" s="1"/>
  <c r="O1264" i="50"/>
  <c r="Q1264" i="50" s="1"/>
  <c r="O1274" i="50"/>
  <c r="Q1274" i="50" s="1"/>
  <c r="O1282" i="50"/>
  <c r="Q1282" i="50" s="1"/>
  <c r="O1290" i="50"/>
  <c r="Q1290" i="50" s="1"/>
  <c r="O1298" i="50"/>
  <c r="Q1298" i="50" s="1"/>
  <c r="O1308" i="50"/>
  <c r="Q1308" i="50" s="1"/>
  <c r="O1316" i="50"/>
  <c r="Q1316" i="50" s="1"/>
  <c r="O1324" i="50"/>
  <c r="Q1324" i="50" s="1"/>
  <c r="O1332" i="50"/>
  <c r="Q1332" i="50" s="1"/>
  <c r="O1342" i="50"/>
  <c r="Q1342" i="50" s="1"/>
  <c r="O1350" i="50"/>
  <c r="Q1350" i="50" s="1"/>
  <c r="O821" i="50"/>
  <c r="Q821" i="50" s="1"/>
  <c r="O822" i="50"/>
  <c r="Q822" i="50" s="1"/>
  <c r="O837" i="50"/>
  <c r="Q837" i="50" s="1"/>
  <c r="O838" i="50"/>
  <c r="Q838" i="50" s="1"/>
  <c r="O845" i="50"/>
  <c r="Q845" i="50" s="1"/>
  <c r="O846" i="50"/>
  <c r="Q846" i="50" s="1"/>
  <c r="O861" i="50"/>
  <c r="Q861" i="50" s="1"/>
  <c r="O862" i="50"/>
  <c r="Q862" i="50" s="1"/>
  <c r="O1136" i="50"/>
  <c r="Q1136" i="50" s="1"/>
  <c r="O1143" i="50"/>
  <c r="Q1143" i="50" s="1"/>
  <c r="O1144" i="50"/>
  <c r="Q1144" i="50" s="1"/>
  <c r="O1151" i="50"/>
  <c r="Q1151" i="50" s="1"/>
  <c r="O1152" i="50"/>
  <c r="Q1152" i="50" s="1"/>
  <c r="O1164" i="50"/>
  <c r="Q1164" i="50" s="1"/>
  <c r="O1173" i="50"/>
  <c r="Q1173" i="50" s="1"/>
  <c r="O1183" i="50"/>
  <c r="Q1183" i="50" s="1"/>
  <c r="O1191" i="50"/>
  <c r="Q1191" i="50" s="1"/>
  <c r="O1199" i="50"/>
  <c r="Q1199" i="50" s="1"/>
  <c r="O1209" i="50"/>
  <c r="Q1209" i="50" s="1"/>
  <c r="O1218" i="50"/>
  <c r="Q1218" i="50" s="1"/>
  <c r="O1226" i="50"/>
  <c r="Q1226" i="50" s="1"/>
  <c r="O1234" i="50"/>
  <c r="Q1234" i="50" s="1"/>
  <c r="O1242" i="50"/>
  <c r="Q1242" i="50" s="1"/>
  <c r="O1250" i="50"/>
  <c r="Q1250" i="50" s="1"/>
  <c r="O1260" i="50"/>
  <c r="Q1260" i="50" s="1"/>
  <c r="O1268" i="50"/>
  <c r="Q1268" i="50" s="1"/>
  <c r="O1278" i="50"/>
  <c r="Q1278" i="50" s="1"/>
  <c r="O1286" i="50"/>
  <c r="Q1286" i="50" s="1"/>
  <c r="O1294" i="50"/>
  <c r="Q1294" i="50" s="1"/>
  <c r="O1302" i="50"/>
  <c r="Q1302" i="50" s="1"/>
  <c r="O1312" i="50"/>
  <c r="Q1312" i="50" s="1"/>
  <c r="O1320" i="50"/>
  <c r="Q1320" i="50" s="1"/>
  <c r="O1328" i="50"/>
  <c r="Q1328" i="50" s="1"/>
  <c r="O1336" i="50"/>
  <c r="Q1336" i="50" s="1"/>
  <c r="O1346" i="50"/>
  <c r="Q1346" i="50" s="1"/>
  <c r="O1354" i="50"/>
  <c r="Q1354" i="50" s="1"/>
  <c r="P1141" i="50"/>
  <c r="P1145" i="50"/>
  <c r="P1149" i="50"/>
  <c r="P1153" i="50"/>
  <c r="P1157" i="50"/>
  <c r="P1276" i="50"/>
  <c r="P1280" i="50"/>
  <c r="P1284" i="50"/>
  <c r="P1288" i="50"/>
  <c r="P1292" i="50"/>
  <c r="P1296" i="50"/>
  <c r="P1300" i="50"/>
  <c r="P1304" i="50"/>
  <c r="P1310" i="50"/>
  <c r="P1314" i="50"/>
  <c r="P1318" i="50"/>
  <c r="P1322" i="50"/>
  <c r="P1326" i="50"/>
  <c r="P1330" i="50"/>
  <c r="P1334" i="50"/>
  <c r="P1338" i="50"/>
  <c r="P1344" i="50"/>
  <c r="P1348" i="50"/>
  <c r="P1352" i="50"/>
  <c r="P1356" i="50"/>
  <c r="O1358" i="50"/>
  <c r="Q1358" i="50" s="1"/>
  <c r="O1359" i="50"/>
  <c r="Q1359" i="50" s="1"/>
  <c r="O1369" i="50"/>
  <c r="Q1369" i="50" s="1"/>
  <c r="O1370" i="50"/>
  <c r="Q1370" i="50" s="1"/>
  <c r="O1377" i="50"/>
  <c r="Q1377" i="50" s="1"/>
  <c r="O1378" i="50"/>
  <c r="Q1378" i="50" s="1"/>
  <c r="O1387" i="50"/>
  <c r="Q1387" i="50" s="1"/>
  <c r="O1388" i="50"/>
  <c r="Q1388" i="50" s="1"/>
  <c r="O1395" i="50"/>
  <c r="Q1395" i="50" s="1"/>
  <c r="O1396" i="50"/>
  <c r="Q1396" i="50" s="1"/>
  <c r="O1405" i="50"/>
  <c r="Q1405" i="50" s="1"/>
  <c r="O1406" i="50"/>
  <c r="Q1406" i="50" s="1"/>
  <c r="O1415" i="50"/>
  <c r="Q1415" i="50" s="1"/>
  <c r="O1425" i="50"/>
  <c r="Q1425" i="50" s="1"/>
  <c r="O1452" i="50"/>
  <c r="Q1452" i="50" s="1"/>
  <c r="O1478" i="50"/>
  <c r="Q1478" i="50" s="1"/>
  <c r="O1493" i="50"/>
  <c r="Q1493" i="50" s="1"/>
  <c r="O1506" i="50"/>
  <c r="Q1506" i="50" s="1"/>
  <c r="O1516" i="50"/>
  <c r="Q1516" i="50" s="1"/>
  <c r="O1529" i="50"/>
  <c r="Q1529" i="50" s="1"/>
  <c r="O1532" i="50"/>
  <c r="Q1532" i="50" s="1"/>
  <c r="V1461" i="50"/>
  <c r="V1463" i="50" s="1"/>
  <c r="N1160" i="50"/>
  <c r="N1165" i="50"/>
  <c r="N1169" i="50"/>
  <c r="N1174" i="50"/>
  <c r="N1178" i="50"/>
  <c r="N1184" i="50"/>
  <c r="N1188" i="50"/>
  <c r="N1192" i="50"/>
  <c r="N1196" i="50"/>
  <c r="N1200" i="50"/>
  <c r="N1206" i="50"/>
  <c r="N1210" i="50"/>
  <c r="N1215" i="50"/>
  <c r="N1219" i="50"/>
  <c r="N1223" i="50"/>
  <c r="N1227" i="50"/>
  <c r="N1231" i="50"/>
  <c r="N1235" i="50"/>
  <c r="N1239" i="50"/>
  <c r="N1243" i="50"/>
  <c r="N1247" i="50"/>
  <c r="N1251" i="50"/>
  <c r="N1257" i="50"/>
  <c r="N1261" i="50"/>
  <c r="N1265" i="50"/>
  <c r="O1269" i="50"/>
  <c r="Q1269" i="50" s="1"/>
  <c r="O1275" i="50"/>
  <c r="Q1275" i="50" s="1"/>
  <c r="O1279" i="50"/>
  <c r="Q1279" i="50" s="1"/>
  <c r="O1283" i="50"/>
  <c r="Q1283" i="50" s="1"/>
  <c r="O1287" i="50"/>
  <c r="Q1287" i="50" s="1"/>
  <c r="O1291" i="50"/>
  <c r="Q1291" i="50" s="1"/>
  <c r="O1295" i="50"/>
  <c r="Q1295" i="50" s="1"/>
  <c r="O1299" i="50"/>
  <c r="Q1299" i="50" s="1"/>
  <c r="O1303" i="50"/>
  <c r="Q1303" i="50" s="1"/>
  <c r="O1309" i="50"/>
  <c r="Q1309" i="50" s="1"/>
  <c r="O1313" i="50"/>
  <c r="Q1313" i="50" s="1"/>
  <c r="O1317" i="50"/>
  <c r="Q1317" i="50" s="1"/>
  <c r="O1321" i="50"/>
  <c r="Q1321" i="50" s="1"/>
  <c r="O1325" i="50"/>
  <c r="Q1325" i="50" s="1"/>
  <c r="O1329" i="50"/>
  <c r="Q1329" i="50" s="1"/>
  <c r="O1333" i="50"/>
  <c r="Q1333" i="50" s="1"/>
  <c r="O1337" i="50"/>
  <c r="Q1337" i="50" s="1"/>
  <c r="O1343" i="50"/>
  <c r="Q1343" i="50" s="1"/>
  <c r="O1347" i="50"/>
  <c r="Q1347" i="50" s="1"/>
  <c r="O1351" i="50"/>
  <c r="Q1351" i="50" s="1"/>
  <c r="O1355" i="50"/>
  <c r="Q1355" i="50" s="1"/>
  <c r="O1362" i="50"/>
  <c r="Q1362" i="50" s="1"/>
  <c r="O1363" i="50"/>
  <c r="Q1363" i="50" s="1"/>
  <c r="O1373" i="50"/>
  <c r="Q1373" i="50" s="1"/>
  <c r="O1374" i="50"/>
  <c r="Q1374" i="50" s="1"/>
  <c r="O1383" i="50"/>
  <c r="Q1383" i="50" s="1"/>
  <c r="O1384" i="50"/>
  <c r="Q1384" i="50" s="1"/>
  <c r="O1391" i="50"/>
  <c r="Q1391" i="50" s="1"/>
  <c r="O1392" i="50"/>
  <c r="Q1392" i="50" s="1"/>
  <c r="O1399" i="50"/>
  <c r="Q1399" i="50" s="1"/>
  <c r="O1400" i="50"/>
  <c r="Q1400" i="50" s="1"/>
  <c r="O1411" i="50"/>
  <c r="Q1411" i="50" s="1"/>
  <c r="O1421" i="50"/>
  <c r="Q1421" i="50" s="1"/>
  <c r="O1451" i="50"/>
  <c r="Q1451" i="50" s="1"/>
  <c r="O1475" i="50"/>
  <c r="Q1475" i="50" s="1"/>
  <c r="O1486" i="50"/>
  <c r="Q1486" i="50" s="1"/>
  <c r="O1498" i="50"/>
  <c r="Q1498" i="50" s="1"/>
  <c r="O1513" i="50"/>
  <c r="Q1513" i="50" s="1"/>
  <c r="O1524" i="50"/>
  <c r="Q1524" i="50" s="1"/>
  <c r="O1537" i="50"/>
  <c r="Q1537" i="50" s="1"/>
  <c r="P1413" i="50"/>
  <c r="P1417" i="50"/>
  <c r="P1423" i="50"/>
  <c r="P1427" i="50"/>
  <c r="O1433" i="50"/>
  <c r="Q1433" i="50" s="1"/>
  <c r="O1436" i="50"/>
  <c r="Q1436" i="50" s="1"/>
  <c r="N1441" i="50"/>
  <c r="O1444" i="50"/>
  <c r="Q1444" i="50" s="1"/>
  <c r="O1455" i="50"/>
  <c r="Q1455" i="50" s="1"/>
  <c r="O1456" i="50"/>
  <c r="Q1456" i="50" s="1"/>
  <c r="O1457" i="50"/>
  <c r="Q1457" i="50" s="1"/>
  <c r="T1583" i="50"/>
  <c r="T1585" i="50" s="1"/>
  <c r="V1583" i="50"/>
  <c r="V1585" i="50" s="1"/>
  <c r="N1479" i="50"/>
  <c r="O1482" i="50"/>
  <c r="Q1482" i="50" s="1"/>
  <c r="O1483" i="50"/>
  <c r="Q1483" i="50" s="1"/>
  <c r="N1487" i="50"/>
  <c r="N1494" i="50"/>
  <c r="O1501" i="50"/>
  <c r="Q1501" i="50" s="1"/>
  <c r="P1503" i="50"/>
  <c r="N1505" i="50"/>
  <c r="P1507" i="50"/>
  <c r="O1517" i="50"/>
  <c r="Q1517" i="50" s="1"/>
  <c r="P1518" i="50"/>
  <c r="O1520" i="50"/>
  <c r="Q1520" i="50" s="1"/>
  <c r="O1521" i="50"/>
  <c r="Q1521" i="50" s="1"/>
  <c r="P1526" i="50"/>
  <c r="H1530" i="50"/>
  <c r="P1530" i="50" s="1"/>
  <c r="N1528" i="50"/>
  <c r="O1533" i="50"/>
  <c r="Q1533" i="50" s="1"/>
  <c r="P1534" i="50"/>
  <c r="H1538" i="50"/>
  <c r="P1538" i="50" s="1"/>
  <c r="N1536" i="50"/>
  <c r="O1540" i="50"/>
  <c r="Q1540" i="50" s="1"/>
  <c r="P1542" i="50"/>
  <c r="P1545" i="50"/>
  <c r="R1552" i="50"/>
  <c r="R1557" i="50"/>
  <c r="R1562" i="50"/>
  <c r="R1567" i="50"/>
  <c r="R1572" i="50"/>
  <c r="R1577" i="50"/>
  <c r="O1412" i="50"/>
  <c r="Q1412" i="50" s="1"/>
  <c r="O1416" i="50"/>
  <c r="Q1416" i="50" s="1"/>
  <c r="O1422" i="50"/>
  <c r="Q1422" i="50" s="1"/>
  <c r="O1426" i="50"/>
  <c r="Q1426" i="50" s="1"/>
  <c r="O1435" i="50"/>
  <c r="Q1435" i="50" s="1"/>
  <c r="O1437" i="50"/>
  <c r="Q1437" i="50" s="1"/>
  <c r="O1442" i="50"/>
  <c r="Q1442" i="50" s="1"/>
  <c r="O1443" i="50"/>
  <c r="Q1443" i="50" s="1"/>
  <c r="O1454" i="50"/>
  <c r="Q1454" i="50" s="1"/>
  <c r="O1474" i="50"/>
  <c r="Q1474" i="50" s="1"/>
  <c r="O1497" i="50"/>
  <c r="Q1497" i="50" s="1"/>
  <c r="O1512" i="50"/>
  <c r="Q1512" i="50" s="1"/>
  <c r="G22" i="17" l="1"/>
  <c r="O1604" i="50"/>
  <c r="Q1604" i="50" s="1"/>
  <c r="O1605" i="50"/>
  <c r="Q1605" i="50" s="1"/>
  <c r="O1595" i="50"/>
  <c r="Q1595" i="50" s="1"/>
  <c r="Q1612" i="50" s="1"/>
  <c r="Q1614" i="50" s="1"/>
  <c r="G22" i="52"/>
  <c r="K22" i="52"/>
  <c r="J22" i="52" s="1"/>
  <c r="P1461" i="50"/>
  <c r="P1463" i="50" s="1"/>
  <c r="P785" i="50"/>
  <c r="P786" i="50" s="1"/>
  <c r="R1583" i="50"/>
  <c r="R1585" i="50" s="1"/>
  <c r="P1583" i="50"/>
  <c r="P1585" i="50" s="1"/>
  <c r="R1115" i="50"/>
  <c r="R1117" i="50" s="1"/>
  <c r="P1115" i="50"/>
  <c r="P1117" i="50" s="1"/>
  <c r="O1494" i="50"/>
  <c r="Q1494" i="50" s="1"/>
  <c r="O1479" i="50"/>
  <c r="Q1479" i="50" s="1"/>
  <c r="P1612" i="50"/>
  <c r="P1614" i="50" s="1"/>
  <c r="O1505" i="50"/>
  <c r="Q1505" i="50" s="1"/>
  <c r="O1487" i="50"/>
  <c r="Q1487" i="50" s="1"/>
  <c r="O1441" i="50"/>
  <c r="Q1441" i="50" s="1"/>
  <c r="O1265" i="50"/>
  <c r="Q1265" i="50" s="1"/>
  <c r="O1257" i="50"/>
  <c r="Q1257" i="50" s="1"/>
  <c r="O1247" i="50"/>
  <c r="Q1247" i="50" s="1"/>
  <c r="O1239" i="50"/>
  <c r="Q1239" i="50" s="1"/>
  <c r="O1231" i="50"/>
  <c r="Q1231" i="50" s="1"/>
  <c r="O1223" i="50"/>
  <c r="Q1223" i="50" s="1"/>
  <c r="O1215" i="50"/>
  <c r="Q1215" i="50" s="1"/>
  <c r="O1206" i="50"/>
  <c r="Q1206" i="50" s="1"/>
  <c r="O1196" i="50"/>
  <c r="Q1196" i="50" s="1"/>
  <c r="O1188" i="50"/>
  <c r="Q1188" i="50" s="1"/>
  <c r="O1178" i="50"/>
  <c r="Q1178" i="50" s="1"/>
  <c r="O1169" i="50"/>
  <c r="Q1169" i="50" s="1"/>
  <c r="O1160" i="50"/>
  <c r="Q1160" i="50" s="1"/>
  <c r="O799" i="50"/>
  <c r="Q799" i="50" s="1"/>
  <c r="O1536" i="50"/>
  <c r="Q1536" i="50" s="1"/>
  <c r="O1528" i="50"/>
  <c r="Q1528" i="50" s="1"/>
  <c r="O1261" i="50"/>
  <c r="Q1261" i="50" s="1"/>
  <c r="O1251" i="50"/>
  <c r="Q1251" i="50" s="1"/>
  <c r="O1243" i="50"/>
  <c r="Q1243" i="50" s="1"/>
  <c r="O1235" i="50"/>
  <c r="Q1235" i="50" s="1"/>
  <c r="O1227" i="50"/>
  <c r="Q1227" i="50" s="1"/>
  <c r="O1219" i="50"/>
  <c r="Q1219" i="50" s="1"/>
  <c r="O1210" i="50"/>
  <c r="Q1210" i="50" s="1"/>
  <c r="O1200" i="50"/>
  <c r="Q1200" i="50" s="1"/>
  <c r="O1192" i="50"/>
  <c r="Q1192" i="50" s="1"/>
  <c r="O1184" i="50"/>
  <c r="Q1184" i="50" s="1"/>
  <c r="O1174" i="50"/>
  <c r="Q1174" i="50" s="1"/>
  <c r="O1165" i="50"/>
  <c r="Q1165" i="50" s="1"/>
  <c r="Q1115" i="50"/>
  <c r="Q1117" i="50" s="1"/>
  <c r="O797" i="50"/>
  <c r="Q797" i="50" s="1"/>
  <c r="Q802" i="50" s="1"/>
  <c r="Q804" i="50" s="1"/>
  <c r="P805" i="50" s="1"/>
  <c r="P806" i="50" s="1"/>
  <c r="P1615" i="50" l="1"/>
  <c r="P1616" i="50" s="1"/>
  <c r="F3581" i="34" s="1"/>
  <c r="I3581" i="34" s="1"/>
  <c r="Q1583" i="50"/>
  <c r="Q1585" i="50" s="1"/>
  <c r="P1586" i="50" s="1"/>
  <c r="P1587" i="50" s="1"/>
  <c r="Q1461" i="50"/>
  <c r="Q1463" i="50" s="1"/>
  <c r="P1464" i="50" s="1"/>
  <c r="P1465" i="50" s="1"/>
  <c r="P1118" i="50"/>
  <c r="P1119" i="50" s="1"/>
  <c r="P1121" i="50" s="1"/>
  <c r="P1123" i="50" s="1"/>
  <c r="P1617" i="50" l="1"/>
  <c r="P1467" i="50"/>
  <c r="H553" i="48"/>
  <c r="F553" i="48"/>
  <c r="F552" i="48"/>
  <c r="I552" i="48" s="1"/>
  <c r="F549" i="48"/>
  <c r="D549" i="48"/>
  <c r="I549" i="48" s="1"/>
  <c r="F955" i="48"/>
  <c r="I955" i="48" s="1"/>
  <c r="H952" i="48"/>
  <c r="I952" i="48" s="1"/>
  <c r="H951" i="48"/>
  <c r="I951" i="48" s="1"/>
  <c r="H949" i="48"/>
  <c r="I949" i="48" s="1"/>
  <c r="H947" i="48"/>
  <c r="I947" i="48" s="1"/>
  <c r="H945" i="48"/>
  <c r="I945" i="48" s="1"/>
  <c r="H944" i="48"/>
  <c r="I944" i="48" s="1"/>
  <c r="H942" i="48"/>
  <c r="I942" i="48" s="1"/>
  <c r="H940" i="48"/>
  <c r="I940" i="48" s="1"/>
  <c r="H938" i="48"/>
  <c r="I938" i="48" s="1"/>
  <c r="H937" i="48"/>
  <c r="I937" i="48" s="1"/>
  <c r="H935" i="48"/>
  <c r="I935" i="48" s="1"/>
  <c r="H933" i="48"/>
  <c r="I933" i="48" s="1"/>
  <c r="H931" i="48"/>
  <c r="I931" i="48" s="1"/>
  <c r="H930" i="48"/>
  <c r="I930" i="48" s="1"/>
  <c r="H928" i="48"/>
  <c r="I928" i="48" s="1"/>
  <c r="H926" i="48"/>
  <c r="I926" i="48" s="1"/>
  <c r="H924" i="48"/>
  <c r="I924" i="48" s="1"/>
  <c r="H923" i="48"/>
  <c r="I923" i="48" s="1"/>
  <c r="H921" i="48"/>
  <c r="I921" i="48" s="1"/>
  <c r="H919" i="48"/>
  <c r="I919" i="48" s="1"/>
  <c r="H917" i="48"/>
  <c r="I917" i="48" s="1"/>
  <c r="H916" i="48"/>
  <c r="I916" i="48" s="1"/>
  <c r="H914" i="48"/>
  <c r="I914" i="48" s="1"/>
  <c r="H912" i="48"/>
  <c r="I912" i="48" s="1"/>
  <c r="H910" i="48"/>
  <c r="I910" i="48" s="1"/>
  <c r="H909" i="48"/>
  <c r="I909" i="48" s="1"/>
  <c r="H907" i="48"/>
  <c r="I907" i="48" s="1"/>
  <c r="K905" i="48"/>
  <c r="H905" i="48"/>
  <c r="I905" i="48" s="1"/>
  <c r="F901" i="48"/>
  <c r="I901" i="48" s="1"/>
  <c r="F900" i="48"/>
  <c r="I900" i="48" s="1"/>
  <c r="H899" i="48"/>
  <c r="F899" i="48"/>
  <c r="E896" i="48"/>
  <c r="F895" i="48"/>
  <c r="F893" i="48"/>
  <c r="I893" i="48" s="1"/>
  <c r="F882" i="48"/>
  <c r="I882" i="48" s="1"/>
  <c r="F881" i="48"/>
  <c r="I881" i="48" s="1"/>
  <c r="F879" i="48"/>
  <c r="I879" i="48" s="1"/>
  <c r="F878" i="48"/>
  <c r="I878" i="48" s="1"/>
  <c r="F877" i="48"/>
  <c r="I877" i="48" s="1"/>
  <c r="F875" i="48"/>
  <c r="I875" i="48" s="1"/>
  <c r="F874" i="48"/>
  <c r="I874" i="48" s="1"/>
  <c r="F872" i="48"/>
  <c r="I872" i="48" s="1"/>
  <c r="F871" i="48"/>
  <c r="I871" i="48" s="1"/>
  <c r="F870" i="48"/>
  <c r="I870" i="48" s="1"/>
  <c r="F869" i="48"/>
  <c r="I869" i="48" s="1"/>
  <c r="F868" i="48"/>
  <c r="I868" i="48" s="1"/>
  <c r="F867" i="48"/>
  <c r="I867" i="48" s="1"/>
  <c r="F866" i="48"/>
  <c r="I866" i="48" s="1"/>
  <c r="K865" i="48"/>
  <c r="K866" i="48" s="1"/>
  <c r="F864" i="48"/>
  <c r="I864" i="48" s="1"/>
  <c r="F863" i="48"/>
  <c r="I863" i="48" s="1"/>
  <c r="F862" i="48"/>
  <c r="I862" i="48" s="1"/>
  <c r="F861" i="48"/>
  <c r="I861" i="48" s="1"/>
  <c r="F798" i="48"/>
  <c r="I798" i="48" s="1"/>
  <c r="F797" i="48"/>
  <c r="I797" i="48" s="1"/>
  <c r="F795" i="48"/>
  <c r="I795" i="48" s="1"/>
  <c r="F794" i="48"/>
  <c r="I794" i="48" s="1"/>
  <c r="F793" i="48"/>
  <c r="I793" i="48" s="1"/>
  <c r="F792" i="48"/>
  <c r="I792" i="48" s="1"/>
  <c r="F791" i="48"/>
  <c r="I791" i="48" s="1"/>
  <c r="F790" i="48"/>
  <c r="I790" i="48" s="1"/>
  <c r="F789" i="48"/>
  <c r="I789" i="48" s="1"/>
  <c r="F788" i="48"/>
  <c r="I788" i="48" s="1"/>
  <c r="F787" i="48"/>
  <c r="I787" i="48" s="1"/>
  <c r="F785" i="48"/>
  <c r="I785" i="48" s="1"/>
  <c r="F784" i="48"/>
  <c r="I784" i="48" s="1"/>
  <c r="F783" i="48"/>
  <c r="I783" i="48" s="1"/>
  <c r="F782" i="48"/>
  <c r="I782" i="48" s="1"/>
  <c r="F781" i="48"/>
  <c r="I781" i="48" s="1"/>
  <c r="F780" i="48"/>
  <c r="I780" i="48" s="1"/>
  <c r="F779" i="48"/>
  <c r="I779" i="48" s="1"/>
  <c r="F778" i="48"/>
  <c r="I778" i="48" s="1"/>
  <c r="F777" i="48"/>
  <c r="I777" i="48" s="1"/>
  <c r="F776" i="48"/>
  <c r="I776" i="48" s="1"/>
  <c r="F775" i="48"/>
  <c r="I775" i="48" s="1"/>
  <c r="F774" i="48"/>
  <c r="I774" i="48" s="1"/>
  <c r="F773" i="48"/>
  <c r="I773" i="48" s="1"/>
  <c r="F772" i="48"/>
  <c r="I772" i="48" s="1"/>
  <c r="F660" i="48"/>
  <c r="I660" i="48" s="1"/>
  <c r="F659" i="48"/>
  <c r="I659" i="48" s="1"/>
  <c r="F658" i="48"/>
  <c r="I658" i="48" s="1"/>
  <c r="F657" i="48"/>
  <c r="I657" i="48" s="1"/>
  <c r="F656" i="48"/>
  <c r="I656" i="48" s="1"/>
  <c r="F655" i="48"/>
  <c r="I655" i="48" s="1"/>
  <c r="F654" i="48"/>
  <c r="I654" i="48" s="1"/>
  <c r="F653" i="48"/>
  <c r="I653" i="48" s="1"/>
  <c r="F652" i="48"/>
  <c r="I652" i="48" s="1"/>
  <c r="F650" i="48"/>
  <c r="I650" i="48" s="1"/>
  <c r="F649" i="48"/>
  <c r="I649" i="48" s="1"/>
  <c r="F648" i="48"/>
  <c r="I648" i="48" s="1"/>
  <c r="F647" i="48"/>
  <c r="I647" i="48" s="1"/>
  <c r="F646" i="48"/>
  <c r="I646" i="48" s="1"/>
  <c r="F645" i="48"/>
  <c r="I645" i="48" s="1"/>
  <c r="F644" i="48"/>
  <c r="I644" i="48" s="1"/>
  <c r="F643" i="48"/>
  <c r="I643" i="48" s="1"/>
  <c r="F642" i="48"/>
  <c r="I642" i="48" s="1"/>
  <c r="F641" i="48"/>
  <c r="I641" i="48" s="1"/>
  <c r="F640" i="48"/>
  <c r="I640" i="48" s="1"/>
  <c r="F639" i="48"/>
  <c r="I639" i="48" s="1"/>
  <c r="F638" i="48"/>
  <c r="I638" i="48" s="1"/>
  <c r="F637" i="48"/>
  <c r="I637" i="48" s="1"/>
  <c r="F634" i="48"/>
  <c r="I634" i="48" s="1"/>
  <c r="F253" i="48"/>
  <c r="I253" i="48" s="1"/>
  <c r="D8367" i="34"/>
  <c r="I8367" i="34" s="1"/>
  <c r="D8368" i="34"/>
  <c r="I8368" i="34" s="1"/>
  <c r="F8371" i="34"/>
  <c r="I8371" i="34" s="1"/>
  <c r="H8370" i="34"/>
  <c r="F8370" i="34"/>
  <c r="F8368" i="34"/>
  <c r="F8367" i="34"/>
  <c r="F8364" i="34"/>
  <c r="I8364" i="34" s="1"/>
  <c r="H8363" i="34"/>
  <c r="F8363" i="34"/>
  <c r="F8361" i="34"/>
  <c r="F8360" i="34"/>
  <c r="F8357" i="34"/>
  <c r="I8357" i="34" s="1"/>
  <c r="H8356" i="34"/>
  <c r="F8356" i="34"/>
  <c r="F8353" i="34"/>
  <c r="I8353" i="34" s="1"/>
  <c r="H8352" i="34"/>
  <c r="F8352" i="34"/>
  <c r="D8348" i="34"/>
  <c r="I8348" i="34" s="1"/>
  <c r="D8347" i="34"/>
  <c r="I8347" i="34" s="1"/>
  <c r="D8346" i="34"/>
  <c r="I8346" i="34" s="1"/>
  <c r="D8341" i="34"/>
  <c r="I8341" i="34" s="1"/>
  <c r="D8340" i="34"/>
  <c r="I8340" i="34" s="1"/>
  <c r="D8339" i="34"/>
  <c r="I8339" i="34" s="1"/>
  <c r="D8338" i="34"/>
  <c r="I8338" i="34" s="1"/>
  <c r="D8337" i="34"/>
  <c r="I8337" i="34" s="1"/>
  <c r="D8336" i="34"/>
  <c r="I8336" i="34" s="1"/>
  <c r="G8316" i="34"/>
  <c r="I8316" i="34" s="1"/>
  <c r="G8312" i="34"/>
  <c r="I8312" i="34" s="1"/>
  <c r="G8308" i="34"/>
  <c r="I8308" i="34" s="1"/>
  <c r="G8304" i="34"/>
  <c r="I8304" i="34" s="1"/>
  <c r="G8300" i="34"/>
  <c r="I8300" i="34" s="1"/>
  <c r="G8296" i="34"/>
  <c r="I8296" i="34" s="1"/>
  <c r="F8290" i="34"/>
  <c r="I8290" i="34" s="1"/>
  <c r="F8289" i="34"/>
  <c r="I8289" i="34" s="1"/>
  <c r="G8288" i="34"/>
  <c r="F8288" i="34"/>
  <c r="F8283" i="34"/>
  <c r="I8283" i="34" s="1"/>
  <c r="F8281" i="34"/>
  <c r="I8281" i="34" s="1"/>
  <c r="F8279" i="34"/>
  <c r="I8279" i="34" s="1"/>
  <c r="F8277" i="34"/>
  <c r="I8277" i="34" s="1"/>
  <c r="F8274" i="34"/>
  <c r="I8274" i="34" s="1"/>
  <c r="F8272" i="34"/>
  <c r="I8272" i="34" s="1"/>
  <c r="F8269" i="34"/>
  <c r="I8269" i="34" s="1"/>
  <c r="F8267" i="34"/>
  <c r="I8267" i="34" s="1"/>
  <c r="F6972" i="34"/>
  <c r="I6972" i="34" s="1"/>
  <c r="F6971" i="34"/>
  <c r="I6971" i="34" s="1"/>
  <c r="F6970" i="34"/>
  <c r="I6970" i="34" s="1"/>
  <c r="F6969" i="34"/>
  <c r="I6969" i="34" s="1"/>
  <c r="D6967" i="34"/>
  <c r="I6967" i="34" s="1"/>
  <c r="D6965" i="34"/>
  <c r="I6965" i="34" s="1"/>
  <c r="D6960" i="34"/>
  <c r="I6960" i="34" s="1"/>
  <c r="D6959" i="34"/>
  <c r="I6959" i="34" s="1"/>
  <c r="D6956" i="34"/>
  <c r="I6956" i="34" s="1"/>
  <c r="D6940" i="34"/>
  <c r="I6940" i="34" s="1"/>
  <c r="D6937" i="34"/>
  <c r="I6937" i="34" s="1"/>
  <c r="D6928" i="34"/>
  <c r="I6928" i="34" s="1"/>
  <c r="D6916" i="34"/>
  <c r="I6916" i="34" s="1"/>
  <c r="D6907" i="34"/>
  <c r="I6907" i="34" s="1"/>
  <c r="D6900" i="34"/>
  <c r="I6900" i="34" s="1"/>
  <c r="D6896" i="34"/>
  <c r="I6896" i="34" s="1"/>
  <c r="D6891" i="34"/>
  <c r="I6891" i="34" s="1"/>
  <c r="D6890" i="34"/>
  <c r="I6890" i="34" s="1"/>
  <c r="D6884" i="34"/>
  <c r="I6884" i="34" s="1"/>
  <c r="D6877" i="34"/>
  <c r="I6877" i="34" s="1"/>
  <c r="D6876" i="34"/>
  <c r="I6876" i="34" s="1"/>
  <c r="F6871" i="34"/>
  <c r="I6871" i="34" s="1"/>
  <c r="F6870" i="34"/>
  <c r="I6870" i="34" s="1"/>
  <c r="F6869" i="34"/>
  <c r="I6869" i="34" s="1"/>
  <c r="F6868" i="34"/>
  <c r="I6868" i="34" s="1"/>
  <c r="F6866" i="34"/>
  <c r="I6866" i="34" s="1"/>
  <c r="F6865" i="34"/>
  <c r="I6865" i="34" s="1"/>
  <c r="F6863" i="34"/>
  <c r="I6863" i="34" s="1"/>
  <c r="F6862" i="34"/>
  <c r="I6862" i="34" s="1"/>
  <c r="F5771" i="34"/>
  <c r="I5771" i="34" s="1"/>
  <c r="F5770" i="34"/>
  <c r="I5770" i="34" s="1"/>
  <c r="F5769" i="34"/>
  <c r="I5769" i="34" s="1"/>
  <c r="F5768" i="34"/>
  <c r="I5768" i="34" s="1"/>
  <c r="F5767" i="34"/>
  <c r="I5767" i="34" s="1"/>
  <c r="F5766" i="34"/>
  <c r="I5766" i="34" s="1"/>
  <c r="F5765" i="34"/>
  <c r="I5765" i="34" s="1"/>
  <c r="F5764" i="34"/>
  <c r="I5764" i="34" s="1"/>
  <c r="F5763" i="34"/>
  <c r="I5763" i="34" s="1"/>
  <c r="F5762" i="34"/>
  <c r="I5762" i="34" s="1"/>
  <c r="G5742" i="34"/>
  <c r="F5742" i="34"/>
  <c r="G5741" i="34"/>
  <c r="F5741" i="34"/>
  <c r="G5740" i="34"/>
  <c r="F5740" i="34"/>
  <c r="G5739" i="34"/>
  <c r="F5739" i="34"/>
  <c r="G5738" i="34"/>
  <c r="F5738" i="34"/>
  <c r="G5737" i="34"/>
  <c r="F5737" i="34"/>
  <c r="G5736" i="34"/>
  <c r="F5736" i="34"/>
  <c r="G5735" i="34"/>
  <c r="F5735" i="34"/>
  <c r="G5734" i="34"/>
  <c r="F5734" i="34"/>
  <c r="D5734" i="34"/>
  <c r="G5733" i="34"/>
  <c r="F5733" i="34"/>
  <c r="G5732" i="34"/>
  <c r="F5732" i="34"/>
  <c r="J5707" i="34"/>
  <c r="I5689" i="34"/>
  <c r="H5503" i="34"/>
  <c r="I5503" i="34" s="1"/>
  <c r="F5487" i="34"/>
  <c r="I5487" i="34" s="1"/>
  <c r="F5486" i="34"/>
  <c r="I5486" i="34" s="1"/>
  <c r="F5485" i="34"/>
  <c r="I5485" i="34" s="1"/>
  <c r="L5480" i="34"/>
  <c r="F5477" i="34"/>
  <c r="I5477" i="34" s="1"/>
  <c r="F5476" i="34"/>
  <c r="I5476" i="34" s="1"/>
  <c r="F5473" i="34"/>
  <c r="I5473" i="34" s="1"/>
  <c r="F5472" i="34"/>
  <c r="I5472" i="34" s="1"/>
  <c r="F5471" i="34"/>
  <c r="I5471" i="34" s="1"/>
  <c r="F5467" i="34"/>
  <c r="I5467" i="34" s="1"/>
  <c r="F5460" i="34"/>
  <c r="I5460" i="34" s="1"/>
  <c r="G5352" i="34"/>
  <c r="I5352" i="34" s="1"/>
  <c r="G5351" i="34"/>
  <c r="I5351" i="34" s="1"/>
  <c r="G5350" i="34"/>
  <c r="I5350" i="34" s="1"/>
  <c r="G5349" i="34"/>
  <c r="I5349" i="34" s="1"/>
  <c r="G5348" i="34"/>
  <c r="I5348" i="34" s="1"/>
  <c r="G5347" i="34"/>
  <c r="I5347" i="34" s="1"/>
  <c r="G5346" i="34"/>
  <c r="I5346" i="34" s="1"/>
  <c r="G5345" i="34"/>
  <c r="I5345" i="34" s="1"/>
  <c r="G5344" i="34"/>
  <c r="I5344" i="34" s="1"/>
  <c r="G5343" i="34"/>
  <c r="I5343" i="34" s="1"/>
  <c r="G5342" i="34"/>
  <c r="I5342" i="34" s="1"/>
  <c r="G5341" i="34"/>
  <c r="I5341" i="34" s="1"/>
  <c r="G5340" i="34"/>
  <c r="I5340" i="34" s="1"/>
  <c r="G5339" i="34"/>
  <c r="I5339" i="34" s="1"/>
  <c r="G5338" i="34"/>
  <c r="I5338" i="34" s="1"/>
  <c r="G5334" i="34"/>
  <c r="I5334" i="34" s="1"/>
  <c r="G5333" i="34"/>
  <c r="I5333" i="34" s="1"/>
  <c r="G5332" i="34"/>
  <c r="I5332" i="34" s="1"/>
  <c r="G5331" i="34"/>
  <c r="I5331" i="34" s="1"/>
  <c r="G5330" i="34"/>
  <c r="I5330" i="34" s="1"/>
  <c r="G5329" i="34"/>
  <c r="I5329" i="34" s="1"/>
  <c r="G5328" i="34"/>
  <c r="I5328" i="34" s="1"/>
  <c r="G5327" i="34"/>
  <c r="I5327" i="34" s="1"/>
  <c r="I5313" i="34"/>
  <c r="I5312" i="34"/>
  <c r="H5186" i="34"/>
  <c r="I5186" i="34" s="1"/>
  <c r="H5185" i="34"/>
  <c r="I5185" i="34" s="1"/>
  <c r="H5184" i="34"/>
  <c r="I5184" i="34" s="1"/>
  <c r="H5183" i="34"/>
  <c r="I5183" i="34" s="1"/>
  <c r="H5182" i="34"/>
  <c r="I5182" i="34" s="1"/>
  <c r="H5181" i="34"/>
  <c r="I5181" i="34" s="1"/>
  <c r="H5180" i="34"/>
  <c r="I5180" i="34" s="1"/>
  <c r="H5179" i="34"/>
  <c r="I5179" i="34" s="1"/>
  <c r="H5178" i="34"/>
  <c r="I5178" i="34" s="1"/>
  <c r="H5177" i="34"/>
  <c r="I5177" i="34" s="1"/>
  <c r="H5176" i="34"/>
  <c r="I5176" i="34" s="1"/>
  <c r="H5175" i="34"/>
  <c r="I5175" i="34" s="1"/>
  <c r="H5172" i="34"/>
  <c r="I5172" i="34" s="1"/>
  <c r="H5170" i="34"/>
  <c r="I5170" i="34" s="1"/>
  <c r="H5167" i="34"/>
  <c r="I5167" i="34" s="1"/>
  <c r="H5166" i="34"/>
  <c r="I5166" i="34" s="1"/>
  <c r="H5165" i="34"/>
  <c r="I5165" i="34" s="1"/>
  <c r="H5164" i="34"/>
  <c r="I5164" i="34" s="1"/>
  <c r="H5163" i="34"/>
  <c r="I5163" i="34" s="1"/>
  <c r="H5162" i="34"/>
  <c r="I5162" i="34" s="1"/>
  <c r="H5161" i="34"/>
  <c r="I5161" i="34" s="1"/>
  <c r="H5160" i="34"/>
  <c r="I5160" i="34" s="1"/>
  <c r="H5159" i="34"/>
  <c r="I5159" i="34" s="1"/>
  <c r="H5158" i="34"/>
  <c r="I5158" i="34" s="1"/>
  <c r="H5156" i="34"/>
  <c r="I5156" i="34" s="1"/>
  <c r="H5155" i="34"/>
  <c r="I5155" i="34" s="1"/>
  <c r="H5154" i="34"/>
  <c r="I5154" i="34" s="1"/>
  <c r="H5153" i="34"/>
  <c r="I5153" i="34" s="1"/>
  <c r="H5151" i="34"/>
  <c r="I5151" i="34" s="1"/>
  <c r="H5148" i="34"/>
  <c r="I5148" i="34" s="1"/>
  <c r="H5147" i="34"/>
  <c r="I5147" i="34" s="1"/>
  <c r="H5146" i="34"/>
  <c r="I5146" i="34" s="1"/>
  <c r="H5145" i="34"/>
  <c r="I5145" i="34" s="1"/>
  <c r="H5144" i="34"/>
  <c r="I5144" i="34" s="1"/>
  <c r="H5143" i="34"/>
  <c r="I5143" i="34" s="1"/>
  <c r="H5142" i="34"/>
  <c r="F5142" i="34"/>
  <c r="H5141" i="34"/>
  <c r="I5141" i="34" s="1"/>
  <c r="H5139" i="34"/>
  <c r="I5139" i="34" s="1"/>
  <c r="H5138" i="34"/>
  <c r="I5138" i="34" s="1"/>
  <c r="H5137" i="34"/>
  <c r="I5137" i="34" s="1"/>
  <c r="H5136" i="34"/>
  <c r="F5136" i="34"/>
  <c r="H5135" i="34"/>
  <c r="I5135" i="34" s="1"/>
  <c r="H5134" i="34"/>
  <c r="I5134" i="34" s="1"/>
  <c r="H5133" i="34"/>
  <c r="I5133" i="34" s="1"/>
  <c r="H5132" i="34"/>
  <c r="I5132" i="34" s="1"/>
  <c r="H5131" i="34"/>
  <c r="I5131" i="34" s="1"/>
  <c r="H5130" i="34"/>
  <c r="I5130" i="34" s="1"/>
  <c r="H5129" i="34"/>
  <c r="I5129" i="34" s="1"/>
  <c r="H5127" i="34"/>
  <c r="I5127" i="34" s="1"/>
  <c r="H5126" i="34"/>
  <c r="I5126" i="34" s="1"/>
  <c r="H5125" i="34"/>
  <c r="I5125" i="34" s="1"/>
  <c r="F5106" i="34"/>
  <c r="E5106" i="34"/>
  <c r="E5104" i="34"/>
  <c r="I5104" i="34" s="1"/>
  <c r="E5103" i="34"/>
  <c r="I5103" i="34" s="1"/>
  <c r="F4990" i="34"/>
  <c r="I4990" i="34" s="1"/>
  <c r="F4989" i="34"/>
  <c r="I4989" i="34" s="1"/>
  <c r="F4987" i="34"/>
  <c r="I4987" i="34" s="1"/>
  <c r="F4986" i="34"/>
  <c r="I4986" i="34" s="1"/>
  <c r="F4985" i="34"/>
  <c r="I4985" i="34" s="1"/>
  <c r="F4983" i="34"/>
  <c r="I4983" i="34" s="1"/>
  <c r="E4978" i="34"/>
  <c r="I4978" i="34" s="1"/>
  <c r="E4977" i="34"/>
  <c r="I4977" i="34" s="1"/>
  <c r="F4975" i="34"/>
  <c r="I4975" i="34" s="1"/>
  <c r="F4971" i="34"/>
  <c r="I4971" i="34" s="1"/>
  <c r="H4571" i="34"/>
  <c r="F4571" i="34"/>
  <c r="H4546" i="34"/>
  <c r="F4546" i="34"/>
  <c r="F4529" i="34"/>
  <c r="I4529" i="34" s="1"/>
  <c r="F4528" i="34"/>
  <c r="I4528" i="34" s="1"/>
  <c r="F4523" i="34"/>
  <c r="I4523" i="34" s="1"/>
  <c r="F4521" i="34"/>
  <c r="I4521" i="34" s="1"/>
  <c r="F4517" i="34"/>
  <c r="I4517" i="34" s="1"/>
  <c r="F4512" i="34"/>
  <c r="I4512" i="34" s="1"/>
  <c r="F4507" i="34"/>
  <c r="I4507" i="34" s="1"/>
  <c r="H3569" i="34"/>
  <c r="I3569" i="34" s="1"/>
  <c r="H3564" i="34"/>
  <c r="I3564" i="34" s="1"/>
  <c r="H3559" i="34"/>
  <c r="F3559" i="34"/>
  <c r="F3558" i="34"/>
  <c r="I3558" i="34" s="1"/>
  <c r="F3557" i="34"/>
  <c r="I3557" i="34" s="1"/>
  <c r="H3553" i="34"/>
  <c r="I3553" i="34" s="1"/>
  <c r="H3550" i="34"/>
  <c r="F3550" i="34"/>
  <c r="F3549" i="34"/>
  <c r="I3549" i="34" s="1"/>
  <c r="F3548" i="34"/>
  <c r="I3548" i="34" s="1"/>
  <c r="H3546" i="34"/>
  <c r="I3546" i="34" s="1"/>
  <c r="H3543" i="34"/>
  <c r="F3543" i="34"/>
  <c r="F3542" i="34"/>
  <c r="I3542" i="34" s="1"/>
  <c r="F3541" i="34"/>
  <c r="I3541" i="34" s="1"/>
  <c r="H3539" i="34"/>
  <c r="I3539" i="34" s="1"/>
  <c r="H3536" i="34"/>
  <c r="I3536" i="34" s="1"/>
  <c r="H3532" i="34"/>
  <c r="I3532" i="34" s="1"/>
  <c r="H3529" i="34"/>
  <c r="F3529" i="34"/>
  <c r="F3528" i="34"/>
  <c r="I3528" i="34" s="1"/>
  <c r="F3527" i="34"/>
  <c r="I3527" i="34" s="1"/>
  <c r="H3524" i="34"/>
  <c r="I3524" i="34" s="1"/>
  <c r="H3521" i="34"/>
  <c r="I3521" i="34" s="1"/>
  <c r="H3517" i="34"/>
  <c r="I3517" i="34" s="1"/>
  <c r="H3514" i="34"/>
  <c r="F3514" i="34"/>
  <c r="F3513" i="34"/>
  <c r="I3513" i="34" s="1"/>
  <c r="F3512" i="34"/>
  <c r="I3512" i="34" s="1"/>
  <c r="H3509" i="34"/>
  <c r="I3509" i="34" s="1"/>
  <c r="H3506" i="34"/>
  <c r="I3506" i="34" s="1"/>
  <c r="H3502" i="34"/>
  <c r="I3502" i="34" s="1"/>
  <c r="H3499" i="34"/>
  <c r="F3499" i="34"/>
  <c r="F3498" i="34"/>
  <c r="I3498" i="34" s="1"/>
  <c r="F3497" i="34"/>
  <c r="I3497" i="34" s="1"/>
  <c r="G1244" i="34"/>
  <c r="F1244" i="34"/>
  <c r="F1242" i="34"/>
  <c r="I1242" i="34" s="1"/>
  <c r="G1232" i="34"/>
  <c r="I1232" i="34" s="1"/>
  <c r="G1231" i="34"/>
  <c r="F1231" i="34" s="1"/>
  <c r="I1231" i="34" s="1"/>
  <c r="G1230" i="34"/>
  <c r="I1230" i="34" s="1"/>
  <c r="G1229" i="34"/>
  <c r="F1229" i="34" s="1"/>
  <c r="I1229" i="34" s="1"/>
  <c r="G1228" i="34"/>
  <c r="I1228" i="34" s="1"/>
  <c r="G1227" i="34"/>
  <c r="I1227" i="34" s="1"/>
  <c r="G1226" i="34"/>
  <c r="I1226" i="34" s="1"/>
  <c r="G1225" i="34"/>
  <c r="F1225" i="34" s="1"/>
  <c r="I1225" i="34" s="1"/>
  <c r="G1223" i="34"/>
  <c r="I1223" i="34" s="1"/>
  <c r="G1222" i="34"/>
  <c r="I1222" i="34" s="1"/>
  <c r="G1221" i="34"/>
  <c r="I1221" i="34" s="1"/>
  <c r="G1220" i="34"/>
  <c r="F1220" i="34" s="1"/>
  <c r="I1220" i="34" s="1"/>
  <c r="G1218" i="34"/>
  <c r="I1218" i="34" s="1"/>
  <c r="G1217" i="34"/>
  <c r="I1217" i="34" s="1"/>
  <c r="G1216" i="34"/>
  <c r="I1216" i="34" s="1"/>
  <c r="G1215" i="34"/>
  <c r="F1215" i="34" s="1"/>
  <c r="I1215" i="34" s="1"/>
  <c r="I899" i="48" l="1"/>
  <c r="I553" i="48"/>
  <c r="F896" i="48"/>
  <c r="I896" i="48" s="1"/>
  <c r="I895" i="48"/>
  <c r="I5735" i="34"/>
  <c r="I5737" i="34"/>
  <c r="I5739" i="34"/>
  <c r="I3543" i="34"/>
  <c r="I5736" i="34"/>
  <c r="I5738" i="34"/>
  <c r="I5740" i="34"/>
  <c r="I3559" i="34"/>
  <c r="I5742" i="34"/>
  <c r="I8288" i="34"/>
  <c r="I8370" i="34"/>
  <c r="I8352" i="34"/>
  <c r="I1244" i="34"/>
  <c r="I8363" i="34"/>
  <c r="I3529" i="34"/>
  <c r="I3550" i="34"/>
  <c r="I4546" i="34"/>
  <c r="I5106" i="34"/>
  <c r="I3499" i="34"/>
  <c r="I4571" i="34"/>
  <c r="I5142" i="34"/>
  <c r="I5732" i="34"/>
  <c r="I5734" i="34"/>
  <c r="I8356" i="34"/>
  <c r="I5136" i="34"/>
  <c r="I5733" i="34"/>
  <c r="I3514" i="34"/>
  <c r="I5741" i="34"/>
  <c r="F6973" i="34"/>
  <c r="I6973" i="34" s="1"/>
  <c r="J5783" i="34"/>
  <c r="J5701" i="34"/>
  <c r="J5356" i="34"/>
  <c r="J8373" i="34" l="1"/>
  <c r="J5720" i="34"/>
  <c r="J5743" i="34"/>
  <c r="I55" i="47" l="1"/>
  <c r="M280" i="48" l="1"/>
  <c r="N281" i="48" s="1"/>
  <c r="M281" i="48" l="1"/>
  <c r="I9" i="17" l="1"/>
  <c r="I10" i="17"/>
  <c r="I11" i="17"/>
  <c r="I12" i="17"/>
  <c r="I13" i="17"/>
  <c r="I14" i="17"/>
  <c r="I15" i="17"/>
  <c r="I16" i="17"/>
  <c r="I17" i="17"/>
  <c r="I18" i="17"/>
  <c r="I19" i="17"/>
  <c r="I20" i="17"/>
  <c r="I23" i="17"/>
  <c r="I24" i="17"/>
  <c r="I25" i="17"/>
  <c r="I26" i="17"/>
  <c r="I27" i="17"/>
  <c r="I29" i="17"/>
  <c r="I30" i="17"/>
  <c r="I32" i="17"/>
  <c r="I33" i="17"/>
  <c r="I35" i="17"/>
  <c r="I36" i="17"/>
  <c r="I37" i="17"/>
  <c r="I38" i="17"/>
  <c r="I39" i="17"/>
  <c r="I41" i="17"/>
  <c r="I42" i="17"/>
  <c r="I43" i="17"/>
  <c r="I45" i="17"/>
  <c r="I46" i="17"/>
  <c r="I47" i="17"/>
  <c r="I48" i="17"/>
  <c r="I49" i="17"/>
  <c r="I50" i="17"/>
  <c r="I51" i="17"/>
  <c r="I55" i="17"/>
  <c r="I60" i="17"/>
  <c r="I61" i="17"/>
  <c r="I62" i="17"/>
  <c r="I63" i="17"/>
  <c r="I64" i="17"/>
  <c r="I65" i="17"/>
  <c r="I66" i="17"/>
  <c r="I68" i="17"/>
  <c r="I70" i="17"/>
  <c r="I71" i="17"/>
  <c r="I72" i="17"/>
  <c r="I74" i="17"/>
  <c r="I75" i="17"/>
  <c r="I77" i="17"/>
  <c r="I92" i="17"/>
  <c r="I93" i="17"/>
  <c r="I94" i="17"/>
  <c r="I95" i="17"/>
  <c r="I8" i="17"/>
  <c r="I29" i="47"/>
  <c r="I30" i="47"/>
  <c r="I32" i="47"/>
  <c r="I35" i="47"/>
  <c r="I36" i="47"/>
  <c r="I38" i="47"/>
  <c r="I56" i="47"/>
  <c r="I8" i="47"/>
  <c r="I9" i="47"/>
  <c r="I10" i="47"/>
  <c r="I11" i="47"/>
  <c r="I12" i="47"/>
  <c r="I13" i="47"/>
  <c r="I14" i="47"/>
  <c r="I15" i="47"/>
  <c r="I16" i="47"/>
  <c r="I18" i="47"/>
  <c r="I20" i="47"/>
  <c r="I22" i="47"/>
  <c r="I7" i="47"/>
  <c r="I25" i="47" l="1"/>
  <c r="I5089" i="34"/>
  <c r="D7001" i="34" l="1"/>
  <c r="I7001" i="34" s="1"/>
  <c r="D7000" i="34"/>
  <c r="I7000" i="34" s="1"/>
  <c r="I6986" i="34"/>
  <c r="I6984" i="34"/>
  <c r="I8974" i="34"/>
  <c r="I8972" i="34"/>
  <c r="I6979" i="34"/>
  <c r="F9066" i="34" l="1"/>
  <c r="J3583" i="34"/>
  <c r="I678" i="48" l="1"/>
  <c r="I669" i="48"/>
  <c r="I802" i="48"/>
  <c r="I801" i="48"/>
  <c r="I960" i="48"/>
  <c r="I959" i="48"/>
  <c r="I255" i="48"/>
  <c r="I5808" i="34"/>
  <c r="I5809" i="34"/>
  <c r="I5810" i="34"/>
  <c r="I5811" i="34"/>
  <c r="I5784" i="34"/>
  <c r="I5807" i="34"/>
  <c r="I5754" i="34"/>
  <c r="I5756" i="34"/>
  <c r="I5755" i="34"/>
  <c r="I5728" i="34"/>
  <c r="I5727" i="34"/>
  <c r="I5715" i="34"/>
  <c r="I5714" i="34"/>
  <c r="J5714" i="34" s="1"/>
  <c r="J5715" i="34" s="1"/>
  <c r="I52" i="17"/>
  <c r="K45" i="17"/>
  <c r="J45" i="17" s="1"/>
  <c r="G45" i="17"/>
  <c r="I5702" i="34"/>
  <c r="I5703" i="34"/>
  <c r="I5704" i="34"/>
  <c r="K35" i="17"/>
  <c r="J35" i="17" s="1"/>
  <c r="K36" i="17"/>
  <c r="J36" i="17" s="1"/>
  <c r="G35" i="17"/>
  <c r="G36" i="17"/>
  <c r="I5357" i="34"/>
  <c r="I5358" i="34"/>
  <c r="I5359" i="34"/>
  <c r="I5361" i="34"/>
  <c r="I5360" i="34"/>
  <c r="I5372" i="34"/>
  <c r="I5111" i="34"/>
  <c r="I5112" i="34"/>
  <c r="I5088" i="34"/>
  <c r="H47" i="17" l="1"/>
  <c r="G47" i="17" s="1"/>
  <c r="H47" i="52"/>
  <c r="J678" i="48"/>
  <c r="J5703" i="34"/>
  <c r="J5704" i="34" s="1"/>
  <c r="J5809" i="34"/>
  <c r="J5810" i="34" s="1"/>
  <c r="H50" i="52" s="1"/>
  <c r="I5753" i="34"/>
  <c r="I5726" i="34"/>
  <c r="I5725" i="34"/>
  <c r="I5307" i="34"/>
  <c r="I5308" i="34"/>
  <c r="I5110" i="34"/>
  <c r="K47" i="17" l="1"/>
  <c r="J47" i="17" s="1"/>
  <c r="G50" i="52"/>
  <c r="K50" i="52"/>
  <c r="J50" i="52" s="1"/>
  <c r="H46" i="17"/>
  <c r="K46" i="17" s="1"/>
  <c r="J46" i="17" s="1"/>
  <c r="H46" i="52"/>
  <c r="K47" i="52"/>
  <c r="J47" i="52" s="1"/>
  <c r="G47" i="52"/>
  <c r="J561" i="48"/>
  <c r="J5755" i="34"/>
  <c r="J5756" i="34" s="1"/>
  <c r="H50" i="17"/>
  <c r="J5727" i="34"/>
  <c r="J5728" i="34" s="1"/>
  <c r="H49" i="17" l="1"/>
  <c r="K49" i="17" s="1"/>
  <c r="J49" i="17" s="1"/>
  <c r="H49" i="52"/>
  <c r="K46" i="52"/>
  <c r="J46" i="52" s="1"/>
  <c r="G46" i="52"/>
  <c r="H48" i="17"/>
  <c r="K48" i="17" s="1"/>
  <c r="J48" i="17" s="1"/>
  <c r="H48" i="52"/>
  <c r="G46" i="17"/>
  <c r="K50" i="17"/>
  <c r="J50" i="17" s="1"/>
  <c r="G50" i="17"/>
  <c r="G49" i="17" l="1"/>
  <c r="G48" i="17"/>
  <c r="K48" i="52"/>
  <c r="J48" i="52" s="1"/>
  <c r="G48" i="52"/>
  <c r="K49" i="52"/>
  <c r="J49" i="52" s="1"/>
  <c r="G49" i="52"/>
  <c r="I5684" i="34"/>
  <c r="I5685" i="34"/>
  <c r="I4881" i="34"/>
  <c r="I4882" i="34"/>
  <c r="I4553" i="34"/>
  <c r="J5686" i="34" l="1"/>
  <c r="J4882" i="34"/>
  <c r="I4554" i="34"/>
  <c r="J4555" i="34" s="1"/>
  <c r="I3571" i="34" l="1"/>
  <c r="J1255" i="34" l="1"/>
  <c r="J3572" i="34" l="1"/>
  <c r="F1252" i="48"/>
  <c r="I1252" i="48" s="1"/>
  <c r="F1251" i="48"/>
  <c r="I1251" i="48" s="1"/>
  <c r="F1250" i="48"/>
  <c r="I1250" i="48" s="1"/>
  <c r="F1249" i="48"/>
  <c r="I1249" i="48" s="1"/>
  <c r="F1248" i="48"/>
  <c r="I1248" i="48" s="1"/>
  <c r="F1247" i="48"/>
  <c r="I1247" i="48" s="1"/>
  <c r="F1246" i="48"/>
  <c r="I1246" i="48" s="1"/>
  <c r="F1245" i="48"/>
  <c r="I1245" i="48" s="1"/>
  <c r="F1244" i="48"/>
  <c r="I1244" i="48" s="1"/>
  <c r="F1243" i="48"/>
  <c r="I1243" i="48" s="1"/>
  <c r="F1242" i="48"/>
  <c r="I1242" i="48" s="1"/>
  <c r="F1241" i="48"/>
  <c r="I1241" i="48" s="1"/>
  <c r="F1240" i="48"/>
  <c r="I1240" i="48" s="1"/>
  <c r="F1239" i="48"/>
  <c r="I1239" i="48" s="1"/>
  <c r="F1238" i="48"/>
  <c r="I1238" i="48" s="1"/>
  <c r="F1237" i="48"/>
  <c r="I1237" i="48" s="1"/>
  <c r="F1236" i="48"/>
  <c r="I1236" i="48" s="1"/>
  <c r="F1235" i="48"/>
  <c r="I1235" i="48" s="1"/>
  <c r="F1233" i="48"/>
  <c r="I1233" i="48" s="1"/>
  <c r="F1232" i="48"/>
  <c r="I1232" i="48" s="1"/>
  <c r="F1231" i="48"/>
  <c r="I1231" i="48" s="1"/>
  <c r="F1230" i="48"/>
  <c r="I1230" i="48" s="1"/>
  <c r="F1229" i="48"/>
  <c r="I1229" i="48" s="1"/>
  <c r="F1228" i="48"/>
  <c r="I1228" i="48" s="1"/>
  <c r="F1227" i="48"/>
  <c r="I1227" i="48" s="1"/>
  <c r="F1226" i="48"/>
  <c r="I1226" i="48" s="1"/>
  <c r="F1223" i="48"/>
  <c r="I1223" i="48" s="1"/>
  <c r="F1222" i="48"/>
  <c r="I1222" i="48" s="1"/>
  <c r="F1221" i="48"/>
  <c r="I1221" i="48" s="1"/>
  <c r="F1220" i="48"/>
  <c r="I1220" i="48" s="1"/>
  <c r="F1219" i="48"/>
  <c r="I1219" i="48" s="1"/>
  <c r="F1218" i="48"/>
  <c r="I1218" i="48" s="1"/>
  <c r="F1217" i="48"/>
  <c r="I1217" i="48" s="1"/>
  <c r="F1216" i="48"/>
  <c r="I1216" i="48" s="1"/>
  <c r="F1215" i="48"/>
  <c r="I1215" i="48" s="1"/>
  <c r="F1213" i="48"/>
  <c r="I1213" i="48" s="1"/>
  <c r="F1212" i="48"/>
  <c r="I1212" i="48" s="1"/>
  <c r="F1211" i="48"/>
  <c r="I1211" i="48" s="1"/>
  <c r="F1210" i="48"/>
  <c r="I1210" i="48" s="1"/>
  <c r="G1206" i="48"/>
  <c r="I1206" i="48" s="1"/>
  <c r="G1203" i="48"/>
  <c r="I1203" i="48" s="1"/>
  <c r="G1200" i="48"/>
  <c r="I1200" i="48" s="1"/>
  <c r="G1197" i="48"/>
  <c r="I1197" i="48" s="1"/>
  <c r="F1193" i="48"/>
  <c r="D1193" i="48"/>
  <c r="F1192" i="48"/>
  <c r="D1192" i="48"/>
  <c r="F1191" i="48"/>
  <c r="D1191" i="48"/>
  <c r="F1190" i="48"/>
  <c r="D1190" i="48"/>
  <c r="F1189" i="48"/>
  <c r="D1189" i="48"/>
  <c r="L1188" i="48"/>
  <c r="L1190" i="48" s="1"/>
  <c r="F1188" i="48"/>
  <c r="D1188" i="48"/>
  <c r="F1187" i="48"/>
  <c r="D1187" i="48"/>
  <c r="F1186" i="48"/>
  <c r="D1186" i="48"/>
  <c r="G1084" i="48"/>
  <c r="F1084" i="48"/>
  <c r="M1083" i="48"/>
  <c r="G1083" i="48"/>
  <c r="F1083" i="48"/>
  <c r="G1079" i="48"/>
  <c r="I1079" i="48" s="1"/>
  <c r="G1078" i="48"/>
  <c r="I1078" i="48" s="1"/>
  <c r="G1077" i="48"/>
  <c r="F1077" i="48"/>
  <c r="F1075" i="48"/>
  <c r="I1075" i="48" s="1"/>
  <c r="L1071" i="48"/>
  <c r="L1073" i="48" s="1"/>
  <c r="H1070" i="48"/>
  <c r="G1070" i="48"/>
  <c r="H1069" i="48"/>
  <c r="G1069" i="48"/>
  <c r="H1068" i="48"/>
  <c r="G1068" i="48"/>
  <c r="H1067" i="48"/>
  <c r="G1067" i="48"/>
  <c r="H1063" i="48"/>
  <c r="G1063" i="48"/>
  <c r="H1062" i="48"/>
  <c r="G1062" i="48"/>
  <c r="H1061" i="48"/>
  <c r="G1061" i="48"/>
  <c r="H1059" i="48"/>
  <c r="G1059" i="48"/>
  <c r="F1059" i="48"/>
  <c r="H1058" i="48"/>
  <c r="G1058" i="48"/>
  <c r="F1058" i="48"/>
  <c r="H1057" i="48"/>
  <c r="G1057" i="48"/>
  <c r="F1057" i="48"/>
  <c r="H1056" i="48"/>
  <c r="G1056" i="48"/>
  <c r="F1056" i="48"/>
  <c r="H1055" i="48"/>
  <c r="G1055" i="48"/>
  <c r="F1055" i="48"/>
  <c r="H1054" i="48"/>
  <c r="G1054" i="48"/>
  <c r="F1054" i="48"/>
  <c r="H1053" i="48"/>
  <c r="G1053" i="48"/>
  <c r="F1053" i="48"/>
  <c r="H1052" i="48"/>
  <c r="G1052" i="48"/>
  <c r="F1052" i="48"/>
  <c r="H1051" i="48"/>
  <c r="G1051" i="48"/>
  <c r="F1051" i="48"/>
  <c r="H1050" i="48"/>
  <c r="G1050" i="48"/>
  <c r="H1049" i="48"/>
  <c r="G1049" i="48"/>
  <c r="F1049" i="48"/>
  <c r="H1048" i="48"/>
  <c r="G1048" i="48"/>
  <c r="F1048" i="48"/>
  <c r="H1047" i="48"/>
  <c r="G1047" i="48"/>
  <c r="F1047" i="48"/>
  <c r="H1046" i="48"/>
  <c r="G1046" i="48"/>
  <c r="F1046" i="48"/>
  <c r="H1042" i="48"/>
  <c r="G1042" i="48"/>
  <c r="H1041" i="48"/>
  <c r="G1041" i="48"/>
  <c r="H1040" i="48"/>
  <c r="G1040" i="48"/>
  <c r="H1037" i="48"/>
  <c r="F1037" i="48"/>
  <c r="H1036" i="48"/>
  <c r="F1036" i="48"/>
  <c r="H1035" i="48"/>
  <c r="F1035" i="48"/>
  <c r="H1034" i="48"/>
  <c r="F1034" i="48"/>
  <c r="H1033" i="48"/>
  <c r="F1033" i="48"/>
  <c r="H1032" i="48"/>
  <c r="F1032" i="48"/>
  <c r="H1031" i="48"/>
  <c r="F1031" i="48"/>
  <c r="H1030" i="48"/>
  <c r="F1030" i="48"/>
  <c r="H1029" i="48"/>
  <c r="F1029" i="48"/>
  <c r="H1028" i="48"/>
  <c r="F1028" i="48"/>
  <c r="H1027" i="48"/>
  <c r="F1027" i="48"/>
  <c r="K1026" i="48"/>
  <c r="K1027" i="48" s="1"/>
  <c r="H1026" i="48"/>
  <c r="F1026" i="48"/>
  <c r="H1025" i="48"/>
  <c r="F1025" i="48"/>
  <c r="H1024" i="48"/>
  <c r="F1024" i="48"/>
  <c r="H1019" i="48"/>
  <c r="F1019" i="48"/>
  <c r="D1019" i="48"/>
  <c r="H1018" i="48"/>
  <c r="F1018" i="48"/>
  <c r="D1018" i="48"/>
  <c r="H1017" i="48"/>
  <c r="F1017" i="48"/>
  <c r="D1017" i="48"/>
  <c r="H1016" i="48"/>
  <c r="F1016" i="48"/>
  <c r="D1016" i="48"/>
  <c r="F1015" i="48"/>
  <c r="G1015" i="48" s="1"/>
  <c r="I1859" i="48"/>
  <c r="I1858" i="48"/>
  <c r="F860" i="48"/>
  <c r="E860" i="48"/>
  <c r="F859" i="48"/>
  <c r="E859" i="48"/>
  <c r="F858" i="48"/>
  <c r="E858" i="48"/>
  <c r="F857" i="48"/>
  <c r="E857" i="48"/>
  <c r="F856" i="48"/>
  <c r="E856" i="48"/>
  <c r="F855" i="48"/>
  <c r="E855" i="48"/>
  <c r="F854" i="48"/>
  <c r="E854" i="48"/>
  <c r="F853" i="48"/>
  <c r="E853" i="48"/>
  <c r="F852" i="48"/>
  <c r="E852" i="48"/>
  <c r="F850" i="48"/>
  <c r="E850" i="48"/>
  <c r="F849" i="48"/>
  <c r="E849" i="48"/>
  <c r="F848" i="48"/>
  <c r="E848" i="48"/>
  <c r="F847" i="48"/>
  <c r="E847" i="48"/>
  <c r="F846" i="48"/>
  <c r="E846" i="48"/>
  <c r="F845" i="48"/>
  <c r="E845" i="48"/>
  <c r="F844" i="48"/>
  <c r="E844" i="48"/>
  <c r="F843" i="48"/>
  <c r="E843" i="48"/>
  <c r="F842" i="48"/>
  <c r="E842" i="48"/>
  <c r="F841" i="48"/>
  <c r="E841" i="48"/>
  <c r="F840" i="48"/>
  <c r="E840" i="48"/>
  <c r="F839" i="48"/>
  <c r="E839" i="48"/>
  <c r="F838" i="48"/>
  <c r="E838" i="48"/>
  <c r="F837" i="48"/>
  <c r="E837" i="48"/>
  <c r="F836" i="48"/>
  <c r="E836" i="48"/>
  <c r="F835" i="48"/>
  <c r="E835" i="48"/>
  <c r="F834" i="48"/>
  <c r="E834" i="48"/>
  <c r="F833" i="48"/>
  <c r="E833" i="48"/>
  <c r="F832" i="48"/>
  <c r="E832" i="48"/>
  <c r="F831" i="48"/>
  <c r="E831" i="48"/>
  <c r="F830" i="48"/>
  <c r="E830" i="48"/>
  <c r="F829" i="48"/>
  <c r="E829" i="48"/>
  <c r="F828" i="48"/>
  <c r="E828" i="48"/>
  <c r="F827" i="48"/>
  <c r="E827" i="48"/>
  <c r="F826" i="48"/>
  <c r="E826" i="48"/>
  <c r="F825" i="48"/>
  <c r="E825" i="48"/>
  <c r="E824" i="48"/>
  <c r="I824" i="48" s="1"/>
  <c r="F823" i="48"/>
  <c r="E823" i="48"/>
  <c r="F822" i="48"/>
  <c r="E822" i="48"/>
  <c r="F821" i="48"/>
  <c r="E821" i="48"/>
  <c r="F820" i="48"/>
  <c r="E820" i="48"/>
  <c r="F819" i="48"/>
  <c r="E819" i="48"/>
  <c r="F818" i="48"/>
  <c r="E818" i="48"/>
  <c r="F817" i="48"/>
  <c r="E817" i="48"/>
  <c r="F816" i="48"/>
  <c r="E816" i="48"/>
  <c r="F815" i="48"/>
  <c r="E815" i="48"/>
  <c r="F814" i="48"/>
  <c r="E814" i="48"/>
  <c r="F813" i="48"/>
  <c r="E813" i="48"/>
  <c r="F812" i="48"/>
  <c r="E812" i="48"/>
  <c r="F811" i="48"/>
  <c r="E811" i="48"/>
  <c r="E810" i="48"/>
  <c r="I810" i="48" s="1"/>
  <c r="F808" i="48"/>
  <c r="I808" i="48" s="1"/>
  <c r="F806" i="48"/>
  <c r="I806" i="48" s="1"/>
  <c r="F768" i="48"/>
  <c r="I768" i="48" s="1"/>
  <c r="F767" i="48"/>
  <c r="I767" i="48" s="1"/>
  <c r="F766" i="48"/>
  <c r="I766" i="48" s="1"/>
  <c r="F765" i="48"/>
  <c r="I765" i="48" s="1"/>
  <c r="F764" i="48"/>
  <c r="I764" i="48" s="1"/>
  <c r="F763" i="48"/>
  <c r="I763" i="48" s="1"/>
  <c r="F762" i="48"/>
  <c r="I762" i="48" s="1"/>
  <c r="F761" i="48"/>
  <c r="I761" i="48" s="1"/>
  <c r="F760" i="48"/>
  <c r="I760" i="48" s="1"/>
  <c r="F759" i="48"/>
  <c r="I759" i="48" s="1"/>
  <c r="F758" i="48"/>
  <c r="I758" i="48" s="1"/>
  <c r="F757" i="48"/>
  <c r="I757" i="48" s="1"/>
  <c r="F756" i="48"/>
  <c r="I756" i="48" s="1"/>
  <c r="F755" i="48"/>
  <c r="I755" i="48" s="1"/>
  <c r="F754" i="48"/>
  <c r="I754" i="48" s="1"/>
  <c r="F753" i="48"/>
  <c r="I753" i="48" s="1"/>
  <c r="F752" i="48"/>
  <c r="I752" i="48" s="1"/>
  <c r="F751" i="48"/>
  <c r="I751" i="48" s="1"/>
  <c r="F750" i="48"/>
  <c r="I750" i="48" s="1"/>
  <c r="F749" i="48"/>
  <c r="I749" i="48" s="1"/>
  <c r="F748" i="48"/>
  <c r="I748" i="48" s="1"/>
  <c r="F747" i="48"/>
  <c r="I747" i="48" s="1"/>
  <c r="F746" i="48"/>
  <c r="I746" i="48" s="1"/>
  <c r="F745" i="48"/>
  <c r="I745" i="48" s="1"/>
  <c r="F743" i="48"/>
  <c r="I743" i="48" s="1"/>
  <c r="F741" i="48"/>
  <c r="I741" i="48" s="1"/>
  <c r="F740" i="48"/>
  <c r="I740" i="48" s="1"/>
  <c r="F739" i="48"/>
  <c r="I739" i="48" s="1"/>
  <c r="F738" i="48"/>
  <c r="I738" i="48" s="1"/>
  <c r="F737" i="48"/>
  <c r="I737" i="48" s="1"/>
  <c r="F736" i="48"/>
  <c r="I736" i="48" s="1"/>
  <c r="F735" i="48"/>
  <c r="I735" i="48" s="1"/>
  <c r="F733" i="48"/>
  <c r="I733" i="48" s="1"/>
  <c r="F732" i="48"/>
  <c r="I732" i="48" s="1"/>
  <c r="F731" i="48"/>
  <c r="I731" i="48" s="1"/>
  <c r="F730" i="48"/>
  <c r="I730" i="48" s="1"/>
  <c r="F729" i="48"/>
  <c r="I729" i="48" s="1"/>
  <c r="F728" i="48"/>
  <c r="I728" i="48" s="1"/>
  <c r="F727" i="48"/>
  <c r="I727" i="48" s="1"/>
  <c r="F726" i="48"/>
  <c r="I726" i="48" s="1"/>
  <c r="F725" i="48"/>
  <c r="I725" i="48" s="1"/>
  <c r="F723" i="48"/>
  <c r="I723" i="48" s="1"/>
  <c r="F722" i="48"/>
  <c r="I722" i="48" s="1"/>
  <c r="F721" i="48"/>
  <c r="I721" i="48" s="1"/>
  <c r="F720" i="48"/>
  <c r="I720" i="48" s="1"/>
  <c r="F719" i="48"/>
  <c r="I719" i="48" s="1"/>
  <c r="F718" i="48"/>
  <c r="I718" i="48" s="1"/>
  <c r="F717" i="48"/>
  <c r="I717" i="48" s="1"/>
  <c r="F716" i="48"/>
  <c r="I716" i="48" s="1"/>
  <c r="F715" i="48"/>
  <c r="I715" i="48" s="1"/>
  <c r="F714" i="48"/>
  <c r="I714" i="48" s="1"/>
  <c r="F713" i="48"/>
  <c r="I713" i="48" s="1"/>
  <c r="F712" i="48"/>
  <c r="I712" i="48" s="1"/>
  <c r="F711" i="48"/>
  <c r="I711" i="48" s="1"/>
  <c r="F710" i="48"/>
  <c r="I710" i="48" s="1"/>
  <c r="F709" i="48"/>
  <c r="I709" i="48" s="1"/>
  <c r="F708" i="48"/>
  <c r="I708" i="48" s="1"/>
  <c r="F706" i="48"/>
  <c r="I706" i="48" s="1"/>
  <c r="F705" i="48"/>
  <c r="I705" i="48" s="1"/>
  <c r="F704" i="48"/>
  <c r="I704" i="48" s="1"/>
  <c r="F703" i="48"/>
  <c r="I703" i="48" s="1"/>
  <c r="F702" i="48"/>
  <c r="I702" i="48" s="1"/>
  <c r="F701" i="48"/>
  <c r="I701" i="48" s="1"/>
  <c r="F700" i="48"/>
  <c r="I700" i="48" s="1"/>
  <c r="G699" i="48"/>
  <c r="F699" i="48"/>
  <c r="F698" i="48"/>
  <c r="I698" i="48" s="1"/>
  <c r="G697" i="48"/>
  <c r="F697" i="48"/>
  <c r="F696" i="48"/>
  <c r="I696" i="48" s="1"/>
  <c r="G695" i="48"/>
  <c r="F695" i="48"/>
  <c r="F694" i="48"/>
  <c r="I694" i="48" s="1"/>
  <c r="F693" i="48"/>
  <c r="I693" i="48" s="1"/>
  <c r="F692" i="48"/>
  <c r="I692" i="48" s="1"/>
  <c r="F691" i="48"/>
  <c r="I691" i="48" s="1"/>
  <c r="F690" i="48"/>
  <c r="I690" i="48" s="1"/>
  <c r="F689" i="48"/>
  <c r="I689" i="48" s="1"/>
  <c r="F688" i="48"/>
  <c r="I688" i="48" s="1"/>
  <c r="F687" i="48"/>
  <c r="I687" i="48" s="1"/>
  <c r="F686" i="48"/>
  <c r="I686" i="48" s="1"/>
  <c r="F685" i="48"/>
  <c r="I685" i="48" s="1"/>
  <c r="F684" i="48"/>
  <c r="I684" i="48" s="1"/>
  <c r="F683" i="48"/>
  <c r="I683" i="48" s="1"/>
  <c r="F682" i="48"/>
  <c r="I682" i="48" s="1"/>
  <c r="F681" i="48"/>
  <c r="I681" i="48" s="1"/>
  <c r="H544" i="48"/>
  <c r="F544" i="48"/>
  <c r="F543" i="48"/>
  <c r="I543" i="48" s="1"/>
  <c r="F540" i="48"/>
  <c r="D540" i="48"/>
  <c r="I539" i="48"/>
  <c r="F631" i="48"/>
  <c r="I631" i="48" s="1"/>
  <c r="F630" i="48"/>
  <c r="I630" i="48" s="1"/>
  <c r="F629" i="48"/>
  <c r="I629" i="48" s="1"/>
  <c r="F627" i="48"/>
  <c r="I627" i="48" s="1"/>
  <c r="F626" i="48"/>
  <c r="I626" i="48" s="1"/>
  <c r="F625" i="48"/>
  <c r="I625" i="48" s="1"/>
  <c r="F624" i="48"/>
  <c r="I624" i="48" s="1"/>
  <c r="F623" i="48"/>
  <c r="I623" i="48" s="1"/>
  <c r="F622" i="48"/>
  <c r="I622" i="48" s="1"/>
  <c r="F621" i="48"/>
  <c r="I621" i="48" s="1"/>
  <c r="F620" i="48"/>
  <c r="I620" i="48" s="1"/>
  <c r="F619" i="48"/>
  <c r="I619" i="48" s="1"/>
  <c r="F618" i="48"/>
  <c r="I618" i="48" s="1"/>
  <c r="F617" i="48"/>
  <c r="I617" i="48" s="1"/>
  <c r="F616" i="48"/>
  <c r="I616" i="48" s="1"/>
  <c r="F615" i="48"/>
  <c r="I615" i="48" s="1"/>
  <c r="F614" i="48"/>
  <c r="I614" i="48" s="1"/>
  <c r="F613" i="48"/>
  <c r="I613" i="48" s="1"/>
  <c r="F612" i="48"/>
  <c r="I612" i="48" s="1"/>
  <c r="F611" i="48"/>
  <c r="I611" i="48" s="1"/>
  <c r="F610" i="48"/>
  <c r="I610" i="48" s="1"/>
  <c r="F609" i="48"/>
  <c r="I609" i="48" s="1"/>
  <c r="F608" i="48"/>
  <c r="I608" i="48" s="1"/>
  <c r="F607" i="48"/>
  <c r="I607" i="48" s="1"/>
  <c r="F606" i="48"/>
  <c r="I606" i="48" s="1"/>
  <c r="F605" i="48"/>
  <c r="I605" i="48" s="1"/>
  <c r="F604" i="48"/>
  <c r="I604" i="48" s="1"/>
  <c r="F603" i="48"/>
  <c r="I603" i="48" s="1"/>
  <c r="F602" i="48"/>
  <c r="I602" i="48" s="1"/>
  <c r="F601" i="48"/>
  <c r="I601" i="48" s="1"/>
  <c r="F600" i="48"/>
  <c r="I600" i="48" s="1"/>
  <c r="F599" i="48"/>
  <c r="I599" i="48" s="1"/>
  <c r="F598" i="48"/>
  <c r="I598" i="48" s="1"/>
  <c r="F597" i="48"/>
  <c r="I597" i="48" s="1"/>
  <c r="F596" i="48"/>
  <c r="I596" i="48" s="1"/>
  <c r="F595" i="48"/>
  <c r="I595" i="48" s="1"/>
  <c r="F594" i="48"/>
  <c r="I594" i="48" s="1"/>
  <c r="F593" i="48"/>
  <c r="I593" i="48" s="1"/>
  <c r="F592" i="48"/>
  <c r="I592" i="48" s="1"/>
  <c r="F591" i="48"/>
  <c r="I591" i="48" s="1"/>
  <c r="F590" i="48"/>
  <c r="I590" i="48" s="1"/>
  <c r="F589" i="48"/>
  <c r="I589" i="48" s="1"/>
  <c r="F588" i="48"/>
  <c r="I588" i="48" s="1"/>
  <c r="F587" i="48"/>
  <c r="I587" i="48" s="1"/>
  <c r="F586" i="48"/>
  <c r="I586" i="48" s="1"/>
  <c r="F585" i="48"/>
  <c r="I585" i="48" s="1"/>
  <c r="F584" i="48"/>
  <c r="I584" i="48" s="1"/>
  <c r="F583" i="48"/>
  <c r="I583" i="48" s="1"/>
  <c r="F582" i="48"/>
  <c r="I582" i="48" s="1"/>
  <c r="F581" i="48"/>
  <c r="I581" i="48" s="1"/>
  <c r="F580" i="48"/>
  <c r="I580" i="48" s="1"/>
  <c r="F579" i="48"/>
  <c r="I579" i="48" s="1"/>
  <c r="F578" i="48"/>
  <c r="I578" i="48" s="1"/>
  <c r="F577" i="48"/>
  <c r="I577" i="48" s="1"/>
  <c r="F576" i="48"/>
  <c r="I576" i="48" s="1"/>
  <c r="F575" i="48"/>
  <c r="I575" i="48" s="1"/>
  <c r="F574" i="48"/>
  <c r="I574" i="48" s="1"/>
  <c r="F573" i="48"/>
  <c r="I573" i="48" s="1"/>
  <c r="F572" i="48"/>
  <c r="I572" i="48" s="1"/>
  <c r="F571" i="48"/>
  <c r="I571" i="48" s="1"/>
  <c r="F570" i="48"/>
  <c r="I570" i="48" s="1"/>
  <c r="F569" i="48"/>
  <c r="I569" i="48" s="1"/>
  <c r="F568" i="48"/>
  <c r="I568" i="48" s="1"/>
  <c r="F567" i="48"/>
  <c r="I567" i="48" s="1"/>
  <c r="F532" i="48"/>
  <c r="I532" i="48" s="1"/>
  <c r="F531" i="48"/>
  <c r="I531" i="48" s="1"/>
  <c r="F530" i="48"/>
  <c r="I530" i="48" s="1"/>
  <c r="F529" i="48"/>
  <c r="I529" i="48" s="1"/>
  <c r="H526" i="48"/>
  <c r="F526" i="48"/>
  <c r="F525" i="48"/>
  <c r="I525" i="48" s="1"/>
  <c r="F524" i="48"/>
  <c r="I524" i="48" s="1"/>
  <c r="H522" i="48"/>
  <c r="F522" i="48"/>
  <c r="F521" i="48"/>
  <c r="I521" i="48" s="1"/>
  <c r="F520" i="48"/>
  <c r="I520" i="48" s="1"/>
  <c r="H518" i="48"/>
  <c r="F518" i="48"/>
  <c r="F517" i="48"/>
  <c r="I517" i="48" s="1"/>
  <c r="F516" i="48"/>
  <c r="I516" i="48" s="1"/>
  <c r="H514" i="48"/>
  <c r="F514" i="48"/>
  <c r="F513" i="48"/>
  <c r="I513" i="48" s="1"/>
  <c r="F512" i="48"/>
  <c r="I512" i="48" s="1"/>
  <c r="H510" i="48"/>
  <c r="F510" i="48"/>
  <c r="F509" i="48"/>
  <c r="I509" i="48" s="1"/>
  <c r="F508" i="48"/>
  <c r="I508" i="48" s="1"/>
  <c r="H506" i="48"/>
  <c r="F506" i="48"/>
  <c r="F505" i="48"/>
  <c r="I505" i="48" s="1"/>
  <c r="F504" i="48"/>
  <c r="I504" i="48" s="1"/>
  <c r="H502" i="48"/>
  <c r="F502" i="48"/>
  <c r="F501" i="48"/>
  <c r="I501" i="48" s="1"/>
  <c r="F500" i="48"/>
  <c r="I500" i="48" s="1"/>
  <c r="H498" i="48"/>
  <c r="F498" i="48"/>
  <c r="F497" i="48"/>
  <c r="I497" i="48" s="1"/>
  <c r="F496" i="48"/>
  <c r="I496" i="48" s="1"/>
  <c r="H494" i="48"/>
  <c r="F494" i="48"/>
  <c r="F493" i="48"/>
  <c r="I493" i="48" s="1"/>
  <c r="F492" i="48"/>
  <c r="I492" i="48" s="1"/>
  <c r="H490" i="48"/>
  <c r="I490" i="48" s="1"/>
  <c r="H486" i="48"/>
  <c r="F486" i="48"/>
  <c r="F485" i="48"/>
  <c r="I485" i="48" s="1"/>
  <c r="F484" i="48"/>
  <c r="I484" i="48" s="1"/>
  <c r="H482" i="48"/>
  <c r="F482" i="48"/>
  <c r="F481" i="48"/>
  <c r="I481" i="48" s="1"/>
  <c r="F480" i="48"/>
  <c r="I480" i="48" s="1"/>
  <c r="H478" i="48"/>
  <c r="F478" i="48"/>
  <c r="F477" i="48"/>
  <c r="I477" i="48" s="1"/>
  <c r="F476" i="48"/>
  <c r="I476" i="48" s="1"/>
  <c r="H474" i="48"/>
  <c r="F474" i="48"/>
  <c r="F473" i="48"/>
  <c r="I473" i="48" s="1"/>
  <c r="F472" i="48"/>
  <c r="I472" i="48" s="1"/>
  <c r="H469" i="48"/>
  <c r="F469" i="48"/>
  <c r="F468" i="48"/>
  <c r="I468" i="48" s="1"/>
  <c r="F467" i="48"/>
  <c r="I467" i="48" s="1"/>
  <c r="H465" i="48"/>
  <c r="F465" i="48"/>
  <c r="F464" i="48"/>
  <c r="I464" i="48" s="1"/>
  <c r="F463" i="48"/>
  <c r="I463" i="48" s="1"/>
  <c r="H461" i="48"/>
  <c r="F461" i="48"/>
  <c r="F460" i="48"/>
  <c r="I460" i="48" s="1"/>
  <c r="F459" i="48"/>
  <c r="I459" i="48" s="1"/>
  <c r="H457" i="48"/>
  <c r="F457" i="48"/>
  <c r="F456" i="48"/>
  <c r="I456" i="48" s="1"/>
  <c r="F455" i="48"/>
  <c r="I455" i="48" s="1"/>
  <c r="H453" i="48"/>
  <c r="F453" i="48"/>
  <c r="F452" i="48"/>
  <c r="I452" i="48" s="1"/>
  <c r="F451" i="48"/>
  <c r="I451" i="48" s="1"/>
  <c r="H449" i="48"/>
  <c r="F449" i="48"/>
  <c r="F448" i="48"/>
  <c r="I448" i="48" s="1"/>
  <c r="F447" i="48"/>
  <c r="I447" i="48" s="1"/>
  <c r="H445" i="48"/>
  <c r="F445" i="48"/>
  <c r="F444" i="48"/>
  <c r="I444" i="48" s="1"/>
  <c r="F443" i="48"/>
  <c r="I443" i="48" s="1"/>
  <c r="H441" i="48"/>
  <c r="F441" i="48"/>
  <c r="F440" i="48"/>
  <c r="I440" i="48" s="1"/>
  <c r="F439" i="48"/>
  <c r="I439" i="48" s="1"/>
  <c r="H437" i="48"/>
  <c r="F437" i="48"/>
  <c r="F436" i="48"/>
  <c r="I436" i="48" s="1"/>
  <c r="F435" i="48"/>
  <c r="I435" i="48" s="1"/>
  <c r="H433" i="48"/>
  <c r="I433" i="48" s="1"/>
  <c r="H429" i="48"/>
  <c r="F429" i="48"/>
  <c r="I429" i="48" s="1"/>
  <c r="F428" i="48"/>
  <c r="I428" i="48" s="1"/>
  <c r="F427" i="48"/>
  <c r="I427" i="48" s="1"/>
  <c r="H425" i="48"/>
  <c r="F425" i="48"/>
  <c r="I425" i="48" s="1"/>
  <c r="F424" i="48"/>
  <c r="I424" i="48" s="1"/>
  <c r="F423" i="48"/>
  <c r="I423" i="48" s="1"/>
  <c r="H421" i="48"/>
  <c r="F421" i="48"/>
  <c r="I421" i="48" s="1"/>
  <c r="F420" i="48"/>
  <c r="I420" i="48" s="1"/>
  <c r="F419" i="48"/>
  <c r="I419" i="48" s="1"/>
  <c r="H417" i="48"/>
  <c r="F417" i="48"/>
  <c r="I417" i="48" s="1"/>
  <c r="F416" i="48"/>
  <c r="I416" i="48" s="1"/>
  <c r="F415" i="48"/>
  <c r="I415" i="48" s="1"/>
  <c r="F405" i="48"/>
  <c r="I405" i="48" s="1"/>
  <c r="H402" i="48"/>
  <c r="I402" i="48" s="1"/>
  <c r="H398" i="48"/>
  <c r="I398" i="48" s="1"/>
  <c r="H394" i="48"/>
  <c r="I394" i="48" s="1"/>
  <c r="H390" i="48"/>
  <c r="I390" i="48" s="1"/>
  <c r="H385" i="48"/>
  <c r="F385" i="48"/>
  <c r="F384" i="48"/>
  <c r="I384" i="48" s="1"/>
  <c r="F383" i="48"/>
  <c r="I383" i="48" s="1"/>
  <c r="H381" i="48"/>
  <c r="F381" i="48"/>
  <c r="F380" i="48"/>
  <c r="I380" i="48" s="1"/>
  <c r="F379" i="48"/>
  <c r="I379" i="48" s="1"/>
  <c r="H377" i="48"/>
  <c r="F377" i="48"/>
  <c r="F376" i="48"/>
  <c r="I376" i="48" s="1"/>
  <c r="F375" i="48"/>
  <c r="I375" i="48" s="1"/>
  <c r="H373" i="48"/>
  <c r="F373" i="48"/>
  <c r="D373" i="48"/>
  <c r="F372" i="48"/>
  <c r="D372" i="48"/>
  <c r="I372" i="48" s="1"/>
  <c r="F371" i="48"/>
  <c r="D371" i="48"/>
  <c r="G252" i="48"/>
  <c r="F252" i="48"/>
  <c r="G251" i="48"/>
  <c r="F251" i="48"/>
  <c r="I248" i="48"/>
  <c r="F247" i="48"/>
  <c r="I247" i="48" s="1"/>
  <c r="I246" i="48"/>
  <c r="F245" i="48"/>
  <c r="I245" i="48" s="1"/>
  <c r="F244" i="48"/>
  <c r="I244" i="48" s="1"/>
  <c r="F243" i="48"/>
  <c r="I243" i="48" s="1"/>
  <c r="F242" i="48"/>
  <c r="I242" i="48" s="1"/>
  <c r="F241" i="48"/>
  <c r="I241" i="48" s="1"/>
  <c r="F240" i="48"/>
  <c r="I240" i="48" s="1"/>
  <c r="F239" i="48"/>
  <c r="I239" i="48" s="1"/>
  <c r="F237" i="48"/>
  <c r="I237" i="48" s="1"/>
  <c r="I234" i="48"/>
  <c r="G232" i="48"/>
  <c r="I232" i="48" s="1"/>
  <c r="G231" i="48"/>
  <c r="I231" i="48" s="1"/>
  <c r="G230" i="48"/>
  <c r="I230" i="48" s="1"/>
  <c r="I227" i="48"/>
  <c r="G226" i="48"/>
  <c r="I226" i="48" s="1"/>
  <c r="G225" i="48"/>
  <c r="I225" i="48" s="1"/>
  <c r="G224" i="48"/>
  <c r="I224" i="48" s="1"/>
  <c r="G223" i="48"/>
  <c r="I223" i="48" s="1"/>
  <c r="I222" i="48"/>
  <c r="G219" i="48"/>
  <c r="I219" i="48" s="1"/>
  <c r="G218" i="48"/>
  <c r="I218" i="48" s="1"/>
  <c r="G217" i="48"/>
  <c r="I217" i="48" s="1"/>
  <c r="I216" i="48"/>
  <c r="G215" i="48"/>
  <c r="F215" i="48"/>
  <c r="G214" i="48"/>
  <c r="F214" i="48"/>
  <c r="G213" i="48"/>
  <c r="F213" i="48"/>
  <c r="G212" i="48"/>
  <c r="F212" i="48"/>
  <c r="G211" i="48"/>
  <c r="F211" i="48"/>
  <c r="G210" i="48"/>
  <c r="F210" i="48"/>
  <c r="G209" i="48"/>
  <c r="F209" i="48"/>
  <c r="G208" i="48"/>
  <c r="F208" i="48"/>
  <c r="G207" i="48"/>
  <c r="F207" i="48"/>
  <c r="G206" i="48"/>
  <c r="I206" i="48" s="1"/>
  <c r="G205" i="48"/>
  <c r="F205" i="48"/>
  <c r="G204" i="48"/>
  <c r="F204" i="48"/>
  <c r="G203" i="48"/>
  <c r="F203" i="48"/>
  <c r="G202" i="48"/>
  <c r="F202" i="48"/>
  <c r="I201" i="48"/>
  <c r="G198" i="48"/>
  <c r="I198" i="48" s="1"/>
  <c r="G197" i="48"/>
  <c r="I197" i="48" s="1"/>
  <c r="G196" i="48"/>
  <c r="I196" i="48" s="1"/>
  <c r="I195" i="48"/>
  <c r="I194" i="48"/>
  <c r="F193" i="48"/>
  <c r="I193" i="48" s="1"/>
  <c r="F192" i="48"/>
  <c r="I192" i="48" s="1"/>
  <c r="F191" i="48"/>
  <c r="I191" i="48" s="1"/>
  <c r="F190" i="48"/>
  <c r="I190" i="48" s="1"/>
  <c r="F189" i="48"/>
  <c r="I189" i="48" s="1"/>
  <c r="F188" i="48"/>
  <c r="I188" i="48" s="1"/>
  <c r="F187" i="48"/>
  <c r="I187" i="48" s="1"/>
  <c r="F186" i="48"/>
  <c r="I186" i="48" s="1"/>
  <c r="F185" i="48"/>
  <c r="I185" i="48" s="1"/>
  <c r="I184" i="48"/>
  <c r="F183" i="48"/>
  <c r="I183" i="48" s="1"/>
  <c r="F182" i="48"/>
  <c r="I182" i="48" s="1"/>
  <c r="F181" i="48"/>
  <c r="I181" i="48" s="1"/>
  <c r="F180" i="48"/>
  <c r="I180" i="48" s="1"/>
  <c r="I179" i="48"/>
  <c r="I176" i="48"/>
  <c r="F175" i="48"/>
  <c r="D175" i="48"/>
  <c r="F174" i="48"/>
  <c r="D174" i="48"/>
  <c r="F173" i="48"/>
  <c r="D173" i="48"/>
  <c r="F172" i="48"/>
  <c r="D172" i="48"/>
  <c r="I171" i="48"/>
  <c r="I117" i="48"/>
  <c r="G116" i="48"/>
  <c r="F116" i="48"/>
  <c r="I116" i="48" s="1"/>
  <c r="F115" i="48"/>
  <c r="I115" i="48" s="1"/>
  <c r="F112" i="48"/>
  <c r="I112" i="48" s="1"/>
  <c r="F109" i="48"/>
  <c r="I109" i="48" s="1"/>
  <c r="F108" i="48"/>
  <c r="D108" i="48"/>
  <c r="I108" i="48" s="1"/>
  <c r="F104" i="48"/>
  <c r="I104" i="48" s="1"/>
  <c r="F103" i="48"/>
  <c r="I103" i="48" s="1"/>
  <c r="F102" i="48"/>
  <c r="I102" i="48" s="1"/>
  <c r="F101" i="48"/>
  <c r="I101" i="48" s="1"/>
  <c r="F100" i="48"/>
  <c r="I100" i="48" s="1"/>
  <c r="F99" i="48"/>
  <c r="I99" i="48" s="1"/>
  <c r="F98" i="48"/>
  <c r="I98" i="48" s="1"/>
  <c r="F97" i="48"/>
  <c r="I97" i="48" s="1"/>
  <c r="F96" i="48"/>
  <c r="I96" i="48" s="1"/>
  <c r="F94" i="48"/>
  <c r="I94" i="48" s="1"/>
  <c r="F93" i="48"/>
  <c r="I93" i="48" s="1"/>
  <c r="F92" i="48"/>
  <c r="I92" i="48" s="1"/>
  <c r="F91" i="48"/>
  <c r="I91" i="48" s="1"/>
  <c r="F88" i="48"/>
  <c r="I88" i="48" s="1"/>
  <c r="F87" i="48"/>
  <c r="I87" i="48" s="1"/>
  <c r="F86" i="48"/>
  <c r="I86" i="48" s="1"/>
  <c r="F85" i="48"/>
  <c r="I85" i="48" s="1"/>
  <c r="F84" i="48"/>
  <c r="I84" i="48" s="1"/>
  <c r="F83" i="48"/>
  <c r="I83" i="48" s="1"/>
  <c r="F82" i="48"/>
  <c r="I82" i="48" s="1"/>
  <c r="F81" i="48"/>
  <c r="I81" i="48" s="1"/>
  <c r="F80" i="48"/>
  <c r="I80" i="48" s="1"/>
  <c r="F78" i="48"/>
  <c r="I78" i="48" s="1"/>
  <c r="F77" i="48"/>
  <c r="I77" i="48" s="1"/>
  <c r="F76" i="48"/>
  <c r="I76" i="48" s="1"/>
  <c r="F75" i="48"/>
  <c r="I75" i="48" s="1"/>
  <c r="G71" i="48"/>
  <c r="I71" i="48" s="1"/>
  <c r="G68" i="48"/>
  <c r="I68" i="48" s="1"/>
  <c r="G65" i="48"/>
  <c r="I65" i="48" s="1"/>
  <c r="G62" i="48"/>
  <c r="I62" i="48" s="1"/>
  <c r="F58" i="48"/>
  <c r="D58" i="48"/>
  <c r="F57" i="48"/>
  <c r="D57" i="48"/>
  <c r="F56" i="48"/>
  <c r="D56" i="48"/>
  <c r="F55" i="48"/>
  <c r="D55" i="48"/>
  <c r="F117" i="48"/>
  <c r="I56" i="48" l="1"/>
  <c r="I58" i="48"/>
  <c r="I1016" i="48"/>
  <c r="I1024" i="48"/>
  <c r="I1026" i="48"/>
  <c r="I1049" i="48"/>
  <c r="I1052" i="48"/>
  <c r="I1056" i="48"/>
  <c r="I1061" i="48"/>
  <c r="I1025" i="48"/>
  <c r="I1062" i="48"/>
  <c r="I1067" i="48"/>
  <c r="I1069" i="48"/>
  <c r="I1190" i="48"/>
  <c r="I1192" i="48"/>
  <c r="I1063" i="48"/>
  <c r="I1068" i="48"/>
  <c r="I1070" i="48"/>
  <c r="I1077" i="48"/>
  <c r="I1083" i="48"/>
  <c r="I1189" i="48"/>
  <c r="I1191" i="48"/>
  <c r="I1193" i="48"/>
  <c r="I494" i="48"/>
  <c r="I498" i="48"/>
  <c r="I502" i="48"/>
  <c r="I506" i="48"/>
  <c r="I510" i="48"/>
  <c r="I514" i="48"/>
  <c r="I518" i="48"/>
  <c r="I522" i="48"/>
  <c r="I526" i="48"/>
  <c r="I699" i="48"/>
  <c r="I825" i="48"/>
  <c r="I827" i="48"/>
  <c r="I829" i="48"/>
  <c r="I544" i="48"/>
  <c r="I695" i="48"/>
  <c r="I826" i="48"/>
  <c r="I828" i="48"/>
  <c r="I830" i="48"/>
  <c r="I832" i="48"/>
  <c r="I834" i="48"/>
  <c r="I836" i="48"/>
  <c r="I838" i="48"/>
  <c r="I840" i="48"/>
  <c r="I55" i="48"/>
  <c r="I57" i="48"/>
  <c r="I437" i="48"/>
  <c r="I441" i="48"/>
  <c r="I445" i="48"/>
  <c r="I449" i="48"/>
  <c r="I453" i="48"/>
  <c r="I457" i="48"/>
  <c r="I461" i="48"/>
  <c r="I465" i="48"/>
  <c r="I469" i="48"/>
  <c r="I474" i="48"/>
  <c r="I478" i="48"/>
  <c r="I482" i="48"/>
  <c r="I486" i="48"/>
  <c r="I812" i="48"/>
  <c r="I814" i="48"/>
  <c r="I816" i="48"/>
  <c r="I818" i="48"/>
  <c r="I820" i="48"/>
  <c r="I822" i="48"/>
  <c r="I1018" i="48"/>
  <c r="I1047" i="48"/>
  <c r="I1054" i="48"/>
  <c r="I1058" i="48"/>
  <c r="I371" i="48"/>
  <c r="I373" i="48"/>
  <c r="I831" i="48"/>
  <c r="I833" i="48"/>
  <c r="I835" i="48"/>
  <c r="I837" i="48"/>
  <c r="I839" i="48"/>
  <c r="I841" i="48"/>
  <c r="I843" i="48"/>
  <c r="I845" i="48"/>
  <c r="I847" i="48"/>
  <c r="I849" i="48"/>
  <c r="I852" i="48"/>
  <c r="I854" i="48"/>
  <c r="I856" i="48"/>
  <c r="I858" i="48"/>
  <c r="I860" i="48"/>
  <c r="I1017" i="48"/>
  <c r="I1027" i="48"/>
  <c r="I1029" i="48"/>
  <c r="I1031" i="48"/>
  <c r="I1033" i="48"/>
  <c r="I1035" i="48"/>
  <c r="I1037" i="48"/>
  <c r="I1041" i="48"/>
  <c r="I1046" i="48"/>
  <c r="I1050" i="48"/>
  <c r="I1053" i="48"/>
  <c r="I1057" i="48"/>
  <c r="I1084" i="48"/>
  <c r="I1187" i="48"/>
  <c r="I377" i="48"/>
  <c r="I381" i="48"/>
  <c r="I385" i="48"/>
  <c r="I697" i="48"/>
  <c r="I811" i="48"/>
  <c r="I813" i="48"/>
  <c r="I815" i="48"/>
  <c r="I817" i="48"/>
  <c r="I819" i="48"/>
  <c r="I821" i="48"/>
  <c r="I823" i="48"/>
  <c r="I842" i="48"/>
  <c r="I844" i="48"/>
  <c r="I846" i="48"/>
  <c r="I848" i="48"/>
  <c r="I850" i="48"/>
  <c r="I853" i="48"/>
  <c r="I855" i="48"/>
  <c r="I857" i="48"/>
  <c r="I859" i="48"/>
  <c r="I1019" i="48"/>
  <c r="I1028" i="48"/>
  <c r="I1030" i="48"/>
  <c r="I1032" i="48"/>
  <c r="I1034" i="48"/>
  <c r="I1036" i="48"/>
  <c r="I1040" i="48"/>
  <c r="I1042" i="48"/>
  <c r="I1048" i="48"/>
  <c r="I1051" i="48"/>
  <c r="I1055" i="48"/>
  <c r="I1059" i="48"/>
  <c r="I1186" i="48"/>
  <c r="I1188" i="48"/>
  <c r="I207" i="48"/>
  <c r="I208" i="48"/>
  <c r="I209" i="48"/>
  <c r="I210" i="48"/>
  <c r="I211" i="48"/>
  <c r="I212" i="48"/>
  <c r="I213" i="48"/>
  <c r="I214" i="48"/>
  <c r="I215" i="48"/>
  <c r="I251" i="48"/>
  <c r="I252" i="48"/>
  <c r="I172" i="48"/>
  <c r="I173" i="48"/>
  <c r="I174" i="48"/>
  <c r="I175" i="48"/>
  <c r="I202" i="48"/>
  <c r="I203" i="48"/>
  <c r="I204" i="48"/>
  <c r="I205" i="48"/>
  <c r="I540" i="48"/>
  <c r="F8253" i="34"/>
  <c r="I8253" i="34" s="1"/>
  <c r="F8247" i="34"/>
  <c r="D8247" i="34"/>
  <c r="I8247" i="34" s="1"/>
  <c r="D8246" i="34"/>
  <c r="I8246" i="34" s="1"/>
  <c r="F8245" i="34"/>
  <c r="D8245" i="34"/>
  <c r="I8245" i="34" s="1"/>
  <c r="F8241" i="34"/>
  <c r="I8241" i="34" s="1"/>
  <c r="F8234" i="34"/>
  <c r="I8234" i="34" s="1"/>
  <c r="D8223" i="34"/>
  <c r="I8223" i="34" s="1"/>
  <c r="D8222" i="34"/>
  <c r="I8222" i="34" s="1"/>
  <c r="D8221" i="34"/>
  <c r="I8221" i="34" s="1"/>
  <c r="D8220" i="34"/>
  <c r="I8220" i="34" s="1"/>
  <c r="D8219" i="34"/>
  <c r="I8219" i="34" s="1"/>
  <c r="D8218" i="34"/>
  <c r="I8218" i="34" s="1"/>
  <c r="D8217" i="34"/>
  <c r="I8217" i="34" s="1"/>
  <c r="D8216" i="34"/>
  <c r="I8216" i="34" s="1"/>
  <c r="D8214" i="34"/>
  <c r="I8214" i="34" s="1"/>
  <c r="D8213" i="34"/>
  <c r="I8213" i="34" s="1"/>
  <c r="D8212" i="34"/>
  <c r="I8212" i="34" s="1"/>
  <c r="D8211" i="34"/>
  <c r="I8211" i="34" s="1"/>
  <c r="F8199" i="34"/>
  <c r="I8199" i="34" s="1"/>
  <c r="F8168" i="34"/>
  <c r="I8168" i="34" s="1"/>
  <c r="F8167" i="34"/>
  <c r="I8167" i="34" s="1"/>
  <c r="F8166" i="34"/>
  <c r="I8166" i="34" s="1"/>
  <c r="F8165" i="34"/>
  <c r="I8165" i="34" s="1"/>
  <c r="F8164" i="34"/>
  <c r="I8164" i="34" s="1"/>
  <c r="F8163" i="34"/>
  <c r="I8163" i="34" s="1"/>
  <c r="F8162" i="34"/>
  <c r="I8162" i="34" s="1"/>
  <c r="H8159" i="34"/>
  <c r="F8159" i="34"/>
  <c r="F8158" i="34"/>
  <c r="I8158" i="34" s="1"/>
  <c r="H8157" i="34"/>
  <c r="F8157" i="34"/>
  <c r="H8156" i="34"/>
  <c r="F8156" i="34"/>
  <c r="F8155" i="34"/>
  <c r="I8155" i="34" s="1"/>
  <c r="F8154" i="34"/>
  <c r="I8154" i="34" s="1"/>
  <c r="H8151" i="34"/>
  <c r="F8151" i="34"/>
  <c r="F8150" i="34"/>
  <c r="I8150" i="34" s="1"/>
  <c r="H8149" i="34"/>
  <c r="F8149" i="34"/>
  <c r="F8147" i="34"/>
  <c r="I8147" i="34" s="1"/>
  <c r="F8146" i="34"/>
  <c r="I8146" i="34" s="1"/>
  <c r="H8142" i="34"/>
  <c r="F8142" i="34"/>
  <c r="F8141" i="34"/>
  <c r="I8141" i="34" s="1"/>
  <c r="H8140" i="34"/>
  <c r="F8140" i="34"/>
  <c r="F8138" i="34"/>
  <c r="I8138" i="34" s="1"/>
  <c r="F8137" i="34"/>
  <c r="I8137" i="34" s="1"/>
  <c r="H8133" i="34"/>
  <c r="F8133" i="34"/>
  <c r="F8132" i="34"/>
  <c r="I8132" i="34" s="1"/>
  <c r="H8131" i="34"/>
  <c r="F8131" i="34"/>
  <c r="H8127" i="34"/>
  <c r="F8127" i="34"/>
  <c r="F8126" i="34"/>
  <c r="I8126" i="34" s="1"/>
  <c r="H8125" i="34"/>
  <c r="F8125" i="34"/>
  <c r="F8120" i="34"/>
  <c r="I8120" i="34" s="1"/>
  <c r="E8119" i="34"/>
  <c r="I8119" i="34" s="1"/>
  <c r="F8112" i="34"/>
  <c r="I8112" i="34" s="1"/>
  <c r="F8111" i="34"/>
  <c r="I8111" i="34" s="1"/>
  <c r="F8110" i="34"/>
  <c r="I8110" i="34" s="1"/>
  <c r="F8109" i="34"/>
  <c r="I8109" i="34" s="1"/>
  <c r="F8105" i="34"/>
  <c r="I8105" i="34" s="1"/>
  <c r="F8104" i="34"/>
  <c r="I8104" i="34" s="1"/>
  <c r="F8103" i="34"/>
  <c r="I8103" i="34" s="1"/>
  <c r="F8102" i="34"/>
  <c r="I8102" i="34" s="1"/>
  <c r="F8101" i="34"/>
  <c r="I8101" i="34" s="1"/>
  <c r="F8100" i="34"/>
  <c r="D8100" i="34"/>
  <c r="I8100" i="34" s="1"/>
  <c r="F8099" i="34"/>
  <c r="I8099" i="34" s="1"/>
  <c r="F8098" i="34"/>
  <c r="I8098" i="34" s="1"/>
  <c r="F8096" i="34"/>
  <c r="I8096" i="34" s="1"/>
  <c r="F8092" i="34"/>
  <c r="I8092" i="34" s="1"/>
  <c r="F8090" i="34"/>
  <c r="I8090" i="34" s="1"/>
  <c r="F8087" i="34"/>
  <c r="I8087" i="34" s="1"/>
  <c r="F8086" i="34"/>
  <c r="I8086" i="34" s="1"/>
  <c r="F8085" i="34"/>
  <c r="I8085" i="34" s="1"/>
  <c r="F8084" i="34"/>
  <c r="I8084" i="34" s="1"/>
  <c r="F8082" i="34"/>
  <c r="I8082" i="34" s="1"/>
  <c r="F8081" i="34"/>
  <c r="I8081" i="34" s="1"/>
  <c r="F8080" i="34"/>
  <c r="I8080" i="34" s="1"/>
  <c r="F8079" i="34"/>
  <c r="D8079" i="34"/>
  <c r="F8076" i="34"/>
  <c r="D8076" i="34"/>
  <c r="F8073" i="34"/>
  <c r="D8073" i="34"/>
  <c r="F8070" i="34"/>
  <c r="D8070" i="34"/>
  <c r="F8069" i="34"/>
  <c r="I8069" i="34" s="1"/>
  <c r="H6859" i="34"/>
  <c r="G6859" i="34"/>
  <c r="F6859" i="34"/>
  <c r="G6858" i="34"/>
  <c r="F6858" i="34"/>
  <c r="G6855" i="34"/>
  <c r="I6855" i="34" s="1"/>
  <c r="G6854" i="34"/>
  <c r="F6854" i="34" s="1"/>
  <c r="I6854" i="34" s="1"/>
  <c r="G6853" i="34"/>
  <c r="F6853" i="34"/>
  <c r="G6852" i="34"/>
  <c r="E6852" i="34"/>
  <c r="G6851" i="34"/>
  <c r="F6851" i="34" s="1"/>
  <c r="I6851" i="34" s="1"/>
  <c r="G6850" i="34"/>
  <c r="I6850" i="34" s="1"/>
  <c r="G6849" i="34"/>
  <c r="I6849" i="34" s="1"/>
  <c r="G6848" i="34"/>
  <c r="I6848" i="34" s="1"/>
  <c r="G6837" i="34"/>
  <c r="I6837" i="34" s="1"/>
  <c r="G6836" i="34"/>
  <c r="F6836" i="34" s="1"/>
  <c r="I6836" i="34" s="1"/>
  <c r="G6835" i="34"/>
  <c r="F6835" i="34"/>
  <c r="G6834" i="34"/>
  <c r="E6834" i="34"/>
  <c r="G6833" i="34"/>
  <c r="I6833" i="34" s="1"/>
  <c r="G6832" i="34"/>
  <c r="I6832" i="34" s="1"/>
  <c r="G6831" i="34"/>
  <c r="I6831" i="34" s="1"/>
  <c r="G6830" i="34"/>
  <c r="I6830" i="34" s="1"/>
  <c r="G6827" i="34"/>
  <c r="I6827" i="34" s="1"/>
  <c r="G6826" i="34"/>
  <c r="I6826" i="34" s="1"/>
  <c r="G6824" i="34"/>
  <c r="I6824" i="34" s="1"/>
  <c r="G6818" i="34"/>
  <c r="E6818" i="34"/>
  <c r="G6807" i="34"/>
  <c r="I6807" i="34" s="1"/>
  <c r="G6806" i="34"/>
  <c r="F6806" i="34"/>
  <c r="G6804" i="34"/>
  <c r="I6804" i="34" s="1"/>
  <c r="G6802" i="34"/>
  <c r="I6802" i="34" s="1"/>
  <c r="G6801" i="34"/>
  <c r="I6801" i="34" s="1"/>
  <c r="G6800" i="34"/>
  <c r="F6800" i="34"/>
  <c r="D6800" i="34"/>
  <c r="I6800" i="34" s="1"/>
  <c r="G6799" i="34"/>
  <c r="D6799" i="34"/>
  <c r="I6799" i="34" s="1"/>
  <c r="G6798" i="34"/>
  <c r="F6798" i="34"/>
  <c r="D6798" i="34"/>
  <c r="I6798" i="34" s="1"/>
  <c r="G6795" i="34"/>
  <c r="I6795" i="34" s="1"/>
  <c r="G6794" i="34"/>
  <c r="F6794" i="34"/>
  <c r="G6793" i="34"/>
  <c r="I6793" i="34" s="1"/>
  <c r="G6791" i="34"/>
  <c r="I6791" i="34" s="1"/>
  <c r="G6790" i="34"/>
  <c r="I6790" i="34" s="1"/>
  <c r="G6789" i="34"/>
  <c r="I6789" i="34" s="1"/>
  <c r="G6788" i="34"/>
  <c r="F6788" i="34" s="1"/>
  <c r="I6788" i="34" s="1"/>
  <c r="G6787" i="34"/>
  <c r="F6787" i="34"/>
  <c r="G6786" i="34"/>
  <c r="I6786" i="34" s="1"/>
  <c r="G6785" i="34"/>
  <c r="I6785" i="34" s="1"/>
  <c r="G6784" i="34"/>
  <c r="I6784" i="34" s="1"/>
  <c r="G6783" i="34"/>
  <c r="I6783" i="34" s="1"/>
  <c r="G6782" i="34"/>
  <c r="I6782" i="34" s="1"/>
  <c r="G6781" i="34"/>
  <c r="I6781" i="34" s="1"/>
  <c r="G6780" i="34"/>
  <c r="I6780" i="34" s="1"/>
  <c r="G6779" i="34"/>
  <c r="I6779" i="34" s="1"/>
  <c r="G6778" i="34"/>
  <c r="I6778" i="34" s="1"/>
  <c r="G6776" i="34"/>
  <c r="D6776" i="34"/>
  <c r="I6776" i="34" s="1"/>
  <c r="G6775" i="34"/>
  <c r="D6775" i="34"/>
  <c r="I6775" i="34" s="1"/>
  <c r="G6774" i="34"/>
  <c r="D6774" i="34"/>
  <c r="I6774" i="34" s="1"/>
  <c r="G6773" i="34"/>
  <c r="D6773" i="34"/>
  <c r="I6773" i="34" s="1"/>
  <c r="G6772" i="34"/>
  <c r="D6772" i="34"/>
  <c r="I6772" i="34" s="1"/>
  <c r="G6771" i="34"/>
  <c r="D6771" i="34"/>
  <c r="I6771" i="34" s="1"/>
  <c r="G6770" i="34"/>
  <c r="D6770" i="34"/>
  <c r="I6770" i="34" s="1"/>
  <c r="G6769" i="34"/>
  <c r="D6769" i="34"/>
  <c r="I6769" i="34" s="1"/>
  <c r="G6767" i="34"/>
  <c r="D6767" i="34"/>
  <c r="I6767" i="34" s="1"/>
  <c r="G6766" i="34"/>
  <c r="D6766" i="34"/>
  <c r="I6766" i="34" s="1"/>
  <c r="G6765" i="34"/>
  <c r="D6765" i="34"/>
  <c r="I6765" i="34" s="1"/>
  <c r="G6764" i="34"/>
  <c r="D6764" i="34"/>
  <c r="I6764" i="34" s="1"/>
  <c r="G6763" i="34"/>
  <c r="I6763" i="34" s="1"/>
  <c r="G6762" i="34"/>
  <c r="I6762" i="34" s="1"/>
  <c r="G6761" i="34"/>
  <c r="I6761" i="34" s="1"/>
  <c r="G6760" i="34"/>
  <c r="I6760" i="34" s="1"/>
  <c r="G6759" i="34"/>
  <c r="I6759" i="34" s="1"/>
  <c r="G6758" i="34"/>
  <c r="I6758" i="34" s="1"/>
  <c r="G6757" i="34"/>
  <c r="I6757" i="34" s="1"/>
  <c r="G6756" i="34"/>
  <c r="I6756" i="34" s="1"/>
  <c r="G6755" i="34"/>
  <c r="I6755" i="34" s="1"/>
  <c r="G6754" i="34"/>
  <c r="I6754" i="34" s="1"/>
  <c r="G6753" i="34"/>
  <c r="I6753" i="34" s="1"/>
  <c r="G6752" i="34"/>
  <c r="F6752" i="34"/>
  <c r="G6751" i="34"/>
  <c r="I6751" i="34" s="1"/>
  <c r="G6750" i="34"/>
  <c r="I6750" i="34" s="1"/>
  <c r="G6749" i="34"/>
  <c r="I6749" i="34" s="1"/>
  <c r="G6748" i="34"/>
  <c r="I6748" i="34" s="1"/>
  <c r="G6745" i="34"/>
  <c r="I6745" i="34" s="1"/>
  <c r="G6742" i="34"/>
  <c r="I6742" i="34" s="1"/>
  <c r="G6739" i="34"/>
  <c r="I6739" i="34" s="1"/>
  <c r="G6735" i="34"/>
  <c r="I6735" i="34" s="1"/>
  <c r="G6734" i="34"/>
  <c r="I6734" i="34" s="1"/>
  <c r="G6731" i="34"/>
  <c r="I6731" i="34" s="1"/>
  <c r="G6730" i="34"/>
  <c r="I6730" i="34" s="1"/>
  <c r="G6727" i="34"/>
  <c r="I6727" i="34" s="1"/>
  <c r="G6726" i="34"/>
  <c r="I6726" i="34" s="1"/>
  <c r="G6725" i="34"/>
  <c r="I6725" i="34" s="1"/>
  <c r="G6724" i="34"/>
  <c r="I6724" i="34" s="1"/>
  <c r="G6723" i="34"/>
  <c r="I6723" i="34" s="1"/>
  <c r="G6722" i="34"/>
  <c r="I6722" i="34" s="1"/>
  <c r="G6719" i="34"/>
  <c r="I6719" i="34" s="1"/>
  <c r="G6718" i="34"/>
  <c r="I6718" i="34" s="1"/>
  <c r="G6717" i="34"/>
  <c r="I6717" i="34" s="1"/>
  <c r="G6716" i="34"/>
  <c r="I6716" i="34" s="1"/>
  <c r="G6715" i="34"/>
  <c r="I6715" i="34" s="1"/>
  <c r="G6714" i="34"/>
  <c r="I6714" i="34" s="1"/>
  <c r="G6711" i="34"/>
  <c r="I6711" i="34" s="1"/>
  <c r="G6710" i="34"/>
  <c r="I6710" i="34" s="1"/>
  <c r="G6709" i="34"/>
  <c r="I6709" i="34" s="1"/>
  <c r="G6708" i="34"/>
  <c r="I6708" i="34" s="1"/>
  <c r="G6707" i="34"/>
  <c r="I6707" i="34" s="1"/>
  <c r="G6706" i="34"/>
  <c r="I6706" i="34" s="1"/>
  <c r="G6703" i="34"/>
  <c r="I6703" i="34" s="1"/>
  <c r="G6702" i="34"/>
  <c r="I6702" i="34" s="1"/>
  <c r="G6701" i="34"/>
  <c r="I6701" i="34" s="1"/>
  <c r="G6700" i="34"/>
  <c r="I6700" i="34" s="1"/>
  <c r="G6699" i="34"/>
  <c r="I6699" i="34" s="1"/>
  <c r="G6698" i="34"/>
  <c r="I6698" i="34" s="1"/>
  <c r="G6695" i="34"/>
  <c r="I6695" i="34" s="1"/>
  <c r="G6693" i="34"/>
  <c r="F6693" i="34" s="1"/>
  <c r="I6693" i="34" s="1"/>
  <c r="G6692" i="34"/>
  <c r="F6692" i="34" s="1"/>
  <c r="I6692" i="34" s="1"/>
  <c r="G6691" i="34"/>
  <c r="F6691" i="34" s="1"/>
  <c r="I6691" i="34" s="1"/>
  <c r="G6690" i="34"/>
  <c r="F6690" i="34" s="1"/>
  <c r="I6690" i="34" s="1"/>
  <c r="G6689" i="34"/>
  <c r="F6689" i="34" s="1"/>
  <c r="I6689" i="34" s="1"/>
  <c r="G6688" i="34"/>
  <c r="F6688" i="34" s="1"/>
  <c r="I6688" i="34" s="1"/>
  <c r="G6687" i="34"/>
  <c r="I6687" i="34" s="1"/>
  <c r="F6683" i="34"/>
  <c r="D6683" i="34"/>
  <c r="I6683" i="34" s="1"/>
  <c r="F6682" i="34"/>
  <c r="D6682" i="34"/>
  <c r="I6682" i="34" s="1"/>
  <c r="F6681" i="34"/>
  <c r="D6681" i="34"/>
  <c r="I6681" i="34" s="1"/>
  <c r="F6680" i="34"/>
  <c r="D6680" i="34"/>
  <c r="I6680" i="34" s="1"/>
  <c r="D6679" i="34"/>
  <c r="I6679" i="34" s="1"/>
  <c r="D6678" i="34"/>
  <c r="I6678" i="34" s="1"/>
  <c r="D6677" i="34"/>
  <c r="I6677" i="34" s="1"/>
  <c r="D6676" i="34"/>
  <c r="I6676" i="34" s="1"/>
  <c r="D6675" i="34"/>
  <c r="I6675" i="34" s="1"/>
  <c r="D6674" i="34"/>
  <c r="I6674" i="34" s="1"/>
  <c r="D6673" i="34"/>
  <c r="I6673" i="34" s="1"/>
  <c r="D6672" i="34"/>
  <c r="I6672" i="34" s="1"/>
  <c r="D6671" i="34"/>
  <c r="I6671" i="34" s="1"/>
  <c r="D6670" i="34"/>
  <c r="I6670" i="34" s="1"/>
  <c r="D6669" i="34"/>
  <c r="I6669" i="34" s="1"/>
  <c r="D6668" i="34"/>
  <c r="I6668" i="34" s="1"/>
  <c r="D6667" i="34"/>
  <c r="I6667" i="34" s="1"/>
  <c r="D6666" i="34"/>
  <c r="I6666" i="34" s="1"/>
  <c r="D6665" i="34"/>
  <c r="I6665" i="34" s="1"/>
  <c r="D6664" i="34"/>
  <c r="I6664" i="34" s="1"/>
  <c r="D6663" i="34"/>
  <c r="I6663" i="34" s="1"/>
  <c r="D6662" i="34"/>
  <c r="I6662" i="34" s="1"/>
  <c r="D6661" i="34"/>
  <c r="I6661" i="34" s="1"/>
  <c r="D6660" i="34"/>
  <c r="I6660" i="34" s="1"/>
  <c r="D6659" i="34"/>
  <c r="I6659" i="34" s="1"/>
  <c r="D6658" i="34"/>
  <c r="I6658" i="34" s="1"/>
  <c r="D6657" i="34"/>
  <c r="I6657" i="34" s="1"/>
  <c r="D6656" i="34"/>
  <c r="I6656" i="34" s="1"/>
  <c r="D6655" i="34"/>
  <c r="I6655" i="34" s="1"/>
  <c r="D6654" i="34"/>
  <c r="I6654" i="34" s="1"/>
  <c r="D6653" i="34"/>
  <c r="I6653" i="34" s="1"/>
  <c r="D6652" i="34"/>
  <c r="I6652" i="34" s="1"/>
  <c r="D6651" i="34"/>
  <c r="I6651" i="34" s="1"/>
  <c r="D6650" i="34"/>
  <c r="I6650" i="34" s="1"/>
  <c r="D6649" i="34"/>
  <c r="I6649" i="34" s="1"/>
  <c r="D6648" i="34"/>
  <c r="I6648" i="34" s="1"/>
  <c r="D6647" i="34"/>
  <c r="I6647" i="34" s="1"/>
  <c r="D6646" i="34"/>
  <c r="I6646" i="34" s="1"/>
  <c r="D6645" i="34"/>
  <c r="I6645" i="34" s="1"/>
  <c r="D6644" i="34"/>
  <c r="I6644" i="34" s="1"/>
  <c r="D6643" i="34"/>
  <c r="I6643" i="34" s="1"/>
  <c r="D6642" i="34"/>
  <c r="I6642" i="34" s="1"/>
  <c r="D6641" i="34"/>
  <c r="I6641" i="34" s="1"/>
  <c r="D6640" i="34"/>
  <c r="I6640" i="34" s="1"/>
  <c r="D6639" i="34"/>
  <c r="I6639" i="34" s="1"/>
  <c r="D6638" i="34"/>
  <c r="I6638" i="34" s="1"/>
  <c r="D6637" i="34"/>
  <c r="I6637" i="34" s="1"/>
  <c r="D6636" i="34"/>
  <c r="I6636" i="34" s="1"/>
  <c r="D6635" i="34"/>
  <c r="I6635" i="34" s="1"/>
  <c r="D6634" i="34"/>
  <c r="I6634" i="34" s="1"/>
  <c r="D6633" i="34"/>
  <c r="I6633" i="34" s="1"/>
  <c r="D6632" i="34"/>
  <c r="I6632" i="34" s="1"/>
  <c r="D6631" i="34"/>
  <c r="I6631" i="34" s="1"/>
  <c r="D6630" i="34"/>
  <c r="I6630" i="34" s="1"/>
  <c r="D6629" i="34"/>
  <c r="I6629" i="34" s="1"/>
  <c r="D6628" i="34"/>
  <c r="I6628" i="34" s="1"/>
  <c r="D6627" i="34"/>
  <c r="I6627" i="34" s="1"/>
  <c r="D6626" i="34"/>
  <c r="I6626" i="34" s="1"/>
  <c r="D6625" i="34"/>
  <c r="I6625" i="34" s="1"/>
  <c r="D6624" i="34"/>
  <c r="I6624" i="34" s="1"/>
  <c r="D6623" i="34"/>
  <c r="I6623" i="34" s="1"/>
  <c r="D6622" i="34"/>
  <c r="I6622" i="34" s="1"/>
  <c r="D6621" i="34"/>
  <c r="I6621" i="34" s="1"/>
  <c r="D6620" i="34"/>
  <c r="I6620" i="34" s="1"/>
  <c r="D6619" i="34"/>
  <c r="I6619" i="34" s="1"/>
  <c r="D6618" i="34"/>
  <c r="I6618" i="34" s="1"/>
  <c r="D6617" i="34"/>
  <c r="I6617" i="34" s="1"/>
  <c r="D6616" i="34"/>
  <c r="I6616" i="34" s="1"/>
  <c r="D6615" i="34"/>
  <c r="I6615" i="34" s="1"/>
  <c r="D6614" i="34"/>
  <c r="I6614" i="34" s="1"/>
  <c r="D6613" i="34"/>
  <c r="I6613" i="34" s="1"/>
  <c r="D6612" i="34"/>
  <c r="I6612" i="34" s="1"/>
  <c r="D6611" i="34"/>
  <c r="I6611" i="34" s="1"/>
  <c r="D6610" i="34"/>
  <c r="I6610" i="34" s="1"/>
  <c r="D6609" i="34"/>
  <c r="I6609" i="34" s="1"/>
  <c r="D6608" i="34"/>
  <c r="I6608" i="34" s="1"/>
  <c r="D6607" i="34"/>
  <c r="I6607" i="34" s="1"/>
  <c r="D6606" i="34"/>
  <c r="I6606" i="34" s="1"/>
  <c r="D6605" i="34"/>
  <c r="I6605" i="34" s="1"/>
  <c r="D6604" i="34"/>
  <c r="I6604" i="34" s="1"/>
  <c r="D6603" i="34"/>
  <c r="I6603" i="34" s="1"/>
  <c r="D6602" i="34"/>
  <c r="I6602" i="34" s="1"/>
  <c r="D6601" i="34"/>
  <c r="I6601" i="34" s="1"/>
  <c r="D6600" i="34"/>
  <c r="I6600" i="34" s="1"/>
  <c r="D6599" i="34"/>
  <c r="I6599" i="34" s="1"/>
  <c r="D6598" i="34"/>
  <c r="I6598" i="34" s="1"/>
  <c r="D6597" i="34"/>
  <c r="I6597" i="34" s="1"/>
  <c r="D6596" i="34"/>
  <c r="I6596" i="34" s="1"/>
  <c r="D6595" i="34"/>
  <c r="I6595" i="34" s="1"/>
  <c r="D6594" i="34"/>
  <c r="I6594" i="34" s="1"/>
  <c r="D6593" i="34"/>
  <c r="I6593" i="34" s="1"/>
  <c r="D6592" i="34"/>
  <c r="I6592" i="34" s="1"/>
  <c r="D6591" i="34"/>
  <c r="I6591" i="34" s="1"/>
  <c r="D6590" i="34"/>
  <c r="I6590" i="34" s="1"/>
  <c r="D6589" i="34"/>
  <c r="I6589" i="34" s="1"/>
  <c r="D6588" i="34"/>
  <c r="I6588" i="34" s="1"/>
  <c r="D6587" i="34"/>
  <c r="I6587" i="34" s="1"/>
  <c r="D6586" i="34"/>
  <c r="I6586" i="34" s="1"/>
  <c r="F5459" i="34"/>
  <c r="I5459" i="34" s="1"/>
  <c r="F5454" i="34"/>
  <c r="I5454" i="34" s="1"/>
  <c r="F5449" i="34"/>
  <c r="I5449" i="34" s="1"/>
  <c r="F5444" i="34"/>
  <c r="I5444" i="34" s="1"/>
  <c r="F5436" i="34"/>
  <c r="I5436" i="34" s="1"/>
  <c r="F5429" i="34"/>
  <c r="I5429" i="34" s="1"/>
  <c r="F5424" i="34"/>
  <c r="I5424" i="34" s="1"/>
  <c r="F5423" i="34"/>
  <c r="I5423" i="34" s="1"/>
  <c r="F5422" i="34"/>
  <c r="D5422" i="34"/>
  <c r="I5422" i="34" s="1"/>
  <c r="F5415" i="34"/>
  <c r="I5415" i="34" s="1"/>
  <c r="F5413" i="34"/>
  <c r="I5413" i="34" s="1"/>
  <c r="F5403" i="34"/>
  <c r="I5403" i="34" s="1"/>
  <c r="F5392" i="34"/>
  <c r="I5392" i="34" s="1"/>
  <c r="F5391" i="34"/>
  <c r="I5391" i="34" s="1"/>
  <c r="L5390" i="34"/>
  <c r="F5386" i="34"/>
  <c r="I5386" i="34" s="1"/>
  <c r="F5385" i="34"/>
  <c r="I5385" i="34" s="1"/>
  <c r="F5384" i="34"/>
  <c r="I5384" i="34" s="1"/>
  <c r="F5383" i="34"/>
  <c r="I5383" i="34" s="1"/>
  <c r="F5382" i="34"/>
  <c r="I5382" i="34" s="1"/>
  <c r="F5381" i="34"/>
  <c r="I5381" i="34" s="1"/>
  <c r="F5380" i="34"/>
  <c r="I5380" i="34" s="1"/>
  <c r="F5378" i="34"/>
  <c r="I5378" i="34" s="1"/>
  <c r="E5119" i="34"/>
  <c r="I5119" i="34" s="1"/>
  <c r="H4939" i="34"/>
  <c r="I4939" i="34" s="1"/>
  <c r="H4938" i="34"/>
  <c r="I4938" i="34" s="1"/>
  <c r="H4933" i="34"/>
  <c r="I4933" i="34" s="1"/>
  <c r="H4932" i="34"/>
  <c r="I4932" i="34" s="1"/>
  <c r="H4927" i="34"/>
  <c r="I4927" i="34" s="1"/>
  <c r="H4926" i="34"/>
  <c r="I4926" i="34" s="1"/>
  <c r="H4921" i="34"/>
  <c r="I4921" i="34" s="1"/>
  <c r="H4920" i="34"/>
  <c r="I4920" i="34" s="1"/>
  <c r="F4862" i="34"/>
  <c r="I4862" i="34" s="1"/>
  <c r="F4861" i="34"/>
  <c r="I4861" i="34" s="1"/>
  <c r="F4860" i="34"/>
  <c r="I4860" i="34" s="1"/>
  <c r="F4854" i="34"/>
  <c r="I4854" i="34" s="1"/>
  <c r="F4853" i="34"/>
  <c r="I4853" i="34" s="1"/>
  <c r="F4852" i="34"/>
  <c r="I4852" i="34" s="1"/>
  <c r="F4840" i="34"/>
  <c r="I4840" i="34" s="1"/>
  <c r="F4839" i="34"/>
  <c r="I4839" i="34" s="1"/>
  <c r="F4837" i="34"/>
  <c r="I4837" i="34" s="1"/>
  <c r="F4835" i="34"/>
  <c r="I4835" i="34" s="1"/>
  <c r="F4828" i="34"/>
  <c r="I4828" i="34" s="1"/>
  <c r="F4827" i="34"/>
  <c r="I4827" i="34" s="1"/>
  <c r="F4816" i="34"/>
  <c r="I4816" i="34" s="1"/>
  <c r="F4815" i="34"/>
  <c r="I4815" i="34" s="1"/>
  <c r="F4811" i="34"/>
  <c r="I4811" i="34" s="1"/>
  <c r="F4810" i="34"/>
  <c r="I4810" i="34" s="1"/>
  <c r="F4808" i="34"/>
  <c r="I4808" i="34" s="1"/>
  <c r="F4807" i="34"/>
  <c r="I4807" i="34" s="1"/>
  <c r="F4806" i="34"/>
  <c r="I4806" i="34" s="1"/>
  <c r="F4800" i="34"/>
  <c r="I4800" i="34" s="1"/>
  <c r="F4799" i="34"/>
  <c r="I4799" i="34" s="1"/>
  <c r="F4798" i="34"/>
  <c r="I4798" i="34" s="1"/>
  <c r="F4797" i="34"/>
  <c r="I4797" i="34" s="1"/>
  <c r="F4795" i="34"/>
  <c r="I4795" i="34" s="1"/>
  <c r="F4785" i="34"/>
  <c r="I4785" i="34" s="1"/>
  <c r="F4778" i="34"/>
  <c r="I4778" i="34" s="1"/>
  <c r="F4777" i="34"/>
  <c r="I4777" i="34" s="1"/>
  <c r="F4776" i="34"/>
  <c r="I4776" i="34" s="1"/>
  <c r="F4766" i="34"/>
  <c r="I4766" i="34" s="1"/>
  <c r="F4763" i="34"/>
  <c r="I4763" i="34" s="1"/>
  <c r="F4762" i="34"/>
  <c r="I4762" i="34" s="1"/>
  <c r="F4760" i="34"/>
  <c r="I4760" i="34" s="1"/>
  <c r="F4759" i="34"/>
  <c r="I4759" i="34" s="1"/>
  <c r="F4758" i="34"/>
  <c r="I4758" i="34" s="1"/>
  <c r="F4757" i="34"/>
  <c r="I4757" i="34" s="1"/>
  <c r="F4756" i="34"/>
  <c r="I4756" i="34" s="1"/>
  <c r="F4755" i="34"/>
  <c r="I4755" i="34" s="1"/>
  <c r="F4753" i="34"/>
  <c r="I4753" i="34" s="1"/>
  <c r="F4752" i="34"/>
  <c r="I4752" i="34" s="1"/>
  <c r="G4746" i="34"/>
  <c r="I4746" i="34" s="1"/>
  <c r="G4742" i="34"/>
  <c r="I4742" i="34" s="1"/>
  <c r="G4736" i="34"/>
  <c r="I4736" i="34" s="1"/>
  <c r="G4732" i="34"/>
  <c r="I4732" i="34" s="1"/>
  <c r="G4727" i="34"/>
  <c r="I4727" i="34" s="1"/>
  <c r="G4723" i="34"/>
  <c r="I4723" i="34" s="1"/>
  <c r="G4718" i="34"/>
  <c r="I4718" i="34" s="1"/>
  <c r="G4714" i="34"/>
  <c r="I4714" i="34" s="1"/>
  <c r="F4566" i="34"/>
  <c r="I4566" i="34" s="1"/>
  <c r="H4565" i="34"/>
  <c r="F4565" i="34"/>
  <c r="F4564" i="34"/>
  <c r="I4564" i="34" s="1"/>
  <c r="F4561" i="34"/>
  <c r="D4561" i="34"/>
  <c r="I4560" i="34"/>
  <c r="F4502" i="34"/>
  <c r="I4502" i="34" s="1"/>
  <c r="G4500" i="34"/>
  <c r="F4500" i="34"/>
  <c r="F4498" i="34"/>
  <c r="I4498" i="34" s="1"/>
  <c r="F4495" i="34"/>
  <c r="I4495" i="34" s="1"/>
  <c r="D4494" i="34"/>
  <c r="I4494" i="34" s="1"/>
  <c r="F4484" i="34"/>
  <c r="I4484" i="34" s="1"/>
  <c r="F4478" i="34"/>
  <c r="D4478" i="34"/>
  <c r="I4478" i="34" s="1"/>
  <c r="D4477" i="34"/>
  <c r="I4477" i="34" s="1"/>
  <c r="F4476" i="34"/>
  <c r="D4476" i="34"/>
  <c r="I4476" i="34" s="1"/>
  <c r="F4472" i="34"/>
  <c r="I4472" i="34" s="1"/>
  <c r="F4465" i="34"/>
  <c r="I4465" i="34" s="1"/>
  <c r="F4430" i="34"/>
  <c r="I4430" i="34" s="1"/>
  <c r="F4399" i="34"/>
  <c r="D4399" i="34"/>
  <c r="I4399" i="34" s="1"/>
  <c r="F4394" i="34"/>
  <c r="I4394" i="34" s="1"/>
  <c r="D3493" i="34"/>
  <c r="I3493" i="34" s="1"/>
  <c r="D3492" i="34"/>
  <c r="I3492" i="34" s="1"/>
  <c r="H3491" i="34"/>
  <c r="F3491" i="34"/>
  <c r="H3490" i="34"/>
  <c r="F3490" i="34"/>
  <c r="H3488" i="34"/>
  <c r="F3488" i="34"/>
  <c r="H3487" i="34"/>
  <c r="I3487" i="34" s="1"/>
  <c r="H3486" i="34"/>
  <c r="F3486" i="34"/>
  <c r="H3485" i="34"/>
  <c r="I3485" i="34" s="1"/>
  <c r="H3483" i="34"/>
  <c r="F3483" i="34"/>
  <c r="H3482" i="34"/>
  <c r="I3482" i="34" s="1"/>
  <c r="H3480" i="34"/>
  <c r="F3480" i="34"/>
  <c r="H3479" i="34"/>
  <c r="I3479" i="34" s="1"/>
  <c r="H3478" i="34"/>
  <c r="F3478" i="34"/>
  <c r="H3477" i="34"/>
  <c r="I3477" i="34" s="1"/>
  <c r="H3476" i="34"/>
  <c r="I3476" i="34" s="1"/>
  <c r="F3455" i="34"/>
  <c r="I3455" i="34" s="1"/>
  <c r="F3454" i="34"/>
  <c r="I3454" i="34" s="1"/>
  <c r="F3453" i="34"/>
  <c r="I3453" i="34" s="1"/>
  <c r="F3435" i="34"/>
  <c r="D3435" i="34"/>
  <c r="I3435" i="34" s="1"/>
  <c r="F3434" i="34"/>
  <c r="D3434" i="34"/>
  <c r="I3434" i="34" s="1"/>
  <c r="F3433" i="34"/>
  <c r="D3433" i="34"/>
  <c r="I3433" i="34" s="1"/>
  <c r="D3432" i="34"/>
  <c r="I3432" i="34" s="1"/>
  <c r="D3431" i="34"/>
  <c r="I3431" i="34" s="1"/>
  <c r="D3430" i="34"/>
  <c r="I3430" i="34" s="1"/>
  <c r="D3429" i="34"/>
  <c r="I3429" i="34" s="1"/>
  <c r="D3428" i="34"/>
  <c r="I3428" i="34" s="1"/>
  <c r="F3427" i="34"/>
  <c r="D3427" i="34"/>
  <c r="I3427" i="34" s="1"/>
  <c r="F3426" i="34"/>
  <c r="D3426" i="34"/>
  <c r="I3426" i="34" s="1"/>
  <c r="F3425" i="34"/>
  <c r="D3425" i="34"/>
  <c r="I3425" i="34" s="1"/>
  <c r="F3415" i="34"/>
  <c r="I3415" i="34" s="1"/>
  <c r="F3414" i="34"/>
  <c r="I3414" i="34" s="1"/>
  <c r="F3413" i="34"/>
  <c r="I3413" i="34" s="1"/>
  <c r="F3392" i="34"/>
  <c r="I3392" i="34" s="1"/>
  <c r="F3390" i="34"/>
  <c r="I3390" i="34" s="1"/>
  <c r="F3389" i="34"/>
  <c r="I3389" i="34" s="1"/>
  <c r="F3388" i="34"/>
  <c r="I3388" i="34" s="1"/>
  <c r="D3349" i="34"/>
  <c r="I3349" i="34" s="1"/>
  <c r="D3348" i="34"/>
  <c r="I3348" i="34" s="1"/>
  <c r="D3347" i="34"/>
  <c r="I3347" i="34" s="1"/>
  <c r="D3345" i="34"/>
  <c r="I3345" i="34" s="1"/>
  <c r="D3344" i="34"/>
  <c r="I3344" i="34" s="1"/>
  <c r="D3343" i="34"/>
  <c r="I3343" i="34" s="1"/>
  <c r="D3341" i="34"/>
  <c r="I3341" i="34" s="1"/>
  <c r="D3340" i="34"/>
  <c r="I3340" i="34" s="1"/>
  <c r="D3339" i="34"/>
  <c r="I3339" i="34" s="1"/>
  <c r="D3337" i="34"/>
  <c r="I3337" i="34" s="1"/>
  <c r="D3336" i="34"/>
  <c r="I3336" i="34" s="1"/>
  <c r="D3335" i="34"/>
  <c r="I3335" i="34" s="1"/>
  <c r="D3333" i="34"/>
  <c r="I3333" i="34" s="1"/>
  <c r="D3332" i="34"/>
  <c r="I3332" i="34" s="1"/>
  <c r="D3331" i="34"/>
  <c r="I3331" i="34" s="1"/>
  <c r="D3329" i="34"/>
  <c r="I3329" i="34" s="1"/>
  <c r="D3328" i="34"/>
  <c r="I3328" i="34" s="1"/>
  <c r="D3327" i="34"/>
  <c r="I3327" i="34" s="1"/>
  <c r="D3325" i="34"/>
  <c r="I3325" i="34" s="1"/>
  <c r="D3324" i="34"/>
  <c r="I3324" i="34" s="1"/>
  <c r="D3323" i="34"/>
  <c r="I3323" i="34" s="1"/>
  <c r="D3321" i="34"/>
  <c r="I3321" i="34" s="1"/>
  <c r="D3320" i="34"/>
  <c r="I3320" i="34" s="1"/>
  <c r="D3319" i="34"/>
  <c r="I3319" i="34" s="1"/>
  <c r="D3315" i="34"/>
  <c r="I3315" i="34" s="1"/>
  <c r="D3314" i="34"/>
  <c r="I3314" i="34" s="1"/>
  <c r="D3313" i="34"/>
  <c r="I3313" i="34" s="1"/>
  <c r="D3311" i="34"/>
  <c r="I3311" i="34" s="1"/>
  <c r="D3310" i="34"/>
  <c r="I3310" i="34" s="1"/>
  <c r="D3309" i="34"/>
  <c r="I3309" i="34" s="1"/>
  <c r="D3307" i="34"/>
  <c r="I3307" i="34" s="1"/>
  <c r="D3306" i="34"/>
  <c r="I3306" i="34" s="1"/>
  <c r="D3305" i="34"/>
  <c r="I3305" i="34" s="1"/>
  <c r="D3304" i="34"/>
  <c r="I3304" i="34" s="1"/>
  <c r="D3303" i="34"/>
  <c r="I3303" i="34" s="1"/>
  <c r="D3302" i="34"/>
  <c r="I3302" i="34" s="1"/>
  <c r="D3301" i="34"/>
  <c r="I3301" i="34" s="1"/>
  <c r="F3255" i="34"/>
  <c r="I3255" i="34" s="1"/>
  <c r="F3254" i="34"/>
  <c r="I3254" i="34" s="1"/>
  <c r="F3253" i="34"/>
  <c r="I3253" i="34" s="1"/>
  <c r="H3234" i="34"/>
  <c r="I3234" i="34" s="1"/>
  <c r="H3229" i="34"/>
  <c r="I3229" i="34" s="1"/>
  <c r="H3224" i="34"/>
  <c r="I3224" i="34" s="1"/>
  <c r="H3196" i="34"/>
  <c r="I3196" i="34" s="1"/>
  <c r="G3193" i="34"/>
  <c r="H3192" i="34"/>
  <c r="H3191" i="34"/>
  <c r="I3191" i="34" s="1"/>
  <c r="H3190" i="34"/>
  <c r="I3190" i="34" s="1"/>
  <c r="H3189" i="34"/>
  <c r="I3189" i="34" s="1"/>
  <c r="H3187" i="34"/>
  <c r="I3187" i="34" s="1"/>
  <c r="H3185" i="34"/>
  <c r="I3185" i="34" s="1"/>
  <c r="H3184" i="34"/>
  <c r="I3184" i="34" s="1"/>
  <c r="H3178" i="34"/>
  <c r="I3178" i="34" s="1"/>
  <c r="G3175" i="34"/>
  <c r="H3174" i="34"/>
  <c r="H3173" i="34"/>
  <c r="I3173" i="34" s="1"/>
  <c r="H3172" i="34"/>
  <c r="I3172" i="34" s="1"/>
  <c r="H3171" i="34"/>
  <c r="I3171" i="34" s="1"/>
  <c r="H3169" i="34"/>
  <c r="I3169" i="34" s="1"/>
  <c r="H3167" i="34"/>
  <c r="I3167" i="34" s="1"/>
  <c r="H3166" i="34"/>
  <c r="I3166" i="34" s="1"/>
  <c r="H3159" i="34"/>
  <c r="I3159" i="34" s="1"/>
  <c r="G3156" i="34"/>
  <c r="H3155" i="34"/>
  <c r="H3154" i="34"/>
  <c r="I3154" i="34" s="1"/>
  <c r="H3153" i="34"/>
  <c r="I3153" i="34" s="1"/>
  <c r="H3152" i="34"/>
  <c r="I3152" i="34" s="1"/>
  <c r="H3150" i="34"/>
  <c r="I3150" i="34" s="1"/>
  <c r="H3148" i="34"/>
  <c r="I3148" i="34" s="1"/>
  <c r="H3147" i="34"/>
  <c r="I3147" i="34" s="1"/>
  <c r="H3141" i="34"/>
  <c r="I3141" i="34" s="1"/>
  <c r="G3138" i="34"/>
  <c r="H3137" i="34"/>
  <c r="H3136" i="34"/>
  <c r="I3136" i="34" s="1"/>
  <c r="H3135" i="34"/>
  <c r="I3135" i="34" s="1"/>
  <c r="H3134" i="34"/>
  <c r="I3134" i="34" s="1"/>
  <c r="H3132" i="34"/>
  <c r="I3132" i="34" s="1"/>
  <c r="H3130" i="34"/>
  <c r="I3130" i="34" s="1"/>
  <c r="H3129" i="34"/>
  <c r="I3129" i="34" s="1"/>
  <c r="H3126" i="34"/>
  <c r="I3126" i="34" s="1"/>
  <c r="H3122" i="34"/>
  <c r="F3122" i="34"/>
  <c r="D3122" i="34"/>
  <c r="I3122" i="34" s="1"/>
  <c r="F3121" i="34"/>
  <c r="D3121" i="34"/>
  <c r="I3121" i="34" s="1"/>
  <c r="F3120" i="34"/>
  <c r="D3120" i="34"/>
  <c r="I3120" i="34" s="1"/>
  <c r="H3118" i="34"/>
  <c r="I3118" i="34" s="1"/>
  <c r="H3114" i="34"/>
  <c r="I3114" i="34" s="1"/>
  <c r="H3110" i="34"/>
  <c r="I3110" i="34" s="1"/>
  <c r="H3106" i="34"/>
  <c r="I3106" i="34" s="1"/>
  <c r="H3102" i="34"/>
  <c r="F3102" i="34"/>
  <c r="F3101" i="34"/>
  <c r="I3101" i="34" s="1"/>
  <c r="F3100" i="34"/>
  <c r="I3100" i="34" s="1"/>
  <c r="H3098" i="34"/>
  <c r="I3098" i="34" s="1"/>
  <c r="D1289" i="34"/>
  <c r="I1289" i="34" s="1"/>
  <c r="F1286" i="34"/>
  <c r="I1286" i="34" s="1"/>
  <c r="F1285" i="34"/>
  <c r="I1285" i="34" s="1"/>
  <c r="F1284" i="34"/>
  <c r="I1284" i="34" s="1"/>
  <c r="F1207" i="34"/>
  <c r="I1207" i="34" s="1"/>
  <c r="F1201" i="34"/>
  <c r="I1201" i="34" s="1"/>
  <c r="F1195" i="34"/>
  <c r="I1195" i="34" s="1"/>
  <c r="G1193" i="34"/>
  <c r="F1193" i="34"/>
  <c r="G1189" i="34"/>
  <c r="F1189" i="34"/>
  <c r="F1187" i="34"/>
  <c r="D1187" i="34"/>
  <c r="I1187" i="34" s="1"/>
  <c r="F1186" i="34"/>
  <c r="D1186" i="34"/>
  <c r="I1186" i="34" s="1"/>
  <c r="G1185" i="34"/>
  <c r="F1185" i="34"/>
  <c r="D1185" i="34"/>
  <c r="I1185" i="34" s="1"/>
  <c r="F1183" i="34"/>
  <c r="I1183" i="34" s="1"/>
  <c r="F1182" i="34"/>
  <c r="I1182" i="34" s="1"/>
  <c r="G1181" i="34"/>
  <c r="F1181" i="34"/>
  <c r="G1178" i="34"/>
  <c r="I1178" i="34" s="1"/>
  <c r="G1177" i="34"/>
  <c r="F1177" i="34" s="1"/>
  <c r="I1177" i="34" s="1"/>
  <c r="G1176" i="34"/>
  <c r="F1176" i="34"/>
  <c r="G1175" i="34"/>
  <c r="E1175" i="34"/>
  <c r="G1174" i="34"/>
  <c r="F1174" i="34" s="1"/>
  <c r="I1174" i="34" s="1"/>
  <c r="G1173" i="34"/>
  <c r="I1173" i="34" s="1"/>
  <c r="G1172" i="34"/>
  <c r="I1172" i="34" s="1"/>
  <c r="G1171" i="34"/>
  <c r="I1171" i="34" s="1"/>
  <c r="G1160" i="34"/>
  <c r="I1160" i="34" s="1"/>
  <c r="G1159" i="34"/>
  <c r="F1159" i="34" s="1"/>
  <c r="I1159" i="34" s="1"/>
  <c r="G1158" i="34"/>
  <c r="F1158" i="34"/>
  <c r="G1157" i="34"/>
  <c r="E1157" i="34"/>
  <c r="G1156" i="34"/>
  <c r="F1156" i="34" s="1"/>
  <c r="I1156" i="34" s="1"/>
  <c r="G1155" i="34"/>
  <c r="I1155" i="34" s="1"/>
  <c r="G1154" i="34"/>
  <c r="I1154" i="34" s="1"/>
  <c r="G1153" i="34"/>
  <c r="I1153" i="34" s="1"/>
  <c r="G1150" i="34"/>
  <c r="I1150" i="34" s="1"/>
  <c r="G1149" i="34"/>
  <c r="I1149" i="34" s="1"/>
  <c r="G1147" i="34"/>
  <c r="I1147" i="34" s="1"/>
  <c r="G1143" i="34"/>
  <c r="E1143" i="34"/>
  <c r="G1139" i="34"/>
  <c r="F1139" i="34"/>
  <c r="D1139" i="34"/>
  <c r="G1138" i="34"/>
  <c r="F1138" i="34"/>
  <c r="D1138" i="34"/>
  <c r="F1134" i="34"/>
  <c r="I1134" i="34" s="1"/>
  <c r="F1133" i="34"/>
  <c r="I1133" i="34" s="1"/>
  <c r="F1132" i="34"/>
  <c r="I1132" i="34" s="1"/>
  <c r="F1126" i="34"/>
  <c r="I1126" i="34" s="1"/>
  <c r="F1125" i="34"/>
  <c r="I1125" i="34" s="1"/>
  <c r="F1124" i="34"/>
  <c r="I1124" i="34" s="1"/>
  <c r="F1115" i="34"/>
  <c r="I1115" i="34" s="1"/>
  <c r="F1114" i="34"/>
  <c r="I1114" i="34" s="1"/>
  <c r="F1112" i="34"/>
  <c r="I1112" i="34" s="1"/>
  <c r="F1110" i="34"/>
  <c r="I1110" i="34" s="1"/>
  <c r="F1104" i="34"/>
  <c r="I1104" i="34" s="1"/>
  <c r="F1103" i="34"/>
  <c r="I1103" i="34" s="1"/>
  <c r="F1093" i="34"/>
  <c r="I1093" i="34" s="1"/>
  <c r="F1092" i="34"/>
  <c r="I1092" i="34" s="1"/>
  <c r="F1088" i="34"/>
  <c r="I1088" i="34" s="1"/>
  <c r="F1087" i="34"/>
  <c r="I1087" i="34" s="1"/>
  <c r="F1085" i="34"/>
  <c r="I1085" i="34" s="1"/>
  <c r="F1084" i="34"/>
  <c r="I1084" i="34" s="1"/>
  <c r="F1083" i="34"/>
  <c r="I1083" i="34" s="1"/>
  <c r="F1078" i="34"/>
  <c r="I1078" i="34" s="1"/>
  <c r="F1077" i="34"/>
  <c r="I1077" i="34" s="1"/>
  <c r="F1076" i="34"/>
  <c r="I1076" i="34" s="1"/>
  <c r="F1075" i="34"/>
  <c r="I1075" i="34" s="1"/>
  <c r="F1065" i="34"/>
  <c r="I1065" i="34" s="1"/>
  <c r="F1058" i="34"/>
  <c r="I1058" i="34" s="1"/>
  <c r="F1057" i="34"/>
  <c r="I1057" i="34" s="1"/>
  <c r="F1056" i="34"/>
  <c r="I1056" i="34" s="1"/>
  <c r="F1046" i="34"/>
  <c r="I1046" i="34" s="1"/>
  <c r="F1043" i="34"/>
  <c r="I1043" i="34" s="1"/>
  <c r="F1042" i="34"/>
  <c r="I1042" i="34" s="1"/>
  <c r="F1040" i="34"/>
  <c r="I1040" i="34" s="1"/>
  <c r="F1039" i="34"/>
  <c r="I1039" i="34" s="1"/>
  <c r="F1038" i="34"/>
  <c r="I1038" i="34" s="1"/>
  <c r="F1037" i="34"/>
  <c r="I1037" i="34" s="1"/>
  <c r="F1036" i="34"/>
  <c r="I1036" i="34" s="1"/>
  <c r="F1035" i="34"/>
  <c r="I1035" i="34" s="1"/>
  <c r="F1033" i="34"/>
  <c r="I1033" i="34" s="1"/>
  <c r="F1032" i="34"/>
  <c r="I1032" i="34" s="1"/>
  <c r="G1021" i="34"/>
  <c r="I1021" i="34" s="1"/>
  <c r="G1020" i="34"/>
  <c r="F1020" i="34"/>
  <c r="G1018" i="34"/>
  <c r="I1018" i="34" s="1"/>
  <c r="G1016" i="34"/>
  <c r="I1016" i="34" s="1"/>
  <c r="G1013" i="34"/>
  <c r="F1013" i="34"/>
  <c r="D1013" i="34"/>
  <c r="I1013" i="34" s="1"/>
  <c r="G1012" i="34"/>
  <c r="F1012" i="34"/>
  <c r="D1012" i="34"/>
  <c r="I1012" i="34" s="1"/>
  <c r="G1011" i="34"/>
  <c r="D1011" i="34"/>
  <c r="I1011" i="34" s="1"/>
  <c r="G1010" i="34"/>
  <c r="F1010" i="34"/>
  <c r="D1010" i="34"/>
  <c r="I1010" i="34" s="1"/>
  <c r="G1008" i="34"/>
  <c r="I1008" i="34" s="1"/>
  <c r="G1007" i="34"/>
  <c r="F1007" i="34"/>
  <c r="G1006" i="34"/>
  <c r="I1006" i="34" s="1"/>
  <c r="G1004" i="34"/>
  <c r="I1004" i="34" s="1"/>
  <c r="G1003" i="34"/>
  <c r="I1003" i="34" s="1"/>
  <c r="G1002" i="34"/>
  <c r="I1002" i="34" s="1"/>
  <c r="G1001" i="34"/>
  <c r="F1001" i="34" s="1"/>
  <c r="I1001" i="34" s="1"/>
  <c r="G1000" i="34"/>
  <c r="F1000" i="34"/>
  <c r="G999" i="34"/>
  <c r="I999" i="34" s="1"/>
  <c r="G998" i="34"/>
  <c r="I998" i="34" s="1"/>
  <c r="G997" i="34"/>
  <c r="I997" i="34" s="1"/>
  <c r="G996" i="34"/>
  <c r="I996" i="34" s="1"/>
  <c r="G995" i="34"/>
  <c r="I995" i="34" s="1"/>
  <c r="G994" i="34"/>
  <c r="I994" i="34" s="1"/>
  <c r="G993" i="34"/>
  <c r="I993" i="34" s="1"/>
  <c r="G992" i="34"/>
  <c r="I992" i="34" s="1"/>
  <c r="G991" i="34"/>
  <c r="I991" i="34" s="1"/>
  <c r="G989" i="34"/>
  <c r="D989" i="34"/>
  <c r="I989" i="34" s="1"/>
  <c r="G988" i="34"/>
  <c r="D988" i="34"/>
  <c r="I988" i="34" s="1"/>
  <c r="G987" i="34"/>
  <c r="D987" i="34"/>
  <c r="I987" i="34" s="1"/>
  <c r="G986" i="34"/>
  <c r="D986" i="34"/>
  <c r="I986" i="34" s="1"/>
  <c r="G985" i="34"/>
  <c r="D985" i="34"/>
  <c r="I985" i="34" s="1"/>
  <c r="G984" i="34"/>
  <c r="D984" i="34"/>
  <c r="I984" i="34" s="1"/>
  <c r="G983" i="34"/>
  <c r="D983" i="34"/>
  <c r="I983" i="34" s="1"/>
  <c r="G982" i="34"/>
  <c r="D982" i="34"/>
  <c r="I982" i="34" s="1"/>
  <c r="G980" i="34"/>
  <c r="D980" i="34"/>
  <c r="I980" i="34" s="1"/>
  <c r="G979" i="34"/>
  <c r="D979" i="34"/>
  <c r="I979" i="34" s="1"/>
  <c r="G978" i="34"/>
  <c r="D978" i="34"/>
  <c r="I978" i="34" s="1"/>
  <c r="G977" i="34"/>
  <c r="D977" i="34"/>
  <c r="I977" i="34" s="1"/>
  <c r="G976" i="34"/>
  <c r="I976" i="34" s="1"/>
  <c r="G975" i="34"/>
  <c r="I975" i="34" s="1"/>
  <c r="G974" i="34"/>
  <c r="I974" i="34" s="1"/>
  <c r="G973" i="34"/>
  <c r="I973" i="34" s="1"/>
  <c r="G972" i="34"/>
  <c r="I972" i="34" s="1"/>
  <c r="G971" i="34"/>
  <c r="I971" i="34" s="1"/>
  <c r="G970" i="34"/>
  <c r="I970" i="34" s="1"/>
  <c r="G969" i="34"/>
  <c r="I969" i="34" s="1"/>
  <c r="G968" i="34"/>
  <c r="I968" i="34" s="1"/>
  <c r="G967" i="34"/>
  <c r="I967" i="34" s="1"/>
  <c r="G966" i="34"/>
  <c r="I966" i="34" s="1"/>
  <c r="G965" i="34"/>
  <c r="F965" i="34"/>
  <c r="G964" i="34"/>
  <c r="I964" i="34" s="1"/>
  <c r="G963" i="34"/>
  <c r="I963" i="34" s="1"/>
  <c r="G962" i="34"/>
  <c r="I962" i="34" s="1"/>
  <c r="G961" i="34"/>
  <c r="I961" i="34" s="1"/>
  <c r="G958" i="34"/>
  <c r="I958" i="34" s="1"/>
  <c r="G955" i="34"/>
  <c r="I955" i="34" s="1"/>
  <c r="G952" i="34"/>
  <c r="I952" i="34" s="1"/>
  <c r="G948" i="34"/>
  <c r="I948" i="34" s="1"/>
  <c r="G947" i="34"/>
  <c r="I947" i="34" s="1"/>
  <c r="G944" i="34"/>
  <c r="I944" i="34" s="1"/>
  <c r="G943" i="34"/>
  <c r="I943" i="34" s="1"/>
  <c r="G937" i="34"/>
  <c r="I937" i="34" s="1"/>
  <c r="G933" i="34"/>
  <c r="I933" i="34" s="1"/>
  <c r="G931" i="34"/>
  <c r="I931" i="34" s="1"/>
  <c r="G930" i="34"/>
  <c r="I930" i="34" s="1"/>
  <c r="G929" i="34"/>
  <c r="I929" i="34" s="1"/>
  <c r="G928" i="34"/>
  <c r="I928" i="34" s="1"/>
  <c r="G927" i="34"/>
  <c r="I927" i="34" s="1"/>
  <c r="G926" i="34"/>
  <c r="I926" i="34" s="1"/>
  <c r="G920" i="34"/>
  <c r="I920" i="34" s="1"/>
  <c r="G916" i="34"/>
  <c r="I916" i="34" s="1"/>
  <c r="G914" i="34"/>
  <c r="I914" i="34" s="1"/>
  <c r="G913" i="34"/>
  <c r="I913" i="34" s="1"/>
  <c r="G912" i="34"/>
  <c r="I912" i="34" s="1"/>
  <c r="G911" i="34"/>
  <c r="I911" i="34" s="1"/>
  <c r="G910" i="34"/>
  <c r="I910" i="34" s="1"/>
  <c r="G909" i="34"/>
  <c r="I909" i="34" s="1"/>
  <c r="G904" i="34"/>
  <c r="I904" i="34" s="1"/>
  <c r="G900" i="34"/>
  <c r="I900" i="34" s="1"/>
  <c r="G898" i="34"/>
  <c r="I898" i="34" s="1"/>
  <c r="G897" i="34"/>
  <c r="I897" i="34" s="1"/>
  <c r="G896" i="34"/>
  <c r="I896" i="34" s="1"/>
  <c r="G895" i="34"/>
  <c r="I895" i="34" s="1"/>
  <c r="G894" i="34"/>
  <c r="I894" i="34" s="1"/>
  <c r="G893" i="34"/>
  <c r="I893" i="34" s="1"/>
  <c r="G888" i="34"/>
  <c r="I888" i="34" s="1"/>
  <c r="G884" i="34"/>
  <c r="I884" i="34" s="1"/>
  <c r="G882" i="34"/>
  <c r="I882" i="34" s="1"/>
  <c r="G881" i="34"/>
  <c r="I881" i="34" s="1"/>
  <c r="G880" i="34"/>
  <c r="I880" i="34" s="1"/>
  <c r="G879" i="34"/>
  <c r="I879" i="34" s="1"/>
  <c r="G878" i="34"/>
  <c r="I878" i="34" s="1"/>
  <c r="G877" i="34"/>
  <c r="I877" i="34" s="1"/>
  <c r="G874" i="34"/>
  <c r="I874" i="34" s="1"/>
  <c r="G872" i="34"/>
  <c r="F872" i="34" s="1"/>
  <c r="I872" i="34" s="1"/>
  <c r="G871" i="34"/>
  <c r="F871" i="34" s="1"/>
  <c r="I871" i="34" s="1"/>
  <c r="G870" i="34"/>
  <c r="F870" i="34" s="1"/>
  <c r="I870" i="34" s="1"/>
  <c r="G869" i="34"/>
  <c r="F869" i="34" s="1"/>
  <c r="I869" i="34" s="1"/>
  <c r="G868" i="34"/>
  <c r="F868" i="34" s="1"/>
  <c r="I868" i="34" s="1"/>
  <c r="G867" i="34"/>
  <c r="F867" i="34" s="1"/>
  <c r="I867" i="34" s="1"/>
  <c r="G866" i="34"/>
  <c r="I866" i="34" s="1"/>
  <c r="I6794" i="34" l="1"/>
  <c r="I6835" i="34"/>
  <c r="I6852" i="34"/>
  <c r="I1007" i="34"/>
  <c r="I1020" i="34"/>
  <c r="I1139" i="34"/>
  <c r="I1157" i="34"/>
  <c r="I1176" i="34"/>
  <c r="I1181" i="34"/>
  <c r="I8070" i="34"/>
  <c r="I8076" i="34"/>
  <c r="I3480" i="34"/>
  <c r="I3486" i="34"/>
  <c r="I6806" i="34"/>
  <c r="I6834" i="34"/>
  <c r="I6853" i="34"/>
  <c r="I6858" i="34"/>
  <c r="I8073" i="34"/>
  <c r="I8079" i="34"/>
  <c r="I8131" i="34"/>
  <c r="I4500" i="34"/>
  <c r="I8127" i="34"/>
  <c r="I1158" i="34"/>
  <c r="I1175" i="34"/>
  <c r="I8142" i="34"/>
  <c r="I8149" i="34"/>
  <c r="I8159" i="34"/>
  <c r="I8151" i="34"/>
  <c r="I1000" i="34"/>
  <c r="I1138" i="34"/>
  <c r="I1193" i="34"/>
  <c r="I3102" i="34"/>
  <c r="H3138" i="34"/>
  <c r="H3139" i="34" s="1"/>
  <c r="I3137" i="34"/>
  <c r="I3483" i="34"/>
  <c r="I3490" i="34"/>
  <c r="I4565" i="34"/>
  <c r="I6752" i="34"/>
  <c r="I8156" i="34"/>
  <c r="H3193" i="34"/>
  <c r="H3194" i="34" s="1"/>
  <c r="I3192" i="34"/>
  <c r="I6859" i="34"/>
  <c r="H3156" i="34"/>
  <c r="H3157" i="34" s="1"/>
  <c r="I3155" i="34"/>
  <c r="I965" i="34"/>
  <c r="I1143" i="34"/>
  <c r="I1189" i="34"/>
  <c r="H3175" i="34"/>
  <c r="H3176" i="34" s="1"/>
  <c r="I3174" i="34"/>
  <c r="I3478" i="34"/>
  <c r="I3488" i="34"/>
  <c r="I3491" i="34"/>
  <c r="I6787" i="34"/>
  <c r="I6818" i="34"/>
  <c r="I8125" i="34"/>
  <c r="I8133" i="34"/>
  <c r="I8140" i="34"/>
  <c r="I8157" i="34"/>
  <c r="I4561" i="34"/>
  <c r="F5122" i="34"/>
  <c r="G3157" i="34"/>
  <c r="G3194" i="34"/>
  <c r="G3139" i="34"/>
  <c r="G3176" i="34"/>
  <c r="I3157" i="34" l="1"/>
  <c r="I3156" i="34"/>
  <c r="I3194" i="34"/>
  <c r="I3138" i="34"/>
  <c r="I3176" i="34"/>
  <c r="I3193" i="34"/>
  <c r="I3139" i="34"/>
  <c r="I3175" i="34"/>
  <c r="A3" i="48" l="1"/>
  <c r="I7014" i="34" l="1"/>
  <c r="I9066" i="34"/>
  <c r="I6983" i="34"/>
  <c r="J6983" i="34" s="1"/>
  <c r="I9067" i="34"/>
  <c r="I8971" i="34"/>
  <c r="J8971" i="34" s="1"/>
  <c r="K90" i="17" l="1"/>
  <c r="J90" i="17" s="1"/>
  <c r="G90" i="17"/>
  <c r="G86" i="17"/>
  <c r="K86" i="17"/>
  <c r="J86" i="17" s="1"/>
  <c r="K78" i="17"/>
  <c r="J78" i="17" s="1"/>
  <c r="G78" i="17"/>
  <c r="J9067" i="34"/>
  <c r="J9068" i="34" s="1"/>
  <c r="J7015" i="34"/>
  <c r="H94" i="17" l="1"/>
  <c r="G94" i="17" s="1"/>
  <c r="H55" i="52"/>
  <c r="H92" i="17"/>
  <c r="G92" i="17" s="1"/>
  <c r="H78" i="52"/>
  <c r="K94" i="17" l="1"/>
  <c r="J94" i="17" s="1"/>
  <c r="K92" i="17"/>
  <c r="J92" i="17" s="1"/>
  <c r="J78" i="52"/>
  <c r="G78" i="52"/>
  <c r="G55" i="52"/>
  <c r="J55" i="52"/>
  <c r="I562" i="48"/>
  <c r="J557" i="48"/>
  <c r="I962" i="48"/>
  <c r="J562" i="48" l="1"/>
  <c r="I1550" i="48"/>
  <c r="H15" i="47" l="1"/>
  <c r="G15" i="47" s="1"/>
  <c r="H15" i="53"/>
  <c r="I39" i="47"/>
  <c r="I1551" i="48"/>
  <c r="I1549" i="48"/>
  <c r="J1549" i="48" s="1"/>
  <c r="K38" i="47"/>
  <c r="I76" i="17"/>
  <c r="I8959" i="34"/>
  <c r="I8956" i="34"/>
  <c r="J8956" i="34" s="1"/>
  <c r="K15" i="47" l="1"/>
  <c r="J15" i="47" s="1"/>
  <c r="J15" i="53"/>
  <c r="G15" i="53"/>
  <c r="J1551" i="48"/>
  <c r="J38" i="47"/>
  <c r="I679" i="48" l="1"/>
  <c r="J668" i="48"/>
  <c r="I804" i="48"/>
  <c r="I803" i="48"/>
  <c r="I961" i="48"/>
  <c r="J956" i="48"/>
  <c r="I256" i="48"/>
  <c r="J960" i="48" l="1"/>
  <c r="J961" i="48" s="1"/>
  <c r="H21" i="53" s="1"/>
  <c r="J679" i="48"/>
  <c r="H17" i="47" l="1"/>
  <c r="K17" i="47" s="1"/>
  <c r="J17" i="47" s="1"/>
  <c r="H17" i="53"/>
  <c r="G21" i="53"/>
  <c r="J21" i="53"/>
  <c r="J800" i="48"/>
  <c r="G17" i="47" l="1"/>
  <c r="G17" i="53"/>
  <c r="J17" i="53"/>
  <c r="H21" i="47"/>
  <c r="J1552" i="48"/>
  <c r="H39" i="47" l="1"/>
  <c r="G39" i="47" s="1"/>
  <c r="H38" i="53"/>
  <c r="K21" i="47"/>
  <c r="J21" i="47" s="1"/>
  <c r="G21" i="47"/>
  <c r="K39" i="47" l="1"/>
  <c r="J39" i="47" s="1"/>
  <c r="J38" i="53"/>
  <c r="G38" i="53"/>
  <c r="I8408" i="34"/>
  <c r="I8393" i="34"/>
  <c r="I8392" i="34"/>
  <c r="J8392" i="34" s="1"/>
  <c r="I8428" i="34"/>
  <c r="I8411" i="34"/>
  <c r="J8411" i="34" s="1"/>
  <c r="H39" i="17"/>
  <c r="I4947" i="34"/>
  <c r="I4915" i="34"/>
  <c r="I4557" i="34"/>
  <c r="H33" i="17"/>
  <c r="H30" i="17"/>
  <c r="K17" i="17"/>
  <c r="I4573" i="34"/>
  <c r="I4576" i="34"/>
  <c r="I4575" i="34"/>
  <c r="I4572" i="34"/>
  <c r="J4572" i="34" s="1"/>
  <c r="K30" i="17" l="1"/>
  <c r="J30" i="17" s="1"/>
  <c r="K33" i="17"/>
  <c r="J33" i="17" s="1"/>
  <c r="J17" i="17"/>
  <c r="I8412" i="34"/>
  <c r="G39" i="17"/>
  <c r="K39" i="17"/>
  <c r="J39" i="17" s="1"/>
  <c r="G30" i="17"/>
  <c r="G33" i="17"/>
  <c r="I4574" i="34"/>
  <c r="J4575" i="34" s="1"/>
  <c r="J8408" i="34" l="1"/>
  <c r="J8428" i="34"/>
  <c r="J8954" i="34" s="1"/>
  <c r="J4576" i="34"/>
  <c r="H71" i="17" l="1"/>
  <c r="K71" i="17" s="1"/>
  <c r="J71" i="17" s="1"/>
  <c r="H65" i="52"/>
  <c r="H18" i="17"/>
  <c r="G18" i="17" s="1"/>
  <c r="H18" i="52"/>
  <c r="J8409" i="34"/>
  <c r="I5310" i="34"/>
  <c r="I5309" i="34"/>
  <c r="J5187" i="34"/>
  <c r="I5374" i="34"/>
  <c r="I5373" i="34"/>
  <c r="I5371" i="34"/>
  <c r="J5371" i="34" s="1"/>
  <c r="I5114" i="34"/>
  <c r="I5113" i="34"/>
  <c r="I5109" i="34"/>
  <c r="J5109" i="34" s="1"/>
  <c r="H27" i="17"/>
  <c r="I5091" i="34"/>
  <c r="I5090" i="34"/>
  <c r="J5006" i="34"/>
  <c r="H43" i="17"/>
  <c r="I5687" i="34"/>
  <c r="I5686" i="34"/>
  <c r="H24" i="17"/>
  <c r="K7" i="17"/>
  <c r="G7" i="17"/>
  <c r="J4945" i="34"/>
  <c r="J4942" i="34"/>
  <c r="K18" i="17" l="1"/>
  <c r="J18" i="17" s="1"/>
  <c r="G71" i="17"/>
  <c r="G18" i="52"/>
  <c r="K18" i="52"/>
  <c r="J18" i="52" s="1"/>
  <c r="J65" i="52"/>
  <c r="G65" i="52"/>
  <c r="H74" i="17"/>
  <c r="G74" i="17" s="1"/>
  <c r="H63" i="52"/>
  <c r="J5309" i="34"/>
  <c r="J5310" i="34" s="1"/>
  <c r="H34" i="52" s="1"/>
  <c r="J5528" i="34"/>
  <c r="J5687" i="34" s="1"/>
  <c r="J5360" i="34"/>
  <c r="J5361" i="34" s="1"/>
  <c r="H37" i="52" s="1"/>
  <c r="J5090" i="34"/>
  <c r="K24" i="17"/>
  <c r="J24" i="17" s="1"/>
  <c r="K27" i="17"/>
  <c r="J27" i="17" s="1"/>
  <c r="J7" i="17"/>
  <c r="G27" i="17"/>
  <c r="J4946" i="34"/>
  <c r="G43" i="17"/>
  <c r="K43" i="17"/>
  <c r="J43" i="17" s="1"/>
  <c r="G24" i="17"/>
  <c r="K74" i="17" l="1"/>
  <c r="J74" i="17" s="1"/>
  <c r="H25" i="17"/>
  <c r="G25" i="17" s="1"/>
  <c r="H25" i="52"/>
  <c r="G37" i="52"/>
  <c r="K37" i="52"/>
  <c r="J37" i="52" s="1"/>
  <c r="J63" i="52"/>
  <c r="G63" i="52"/>
  <c r="K34" i="52"/>
  <c r="J34" i="52" s="1"/>
  <c r="G34" i="52"/>
  <c r="J5091" i="34"/>
  <c r="J5373" i="34"/>
  <c r="J5374" i="34" s="1"/>
  <c r="H37" i="17"/>
  <c r="H34" i="17"/>
  <c r="K25" i="17" l="1"/>
  <c r="J25" i="17" s="1"/>
  <c r="H28" i="17"/>
  <c r="G28" i="17" s="1"/>
  <c r="H28" i="52"/>
  <c r="H40" i="17"/>
  <c r="G40" i="17" s="1"/>
  <c r="H40" i="52"/>
  <c r="K25" i="52"/>
  <c r="J25" i="52" s="1"/>
  <c r="G25" i="52"/>
  <c r="H44" i="52"/>
  <c r="G37" i="17"/>
  <c r="K37" i="17"/>
  <c r="J37" i="17" s="1"/>
  <c r="G34" i="17"/>
  <c r="K34" i="17"/>
  <c r="J34" i="17" s="1"/>
  <c r="K28" i="17" l="1"/>
  <c r="J28" i="17" s="1"/>
  <c r="K40" i="17"/>
  <c r="J40" i="17" s="1"/>
  <c r="G40" i="52"/>
  <c r="K40" i="52"/>
  <c r="J40" i="52" s="1"/>
  <c r="K44" i="52"/>
  <c r="J44" i="52" s="1"/>
  <c r="G44" i="52"/>
  <c r="K28" i="52"/>
  <c r="J28" i="52" s="1"/>
  <c r="G28" i="52"/>
  <c r="H44" i="17"/>
  <c r="K44" i="17" s="1"/>
  <c r="J44" i="17" s="1"/>
  <c r="F8957" i="34"/>
  <c r="I8957" i="34" s="1"/>
  <c r="G1183" i="48"/>
  <c r="F1183" i="48"/>
  <c r="F1182" i="48"/>
  <c r="D1182" i="48"/>
  <c r="I1182" i="48" s="1"/>
  <c r="G1180" i="48"/>
  <c r="F1180" i="48"/>
  <c r="F1179" i="48"/>
  <c r="D1179" i="48"/>
  <c r="I1179" i="48" s="1"/>
  <c r="G1177" i="48"/>
  <c r="I1177" i="48" s="1"/>
  <c r="F1176" i="48"/>
  <c r="D1176" i="48"/>
  <c r="I1176" i="48" s="1"/>
  <c r="F1172" i="48"/>
  <c r="D1172" i="48"/>
  <c r="I1172" i="48" s="1"/>
  <c r="H1171" i="48"/>
  <c r="F1171" i="48"/>
  <c r="D1171" i="48"/>
  <c r="I1171" i="48" s="1"/>
  <c r="F1170" i="48"/>
  <c r="D1170" i="48"/>
  <c r="I1170" i="48" s="1"/>
  <c r="F1169" i="48"/>
  <c r="D1169" i="48"/>
  <c r="I1169" i="48" s="1"/>
  <c r="D1168" i="48"/>
  <c r="I1168" i="48" s="1"/>
  <c r="H1167" i="48"/>
  <c r="F1167" i="48"/>
  <c r="D1167" i="48"/>
  <c r="I1167" i="48" s="1"/>
  <c r="F1166" i="48"/>
  <c r="D1166" i="48"/>
  <c r="I1166" i="48" s="1"/>
  <c r="F1165" i="48"/>
  <c r="D1165" i="48"/>
  <c r="I1165" i="48" s="1"/>
  <c r="D1164" i="48"/>
  <c r="I1164" i="48" s="1"/>
  <c r="H1163" i="48"/>
  <c r="F1163" i="48"/>
  <c r="D1163" i="48"/>
  <c r="I1163" i="48" s="1"/>
  <c r="F1162" i="48"/>
  <c r="D1162" i="48"/>
  <c r="I1162" i="48" s="1"/>
  <c r="F1161" i="48"/>
  <c r="D1161" i="48"/>
  <c r="I1161" i="48" s="1"/>
  <c r="D1160" i="48"/>
  <c r="I1160" i="48" s="1"/>
  <c r="H1159" i="48"/>
  <c r="F1159" i="48"/>
  <c r="D1159" i="48"/>
  <c r="I1159" i="48" s="1"/>
  <c r="F1158" i="48"/>
  <c r="D1158" i="48"/>
  <c r="I1158" i="48" s="1"/>
  <c r="F1157" i="48"/>
  <c r="D1157" i="48"/>
  <c r="I1157" i="48" s="1"/>
  <c r="F1156" i="48"/>
  <c r="I1156" i="48" s="1"/>
  <c r="F1155" i="48"/>
  <c r="I1155" i="48" s="1"/>
  <c r="F1154" i="48"/>
  <c r="I1154" i="48" s="1"/>
  <c r="F1153" i="48"/>
  <c r="I1153" i="48" s="1"/>
  <c r="F1152" i="48"/>
  <c r="I1152" i="48" s="1"/>
  <c r="F1151" i="48"/>
  <c r="I1151" i="48" s="1"/>
  <c r="F1150" i="48"/>
  <c r="I1150" i="48" s="1"/>
  <c r="F1149" i="48"/>
  <c r="I1149" i="48" s="1"/>
  <c r="F1148" i="48"/>
  <c r="I1148" i="48" s="1"/>
  <c r="F1147" i="48"/>
  <c r="I1147" i="48" s="1"/>
  <c r="F1146" i="48"/>
  <c r="I1146" i="48" s="1"/>
  <c r="F1145" i="48"/>
  <c r="I1145" i="48" s="1"/>
  <c r="F1144" i="48"/>
  <c r="I1144" i="48" s="1"/>
  <c r="F1143" i="48"/>
  <c r="I1143" i="48" s="1"/>
  <c r="F1142" i="48"/>
  <c r="I1142" i="48" s="1"/>
  <c r="F1141" i="48"/>
  <c r="I1141" i="48" s="1"/>
  <c r="F1140" i="48"/>
  <c r="I1140" i="48" s="1"/>
  <c r="F1139" i="48"/>
  <c r="I1139" i="48" s="1"/>
  <c r="F1137" i="48"/>
  <c r="I1137" i="48" s="1"/>
  <c r="F1136" i="48"/>
  <c r="I1136" i="48" s="1"/>
  <c r="F1135" i="48"/>
  <c r="I1135" i="48" s="1"/>
  <c r="F1134" i="48"/>
  <c r="I1134" i="48" s="1"/>
  <c r="F1133" i="48"/>
  <c r="I1133" i="48" s="1"/>
  <c r="F1132" i="48"/>
  <c r="I1132" i="48" s="1"/>
  <c r="F1131" i="48"/>
  <c r="I1131" i="48" s="1"/>
  <c r="F1130" i="48"/>
  <c r="I1130" i="48" s="1"/>
  <c r="H1127" i="48"/>
  <c r="F1127" i="48"/>
  <c r="F1126" i="48"/>
  <c r="I1126" i="48" s="1"/>
  <c r="H1125" i="48"/>
  <c r="F1125" i="48"/>
  <c r="H1124" i="48"/>
  <c r="F1124" i="48"/>
  <c r="I1124" i="48" s="1"/>
  <c r="F1123" i="48"/>
  <c r="I1123" i="48" s="1"/>
  <c r="F1122" i="48"/>
  <c r="I1122" i="48" s="1"/>
  <c r="I1121" i="48"/>
  <c r="I1120" i="48"/>
  <c r="H1012" i="48"/>
  <c r="F1012" i="48"/>
  <c r="H1009" i="48"/>
  <c r="G1009" i="48"/>
  <c r="I1009" i="48" s="1"/>
  <c r="H1008" i="48"/>
  <c r="G1008" i="48"/>
  <c r="H1007" i="48"/>
  <c r="G1007" i="48"/>
  <c r="I1007" i="48" s="1"/>
  <c r="G1004" i="48"/>
  <c r="F1004" i="48"/>
  <c r="D1004" i="48"/>
  <c r="I1004" i="48" s="1"/>
  <c r="G1003" i="48"/>
  <c r="F1003" i="48"/>
  <c r="D1003" i="48"/>
  <c r="I1003" i="48" s="1"/>
  <c r="G1002" i="48"/>
  <c r="F1002" i="48"/>
  <c r="D1002" i="48"/>
  <c r="I1002" i="48" s="1"/>
  <c r="G1001" i="48"/>
  <c r="F1001" i="48"/>
  <c r="D1001" i="48"/>
  <c r="I1001" i="48" s="1"/>
  <c r="H999" i="48"/>
  <c r="G999" i="48"/>
  <c r="F999" i="48"/>
  <c r="H998" i="48"/>
  <c r="G998" i="48"/>
  <c r="F998" i="48"/>
  <c r="H997" i="48"/>
  <c r="G997" i="48"/>
  <c r="F997" i="48"/>
  <c r="H996" i="48"/>
  <c r="G996" i="48"/>
  <c r="F996" i="48"/>
  <c r="H995" i="48"/>
  <c r="G995" i="48"/>
  <c r="F995" i="48"/>
  <c r="H994" i="48"/>
  <c r="G994" i="48"/>
  <c r="F994" i="48"/>
  <c r="H993" i="48"/>
  <c r="G993" i="48"/>
  <c r="F993" i="48"/>
  <c r="H992" i="48"/>
  <c r="G992" i="48"/>
  <c r="F992" i="48"/>
  <c r="H991" i="48"/>
  <c r="G991" i="48"/>
  <c r="F991" i="48"/>
  <c r="H990" i="48"/>
  <c r="G990" i="48"/>
  <c r="H989" i="48"/>
  <c r="G989" i="48"/>
  <c r="F989" i="48"/>
  <c r="H988" i="48"/>
  <c r="G988" i="48"/>
  <c r="F988" i="48"/>
  <c r="H987" i="48"/>
  <c r="G987" i="48"/>
  <c r="F987" i="48"/>
  <c r="H986" i="48"/>
  <c r="G986" i="48"/>
  <c r="F986" i="48"/>
  <c r="H984" i="48"/>
  <c r="F984" i="48"/>
  <c r="H982" i="48"/>
  <c r="G982" i="48"/>
  <c r="F982" i="48"/>
  <c r="H980" i="48"/>
  <c r="G980" i="48"/>
  <c r="I980" i="48" s="1"/>
  <c r="H979" i="48"/>
  <c r="G979" i="48"/>
  <c r="H978" i="48"/>
  <c r="G978" i="48"/>
  <c r="I978" i="48" s="1"/>
  <c r="H977" i="48"/>
  <c r="G977" i="48"/>
  <c r="H976" i="48"/>
  <c r="G976" i="48"/>
  <c r="H368" i="48"/>
  <c r="I368" i="48" s="1"/>
  <c r="H364" i="48"/>
  <c r="I364" i="48" s="1"/>
  <c r="H360" i="48"/>
  <c r="I360" i="48" s="1"/>
  <c r="H355" i="48"/>
  <c r="F355" i="48"/>
  <c r="D355" i="48"/>
  <c r="I355" i="48" s="1"/>
  <c r="F354" i="48"/>
  <c r="D354" i="48"/>
  <c r="I354" i="48" s="1"/>
  <c r="F353" i="48"/>
  <c r="D353" i="48"/>
  <c r="I353" i="48" s="1"/>
  <c r="H351" i="48"/>
  <c r="F351" i="48"/>
  <c r="D351" i="48"/>
  <c r="I351" i="48" s="1"/>
  <c r="F350" i="48"/>
  <c r="D350" i="48"/>
  <c r="I350" i="48" s="1"/>
  <c r="F349" i="48"/>
  <c r="D349" i="48"/>
  <c r="I349" i="48" s="1"/>
  <c r="H347" i="48"/>
  <c r="F347" i="48"/>
  <c r="D347" i="48"/>
  <c r="I347" i="48" s="1"/>
  <c r="F346" i="48"/>
  <c r="D346" i="48"/>
  <c r="I346" i="48" s="1"/>
  <c r="F345" i="48"/>
  <c r="D345" i="48"/>
  <c r="I345" i="48" s="1"/>
  <c r="H343" i="48"/>
  <c r="F343" i="48"/>
  <c r="D343" i="48"/>
  <c r="I343" i="48" s="1"/>
  <c r="F342" i="48"/>
  <c r="D342" i="48"/>
  <c r="I342" i="48" s="1"/>
  <c r="F341" i="48"/>
  <c r="D341" i="48"/>
  <c r="I341" i="48" s="1"/>
  <c r="H339" i="48"/>
  <c r="F339" i="48"/>
  <c r="F338" i="48"/>
  <c r="I338" i="48" s="1"/>
  <c r="F337" i="48"/>
  <c r="I337" i="48" s="1"/>
  <c r="H335" i="48"/>
  <c r="F335" i="48"/>
  <c r="F334" i="48"/>
  <c r="I334" i="48" s="1"/>
  <c r="F333" i="48"/>
  <c r="I333" i="48" s="1"/>
  <c r="H331" i="48"/>
  <c r="F331" i="48"/>
  <c r="F330" i="48"/>
  <c r="I330" i="48" s="1"/>
  <c r="F329" i="48"/>
  <c r="I329" i="48" s="1"/>
  <c r="H327" i="48"/>
  <c r="F327" i="48"/>
  <c r="F326" i="48"/>
  <c r="I326" i="48" s="1"/>
  <c r="F325" i="48"/>
  <c r="I325" i="48" s="1"/>
  <c r="H323" i="48"/>
  <c r="F323" i="48"/>
  <c r="F322" i="48"/>
  <c r="I322" i="48" s="1"/>
  <c r="F321" i="48"/>
  <c r="I321" i="48" s="1"/>
  <c r="H319" i="48"/>
  <c r="F319" i="48"/>
  <c r="F318" i="48"/>
  <c r="I318" i="48" s="1"/>
  <c r="F317" i="48"/>
  <c r="I317" i="48" s="1"/>
  <c r="H315" i="48"/>
  <c r="F315" i="48"/>
  <c r="F314" i="48"/>
  <c r="I314" i="48" s="1"/>
  <c r="F313" i="48"/>
  <c r="I313" i="48" s="1"/>
  <c r="H311" i="48"/>
  <c r="F311" i="48"/>
  <c r="F310" i="48"/>
  <c r="I310" i="48" s="1"/>
  <c r="F309" i="48"/>
  <c r="I309" i="48" s="1"/>
  <c r="H307" i="48"/>
  <c r="F307" i="48"/>
  <c r="F306" i="48"/>
  <c r="I306" i="48" s="1"/>
  <c r="F305" i="48"/>
  <c r="I305" i="48" s="1"/>
  <c r="H303" i="48"/>
  <c r="I303" i="48" s="1"/>
  <c r="H299" i="48"/>
  <c r="F299" i="48"/>
  <c r="I299" i="48" s="1"/>
  <c r="F298" i="48"/>
  <c r="I298" i="48" s="1"/>
  <c r="F297" i="48"/>
  <c r="I297" i="48" s="1"/>
  <c r="H295" i="48"/>
  <c r="F295" i="48"/>
  <c r="I295" i="48" s="1"/>
  <c r="F294" i="48"/>
  <c r="I294" i="48" s="1"/>
  <c r="F293" i="48"/>
  <c r="I293" i="48" s="1"/>
  <c r="H291" i="48"/>
  <c r="F291" i="48"/>
  <c r="I291" i="48" s="1"/>
  <c r="F290" i="48"/>
  <c r="I290" i="48" s="1"/>
  <c r="F289" i="48"/>
  <c r="I289" i="48" s="1"/>
  <c r="H287" i="48"/>
  <c r="F287" i="48"/>
  <c r="I287" i="48" s="1"/>
  <c r="F286" i="48"/>
  <c r="I286" i="48" s="1"/>
  <c r="F285" i="48"/>
  <c r="I285" i="48" s="1"/>
  <c r="H282" i="48"/>
  <c r="I282" i="48" s="1"/>
  <c r="F280" i="48"/>
  <c r="I280" i="48" s="1"/>
  <c r="H279" i="48"/>
  <c r="F279" i="48"/>
  <c r="H276" i="48"/>
  <c r="I276" i="48" s="1"/>
  <c r="H273" i="48"/>
  <c r="I273" i="48" s="1"/>
  <c r="H270" i="48"/>
  <c r="I270" i="48" s="1"/>
  <c r="H267" i="48"/>
  <c r="I267" i="48" s="1"/>
  <c r="H266" i="48"/>
  <c r="I266" i="48" s="1"/>
  <c r="H262" i="48"/>
  <c r="I262" i="48" s="1"/>
  <c r="F169" i="48"/>
  <c r="I169" i="48" s="1"/>
  <c r="I168" i="48"/>
  <c r="G167" i="48"/>
  <c r="I167" i="48" s="1"/>
  <c r="G166" i="48"/>
  <c r="I166" i="48" s="1"/>
  <c r="G165" i="48"/>
  <c r="I165" i="48" s="1"/>
  <c r="I164" i="48"/>
  <c r="I163" i="48"/>
  <c r="G162" i="48"/>
  <c r="F162" i="48"/>
  <c r="D162" i="48"/>
  <c r="I162" i="48" s="1"/>
  <c r="G161" i="48"/>
  <c r="F161" i="48"/>
  <c r="D161" i="48"/>
  <c r="I161" i="48" s="1"/>
  <c r="G160" i="48"/>
  <c r="F160" i="48"/>
  <c r="D160" i="48"/>
  <c r="I160" i="48" s="1"/>
  <c r="G159" i="48"/>
  <c r="F159" i="48"/>
  <c r="D159" i="48"/>
  <c r="I159" i="48" s="1"/>
  <c r="I158" i="48"/>
  <c r="G157" i="48"/>
  <c r="F157" i="48"/>
  <c r="G156" i="48"/>
  <c r="F156" i="48"/>
  <c r="G155" i="48"/>
  <c r="F155" i="48"/>
  <c r="G154" i="48"/>
  <c r="F154" i="48"/>
  <c r="G153" i="48"/>
  <c r="F153" i="48"/>
  <c r="G152" i="48"/>
  <c r="F152" i="48"/>
  <c r="G151" i="48"/>
  <c r="F151" i="48"/>
  <c r="G150" i="48"/>
  <c r="F150" i="48"/>
  <c r="G149" i="48"/>
  <c r="F149" i="48"/>
  <c r="G148" i="48"/>
  <c r="I148" i="48" s="1"/>
  <c r="G147" i="48"/>
  <c r="F147" i="48"/>
  <c r="G146" i="48"/>
  <c r="F146" i="48"/>
  <c r="G145" i="48"/>
  <c r="F145" i="48"/>
  <c r="G144" i="48"/>
  <c r="F144" i="48"/>
  <c r="I143" i="48"/>
  <c r="F142" i="48"/>
  <c r="I142" i="48" s="1"/>
  <c r="I141" i="48"/>
  <c r="G140" i="48"/>
  <c r="F140" i="48"/>
  <c r="I139" i="48"/>
  <c r="I138" i="48"/>
  <c r="I137" i="48"/>
  <c r="G136" i="48"/>
  <c r="I136" i="48" s="1"/>
  <c r="G135" i="48"/>
  <c r="I135" i="48" s="1"/>
  <c r="G134" i="48"/>
  <c r="I134" i="48" s="1"/>
  <c r="G133" i="48"/>
  <c r="I133" i="48" s="1"/>
  <c r="G132" i="48"/>
  <c r="I132" i="48" s="1"/>
  <c r="I131" i="48"/>
  <c r="I130" i="48"/>
  <c r="G52" i="48"/>
  <c r="I52" i="48" s="1"/>
  <c r="G50" i="48"/>
  <c r="I50" i="48" s="1"/>
  <c r="G48" i="48"/>
  <c r="F48" i="48"/>
  <c r="H44" i="48"/>
  <c r="F44" i="48"/>
  <c r="D44" i="48"/>
  <c r="I44" i="48" s="1"/>
  <c r="F43" i="48"/>
  <c r="D43" i="48"/>
  <c r="I43" i="48" s="1"/>
  <c r="F42" i="48"/>
  <c r="D42" i="48"/>
  <c r="I42" i="48" s="1"/>
  <c r="H40" i="48"/>
  <c r="F40" i="48"/>
  <c r="D40" i="48"/>
  <c r="I40" i="48" s="1"/>
  <c r="F39" i="48"/>
  <c r="D39" i="48"/>
  <c r="I39" i="48" s="1"/>
  <c r="F38" i="48"/>
  <c r="D38" i="48"/>
  <c r="I38" i="48" s="1"/>
  <c r="H36" i="48"/>
  <c r="F36" i="48"/>
  <c r="D36" i="48"/>
  <c r="I36" i="48" s="1"/>
  <c r="F35" i="48"/>
  <c r="D35" i="48"/>
  <c r="I35" i="48" s="1"/>
  <c r="F34" i="48"/>
  <c r="D34" i="48"/>
  <c r="I34" i="48" s="1"/>
  <c r="H32" i="48"/>
  <c r="F32" i="48"/>
  <c r="D32" i="48"/>
  <c r="I32" i="48" s="1"/>
  <c r="F31" i="48"/>
  <c r="D31" i="48"/>
  <c r="I31" i="48" s="1"/>
  <c r="F30" i="48"/>
  <c r="D30" i="48"/>
  <c r="I30" i="48" s="1"/>
  <c r="F29" i="48"/>
  <c r="I29" i="48" s="1"/>
  <c r="F28" i="48"/>
  <c r="I28" i="48" s="1"/>
  <c r="F27" i="48"/>
  <c r="I27" i="48" s="1"/>
  <c r="F26" i="48"/>
  <c r="I26" i="48" s="1"/>
  <c r="F25" i="48"/>
  <c r="I25" i="48" s="1"/>
  <c r="F24" i="48"/>
  <c r="I24" i="48" s="1"/>
  <c r="F23" i="48"/>
  <c r="I23" i="48" s="1"/>
  <c r="F22" i="48"/>
  <c r="I22" i="48" s="1"/>
  <c r="F21" i="48"/>
  <c r="I21" i="48" s="1"/>
  <c r="F19" i="48"/>
  <c r="I19" i="48" s="1"/>
  <c r="F18" i="48"/>
  <c r="I18" i="48" s="1"/>
  <c r="F17" i="48"/>
  <c r="I17" i="48" s="1"/>
  <c r="F16" i="48"/>
  <c r="I16" i="48" s="1"/>
  <c r="H12" i="48"/>
  <c r="I12" i="48" s="1"/>
  <c r="F11" i="48"/>
  <c r="I11" i="48" s="1"/>
  <c r="F10" i="48"/>
  <c r="I10" i="48" s="1"/>
  <c r="F6583" i="34"/>
  <c r="I6583" i="34" s="1"/>
  <c r="G6581" i="34"/>
  <c r="F6581" i="34"/>
  <c r="G6579" i="34"/>
  <c r="F6579" i="34"/>
  <c r="G6576" i="34"/>
  <c r="I6576" i="34" s="1"/>
  <c r="G6575" i="34"/>
  <c r="F6575" i="34" s="1"/>
  <c r="I6575" i="34" s="1"/>
  <c r="G6574" i="34"/>
  <c r="F6574" i="34"/>
  <c r="G6573" i="34"/>
  <c r="E6573" i="34"/>
  <c r="G6572" i="34"/>
  <c r="F6572" i="34" s="1"/>
  <c r="I6572" i="34" s="1"/>
  <c r="G6571" i="34"/>
  <c r="I6571" i="34" s="1"/>
  <c r="G6570" i="34"/>
  <c r="I6570" i="34" s="1"/>
  <c r="G6569" i="34"/>
  <c r="I6569" i="34" s="1"/>
  <c r="G6567" i="34"/>
  <c r="I6567" i="34" s="1"/>
  <c r="G6566" i="34"/>
  <c r="F6566" i="34" s="1"/>
  <c r="I6566" i="34" s="1"/>
  <c r="G6565" i="34"/>
  <c r="F6565" i="34" s="1"/>
  <c r="I6565" i="34" s="1"/>
  <c r="G6564" i="34"/>
  <c r="F6564" i="34" s="1"/>
  <c r="I6564" i="34" s="1"/>
  <c r="G6563" i="34"/>
  <c r="F6563" i="34" s="1"/>
  <c r="I6563" i="34" s="1"/>
  <c r="G6559" i="34"/>
  <c r="F6559" i="34" s="1"/>
  <c r="I6559" i="34" s="1"/>
  <c r="G6558" i="34"/>
  <c r="F6558" i="34" s="1"/>
  <c r="I6558" i="34" s="1"/>
  <c r="G6557" i="34"/>
  <c r="F6557" i="34" s="1"/>
  <c r="I6557" i="34" s="1"/>
  <c r="G6556" i="34"/>
  <c r="F6556" i="34" s="1"/>
  <c r="I6556" i="34" s="1"/>
  <c r="G6555" i="34"/>
  <c r="F6555" i="34" s="1"/>
  <c r="I6555" i="34" s="1"/>
  <c r="G6554" i="34"/>
  <c r="F6554" i="34" s="1"/>
  <c r="D6554" i="34"/>
  <c r="I6554" i="34" s="1"/>
  <c r="G6553" i="34"/>
  <c r="F6553" i="34" s="1"/>
  <c r="I6553" i="34" s="1"/>
  <c r="G6552" i="34"/>
  <c r="F6552" i="34" s="1"/>
  <c r="I6552" i="34" s="1"/>
  <c r="G6551" i="34"/>
  <c r="F6551" i="34" s="1"/>
  <c r="I6551" i="34" s="1"/>
  <c r="G6550" i="34"/>
  <c r="F6550" i="34" s="1"/>
  <c r="I6550" i="34" s="1"/>
  <c r="G6549" i="34"/>
  <c r="I6549" i="34" s="1"/>
  <c r="G6548" i="34"/>
  <c r="F6548" i="34" s="1"/>
  <c r="I6548" i="34" s="1"/>
  <c r="G6547" i="34"/>
  <c r="F6547" i="34" s="1"/>
  <c r="I6547" i="34" s="1"/>
  <c r="G6546" i="34"/>
  <c r="F6546" i="34" s="1"/>
  <c r="I6546" i="34" s="1"/>
  <c r="G6545" i="34"/>
  <c r="F6545" i="34" s="1"/>
  <c r="I6545" i="34" s="1"/>
  <c r="G6544" i="34"/>
  <c r="F6544" i="34"/>
  <c r="G6541" i="34"/>
  <c r="F6541" i="34" s="1"/>
  <c r="I6541" i="34" s="1"/>
  <c r="G6540" i="34"/>
  <c r="F6540" i="34" s="1"/>
  <c r="I6540" i="34" s="1"/>
  <c r="G6539" i="34"/>
  <c r="F6539" i="34" s="1"/>
  <c r="I6539" i="34" s="1"/>
  <c r="G6538" i="34"/>
  <c r="F6538" i="34" s="1"/>
  <c r="I6538" i="34" s="1"/>
  <c r="G6537" i="34"/>
  <c r="I6537" i="34" s="1"/>
  <c r="G6536" i="34"/>
  <c r="F6536" i="34" s="1"/>
  <c r="I6536" i="34" s="1"/>
  <c r="G6535" i="34"/>
  <c r="F6535" i="34" s="1"/>
  <c r="I6535" i="34" s="1"/>
  <c r="G6534" i="34"/>
  <c r="F6534" i="34" s="1"/>
  <c r="I6534" i="34" s="1"/>
  <c r="G6533" i="34"/>
  <c r="F6533" i="34" s="1"/>
  <c r="I6533" i="34" s="1"/>
  <c r="G6532" i="34"/>
  <c r="F6532" i="34" s="1"/>
  <c r="I6532" i="34" s="1"/>
  <c r="G6531" i="34"/>
  <c r="F6531" i="34" s="1"/>
  <c r="I6531" i="34" s="1"/>
  <c r="G6530" i="34"/>
  <c r="F6530" i="34" s="1"/>
  <c r="I6530" i="34" s="1"/>
  <c r="G6529" i="34"/>
  <c r="F6529" i="34" s="1"/>
  <c r="I6529" i="34" s="1"/>
  <c r="G6528" i="34"/>
  <c r="F6528" i="34" s="1"/>
  <c r="I6528" i="34" s="1"/>
  <c r="G6527" i="34"/>
  <c r="F6527" i="34" s="1"/>
  <c r="I6527" i="34" s="1"/>
  <c r="G6526" i="34"/>
  <c r="F6526" i="34" s="1"/>
  <c r="I6526" i="34" s="1"/>
  <c r="G6525" i="34"/>
  <c r="F6525" i="34" s="1"/>
  <c r="I6525" i="34" s="1"/>
  <c r="G6524" i="34"/>
  <c r="F6524" i="34" s="1"/>
  <c r="I6524" i="34" s="1"/>
  <c r="G6523" i="34"/>
  <c r="F6523" i="34" s="1"/>
  <c r="I6523" i="34" s="1"/>
  <c r="F4389" i="34"/>
  <c r="I4389" i="34" s="1"/>
  <c r="F4386" i="34"/>
  <c r="I4386" i="34" s="1"/>
  <c r="H4385" i="34"/>
  <c r="F4385" i="34"/>
  <c r="F4384" i="34"/>
  <c r="I4384" i="34" s="1"/>
  <c r="F4383" i="34"/>
  <c r="I4383" i="34" s="1"/>
  <c r="H4381" i="34"/>
  <c r="I4381" i="34" s="1"/>
  <c r="H4380" i="34"/>
  <c r="F4380" i="34"/>
  <c r="G4378" i="34"/>
  <c r="F4378" i="34"/>
  <c r="G4376" i="34"/>
  <c r="F4376" i="34"/>
  <c r="H4373" i="34"/>
  <c r="I4373" i="34" s="1"/>
  <c r="H4372" i="34"/>
  <c r="F4372" i="34"/>
  <c r="G4370" i="34"/>
  <c r="F4370" i="34"/>
  <c r="G4368" i="34"/>
  <c r="F4368" i="34"/>
  <c r="H4365" i="34"/>
  <c r="I4365" i="34" s="1"/>
  <c r="H4364" i="34"/>
  <c r="F4364" i="34"/>
  <c r="G4362" i="34"/>
  <c r="F4362" i="34"/>
  <c r="G4360" i="34"/>
  <c r="F4360" i="34"/>
  <c r="F4356" i="34"/>
  <c r="I4356" i="34" s="1"/>
  <c r="F4355" i="34"/>
  <c r="I4355" i="34" s="1"/>
  <c r="E4354" i="34"/>
  <c r="I4354" i="34" s="1"/>
  <c r="F4353" i="34"/>
  <c r="I4353" i="34" s="1"/>
  <c r="F4347" i="34"/>
  <c r="I4347" i="34" s="1"/>
  <c r="F4346" i="34"/>
  <c r="I4346" i="34" s="1"/>
  <c r="F4345" i="34"/>
  <c r="I4345" i="34" s="1"/>
  <c r="F4344" i="34"/>
  <c r="I4344" i="34" s="1"/>
  <c r="F4340" i="34"/>
  <c r="I4340" i="34" s="1"/>
  <c r="F4335" i="34"/>
  <c r="D4335" i="34"/>
  <c r="I4335" i="34" s="1"/>
  <c r="F4331" i="34"/>
  <c r="I4331" i="34" s="1"/>
  <c r="F4329" i="34"/>
  <c r="I4329" i="34" s="1"/>
  <c r="F4328" i="34"/>
  <c r="I4328" i="34" s="1"/>
  <c r="F4327" i="34"/>
  <c r="I4327" i="34" s="1"/>
  <c r="F4326" i="34"/>
  <c r="I4326" i="34" s="1"/>
  <c r="F4325" i="34"/>
  <c r="I4325" i="34" s="1"/>
  <c r="F4322" i="34"/>
  <c r="I4322" i="34" s="1"/>
  <c r="F4321" i="34"/>
  <c r="I4321" i="34" s="1"/>
  <c r="F4320" i="34"/>
  <c r="I4320" i="34" s="1"/>
  <c r="F4319" i="34"/>
  <c r="I4319" i="34" s="1"/>
  <c r="F4316" i="34"/>
  <c r="I4316" i="34" s="1"/>
  <c r="F4315" i="34"/>
  <c r="I4315" i="34" s="1"/>
  <c r="F4314" i="34"/>
  <c r="I4314" i="34" s="1"/>
  <c r="F4313" i="34"/>
  <c r="I4313" i="34" s="1"/>
  <c r="F4312" i="34"/>
  <c r="I4312" i="34" s="1"/>
  <c r="F4311" i="34"/>
  <c r="I4311" i="34" s="1"/>
  <c r="F4310" i="34"/>
  <c r="I4310" i="34" s="1"/>
  <c r="F4309" i="34"/>
  <c r="I4309" i="34" s="1"/>
  <c r="F4308" i="34"/>
  <c r="I4308" i="34" s="1"/>
  <c r="F4307" i="34"/>
  <c r="I4307" i="34" s="1"/>
  <c r="F4306" i="34"/>
  <c r="I4306" i="34" s="1"/>
  <c r="F4305" i="34"/>
  <c r="I4305" i="34" s="1"/>
  <c r="F4304" i="34"/>
  <c r="I4304" i="34" s="1"/>
  <c r="H3090" i="34"/>
  <c r="F3090" i="34"/>
  <c r="H3089" i="34"/>
  <c r="F3089" i="34"/>
  <c r="H3086" i="34"/>
  <c r="F3086" i="34"/>
  <c r="H3085" i="34"/>
  <c r="I3085" i="34" s="1"/>
  <c r="H3081" i="34"/>
  <c r="F3081" i="34"/>
  <c r="H3080" i="34"/>
  <c r="I3080" i="34" s="1"/>
  <c r="H3078" i="34"/>
  <c r="F3078" i="34"/>
  <c r="H3077" i="34"/>
  <c r="F3077" i="34"/>
  <c r="H3072" i="34"/>
  <c r="I3072" i="34" s="1"/>
  <c r="E3059" i="34"/>
  <c r="I3059" i="34" s="1"/>
  <c r="E3058" i="34"/>
  <c r="I3058" i="34" s="1"/>
  <c r="E3057" i="34"/>
  <c r="I3057" i="34" s="1"/>
  <c r="F3055" i="34"/>
  <c r="I3055" i="34" s="1"/>
  <c r="F3054" i="34"/>
  <c r="I3054" i="34" s="1"/>
  <c r="F3053" i="34"/>
  <c r="I3053" i="34" s="1"/>
  <c r="H3039" i="34"/>
  <c r="I3039" i="34" s="1"/>
  <c r="H3035" i="34"/>
  <c r="F3035" i="34"/>
  <c r="F3034" i="34"/>
  <c r="I3034" i="34" s="1"/>
  <c r="F3033" i="34"/>
  <c r="I3033" i="34" s="1"/>
  <c r="H3031" i="34"/>
  <c r="F3031" i="34"/>
  <c r="F3030" i="34"/>
  <c r="I3030" i="34" s="1"/>
  <c r="F3029" i="34"/>
  <c r="I3029" i="34" s="1"/>
  <c r="H3027" i="34"/>
  <c r="F3027" i="34"/>
  <c r="F3026" i="34"/>
  <c r="I3026" i="34" s="1"/>
  <c r="F3025" i="34"/>
  <c r="I3025" i="34" s="1"/>
  <c r="H3023" i="34"/>
  <c r="F3023" i="34"/>
  <c r="F3022" i="34"/>
  <c r="I3022" i="34" s="1"/>
  <c r="F3021" i="34"/>
  <c r="I3021" i="34" s="1"/>
  <c r="H3018" i="34"/>
  <c r="I3018" i="34" s="1"/>
  <c r="H3017" i="34"/>
  <c r="I3017" i="34" s="1"/>
  <c r="H3016" i="34"/>
  <c r="F3016" i="34"/>
  <c r="F3015" i="34"/>
  <c r="I3015" i="34" s="1"/>
  <c r="F3014" i="34"/>
  <c r="I3014" i="34" s="1"/>
  <c r="H3012" i="34"/>
  <c r="I3012" i="34" s="1"/>
  <c r="H3008" i="34"/>
  <c r="I3008" i="34" s="1"/>
  <c r="H3004" i="34"/>
  <c r="I3004" i="34" s="1"/>
  <c r="H3000" i="34"/>
  <c r="I3000" i="34" s="1"/>
  <c r="H2996" i="34"/>
  <c r="F2996" i="34"/>
  <c r="D2996" i="34"/>
  <c r="I2996" i="34" s="1"/>
  <c r="F2995" i="34"/>
  <c r="D2995" i="34"/>
  <c r="I2995" i="34" s="1"/>
  <c r="F2994" i="34"/>
  <c r="D2994" i="34"/>
  <c r="I2994" i="34" s="1"/>
  <c r="H2992" i="34"/>
  <c r="I2992" i="34" s="1"/>
  <c r="H2988" i="34"/>
  <c r="I2988" i="34" s="1"/>
  <c r="H2984" i="34"/>
  <c r="I2984" i="34" s="1"/>
  <c r="H2980" i="34"/>
  <c r="F2980" i="34"/>
  <c r="F2979" i="34"/>
  <c r="I2979" i="34" s="1"/>
  <c r="F2978" i="34"/>
  <c r="I2978" i="34" s="1"/>
  <c r="H2977" i="34"/>
  <c r="I2977" i="34" s="1"/>
  <c r="H2973" i="34"/>
  <c r="F2973" i="34"/>
  <c r="F2972" i="34"/>
  <c r="I2972" i="34" s="1"/>
  <c r="F2971" i="34"/>
  <c r="I2971" i="34" s="1"/>
  <c r="H2969" i="34"/>
  <c r="F2969" i="34"/>
  <c r="F2968" i="34"/>
  <c r="I2968" i="34" s="1"/>
  <c r="F2967" i="34"/>
  <c r="I2967" i="34" s="1"/>
  <c r="H2965" i="34"/>
  <c r="F2965" i="34"/>
  <c r="F2964" i="34"/>
  <c r="I2964" i="34" s="1"/>
  <c r="F2963" i="34"/>
  <c r="I2963" i="34" s="1"/>
  <c r="H2961" i="34"/>
  <c r="F2961" i="34"/>
  <c r="F2960" i="34"/>
  <c r="I2960" i="34" s="1"/>
  <c r="F2959" i="34"/>
  <c r="I2959" i="34" s="1"/>
  <c r="H2957" i="34"/>
  <c r="F2957" i="34"/>
  <c r="F2956" i="34"/>
  <c r="I2956" i="34" s="1"/>
  <c r="F2955" i="34"/>
  <c r="I2955" i="34" s="1"/>
  <c r="H2952" i="34"/>
  <c r="F2952" i="34"/>
  <c r="F2951" i="34"/>
  <c r="I2951" i="34" s="1"/>
  <c r="F2950" i="34"/>
  <c r="I2950" i="34" s="1"/>
  <c r="H2948" i="34"/>
  <c r="F2948" i="34"/>
  <c r="F2947" i="34"/>
  <c r="I2947" i="34" s="1"/>
  <c r="F2946" i="34"/>
  <c r="I2946" i="34" s="1"/>
  <c r="H2944" i="34"/>
  <c r="F2944" i="34"/>
  <c r="F2943" i="34"/>
  <c r="I2943" i="34" s="1"/>
  <c r="F2942" i="34"/>
  <c r="I2942" i="34" s="1"/>
  <c r="H2940" i="34"/>
  <c r="F2940" i="34"/>
  <c r="F2939" i="34"/>
  <c r="I2939" i="34" s="1"/>
  <c r="F2938" i="34"/>
  <c r="I2938" i="34" s="1"/>
  <c r="H2936" i="34"/>
  <c r="I2936" i="34" s="1"/>
  <c r="H2933" i="34"/>
  <c r="F2933" i="34"/>
  <c r="I2933" i="34" s="1"/>
  <c r="F2932" i="34"/>
  <c r="I2932" i="34" s="1"/>
  <c r="F2931" i="34"/>
  <c r="I2931" i="34" s="1"/>
  <c r="H2929" i="34"/>
  <c r="F2929" i="34"/>
  <c r="I2929" i="34" s="1"/>
  <c r="F2928" i="34"/>
  <c r="I2928" i="34" s="1"/>
  <c r="F2927" i="34"/>
  <c r="I2927" i="34" s="1"/>
  <c r="H2926" i="34"/>
  <c r="F2926" i="34"/>
  <c r="I2926" i="34" s="1"/>
  <c r="F2925" i="34"/>
  <c r="I2925" i="34" s="1"/>
  <c r="F2924" i="34"/>
  <c r="I2924" i="34" s="1"/>
  <c r="H2922" i="34"/>
  <c r="F2922" i="34"/>
  <c r="F2921" i="34"/>
  <c r="I2921" i="34" s="1"/>
  <c r="F2920" i="34"/>
  <c r="I2920" i="34" s="1"/>
  <c r="H2918" i="34"/>
  <c r="F2918" i="34"/>
  <c r="F2917" i="34"/>
  <c r="I2917" i="34" s="1"/>
  <c r="F2916" i="34"/>
  <c r="I2916" i="34" s="1"/>
  <c r="H2915" i="34"/>
  <c r="F2915" i="34"/>
  <c r="F2914" i="34"/>
  <c r="I2914" i="34" s="1"/>
  <c r="F2913" i="34"/>
  <c r="I2913" i="34" s="1"/>
  <c r="H2911" i="34"/>
  <c r="F2911" i="34"/>
  <c r="F2910" i="34"/>
  <c r="I2910" i="34" s="1"/>
  <c r="F2909" i="34"/>
  <c r="I2909" i="34" s="1"/>
  <c r="H2907" i="34"/>
  <c r="F2907" i="34"/>
  <c r="F2906" i="34"/>
  <c r="I2906" i="34" s="1"/>
  <c r="F2905" i="34"/>
  <c r="I2905" i="34" s="1"/>
  <c r="H2904" i="34"/>
  <c r="F2904" i="34"/>
  <c r="F2903" i="34"/>
  <c r="I2903" i="34" s="1"/>
  <c r="F2902" i="34"/>
  <c r="I2902" i="34" s="1"/>
  <c r="H2900" i="34"/>
  <c r="F2900" i="34"/>
  <c r="F2899" i="34"/>
  <c r="I2899" i="34" s="1"/>
  <c r="F2898" i="34"/>
  <c r="I2898" i="34" s="1"/>
  <c r="H2896" i="34"/>
  <c r="F2896" i="34"/>
  <c r="F2895" i="34"/>
  <c r="I2895" i="34" s="1"/>
  <c r="F2894" i="34"/>
  <c r="I2894" i="34" s="1"/>
  <c r="H2893" i="34"/>
  <c r="F2893" i="34"/>
  <c r="F2892" i="34"/>
  <c r="I2892" i="34" s="1"/>
  <c r="F2891" i="34"/>
  <c r="I2891" i="34" s="1"/>
  <c r="H2889" i="34"/>
  <c r="F2889" i="34"/>
  <c r="F2888" i="34"/>
  <c r="I2888" i="34" s="1"/>
  <c r="F2887" i="34"/>
  <c r="I2887" i="34" s="1"/>
  <c r="H2885" i="34"/>
  <c r="F2885" i="34"/>
  <c r="F2884" i="34"/>
  <c r="I2884" i="34" s="1"/>
  <c r="F2883" i="34"/>
  <c r="I2883" i="34" s="1"/>
  <c r="G861" i="34"/>
  <c r="F861" i="34"/>
  <c r="F823" i="34"/>
  <c r="I823" i="34" s="1"/>
  <c r="G821" i="34"/>
  <c r="F821" i="34"/>
  <c r="G820" i="34"/>
  <c r="F820" i="34"/>
  <c r="G818" i="34"/>
  <c r="F818" i="34"/>
  <c r="D818" i="34"/>
  <c r="I818" i="34" s="1"/>
  <c r="G817" i="34"/>
  <c r="F817" i="34"/>
  <c r="D817" i="34"/>
  <c r="I817" i="34" s="1"/>
  <c r="G814" i="34"/>
  <c r="I814" i="34" s="1"/>
  <c r="G813" i="34"/>
  <c r="F813" i="34" s="1"/>
  <c r="I813" i="34" s="1"/>
  <c r="G812" i="34"/>
  <c r="F812" i="34"/>
  <c r="G811" i="34"/>
  <c r="E811" i="34"/>
  <c r="G810" i="34"/>
  <c r="F810" i="34" s="1"/>
  <c r="I810" i="34" s="1"/>
  <c r="G809" i="34"/>
  <c r="I809" i="34" s="1"/>
  <c r="G808" i="34"/>
  <c r="I808" i="34" s="1"/>
  <c r="G807" i="34"/>
  <c r="I807" i="34" s="1"/>
  <c r="G805" i="34"/>
  <c r="I805" i="34" s="1"/>
  <c r="G804" i="34"/>
  <c r="F804" i="34" s="1"/>
  <c r="I804" i="34" s="1"/>
  <c r="G803" i="34"/>
  <c r="F803" i="34" s="1"/>
  <c r="I803" i="34" s="1"/>
  <c r="G802" i="34"/>
  <c r="F802" i="34" s="1"/>
  <c r="I802" i="34" s="1"/>
  <c r="G801" i="34"/>
  <c r="F801" i="34" s="1"/>
  <c r="I801" i="34" s="1"/>
  <c r="G797" i="34"/>
  <c r="F797" i="34" s="1"/>
  <c r="I797" i="34" s="1"/>
  <c r="G796" i="34"/>
  <c r="F796" i="34" s="1"/>
  <c r="I796" i="34" s="1"/>
  <c r="G795" i="34"/>
  <c r="F795" i="34" s="1"/>
  <c r="I795" i="34" s="1"/>
  <c r="G794" i="34"/>
  <c r="F794" i="34" s="1"/>
  <c r="I794" i="34" s="1"/>
  <c r="G793" i="34"/>
  <c r="F793" i="34" s="1"/>
  <c r="I793" i="34" s="1"/>
  <c r="G792" i="34"/>
  <c r="F792" i="34" s="1"/>
  <c r="D792" i="34"/>
  <c r="I792" i="34" s="1"/>
  <c r="G791" i="34"/>
  <c r="F791" i="34" s="1"/>
  <c r="I791" i="34" s="1"/>
  <c r="G790" i="34"/>
  <c r="F790" i="34" s="1"/>
  <c r="I790" i="34" s="1"/>
  <c r="G789" i="34"/>
  <c r="F789" i="34" s="1"/>
  <c r="I789" i="34" s="1"/>
  <c r="G788" i="34"/>
  <c r="F788" i="34" s="1"/>
  <c r="I788" i="34" s="1"/>
  <c r="G787" i="34"/>
  <c r="I787" i="34" s="1"/>
  <c r="G786" i="34"/>
  <c r="F786" i="34" s="1"/>
  <c r="I786" i="34" s="1"/>
  <c r="G785" i="34"/>
  <c r="F785" i="34" s="1"/>
  <c r="I785" i="34" s="1"/>
  <c r="G784" i="34"/>
  <c r="F784" i="34" s="1"/>
  <c r="I784" i="34" s="1"/>
  <c r="G783" i="34"/>
  <c r="F783" i="34" s="1"/>
  <c r="I783" i="34" s="1"/>
  <c r="G782" i="34"/>
  <c r="F782" i="34"/>
  <c r="G779" i="34"/>
  <c r="F779" i="34" s="1"/>
  <c r="I779" i="34" s="1"/>
  <c r="G778" i="34"/>
  <c r="F778" i="34" s="1"/>
  <c r="I778" i="34" s="1"/>
  <c r="G777" i="34"/>
  <c r="F777" i="34" s="1"/>
  <c r="I777" i="34" s="1"/>
  <c r="G776" i="34"/>
  <c r="F776" i="34" s="1"/>
  <c r="I776" i="34" s="1"/>
  <c r="G775" i="34"/>
  <c r="I775" i="34" s="1"/>
  <c r="G774" i="34"/>
  <c r="F774" i="34" s="1"/>
  <c r="I774" i="34" s="1"/>
  <c r="G773" i="34"/>
  <c r="F773" i="34" s="1"/>
  <c r="I773" i="34" s="1"/>
  <c r="G772" i="34"/>
  <c r="F772" i="34" s="1"/>
  <c r="I772" i="34" s="1"/>
  <c r="G771" i="34"/>
  <c r="F771" i="34" s="1"/>
  <c r="I771" i="34" s="1"/>
  <c r="G770" i="34"/>
  <c r="F770" i="34" s="1"/>
  <c r="I770" i="34" s="1"/>
  <c r="G769" i="34"/>
  <c r="F769" i="34" s="1"/>
  <c r="I769" i="34" s="1"/>
  <c r="G768" i="34"/>
  <c r="F768" i="34" s="1"/>
  <c r="I768" i="34" s="1"/>
  <c r="G767" i="34"/>
  <c r="F767" i="34" s="1"/>
  <c r="I767" i="34" s="1"/>
  <c r="G766" i="34"/>
  <c r="F766" i="34" s="1"/>
  <c r="I766" i="34" s="1"/>
  <c r="G765" i="34"/>
  <c r="F765" i="34" s="1"/>
  <c r="I765" i="34" s="1"/>
  <c r="G764" i="34"/>
  <c r="F764" i="34" s="1"/>
  <c r="I764" i="34" s="1"/>
  <c r="G763" i="34"/>
  <c r="F763" i="34" s="1"/>
  <c r="I763" i="34" s="1"/>
  <c r="G762" i="34"/>
  <c r="F762" i="34" s="1"/>
  <c r="I762" i="34" s="1"/>
  <c r="G761" i="34"/>
  <c r="F761" i="34" s="1"/>
  <c r="I761" i="34" s="1"/>
  <c r="I977" i="48" l="1"/>
  <c r="I979" i="48"/>
  <c r="I982" i="48"/>
  <c r="I1008" i="48"/>
  <c r="I1012" i="48"/>
  <c r="I1125" i="48"/>
  <c r="I1180" i="48"/>
  <c r="I987" i="48"/>
  <c r="I994" i="48"/>
  <c r="I998" i="48"/>
  <c r="I307" i="48"/>
  <c r="I311" i="48"/>
  <c r="I315" i="48"/>
  <c r="I319" i="48"/>
  <c r="I323" i="48"/>
  <c r="I327" i="48"/>
  <c r="I331" i="48"/>
  <c r="I335" i="48"/>
  <c r="I339" i="48"/>
  <c r="I986" i="48"/>
  <c r="I990" i="48"/>
  <c r="I993" i="48"/>
  <c r="I997" i="48"/>
  <c r="I1183" i="48"/>
  <c r="I48" i="48"/>
  <c r="I279" i="48"/>
  <c r="I989" i="48"/>
  <c r="I992" i="48"/>
  <c r="I996" i="48"/>
  <c r="I984" i="48"/>
  <c r="I988" i="48"/>
  <c r="I991" i="48"/>
  <c r="I995" i="48"/>
  <c r="I999" i="48"/>
  <c r="I1127" i="48"/>
  <c r="J1263" i="48" s="1"/>
  <c r="J1264" i="48"/>
  <c r="I782" i="34"/>
  <c r="I861" i="34"/>
  <c r="I2885" i="34"/>
  <c r="I2889" i="34"/>
  <c r="I2893" i="34"/>
  <c r="I2896" i="34"/>
  <c r="I2900" i="34"/>
  <c r="I2904" i="34"/>
  <c r="I2907" i="34"/>
  <c r="I2911" i="34"/>
  <c r="I2915" i="34"/>
  <c r="I2918" i="34"/>
  <c r="I2922" i="34"/>
  <c r="I2940" i="34"/>
  <c r="I2944" i="34"/>
  <c r="I2948" i="34"/>
  <c r="I2952" i="34"/>
  <c r="I4370" i="34"/>
  <c r="I6573" i="34"/>
  <c r="I6581" i="34"/>
  <c r="I2980" i="34"/>
  <c r="I3023" i="34"/>
  <c r="I3027" i="34"/>
  <c r="I3031" i="34"/>
  <c r="I3035" i="34"/>
  <c r="I3078" i="34"/>
  <c r="I3089" i="34"/>
  <c r="I4368" i="34"/>
  <c r="I4372" i="34"/>
  <c r="I4385" i="34"/>
  <c r="I6574" i="34"/>
  <c r="I6579" i="34"/>
  <c r="I3016" i="34"/>
  <c r="I3077" i="34"/>
  <c r="I3086" i="34"/>
  <c r="I3090" i="34"/>
  <c r="I4362" i="34"/>
  <c r="I4376" i="34"/>
  <c r="I4380" i="34"/>
  <c r="I6544" i="34"/>
  <c r="I811" i="34"/>
  <c r="I820" i="34"/>
  <c r="I4360" i="34"/>
  <c r="I4364" i="34"/>
  <c r="I4378" i="34"/>
  <c r="I812" i="34"/>
  <c r="I821" i="34"/>
  <c r="I2957" i="34"/>
  <c r="I2961" i="34"/>
  <c r="I2965" i="34"/>
  <c r="I2969" i="34"/>
  <c r="I2973" i="34"/>
  <c r="I3081" i="34"/>
  <c r="G44" i="17"/>
  <c r="I8958" i="34"/>
  <c r="J8959" i="34" s="1"/>
  <c r="I144" i="48"/>
  <c r="I145" i="48"/>
  <c r="I146" i="48"/>
  <c r="I147" i="48"/>
  <c r="I976" i="48"/>
  <c r="I149" i="48"/>
  <c r="I150" i="48"/>
  <c r="I151" i="48"/>
  <c r="I152" i="48"/>
  <c r="I153" i="48"/>
  <c r="I154" i="48"/>
  <c r="I155" i="48"/>
  <c r="I156" i="48"/>
  <c r="I157" i="48"/>
  <c r="I140" i="48"/>
  <c r="J8960" i="34" l="1"/>
  <c r="H72" i="52" s="1"/>
  <c r="H31" i="53"/>
  <c r="J31" i="53" s="1"/>
  <c r="I67" i="17"/>
  <c r="E37" i="47"/>
  <c r="I37" i="47" s="1"/>
  <c r="H76" i="17" l="1"/>
  <c r="K76" i="17" s="1"/>
  <c r="J76" i="17" s="1"/>
  <c r="G31" i="53"/>
  <c r="H32" i="53"/>
  <c r="G32" i="53" s="1"/>
  <c r="J72" i="52"/>
  <c r="G72" i="52"/>
  <c r="I1480" i="48"/>
  <c r="I1341" i="48"/>
  <c r="I1087" i="48"/>
  <c r="G76" i="17" l="1"/>
  <c r="J32" i="53"/>
  <c r="I1885" i="48"/>
  <c r="I1884" i="48"/>
  <c r="J1882" i="48"/>
  <c r="I128" i="48"/>
  <c r="I127" i="48"/>
  <c r="J125" i="48"/>
  <c r="J127" i="48" l="1"/>
  <c r="J128" i="48" s="1"/>
  <c r="H9" i="47" l="1"/>
  <c r="H9" i="53"/>
  <c r="I69" i="17"/>
  <c r="I7292" i="34"/>
  <c r="I7018" i="34"/>
  <c r="J7292" i="34" s="1"/>
  <c r="I7017" i="34"/>
  <c r="J7017" i="34" s="1"/>
  <c r="G9" i="53" l="1"/>
  <c r="J9" i="53"/>
  <c r="J7293" i="34"/>
  <c r="I534" i="48"/>
  <c r="I1883" i="48" s="1"/>
  <c r="J1884" i="48" s="1"/>
  <c r="I257" i="48"/>
  <c r="H69" i="17" l="1"/>
  <c r="G69" i="17" s="1"/>
  <c r="H56" i="52"/>
  <c r="J1885" i="48"/>
  <c r="H44" i="53" s="1"/>
  <c r="K69" i="17" l="1"/>
  <c r="J69" i="17" s="1"/>
  <c r="J44" i="53"/>
  <c r="G44" i="53"/>
  <c r="J56" i="52"/>
  <c r="G56" i="52"/>
  <c r="H55" i="47"/>
  <c r="K66" i="17"/>
  <c r="I8390" i="34"/>
  <c r="I8380" i="34"/>
  <c r="I8379" i="34"/>
  <c r="J8379" i="34" s="1"/>
  <c r="I8661" i="34"/>
  <c r="F8663" i="34" s="1"/>
  <c r="I8663" i="34" s="1"/>
  <c r="I8664" i="34"/>
  <c r="I8660" i="34"/>
  <c r="F3587" i="34"/>
  <c r="F3588" i="34"/>
  <c r="I3588" i="34" s="1"/>
  <c r="F3589" i="34"/>
  <c r="I3589" i="34" s="1"/>
  <c r="F3590" i="34"/>
  <c r="I3590" i="34" s="1"/>
  <c r="F3591" i="34"/>
  <c r="I3591" i="34" s="1"/>
  <c r="F3592" i="34"/>
  <c r="I3592" i="34" s="1"/>
  <c r="F3593" i="34"/>
  <c r="I3593" i="34" s="1"/>
  <c r="F3594" i="34"/>
  <c r="I3594" i="34" s="1"/>
  <c r="B3595" i="34"/>
  <c r="F3596" i="34"/>
  <c r="I3596" i="34" s="1"/>
  <c r="F3597" i="34"/>
  <c r="I3597" i="34" s="1"/>
  <c r="F3598" i="34"/>
  <c r="I3598" i="34" s="1"/>
  <c r="F3599" i="34"/>
  <c r="I3599" i="34" s="1"/>
  <c r="F3600" i="34"/>
  <c r="I3600" i="34" s="1"/>
  <c r="F3601" i="34"/>
  <c r="I3601" i="34" s="1"/>
  <c r="F3602" i="34"/>
  <c r="I3602" i="34" s="1"/>
  <c r="F3603" i="34"/>
  <c r="I3603" i="34" s="1"/>
  <c r="F3604" i="34"/>
  <c r="I3604" i="34" s="1"/>
  <c r="F3606" i="34"/>
  <c r="I3606" i="34" s="1"/>
  <c r="F3607" i="34"/>
  <c r="I3607" i="34" s="1"/>
  <c r="F3608" i="34"/>
  <c r="I3608" i="34" s="1"/>
  <c r="F3609" i="34"/>
  <c r="I3609" i="34" s="1"/>
  <c r="F3610" i="34"/>
  <c r="I3610" i="34" s="1"/>
  <c r="F3611" i="34"/>
  <c r="I3611" i="34" s="1"/>
  <c r="F3612" i="34"/>
  <c r="I3612" i="34" s="1"/>
  <c r="F3613" i="34"/>
  <c r="I3613" i="34" s="1"/>
  <c r="F3614" i="34"/>
  <c r="I3614" i="34" s="1"/>
  <c r="F3615" i="34"/>
  <c r="I3615" i="34" s="1"/>
  <c r="F3616" i="34"/>
  <c r="I3616" i="34" s="1"/>
  <c r="F3617" i="34"/>
  <c r="I3617" i="34" s="1"/>
  <c r="F3618" i="34"/>
  <c r="I3618" i="34" s="1"/>
  <c r="F3619" i="34"/>
  <c r="I3619" i="34" s="1"/>
  <c r="F3621" i="34"/>
  <c r="I3621" i="34" s="1"/>
  <c r="F3623" i="34"/>
  <c r="I3623" i="34" s="1"/>
  <c r="F3624" i="34"/>
  <c r="I3624" i="34" s="1"/>
  <c r="F3626" i="34"/>
  <c r="I3626" i="34" s="1"/>
  <c r="F3627" i="34"/>
  <c r="I3627" i="34" s="1"/>
  <c r="F3628" i="34"/>
  <c r="I3628" i="34" s="1"/>
  <c r="F3629" i="34"/>
  <c r="I3629" i="34" s="1"/>
  <c r="F3630" i="34"/>
  <c r="I3630" i="34" s="1"/>
  <c r="F3631" i="34"/>
  <c r="I3631" i="34" s="1"/>
  <c r="F3632" i="34"/>
  <c r="I3632" i="34" s="1"/>
  <c r="F3633" i="34"/>
  <c r="I3633" i="34" s="1"/>
  <c r="F3635" i="34"/>
  <c r="I3635" i="34" s="1"/>
  <c r="F3636" i="34"/>
  <c r="I3636" i="34" s="1"/>
  <c r="F3637" i="34"/>
  <c r="I3637" i="34" s="1"/>
  <c r="F3638" i="34"/>
  <c r="I3638" i="34" s="1"/>
  <c r="F3639" i="34"/>
  <c r="I3639" i="34" s="1"/>
  <c r="F3640" i="34"/>
  <c r="I3640" i="34" s="1"/>
  <c r="F3641" i="34"/>
  <c r="I3641" i="34" s="1"/>
  <c r="F3642" i="34"/>
  <c r="I3642" i="34" s="1"/>
  <c r="F3643" i="34"/>
  <c r="I3643" i="34" s="1"/>
  <c r="F3645" i="34"/>
  <c r="I3645" i="34" s="1"/>
  <c r="F3646" i="34"/>
  <c r="I3646" i="34" s="1"/>
  <c r="F3647" i="34"/>
  <c r="I3647" i="34" s="1"/>
  <c r="F3648" i="34"/>
  <c r="I3648" i="34" s="1"/>
  <c r="F3649" i="34"/>
  <c r="I3649" i="34" s="1"/>
  <c r="F3650" i="34"/>
  <c r="I3650" i="34" s="1"/>
  <c r="F3651" i="34"/>
  <c r="I3651" i="34" s="1"/>
  <c r="F3652" i="34"/>
  <c r="I3652" i="34" s="1"/>
  <c r="D3653" i="34"/>
  <c r="I3653" i="34" s="1"/>
  <c r="F3653" i="34"/>
  <c r="F3654" i="34"/>
  <c r="I3654" i="34" s="1"/>
  <c r="F3657" i="34"/>
  <c r="I3657" i="34" s="1"/>
  <c r="F3658" i="34"/>
  <c r="I3658" i="34" s="1"/>
  <c r="F3660" i="34"/>
  <c r="I3660" i="34" s="1"/>
  <c r="F3661" i="34"/>
  <c r="I3661" i="34" s="1"/>
  <c r="F3662" i="34"/>
  <c r="I3662" i="34" s="1"/>
  <c r="F3663" i="34"/>
  <c r="I3663" i="34" s="1"/>
  <c r="F3664" i="34"/>
  <c r="I3664" i="34" s="1"/>
  <c r="F3665" i="34"/>
  <c r="I3665" i="34" s="1"/>
  <c r="F3666" i="34"/>
  <c r="I3666" i="34" s="1"/>
  <c r="F3667" i="34"/>
  <c r="I3667" i="34" s="1"/>
  <c r="F3668" i="34"/>
  <c r="I3668" i="34" s="1"/>
  <c r="F3669" i="34"/>
  <c r="I3669" i="34" s="1"/>
  <c r="F3671" i="34"/>
  <c r="I3671" i="34" s="1"/>
  <c r="F3672" i="34"/>
  <c r="I3672" i="34" s="1"/>
  <c r="F3673" i="34"/>
  <c r="I3673" i="34" s="1"/>
  <c r="F3674" i="34"/>
  <c r="I3674" i="34" s="1"/>
  <c r="F3675" i="34"/>
  <c r="I3675" i="34" s="1"/>
  <c r="F3676" i="34"/>
  <c r="I3676" i="34" s="1"/>
  <c r="F3677" i="34"/>
  <c r="I3677" i="34" s="1"/>
  <c r="F3678" i="34"/>
  <c r="I3678" i="34" s="1"/>
  <c r="F3679" i="34"/>
  <c r="I3679" i="34" s="1"/>
  <c r="F3680" i="34"/>
  <c r="I3680" i="34" s="1"/>
  <c r="F3681" i="34"/>
  <c r="I3681" i="34" s="1"/>
  <c r="F3682" i="34"/>
  <c r="I3682" i="34" s="1"/>
  <c r="F3683" i="34"/>
  <c r="I3683" i="34" s="1"/>
  <c r="F3684" i="34"/>
  <c r="I3684" i="34" s="1"/>
  <c r="F3686" i="34"/>
  <c r="I3686" i="34" s="1"/>
  <c r="F3687" i="34"/>
  <c r="I3687" i="34" s="1"/>
  <c r="F3689" i="34"/>
  <c r="I3689" i="34" s="1"/>
  <c r="F3690" i="34"/>
  <c r="I3690" i="34" s="1"/>
  <c r="F3692" i="34"/>
  <c r="I3692" i="34" s="1"/>
  <c r="F3693" i="34"/>
  <c r="I3693" i="34" s="1"/>
  <c r="F3694" i="34"/>
  <c r="I3694" i="34" s="1"/>
  <c r="F3695" i="34"/>
  <c r="I3695" i="34" s="1"/>
  <c r="F3696" i="34"/>
  <c r="I3696" i="34" s="1"/>
  <c r="F3697" i="34"/>
  <c r="I3697" i="34" s="1"/>
  <c r="F3700" i="34"/>
  <c r="I3700" i="34" s="1"/>
  <c r="F3702" i="34"/>
  <c r="I3702" i="34" s="1"/>
  <c r="F3703" i="34"/>
  <c r="I3703" i="34" s="1"/>
  <c r="F3704" i="34"/>
  <c r="I3704" i="34" s="1"/>
  <c r="F3706" i="34"/>
  <c r="I3706" i="34" s="1"/>
  <c r="F3707" i="34"/>
  <c r="I3707" i="34" s="1"/>
  <c r="F3708" i="34"/>
  <c r="I3708" i="34" s="1"/>
  <c r="F3709" i="34"/>
  <c r="I3709" i="34" s="1"/>
  <c r="F3710" i="34"/>
  <c r="I3710" i="34" s="1"/>
  <c r="F3711" i="34"/>
  <c r="I3711" i="34" s="1"/>
  <c r="F3712" i="34"/>
  <c r="I3712" i="34" s="1"/>
  <c r="F3713" i="34"/>
  <c r="I3713" i="34" s="1"/>
  <c r="F3714" i="34"/>
  <c r="I3714" i="34" s="1"/>
  <c r="F3715" i="34"/>
  <c r="I3715" i="34" s="1"/>
  <c r="F3719" i="34"/>
  <c r="I3719" i="34" s="1"/>
  <c r="F3720" i="34"/>
  <c r="I3720" i="34" s="1"/>
  <c r="F3721" i="34"/>
  <c r="I3721" i="34" s="1"/>
  <c r="F3722" i="34"/>
  <c r="I3722" i="34" s="1"/>
  <c r="F3723" i="34"/>
  <c r="I3723" i="34" s="1"/>
  <c r="F3724" i="34"/>
  <c r="I3724" i="34" s="1"/>
  <c r="J8390" i="34" l="1"/>
  <c r="J8664" i="34"/>
  <c r="K55" i="47"/>
  <c r="J55" i="47" s="1"/>
  <c r="G55" i="47"/>
  <c r="J66" i="17"/>
  <c r="J8660" i="34"/>
  <c r="J8665" i="34" l="1"/>
  <c r="H77" i="52" s="1"/>
  <c r="H67" i="17" l="1"/>
  <c r="K67" i="17" s="1"/>
  <c r="J67" i="17" s="1"/>
  <c r="H65" i="17"/>
  <c r="G65" i="17" s="1"/>
  <c r="H69" i="52"/>
  <c r="K65" i="17" l="1"/>
  <c r="J65" i="17" s="1"/>
  <c r="G67" i="17"/>
  <c r="J69" i="52"/>
  <c r="G69" i="52"/>
  <c r="J77" i="52"/>
  <c r="G77" i="52"/>
  <c r="A3" i="47"/>
  <c r="I1546" i="48" l="1"/>
  <c r="J1546" i="48" s="1"/>
  <c r="I1479" i="48"/>
  <c r="I1476" i="48"/>
  <c r="J1476" i="48" s="1"/>
  <c r="I1340" i="48"/>
  <c r="I1261" i="48"/>
  <c r="I1088" i="48"/>
  <c r="I1085" i="48"/>
  <c r="I974" i="48"/>
  <c r="I536" i="48"/>
  <c r="I535" i="48"/>
  <c r="I533" i="48"/>
  <c r="J533" i="48" s="1"/>
  <c r="I121" i="48"/>
  <c r="I120" i="48"/>
  <c r="I259" i="48"/>
  <c r="I258" i="48"/>
  <c r="J258" i="48" s="1"/>
  <c r="K56" i="47"/>
  <c r="K36" i="47"/>
  <c r="K32" i="47"/>
  <c r="K30" i="47"/>
  <c r="K27" i="47"/>
  <c r="K26" i="47"/>
  <c r="G10" i="47"/>
  <c r="K9" i="47"/>
  <c r="K8" i="47"/>
  <c r="G8" i="47"/>
  <c r="I57" i="47" l="1"/>
  <c r="G9" i="47"/>
  <c r="J27" i="47"/>
  <c r="J56" i="47"/>
  <c r="J9" i="47"/>
  <c r="J26" i="47"/>
  <c r="J30" i="47"/>
  <c r="G32" i="47"/>
  <c r="J36" i="47"/>
  <c r="J8" i="47"/>
  <c r="J32" i="47"/>
  <c r="J535" i="48"/>
  <c r="J1260" i="48"/>
  <c r="J118" i="48"/>
  <c r="I119" i="48" s="1"/>
  <c r="J120" i="48" s="1"/>
  <c r="J1340" i="48"/>
  <c r="J1479" i="48"/>
  <c r="J254" i="48"/>
  <c r="J259" i="48" s="1"/>
  <c r="H11" i="47" l="1"/>
  <c r="H11" i="53"/>
  <c r="J1261" i="48"/>
  <c r="J1262" i="48" s="1"/>
  <c r="J1547" i="48"/>
  <c r="I58" i="47"/>
  <c r="J536" i="48"/>
  <c r="J1477" i="48"/>
  <c r="J121" i="48"/>
  <c r="J1085" i="48"/>
  <c r="H7" i="47" l="1"/>
  <c r="K7" i="47" s="1"/>
  <c r="H7" i="53"/>
  <c r="H37" i="47"/>
  <c r="G37" i="47" s="1"/>
  <c r="H42" i="53"/>
  <c r="H35" i="47"/>
  <c r="K35" i="47" s="1"/>
  <c r="J35" i="47" s="1"/>
  <c r="H37" i="53"/>
  <c r="H13" i="47"/>
  <c r="K13" i="47" s="1"/>
  <c r="J13" i="47" s="1"/>
  <c r="H13" i="53"/>
  <c r="J11" i="53"/>
  <c r="G11" i="53"/>
  <c r="H31" i="47"/>
  <c r="G31" i="47" s="1"/>
  <c r="I1086" i="48"/>
  <c r="J1087" i="48" s="1"/>
  <c r="J1088" i="48" s="1"/>
  <c r="K37" i="47"/>
  <c r="G7" i="47" l="1"/>
  <c r="G35" i="47"/>
  <c r="G13" i="47"/>
  <c r="G13" i="53"/>
  <c r="J13" i="53"/>
  <c r="G42" i="53"/>
  <c r="J42" i="53"/>
  <c r="G37" i="53"/>
  <c r="J37" i="53"/>
  <c r="K7" i="53"/>
  <c r="G7" i="53"/>
  <c r="H28" i="47"/>
  <c r="K28" i="47" s="1"/>
  <c r="J28" i="47" s="1"/>
  <c r="H27" i="53"/>
  <c r="K31" i="47"/>
  <c r="J31" i="47" s="1"/>
  <c r="G34" i="53"/>
  <c r="J7" i="47"/>
  <c r="J37" i="47"/>
  <c r="K11" i="47"/>
  <c r="G11" i="47"/>
  <c r="G28" i="47" l="1"/>
  <c r="J7" i="53"/>
  <c r="G27" i="53"/>
  <c r="J27" i="53"/>
  <c r="J34" i="53"/>
  <c r="K57" i="47"/>
  <c r="J57" i="47"/>
  <c r="J11" i="47"/>
  <c r="E14" i="45" l="1"/>
  <c r="D14" i="45" l="1"/>
  <c r="D7713" i="34"/>
  <c r="I7713" i="34" s="1"/>
  <c r="D7551" i="34"/>
  <c r="I7551" i="34" s="1"/>
  <c r="D7463" i="34"/>
  <c r="I7463" i="34" s="1"/>
  <c r="D6347" i="34"/>
  <c r="I6347" i="34" s="1"/>
  <c r="D6345" i="34"/>
  <c r="I6345" i="34" s="1"/>
  <c r="D6343" i="34"/>
  <c r="I6343" i="34" s="1"/>
  <c r="D6221" i="34"/>
  <c r="I6221" i="34" s="1"/>
  <c r="D5991" i="34"/>
  <c r="I5991" i="34" s="1"/>
  <c r="D5971" i="34"/>
  <c r="I5971" i="34" s="1"/>
  <c r="I4580" i="34"/>
  <c r="D4129" i="34"/>
  <c r="I4129" i="34" s="1"/>
  <c r="D4127" i="34"/>
  <c r="I4127" i="34" s="1"/>
  <c r="D4125" i="34"/>
  <c r="I4125" i="34" s="1"/>
  <c r="D4013" i="34"/>
  <c r="I4013" i="34" s="1"/>
  <c r="D4011" i="34"/>
  <c r="I4011" i="34" s="1"/>
  <c r="D4009" i="34"/>
  <c r="I4009" i="34" s="1"/>
  <c r="D4007" i="34"/>
  <c r="I4007" i="34" s="1"/>
  <c r="D4005" i="34"/>
  <c r="I4005" i="34" s="1"/>
  <c r="D4003" i="34"/>
  <c r="I4003" i="34" s="1"/>
  <c r="D3779" i="34"/>
  <c r="I3779" i="34" s="1"/>
  <c r="D2583" i="34"/>
  <c r="I2583" i="34" s="1"/>
  <c r="D2582" i="34"/>
  <c r="I2582" i="34" s="1"/>
  <c r="D2581" i="34"/>
  <c r="I2581" i="34" s="1"/>
  <c r="D2580" i="34"/>
  <c r="I2580" i="34" s="1"/>
  <c r="D2579" i="34"/>
  <c r="I2579" i="34" s="1"/>
  <c r="D2578" i="34"/>
  <c r="I2578" i="34" s="1"/>
  <c r="D2577" i="34"/>
  <c r="I2577" i="34" s="1"/>
  <c r="D2576" i="34"/>
  <c r="I2576" i="34" s="1"/>
  <c r="D2575" i="34"/>
  <c r="I2575" i="34" s="1"/>
  <c r="D2574" i="34"/>
  <c r="I2574" i="34" s="1"/>
  <c r="D2573" i="34"/>
  <c r="I2573" i="34" s="1"/>
  <c r="D1902" i="34"/>
  <c r="I1902" i="34" s="1"/>
  <c r="D1901" i="34"/>
  <c r="I1901" i="34" s="1"/>
  <c r="D1900" i="34"/>
  <c r="I1900" i="34" s="1"/>
  <c r="I1260" i="34"/>
  <c r="D542" i="34"/>
  <c r="I542" i="34" s="1"/>
  <c r="D540" i="34"/>
  <c r="I540" i="34" s="1"/>
  <c r="D538" i="34"/>
  <c r="I538" i="34" s="1"/>
  <c r="D324" i="34"/>
  <c r="I324" i="34" s="1"/>
  <c r="D192" i="34"/>
  <c r="I192" i="34" s="1"/>
  <c r="D166" i="34"/>
  <c r="I166" i="34" s="1"/>
  <c r="J3580" i="34" l="1"/>
  <c r="J1295" i="34"/>
  <c r="D776" i="46" l="1"/>
  <c r="L12" i="46"/>
  <c r="N12" i="46" s="1"/>
  <c r="M12" i="46"/>
  <c r="O12" i="46"/>
  <c r="P12" i="46"/>
  <c r="Q12" i="46"/>
  <c r="R12" i="46"/>
  <c r="S12" i="46"/>
  <c r="L13" i="46"/>
  <c r="N13" i="46"/>
  <c r="O13" i="46"/>
  <c r="P13" i="46"/>
  <c r="Q13" i="46"/>
  <c r="R13" i="46"/>
  <c r="S13" i="46"/>
  <c r="L14" i="46"/>
  <c r="N14" i="46" s="1"/>
  <c r="M14" i="46"/>
  <c r="O14" i="46"/>
  <c r="P14" i="46"/>
  <c r="Q14" i="46"/>
  <c r="R14" i="46"/>
  <c r="S14" i="46"/>
  <c r="L15" i="46"/>
  <c r="N15" i="46" s="1"/>
  <c r="M15" i="46"/>
  <c r="O15" i="46"/>
  <c r="P15" i="46"/>
  <c r="Q15" i="46"/>
  <c r="R15" i="46"/>
  <c r="S15" i="46"/>
  <c r="L16" i="46"/>
  <c r="N16" i="46"/>
  <c r="O16" i="46"/>
  <c r="P16" i="46"/>
  <c r="Q16" i="46"/>
  <c r="R16" i="46"/>
  <c r="S16" i="46"/>
  <c r="L17" i="46"/>
  <c r="N17" i="46" s="1"/>
  <c r="M17" i="46"/>
  <c r="O17" i="46"/>
  <c r="P17" i="46"/>
  <c r="Q17" i="46"/>
  <c r="R17" i="46"/>
  <c r="S17" i="46"/>
  <c r="L18" i="46"/>
  <c r="N18" i="46" s="1"/>
  <c r="M18" i="46"/>
  <c r="O18" i="46"/>
  <c r="P18" i="46"/>
  <c r="Q18" i="46"/>
  <c r="R18" i="46"/>
  <c r="S18" i="46"/>
  <c r="L19" i="46"/>
  <c r="N19" i="46"/>
  <c r="O19" i="46"/>
  <c r="P19" i="46"/>
  <c r="Q19" i="46"/>
  <c r="R19" i="46"/>
  <c r="S19" i="46"/>
  <c r="L20" i="46"/>
  <c r="N20" i="46" s="1"/>
  <c r="M20" i="46"/>
  <c r="O20" i="46"/>
  <c r="P20" i="46"/>
  <c r="Q20" i="46"/>
  <c r="R20" i="46"/>
  <c r="S20" i="46"/>
  <c r="L21" i="46"/>
  <c r="N21" i="46" s="1"/>
  <c r="M21" i="46"/>
  <c r="O21" i="46"/>
  <c r="P21" i="46"/>
  <c r="Q21" i="46"/>
  <c r="R21" i="46"/>
  <c r="S21" i="46"/>
  <c r="L22" i="46"/>
  <c r="N22" i="46"/>
  <c r="O22" i="46"/>
  <c r="P22" i="46"/>
  <c r="Q22" i="46"/>
  <c r="R22" i="46"/>
  <c r="S22" i="46"/>
  <c r="L23" i="46"/>
  <c r="N23" i="46" s="1"/>
  <c r="M23" i="46"/>
  <c r="O23" i="46"/>
  <c r="P23" i="46"/>
  <c r="Q23" i="46"/>
  <c r="R23" i="46"/>
  <c r="S23" i="46"/>
  <c r="L24" i="46"/>
  <c r="N24" i="46" s="1"/>
  <c r="M24" i="46"/>
  <c r="O24" i="46"/>
  <c r="P24" i="46"/>
  <c r="Q24" i="46"/>
  <c r="R24" i="46"/>
  <c r="S24" i="46"/>
  <c r="L25" i="46"/>
  <c r="N25" i="46"/>
  <c r="O25" i="46"/>
  <c r="P25" i="46"/>
  <c r="Q25" i="46"/>
  <c r="R25" i="46"/>
  <c r="S25" i="46"/>
  <c r="L26" i="46"/>
  <c r="N26" i="46" s="1"/>
  <c r="M26" i="46"/>
  <c r="O26" i="46"/>
  <c r="P26" i="46"/>
  <c r="Q26" i="46"/>
  <c r="R26" i="46"/>
  <c r="S26" i="46"/>
  <c r="L27" i="46"/>
  <c r="N27" i="46" s="1"/>
  <c r="M27" i="46"/>
  <c r="O27" i="46"/>
  <c r="P27" i="46"/>
  <c r="Q27" i="46"/>
  <c r="R27" i="46"/>
  <c r="S27" i="46"/>
  <c r="L28" i="46"/>
  <c r="N28" i="46"/>
  <c r="O28" i="46"/>
  <c r="P28" i="46"/>
  <c r="Q28" i="46"/>
  <c r="R28" i="46"/>
  <c r="S28" i="46"/>
  <c r="L29" i="46"/>
  <c r="N29" i="46" s="1"/>
  <c r="M29" i="46"/>
  <c r="O29" i="46"/>
  <c r="P29" i="46"/>
  <c r="Q29" i="46"/>
  <c r="R29" i="46"/>
  <c r="S29" i="46"/>
  <c r="L30" i="46"/>
  <c r="N30" i="46" s="1"/>
  <c r="M30" i="46"/>
  <c r="O30" i="46"/>
  <c r="P30" i="46"/>
  <c r="Q30" i="46"/>
  <c r="R30" i="46"/>
  <c r="S30" i="46"/>
  <c r="L31" i="46"/>
  <c r="N31" i="46"/>
  <c r="O31" i="46"/>
  <c r="P31" i="46"/>
  <c r="Q31" i="46"/>
  <c r="R31" i="46"/>
  <c r="S31" i="46"/>
  <c r="L32" i="46"/>
  <c r="N32" i="46" s="1"/>
  <c r="M32" i="46"/>
  <c r="O32" i="46"/>
  <c r="P32" i="46"/>
  <c r="Q32" i="46"/>
  <c r="R32" i="46"/>
  <c r="S32" i="46"/>
  <c r="L33" i="46"/>
  <c r="N33" i="46" s="1"/>
  <c r="M33" i="46"/>
  <c r="O33" i="46"/>
  <c r="P33" i="46"/>
  <c r="Q33" i="46"/>
  <c r="R33" i="46"/>
  <c r="S33" i="46"/>
  <c r="L34" i="46"/>
  <c r="N34" i="46"/>
  <c r="O34" i="46"/>
  <c r="P34" i="46"/>
  <c r="Q34" i="46"/>
  <c r="R34" i="46"/>
  <c r="S34" i="46"/>
  <c r="L35" i="46"/>
  <c r="M35" i="46"/>
  <c r="N35" i="46"/>
  <c r="O35" i="46"/>
  <c r="P35" i="46"/>
  <c r="Q35" i="46"/>
  <c r="R35" i="46"/>
  <c r="S35" i="46"/>
  <c r="L36" i="46"/>
  <c r="N36" i="46" s="1"/>
  <c r="M36" i="46"/>
  <c r="O36" i="46"/>
  <c r="P36" i="46"/>
  <c r="Q36" i="46"/>
  <c r="R36" i="46"/>
  <c r="S36" i="46"/>
  <c r="L37" i="46"/>
  <c r="N37" i="46" s="1"/>
  <c r="M37" i="46"/>
  <c r="O37" i="46"/>
  <c r="P37" i="46"/>
  <c r="Q37" i="46"/>
  <c r="R37" i="46"/>
  <c r="S37" i="46"/>
  <c r="L38" i="46"/>
  <c r="N38" i="46"/>
  <c r="O38" i="46"/>
  <c r="P38" i="46"/>
  <c r="Q38" i="46"/>
  <c r="R38" i="46"/>
  <c r="S38" i="46"/>
  <c r="L39" i="46"/>
  <c r="N39" i="46" s="1"/>
  <c r="M39" i="46"/>
  <c r="O39" i="46"/>
  <c r="P39" i="46"/>
  <c r="Q39" i="46"/>
  <c r="R39" i="46"/>
  <c r="S39" i="46"/>
  <c r="L40" i="46"/>
  <c r="N40" i="46" s="1"/>
  <c r="M40" i="46"/>
  <c r="O40" i="46"/>
  <c r="P40" i="46"/>
  <c r="Q40" i="46"/>
  <c r="R40" i="46"/>
  <c r="S40" i="46"/>
  <c r="L41" i="46"/>
  <c r="N41" i="46"/>
  <c r="O41" i="46"/>
  <c r="P41" i="46"/>
  <c r="Q41" i="46"/>
  <c r="R41" i="46"/>
  <c r="S41" i="46"/>
  <c r="L42" i="46"/>
  <c r="N42" i="46" s="1"/>
  <c r="M42" i="46"/>
  <c r="O42" i="46"/>
  <c r="P42" i="46"/>
  <c r="Q42" i="46"/>
  <c r="R42" i="46"/>
  <c r="S42" i="46"/>
  <c r="L43" i="46"/>
  <c r="N43" i="46" s="1"/>
  <c r="M43" i="46"/>
  <c r="O43" i="46"/>
  <c r="P43" i="46"/>
  <c r="Q43" i="46"/>
  <c r="R43" i="46"/>
  <c r="S43" i="46"/>
  <c r="L44" i="46"/>
  <c r="N44" i="46"/>
  <c r="O44" i="46"/>
  <c r="P44" i="46"/>
  <c r="Q44" i="46"/>
  <c r="R44" i="46"/>
  <c r="S44" i="46"/>
  <c r="L45" i="46"/>
  <c r="N45" i="46" s="1"/>
  <c r="M45" i="46"/>
  <c r="O45" i="46"/>
  <c r="P45" i="46"/>
  <c r="Q45" i="46"/>
  <c r="R45" i="46"/>
  <c r="S45" i="46"/>
  <c r="L46" i="46"/>
  <c r="N46" i="46" s="1"/>
  <c r="M46" i="46"/>
  <c r="O46" i="46"/>
  <c r="P46" i="46"/>
  <c r="Q46" i="46"/>
  <c r="R46" i="46"/>
  <c r="S46" i="46"/>
  <c r="L47" i="46"/>
  <c r="N47" i="46"/>
  <c r="O47" i="46"/>
  <c r="P47" i="46"/>
  <c r="Q47" i="46"/>
  <c r="R47" i="46"/>
  <c r="S47" i="46"/>
  <c r="L48" i="46"/>
  <c r="N48" i="46" s="1"/>
  <c r="M48" i="46"/>
  <c r="O48" i="46"/>
  <c r="P48" i="46"/>
  <c r="Q48" i="46"/>
  <c r="R48" i="46"/>
  <c r="S48" i="46"/>
  <c r="L49" i="46"/>
  <c r="N49" i="46" s="1"/>
  <c r="M49" i="46"/>
  <c r="O49" i="46"/>
  <c r="P49" i="46"/>
  <c r="Q49" i="46"/>
  <c r="R49" i="46"/>
  <c r="S49" i="46"/>
  <c r="L50" i="46"/>
  <c r="N50" i="46"/>
  <c r="O50" i="46"/>
  <c r="P50" i="46"/>
  <c r="Q50" i="46"/>
  <c r="R50" i="46"/>
  <c r="S50" i="46"/>
  <c r="L51" i="46"/>
  <c r="N51" i="46" s="1"/>
  <c r="M51" i="46"/>
  <c r="O51" i="46"/>
  <c r="P51" i="46"/>
  <c r="Q51" i="46"/>
  <c r="R51" i="46"/>
  <c r="S51" i="46"/>
  <c r="L52" i="46"/>
  <c r="N52" i="46" s="1"/>
  <c r="M52" i="46"/>
  <c r="O52" i="46"/>
  <c r="P52" i="46"/>
  <c r="Q52" i="46"/>
  <c r="R52" i="46"/>
  <c r="S52" i="46"/>
  <c r="L53" i="46"/>
  <c r="N53" i="46"/>
  <c r="O53" i="46"/>
  <c r="P53" i="46"/>
  <c r="Q53" i="46"/>
  <c r="R53" i="46"/>
  <c r="S53" i="46"/>
  <c r="L54" i="46"/>
  <c r="N54" i="46" s="1"/>
  <c r="M54" i="46"/>
  <c r="O54" i="46"/>
  <c r="P54" i="46"/>
  <c r="Q54" i="46"/>
  <c r="R54" i="46"/>
  <c r="S54" i="46"/>
  <c r="L55" i="46"/>
  <c r="N55" i="46" s="1"/>
  <c r="M55" i="46"/>
  <c r="O55" i="46"/>
  <c r="P55" i="46"/>
  <c r="Q55" i="46"/>
  <c r="R55" i="46"/>
  <c r="S55" i="46"/>
  <c r="L56" i="46"/>
  <c r="N56" i="46"/>
  <c r="O56" i="46"/>
  <c r="P56" i="46"/>
  <c r="Q56" i="46"/>
  <c r="R56" i="46"/>
  <c r="S56" i="46"/>
  <c r="L57" i="46"/>
  <c r="M57" i="46"/>
  <c r="N57" i="46"/>
  <c r="O57" i="46"/>
  <c r="P57" i="46"/>
  <c r="Q57" i="46"/>
  <c r="R57" i="46"/>
  <c r="S57" i="46"/>
  <c r="L58" i="46"/>
  <c r="M58" i="46"/>
  <c r="N58" i="46"/>
  <c r="O58" i="46"/>
  <c r="P58" i="46"/>
  <c r="Q58" i="46"/>
  <c r="R58" i="46"/>
  <c r="S58" i="46"/>
  <c r="L59" i="46"/>
  <c r="N59" i="46" s="1"/>
  <c r="M59" i="46"/>
  <c r="O59" i="46"/>
  <c r="P59" i="46"/>
  <c r="Q59" i="46"/>
  <c r="R59" i="46"/>
  <c r="S59" i="46"/>
  <c r="L60" i="46"/>
  <c r="N60" i="46" s="1"/>
  <c r="M60" i="46"/>
  <c r="O60" i="46"/>
  <c r="P60" i="46"/>
  <c r="Q60" i="46"/>
  <c r="R60" i="46"/>
  <c r="S60" i="46"/>
  <c r="L61" i="46"/>
  <c r="M61" i="46" s="1"/>
  <c r="N61" i="46"/>
  <c r="O61" i="46"/>
  <c r="P61" i="46"/>
  <c r="Q61" i="46"/>
  <c r="R61" i="46"/>
  <c r="S61" i="46"/>
  <c r="L62" i="46"/>
  <c r="N62" i="46" s="1"/>
  <c r="M62" i="46"/>
  <c r="O62" i="46"/>
  <c r="P62" i="46"/>
  <c r="Q62" i="46"/>
  <c r="R62" i="46"/>
  <c r="S62" i="46"/>
  <c r="L63" i="46"/>
  <c r="N63" i="46" s="1"/>
  <c r="M63" i="46"/>
  <c r="O63" i="46"/>
  <c r="P63" i="46"/>
  <c r="Q63" i="46"/>
  <c r="R63" i="46"/>
  <c r="S63" i="46"/>
  <c r="L64" i="46"/>
  <c r="M64" i="46" s="1"/>
  <c r="N64" i="46"/>
  <c r="O64" i="46"/>
  <c r="P64" i="46"/>
  <c r="Q64" i="46"/>
  <c r="R64" i="46"/>
  <c r="S64" i="46"/>
  <c r="L65" i="46"/>
  <c r="N65" i="46" s="1"/>
  <c r="M65" i="46"/>
  <c r="O65" i="46"/>
  <c r="P65" i="46"/>
  <c r="Q65" i="46"/>
  <c r="R65" i="46"/>
  <c r="S65" i="46"/>
  <c r="L66" i="46"/>
  <c r="N66" i="46" s="1"/>
  <c r="M66" i="46"/>
  <c r="O66" i="46"/>
  <c r="P66" i="46"/>
  <c r="Q66" i="46"/>
  <c r="R66" i="46"/>
  <c r="S66" i="46"/>
  <c r="L67" i="46"/>
  <c r="N67" i="46"/>
  <c r="O67" i="46"/>
  <c r="P67" i="46"/>
  <c r="Q67" i="46"/>
  <c r="R67" i="46"/>
  <c r="S67" i="46"/>
  <c r="L68" i="46"/>
  <c r="N68" i="46" s="1"/>
  <c r="M68" i="46"/>
  <c r="O68" i="46"/>
  <c r="P68" i="46"/>
  <c r="Q68" i="46"/>
  <c r="R68" i="46"/>
  <c r="S68" i="46"/>
  <c r="L69" i="46"/>
  <c r="N69" i="46" s="1"/>
  <c r="M69" i="46"/>
  <c r="O69" i="46"/>
  <c r="P69" i="46"/>
  <c r="Q69" i="46"/>
  <c r="R69" i="46"/>
  <c r="S69" i="46"/>
  <c r="L70" i="46"/>
  <c r="N70" i="46"/>
  <c r="O70" i="46"/>
  <c r="P70" i="46"/>
  <c r="Q70" i="46"/>
  <c r="R70" i="46"/>
  <c r="S70" i="46"/>
  <c r="L71" i="46"/>
  <c r="N71" i="46" s="1"/>
  <c r="M71" i="46"/>
  <c r="O71" i="46"/>
  <c r="P71" i="46"/>
  <c r="Q71" i="46"/>
  <c r="R71" i="46"/>
  <c r="S71" i="46"/>
  <c r="L72" i="46"/>
  <c r="N72" i="46" s="1"/>
  <c r="M72" i="46"/>
  <c r="O72" i="46"/>
  <c r="P72" i="46"/>
  <c r="Q72" i="46"/>
  <c r="R72" i="46"/>
  <c r="S72" i="46"/>
  <c r="L73" i="46"/>
  <c r="N73" i="46"/>
  <c r="O73" i="46"/>
  <c r="P73" i="46"/>
  <c r="Q73" i="46"/>
  <c r="R73" i="46"/>
  <c r="S73" i="46"/>
  <c r="L74" i="46"/>
  <c r="M74" i="46"/>
  <c r="O74" i="46"/>
  <c r="P74" i="46"/>
  <c r="Q74" i="46"/>
  <c r="R74" i="46"/>
  <c r="S74" i="46"/>
  <c r="L75" i="46"/>
  <c r="M75" i="46"/>
  <c r="O75" i="46"/>
  <c r="P75" i="46"/>
  <c r="Q75" i="46"/>
  <c r="R75" i="46"/>
  <c r="S75" i="46"/>
  <c r="L76" i="46"/>
  <c r="N76" i="46"/>
  <c r="O76" i="46"/>
  <c r="P76" i="46"/>
  <c r="Q76" i="46"/>
  <c r="R76" i="46"/>
  <c r="S76" i="46"/>
  <c r="L77" i="46"/>
  <c r="N77" i="46" s="1"/>
  <c r="M77" i="46"/>
  <c r="O77" i="46"/>
  <c r="P77" i="46"/>
  <c r="Q77" i="46"/>
  <c r="R77" i="46"/>
  <c r="S77" i="46"/>
  <c r="L78" i="46"/>
  <c r="N78" i="46" s="1"/>
  <c r="M78" i="46"/>
  <c r="O78" i="46"/>
  <c r="P78" i="46"/>
  <c r="Q78" i="46"/>
  <c r="R78" i="46"/>
  <c r="S78" i="46"/>
  <c r="L79" i="46"/>
  <c r="N79" i="46"/>
  <c r="O79" i="46"/>
  <c r="P79" i="46"/>
  <c r="Q79" i="46"/>
  <c r="R79" i="46"/>
  <c r="S79" i="46"/>
  <c r="L80" i="46"/>
  <c r="N80" i="46" s="1"/>
  <c r="M80" i="46"/>
  <c r="O80" i="46"/>
  <c r="P80" i="46"/>
  <c r="Q80" i="46"/>
  <c r="R80" i="46"/>
  <c r="S80" i="46"/>
  <c r="L81" i="46"/>
  <c r="N81" i="46" s="1"/>
  <c r="M81" i="46"/>
  <c r="O81" i="46"/>
  <c r="P81" i="46"/>
  <c r="Q81" i="46"/>
  <c r="R81" i="46"/>
  <c r="S81" i="46"/>
  <c r="L82" i="46"/>
  <c r="N82" i="46"/>
  <c r="O82" i="46"/>
  <c r="P82" i="46"/>
  <c r="Q82" i="46"/>
  <c r="R82" i="46"/>
  <c r="S82" i="46"/>
  <c r="L83" i="46"/>
  <c r="N83" i="46" s="1"/>
  <c r="M83" i="46"/>
  <c r="O83" i="46"/>
  <c r="P83" i="46"/>
  <c r="Q83" i="46"/>
  <c r="R83" i="46"/>
  <c r="S83" i="46"/>
  <c r="L84" i="46"/>
  <c r="N84" i="46" s="1"/>
  <c r="M84" i="46"/>
  <c r="O84" i="46"/>
  <c r="P84" i="46"/>
  <c r="Q84" i="46"/>
  <c r="R84" i="46"/>
  <c r="S84" i="46"/>
  <c r="L85" i="46"/>
  <c r="N85" i="46"/>
  <c r="O85" i="46"/>
  <c r="P85" i="46"/>
  <c r="Q85" i="46"/>
  <c r="R85" i="46"/>
  <c r="S85" i="46"/>
  <c r="L86" i="46"/>
  <c r="N86" i="46" s="1"/>
  <c r="M86" i="46"/>
  <c r="O86" i="46"/>
  <c r="P86" i="46"/>
  <c r="Q86" i="46"/>
  <c r="R86" i="46"/>
  <c r="S86" i="46"/>
  <c r="L87" i="46"/>
  <c r="N87" i="46" s="1"/>
  <c r="M87" i="46"/>
  <c r="O87" i="46"/>
  <c r="P87" i="46"/>
  <c r="Q87" i="46"/>
  <c r="R87" i="46"/>
  <c r="S87" i="46"/>
  <c r="L88" i="46"/>
  <c r="N88" i="46"/>
  <c r="O88" i="46"/>
  <c r="P88" i="46"/>
  <c r="Q88" i="46"/>
  <c r="R88" i="46"/>
  <c r="S88" i="46"/>
  <c r="L89" i="46"/>
  <c r="N89" i="46" s="1"/>
  <c r="M89" i="46"/>
  <c r="O89" i="46"/>
  <c r="P89" i="46"/>
  <c r="Q89" i="46"/>
  <c r="R89" i="46"/>
  <c r="S89" i="46"/>
  <c r="L90" i="46"/>
  <c r="N90" i="46" s="1"/>
  <c r="M90" i="46"/>
  <c r="O90" i="46"/>
  <c r="P90" i="46"/>
  <c r="Q90" i="46"/>
  <c r="R90" i="46"/>
  <c r="S90" i="46"/>
  <c r="L91" i="46"/>
  <c r="N91" i="46"/>
  <c r="O91" i="46"/>
  <c r="P91" i="46"/>
  <c r="Q91" i="46"/>
  <c r="R91" i="46"/>
  <c r="S91" i="46"/>
  <c r="L92" i="46"/>
  <c r="M92" i="46"/>
  <c r="N92" i="46"/>
  <c r="O92" i="46"/>
  <c r="P92" i="46"/>
  <c r="Q92" i="46"/>
  <c r="R92" i="46"/>
  <c r="S92" i="46"/>
  <c r="L93" i="46"/>
  <c r="N93" i="46" s="1"/>
  <c r="M93" i="46"/>
  <c r="O93" i="46"/>
  <c r="P93" i="46"/>
  <c r="Q93" i="46"/>
  <c r="R93" i="46"/>
  <c r="S93" i="46"/>
  <c r="L94" i="46"/>
  <c r="N94" i="46" s="1"/>
  <c r="M94" i="46"/>
  <c r="O94" i="46"/>
  <c r="P94" i="46"/>
  <c r="Q94" i="46"/>
  <c r="R94" i="46"/>
  <c r="S94" i="46"/>
  <c r="L95" i="46"/>
  <c r="N95" i="46"/>
  <c r="O95" i="46"/>
  <c r="P95" i="46"/>
  <c r="Q95" i="46"/>
  <c r="R95" i="46"/>
  <c r="S95" i="46"/>
  <c r="L96" i="46"/>
  <c r="N96" i="46" s="1"/>
  <c r="M96" i="46"/>
  <c r="O96" i="46"/>
  <c r="P96" i="46"/>
  <c r="Q96" i="46"/>
  <c r="R96" i="46"/>
  <c r="S96" i="46"/>
  <c r="L97" i="46"/>
  <c r="N97" i="46" s="1"/>
  <c r="M97" i="46"/>
  <c r="O97" i="46"/>
  <c r="P97" i="46"/>
  <c r="Q97" i="46"/>
  <c r="R97" i="46"/>
  <c r="S97" i="46"/>
  <c r="L98" i="46"/>
  <c r="N98" i="46"/>
  <c r="O98" i="46"/>
  <c r="P98" i="46"/>
  <c r="Q98" i="46"/>
  <c r="R98" i="46"/>
  <c r="S98" i="46"/>
  <c r="L99" i="46"/>
  <c r="N99" i="46" s="1"/>
  <c r="M99" i="46"/>
  <c r="O99" i="46"/>
  <c r="P99" i="46"/>
  <c r="Q99" i="46"/>
  <c r="R99" i="46"/>
  <c r="S99" i="46"/>
  <c r="L100" i="46"/>
  <c r="N100" i="46" s="1"/>
  <c r="M100" i="46"/>
  <c r="O100" i="46"/>
  <c r="P100" i="46"/>
  <c r="Q100" i="46"/>
  <c r="R100" i="46"/>
  <c r="S100" i="46"/>
  <c r="L101" i="46"/>
  <c r="N101" i="46"/>
  <c r="O101" i="46"/>
  <c r="P101" i="46"/>
  <c r="Q101" i="46"/>
  <c r="R101" i="46"/>
  <c r="S101" i="46"/>
  <c r="L102" i="46"/>
  <c r="N102" i="46" s="1"/>
  <c r="M102" i="46"/>
  <c r="O102" i="46"/>
  <c r="P102" i="46"/>
  <c r="Q102" i="46"/>
  <c r="R102" i="46"/>
  <c r="S102" i="46"/>
  <c r="L103" i="46"/>
  <c r="N103" i="46" s="1"/>
  <c r="M103" i="46"/>
  <c r="O103" i="46"/>
  <c r="P103" i="46"/>
  <c r="Q103" i="46"/>
  <c r="R103" i="46"/>
  <c r="S103" i="46"/>
  <c r="L104" i="46"/>
  <c r="N104" i="46"/>
  <c r="O104" i="46"/>
  <c r="P104" i="46"/>
  <c r="Q104" i="46"/>
  <c r="R104" i="46"/>
  <c r="S104" i="46"/>
  <c r="L105" i="46"/>
  <c r="O105" i="46" s="1"/>
  <c r="M105" i="46"/>
  <c r="N105" i="46"/>
  <c r="P105" i="46"/>
  <c r="Q105" i="46"/>
  <c r="R105" i="46"/>
  <c r="S105" i="46"/>
  <c r="L106" i="46"/>
  <c r="O106" i="46" s="1"/>
  <c r="M106" i="46"/>
  <c r="N106" i="46"/>
  <c r="P106" i="46"/>
  <c r="Q106" i="46"/>
  <c r="R106" i="46"/>
  <c r="S106" i="46"/>
  <c r="L107" i="46"/>
  <c r="N107" i="46"/>
  <c r="O107" i="46"/>
  <c r="P107" i="46"/>
  <c r="Q107" i="46"/>
  <c r="R107" i="46"/>
  <c r="S107" i="46"/>
  <c r="L108" i="46"/>
  <c r="M108" i="46"/>
  <c r="N108" i="46"/>
  <c r="O108" i="46"/>
  <c r="P108" i="46"/>
  <c r="Q108" i="46"/>
  <c r="R108" i="46"/>
  <c r="S108" i="46"/>
  <c r="L109" i="46"/>
  <c r="M109" i="46"/>
  <c r="N109" i="46"/>
  <c r="O109" i="46"/>
  <c r="P109" i="46"/>
  <c r="Q109" i="46"/>
  <c r="R109" i="46"/>
  <c r="S109" i="46"/>
  <c r="L110" i="46"/>
  <c r="M110" i="46"/>
  <c r="N110" i="46"/>
  <c r="O110" i="46"/>
  <c r="P110" i="46"/>
  <c r="Q110" i="46"/>
  <c r="R110" i="46"/>
  <c r="S110" i="46"/>
  <c r="L111" i="46"/>
  <c r="N111" i="46" s="1"/>
  <c r="M111" i="46"/>
  <c r="O111" i="46"/>
  <c r="P111" i="46"/>
  <c r="Q111" i="46"/>
  <c r="R111" i="46"/>
  <c r="S111" i="46"/>
  <c r="L112" i="46"/>
  <c r="N112" i="46" s="1"/>
  <c r="M112" i="46"/>
  <c r="O112" i="46"/>
  <c r="P112" i="46"/>
  <c r="Q112" i="46"/>
  <c r="R112" i="46"/>
  <c r="S112" i="46"/>
  <c r="L113" i="46"/>
  <c r="N113" i="46"/>
  <c r="O113" i="46"/>
  <c r="P113" i="46"/>
  <c r="Q113" i="46"/>
  <c r="R113" i="46"/>
  <c r="S113" i="46"/>
  <c r="L114" i="46"/>
  <c r="N114" i="46" s="1"/>
  <c r="M114" i="46"/>
  <c r="O114" i="46"/>
  <c r="P114" i="46"/>
  <c r="Q114" i="46"/>
  <c r="R114" i="46"/>
  <c r="S114" i="46"/>
  <c r="L115" i="46"/>
  <c r="N115" i="46" s="1"/>
  <c r="M115" i="46"/>
  <c r="O115" i="46"/>
  <c r="P115" i="46"/>
  <c r="Q115" i="46"/>
  <c r="R115" i="46"/>
  <c r="S115" i="46"/>
  <c r="L116" i="46"/>
  <c r="N116" i="46"/>
  <c r="O116" i="46"/>
  <c r="P116" i="46"/>
  <c r="Q116" i="46"/>
  <c r="R116" i="46"/>
  <c r="S116" i="46"/>
  <c r="L117" i="46"/>
  <c r="N117" i="46" s="1"/>
  <c r="M117" i="46"/>
  <c r="O117" i="46"/>
  <c r="P117" i="46"/>
  <c r="Q117" i="46"/>
  <c r="R117" i="46"/>
  <c r="S117" i="46"/>
  <c r="L118" i="46"/>
  <c r="N118" i="46" s="1"/>
  <c r="M118" i="46"/>
  <c r="O118" i="46"/>
  <c r="P118" i="46"/>
  <c r="Q118" i="46"/>
  <c r="R118" i="46"/>
  <c r="S118" i="46"/>
  <c r="L119" i="46"/>
  <c r="N119" i="46"/>
  <c r="O119" i="46"/>
  <c r="P119" i="46"/>
  <c r="Q119" i="46"/>
  <c r="R119" i="46"/>
  <c r="S119" i="46"/>
  <c r="L120" i="46"/>
  <c r="N120" i="46" s="1"/>
  <c r="M120" i="46"/>
  <c r="O120" i="46"/>
  <c r="P120" i="46"/>
  <c r="Q120" i="46"/>
  <c r="R120" i="46"/>
  <c r="S120" i="46"/>
  <c r="L121" i="46"/>
  <c r="N121" i="46" s="1"/>
  <c r="M121" i="46"/>
  <c r="O121" i="46"/>
  <c r="P121" i="46"/>
  <c r="Q121" i="46"/>
  <c r="R121" i="46"/>
  <c r="S121" i="46"/>
  <c r="L122" i="46"/>
  <c r="N122" i="46"/>
  <c r="O122" i="46"/>
  <c r="P122" i="46"/>
  <c r="Q122" i="46"/>
  <c r="R122" i="46"/>
  <c r="S122" i="46"/>
  <c r="L123" i="46"/>
  <c r="N123" i="46" s="1"/>
  <c r="M123" i="46"/>
  <c r="O123" i="46"/>
  <c r="P123" i="46"/>
  <c r="Q123" i="46"/>
  <c r="R123" i="46"/>
  <c r="S123" i="46"/>
  <c r="L124" i="46"/>
  <c r="N124" i="46" s="1"/>
  <c r="M124" i="46"/>
  <c r="O124" i="46"/>
  <c r="P124" i="46"/>
  <c r="Q124" i="46"/>
  <c r="R124" i="46"/>
  <c r="S124" i="46"/>
  <c r="L125" i="46"/>
  <c r="N125" i="46"/>
  <c r="O125" i="46"/>
  <c r="P125" i="46"/>
  <c r="Q125" i="46"/>
  <c r="R125" i="46"/>
  <c r="S125" i="46"/>
  <c r="L126" i="46"/>
  <c r="M126" i="46"/>
  <c r="O126" i="46"/>
  <c r="P126" i="46"/>
  <c r="Q126" i="46"/>
  <c r="R126" i="46"/>
  <c r="S126" i="46"/>
  <c r="L127" i="46"/>
  <c r="M127" i="46"/>
  <c r="O127" i="46"/>
  <c r="P127" i="46"/>
  <c r="Q127" i="46"/>
  <c r="R127" i="46"/>
  <c r="S127" i="46"/>
  <c r="L128" i="46"/>
  <c r="N128" i="46"/>
  <c r="O128" i="46"/>
  <c r="P128" i="46"/>
  <c r="Q128" i="46"/>
  <c r="R128" i="46"/>
  <c r="S128" i="46"/>
  <c r="L129" i="46"/>
  <c r="M129" i="46"/>
  <c r="O129" i="46"/>
  <c r="P129" i="46"/>
  <c r="Q129" i="46"/>
  <c r="R129" i="46"/>
  <c r="S129" i="46"/>
  <c r="L130" i="46"/>
  <c r="M130" i="46"/>
  <c r="O130" i="46"/>
  <c r="P130" i="46"/>
  <c r="Q130" i="46"/>
  <c r="R130" i="46"/>
  <c r="S130" i="46"/>
  <c r="L131" i="46"/>
  <c r="N131" i="46"/>
  <c r="O131" i="46"/>
  <c r="P131" i="46"/>
  <c r="Q131" i="46"/>
  <c r="R131" i="46"/>
  <c r="S131" i="46"/>
  <c r="L132" i="46"/>
  <c r="N132" i="46" s="1"/>
  <c r="M132" i="46"/>
  <c r="O132" i="46"/>
  <c r="P132" i="46"/>
  <c r="Q132" i="46"/>
  <c r="R132" i="46"/>
  <c r="S132" i="46"/>
  <c r="L133" i="46"/>
  <c r="N133" i="46" s="1"/>
  <c r="M133" i="46"/>
  <c r="O133" i="46"/>
  <c r="P133" i="46"/>
  <c r="Q133" i="46"/>
  <c r="R133" i="46"/>
  <c r="S133" i="46"/>
  <c r="L134" i="46"/>
  <c r="N134" i="46"/>
  <c r="O134" i="46"/>
  <c r="P134" i="46"/>
  <c r="Q134" i="46"/>
  <c r="R134" i="46"/>
  <c r="S134" i="46"/>
  <c r="L135" i="46"/>
  <c r="M135" i="46"/>
  <c r="O135" i="46"/>
  <c r="P135" i="46"/>
  <c r="Q135" i="46"/>
  <c r="R135" i="46"/>
  <c r="S135" i="46"/>
  <c r="L136" i="46"/>
  <c r="M136" i="46"/>
  <c r="O136" i="46"/>
  <c r="P136" i="46"/>
  <c r="Q136" i="46"/>
  <c r="R136" i="46"/>
  <c r="S136" i="46"/>
  <c r="L137" i="46"/>
  <c r="N137" i="46"/>
  <c r="O137" i="46"/>
  <c r="P137" i="46"/>
  <c r="Q137" i="46"/>
  <c r="R137" i="46"/>
  <c r="S137" i="46"/>
  <c r="L138" i="46"/>
  <c r="N138" i="46" s="1"/>
  <c r="M138" i="46"/>
  <c r="O138" i="46"/>
  <c r="P138" i="46"/>
  <c r="Q138" i="46"/>
  <c r="R138" i="46"/>
  <c r="S138" i="46"/>
  <c r="L139" i="46"/>
  <c r="N139" i="46" s="1"/>
  <c r="M139" i="46"/>
  <c r="O139" i="46"/>
  <c r="P139" i="46"/>
  <c r="Q139" i="46"/>
  <c r="R139" i="46"/>
  <c r="S139" i="46"/>
  <c r="L140" i="46"/>
  <c r="N140" i="46"/>
  <c r="O140" i="46"/>
  <c r="P140" i="46"/>
  <c r="Q140" i="46"/>
  <c r="R140" i="46"/>
  <c r="S140" i="46"/>
  <c r="L141" i="46"/>
  <c r="M141" i="46"/>
  <c r="O141" i="46"/>
  <c r="P141" i="46"/>
  <c r="Q141" i="46"/>
  <c r="R141" i="46"/>
  <c r="S141" i="46"/>
  <c r="L142" i="46"/>
  <c r="M142" i="46"/>
  <c r="O142" i="46"/>
  <c r="P142" i="46"/>
  <c r="Q142" i="46"/>
  <c r="R142" i="46"/>
  <c r="S142" i="46"/>
  <c r="L143" i="46"/>
  <c r="N143" i="46"/>
  <c r="O143" i="46"/>
  <c r="P143" i="46"/>
  <c r="Q143" i="46"/>
  <c r="R143" i="46"/>
  <c r="S143" i="46"/>
  <c r="L144" i="46"/>
  <c r="N144" i="46" s="1"/>
  <c r="M144" i="46"/>
  <c r="O144" i="46"/>
  <c r="P144" i="46"/>
  <c r="Q144" i="46"/>
  <c r="R144" i="46"/>
  <c r="S144" i="46"/>
  <c r="L145" i="46"/>
  <c r="N145" i="46" s="1"/>
  <c r="M145" i="46"/>
  <c r="O145" i="46"/>
  <c r="P145" i="46"/>
  <c r="Q145" i="46"/>
  <c r="R145" i="46"/>
  <c r="S145" i="46"/>
  <c r="L146" i="46"/>
  <c r="N146" i="46"/>
  <c r="O146" i="46"/>
  <c r="P146" i="46"/>
  <c r="Q146" i="46"/>
  <c r="R146" i="46"/>
  <c r="S146" i="46"/>
  <c r="L147" i="46"/>
  <c r="N147" i="46" s="1"/>
  <c r="M147" i="46"/>
  <c r="O147" i="46"/>
  <c r="P147" i="46"/>
  <c r="Q147" i="46"/>
  <c r="R147" i="46"/>
  <c r="S147" i="46"/>
  <c r="L148" i="46"/>
  <c r="N148" i="46" s="1"/>
  <c r="M148" i="46"/>
  <c r="O148" i="46"/>
  <c r="P148" i="46"/>
  <c r="Q148" i="46"/>
  <c r="R148" i="46"/>
  <c r="S148" i="46"/>
  <c r="L149" i="46"/>
  <c r="N149" i="46"/>
  <c r="O149" i="46"/>
  <c r="P149" i="46"/>
  <c r="Q149" i="46"/>
  <c r="R149" i="46"/>
  <c r="S149" i="46"/>
  <c r="L150" i="46"/>
  <c r="N150" i="46" s="1"/>
  <c r="M150" i="46"/>
  <c r="O150" i="46"/>
  <c r="P150" i="46"/>
  <c r="Q150" i="46"/>
  <c r="R150" i="46"/>
  <c r="S150" i="46"/>
  <c r="L151" i="46"/>
  <c r="N151" i="46" s="1"/>
  <c r="M151" i="46"/>
  <c r="O151" i="46"/>
  <c r="P151" i="46"/>
  <c r="Q151" i="46"/>
  <c r="R151" i="46"/>
  <c r="S151" i="46"/>
  <c r="L152" i="46"/>
  <c r="N152" i="46"/>
  <c r="O152" i="46"/>
  <c r="P152" i="46"/>
  <c r="Q152" i="46"/>
  <c r="R152" i="46"/>
  <c r="S152" i="46"/>
  <c r="L153" i="46"/>
  <c r="O153" i="46" s="1"/>
  <c r="M153" i="46"/>
  <c r="N153" i="46"/>
  <c r="P153" i="46"/>
  <c r="Q153" i="46"/>
  <c r="R153" i="46"/>
  <c r="S153" i="46"/>
  <c r="L154" i="46"/>
  <c r="O154" i="46" s="1"/>
  <c r="M154" i="46"/>
  <c r="N154" i="46"/>
  <c r="P154" i="46"/>
  <c r="Q154" i="46"/>
  <c r="R154" i="46"/>
  <c r="S154" i="46"/>
  <c r="L155" i="46"/>
  <c r="N155" i="46"/>
  <c r="O155" i="46"/>
  <c r="P155" i="46"/>
  <c r="Q155" i="46"/>
  <c r="R155" i="46"/>
  <c r="S155" i="46"/>
  <c r="L156" i="46"/>
  <c r="M156" i="46"/>
  <c r="N156" i="46"/>
  <c r="O156" i="46"/>
  <c r="P156" i="46"/>
  <c r="Q156" i="46"/>
  <c r="R156" i="46"/>
  <c r="S156" i="46"/>
  <c r="L157" i="46"/>
  <c r="N157" i="46" s="1"/>
  <c r="M157" i="46"/>
  <c r="O157" i="46"/>
  <c r="P157" i="46"/>
  <c r="Q157" i="46"/>
  <c r="R157" i="46"/>
  <c r="S157" i="46"/>
  <c r="L158" i="46"/>
  <c r="N158" i="46" s="1"/>
  <c r="M158" i="46"/>
  <c r="O158" i="46"/>
  <c r="P158" i="46"/>
  <c r="Q158" i="46"/>
  <c r="R158" i="46"/>
  <c r="S158" i="46"/>
  <c r="L159" i="46"/>
  <c r="N159" i="46"/>
  <c r="O159" i="46"/>
  <c r="P159" i="46"/>
  <c r="Q159" i="46"/>
  <c r="R159" i="46"/>
  <c r="S159" i="46"/>
  <c r="L160" i="46"/>
  <c r="M160" i="46"/>
  <c r="N160" i="46"/>
  <c r="O160" i="46"/>
  <c r="P160" i="46"/>
  <c r="Q160" i="46"/>
  <c r="R160" i="46"/>
  <c r="S160" i="46"/>
  <c r="L161" i="46"/>
  <c r="N161" i="46" s="1"/>
  <c r="M161" i="46"/>
  <c r="O161" i="46"/>
  <c r="P161" i="46"/>
  <c r="Q161" i="46"/>
  <c r="R161" i="46"/>
  <c r="S161" i="46"/>
  <c r="L162" i="46"/>
  <c r="N162" i="46"/>
  <c r="O162" i="46"/>
  <c r="P162" i="46"/>
  <c r="Q162" i="46"/>
  <c r="R162" i="46"/>
  <c r="S162" i="46"/>
  <c r="L163" i="46"/>
  <c r="N163" i="46" s="1"/>
  <c r="M163" i="46"/>
  <c r="O163" i="46"/>
  <c r="P163" i="46"/>
  <c r="Q163" i="46"/>
  <c r="R163" i="46"/>
  <c r="S163" i="46"/>
  <c r="L164" i="46"/>
  <c r="N164" i="46" s="1"/>
  <c r="M164" i="46"/>
  <c r="O164" i="46"/>
  <c r="P164" i="46"/>
  <c r="Q164" i="46"/>
  <c r="R164" i="46"/>
  <c r="S164" i="46"/>
  <c r="L165" i="46"/>
  <c r="N165" i="46"/>
  <c r="O165" i="46"/>
  <c r="P165" i="46"/>
  <c r="Q165" i="46"/>
  <c r="R165" i="46"/>
  <c r="S165" i="46"/>
  <c r="L166" i="46"/>
  <c r="M166" i="46"/>
  <c r="N166" i="46"/>
  <c r="O166" i="46"/>
  <c r="P166" i="46"/>
  <c r="Q166" i="46"/>
  <c r="R166" i="46"/>
  <c r="S166" i="46"/>
  <c r="L167" i="46"/>
  <c r="M167" i="46"/>
  <c r="N167" i="46"/>
  <c r="O167" i="46"/>
  <c r="P167" i="46"/>
  <c r="Q167" i="46"/>
  <c r="R167" i="46"/>
  <c r="S167" i="46"/>
  <c r="L168" i="46"/>
  <c r="N168" i="46"/>
  <c r="O168" i="46"/>
  <c r="P168" i="46"/>
  <c r="Q168" i="46"/>
  <c r="R168" i="46"/>
  <c r="S168" i="46"/>
  <c r="L169" i="46"/>
  <c r="N169" i="46" s="1"/>
  <c r="M169" i="46"/>
  <c r="O169" i="46"/>
  <c r="P169" i="46"/>
  <c r="Q169" i="46"/>
  <c r="R169" i="46"/>
  <c r="S169" i="46"/>
  <c r="L170" i="46"/>
  <c r="N170" i="46" s="1"/>
  <c r="M170" i="46"/>
  <c r="O170" i="46"/>
  <c r="P170" i="46"/>
  <c r="Q170" i="46"/>
  <c r="R170" i="46"/>
  <c r="S170" i="46"/>
  <c r="L171" i="46"/>
  <c r="N171" i="46"/>
  <c r="O171" i="46"/>
  <c r="P171" i="46"/>
  <c r="Q171" i="46"/>
  <c r="R171" i="46"/>
  <c r="S171" i="46"/>
  <c r="L172" i="46"/>
  <c r="M172" i="46"/>
  <c r="N172" i="46"/>
  <c r="O172" i="46"/>
  <c r="P172" i="46"/>
  <c r="Q172" i="46"/>
  <c r="R172" i="46"/>
  <c r="S172" i="46"/>
  <c r="L173" i="46"/>
  <c r="M173" i="46"/>
  <c r="N173" i="46"/>
  <c r="O173" i="46"/>
  <c r="P173" i="46"/>
  <c r="Q173" i="46"/>
  <c r="R173" i="46"/>
  <c r="S173" i="46"/>
  <c r="L174" i="46"/>
  <c r="N174" i="46"/>
  <c r="O174" i="46"/>
  <c r="P174" i="46"/>
  <c r="Q174" i="46"/>
  <c r="R174" i="46"/>
  <c r="S174" i="46"/>
  <c r="L175" i="46"/>
  <c r="M175" i="46"/>
  <c r="N175" i="46"/>
  <c r="O175" i="46"/>
  <c r="P175" i="46"/>
  <c r="Q175" i="46"/>
  <c r="R175" i="46"/>
  <c r="S175" i="46"/>
  <c r="L176" i="46"/>
  <c r="M176" i="46"/>
  <c r="N176" i="46"/>
  <c r="O176" i="46"/>
  <c r="P176" i="46"/>
  <c r="Q176" i="46"/>
  <c r="R176" i="46"/>
  <c r="S176" i="46"/>
  <c r="L177" i="46"/>
  <c r="N177" i="46" s="1"/>
  <c r="M177" i="46"/>
  <c r="O177" i="46"/>
  <c r="P177" i="46"/>
  <c r="Q177" i="46"/>
  <c r="R177" i="46"/>
  <c r="S177" i="46"/>
  <c r="L178" i="46"/>
  <c r="N178" i="46" s="1"/>
  <c r="M178" i="46"/>
  <c r="O178" i="46"/>
  <c r="P178" i="46"/>
  <c r="Q178" i="46"/>
  <c r="R178" i="46"/>
  <c r="S178" i="46"/>
  <c r="L179" i="46"/>
  <c r="N179" i="46"/>
  <c r="O179" i="46"/>
  <c r="P179" i="46"/>
  <c r="Q179" i="46"/>
  <c r="R179" i="46"/>
  <c r="S179" i="46"/>
  <c r="L180" i="46"/>
  <c r="N180" i="46" s="1"/>
  <c r="M180" i="46"/>
  <c r="O180" i="46"/>
  <c r="P180" i="46"/>
  <c r="Q180" i="46"/>
  <c r="R180" i="46"/>
  <c r="S180" i="46"/>
  <c r="L181" i="46"/>
  <c r="N181" i="46" s="1"/>
  <c r="M181" i="46"/>
  <c r="O181" i="46"/>
  <c r="P181" i="46"/>
  <c r="Q181" i="46"/>
  <c r="R181" i="46"/>
  <c r="S181" i="46"/>
  <c r="L182" i="46"/>
  <c r="N182" i="46"/>
  <c r="O182" i="46"/>
  <c r="P182" i="46"/>
  <c r="Q182" i="46"/>
  <c r="R182" i="46"/>
  <c r="S182" i="46"/>
  <c r="L183" i="46"/>
  <c r="N183" i="46" s="1"/>
  <c r="M183" i="46"/>
  <c r="O183" i="46"/>
  <c r="P183" i="46"/>
  <c r="Q183" i="46"/>
  <c r="R183" i="46"/>
  <c r="S183" i="46"/>
  <c r="L184" i="46"/>
  <c r="N184" i="46" s="1"/>
  <c r="M184" i="46"/>
  <c r="O184" i="46"/>
  <c r="P184" i="46"/>
  <c r="Q184" i="46"/>
  <c r="R184" i="46"/>
  <c r="S184" i="46"/>
  <c r="L185" i="46"/>
  <c r="N185" i="46"/>
  <c r="O185" i="46"/>
  <c r="P185" i="46"/>
  <c r="Q185" i="46"/>
  <c r="R185" i="46"/>
  <c r="S185" i="46"/>
  <c r="L186" i="46"/>
  <c r="M186" i="46"/>
  <c r="O186" i="46"/>
  <c r="P186" i="46"/>
  <c r="Q186" i="46"/>
  <c r="R186" i="46"/>
  <c r="S186" i="46"/>
  <c r="L187" i="46"/>
  <c r="M187" i="46"/>
  <c r="O187" i="46"/>
  <c r="P187" i="46"/>
  <c r="Q187" i="46"/>
  <c r="R187" i="46"/>
  <c r="S187" i="46"/>
  <c r="L188" i="46"/>
  <c r="N188" i="46"/>
  <c r="O188" i="46"/>
  <c r="P188" i="46"/>
  <c r="Q188" i="46"/>
  <c r="R188" i="46"/>
  <c r="S188" i="46"/>
  <c r="L189" i="46"/>
  <c r="N189" i="46" s="1"/>
  <c r="M189" i="46"/>
  <c r="O189" i="46"/>
  <c r="P189" i="46"/>
  <c r="Q189" i="46"/>
  <c r="R189" i="46"/>
  <c r="S189" i="46"/>
  <c r="L190" i="46"/>
  <c r="N190" i="46" s="1"/>
  <c r="M190" i="46"/>
  <c r="O190" i="46"/>
  <c r="P190" i="46"/>
  <c r="Q190" i="46"/>
  <c r="R190" i="46"/>
  <c r="S190" i="46"/>
  <c r="L191" i="46"/>
  <c r="N191" i="46"/>
  <c r="O191" i="46"/>
  <c r="P191" i="46"/>
  <c r="Q191" i="46"/>
  <c r="R191" i="46"/>
  <c r="S191" i="46"/>
  <c r="L192" i="46"/>
  <c r="M192" i="46"/>
  <c r="O192" i="46"/>
  <c r="P192" i="46"/>
  <c r="Q192" i="46"/>
  <c r="R192" i="46"/>
  <c r="S192" i="46"/>
  <c r="L193" i="46"/>
  <c r="M193" i="46"/>
  <c r="O193" i="46"/>
  <c r="P193" i="46"/>
  <c r="Q193" i="46"/>
  <c r="R193" i="46"/>
  <c r="S193" i="46"/>
  <c r="L194" i="46"/>
  <c r="N194" i="46"/>
  <c r="O194" i="46"/>
  <c r="P194" i="46"/>
  <c r="Q194" i="46"/>
  <c r="R194" i="46"/>
  <c r="S194" i="46"/>
  <c r="L195" i="46"/>
  <c r="M195" i="46"/>
  <c r="O195" i="46"/>
  <c r="P195" i="46"/>
  <c r="Q195" i="46"/>
  <c r="R195" i="46"/>
  <c r="S195" i="46"/>
  <c r="L196" i="46"/>
  <c r="M196" i="46"/>
  <c r="O196" i="46"/>
  <c r="P196" i="46"/>
  <c r="Q196" i="46"/>
  <c r="R196" i="46"/>
  <c r="S196" i="46"/>
  <c r="L197" i="46"/>
  <c r="N197" i="46"/>
  <c r="O197" i="46"/>
  <c r="P197" i="46"/>
  <c r="Q197" i="46"/>
  <c r="R197" i="46"/>
  <c r="S197" i="46"/>
  <c r="L198" i="46"/>
  <c r="N198" i="46" s="1"/>
  <c r="M198" i="46"/>
  <c r="O198" i="46"/>
  <c r="P198" i="46"/>
  <c r="Q198" i="46"/>
  <c r="R198" i="46"/>
  <c r="S198" i="46"/>
  <c r="L199" i="46"/>
  <c r="N199" i="46" s="1"/>
  <c r="M199" i="46"/>
  <c r="O199" i="46"/>
  <c r="P199" i="46"/>
  <c r="Q199" i="46"/>
  <c r="R199" i="46"/>
  <c r="S199" i="46"/>
  <c r="L200" i="46"/>
  <c r="N200" i="46"/>
  <c r="O200" i="46"/>
  <c r="P200" i="46"/>
  <c r="Q200" i="46"/>
  <c r="R200" i="46"/>
  <c r="S200" i="46"/>
  <c r="L201" i="46"/>
  <c r="N201" i="46" s="1"/>
  <c r="M201" i="46"/>
  <c r="O201" i="46"/>
  <c r="P201" i="46"/>
  <c r="Q201" i="46"/>
  <c r="R201" i="46"/>
  <c r="S201" i="46"/>
  <c r="L202" i="46"/>
  <c r="N202" i="46" s="1"/>
  <c r="M202" i="46"/>
  <c r="O202" i="46"/>
  <c r="P202" i="46"/>
  <c r="Q202" i="46"/>
  <c r="R202" i="46"/>
  <c r="S202" i="46"/>
  <c r="L203" i="46"/>
  <c r="N203" i="46"/>
  <c r="O203" i="46"/>
  <c r="P203" i="46"/>
  <c r="Q203" i="46"/>
  <c r="R203" i="46"/>
  <c r="S203" i="46"/>
  <c r="L204" i="46"/>
  <c r="N204" i="46" s="1"/>
  <c r="M204" i="46"/>
  <c r="O204" i="46"/>
  <c r="P204" i="46"/>
  <c r="Q204" i="46"/>
  <c r="R204" i="46"/>
  <c r="S204" i="46"/>
  <c r="L205" i="46"/>
  <c r="N205" i="46" s="1"/>
  <c r="M205" i="46"/>
  <c r="O205" i="46"/>
  <c r="P205" i="46"/>
  <c r="Q205" i="46"/>
  <c r="R205" i="46"/>
  <c r="S205" i="46"/>
  <c r="L206" i="46"/>
  <c r="N206" i="46"/>
  <c r="O206" i="46"/>
  <c r="P206" i="46"/>
  <c r="Q206" i="46"/>
  <c r="R206" i="46"/>
  <c r="S206" i="46"/>
  <c r="L207" i="46"/>
  <c r="M207" i="46"/>
  <c r="O207" i="46"/>
  <c r="P207" i="46"/>
  <c r="Q207" i="46"/>
  <c r="R207" i="46"/>
  <c r="S207" i="46"/>
  <c r="L208" i="46"/>
  <c r="M208" i="46"/>
  <c r="O208" i="46"/>
  <c r="P208" i="46"/>
  <c r="Q208" i="46"/>
  <c r="R208" i="46"/>
  <c r="S208" i="46"/>
  <c r="L209" i="46"/>
  <c r="N209" i="46"/>
  <c r="O209" i="46"/>
  <c r="P209" i="46"/>
  <c r="Q209" i="46"/>
  <c r="R209" i="46"/>
  <c r="S209" i="46"/>
  <c r="L210" i="46"/>
  <c r="N210" i="46" s="1"/>
  <c r="M210" i="46"/>
  <c r="O210" i="46"/>
  <c r="P210" i="46"/>
  <c r="Q210" i="46"/>
  <c r="R210" i="46"/>
  <c r="S210" i="46"/>
  <c r="L211" i="46"/>
  <c r="N211" i="46" s="1"/>
  <c r="M211" i="46"/>
  <c r="O211" i="46"/>
  <c r="P211" i="46"/>
  <c r="Q211" i="46"/>
  <c r="R211" i="46"/>
  <c r="S211" i="46"/>
  <c r="L212" i="46"/>
  <c r="N212" i="46"/>
  <c r="O212" i="46"/>
  <c r="P212" i="46"/>
  <c r="Q212" i="46"/>
  <c r="R212" i="46"/>
  <c r="S212" i="46"/>
  <c r="L213" i="46"/>
  <c r="N213" i="46" s="1"/>
  <c r="M213" i="46"/>
  <c r="O213" i="46"/>
  <c r="P213" i="46"/>
  <c r="Q213" i="46"/>
  <c r="R213" i="46"/>
  <c r="S213" i="46"/>
  <c r="L214" i="46"/>
  <c r="N214" i="46" s="1"/>
  <c r="M214" i="46"/>
  <c r="O214" i="46"/>
  <c r="P214" i="46"/>
  <c r="Q214" i="46"/>
  <c r="R214" i="46"/>
  <c r="S214" i="46"/>
  <c r="L215" i="46"/>
  <c r="N215" i="46"/>
  <c r="O215" i="46"/>
  <c r="P215" i="46"/>
  <c r="Q215" i="46"/>
  <c r="R215" i="46"/>
  <c r="S215" i="46"/>
  <c r="L216" i="46"/>
  <c r="N216" i="46" s="1"/>
  <c r="M216" i="46"/>
  <c r="O216" i="46"/>
  <c r="P216" i="46"/>
  <c r="Q216" i="46"/>
  <c r="R216" i="46"/>
  <c r="S216" i="46"/>
  <c r="L217" i="46"/>
  <c r="N217" i="46" s="1"/>
  <c r="M217" i="46"/>
  <c r="O217" i="46"/>
  <c r="P217" i="46"/>
  <c r="Q217" i="46"/>
  <c r="R217" i="46"/>
  <c r="S217" i="46"/>
  <c r="L218" i="46"/>
  <c r="N218" i="46"/>
  <c r="O218" i="46"/>
  <c r="P218" i="46"/>
  <c r="Q218" i="46"/>
  <c r="R218" i="46"/>
  <c r="S218" i="46"/>
  <c r="L219" i="46"/>
  <c r="O219" i="46" s="1"/>
  <c r="M219" i="46"/>
  <c r="N219" i="46"/>
  <c r="P219" i="46"/>
  <c r="Q219" i="46"/>
  <c r="R219" i="46"/>
  <c r="S219" i="46"/>
  <c r="L220" i="46"/>
  <c r="O220" i="46" s="1"/>
  <c r="M220" i="46"/>
  <c r="N220" i="46"/>
  <c r="P220" i="46"/>
  <c r="Q220" i="46"/>
  <c r="R220" i="46"/>
  <c r="S220" i="46"/>
  <c r="L221" i="46"/>
  <c r="N221" i="46"/>
  <c r="O221" i="46"/>
  <c r="P221" i="46"/>
  <c r="Q221" i="46"/>
  <c r="R221" i="46"/>
  <c r="S221" i="46"/>
  <c r="L222" i="46"/>
  <c r="M222" i="46"/>
  <c r="N222" i="46"/>
  <c r="O222" i="46"/>
  <c r="P222" i="46"/>
  <c r="Q222" i="46"/>
  <c r="R222" i="46"/>
  <c r="S222" i="46"/>
  <c r="L223" i="46"/>
  <c r="N223" i="46" s="1"/>
  <c r="M223" i="46"/>
  <c r="O223" i="46"/>
  <c r="P223" i="46"/>
  <c r="Q223" i="46"/>
  <c r="R223" i="46"/>
  <c r="S223" i="46"/>
  <c r="L224" i="46"/>
  <c r="N224" i="46" s="1"/>
  <c r="M224" i="46"/>
  <c r="O224" i="46"/>
  <c r="P224" i="46"/>
  <c r="Q224" i="46"/>
  <c r="R224" i="46"/>
  <c r="S224" i="46"/>
  <c r="L225" i="46"/>
  <c r="N225" i="46"/>
  <c r="O225" i="46"/>
  <c r="P225" i="46"/>
  <c r="Q225" i="46"/>
  <c r="R225" i="46"/>
  <c r="S225" i="46"/>
  <c r="L226" i="46"/>
  <c r="N226" i="46" s="1"/>
  <c r="M226" i="46"/>
  <c r="O226" i="46"/>
  <c r="P226" i="46"/>
  <c r="Q226" i="46"/>
  <c r="R226" i="46"/>
  <c r="S226" i="46"/>
  <c r="L227" i="46"/>
  <c r="N227" i="46" s="1"/>
  <c r="M227" i="46"/>
  <c r="O227" i="46"/>
  <c r="P227" i="46"/>
  <c r="Q227" i="46"/>
  <c r="R227" i="46"/>
  <c r="S227" i="46"/>
  <c r="L228" i="46"/>
  <c r="N228" i="46"/>
  <c r="O228" i="46"/>
  <c r="P228" i="46"/>
  <c r="Q228" i="46"/>
  <c r="R228" i="46"/>
  <c r="S228" i="46"/>
  <c r="L229" i="46"/>
  <c r="N229" i="46" s="1"/>
  <c r="M229" i="46"/>
  <c r="O229" i="46"/>
  <c r="P229" i="46"/>
  <c r="Q229" i="46"/>
  <c r="R229" i="46"/>
  <c r="S229" i="46"/>
  <c r="L230" i="46"/>
  <c r="N230" i="46" s="1"/>
  <c r="M230" i="46"/>
  <c r="O230" i="46"/>
  <c r="P230" i="46"/>
  <c r="Q230" i="46"/>
  <c r="R230" i="46"/>
  <c r="S230" i="46"/>
  <c r="L231" i="46"/>
  <c r="N231" i="46"/>
  <c r="O231" i="46"/>
  <c r="P231" i="46"/>
  <c r="Q231" i="46"/>
  <c r="R231" i="46"/>
  <c r="S231" i="46"/>
  <c r="L232" i="46"/>
  <c r="M232" i="46"/>
  <c r="N232" i="46"/>
  <c r="O232" i="46"/>
  <c r="P232" i="46"/>
  <c r="Q232" i="46"/>
  <c r="R232" i="46"/>
  <c r="S232" i="46"/>
  <c r="L233" i="46"/>
  <c r="M233" i="46"/>
  <c r="N233" i="46"/>
  <c r="O233" i="46"/>
  <c r="P233" i="46"/>
  <c r="Q233" i="46"/>
  <c r="R233" i="46"/>
  <c r="S233" i="46"/>
  <c r="L234" i="46"/>
  <c r="N234" i="46" s="1"/>
  <c r="M234" i="46"/>
  <c r="O234" i="46"/>
  <c r="P234" i="46"/>
  <c r="Q234" i="46"/>
  <c r="R234" i="46"/>
  <c r="S234" i="46"/>
  <c r="L235" i="46"/>
  <c r="N235" i="46" s="1"/>
  <c r="M235" i="46"/>
  <c r="O235" i="46"/>
  <c r="P235" i="46"/>
  <c r="Q235" i="46"/>
  <c r="R235" i="46"/>
  <c r="S235" i="46"/>
  <c r="L236" i="46"/>
  <c r="N236" i="46"/>
  <c r="O236" i="46"/>
  <c r="P236" i="46"/>
  <c r="Q236" i="46"/>
  <c r="R236" i="46"/>
  <c r="S236" i="46"/>
  <c r="L237" i="46"/>
  <c r="N237" i="46" s="1"/>
  <c r="M237" i="46"/>
  <c r="O237" i="46"/>
  <c r="P237" i="46"/>
  <c r="Q237" i="46"/>
  <c r="R237" i="46"/>
  <c r="S237" i="46"/>
  <c r="L238" i="46"/>
  <c r="N238" i="46" s="1"/>
  <c r="M238" i="46"/>
  <c r="O238" i="46"/>
  <c r="P238" i="46"/>
  <c r="Q238" i="46"/>
  <c r="R238" i="46"/>
  <c r="S238" i="46"/>
  <c r="L239" i="46"/>
  <c r="N239" i="46"/>
  <c r="O239" i="46"/>
  <c r="P239" i="46"/>
  <c r="Q239" i="46"/>
  <c r="R239" i="46"/>
  <c r="S239" i="46"/>
  <c r="L240" i="46"/>
  <c r="M240" i="46"/>
  <c r="O240" i="46"/>
  <c r="P240" i="46"/>
  <c r="Q240" i="46"/>
  <c r="R240" i="46"/>
  <c r="S240" i="46"/>
  <c r="L241" i="46"/>
  <c r="M241" i="46"/>
  <c r="O241" i="46"/>
  <c r="P241" i="46"/>
  <c r="Q241" i="46"/>
  <c r="R241" i="46"/>
  <c r="S241" i="46"/>
  <c r="L242" i="46"/>
  <c r="N242" i="46"/>
  <c r="O242" i="46"/>
  <c r="P242" i="46"/>
  <c r="Q242" i="46"/>
  <c r="R242" i="46"/>
  <c r="S242" i="46"/>
  <c r="L243" i="46"/>
  <c r="N243" i="46" s="1"/>
  <c r="M243" i="46"/>
  <c r="O243" i="46"/>
  <c r="P243" i="46"/>
  <c r="Q243" i="46"/>
  <c r="R243" i="46"/>
  <c r="S243" i="46"/>
  <c r="L244" i="46"/>
  <c r="N244" i="46" s="1"/>
  <c r="M244" i="46"/>
  <c r="O244" i="46"/>
  <c r="P244" i="46"/>
  <c r="Q244" i="46"/>
  <c r="R244" i="46"/>
  <c r="S244" i="46"/>
  <c r="L245" i="46"/>
  <c r="N245" i="46"/>
  <c r="O245" i="46"/>
  <c r="P245" i="46"/>
  <c r="Q245" i="46"/>
  <c r="R245" i="46"/>
  <c r="S245" i="46"/>
  <c r="L246" i="46"/>
  <c r="N246" i="46" s="1"/>
  <c r="M246" i="46"/>
  <c r="O246" i="46"/>
  <c r="P246" i="46"/>
  <c r="Q246" i="46"/>
  <c r="R246" i="46"/>
  <c r="S246" i="46"/>
  <c r="L247" i="46"/>
  <c r="N247" i="46" s="1"/>
  <c r="M247" i="46"/>
  <c r="O247" i="46"/>
  <c r="P247" i="46"/>
  <c r="Q247" i="46"/>
  <c r="R247" i="46"/>
  <c r="S247" i="46"/>
  <c r="L248" i="46"/>
  <c r="N248" i="46"/>
  <c r="O248" i="46"/>
  <c r="P248" i="46"/>
  <c r="Q248" i="46"/>
  <c r="R248" i="46"/>
  <c r="S248" i="46"/>
  <c r="L249" i="46"/>
  <c r="N249" i="46" s="1"/>
  <c r="M249" i="46"/>
  <c r="O249" i="46"/>
  <c r="P249" i="46"/>
  <c r="Q249" i="46"/>
  <c r="R249" i="46"/>
  <c r="S249" i="46"/>
  <c r="L250" i="46"/>
  <c r="N250" i="46" s="1"/>
  <c r="M250" i="46"/>
  <c r="O250" i="46"/>
  <c r="P250" i="46"/>
  <c r="Q250" i="46"/>
  <c r="R250" i="46"/>
  <c r="S250" i="46"/>
  <c r="L251" i="46"/>
  <c r="N251" i="46"/>
  <c r="O251" i="46"/>
  <c r="P251" i="46"/>
  <c r="Q251" i="46"/>
  <c r="R251" i="46"/>
  <c r="S251" i="46"/>
  <c r="L252" i="46"/>
  <c r="M252" i="46"/>
  <c r="O252" i="46"/>
  <c r="P252" i="46"/>
  <c r="Q252" i="46"/>
  <c r="R252" i="46"/>
  <c r="S252" i="46"/>
  <c r="L253" i="46"/>
  <c r="M253" i="46"/>
  <c r="O253" i="46"/>
  <c r="P253" i="46"/>
  <c r="Q253" i="46"/>
  <c r="R253" i="46"/>
  <c r="S253" i="46"/>
  <c r="L254" i="46"/>
  <c r="N254" i="46"/>
  <c r="O254" i="46"/>
  <c r="P254" i="46"/>
  <c r="Q254" i="46"/>
  <c r="R254" i="46"/>
  <c r="S254" i="46"/>
  <c r="L255" i="46"/>
  <c r="N255" i="46" s="1"/>
  <c r="M255" i="46"/>
  <c r="O255" i="46"/>
  <c r="P255" i="46"/>
  <c r="Q255" i="46"/>
  <c r="R255" i="46"/>
  <c r="S255" i="46"/>
  <c r="L256" i="46"/>
  <c r="N256" i="46" s="1"/>
  <c r="M256" i="46"/>
  <c r="O256" i="46"/>
  <c r="P256" i="46"/>
  <c r="Q256" i="46"/>
  <c r="R256" i="46"/>
  <c r="S256" i="46"/>
  <c r="L257" i="46"/>
  <c r="N257" i="46"/>
  <c r="O257" i="46"/>
  <c r="P257" i="46"/>
  <c r="Q257" i="46"/>
  <c r="R257" i="46"/>
  <c r="S257" i="46"/>
  <c r="L258" i="46"/>
  <c r="N258" i="46" s="1"/>
  <c r="M258" i="46"/>
  <c r="O258" i="46"/>
  <c r="P258" i="46"/>
  <c r="Q258" i="46"/>
  <c r="R258" i="46"/>
  <c r="S258" i="46"/>
  <c r="L259" i="46"/>
  <c r="N259" i="46" s="1"/>
  <c r="M259" i="46"/>
  <c r="O259" i="46"/>
  <c r="P259" i="46"/>
  <c r="Q259" i="46"/>
  <c r="R259" i="46"/>
  <c r="S259" i="46"/>
  <c r="L260" i="46"/>
  <c r="N260" i="46"/>
  <c r="O260" i="46"/>
  <c r="P260" i="46"/>
  <c r="Q260" i="46"/>
  <c r="R260" i="46"/>
  <c r="S260" i="46"/>
  <c r="L261" i="46"/>
  <c r="N261" i="46" s="1"/>
  <c r="M261" i="46"/>
  <c r="O261" i="46"/>
  <c r="P261" i="46"/>
  <c r="Q261" i="46"/>
  <c r="R261" i="46"/>
  <c r="S261" i="46"/>
  <c r="L262" i="46"/>
  <c r="N262" i="46" s="1"/>
  <c r="M262" i="46"/>
  <c r="O262" i="46"/>
  <c r="P262" i="46"/>
  <c r="Q262" i="46"/>
  <c r="R262" i="46"/>
  <c r="S262" i="46"/>
  <c r="L263" i="46"/>
  <c r="N263" i="46"/>
  <c r="O263" i="46"/>
  <c r="P263" i="46"/>
  <c r="Q263" i="46"/>
  <c r="R263" i="46"/>
  <c r="S263" i="46"/>
  <c r="L264" i="46"/>
  <c r="M264" i="46"/>
  <c r="O264" i="46"/>
  <c r="P264" i="46"/>
  <c r="Q264" i="46"/>
  <c r="R264" i="46"/>
  <c r="S264" i="46"/>
  <c r="L265" i="46"/>
  <c r="M265" i="46"/>
  <c r="O265" i="46"/>
  <c r="P265" i="46"/>
  <c r="Q265" i="46"/>
  <c r="R265" i="46"/>
  <c r="S265" i="46"/>
  <c r="L266" i="46"/>
  <c r="N266" i="46"/>
  <c r="O266" i="46"/>
  <c r="P266" i="46"/>
  <c r="Q266" i="46"/>
  <c r="R266" i="46"/>
  <c r="S266" i="46"/>
  <c r="L267" i="46"/>
  <c r="N267" i="46" s="1"/>
  <c r="M267" i="46"/>
  <c r="O267" i="46"/>
  <c r="P267" i="46"/>
  <c r="Q267" i="46"/>
  <c r="R267" i="46"/>
  <c r="S267" i="46"/>
  <c r="L268" i="46"/>
  <c r="N268" i="46" s="1"/>
  <c r="M268" i="46"/>
  <c r="O268" i="46"/>
  <c r="P268" i="46"/>
  <c r="Q268" i="46"/>
  <c r="R268" i="46"/>
  <c r="S268" i="46"/>
  <c r="L269" i="46"/>
  <c r="N269" i="46"/>
  <c r="O269" i="46"/>
  <c r="P269" i="46"/>
  <c r="Q269" i="46"/>
  <c r="R269" i="46"/>
  <c r="S269" i="46"/>
  <c r="L270" i="46"/>
  <c r="O270" i="46" s="1"/>
  <c r="M270" i="46"/>
  <c r="N270" i="46"/>
  <c r="P270" i="46"/>
  <c r="Q270" i="46"/>
  <c r="R270" i="46"/>
  <c r="S270" i="46"/>
  <c r="L271" i="46"/>
  <c r="O271" i="46" s="1"/>
  <c r="M271" i="46"/>
  <c r="N271" i="46"/>
  <c r="P271" i="46"/>
  <c r="Q271" i="46"/>
  <c r="R271" i="46"/>
  <c r="S271" i="46"/>
  <c r="L272" i="46"/>
  <c r="N272" i="46"/>
  <c r="O272" i="46"/>
  <c r="P272" i="46"/>
  <c r="Q272" i="46"/>
  <c r="R272" i="46"/>
  <c r="S272" i="46"/>
  <c r="L273" i="46"/>
  <c r="M273" i="46"/>
  <c r="N273" i="46"/>
  <c r="O273" i="46"/>
  <c r="P273" i="46"/>
  <c r="Q273" i="46"/>
  <c r="R273" i="46"/>
  <c r="S273" i="46"/>
  <c r="L274" i="46"/>
  <c r="N274" i="46" s="1"/>
  <c r="M274" i="46"/>
  <c r="O274" i="46"/>
  <c r="P274" i="46"/>
  <c r="Q274" i="46"/>
  <c r="R274" i="46"/>
  <c r="S274" i="46"/>
  <c r="L275" i="46"/>
  <c r="N275" i="46" s="1"/>
  <c r="M275" i="46"/>
  <c r="O275" i="46"/>
  <c r="P275" i="46"/>
  <c r="Q275" i="46"/>
  <c r="R275" i="46"/>
  <c r="S275" i="46"/>
  <c r="L276" i="46"/>
  <c r="N276" i="46"/>
  <c r="O276" i="46"/>
  <c r="P276" i="46"/>
  <c r="Q276" i="46"/>
  <c r="R276" i="46"/>
  <c r="S276" i="46"/>
  <c r="L277" i="46"/>
  <c r="N277" i="46" s="1"/>
  <c r="M277" i="46"/>
  <c r="O277" i="46"/>
  <c r="P277" i="46"/>
  <c r="Q277" i="46"/>
  <c r="R277" i="46"/>
  <c r="S277" i="46"/>
  <c r="L278" i="46"/>
  <c r="N278" i="46" s="1"/>
  <c r="M278" i="46"/>
  <c r="O278" i="46"/>
  <c r="P278" i="46"/>
  <c r="Q278" i="46"/>
  <c r="R278" i="46"/>
  <c r="S278" i="46"/>
  <c r="L279" i="46"/>
  <c r="N279" i="46"/>
  <c r="O279" i="46"/>
  <c r="P279" i="46"/>
  <c r="Q279" i="46"/>
  <c r="R279" i="46"/>
  <c r="S279" i="46"/>
  <c r="L280" i="46"/>
  <c r="N280" i="46" s="1"/>
  <c r="M280" i="46"/>
  <c r="O280" i="46"/>
  <c r="P280" i="46"/>
  <c r="Q280" i="46"/>
  <c r="R280" i="46"/>
  <c r="S280" i="46"/>
  <c r="L281" i="46"/>
  <c r="N281" i="46" s="1"/>
  <c r="M281" i="46"/>
  <c r="O281" i="46"/>
  <c r="P281" i="46"/>
  <c r="Q281" i="46"/>
  <c r="R281" i="46"/>
  <c r="S281" i="46"/>
  <c r="L282" i="46"/>
  <c r="N282" i="46"/>
  <c r="O282" i="46"/>
  <c r="P282" i="46"/>
  <c r="Q282" i="46"/>
  <c r="R282" i="46"/>
  <c r="S282" i="46"/>
  <c r="L283" i="46"/>
  <c r="N283" i="46" s="1"/>
  <c r="M283" i="46"/>
  <c r="O283" i="46"/>
  <c r="P283" i="46"/>
  <c r="Q283" i="46"/>
  <c r="R283" i="46"/>
  <c r="S283" i="46"/>
  <c r="L284" i="46"/>
  <c r="N284" i="46" s="1"/>
  <c r="M284" i="46"/>
  <c r="O284" i="46"/>
  <c r="P284" i="46"/>
  <c r="Q284" i="46"/>
  <c r="R284" i="46"/>
  <c r="S284" i="46"/>
  <c r="L285" i="46"/>
  <c r="N285" i="46"/>
  <c r="O285" i="46"/>
  <c r="P285" i="46"/>
  <c r="Q285" i="46"/>
  <c r="R285" i="46"/>
  <c r="S285" i="46"/>
  <c r="L286" i="46"/>
  <c r="M286" i="46"/>
  <c r="N286" i="46"/>
  <c r="O286" i="46"/>
  <c r="P286" i="46"/>
  <c r="Q286" i="46"/>
  <c r="R286" i="46"/>
  <c r="S286" i="46"/>
  <c r="L287" i="46"/>
  <c r="M287" i="46"/>
  <c r="N287" i="46"/>
  <c r="O287" i="46"/>
  <c r="P287" i="46"/>
  <c r="Q287" i="46"/>
  <c r="R287" i="46"/>
  <c r="S287" i="46"/>
  <c r="L288" i="46"/>
  <c r="M288" i="46"/>
  <c r="N288" i="46"/>
  <c r="O288" i="46"/>
  <c r="P288" i="46"/>
  <c r="Q288" i="46"/>
  <c r="R288" i="46"/>
  <c r="S288" i="46"/>
  <c r="L289" i="46"/>
  <c r="N289" i="46" s="1"/>
  <c r="M289" i="46"/>
  <c r="O289" i="46"/>
  <c r="P289" i="46"/>
  <c r="Q289" i="46"/>
  <c r="R289" i="46"/>
  <c r="S289" i="46"/>
  <c r="L290" i="46"/>
  <c r="N290" i="46" s="1"/>
  <c r="M290" i="46"/>
  <c r="O290" i="46"/>
  <c r="P290" i="46"/>
  <c r="Q290" i="46"/>
  <c r="R290" i="46"/>
  <c r="S290" i="46"/>
  <c r="L291" i="46"/>
  <c r="N291" i="46"/>
  <c r="O291" i="46"/>
  <c r="P291" i="46"/>
  <c r="Q291" i="46"/>
  <c r="R291" i="46"/>
  <c r="S291" i="46"/>
  <c r="L292" i="46"/>
  <c r="N292" i="46" s="1"/>
  <c r="M292" i="46"/>
  <c r="O292" i="46"/>
  <c r="P292" i="46"/>
  <c r="Q292" i="46"/>
  <c r="R292" i="46"/>
  <c r="S292" i="46"/>
  <c r="L293" i="46"/>
  <c r="N293" i="46" s="1"/>
  <c r="M293" i="46"/>
  <c r="O293" i="46"/>
  <c r="P293" i="46"/>
  <c r="Q293" i="46"/>
  <c r="R293" i="46"/>
  <c r="S293" i="46"/>
  <c r="L294" i="46"/>
  <c r="N294" i="46"/>
  <c r="O294" i="46"/>
  <c r="P294" i="46"/>
  <c r="Q294" i="46"/>
  <c r="R294" i="46"/>
  <c r="S294" i="46"/>
  <c r="L295" i="46"/>
  <c r="N295" i="46" s="1"/>
  <c r="M295" i="46"/>
  <c r="O295" i="46"/>
  <c r="P295" i="46"/>
  <c r="Q295" i="46"/>
  <c r="R295" i="46"/>
  <c r="S295" i="46"/>
  <c r="L296" i="46"/>
  <c r="N296" i="46" s="1"/>
  <c r="M296" i="46"/>
  <c r="O296" i="46"/>
  <c r="P296" i="46"/>
  <c r="Q296" i="46"/>
  <c r="R296" i="46"/>
  <c r="S296" i="46"/>
  <c r="L297" i="46"/>
  <c r="N297" i="46"/>
  <c r="O297" i="46"/>
  <c r="P297" i="46"/>
  <c r="Q297" i="46"/>
  <c r="R297" i="46"/>
  <c r="S297" i="46"/>
  <c r="L298" i="46"/>
  <c r="M298" i="46"/>
  <c r="O298" i="46"/>
  <c r="P298" i="46"/>
  <c r="Q298" i="46"/>
  <c r="R298" i="46"/>
  <c r="S298" i="46"/>
  <c r="L299" i="46"/>
  <c r="M299" i="46"/>
  <c r="O299" i="46"/>
  <c r="P299" i="46"/>
  <c r="Q299" i="46"/>
  <c r="R299" i="46"/>
  <c r="S299" i="46"/>
  <c r="L300" i="46"/>
  <c r="N300" i="46"/>
  <c r="O300" i="46"/>
  <c r="P300" i="46"/>
  <c r="Q300" i="46"/>
  <c r="R300" i="46"/>
  <c r="S300" i="46"/>
  <c r="L301" i="46"/>
  <c r="M301" i="46"/>
  <c r="O301" i="46"/>
  <c r="P301" i="46"/>
  <c r="Q301" i="46"/>
  <c r="R301" i="46"/>
  <c r="S301" i="46"/>
  <c r="L302" i="46"/>
  <c r="M302" i="46"/>
  <c r="O302" i="46"/>
  <c r="P302" i="46"/>
  <c r="Q302" i="46"/>
  <c r="R302" i="46"/>
  <c r="S302" i="46"/>
  <c r="L303" i="46"/>
  <c r="N303" i="46"/>
  <c r="O303" i="46"/>
  <c r="P303" i="46"/>
  <c r="Q303" i="46"/>
  <c r="R303" i="46"/>
  <c r="S303" i="46"/>
  <c r="L304" i="46"/>
  <c r="M304" i="46"/>
  <c r="O304" i="46"/>
  <c r="P304" i="46"/>
  <c r="Q304" i="46"/>
  <c r="R304" i="46"/>
  <c r="S304" i="46"/>
  <c r="L305" i="46"/>
  <c r="M305" i="46"/>
  <c r="O305" i="46"/>
  <c r="P305" i="46"/>
  <c r="Q305" i="46"/>
  <c r="R305" i="46"/>
  <c r="S305" i="46"/>
  <c r="L306" i="46"/>
  <c r="N306" i="46"/>
  <c r="O306" i="46"/>
  <c r="P306" i="46"/>
  <c r="Q306" i="46"/>
  <c r="R306" i="46"/>
  <c r="S306" i="46"/>
  <c r="L307" i="46"/>
  <c r="N307" i="46" s="1"/>
  <c r="M307" i="46"/>
  <c r="O307" i="46"/>
  <c r="P307" i="46"/>
  <c r="Q307" i="46"/>
  <c r="R307" i="46"/>
  <c r="S307" i="46"/>
  <c r="L308" i="46"/>
  <c r="N308" i="46" s="1"/>
  <c r="M308" i="46"/>
  <c r="O308" i="46"/>
  <c r="P308" i="46"/>
  <c r="Q308" i="46"/>
  <c r="R308" i="46"/>
  <c r="S308" i="46"/>
  <c r="L309" i="46"/>
  <c r="N309" i="46"/>
  <c r="O309" i="46"/>
  <c r="P309" i="46"/>
  <c r="Q309" i="46"/>
  <c r="R309" i="46"/>
  <c r="S309" i="46"/>
  <c r="L310" i="46"/>
  <c r="N310" i="46" s="1"/>
  <c r="M310" i="46"/>
  <c r="O310" i="46"/>
  <c r="P310" i="46"/>
  <c r="Q310" i="46"/>
  <c r="R310" i="46"/>
  <c r="S310" i="46"/>
  <c r="L311" i="46"/>
  <c r="N311" i="46" s="1"/>
  <c r="M311" i="46"/>
  <c r="O311" i="46"/>
  <c r="P311" i="46"/>
  <c r="Q311" i="46"/>
  <c r="R311" i="46"/>
  <c r="S311" i="46"/>
  <c r="L312" i="46"/>
  <c r="N312" i="46"/>
  <c r="O312" i="46"/>
  <c r="P312" i="46"/>
  <c r="Q312" i="46"/>
  <c r="R312" i="46"/>
  <c r="S312" i="46"/>
  <c r="L313" i="46"/>
  <c r="N313" i="46" s="1"/>
  <c r="M313" i="46"/>
  <c r="O313" i="46"/>
  <c r="P313" i="46"/>
  <c r="Q313" i="46"/>
  <c r="R313" i="46"/>
  <c r="S313" i="46"/>
  <c r="L314" i="46"/>
  <c r="N314" i="46" s="1"/>
  <c r="M314" i="46"/>
  <c r="O314" i="46"/>
  <c r="P314" i="46"/>
  <c r="Q314" i="46"/>
  <c r="R314" i="46"/>
  <c r="S314" i="46"/>
  <c r="L315" i="46"/>
  <c r="N315" i="46"/>
  <c r="O315" i="46"/>
  <c r="P315" i="46"/>
  <c r="Q315" i="46"/>
  <c r="R315" i="46"/>
  <c r="S315" i="46"/>
  <c r="L316" i="46"/>
  <c r="N316" i="46" s="1"/>
  <c r="M316" i="46"/>
  <c r="O316" i="46"/>
  <c r="P316" i="46"/>
  <c r="Q316" i="46"/>
  <c r="R316" i="46"/>
  <c r="S316" i="46"/>
  <c r="L317" i="46"/>
  <c r="N317" i="46" s="1"/>
  <c r="M317" i="46"/>
  <c r="O317" i="46"/>
  <c r="P317" i="46"/>
  <c r="Q317" i="46"/>
  <c r="R317" i="46"/>
  <c r="S317" i="46"/>
  <c r="L318" i="46"/>
  <c r="N318" i="46"/>
  <c r="O318" i="46"/>
  <c r="P318" i="46"/>
  <c r="Q318" i="46"/>
  <c r="R318" i="46"/>
  <c r="S318" i="46"/>
  <c r="L319" i="46"/>
  <c r="M319" i="46"/>
  <c r="O319" i="46"/>
  <c r="P319" i="46"/>
  <c r="Q319" i="46"/>
  <c r="R319" i="46"/>
  <c r="S319" i="46"/>
  <c r="L320" i="46"/>
  <c r="M320" i="46"/>
  <c r="O320" i="46"/>
  <c r="P320" i="46"/>
  <c r="Q320" i="46"/>
  <c r="R320" i="46"/>
  <c r="S320" i="46"/>
  <c r="L321" i="46"/>
  <c r="N321" i="46"/>
  <c r="O321" i="46"/>
  <c r="P321" i="46"/>
  <c r="Q321" i="46"/>
  <c r="R321" i="46"/>
  <c r="S321" i="46"/>
  <c r="L322" i="46"/>
  <c r="N322" i="46" s="1"/>
  <c r="M322" i="46"/>
  <c r="O322" i="46"/>
  <c r="P322" i="46"/>
  <c r="Q322" i="46"/>
  <c r="R322" i="46"/>
  <c r="S322" i="46"/>
  <c r="L323" i="46"/>
  <c r="N323" i="46" s="1"/>
  <c r="M323" i="46"/>
  <c r="O323" i="46"/>
  <c r="P323" i="46"/>
  <c r="Q323" i="46"/>
  <c r="R323" i="46"/>
  <c r="S323" i="46"/>
  <c r="L324" i="46"/>
  <c r="N324" i="46"/>
  <c r="O324" i="46"/>
  <c r="P324" i="46"/>
  <c r="Q324" i="46"/>
  <c r="R324" i="46"/>
  <c r="S324" i="46"/>
  <c r="L325" i="46"/>
  <c r="N325" i="46" s="1"/>
  <c r="M325" i="46"/>
  <c r="O325" i="46"/>
  <c r="P325" i="46"/>
  <c r="Q325" i="46"/>
  <c r="R325" i="46"/>
  <c r="S325" i="46"/>
  <c r="L326" i="46"/>
  <c r="N326" i="46" s="1"/>
  <c r="M326" i="46"/>
  <c r="O326" i="46"/>
  <c r="P326" i="46"/>
  <c r="Q326" i="46"/>
  <c r="R326" i="46"/>
  <c r="S326" i="46"/>
  <c r="L327" i="46"/>
  <c r="N327" i="46"/>
  <c r="O327" i="46"/>
  <c r="P327" i="46"/>
  <c r="Q327" i="46"/>
  <c r="R327" i="46"/>
  <c r="S327" i="46"/>
  <c r="L328" i="46"/>
  <c r="N328" i="46" s="1"/>
  <c r="M328" i="46"/>
  <c r="O328" i="46"/>
  <c r="P328" i="46"/>
  <c r="Q328" i="46"/>
  <c r="R328" i="46"/>
  <c r="S328" i="46"/>
  <c r="L329" i="46"/>
  <c r="N329" i="46" s="1"/>
  <c r="M329" i="46"/>
  <c r="O329" i="46"/>
  <c r="P329" i="46"/>
  <c r="Q329" i="46"/>
  <c r="R329" i="46"/>
  <c r="S329" i="46"/>
  <c r="L330" i="46"/>
  <c r="N330" i="46"/>
  <c r="O330" i="46"/>
  <c r="P330" i="46"/>
  <c r="Q330" i="46"/>
  <c r="R330" i="46"/>
  <c r="S330" i="46"/>
  <c r="L331" i="46"/>
  <c r="N331" i="46" s="1"/>
  <c r="M331" i="46"/>
  <c r="O331" i="46"/>
  <c r="P331" i="46"/>
  <c r="Q331" i="46"/>
  <c r="R331" i="46"/>
  <c r="S331" i="46"/>
  <c r="L332" i="46"/>
  <c r="N332" i="46" s="1"/>
  <c r="M332" i="46"/>
  <c r="O332" i="46"/>
  <c r="P332" i="46"/>
  <c r="Q332" i="46"/>
  <c r="R332" i="46"/>
  <c r="S332" i="46"/>
  <c r="L333" i="46"/>
  <c r="N333" i="46"/>
  <c r="O333" i="46"/>
  <c r="P333" i="46"/>
  <c r="Q333" i="46"/>
  <c r="R333" i="46"/>
  <c r="S333" i="46"/>
  <c r="L334" i="46"/>
  <c r="N334" i="46" s="1"/>
  <c r="M334" i="46"/>
  <c r="O334" i="46"/>
  <c r="P334" i="46"/>
  <c r="Q334" i="46"/>
  <c r="R334" i="46"/>
  <c r="S334" i="46"/>
  <c r="L335" i="46"/>
  <c r="N335" i="46" s="1"/>
  <c r="M335" i="46"/>
  <c r="O335" i="46"/>
  <c r="P335" i="46"/>
  <c r="Q335" i="46"/>
  <c r="R335" i="46"/>
  <c r="S335" i="46"/>
  <c r="L336" i="46"/>
  <c r="N336" i="46"/>
  <c r="O336" i="46"/>
  <c r="P336" i="46"/>
  <c r="Q336" i="46"/>
  <c r="R336" i="46"/>
  <c r="S336" i="46"/>
  <c r="L337" i="46"/>
  <c r="N337" i="46" s="1"/>
  <c r="M337" i="46"/>
  <c r="O337" i="46"/>
  <c r="P337" i="46"/>
  <c r="Q337" i="46"/>
  <c r="R337" i="46"/>
  <c r="S337" i="46"/>
  <c r="L338" i="46"/>
  <c r="N338" i="46" s="1"/>
  <c r="M338" i="46"/>
  <c r="O338" i="46"/>
  <c r="P338" i="46"/>
  <c r="Q338" i="46"/>
  <c r="R338" i="46"/>
  <c r="S338" i="46"/>
  <c r="L339" i="46"/>
  <c r="N339" i="46"/>
  <c r="O339" i="46"/>
  <c r="P339" i="46"/>
  <c r="Q339" i="46"/>
  <c r="R339" i="46"/>
  <c r="S339" i="46"/>
  <c r="L340" i="46"/>
  <c r="O340" i="46" s="1"/>
  <c r="M340" i="46"/>
  <c r="N340" i="46"/>
  <c r="P340" i="46"/>
  <c r="Q340" i="46"/>
  <c r="R340" i="46"/>
  <c r="S340" i="46"/>
  <c r="L341" i="46"/>
  <c r="O341" i="46" s="1"/>
  <c r="M341" i="46"/>
  <c r="N341" i="46"/>
  <c r="P341" i="46"/>
  <c r="Q341" i="46"/>
  <c r="R341" i="46"/>
  <c r="S341" i="46"/>
  <c r="L342" i="46"/>
  <c r="N342" i="46"/>
  <c r="O342" i="46"/>
  <c r="P342" i="46"/>
  <c r="Q342" i="46"/>
  <c r="R342" i="46"/>
  <c r="S342" i="46"/>
  <c r="L343" i="46"/>
  <c r="M343" i="46"/>
  <c r="N343" i="46"/>
  <c r="O343" i="46"/>
  <c r="P343" i="46"/>
  <c r="Q343" i="46"/>
  <c r="R343" i="46"/>
  <c r="S343" i="46"/>
  <c r="L344" i="46"/>
  <c r="N344" i="46" s="1"/>
  <c r="M344" i="46"/>
  <c r="O344" i="46"/>
  <c r="P344" i="46"/>
  <c r="Q344" i="46"/>
  <c r="R344" i="46"/>
  <c r="S344" i="46"/>
  <c r="L345" i="46"/>
  <c r="N345" i="46" s="1"/>
  <c r="M345" i="46"/>
  <c r="O345" i="46"/>
  <c r="P345" i="46"/>
  <c r="Q345" i="46"/>
  <c r="R345" i="46"/>
  <c r="S345" i="46"/>
  <c r="L346" i="46"/>
  <c r="N346" i="46"/>
  <c r="O346" i="46"/>
  <c r="P346" i="46"/>
  <c r="Q346" i="46"/>
  <c r="R346" i="46"/>
  <c r="S346" i="46"/>
  <c r="L347" i="46"/>
  <c r="N347" i="46" s="1"/>
  <c r="M347" i="46"/>
  <c r="O347" i="46"/>
  <c r="P347" i="46"/>
  <c r="Q347" i="46"/>
  <c r="R347" i="46"/>
  <c r="S347" i="46"/>
  <c r="L348" i="46"/>
  <c r="N348" i="46" s="1"/>
  <c r="M348" i="46"/>
  <c r="O348" i="46"/>
  <c r="P348" i="46"/>
  <c r="Q348" i="46"/>
  <c r="R348" i="46"/>
  <c r="S348" i="46"/>
  <c r="L349" i="46"/>
  <c r="N349" i="46"/>
  <c r="O349" i="46"/>
  <c r="P349" i="46"/>
  <c r="Q349" i="46"/>
  <c r="R349" i="46"/>
  <c r="S349" i="46"/>
  <c r="L350" i="46"/>
  <c r="N350" i="46" s="1"/>
  <c r="M350" i="46"/>
  <c r="O350" i="46"/>
  <c r="P350" i="46"/>
  <c r="Q350" i="46"/>
  <c r="R350" i="46"/>
  <c r="S350" i="46"/>
  <c r="L351" i="46"/>
  <c r="N351" i="46" s="1"/>
  <c r="M351" i="46"/>
  <c r="O351" i="46"/>
  <c r="P351" i="46"/>
  <c r="Q351" i="46"/>
  <c r="R351" i="46"/>
  <c r="S351" i="46"/>
  <c r="L352" i="46"/>
  <c r="N352" i="46"/>
  <c r="O352" i="46"/>
  <c r="P352" i="46"/>
  <c r="Q352" i="46"/>
  <c r="R352" i="46"/>
  <c r="S352" i="46"/>
  <c r="L353" i="46"/>
  <c r="N353" i="46" s="1"/>
  <c r="M353" i="46"/>
  <c r="O353" i="46"/>
  <c r="P353" i="46"/>
  <c r="Q353" i="46"/>
  <c r="R353" i="46"/>
  <c r="S353" i="46"/>
  <c r="L354" i="46"/>
  <c r="N354" i="46" s="1"/>
  <c r="M354" i="46"/>
  <c r="O354" i="46"/>
  <c r="P354" i="46"/>
  <c r="Q354" i="46"/>
  <c r="R354" i="46"/>
  <c r="S354" i="46"/>
  <c r="L355" i="46"/>
  <c r="M355" i="46" s="1"/>
  <c r="N355" i="46"/>
  <c r="O355" i="46"/>
  <c r="P355" i="46"/>
  <c r="Q355" i="46"/>
  <c r="R355" i="46"/>
  <c r="S355" i="46"/>
  <c r="L356" i="46"/>
  <c r="N356" i="46" s="1"/>
  <c r="M356" i="46"/>
  <c r="O356" i="46"/>
  <c r="P356" i="46"/>
  <c r="Q356" i="46"/>
  <c r="R356" i="46"/>
  <c r="S356" i="46"/>
  <c r="L357" i="46"/>
  <c r="N357" i="46" s="1"/>
  <c r="M357" i="46"/>
  <c r="O357" i="46"/>
  <c r="P357" i="46"/>
  <c r="Q357" i="46"/>
  <c r="R357" i="46"/>
  <c r="S357" i="46"/>
  <c r="L358" i="46"/>
  <c r="N358" i="46"/>
  <c r="O358" i="46"/>
  <c r="P358" i="46"/>
  <c r="Q358" i="46"/>
  <c r="R358" i="46"/>
  <c r="S358" i="46"/>
  <c r="L359" i="46"/>
  <c r="N359" i="46" s="1"/>
  <c r="M359" i="46"/>
  <c r="O359" i="46"/>
  <c r="P359" i="46"/>
  <c r="Q359" i="46"/>
  <c r="R359" i="46"/>
  <c r="S359" i="46"/>
  <c r="L360" i="46"/>
  <c r="N360" i="46" s="1"/>
  <c r="M360" i="46"/>
  <c r="O360" i="46"/>
  <c r="P360" i="46"/>
  <c r="Q360" i="46"/>
  <c r="R360" i="46"/>
  <c r="S360" i="46"/>
  <c r="L361" i="46"/>
  <c r="N361" i="46"/>
  <c r="O361" i="46"/>
  <c r="P361" i="46"/>
  <c r="Q361" i="46"/>
  <c r="R361" i="46"/>
  <c r="S361" i="46"/>
  <c r="L362" i="46"/>
  <c r="M362" i="46"/>
  <c r="N362" i="46"/>
  <c r="O362" i="46"/>
  <c r="P362" i="46"/>
  <c r="Q362" i="46"/>
  <c r="R362" i="46"/>
  <c r="S362" i="46"/>
  <c r="L363" i="46"/>
  <c r="M363" i="46"/>
  <c r="N363" i="46"/>
  <c r="O363" i="46"/>
  <c r="P363" i="46"/>
  <c r="Q363" i="46"/>
  <c r="R363" i="46"/>
  <c r="S363" i="46"/>
  <c r="L364" i="46"/>
  <c r="N364" i="46" s="1"/>
  <c r="M364" i="46"/>
  <c r="O364" i="46"/>
  <c r="P364" i="46"/>
  <c r="Q364" i="46"/>
  <c r="R364" i="46"/>
  <c r="S364" i="46"/>
  <c r="L365" i="46"/>
  <c r="N365" i="46" s="1"/>
  <c r="M365" i="46"/>
  <c r="O365" i="46"/>
  <c r="P365" i="46"/>
  <c r="Q365" i="46"/>
  <c r="R365" i="46"/>
  <c r="S365" i="46"/>
  <c r="L366" i="46"/>
  <c r="N366" i="46"/>
  <c r="O366" i="46"/>
  <c r="P366" i="46"/>
  <c r="Q366" i="46"/>
  <c r="R366" i="46"/>
  <c r="S366" i="46"/>
  <c r="L367" i="46"/>
  <c r="N367" i="46" s="1"/>
  <c r="M367" i="46"/>
  <c r="O367" i="46"/>
  <c r="P367" i="46"/>
  <c r="Q367" i="46"/>
  <c r="R367" i="46"/>
  <c r="S367" i="46"/>
  <c r="L368" i="46"/>
  <c r="N368" i="46" s="1"/>
  <c r="M368" i="46"/>
  <c r="O368" i="46"/>
  <c r="P368" i="46"/>
  <c r="Q368" i="46"/>
  <c r="R368" i="46"/>
  <c r="S368" i="46"/>
  <c r="L369" i="46"/>
  <c r="N369" i="46"/>
  <c r="O369" i="46"/>
  <c r="P369" i="46"/>
  <c r="Q369" i="46"/>
  <c r="R369" i="46"/>
  <c r="S369" i="46"/>
  <c r="L370" i="46"/>
  <c r="M370" i="46"/>
  <c r="O370" i="46"/>
  <c r="P370" i="46"/>
  <c r="Q370" i="46"/>
  <c r="R370" i="46"/>
  <c r="S370" i="46"/>
  <c r="L371" i="46"/>
  <c r="M371" i="46"/>
  <c r="O371" i="46"/>
  <c r="P371" i="46"/>
  <c r="Q371" i="46"/>
  <c r="R371" i="46"/>
  <c r="S371" i="46"/>
  <c r="L372" i="46"/>
  <c r="N372" i="46"/>
  <c r="O372" i="46"/>
  <c r="P372" i="46"/>
  <c r="Q372" i="46"/>
  <c r="R372" i="46"/>
  <c r="S372" i="46"/>
  <c r="L373" i="46"/>
  <c r="N373" i="46" s="1"/>
  <c r="M373" i="46"/>
  <c r="O373" i="46"/>
  <c r="P373" i="46"/>
  <c r="Q373" i="46"/>
  <c r="R373" i="46"/>
  <c r="S373" i="46"/>
  <c r="L374" i="46"/>
  <c r="N374" i="46" s="1"/>
  <c r="M374" i="46"/>
  <c r="O374" i="46"/>
  <c r="P374" i="46"/>
  <c r="Q374" i="46"/>
  <c r="R374" i="46"/>
  <c r="S374" i="46"/>
  <c r="L375" i="46"/>
  <c r="N375" i="46"/>
  <c r="O375" i="46"/>
  <c r="P375" i="46"/>
  <c r="Q375" i="46"/>
  <c r="R375" i="46"/>
  <c r="S375" i="46"/>
  <c r="L376" i="46"/>
  <c r="M376" i="46"/>
  <c r="O376" i="46"/>
  <c r="P376" i="46"/>
  <c r="Q376" i="46"/>
  <c r="R376" i="46"/>
  <c r="S376" i="46"/>
  <c r="L377" i="46"/>
  <c r="M377" i="46"/>
  <c r="O377" i="46"/>
  <c r="P377" i="46"/>
  <c r="Q377" i="46"/>
  <c r="R377" i="46"/>
  <c r="S377" i="46"/>
  <c r="L378" i="46"/>
  <c r="N378" i="46"/>
  <c r="O378" i="46"/>
  <c r="P378" i="46"/>
  <c r="Q378" i="46"/>
  <c r="R378" i="46"/>
  <c r="S378" i="46"/>
  <c r="L379" i="46"/>
  <c r="N379" i="46" s="1"/>
  <c r="M379" i="46"/>
  <c r="O379" i="46"/>
  <c r="P379" i="46"/>
  <c r="Q379" i="46"/>
  <c r="R379" i="46"/>
  <c r="S379" i="46"/>
  <c r="L380" i="46"/>
  <c r="N380" i="46" s="1"/>
  <c r="M380" i="46"/>
  <c r="O380" i="46"/>
  <c r="P380" i="46"/>
  <c r="Q380" i="46"/>
  <c r="R380" i="46"/>
  <c r="S380" i="46"/>
  <c r="L381" i="46"/>
  <c r="N381" i="46"/>
  <c r="O381" i="46"/>
  <c r="P381" i="46"/>
  <c r="Q381" i="46"/>
  <c r="R381" i="46"/>
  <c r="S381" i="46"/>
  <c r="L382" i="46"/>
  <c r="N382" i="46" s="1"/>
  <c r="M382" i="46"/>
  <c r="O382" i="46"/>
  <c r="P382" i="46"/>
  <c r="Q382" i="46"/>
  <c r="R382" i="46"/>
  <c r="S382" i="46"/>
  <c r="L383" i="46"/>
  <c r="N383" i="46" s="1"/>
  <c r="M383" i="46"/>
  <c r="O383" i="46"/>
  <c r="P383" i="46"/>
  <c r="Q383" i="46"/>
  <c r="R383" i="46"/>
  <c r="S383" i="46"/>
  <c r="L384" i="46"/>
  <c r="N384" i="46"/>
  <c r="O384" i="46"/>
  <c r="P384" i="46"/>
  <c r="Q384" i="46"/>
  <c r="R384" i="46"/>
  <c r="S384" i="46"/>
  <c r="L385" i="46"/>
  <c r="O385" i="46" s="1"/>
  <c r="M385" i="46"/>
  <c r="N385" i="46"/>
  <c r="P385" i="46"/>
  <c r="Q385" i="46"/>
  <c r="R385" i="46"/>
  <c r="S385" i="46"/>
  <c r="L386" i="46"/>
  <c r="O386" i="46" s="1"/>
  <c r="M386" i="46"/>
  <c r="N386" i="46"/>
  <c r="P386" i="46"/>
  <c r="Q386" i="46"/>
  <c r="R386" i="46"/>
  <c r="S386" i="46"/>
  <c r="L387" i="46"/>
  <c r="N387" i="46"/>
  <c r="O387" i="46"/>
  <c r="P387" i="46"/>
  <c r="Q387" i="46"/>
  <c r="R387" i="46"/>
  <c r="S387" i="46"/>
  <c r="L388" i="46"/>
  <c r="M388" i="46"/>
  <c r="N388" i="46"/>
  <c r="O388" i="46"/>
  <c r="P388" i="46"/>
  <c r="Q388" i="46"/>
  <c r="R388" i="46"/>
  <c r="S388" i="46"/>
  <c r="L389" i="46"/>
  <c r="N389" i="46" s="1"/>
  <c r="M389" i="46"/>
  <c r="O389" i="46"/>
  <c r="P389" i="46"/>
  <c r="Q389" i="46"/>
  <c r="R389" i="46"/>
  <c r="S389" i="46"/>
  <c r="L390" i="46"/>
  <c r="N390" i="46" s="1"/>
  <c r="M390" i="46"/>
  <c r="O390" i="46"/>
  <c r="P390" i="46"/>
  <c r="Q390" i="46"/>
  <c r="R390" i="46"/>
  <c r="S390" i="46"/>
  <c r="L391" i="46"/>
  <c r="N391" i="46"/>
  <c r="O391" i="46"/>
  <c r="P391" i="46"/>
  <c r="Q391" i="46"/>
  <c r="R391" i="46"/>
  <c r="S391" i="46"/>
  <c r="L392" i="46"/>
  <c r="N392" i="46" s="1"/>
  <c r="M392" i="46"/>
  <c r="O392" i="46"/>
  <c r="P392" i="46"/>
  <c r="Q392" i="46"/>
  <c r="R392" i="46"/>
  <c r="S392" i="46"/>
  <c r="L393" i="46"/>
  <c r="N393" i="46" s="1"/>
  <c r="M393" i="46"/>
  <c r="O393" i="46"/>
  <c r="P393" i="46"/>
  <c r="Q393" i="46"/>
  <c r="R393" i="46"/>
  <c r="S393" i="46"/>
  <c r="L394" i="46"/>
  <c r="N394" i="46"/>
  <c r="O394" i="46"/>
  <c r="P394" i="46"/>
  <c r="Q394" i="46"/>
  <c r="R394" i="46"/>
  <c r="S394" i="46"/>
  <c r="L395" i="46"/>
  <c r="N395" i="46" s="1"/>
  <c r="M395" i="46"/>
  <c r="O395" i="46"/>
  <c r="P395" i="46"/>
  <c r="Q395" i="46"/>
  <c r="R395" i="46"/>
  <c r="S395" i="46"/>
  <c r="L396" i="46"/>
  <c r="N396" i="46" s="1"/>
  <c r="M396" i="46"/>
  <c r="O396" i="46"/>
  <c r="P396" i="46"/>
  <c r="Q396" i="46"/>
  <c r="R396" i="46"/>
  <c r="S396" i="46"/>
  <c r="L397" i="46"/>
  <c r="N397" i="46"/>
  <c r="O397" i="46"/>
  <c r="P397" i="46"/>
  <c r="Q397" i="46"/>
  <c r="R397" i="46"/>
  <c r="S397" i="46"/>
  <c r="L398" i="46"/>
  <c r="M398" i="46"/>
  <c r="N398" i="46"/>
  <c r="O398" i="46"/>
  <c r="P398" i="46"/>
  <c r="Q398" i="46"/>
  <c r="R398" i="46"/>
  <c r="S398" i="46"/>
  <c r="L399" i="46"/>
  <c r="M399" i="46"/>
  <c r="N399" i="46"/>
  <c r="O399" i="46"/>
  <c r="P399" i="46"/>
  <c r="Q399" i="46"/>
  <c r="R399" i="46"/>
  <c r="S399" i="46"/>
  <c r="L400" i="46"/>
  <c r="M400" i="46"/>
  <c r="N400" i="46"/>
  <c r="O400" i="46"/>
  <c r="P400" i="46"/>
  <c r="Q400" i="46"/>
  <c r="R400" i="46"/>
  <c r="S400" i="46"/>
  <c r="L401" i="46"/>
  <c r="N401" i="46" s="1"/>
  <c r="M401" i="46"/>
  <c r="O401" i="46"/>
  <c r="P401" i="46"/>
  <c r="Q401" i="46"/>
  <c r="R401" i="46"/>
  <c r="S401" i="46"/>
  <c r="L402" i="46"/>
  <c r="N402" i="46" s="1"/>
  <c r="M402" i="46"/>
  <c r="O402" i="46"/>
  <c r="P402" i="46"/>
  <c r="Q402" i="46"/>
  <c r="R402" i="46"/>
  <c r="S402" i="46"/>
  <c r="L403" i="46"/>
  <c r="N403" i="46"/>
  <c r="O403" i="46"/>
  <c r="P403" i="46"/>
  <c r="Q403" i="46"/>
  <c r="R403" i="46"/>
  <c r="S403" i="46"/>
  <c r="L404" i="46"/>
  <c r="N404" i="46" s="1"/>
  <c r="M404" i="46"/>
  <c r="O404" i="46"/>
  <c r="P404" i="46"/>
  <c r="Q404" i="46"/>
  <c r="R404" i="46"/>
  <c r="S404" i="46"/>
  <c r="L405" i="46"/>
  <c r="N405" i="46" s="1"/>
  <c r="M405" i="46"/>
  <c r="O405" i="46"/>
  <c r="P405" i="46"/>
  <c r="Q405" i="46"/>
  <c r="R405" i="46"/>
  <c r="S405" i="46"/>
  <c r="L406" i="46"/>
  <c r="N406" i="46"/>
  <c r="O406" i="46"/>
  <c r="P406" i="46"/>
  <c r="Q406" i="46"/>
  <c r="R406" i="46"/>
  <c r="S406" i="46"/>
  <c r="L407" i="46"/>
  <c r="N407" i="46" s="1"/>
  <c r="M407" i="46"/>
  <c r="O407" i="46"/>
  <c r="P407" i="46"/>
  <c r="Q407" i="46"/>
  <c r="R407" i="46"/>
  <c r="S407" i="46"/>
  <c r="L408" i="46"/>
  <c r="N408" i="46" s="1"/>
  <c r="M408" i="46"/>
  <c r="O408" i="46"/>
  <c r="P408" i="46"/>
  <c r="Q408" i="46"/>
  <c r="R408" i="46"/>
  <c r="S408" i="46"/>
  <c r="L409" i="46"/>
  <c r="N409" i="46"/>
  <c r="O409" i="46"/>
  <c r="P409" i="46"/>
  <c r="Q409" i="46"/>
  <c r="R409" i="46"/>
  <c r="S409" i="46"/>
  <c r="L410" i="46"/>
  <c r="N410" i="46" s="1"/>
  <c r="M410" i="46"/>
  <c r="O410" i="46"/>
  <c r="P410" i="46"/>
  <c r="Q410" i="46"/>
  <c r="R410" i="46"/>
  <c r="S410" i="46"/>
  <c r="L411" i="46"/>
  <c r="N411" i="46" s="1"/>
  <c r="M411" i="46"/>
  <c r="O411" i="46"/>
  <c r="P411" i="46"/>
  <c r="Q411" i="46"/>
  <c r="R411" i="46"/>
  <c r="S411" i="46"/>
  <c r="L412" i="46"/>
  <c r="N412" i="46"/>
  <c r="O412" i="46"/>
  <c r="P412" i="46"/>
  <c r="Q412" i="46"/>
  <c r="R412" i="46"/>
  <c r="S412" i="46"/>
  <c r="L413" i="46"/>
  <c r="N413" i="46" s="1"/>
  <c r="M413" i="46"/>
  <c r="O413" i="46"/>
  <c r="P413" i="46"/>
  <c r="Q413" i="46"/>
  <c r="R413" i="46"/>
  <c r="S413" i="46"/>
  <c r="L414" i="46"/>
  <c r="N414" i="46" s="1"/>
  <c r="M414" i="46"/>
  <c r="O414" i="46"/>
  <c r="P414" i="46"/>
  <c r="Q414" i="46"/>
  <c r="R414" i="46"/>
  <c r="S414" i="46"/>
  <c r="L415" i="46"/>
  <c r="N415" i="46"/>
  <c r="O415" i="46"/>
  <c r="P415" i="46"/>
  <c r="Q415" i="46"/>
  <c r="R415" i="46"/>
  <c r="S415" i="46"/>
  <c r="L416" i="46"/>
  <c r="N416" i="46" s="1"/>
  <c r="M416" i="46"/>
  <c r="O416" i="46"/>
  <c r="P416" i="46"/>
  <c r="Q416" i="46"/>
  <c r="R416" i="46"/>
  <c r="S416" i="46"/>
  <c r="L417" i="46"/>
  <c r="N417" i="46" s="1"/>
  <c r="M417" i="46"/>
  <c r="O417" i="46"/>
  <c r="P417" i="46"/>
  <c r="Q417" i="46"/>
  <c r="R417" i="46"/>
  <c r="S417" i="46"/>
  <c r="L418" i="46"/>
  <c r="N418" i="46"/>
  <c r="O418" i="46"/>
  <c r="P418" i="46"/>
  <c r="Q418" i="46"/>
  <c r="R418" i="46"/>
  <c r="S418" i="46"/>
  <c r="L419" i="46"/>
  <c r="N419" i="46" s="1"/>
  <c r="M419" i="46"/>
  <c r="O419" i="46"/>
  <c r="P419" i="46"/>
  <c r="Q419" i="46"/>
  <c r="R419" i="46"/>
  <c r="S419" i="46"/>
  <c r="L420" i="46"/>
  <c r="N420" i="46" s="1"/>
  <c r="M420" i="46"/>
  <c r="O420" i="46"/>
  <c r="P420" i="46"/>
  <c r="Q420" i="46"/>
  <c r="R420" i="46"/>
  <c r="S420" i="46"/>
  <c r="L421" i="46"/>
  <c r="N421" i="46"/>
  <c r="O421" i="46"/>
  <c r="P421" i="46"/>
  <c r="Q421" i="46"/>
  <c r="R421" i="46"/>
  <c r="S421" i="46"/>
  <c r="L422" i="46"/>
  <c r="N422" i="46" s="1"/>
  <c r="M422" i="46"/>
  <c r="O422" i="46"/>
  <c r="P422" i="46"/>
  <c r="Q422" i="46"/>
  <c r="R422" i="46"/>
  <c r="S422" i="46"/>
  <c r="L423" i="46"/>
  <c r="N423" i="46" s="1"/>
  <c r="M423" i="46"/>
  <c r="O423" i="46"/>
  <c r="P423" i="46"/>
  <c r="Q423" i="46"/>
  <c r="R423" i="46"/>
  <c r="S423" i="46"/>
  <c r="L424" i="46"/>
  <c r="N424" i="46"/>
  <c r="O424" i="46"/>
  <c r="P424" i="46"/>
  <c r="Q424" i="46"/>
  <c r="R424" i="46"/>
  <c r="S424" i="46"/>
  <c r="L425" i="46"/>
  <c r="M425" i="46"/>
  <c r="N425" i="46"/>
  <c r="O425" i="46"/>
  <c r="P425" i="46"/>
  <c r="Q425" i="46"/>
  <c r="R425" i="46"/>
  <c r="S425" i="46"/>
  <c r="L426" i="46"/>
  <c r="N426" i="46" s="1"/>
  <c r="M426" i="46"/>
  <c r="O426" i="46"/>
  <c r="P426" i="46"/>
  <c r="Q426" i="46"/>
  <c r="R426" i="46"/>
  <c r="S426" i="46"/>
  <c r="L427" i="46"/>
  <c r="N427" i="46" s="1"/>
  <c r="M427" i="46"/>
  <c r="O427" i="46"/>
  <c r="P427" i="46"/>
  <c r="Q427" i="46"/>
  <c r="R427" i="46"/>
  <c r="S427" i="46"/>
  <c r="L428" i="46"/>
  <c r="N428" i="46"/>
  <c r="O428" i="46"/>
  <c r="P428" i="46"/>
  <c r="Q428" i="46"/>
  <c r="R428" i="46"/>
  <c r="S428" i="46"/>
  <c r="L429" i="46"/>
  <c r="N429" i="46" s="1"/>
  <c r="M429" i="46"/>
  <c r="O429" i="46"/>
  <c r="P429" i="46"/>
  <c r="Q429" i="46"/>
  <c r="R429" i="46"/>
  <c r="S429" i="46"/>
  <c r="L430" i="46"/>
  <c r="N430" i="46" s="1"/>
  <c r="M430" i="46"/>
  <c r="O430" i="46"/>
  <c r="P430" i="46"/>
  <c r="Q430" i="46"/>
  <c r="R430" i="46"/>
  <c r="S430" i="46"/>
  <c r="L431" i="46"/>
  <c r="N431" i="46"/>
  <c r="O431" i="46"/>
  <c r="P431" i="46"/>
  <c r="Q431" i="46"/>
  <c r="R431" i="46"/>
  <c r="S431" i="46"/>
  <c r="L432" i="46"/>
  <c r="N432" i="46" s="1"/>
  <c r="M432" i="46"/>
  <c r="O432" i="46"/>
  <c r="P432" i="46"/>
  <c r="Q432" i="46"/>
  <c r="R432" i="46"/>
  <c r="S432" i="46"/>
  <c r="L433" i="46"/>
  <c r="N433" i="46" s="1"/>
  <c r="M433" i="46"/>
  <c r="O433" i="46"/>
  <c r="P433" i="46"/>
  <c r="Q433" i="46"/>
  <c r="R433" i="46"/>
  <c r="S433" i="46"/>
  <c r="L434" i="46"/>
  <c r="N434" i="46"/>
  <c r="O434" i="46"/>
  <c r="P434" i="46"/>
  <c r="Q434" i="46"/>
  <c r="R434" i="46"/>
  <c r="S434" i="46"/>
  <c r="L435" i="46"/>
  <c r="N435" i="46" s="1"/>
  <c r="M435" i="46"/>
  <c r="O435" i="46"/>
  <c r="P435" i="46"/>
  <c r="Q435" i="46"/>
  <c r="R435" i="46"/>
  <c r="S435" i="46"/>
  <c r="L436" i="46"/>
  <c r="N436" i="46" s="1"/>
  <c r="M436" i="46"/>
  <c r="O436" i="46"/>
  <c r="P436" i="46"/>
  <c r="Q436" i="46"/>
  <c r="R436" i="46"/>
  <c r="S436" i="46"/>
  <c r="L437" i="46"/>
  <c r="N437" i="46"/>
  <c r="O437" i="46"/>
  <c r="P437" i="46"/>
  <c r="Q437" i="46"/>
  <c r="R437" i="46"/>
  <c r="S437" i="46"/>
  <c r="L438" i="46"/>
  <c r="N438" i="46" s="1"/>
  <c r="M438" i="46"/>
  <c r="O438" i="46"/>
  <c r="P438" i="46"/>
  <c r="Q438" i="46"/>
  <c r="R438" i="46"/>
  <c r="S438" i="46"/>
  <c r="L439" i="46"/>
  <c r="N439" i="46" s="1"/>
  <c r="M439" i="46"/>
  <c r="O439" i="46"/>
  <c r="P439" i="46"/>
  <c r="Q439" i="46"/>
  <c r="R439" i="46"/>
  <c r="S439" i="46"/>
  <c r="L440" i="46"/>
  <c r="N440" i="46"/>
  <c r="O440" i="46"/>
  <c r="P440" i="46"/>
  <c r="Q440" i="46"/>
  <c r="R440" i="46"/>
  <c r="S440" i="46"/>
  <c r="L441" i="46"/>
  <c r="N441" i="46" s="1"/>
  <c r="M441" i="46"/>
  <c r="O441" i="46"/>
  <c r="P441" i="46"/>
  <c r="Q441" i="46"/>
  <c r="R441" i="46"/>
  <c r="S441" i="46"/>
  <c r="L442" i="46"/>
  <c r="N442" i="46" s="1"/>
  <c r="M442" i="46"/>
  <c r="O442" i="46"/>
  <c r="P442" i="46"/>
  <c r="Q442" i="46"/>
  <c r="R442" i="46"/>
  <c r="S442" i="46"/>
  <c r="L443" i="46"/>
  <c r="N443" i="46"/>
  <c r="O443" i="46"/>
  <c r="P443" i="46"/>
  <c r="Q443" i="46"/>
  <c r="R443" i="46"/>
  <c r="S443" i="46"/>
  <c r="L444" i="46"/>
  <c r="N444" i="46" s="1"/>
  <c r="M444" i="46"/>
  <c r="O444" i="46"/>
  <c r="P444" i="46"/>
  <c r="Q444" i="46"/>
  <c r="R444" i="46"/>
  <c r="S444" i="46"/>
  <c r="L445" i="46"/>
  <c r="N445" i="46" s="1"/>
  <c r="M445" i="46"/>
  <c r="O445" i="46"/>
  <c r="P445" i="46"/>
  <c r="Q445" i="46"/>
  <c r="R445" i="46"/>
  <c r="S445" i="46"/>
  <c r="L446" i="46"/>
  <c r="N446" i="46"/>
  <c r="O446" i="46"/>
  <c r="P446" i="46"/>
  <c r="Q446" i="46"/>
  <c r="R446" i="46"/>
  <c r="S446" i="46"/>
  <c r="L447" i="46"/>
  <c r="N447" i="46" s="1"/>
  <c r="M447" i="46"/>
  <c r="O447" i="46"/>
  <c r="P447" i="46"/>
  <c r="Q447" i="46"/>
  <c r="R447" i="46"/>
  <c r="S447" i="46"/>
  <c r="L448" i="46"/>
  <c r="N448" i="46" s="1"/>
  <c r="M448" i="46"/>
  <c r="O448" i="46"/>
  <c r="P448" i="46"/>
  <c r="Q448" i="46"/>
  <c r="R448" i="46"/>
  <c r="S448" i="46"/>
  <c r="L449" i="46"/>
  <c r="N449" i="46"/>
  <c r="O449" i="46"/>
  <c r="P449" i="46"/>
  <c r="Q449" i="46"/>
  <c r="R449" i="46"/>
  <c r="S449" i="46"/>
  <c r="L450" i="46"/>
  <c r="N450" i="46" s="1"/>
  <c r="M450" i="46"/>
  <c r="O450" i="46"/>
  <c r="P450" i="46"/>
  <c r="Q450" i="46"/>
  <c r="R450" i="46"/>
  <c r="S450" i="46"/>
  <c r="L451" i="46"/>
  <c r="N451" i="46" s="1"/>
  <c r="M451" i="46"/>
  <c r="O451" i="46"/>
  <c r="P451" i="46"/>
  <c r="Q451" i="46"/>
  <c r="R451" i="46"/>
  <c r="S451" i="46"/>
  <c r="L452" i="46"/>
  <c r="N452" i="46"/>
  <c r="O452" i="46"/>
  <c r="P452" i="46"/>
  <c r="Q452" i="46"/>
  <c r="R452" i="46"/>
  <c r="S452" i="46"/>
  <c r="L453" i="46"/>
  <c r="N453" i="46" s="1"/>
  <c r="M453" i="46"/>
  <c r="O453" i="46"/>
  <c r="P453" i="46"/>
  <c r="Q453" i="46"/>
  <c r="R453" i="46"/>
  <c r="S453" i="46"/>
  <c r="L454" i="46"/>
  <c r="N454" i="46" s="1"/>
  <c r="M454" i="46"/>
  <c r="O454" i="46"/>
  <c r="P454" i="46"/>
  <c r="Q454" i="46"/>
  <c r="R454" i="46"/>
  <c r="S454" i="46"/>
  <c r="L455" i="46"/>
  <c r="N455" i="46"/>
  <c r="O455" i="46"/>
  <c r="P455" i="46"/>
  <c r="Q455" i="46"/>
  <c r="R455" i="46"/>
  <c r="S455" i="46"/>
  <c r="L456" i="46"/>
  <c r="N456" i="46" s="1"/>
  <c r="M456" i="46"/>
  <c r="O456" i="46"/>
  <c r="P456" i="46"/>
  <c r="Q456" i="46"/>
  <c r="R456" i="46"/>
  <c r="S456" i="46"/>
  <c r="L457" i="46"/>
  <c r="N457" i="46" s="1"/>
  <c r="M457" i="46"/>
  <c r="O457" i="46"/>
  <c r="P457" i="46"/>
  <c r="Q457" i="46"/>
  <c r="R457" i="46"/>
  <c r="S457" i="46"/>
  <c r="L458" i="46"/>
  <c r="N458" i="46"/>
  <c r="O458" i="46"/>
  <c r="P458" i="46"/>
  <c r="Q458" i="46"/>
  <c r="R458" i="46"/>
  <c r="S458" i="46"/>
  <c r="L459" i="46"/>
  <c r="N459" i="46" s="1"/>
  <c r="M459" i="46"/>
  <c r="O459" i="46"/>
  <c r="P459" i="46"/>
  <c r="Q459" i="46"/>
  <c r="R459" i="46"/>
  <c r="S459" i="46"/>
  <c r="L460" i="46"/>
  <c r="N460" i="46" s="1"/>
  <c r="M460" i="46"/>
  <c r="O460" i="46"/>
  <c r="P460" i="46"/>
  <c r="Q460" i="46"/>
  <c r="R460" i="46"/>
  <c r="S460" i="46"/>
  <c r="L461" i="46"/>
  <c r="N461" i="46"/>
  <c r="O461" i="46"/>
  <c r="P461" i="46"/>
  <c r="Q461" i="46"/>
  <c r="R461" i="46"/>
  <c r="S461" i="46"/>
  <c r="L462" i="46"/>
  <c r="N462" i="46" s="1"/>
  <c r="M462" i="46"/>
  <c r="O462" i="46"/>
  <c r="P462" i="46"/>
  <c r="Q462" i="46"/>
  <c r="R462" i="46"/>
  <c r="S462" i="46"/>
  <c r="L463" i="46"/>
  <c r="N463" i="46" s="1"/>
  <c r="M463" i="46"/>
  <c r="O463" i="46"/>
  <c r="P463" i="46"/>
  <c r="Q463" i="46"/>
  <c r="R463" i="46"/>
  <c r="S463" i="46"/>
  <c r="L464" i="46"/>
  <c r="N464" i="46"/>
  <c r="O464" i="46"/>
  <c r="P464" i="46"/>
  <c r="Q464" i="46"/>
  <c r="R464" i="46"/>
  <c r="S464" i="46"/>
  <c r="L465" i="46"/>
  <c r="O465" i="46" s="1"/>
  <c r="M465" i="46"/>
  <c r="N465" i="46"/>
  <c r="P465" i="46"/>
  <c r="Q465" i="46"/>
  <c r="R465" i="46"/>
  <c r="S465" i="46"/>
  <c r="L466" i="46"/>
  <c r="O466" i="46" s="1"/>
  <c r="M466" i="46"/>
  <c r="N466" i="46"/>
  <c r="P466" i="46"/>
  <c r="Q466" i="46"/>
  <c r="R466" i="46"/>
  <c r="S466" i="46"/>
  <c r="L467" i="46"/>
  <c r="N467" i="46"/>
  <c r="O467" i="46"/>
  <c r="P467" i="46"/>
  <c r="Q467" i="46"/>
  <c r="R467" i="46"/>
  <c r="S467" i="46"/>
  <c r="L468" i="46"/>
  <c r="M468" i="46"/>
  <c r="N468" i="46"/>
  <c r="O468" i="46"/>
  <c r="P468" i="46"/>
  <c r="Q468" i="46"/>
  <c r="R468" i="46"/>
  <c r="S468" i="46"/>
  <c r="L469" i="46"/>
  <c r="M469" i="46"/>
  <c r="N469" i="46"/>
  <c r="O469" i="46"/>
  <c r="P469" i="46"/>
  <c r="Q469" i="46"/>
  <c r="R469" i="46"/>
  <c r="S469" i="46"/>
  <c r="L470" i="46"/>
  <c r="M470" i="46"/>
  <c r="N470" i="46"/>
  <c r="O470" i="46"/>
  <c r="P470" i="46"/>
  <c r="Q470" i="46"/>
  <c r="R470" i="46"/>
  <c r="S470" i="46"/>
  <c r="L471" i="46"/>
  <c r="N471" i="46" s="1"/>
  <c r="M471" i="46"/>
  <c r="O471" i="46"/>
  <c r="P471" i="46"/>
  <c r="Q471" i="46"/>
  <c r="R471" i="46"/>
  <c r="S471" i="46"/>
  <c r="L472" i="46"/>
  <c r="N472" i="46" s="1"/>
  <c r="M472" i="46"/>
  <c r="O472" i="46"/>
  <c r="P472" i="46"/>
  <c r="Q472" i="46"/>
  <c r="R472" i="46"/>
  <c r="S472" i="46"/>
  <c r="L473" i="46"/>
  <c r="N473" i="46"/>
  <c r="O473" i="46"/>
  <c r="P473" i="46"/>
  <c r="Q473" i="46"/>
  <c r="R473" i="46"/>
  <c r="S473" i="46"/>
  <c r="L474" i="46"/>
  <c r="N474" i="46" s="1"/>
  <c r="M474" i="46"/>
  <c r="O474" i="46"/>
  <c r="P474" i="46"/>
  <c r="Q474" i="46"/>
  <c r="R474" i="46"/>
  <c r="S474" i="46"/>
  <c r="L475" i="46"/>
  <c r="N475" i="46" s="1"/>
  <c r="M475" i="46"/>
  <c r="O475" i="46"/>
  <c r="P475" i="46"/>
  <c r="Q475" i="46"/>
  <c r="R475" i="46"/>
  <c r="S475" i="46"/>
  <c r="L476" i="46"/>
  <c r="N476" i="46"/>
  <c r="O476" i="46"/>
  <c r="P476" i="46"/>
  <c r="Q476" i="46"/>
  <c r="R476" i="46"/>
  <c r="S476" i="46"/>
  <c r="L477" i="46"/>
  <c r="N477" i="46" s="1"/>
  <c r="M477" i="46"/>
  <c r="O477" i="46"/>
  <c r="P477" i="46"/>
  <c r="Q477" i="46"/>
  <c r="R477" i="46"/>
  <c r="S477" i="46"/>
  <c r="L478" i="46"/>
  <c r="N478" i="46" s="1"/>
  <c r="M478" i="46"/>
  <c r="O478" i="46"/>
  <c r="P478" i="46"/>
  <c r="Q478" i="46"/>
  <c r="R478" i="46"/>
  <c r="S478" i="46"/>
  <c r="L479" i="46"/>
  <c r="N479" i="46"/>
  <c r="O479" i="46"/>
  <c r="P479" i="46"/>
  <c r="Q479" i="46"/>
  <c r="R479" i="46"/>
  <c r="S479" i="46"/>
  <c r="L480" i="46"/>
  <c r="N480" i="46" s="1"/>
  <c r="M480" i="46"/>
  <c r="O480" i="46"/>
  <c r="P480" i="46"/>
  <c r="Q480" i="46"/>
  <c r="R480" i="46"/>
  <c r="S480" i="46"/>
  <c r="L481" i="46"/>
  <c r="N481" i="46" s="1"/>
  <c r="M481" i="46"/>
  <c r="O481" i="46"/>
  <c r="P481" i="46"/>
  <c r="Q481" i="46"/>
  <c r="R481" i="46"/>
  <c r="S481" i="46"/>
  <c r="L482" i="46"/>
  <c r="N482" i="46"/>
  <c r="O482" i="46"/>
  <c r="P482" i="46"/>
  <c r="Q482" i="46"/>
  <c r="R482" i="46"/>
  <c r="S482" i="46"/>
  <c r="L483" i="46"/>
  <c r="M483" i="46"/>
  <c r="O483" i="46"/>
  <c r="P483" i="46"/>
  <c r="Q483" i="46"/>
  <c r="R483" i="46"/>
  <c r="S483" i="46"/>
  <c r="L484" i="46"/>
  <c r="M484" i="46"/>
  <c r="O484" i="46"/>
  <c r="P484" i="46"/>
  <c r="Q484" i="46"/>
  <c r="R484" i="46"/>
  <c r="S484" i="46"/>
  <c r="L485" i="46"/>
  <c r="N485" i="46"/>
  <c r="O485" i="46"/>
  <c r="P485" i="46"/>
  <c r="Q485" i="46"/>
  <c r="R485" i="46"/>
  <c r="S485" i="46"/>
  <c r="L486" i="46"/>
  <c r="N486" i="46" s="1"/>
  <c r="M486" i="46"/>
  <c r="O486" i="46"/>
  <c r="P486" i="46"/>
  <c r="Q486" i="46"/>
  <c r="R486" i="46"/>
  <c r="S486" i="46"/>
  <c r="L487" i="46"/>
  <c r="N487" i="46" s="1"/>
  <c r="M487" i="46"/>
  <c r="O487" i="46"/>
  <c r="P487" i="46"/>
  <c r="Q487" i="46"/>
  <c r="R487" i="46"/>
  <c r="S487" i="46"/>
  <c r="L488" i="46"/>
  <c r="N488" i="46"/>
  <c r="O488" i="46"/>
  <c r="P488" i="46"/>
  <c r="Q488" i="46"/>
  <c r="R488" i="46"/>
  <c r="S488" i="46"/>
  <c r="L489" i="46"/>
  <c r="M489" i="46"/>
  <c r="O489" i="46"/>
  <c r="P489" i="46"/>
  <c r="Q489" i="46"/>
  <c r="R489" i="46"/>
  <c r="S489" i="46"/>
  <c r="L490" i="46"/>
  <c r="M490" i="46"/>
  <c r="O490" i="46"/>
  <c r="P490" i="46"/>
  <c r="Q490" i="46"/>
  <c r="R490" i="46"/>
  <c r="S490" i="46"/>
  <c r="L491" i="46"/>
  <c r="N491" i="46"/>
  <c r="O491" i="46"/>
  <c r="P491" i="46"/>
  <c r="Q491" i="46"/>
  <c r="R491" i="46"/>
  <c r="S491" i="46"/>
  <c r="L492" i="46"/>
  <c r="N492" i="46" s="1"/>
  <c r="M492" i="46"/>
  <c r="O492" i="46"/>
  <c r="P492" i="46"/>
  <c r="Q492" i="46"/>
  <c r="R492" i="46"/>
  <c r="S492" i="46"/>
  <c r="L493" i="46"/>
  <c r="N493" i="46" s="1"/>
  <c r="M493" i="46"/>
  <c r="O493" i="46"/>
  <c r="P493" i="46"/>
  <c r="Q493" i="46"/>
  <c r="R493" i="46"/>
  <c r="S493" i="46"/>
  <c r="L494" i="46"/>
  <c r="N494" i="46"/>
  <c r="O494" i="46"/>
  <c r="P494" i="46"/>
  <c r="Q494" i="46"/>
  <c r="R494" i="46"/>
  <c r="S494" i="46"/>
  <c r="L495" i="46"/>
  <c r="N495" i="46" s="1"/>
  <c r="M495" i="46"/>
  <c r="O495" i="46"/>
  <c r="P495" i="46"/>
  <c r="Q495" i="46"/>
  <c r="R495" i="46"/>
  <c r="S495" i="46"/>
  <c r="L496" i="46"/>
  <c r="N496" i="46" s="1"/>
  <c r="M496" i="46"/>
  <c r="O496" i="46"/>
  <c r="P496" i="46"/>
  <c r="Q496" i="46"/>
  <c r="R496" i="46"/>
  <c r="S496" i="46"/>
  <c r="L497" i="46"/>
  <c r="N497" i="46"/>
  <c r="O497" i="46"/>
  <c r="P497" i="46"/>
  <c r="Q497" i="46"/>
  <c r="R497" i="46"/>
  <c r="S497" i="46"/>
  <c r="L498" i="46"/>
  <c r="N498" i="46" s="1"/>
  <c r="M498" i="46"/>
  <c r="O498" i="46"/>
  <c r="P498" i="46"/>
  <c r="Q498" i="46"/>
  <c r="R498" i="46"/>
  <c r="S498" i="46"/>
  <c r="L499" i="46"/>
  <c r="N499" i="46" s="1"/>
  <c r="M499" i="46"/>
  <c r="O499" i="46"/>
  <c r="P499" i="46"/>
  <c r="Q499" i="46"/>
  <c r="R499" i="46"/>
  <c r="S499" i="46"/>
  <c r="L500" i="46"/>
  <c r="N500" i="46"/>
  <c r="O500" i="46"/>
  <c r="P500" i="46"/>
  <c r="Q500" i="46"/>
  <c r="R500" i="46"/>
  <c r="S500" i="46"/>
  <c r="L501" i="46"/>
  <c r="N501" i="46" s="1"/>
  <c r="M501" i="46"/>
  <c r="O501" i="46"/>
  <c r="P501" i="46"/>
  <c r="Q501" i="46"/>
  <c r="R501" i="46"/>
  <c r="S501" i="46"/>
  <c r="L502" i="46"/>
  <c r="N502" i="46" s="1"/>
  <c r="M502" i="46"/>
  <c r="O502" i="46"/>
  <c r="P502" i="46"/>
  <c r="Q502" i="46"/>
  <c r="R502" i="46"/>
  <c r="S502" i="46"/>
  <c r="L503" i="46"/>
  <c r="N503" i="46"/>
  <c r="O503" i="46"/>
  <c r="P503" i="46"/>
  <c r="Q503" i="46"/>
  <c r="R503" i="46"/>
  <c r="S503" i="46"/>
  <c r="L504" i="46"/>
  <c r="O504" i="46" s="1"/>
  <c r="M504" i="46"/>
  <c r="N504" i="46"/>
  <c r="P504" i="46"/>
  <c r="Q504" i="46"/>
  <c r="R504" i="46"/>
  <c r="S504" i="46"/>
  <c r="L505" i="46"/>
  <c r="O505" i="46" s="1"/>
  <c r="M505" i="46"/>
  <c r="N505" i="46"/>
  <c r="P505" i="46"/>
  <c r="Q505" i="46"/>
  <c r="R505" i="46"/>
  <c r="S505" i="46"/>
  <c r="L506" i="46"/>
  <c r="N506" i="46"/>
  <c r="O506" i="46"/>
  <c r="P506" i="46"/>
  <c r="Q506" i="46"/>
  <c r="R506" i="46"/>
  <c r="S506" i="46"/>
  <c r="L507" i="46"/>
  <c r="M507" i="46"/>
  <c r="N507" i="46"/>
  <c r="O507" i="46"/>
  <c r="P507" i="46"/>
  <c r="Q507" i="46"/>
  <c r="R507" i="46"/>
  <c r="S507" i="46"/>
  <c r="L508" i="46"/>
  <c r="N508" i="46" s="1"/>
  <c r="M508" i="46"/>
  <c r="O508" i="46"/>
  <c r="P508" i="46"/>
  <c r="Q508" i="46"/>
  <c r="R508" i="46"/>
  <c r="S508" i="46"/>
  <c r="L509" i="46"/>
  <c r="N509" i="46" s="1"/>
  <c r="M509" i="46"/>
  <c r="O509" i="46"/>
  <c r="P509" i="46"/>
  <c r="Q509" i="46"/>
  <c r="R509" i="46"/>
  <c r="S509" i="46"/>
  <c r="L510" i="46"/>
  <c r="N510" i="46"/>
  <c r="O510" i="46"/>
  <c r="P510" i="46"/>
  <c r="Q510" i="46"/>
  <c r="R510" i="46"/>
  <c r="S510" i="46"/>
  <c r="L511" i="46"/>
  <c r="N511" i="46" s="1"/>
  <c r="M511" i="46"/>
  <c r="O511" i="46"/>
  <c r="P511" i="46"/>
  <c r="Q511" i="46"/>
  <c r="R511" i="46"/>
  <c r="S511" i="46"/>
  <c r="L512" i="46"/>
  <c r="N512" i="46" s="1"/>
  <c r="M512" i="46"/>
  <c r="O512" i="46"/>
  <c r="P512" i="46"/>
  <c r="Q512" i="46"/>
  <c r="R512" i="46"/>
  <c r="S512" i="46"/>
  <c r="L513" i="46"/>
  <c r="N513" i="46"/>
  <c r="O513" i="46"/>
  <c r="P513" i="46"/>
  <c r="Q513" i="46"/>
  <c r="R513" i="46"/>
  <c r="S513" i="46"/>
  <c r="L514" i="46"/>
  <c r="N514" i="46" s="1"/>
  <c r="M514" i="46"/>
  <c r="O514" i="46"/>
  <c r="P514" i="46"/>
  <c r="Q514" i="46"/>
  <c r="R514" i="46"/>
  <c r="S514" i="46"/>
  <c r="L515" i="46"/>
  <c r="N515" i="46" s="1"/>
  <c r="M515" i="46"/>
  <c r="O515" i="46"/>
  <c r="P515" i="46"/>
  <c r="Q515" i="46"/>
  <c r="R515" i="46"/>
  <c r="S515" i="46"/>
  <c r="L516" i="46"/>
  <c r="N516" i="46"/>
  <c r="O516" i="46"/>
  <c r="P516" i="46"/>
  <c r="Q516" i="46"/>
  <c r="R516" i="46"/>
  <c r="S516" i="46"/>
  <c r="L517" i="46"/>
  <c r="N517" i="46" s="1"/>
  <c r="M517" i="46"/>
  <c r="O517" i="46"/>
  <c r="P517" i="46"/>
  <c r="Q517" i="46"/>
  <c r="R517" i="46"/>
  <c r="S517" i="46"/>
  <c r="L518" i="46"/>
  <c r="N518" i="46" s="1"/>
  <c r="M518" i="46"/>
  <c r="O518" i="46"/>
  <c r="P518" i="46"/>
  <c r="Q518" i="46"/>
  <c r="R518" i="46"/>
  <c r="S518" i="46"/>
  <c r="L519" i="46"/>
  <c r="N519" i="46"/>
  <c r="O519" i="46"/>
  <c r="P519" i="46"/>
  <c r="Q519" i="46"/>
  <c r="R519" i="46"/>
  <c r="S519" i="46"/>
  <c r="L520" i="46"/>
  <c r="M520" i="46"/>
  <c r="N520" i="46"/>
  <c r="O520" i="46"/>
  <c r="P520" i="46"/>
  <c r="Q520" i="46"/>
  <c r="R520" i="46"/>
  <c r="S520" i="46"/>
  <c r="L521" i="46"/>
  <c r="M521" i="46"/>
  <c r="N521" i="46"/>
  <c r="O521" i="46"/>
  <c r="P521" i="46"/>
  <c r="Q521" i="46"/>
  <c r="R521" i="46"/>
  <c r="S521" i="46"/>
  <c r="L522" i="46"/>
  <c r="M522" i="46"/>
  <c r="N522" i="46"/>
  <c r="O522" i="46"/>
  <c r="P522" i="46"/>
  <c r="Q522" i="46"/>
  <c r="R522" i="46"/>
  <c r="S522" i="46"/>
  <c r="L523" i="46"/>
  <c r="N523" i="46" s="1"/>
  <c r="M523" i="46"/>
  <c r="O523" i="46"/>
  <c r="P523" i="46"/>
  <c r="Q523" i="46"/>
  <c r="R523" i="46"/>
  <c r="S523" i="46"/>
  <c r="L524" i="46"/>
  <c r="M524" i="46"/>
  <c r="O524" i="46"/>
  <c r="P524" i="46"/>
  <c r="Q524" i="46"/>
  <c r="R524" i="46"/>
  <c r="S524" i="46"/>
  <c r="L525" i="46"/>
  <c r="N525" i="46"/>
  <c r="O525" i="46"/>
  <c r="P525" i="46"/>
  <c r="Q525" i="46"/>
  <c r="R525" i="46"/>
  <c r="S525" i="46"/>
  <c r="L526" i="46"/>
  <c r="N526" i="46" s="1"/>
  <c r="M526" i="46"/>
  <c r="O526" i="46"/>
  <c r="P526" i="46"/>
  <c r="Q526" i="46"/>
  <c r="R526" i="46"/>
  <c r="S526" i="46"/>
  <c r="L527" i="46"/>
  <c r="M527" i="46"/>
  <c r="O527" i="46"/>
  <c r="P527" i="46"/>
  <c r="Q527" i="46"/>
  <c r="R527" i="46"/>
  <c r="S527" i="46"/>
  <c r="L528" i="46"/>
  <c r="N528" i="46"/>
  <c r="O528" i="46"/>
  <c r="P528" i="46"/>
  <c r="Q528" i="46"/>
  <c r="R528" i="46"/>
  <c r="S528" i="46"/>
  <c r="L529" i="46"/>
  <c r="N529" i="46" s="1"/>
  <c r="M529" i="46"/>
  <c r="O529" i="46"/>
  <c r="P529" i="46"/>
  <c r="Q529" i="46"/>
  <c r="R529" i="46"/>
  <c r="S529" i="46"/>
  <c r="L530" i="46"/>
  <c r="M530" i="46"/>
  <c r="O530" i="46"/>
  <c r="P530" i="46"/>
  <c r="Q530" i="46"/>
  <c r="R530" i="46"/>
  <c r="S530" i="46"/>
  <c r="L531" i="46"/>
  <c r="N531" i="46"/>
  <c r="O531" i="46"/>
  <c r="P531" i="46"/>
  <c r="Q531" i="46"/>
  <c r="R531" i="46"/>
  <c r="S531" i="46"/>
  <c r="L532" i="46"/>
  <c r="N532" i="46" s="1"/>
  <c r="M532" i="46"/>
  <c r="O532" i="46"/>
  <c r="P532" i="46"/>
  <c r="Q532" i="46"/>
  <c r="R532" i="46"/>
  <c r="S532" i="46"/>
  <c r="L533" i="46"/>
  <c r="M533" i="46"/>
  <c r="O533" i="46"/>
  <c r="P533" i="46"/>
  <c r="Q533" i="46"/>
  <c r="R533" i="46"/>
  <c r="S533" i="46"/>
  <c r="L534" i="46"/>
  <c r="N534" i="46"/>
  <c r="O534" i="46"/>
  <c r="P534" i="46"/>
  <c r="Q534" i="46"/>
  <c r="R534" i="46"/>
  <c r="S534" i="46"/>
  <c r="L535" i="46"/>
  <c r="N535" i="46" s="1"/>
  <c r="M535" i="46"/>
  <c r="O535" i="46"/>
  <c r="P535" i="46"/>
  <c r="Q535" i="46"/>
  <c r="R535" i="46"/>
  <c r="S535" i="46"/>
  <c r="L536" i="46"/>
  <c r="M536" i="46"/>
  <c r="O536" i="46"/>
  <c r="P536" i="46"/>
  <c r="Q536" i="46"/>
  <c r="R536" i="46"/>
  <c r="S536" i="46"/>
  <c r="L537" i="46"/>
  <c r="N537" i="46"/>
  <c r="O537" i="46"/>
  <c r="P537" i="46"/>
  <c r="Q537" i="46"/>
  <c r="R537" i="46"/>
  <c r="S537" i="46"/>
  <c r="L538" i="46"/>
  <c r="N538" i="46" s="1"/>
  <c r="M538" i="46"/>
  <c r="O538" i="46"/>
  <c r="P538" i="46"/>
  <c r="Q538" i="46"/>
  <c r="R538" i="46"/>
  <c r="S538" i="46"/>
  <c r="L539" i="46"/>
  <c r="M539" i="46"/>
  <c r="O539" i="46"/>
  <c r="P539" i="46"/>
  <c r="Q539" i="46"/>
  <c r="R539" i="46"/>
  <c r="S539" i="46"/>
  <c r="L540" i="46"/>
  <c r="N540" i="46"/>
  <c r="O540" i="46"/>
  <c r="P540" i="46"/>
  <c r="Q540" i="46"/>
  <c r="R540" i="46"/>
  <c r="S540" i="46"/>
  <c r="L541" i="46"/>
  <c r="N541" i="46" s="1"/>
  <c r="M541" i="46"/>
  <c r="O541" i="46"/>
  <c r="P541" i="46"/>
  <c r="Q541" i="46"/>
  <c r="R541" i="46"/>
  <c r="S541" i="46"/>
  <c r="L542" i="46"/>
  <c r="M542" i="46"/>
  <c r="O542" i="46"/>
  <c r="P542" i="46"/>
  <c r="Q542" i="46"/>
  <c r="R542" i="46"/>
  <c r="S542" i="46"/>
  <c r="L543" i="46"/>
  <c r="N543" i="46"/>
  <c r="O543" i="46"/>
  <c r="P543" i="46"/>
  <c r="Q543" i="46"/>
  <c r="R543" i="46"/>
  <c r="S543" i="46"/>
  <c r="L544" i="46"/>
  <c r="N544" i="46" s="1"/>
  <c r="M544" i="46"/>
  <c r="O544" i="46"/>
  <c r="P544" i="46"/>
  <c r="Q544" i="46"/>
  <c r="R544" i="46"/>
  <c r="S544" i="46"/>
  <c r="L545" i="46"/>
  <c r="M545" i="46"/>
  <c r="O545" i="46"/>
  <c r="P545" i="46"/>
  <c r="Q545" i="46"/>
  <c r="R545" i="46"/>
  <c r="S545" i="46"/>
  <c r="L546" i="46"/>
  <c r="N546" i="46"/>
  <c r="O546" i="46"/>
  <c r="P546" i="46"/>
  <c r="Q546" i="46"/>
  <c r="R546" i="46"/>
  <c r="S546" i="46"/>
  <c r="L547" i="46"/>
  <c r="N547" i="46" s="1"/>
  <c r="M547" i="46"/>
  <c r="O547" i="46"/>
  <c r="P547" i="46"/>
  <c r="Q547" i="46"/>
  <c r="R547" i="46"/>
  <c r="S547" i="46"/>
  <c r="L548" i="46"/>
  <c r="M548" i="46"/>
  <c r="O548" i="46"/>
  <c r="P548" i="46"/>
  <c r="Q548" i="46"/>
  <c r="R548" i="46"/>
  <c r="S548" i="46"/>
  <c r="L549" i="46"/>
  <c r="N549" i="46"/>
  <c r="O549" i="46"/>
  <c r="P549" i="46"/>
  <c r="Q549" i="46"/>
  <c r="R549" i="46"/>
  <c r="S549" i="46"/>
  <c r="L550" i="46"/>
  <c r="N550" i="46" s="1"/>
  <c r="M550" i="46"/>
  <c r="O550" i="46"/>
  <c r="P550" i="46"/>
  <c r="Q550" i="46"/>
  <c r="R550" i="46"/>
  <c r="S550" i="46"/>
  <c r="L551" i="46"/>
  <c r="M551" i="46"/>
  <c r="O551" i="46"/>
  <c r="P551" i="46"/>
  <c r="Q551" i="46"/>
  <c r="R551" i="46"/>
  <c r="S551" i="46"/>
  <c r="L552" i="46"/>
  <c r="N552" i="46"/>
  <c r="O552" i="46"/>
  <c r="P552" i="46"/>
  <c r="Q552" i="46"/>
  <c r="R552" i="46"/>
  <c r="S552" i="46"/>
  <c r="L553" i="46"/>
  <c r="N553" i="46" s="1"/>
  <c r="M553" i="46"/>
  <c r="O553" i="46"/>
  <c r="P553" i="46"/>
  <c r="Q553" i="46"/>
  <c r="R553" i="46"/>
  <c r="S553" i="46"/>
  <c r="L554" i="46"/>
  <c r="M554" i="46"/>
  <c r="O554" i="46"/>
  <c r="P554" i="46"/>
  <c r="Q554" i="46"/>
  <c r="R554" i="46"/>
  <c r="S554" i="46"/>
  <c r="L555" i="46"/>
  <c r="N555" i="46"/>
  <c r="O555" i="46"/>
  <c r="P555" i="46"/>
  <c r="Q555" i="46"/>
  <c r="R555" i="46"/>
  <c r="S555" i="46"/>
  <c r="L556" i="46"/>
  <c r="O556" i="46" s="1"/>
  <c r="M556" i="46"/>
  <c r="N556" i="46"/>
  <c r="P556" i="46"/>
  <c r="Q556" i="46"/>
  <c r="R556" i="46"/>
  <c r="S556" i="46"/>
  <c r="L557" i="46"/>
  <c r="M557" i="46"/>
  <c r="N557" i="46"/>
  <c r="P557" i="46"/>
  <c r="Q557" i="46"/>
  <c r="R557" i="46"/>
  <c r="S557" i="46"/>
  <c r="L558" i="46"/>
  <c r="N558" i="46"/>
  <c r="O558" i="46"/>
  <c r="P558" i="46"/>
  <c r="Q558" i="46"/>
  <c r="R558" i="46"/>
  <c r="S558" i="46"/>
  <c r="L559" i="46"/>
  <c r="M559" i="46"/>
  <c r="N559" i="46"/>
  <c r="O559" i="46"/>
  <c r="P559" i="46"/>
  <c r="Q559" i="46"/>
  <c r="R559" i="46"/>
  <c r="S559" i="46"/>
  <c r="L560" i="46"/>
  <c r="N560" i="46" s="1"/>
  <c r="M560" i="46"/>
  <c r="O560" i="46"/>
  <c r="P560" i="46"/>
  <c r="Q560" i="46"/>
  <c r="R560" i="46"/>
  <c r="S560" i="46"/>
  <c r="L561" i="46"/>
  <c r="N561" i="46" s="1"/>
  <c r="M561" i="46"/>
  <c r="O561" i="46"/>
  <c r="P561" i="46"/>
  <c r="Q561" i="46"/>
  <c r="R561" i="46"/>
  <c r="S561" i="46"/>
  <c r="L562" i="46"/>
  <c r="N562" i="46"/>
  <c r="O562" i="46"/>
  <c r="P562" i="46"/>
  <c r="Q562" i="46"/>
  <c r="R562" i="46"/>
  <c r="S562" i="46"/>
  <c r="L563" i="46"/>
  <c r="N563" i="46" s="1"/>
  <c r="M563" i="46"/>
  <c r="O563" i="46"/>
  <c r="P563" i="46"/>
  <c r="Q563" i="46"/>
  <c r="R563" i="46"/>
  <c r="S563" i="46"/>
  <c r="L564" i="46"/>
  <c r="N564" i="46" s="1"/>
  <c r="M564" i="46"/>
  <c r="O564" i="46"/>
  <c r="P564" i="46"/>
  <c r="Q564" i="46"/>
  <c r="R564" i="46"/>
  <c r="S564" i="46"/>
  <c r="L565" i="46"/>
  <c r="N565" i="46"/>
  <c r="O565" i="46"/>
  <c r="P565" i="46"/>
  <c r="Q565" i="46"/>
  <c r="R565" i="46"/>
  <c r="S565" i="46"/>
  <c r="L566" i="46"/>
  <c r="N566" i="46" s="1"/>
  <c r="M566" i="46"/>
  <c r="O566" i="46"/>
  <c r="P566" i="46"/>
  <c r="Q566" i="46"/>
  <c r="R566" i="46"/>
  <c r="S566" i="46"/>
  <c r="L567" i="46"/>
  <c r="N567" i="46" s="1"/>
  <c r="M567" i="46"/>
  <c r="O567" i="46"/>
  <c r="P567" i="46"/>
  <c r="Q567" i="46"/>
  <c r="R567" i="46"/>
  <c r="S567" i="46"/>
  <c r="L568" i="46"/>
  <c r="N568" i="46"/>
  <c r="O568" i="46"/>
  <c r="P568" i="46"/>
  <c r="Q568" i="46"/>
  <c r="R568" i="46"/>
  <c r="S568" i="46"/>
  <c r="L569" i="46"/>
  <c r="N569" i="46" s="1"/>
  <c r="M569" i="46"/>
  <c r="O569" i="46"/>
  <c r="P569" i="46"/>
  <c r="Q569" i="46"/>
  <c r="R569" i="46"/>
  <c r="S569" i="46"/>
  <c r="L570" i="46"/>
  <c r="N570" i="46" s="1"/>
  <c r="M570" i="46"/>
  <c r="O570" i="46"/>
  <c r="P570" i="46"/>
  <c r="Q570" i="46"/>
  <c r="R570" i="46"/>
  <c r="S570" i="46"/>
  <c r="L571" i="46"/>
  <c r="N571" i="46"/>
  <c r="O571" i="46"/>
  <c r="P571" i="46"/>
  <c r="Q571" i="46"/>
  <c r="R571" i="46"/>
  <c r="S571" i="46"/>
  <c r="L572" i="46"/>
  <c r="N572" i="46" s="1"/>
  <c r="M572" i="46"/>
  <c r="O572" i="46"/>
  <c r="P572" i="46"/>
  <c r="Q572" i="46"/>
  <c r="R572" i="46"/>
  <c r="S572" i="46"/>
  <c r="L573" i="46"/>
  <c r="N573" i="46" s="1"/>
  <c r="M573" i="46"/>
  <c r="O573" i="46"/>
  <c r="P573" i="46"/>
  <c r="Q573" i="46"/>
  <c r="R573" i="46"/>
  <c r="S573" i="46"/>
  <c r="L574" i="46"/>
  <c r="N574" i="46"/>
  <c r="O574" i="46"/>
  <c r="P574" i="46"/>
  <c r="Q574" i="46"/>
  <c r="R574" i="46"/>
  <c r="S574" i="46"/>
  <c r="L575" i="46"/>
  <c r="N575" i="46" s="1"/>
  <c r="M575" i="46"/>
  <c r="O575" i="46"/>
  <c r="P575" i="46"/>
  <c r="Q575" i="46"/>
  <c r="R575" i="46"/>
  <c r="S575" i="46"/>
  <c r="L576" i="46"/>
  <c r="N576" i="46" s="1"/>
  <c r="M576" i="46"/>
  <c r="O576" i="46"/>
  <c r="P576" i="46"/>
  <c r="Q576" i="46"/>
  <c r="R576" i="46"/>
  <c r="S576" i="46"/>
  <c r="L577" i="46"/>
  <c r="N577" i="46"/>
  <c r="O577" i="46"/>
  <c r="P577" i="46"/>
  <c r="Q577" i="46"/>
  <c r="R577" i="46"/>
  <c r="S577" i="46"/>
  <c r="L578" i="46"/>
  <c r="N578" i="46" s="1"/>
  <c r="M578" i="46"/>
  <c r="O578" i="46"/>
  <c r="P578" i="46"/>
  <c r="Q578" i="46"/>
  <c r="R578" i="46"/>
  <c r="S578" i="46"/>
  <c r="L579" i="46"/>
  <c r="N579" i="46" s="1"/>
  <c r="M579" i="46"/>
  <c r="O579" i="46"/>
  <c r="P579" i="46"/>
  <c r="Q579" i="46"/>
  <c r="R579" i="46"/>
  <c r="S579" i="46"/>
  <c r="L580" i="46"/>
  <c r="N580" i="46"/>
  <c r="O580" i="46"/>
  <c r="P580" i="46"/>
  <c r="Q580" i="46"/>
  <c r="R580" i="46"/>
  <c r="S580" i="46"/>
  <c r="L581" i="46"/>
  <c r="M581" i="46"/>
  <c r="N581" i="46"/>
  <c r="O581" i="46"/>
  <c r="P581" i="46"/>
  <c r="Q581" i="46"/>
  <c r="R581" i="46"/>
  <c r="S581" i="46"/>
  <c r="L582" i="46"/>
  <c r="M582" i="46"/>
  <c r="N582" i="46"/>
  <c r="O582" i="46"/>
  <c r="P582" i="46"/>
  <c r="Q582" i="46"/>
  <c r="R582" i="46"/>
  <c r="S582" i="46"/>
  <c r="L583" i="46"/>
  <c r="M583" i="46"/>
  <c r="N583" i="46"/>
  <c r="O583" i="46"/>
  <c r="P583" i="46"/>
  <c r="Q583" i="46"/>
  <c r="R583" i="46"/>
  <c r="S583" i="46"/>
  <c r="L584" i="46"/>
  <c r="N584" i="46" s="1"/>
  <c r="M584" i="46"/>
  <c r="O584" i="46"/>
  <c r="P584" i="46"/>
  <c r="Q584" i="46"/>
  <c r="R584" i="46"/>
  <c r="S584" i="46"/>
  <c r="L585" i="46"/>
  <c r="N585" i="46" s="1"/>
  <c r="M585" i="46"/>
  <c r="O585" i="46"/>
  <c r="P585" i="46"/>
  <c r="Q585" i="46"/>
  <c r="R585" i="46"/>
  <c r="S585" i="46"/>
  <c r="L586" i="46"/>
  <c r="N586" i="46" s="1"/>
  <c r="M586" i="46"/>
  <c r="O586" i="46"/>
  <c r="P586" i="46"/>
  <c r="Q586" i="46"/>
  <c r="R586" i="46"/>
  <c r="S586" i="46"/>
  <c r="L587" i="46"/>
  <c r="N587" i="46"/>
  <c r="O587" i="46"/>
  <c r="P587" i="46"/>
  <c r="Q587" i="46"/>
  <c r="R587" i="46"/>
  <c r="S587" i="46"/>
  <c r="L588" i="46"/>
  <c r="M588" i="46"/>
  <c r="N588" i="46"/>
  <c r="O588" i="46"/>
  <c r="P588" i="46"/>
  <c r="Q588" i="46"/>
  <c r="R588" i="46"/>
  <c r="S588" i="46"/>
  <c r="L589" i="46"/>
  <c r="N589" i="46" s="1"/>
  <c r="M589" i="46"/>
  <c r="O589" i="46"/>
  <c r="P589" i="46"/>
  <c r="Q589" i="46"/>
  <c r="R589" i="46"/>
  <c r="S589" i="46"/>
  <c r="L590" i="46"/>
  <c r="N590" i="46" s="1"/>
  <c r="M590" i="46"/>
  <c r="O590" i="46"/>
  <c r="P590" i="46"/>
  <c r="Q590" i="46"/>
  <c r="R590" i="46"/>
  <c r="S590" i="46"/>
  <c r="L591" i="46"/>
  <c r="N591" i="46"/>
  <c r="O591" i="46"/>
  <c r="P591" i="46"/>
  <c r="Q591" i="46"/>
  <c r="R591" i="46"/>
  <c r="S591" i="46"/>
  <c r="L592" i="46"/>
  <c r="M592" i="46"/>
  <c r="N592" i="46"/>
  <c r="O592" i="46"/>
  <c r="P592" i="46"/>
  <c r="Q592" i="46"/>
  <c r="R592" i="46"/>
  <c r="S592" i="46"/>
  <c r="L593" i="46"/>
  <c r="M593" i="46"/>
  <c r="N593" i="46"/>
  <c r="O593" i="46"/>
  <c r="P593" i="46"/>
  <c r="Q593" i="46"/>
  <c r="R593" i="46"/>
  <c r="S593" i="46"/>
  <c r="L594" i="46"/>
  <c r="M594" i="46"/>
  <c r="N594" i="46"/>
  <c r="O594" i="46"/>
  <c r="P594" i="46"/>
  <c r="Q594" i="46"/>
  <c r="R594" i="46"/>
  <c r="S594" i="46"/>
  <c r="L595" i="46"/>
  <c r="N595" i="46" s="1"/>
  <c r="M595" i="46"/>
  <c r="O595" i="46"/>
  <c r="P595" i="46"/>
  <c r="Q595" i="46"/>
  <c r="R595" i="46"/>
  <c r="S595" i="46"/>
  <c r="L596" i="46"/>
  <c r="N596" i="46" s="1"/>
  <c r="M596" i="46"/>
  <c r="O596" i="46"/>
  <c r="P596" i="46"/>
  <c r="Q596" i="46"/>
  <c r="R596" i="46"/>
  <c r="S596" i="46"/>
  <c r="L597" i="46"/>
  <c r="N597" i="46" s="1"/>
  <c r="M597" i="46"/>
  <c r="O597" i="46"/>
  <c r="P597" i="46"/>
  <c r="Q597" i="46"/>
  <c r="R597" i="46"/>
  <c r="S597" i="46"/>
  <c r="L598" i="46"/>
  <c r="N598" i="46"/>
  <c r="O598" i="46"/>
  <c r="P598" i="46"/>
  <c r="Q598" i="46"/>
  <c r="R598" i="46"/>
  <c r="S598" i="46"/>
  <c r="L599" i="46"/>
  <c r="N599" i="46" s="1"/>
  <c r="M599" i="46"/>
  <c r="O599" i="46"/>
  <c r="P599" i="46"/>
  <c r="Q599" i="46"/>
  <c r="R599" i="46"/>
  <c r="S599" i="46"/>
  <c r="L600" i="46"/>
  <c r="N600" i="46" s="1"/>
  <c r="M600" i="46"/>
  <c r="O600" i="46"/>
  <c r="P600" i="46"/>
  <c r="Q600" i="46"/>
  <c r="R600" i="46"/>
  <c r="S600" i="46"/>
  <c r="L601" i="46"/>
  <c r="N601" i="46" s="1"/>
  <c r="M601" i="46"/>
  <c r="O601" i="46"/>
  <c r="P601" i="46"/>
  <c r="Q601" i="46"/>
  <c r="R601" i="46"/>
  <c r="S601" i="46"/>
  <c r="L602" i="46"/>
  <c r="N602" i="46"/>
  <c r="O602" i="46"/>
  <c r="P602" i="46"/>
  <c r="Q602" i="46"/>
  <c r="R602" i="46"/>
  <c r="S602" i="46"/>
  <c r="L603" i="46"/>
  <c r="N603" i="46" s="1"/>
  <c r="M603" i="46"/>
  <c r="O603" i="46"/>
  <c r="P603" i="46"/>
  <c r="Q603" i="46"/>
  <c r="R603" i="46"/>
  <c r="S603" i="46"/>
  <c r="L604" i="46"/>
  <c r="N604" i="46" s="1"/>
  <c r="M604" i="46"/>
  <c r="O604" i="46"/>
  <c r="P604" i="46"/>
  <c r="Q604" i="46"/>
  <c r="R604" i="46"/>
  <c r="S604" i="46"/>
  <c r="L605" i="46"/>
  <c r="N605" i="46"/>
  <c r="O605" i="46"/>
  <c r="P605" i="46"/>
  <c r="Q605" i="46"/>
  <c r="R605" i="46"/>
  <c r="S605" i="46"/>
  <c r="L606" i="46"/>
  <c r="N606" i="46" s="1"/>
  <c r="M606" i="46"/>
  <c r="O606" i="46"/>
  <c r="P606" i="46"/>
  <c r="Q606" i="46"/>
  <c r="R606" i="46"/>
  <c r="S606" i="46"/>
  <c r="L607" i="46"/>
  <c r="N607" i="46" s="1"/>
  <c r="M607" i="46"/>
  <c r="O607" i="46"/>
  <c r="P607" i="46"/>
  <c r="Q607" i="46"/>
  <c r="R607" i="46"/>
  <c r="S607" i="46"/>
  <c r="L608" i="46"/>
  <c r="N608" i="46"/>
  <c r="O608" i="46"/>
  <c r="P608" i="46"/>
  <c r="Q608" i="46"/>
  <c r="R608" i="46"/>
  <c r="S608" i="46"/>
  <c r="L609" i="46"/>
  <c r="N609" i="46" s="1"/>
  <c r="M609" i="46"/>
  <c r="O609" i="46"/>
  <c r="P609" i="46"/>
  <c r="Q609" i="46"/>
  <c r="R609" i="46"/>
  <c r="S609" i="46"/>
  <c r="L610" i="46"/>
  <c r="N610" i="46" s="1"/>
  <c r="M610" i="46"/>
  <c r="O610" i="46"/>
  <c r="P610" i="46"/>
  <c r="Q610" i="46"/>
  <c r="R610" i="46"/>
  <c r="S610" i="46"/>
  <c r="L611" i="46"/>
  <c r="N611" i="46"/>
  <c r="O611" i="46"/>
  <c r="P611" i="46"/>
  <c r="Q611" i="46"/>
  <c r="R611" i="46"/>
  <c r="S611" i="46"/>
  <c r="L612" i="46"/>
  <c r="N612" i="46" s="1"/>
  <c r="M612" i="46"/>
  <c r="O612" i="46"/>
  <c r="P612" i="46"/>
  <c r="Q612" i="46"/>
  <c r="R612" i="46"/>
  <c r="S612" i="46"/>
  <c r="L613" i="46"/>
  <c r="N613" i="46" s="1"/>
  <c r="M613" i="46"/>
  <c r="O613" i="46"/>
  <c r="P613" i="46"/>
  <c r="Q613" i="46"/>
  <c r="R613" i="46"/>
  <c r="S613" i="46"/>
  <c r="L614" i="46"/>
  <c r="N614" i="46"/>
  <c r="O614" i="46"/>
  <c r="P614" i="46"/>
  <c r="Q614" i="46"/>
  <c r="R614" i="46"/>
  <c r="S614" i="46"/>
  <c r="L615" i="46"/>
  <c r="N615" i="46" s="1"/>
  <c r="M615" i="46"/>
  <c r="O615" i="46"/>
  <c r="P615" i="46"/>
  <c r="Q615" i="46"/>
  <c r="R615" i="46"/>
  <c r="S615" i="46"/>
  <c r="L616" i="46"/>
  <c r="N616" i="46" s="1"/>
  <c r="M616" i="46"/>
  <c r="O616" i="46"/>
  <c r="P616" i="46"/>
  <c r="Q616" i="46"/>
  <c r="R616" i="46"/>
  <c r="S616" i="46"/>
  <c r="L617" i="46"/>
  <c r="N617" i="46"/>
  <c r="O617" i="46"/>
  <c r="P617" i="46"/>
  <c r="Q617" i="46"/>
  <c r="R617" i="46"/>
  <c r="S617" i="46"/>
  <c r="L618" i="46"/>
  <c r="N618" i="46" s="1"/>
  <c r="M618" i="46"/>
  <c r="O618" i="46"/>
  <c r="P618" i="46"/>
  <c r="Q618" i="46"/>
  <c r="R618" i="46"/>
  <c r="S618" i="46"/>
  <c r="L619" i="46"/>
  <c r="N619" i="46" s="1"/>
  <c r="M619" i="46"/>
  <c r="O619" i="46"/>
  <c r="P619" i="46"/>
  <c r="Q619" i="46"/>
  <c r="R619" i="46"/>
  <c r="S619" i="46"/>
  <c r="L620" i="46"/>
  <c r="N620" i="46"/>
  <c r="O620" i="46"/>
  <c r="P620" i="46"/>
  <c r="Q620" i="46"/>
  <c r="R620" i="46"/>
  <c r="S620" i="46"/>
  <c r="L621" i="46"/>
  <c r="M621" i="46"/>
  <c r="N621" i="46"/>
  <c r="O621" i="46"/>
  <c r="P621" i="46"/>
  <c r="Q621" i="46"/>
  <c r="R621" i="46"/>
  <c r="S621" i="46"/>
  <c r="L622" i="46"/>
  <c r="N622" i="46" s="1"/>
  <c r="M622" i="46"/>
  <c r="O622" i="46"/>
  <c r="P622" i="46"/>
  <c r="Q622" i="46"/>
  <c r="R622" i="46"/>
  <c r="S622" i="46"/>
  <c r="L623" i="46"/>
  <c r="N623" i="46" s="1"/>
  <c r="M623" i="46"/>
  <c r="O623" i="46"/>
  <c r="P623" i="46"/>
  <c r="Q623" i="46"/>
  <c r="R623" i="46"/>
  <c r="S623" i="46"/>
  <c r="L624" i="46"/>
  <c r="N624" i="46"/>
  <c r="O624" i="46"/>
  <c r="P624" i="46"/>
  <c r="Q624" i="46"/>
  <c r="R624" i="46"/>
  <c r="S624" i="46"/>
  <c r="L625" i="46"/>
  <c r="N625" i="46" s="1"/>
  <c r="M625" i="46"/>
  <c r="O625" i="46"/>
  <c r="P625" i="46"/>
  <c r="Q625" i="46"/>
  <c r="R625" i="46"/>
  <c r="S625" i="46"/>
  <c r="L626" i="46"/>
  <c r="N626" i="46" s="1"/>
  <c r="M626" i="46"/>
  <c r="O626" i="46"/>
  <c r="P626" i="46"/>
  <c r="Q626" i="46"/>
  <c r="R626" i="46"/>
  <c r="S626" i="46"/>
  <c r="L627" i="46"/>
  <c r="N627" i="46"/>
  <c r="O627" i="46"/>
  <c r="P627" i="46"/>
  <c r="Q627" i="46"/>
  <c r="R627" i="46"/>
  <c r="S627" i="46"/>
  <c r="L628" i="46"/>
  <c r="N628" i="46" s="1"/>
  <c r="M628" i="46"/>
  <c r="O628" i="46"/>
  <c r="P628" i="46"/>
  <c r="Q628" i="46"/>
  <c r="R628" i="46"/>
  <c r="S628" i="46"/>
  <c r="L629" i="46"/>
  <c r="N629" i="46" s="1"/>
  <c r="M629" i="46"/>
  <c r="O629" i="46"/>
  <c r="P629" i="46"/>
  <c r="Q629" i="46"/>
  <c r="R629" i="46"/>
  <c r="S629" i="46"/>
  <c r="L630" i="46"/>
  <c r="N630" i="46"/>
  <c r="O630" i="46"/>
  <c r="P630" i="46"/>
  <c r="Q630" i="46"/>
  <c r="R630" i="46"/>
  <c r="S630" i="46"/>
  <c r="L631" i="46"/>
  <c r="N631" i="46" s="1"/>
  <c r="M631" i="46"/>
  <c r="O631" i="46"/>
  <c r="P631" i="46"/>
  <c r="Q631" i="46"/>
  <c r="R631" i="46"/>
  <c r="S631" i="46"/>
  <c r="L632" i="46"/>
  <c r="N632" i="46" s="1"/>
  <c r="M632" i="46"/>
  <c r="O632" i="46"/>
  <c r="P632" i="46"/>
  <c r="Q632" i="46"/>
  <c r="R632" i="46"/>
  <c r="S632" i="46"/>
  <c r="L633" i="46"/>
  <c r="N633" i="46"/>
  <c r="O633" i="46"/>
  <c r="P633" i="46"/>
  <c r="Q633" i="46"/>
  <c r="R633" i="46"/>
  <c r="S633" i="46"/>
  <c r="L634" i="46"/>
  <c r="N634" i="46" s="1"/>
  <c r="M634" i="46"/>
  <c r="O634" i="46"/>
  <c r="P634" i="46"/>
  <c r="Q634" i="46"/>
  <c r="R634" i="46"/>
  <c r="S634" i="46"/>
  <c r="L635" i="46"/>
  <c r="N635" i="46" s="1"/>
  <c r="M635" i="46"/>
  <c r="O635" i="46"/>
  <c r="P635" i="46"/>
  <c r="Q635" i="46"/>
  <c r="R635" i="46"/>
  <c r="S635" i="46"/>
  <c r="L636" i="46"/>
  <c r="N636" i="46"/>
  <c r="O636" i="46"/>
  <c r="P636" i="46"/>
  <c r="Q636" i="46"/>
  <c r="R636" i="46"/>
  <c r="S636" i="46"/>
  <c r="L637" i="46"/>
  <c r="M637" i="46"/>
  <c r="O637" i="46"/>
  <c r="P637" i="46"/>
  <c r="Q637" i="46"/>
  <c r="R637" i="46"/>
  <c r="S637" i="46"/>
  <c r="L638" i="46"/>
  <c r="M638" i="46"/>
  <c r="O638" i="46"/>
  <c r="P638" i="46"/>
  <c r="Q638" i="46"/>
  <c r="R638" i="46"/>
  <c r="S638" i="46"/>
  <c r="L639" i="46"/>
  <c r="N639" i="46"/>
  <c r="O639" i="46"/>
  <c r="P639" i="46"/>
  <c r="Q639" i="46"/>
  <c r="R639" i="46"/>
  <c r="S639" i="46"/>
  <c r="L640" i="46"/>
  <c r="N640" i="46" s="1"/>
  <c r="M640" i="46"/>
  <c r="O640" i="46"/>
  <c r="P640" i="46"/>
  <c r="Q640" i="46"/>
  <c r="R640" i="46"/>
  <c r="S640" i="46"/>
  <c r="L641" i="46"/>
  <c r="N641" i="46" s="1"/>
  <c r="M641" i="46"/>
  <c r="O641" i="46"/>
  <c r="P641" i="46"/>
  <c r="Q641" i="46"/>
  <c r="R641" i="46"/>
  <c r="S641" i="46"/>
  <c r="L642" i="46"/>
  <c r="N642" i="46"/>
  <c r="O642" i="46"/>
  <c r="P642" i="46"/>
  <c r="Q642" i="46"/>
  <c r="R642" i="46"/>
  <c r="S642" i="46"/>
  <c r="L643" i="46"/>
  <c r="N643" i="46" s="1"/>
  <c r="M643" i="46"/>
  <c r="O643" i="46"/>
  <c r="P643" i="46"/>
  <c r="Q643" i="46"/>
  <c r="R643" i="46"/>
  <c r="S643" i="46"/>
  <c r="L644" i="46"/>
  <c r="N644" i="46" s="1"/>
  <c r="M644" i="46"/>
  <c r="O644" i="46"/>
  <c r="P644" i="46"/>
  <c r="Q644" i="46"/>
  <c r="R644" i="46"/>
  <c r="S644" i="46"/>
  <c r="L645" i="46"/>
  <c r="N645" i="46"/>
  <c r="O645" i="46"/>
  <c r="P645" i="46"/>
  <c r="Q645" i="46"/>
  <c r="R645" i="46"/>
  <c r="S645" i="46"/>
  <c r="L646" i="46"/>
  <c r="M646" i="46"/>
  <c r="N646" i="46"/>
  <c r="O646" i="46"/>
  <c r="P646" i="46"/>
  <c r="Q646" i="46"/>
  <c r="R646" i="46"/>
  <c r="S646" i="46"/>
  <c r="L647" i="46"/>
  <c r="M647" i="46"/>
  <c r="N647" i="46"/>
  <c r="O647" i="46"/>
  <c r="P647" i="46"/>
  <c r="Q647" i="46"/>
  <c r="R647" i="46"/>
  <c r="S647" i="46"/>
  <c r="L648" i="46"/>
  <c r="M648" i="46"/>
  <c r="N648" i="46"/>
  <c r="O648" i="46"/>
  <c r="P648" i="46"/>
  <c r="Q648" i="46"/>
  <c r="R648" i="46"/>
  <c r="S648" i="46"/>
  <c r="L649" i="46"/>
  <c r="M649" i="46"/>
  <c r="N649" i="46"/>
  <c r="O649" i="46"/>
  <c r="P649" i="46"/>
  <c r="Q649" i="46"/>
  <c r="R649" i="46"/>
  <c r="S649" i="46"/>
  <c r="L650" i="46"/>
  <c r="N650" i="46" s="1"/>
  <c r="M650" i="46"/>
  <c r="O650" i="46"/>
  <c r="P650" i="46"/>
  <c r="Q650" i="46"/>
  <c r="R650" i="46"/>
  <c r="S650" i="46"/>
  <c r="L651" i="46"/>
  <c r="N651" i="46" s="1"/>
  <c r="M651" i="46"/>
  <c r="O651" i="46"/>
  <c r="P651" i="46"/>
  <c r="Q651" i="46"/>
  <c r="R651" i="46"/>
  <c r="S651" i="46"/>
  <c r="L652" i="46"/>
  <c r="N652" i="46" s="1"/>
  <c r="M652" i="46"/>
  <c r="O652" i="46"/>
  <c r="P652" i="46"/>
  <c r="Q652" i="46"/>
  <c r="R652" i="46"/>
  <c r="S652" i="46"/>
  <c r="L653" i="46"/>
  <c r="N653" i="46"/>
  <c r="O653" i="46"/>
  <c r="P653" i="46"/>
  <c r="Q653" i="46"/>
  <c r="R653" i="46"/>
  <c r="S653" i="46"/>
  <c r="L654" i="46"/>
  <c r="N654" i="46" s="1"/>
  <c r="M654" i="46"/>
  <c r="O654" i="46"/>
  <c r="P654" i="46"/>
  <c r="Q654" i="46"/>
  <c r="R654" i="46"/>
  <c r="S654" i="46"/>
  <c r="L655" i="46"/>
  <c r="N655" i="46" s="1"/>
  <c r="M655" i="46"/>
  <c r="O655" i="46"/>
  <c r="P655" i="46"/>
  <c r="Q655" i="46"/>
  <c r="R655" i="46"/>
  <c r="S655" i="46"/>
  <c r="L656" i="46"/>
  <c r="N656" i="46" s="1"/>
  <c r="M656" i="46"/>
  <c r="O656" i="46"/>
  <c r="P656" i="46"/>
  <c r="Q656" i="46"/>
  <c r="R656" i="46"/>
  <c r="S656" i="46"/>
  <c r="L657" i="46"/>
  <c r="N657" i="46"/>
  <c r="O657" i="46"/>
  <c r="P657" i="46"/>
  <c r="Q657" i="46"/>
  <c r="R657" i="46"/>
  <c r="S657" i="46"/>
  <c r="L658" i="46"/>
  <c r="M658" i="46"/>
  <c r="N658" i="46"/>
  <c r="O658" i="46"/>
  <c r="P658" i="46"/>
  <c r="Q658" i="46"/>
  <c r="R658" i="46"/>
  <c r="S658" i="46"/>
  <c r="L659" i="46"/>
  <c r="N659" i="46" s="1"/>
  <c r="M659" i="46"/>
  <c r="O659" i="46"/>
  <c r="P659" i="46"/>
  <c r="Q659" i="46"/>
  <c r="R659" i="46"/>
  <c r="S659" i="46"/>
  <c r="L660" i="46"/>
  <c r="N660" i="46" s="1"/>
  <c r="M660" i="46"/>
  <c r="O660" i="46"/>
  <c r="P660" i="46"/>
  <c r="Q660" i="46"/>
  <c r="R660" i="46"/>
  <c r="S660" i="46"/>
  <c r="L661" i="46"/>
  <c r="N661" i="46"/>
  <c r="O661" i="46"/>
  <c r="P661" i="46"/>
  <c r="Q661" i="46"/>
  <c r="R661" i="46"/>
  <c r="S661" i="46"/>
  <c r="L662" i="46"/>
  <c r="M662" i="46"/>
  <c r="N662" i="46"/>
  <c r="O662" i="46"/>
  <c r="P662" i="46"/>
  <c r="Q662" i="46"/>
  <c r="R662" i="46"/>
  <c r="S662" i="46"/>
  <c r="L663" i="46"/>
  <c r="M663" i="46"/>
  <c r="N663" i="46"/>
  <c r="O663" i="46"/>
  <c r="P663" i="46"/>
  <c r="Q663" i="46"/>
  <c r="R663" i="46"/>
  <c r="S663" i="46"/>
  <c r="L664" i="46"/>
  <c r="O664" i="46" s="1"/>
  <c r="M664" i="46"/>
  <c r="N664" i="46"/>
  <c r="P664" i="46"/>
  <c r="Q664" i="46"/>
  <c r="R664" i="46"/>
  <c r="S664" i="46"/>
  <c r="L665" i="46"/>
  <c r="M665" i="46"/>
  <c r="N665" i="46"/>
  <c r="P665" i="46"/>
  <c r="Q665" i="46"/>
  <c r="R665" i="46"/>
  <c r="S665" i="46"/>
  <c r="L666" i="46"/>
  <c r="N666" i="46"/>
  <c r="O666" i="46"/>
  <c r="P666" i="46"/>
  <c r="Q666" i="46"/>
  <c r="R666" i="46"/>
  <c r="S666" i="46"/>
  <c r="L667" i="46"/>
  <c r="M667" i="46"/>
  <c r="N667" i="46"/>
  <c r="O667" i="46"/>
  <c r="P667" i="46"/>
  <c r="Q667" i="46"/>
  <c r="R667" i="46"/>
  <c r="S667" i="46"/>
  <c r="L668" i="46"/>
  <c r="M668" i="46"/>
  <c r="N668" i="46"/>
  <c r="O668" i="46"/>
  <c r="P668" i="46"/>
  <c r="Q668" i="46"/>
  <c r="R668" i="46"/>
  <c r="S668" i="46"/>
  <c r="L669" i="46"/>
  <c r="M669" i="46"/>
  <c r="N669" i="46"/>
  <c r="O669" i="46"/>
  <c r="P669" i="46"/>
  <c r="Q669" i="46"/>
  <c r="R669" i="46"/>
  <c r="S669" i="46"/>
  <c r="L670" i="46"/>
  <c r="M670" i="46"/>
  <c r="N670" i="46"/>
  <c r="O670" i="46"/>
  <c r="P670" i="46"/>
  <c r="Q670" i="46"/>
  <c r="R670" i="46"/>
  <c r="S670" i="46"/>
  <c r="L671" i="46"/>
  <c r="N671" i="46" s="1"/>
  <c r="M671" i="46"/>
  <c r="O671" i="46"/>
  <c r="P671" i="46"/>
  <c r="Q671" i="46"/>
  <c r="R671" i="46"/>
  <c r="S671" i="46"/>
  <c r="L672" i="46"/>
  <c r="N672" i="46" s="1"/>
  <c r="M672" i="46"/>
  <c r="O672" i="46"/>
  <c r="P672" i="46"/>
  <c r="Q672" i="46"/>
  <c r="R672" i="46"/>
  <c r="S672" i="46"/>
  <c r="L673" i="46"/>
  <c r="N673" i="46" s="1"/>
  <c r="M673" i="46"/>
  <c r="O673" i="46"/>
  <c r="P673" i="46"/>
  <c r="Q673" i="46"/>
  <c r="R673" i="46"/>
  <c r="S673" i="46"/>
  <c r="L674" i="46"/>
  <c r="N674" i="46"/>
  <c r="O674" i="46"/>
  <c r="P674" i="46"/>
  <c r="Q674" i="46"/>
  <c r="R674" i="46"/>
  <c r="S674" i="46"/>
  <c r="L675" i="46"/>
  <c r="N675" i="46" s="1"/>
  <c r="M675" i="46"/>
  <c r="O675" i="46"/>
  <c r="P675" i="46"/>
  <c r="Q675" i="46"/>
  <c r="R675" i="46"/>
  <c r="S675" i="46"/>
  <c r="L676" i="46"/>
  <c r="N676" i="46" s="1"/>
  <c r="M676" i="46"/>
  <c r="O676" i="46"/>
  <c r="P676" i="46"/>
  <c r="Q676" i="46"/>
  <c r="R676" i="46"/>
  <c r="S676" i="46"/>
  <c r="L677" i="46"/>
  <c r="N677" i="46" s="1"/>
  <c r="M677" i="46"/>
  <c r="O677" i="46"/>
  <c r="P677" i="46"/>
  <c r="Q677" i="46"/>
  <c r="R677" i="46"/>
  <c r="S677" i="46"/>
  <c r="L678" i="46"/>
  <c r="N678" i="46"/>
  <c r="O678" i="46"/>
  <c r="P678" i="46"/>
  <c r="Q678" i="46"/>
  <c r="R678" i="46"/>
  <c r="S678" i="46"/>
  <c r="L679" i="46"/>
  <c r="M679" i="46"/>
  <c r="N679" i="46"/>
  <c r="O679" i="46"/>
  <c r="P679" i="46"/>
  <c r="Q679" i="46"/>
  <c r="R679" i="46"/>
  <c r="S679" i="46"/>
  <c r="L680" i="46"/>
  <c r="M680" i="46"/>
  <c r="N680" i="46"/>
  <c r="O680" i="46"/>
  <c r="P680" i="46"/>
  <c r="Q680" i="46"/>
  <c r="R680" i="46"/>
  <c r="S680" i="46"/>
  <c r="L681" i="46"/>
  <c r="N681" i="46" s="1"/>
  <c r="M681" i="46"/>
  <c r="O681" i="46"/>
  <c r="P681" i="46"/>
  <c r="Q681" i="46"/>
  <c r="R681" i="46"/>
  <c r="S681" i="46"/>
  <c r="L682" i="46"/>
  <c r="N682" i="46" s="1"/>
  <c r="M682" i="46"/>
  <c r="O682" i="46"/>
  <c r="P682" i="46"/>
  <c r="Q682" i="46"/>
  <c r="R682" i="46"/>
  <c r="S682" i="46"/>
  <c r="L683" i="46"/>
  <c r="N683" i="46"/>
  <c r="O683" i="46"/>
  <c r="P683" i="46"/>
  <c r="Q683" i="46"/>
  <c r="R683" i="46"/>
  <c r="S683" i="46"/>
  <c r="L684" i="46"/>
  <c r="M684" i="46"/>
  <c r="N684" i="46"/>
  <c r="O684" i="46"/>
  <c r="P684" i="46"/>
  <c r="Q684" i="46"/>
  <c r="R684" i="46"/>
  <c r="S684" i="46"/>
  <c r="L685" i="46"/>
  <c r="M685" i="46"/>
  <c r="N685" i="46"/>
  <c r="O685" i="46"/>
  <c r="P685" i="46"/>
  <c r="Q685" i="46"/>
  <c r="R685" i="46"/>
  <c r="S685" i="46"/>
  <c r="L686" i="46"/>
  <c r="M686" i="46"/>
  <c r="N686" i="46"/>
  <c r="O686" i="46"/>
  <c r="P686" i="46"/>
  <c r="Q686" i="46"/>
  <c r="R686" i="46"/>
  <c r="S686" i="46"/>
  <c r="L687" i="46"/>
  <c r="N687" i="46" s="1"/>
  <c r="M687" i="46"/>
  <c r="O687" i="46"/>
  <c r="P687" i="46"/>
  <c r="Q687" i="46"/>
  <c r="R687" i="46"/>
  <c r="S687" i="46"/>
  <c r="L688" i="46"/>
  <c r="N688" i="46" s="1"/>
  <c r="M688" i="46"/>
  <c r="O688" i="46"/>
  <c r="P688" i="46"/>
  <c r="Q688" i="46"/>
  <c r="R688" i="46"/>
  <c r="S688" i="46"/>
  <c r="L689" i="46"/>
  <c r="N689" i="46"/>
  <c r="O689" i="46"/>
  <c r="P689" i="46"/>
  <c r="Q689" i="46"/>
  <c r="R689" i="46"/>
  <c r="S689" i="46"/>
  <c r="L690" i="46"/>
  <c r="N690" i="46" s="1"/>
  <c r="M690" i="46"/>
  <c r="O690" i="46"/>
  <c r="P690" i="46"/>
  <c r="Q690" i="46"/>
  <c r="R690" i="46"/>
  <c r="S690" i="46"/>
  <c r="L691" i="46"/>
  <c r="N691" i="46" s="1"/>
  <c r="M691" i="46"/>
  <c r="O691" i="46"/>
  <c r="P691" i="46"/>
  <c r="Q691" i="46"/>
  <c r="R691" i="46"/>
  <c r="S691" i="46"/>
  <c r="L692" i="46"/>
  <c r="N692" i="46"/>
  <c r="O692" i="46"/>
  <c r="P692" i="46"/>
  <c r="Q692" i="46"/>
  <c r="R692" i="46"/>
  <c r="S692" i="46"/>
  <c r="L693" i="46"/>
  <c r="M693" i="46"/>
  <c r="N693" i="46"/>
  <c r="O693" i="46"/>
  <c r="P693" i="46"/>
  <c r="Q693" i="46"/>
  <c r="R693" i="46"/>
  <c r="S693" i="46"/>
  <c r="L694" i="46"/>
  <c r="M694" i="46"/>
  <c r="N694" i="46"/>
  <c r="O694" i="46"/>
  <c r="P694" i="46"/>
  <c r="Q694" i="46"/>
  <c r="R694" i="46"/>
  <c r="S694" i="46"/>
  <c r="L695" i="46"/>
  <c r="M695" i="46"/>
  <c r="N695" i="46"/>
  <c r="O695" i="46"/>
  <c r="P695" i="46"/>
  <c r="Q695" i="46"/>
  <c r="R695" i="46"/>
  <c r="S695" i="46"/>
  <c r="L696" i="46"/>
  <c r="N696" i="46" s="1"/>
  <c r="M696" i="46"/>
  <c r="O696" i="46"/>
  <c r="P696" i="46"/>
  <c r="Q696" i="46"/>
  <c r="R696" i="46"/>
  <c r="S696" i="46"/>
  <c r="L697" i="46"/>
  <c r="N697" i="46" s="1"/>
  <c r="M697" i="46"/>
  <c r="O697" i="46"/>
  <c r="P697" i="46"/>
  <c r="Q697" i="46"/>
  <c r="R697" i="46"/>
  <c r="S697" i="46"/>
  <c r="L698" i="46"/>
  <c r="N698" i="46" s="1"/>
  <c r="M698" i="46"/>
  <c r="O698" i="46"/>
  <c r="P698" i="46"/>
  <c r="Q698" i="46"/>
  <c r="R698" i="46"/>
  <c r="S698" i="46"/>
  <c r="L699" i="46"/>
  <c r="N699" i="46"/>
  <c r="O699" i="46"/>
  <c r="P699" i="46"/>
  <c r="Q699" i="46"/>
  <c r="R699" i="46"/>
  <c r="S699" i="46"/>
  <c r="L700" i="46"/>
  <c r="M700" i="46"/>
  <c r="N700" i="46"/>
  <c r="O700" i="46"/>
  <c r="P700" i="46"/>
  <c r="Q700" i="46"/>
  <c r="R700" i="46"/>
  <c r="S700" i="46"/>
  <c r="L701" i="46"/>
  <c r="N701" i="46" s="1"/>
  <c r="M701" i="46"/>
  <c r="O701" i="46"/>
  <c r="P701" i="46"/>
  <c r="Q701" i="46"/>
  <c r="R701" i="46"/>
  <c r="S701" i="46"/>
  <c r="L702" i="46"/>
  <c r="N702" i="46" s="1"/>
  <c r="M702" i="46"/>
  <c r="O702" i="46"/>
  <c r="P702" i="46"/>
  <c r="Q702" i="46"/>
  <c r="R702" i="46"/>
  <c r="S702" i="46"/>
  <c r="L703" i="46"/>
  <c r="N703" i="46" s="1"/>
  <c r="M703" i="46"/>
  <c r="O703" i="46"/>
  <c r="P703" i="46"/>
  <c r="Q703" i="46"/>
  <c r="R703" i="46"/>
  <c r="S703" i="46"/>
  <c r="L704" i="46"/>
  <c r="N704" i="46"/>
  <c r="O704" i="46"/>
  <c r="P704" i="46"/>
  <c r="Q704" i="46"/>
  <c r="R704" i="46"/>
  <c r="S704" i="46"/>
  <c r="L705" i="46"/>
  <c r="M705" i="46"/>
  <c r="N705" i="46"/>
  <c r="O705" i="46"/>
  <c r="P705" i="46"/>
  <c r="Q705" i="46"/>
  <c r="R705" i="46"/>
  <c r="S705" i="46"/>
  <c r="L706" i="46"/>
  <c r="M706" i="46"/>
  <c r="N706" i="46"/>
  <c r="O706" i="46"/>
  <c r="P706" i="46"/>
  <c r="Q706" i="46"/>
  <c r="R706" i="46"/>
  <c r="S706" i="46"/>
  <c r="L707" i="46"/>
  <c r="M707" i="46"/>
  <c r="N707" i="46"/>
  <c r="O707" i="46"/>
  <c r="P707" i="46"/>
  <c r="Q707" i="46"/>
  <c r="R707" i="46"/>
  <c r="S707" i="46"/>
  <c r="L708" i="46"/>
  <c r="N708" i="46" s="1"/>
  <c r="M708" i="46"/>
  <c r="O708" i="46"/>
  <c r="P708" i="46"/>
  <c r="Q708" i="46"/>
  <c r="R708" i="46"/>
  <c r="S708" i="46"/>
  <c r="L709" i="46"/>
  <c r="N709" i="46" s="1"/>
  <c r="M709" i="46"/>
  <c r="O709" i="46"/>
  <c r="P709" i="46"/>
  <c r="Q709" i="46"/>
  <c r="R709" i="46"/>
  <c r="S709" i="46"/>
  <c r="L710" i="46"/>
  <c r="N710" i="46" s="1"/>
  <c r="M710" i="46"/>
  <c r="O710" i="46"/>
  <c r="P710" i="46"/>
  <c r="Q710" i="46"/>
  <c r="R710" i="46"/>
  <c r="S710" i="46"/>
  <c r="L711" i="46"/>
  <c r="N711" i="46"/>
  <c r="O711" i="46"/>
  <c r="P711" i="46"/>
  <c r="Q711" i="46"/>
  <c r="R711" i="46"/>
  <c r="S711" i="46"/>
  <c r="L712" i="46"/>
  <c r="N712" i="46" s="1"/>
  <c r="M712" i="46"/>
  <c r="O712" i="46"/>
  <c r="P712" i="46"/>
  <c r="Q712" i="46"/>
  <c r="R712" i="46"/>
  <c r="S712" i="46"/>
  <c r="L713" i="46"/>
  <c r="N713" i="46" s="1"/>
  <c r="M713" i="46"/>
  <c r="O713" i="46"/>
  <c r="P713" i="46"/>
  <c r="Q713" i="46"/>
  <c r="R713" i="46"/>
  <c r="S713" i="46"/>
  <c r="L714" i="46"/>
  <c r="N714" i="46"/>
  <c r="O714" i="46"/>
  <c r="P714" i="46"/>
  <c r="Q714" i="46"/>
  <c r="R714" i="46"/>
  <c r="S714" i="46"/>
  <c r="L715" i="46"/>
  <c r="M715" i="46"/>
  <c r="N715" i="46"/>
  <c r="O715" i="46"/>
  <c r="P715" i="46"/>
  <c r="Q715" i="46"/>
  <c r="R715" i="46"/>
  <c r="S715" i="46"/>
  <c r="L716" i="46"/>
  <c r="N716" i="46" s="1"/>
  <c r="M716" i="46"/>
  <c r="O716" i="46"/>
  <c r="P716" i="46"/>
  <c r="Q716" i="46"/>
  <c r="R716" i="46"/>
  <c r="S716" i="46"/>
  <c r="L717" i="46"/>
  <c r="N717" i="46" s="1"/>
  <c r="M717" i="46"/>
  <c r="O717" i="46"/>
  <c r="P717" i="46"/>
  <c r="Q717" i="46"/>
  <c r="R717" i="46"/>
  <c r="S717" i="46"/>
  <c r="L718" i="46"/>
  <c r="N718" i="46"/>
  <c r="O718" i="46"/>
  <c r="P718" i="46"/>
  <c r="Q718" i="46"/>
  <c r="R718" i="46"/>
  <c r="S718" i="46"/>
  <c r="L719" i="46"/>
  <c r="N719" i="46" s="1"/>
  <c r="M719" i="46"/>
  <c r="O719" i="46"/>
  <c r="P719" i="46"/>
  <c r="Q719" i="46"/>
  <c r="R719" i="46"/>
  <c r="S719" i="46"/>
  <c r="L720" i="46"/>
  <c r="N720" i="46" s="1"/>
  <c r="M720" i="46"/>
  <c r="O720" i="46"/>
  <c r="P720" i="46"/>
  <c r="Q720" i="46"/>
  <c r="R720" i="46"/>
  <c r="S720" i="46"/>
  <c r="L721" i="46"/>
  <c r="N721" i="46"/>
  <c r="O721" i="46"/>
  <c r="P721" i="46"/>
  <c r="Q721" i="46"/>
  <c r="R721" i="46"/>
  <c r="S721" i="46"/>
  <c r="L722" i="46"/>
  <c r="N722" i="46" s="1"/>
  <c r="M722" i="46"/>
  <c r="O722" i="46"/>
  <c r="P722" i="46"/>
  <c r="Q722" i="46"/>
  <c r="R722" i="46"/>
  <c r="S722" i="46"/>
  <c r="L723" i="46"/>
  <c r="N723" i="46" s="1"/>
  <c r="M723" i="46"/>
  <c r="O723" i="46"/>
  <c r="P723" i="46"/>
  <c r="Q723" i="46"/>
  <c r="R723" i="46"/>
  <c r="S723" i="46"/>
  <c r="L724" i="46"/>
  <c r="N724" i="46"/>
  <c r="O724" i="46"/>
  <c r="P724" i="46"/>
  <c r="Q724" i="46"/>
  <c r="R724" i="46"/>
  <c r="S724" i="46"/>
  <c r="L725" i="46"/>
  <c r="N725" i="46" s="1"/>
  <c r="M725" i="46"/>
  <c r="O725" i="46"/>
  <c r="P725" i="46"/>
  <c r="Q725" i="46"/>
  <c r="R725" i="46"/>
  <c r="S725" i="46"/>
  <c r="L726" i="46"/>
  <c r="N726" i="46" s="1"/>
  <c r="M726" i="46"/>
  <c r="O726" i="46"/>
  <c r="P726" i="46"/>
  <c r="Q726" i="46"/>
  <c r="R726" i="46"/>
  <c r="S726" i="46"/>
  <c r="L727" i="46"/>
  <c r="N727" i="46"/>
  <c r="O727" i="46"/>
  <c r="P727" i="46"/>
  <c r="Q727" i="46"/>
  <c r="R727" i="46"/>
  <c r="S727" i="46"/>
  <c r="L728" i="46"/>
  <c r="M728" i="46"/>
  <c r="N728" i="46"/>
  <c r="O728" i="46"/>
  <c r="P728" i="46"/>
  <c r="Q728" i="46"/>
  <c r="R728" i="46"/>
  <c r="S728" i="46"/>
  <c r="L729" i="46"/>
  <c r="M729" i="46"/>
  <c r="N729" i="46"/>
  <c r="O729" i="46"/>
  <c r="P729" i="46"/>
  <c r="Q729" i="46"/>
  <c r="R729" i="46"/>
  <c r="S729" i="46"/>
  <c r="L730" i="46"/>
  <c r="M730" i="46"/>
  <c r="N730" i="46"/>
  <c r="O730" i="46"/>
  <c r="P730" i="46"/>
  <c r="Q730" i="46"/>
  <c r="R730" i="46"/>
  <c r="S730" i="46"/>
  <c r="L731" i="46"/>
  <c r="N731" i="46"/>
  <c r="O731" i="46"/>
  <c r="P731" i="46"/>
  <c r="Q731" i="46"/>
  <c r="R731" i="46"/>
  <c r="S731" i="46"/>
  <c r="L732" i="46"/>
  <c r="N732" i="46"/>
  <c r="O732" i="46"/>
  <c r="P732" i="46"/>
  <c r="Q732" i="46"/>
  <c r="R732" i="46"/>
  <c r="S732" i="46"/>
  <c r="L733" i="46"/>
  <c r="M733" i="46"/>
  <c r="N733" i="46"/>
  <c r="O733" i="46"/>
  <c r="P733" i="46"/>
  <c r="Q733" i="46"/>
  <c r="R733" i="46"/>
  <c r="S733" i="46"/>
  <c r="L734" i="46"/>
  <c r="N734" i="46"/>
  <c r="O734" i="46"/>
  <c r="P734" i="46"/>
  <c r="Q734" i="46"/>
  <c r="R734" i="46"/>
  <c r="S734" i="46"/>
  <c r="L735" i="46"/>
  <c r="N735" i="46"/>
  <c r="O735" i="46"/>
  <c r="P735" i="46"/>
  <c r="Q735" i="46"/>
  <c r="R735" i="46"/>
  <c r="S735" i="46"/>
  <c r="M736" i="46"/>
  <c r="O736" i="46"/>
  <c r="P736" i="46"/>
  <c r="Q736" i="46"/>
  <c r="R736" i="46"/>
  <c r="S736" i="46"/>
  <c r="L737" i="46"/>
  <c r="M737" i="46"/>
  <c r="N737" i="46"/>
  <c r="O737" i="46"/>
  <c r="P737" i="46"/>
  <c r="Q737" i="46"/>
  <c r="R737" i="46"/>
  <c r="S737" i="46"/>
  <c r="L738" i="46"/>
  <c r="N738" i="46"/>
  <c r="O738" i="46"/>
  <c r="P738" i="46"/>
  <c r="Q738" i="46"/>
  <c r="R738" i="46"/>
  <c r="S738" i="46"/>
  <c r="L739" i="46"/>
  <c r="N739" i="46"/>
  <c r="O739" i="46"/>
  <c r="P739" i="46"/>
  <c r="Q739" i="46"/>
  <c r="R739" i="46"/>
  <c r="S739" i="46"/>
  <c r="L740" i="46"/>
  <c r="N740" i="46"/>
  <c r="O740" i="46"/>
  <c r="P740" i="46"/>
  <c r="Q740" i="46"/>
  <c r="R740" i="46"/>
  <c r="S740" i="46"/>
  <c r="L741" i="46"/>
  <c r="N741" i="46"/>
  <c r="O741" i="46"/>
  <c r="P741" i="46"/>
  <c r="Q741" i="46"/>
  <c r="R741" i="46"/>
  <c r="S741" i="46"/>
  <c r="L742" i="46"/>
  <c r="M742" i="46"/>
  <c r="N742" i="46"/>
  <c r="O742" i="46"/>
  <c r="P742" i="46"/>
  <c r="Q742" i="46"/>
  <c r="R742" i="46"/>
  <c r="S742" i="46"/>
  <c r="L743" i="46"/>
  <c r="M743" i="46"/>
  <c r="N743" i="46"/>
  <c r="O743" i="46"/>
  <c r="P743" i="46"/>
  <c r="Q743" i="46"/>
  <c r="R743" i="46"/>
  <c r="S743" i="46"/>
  <c r="L744" i="46"/>
  <c r="N744" i="46"/>
  <c r="O744" i="46"/>
  <c r="P744" i="46"/>
  <c r="Q744" i="46"/>
  <c r="R744" i="46"/>
  <c r="S744" i="46"/>
  <c r="L745" i="46"/>
  <c r="N745" i="46"/>
  <c r="O745" i="46"/>
  <c r="P745" i="46"/>
  <c r="Q745" i="46"/>
  <c r="R745" i="46"/>
  <c r="S745" i="46"/>
  <c r="L746" i="46"/>
  <c r="M746" i="46"/>
  <c r="N746" i="46"/>
  <c r="O746" i="46"/>
  <c r="P746" i="46"/>
  <c r="Q746" i="46"/>
  <c r="R746" i="46"/>
  <c r="S746" i="46"/>
  <c r="L747" i="46"/>
  <c r="N747" i="46"/>
  <c r="O747" i="46"/>
  <c r="P747" i="46"/>
  <c r="Q747" i="46"/>
  <c r="R747" i="46"/>
  <c r="S747" i="46"/>
  <c r="L748" i="46"/>
  <c r="N748" i="46"/>
  <c r="O748" i="46"/>
  <c r="P748" i="46"/>
  <c r="Q748" i="46"/>
  <c r="R748" i="46"/>
  <c r="S748" i="46"/>
  <c r="M749" i="46"/>
  <c r="O749" i="46"/>
  <c r="P749" i="46"/>
  <c r="Q749" i="46"/>
  <c r="R749" i="46"/>
  <c r="S749" i="46"/>
  <c r="L750" i="46"/>
  <c r="M750" i="46"/>
  <c r="N750" i="46"/>
  <c r="O750" i="46"/>
  <c r="P750" i="46"/>
  <c r="Q750" i="46"/>
  <c r="R750" i="46"/>
  <c r="S750" i="46"/>
  <c r="L751" i="46"/>
  <c r="N751" i="46"/>
  <c r="O751" i="46"/>
  <c r="P751" i="46"/>
  <c r="Q751" i="46"/>
  <c r="R751" i="46"/>
  <c r="S751" i="46"/>
  <c r="L752" i="46"/>
  <c r="N752" i="46"/>
  <c r="O752" i="46"/>
  <c r="P752" i="46"/>
  <c r="Q752" i="46"/>
  <c r="R752" i="46"/>
  <c r="S752" i="46"/>
  <c r="L753" i="46"/>
  <c r="N753" i="46"/>
  <c r="O753" i="46"/>
  <c r="P753" i="46"/>
  <c r="Q753" i="46"/>
  <c r="R753" i="46"/>
  <c r="S753" i="46"/>
  <c r="L754" i="46"/>
  <c r="N754" i="46"/>
  <c r="O754" i="46"/>
  <c r="P754" i="46"/>
  <c r="Q754" i="46"/>
  <c r="R754" i="46"/>
  <c r="S754" i="46"/>
  <c r="L755" i="46"/>
  <c r="M755" i="46"/>
  <c r="N755" i="46"/>
  <c r="O755" i="46"/>
  <c r="P755" i="46"/>
  <c r="Q755" i="46"/>
  <c r="R755" i="46"/>
  <c r="S755" i="46"/>
  <c r="L756" i="46"/>
  <c r="M756" i="46"/>
  <c r="N756" i="46"/>
  <c r="O756" i="46"/>
  <c r="P756" i="46"/>
  <c r="Q756" i="46"/>
  <c r="R756" i="46"/>
  <c r="S756" i="46"/>
  <c r="L757" i="46"/>
  <c r="M757" i="46"/>
  <c r="N757" i="46"/>
  <c r="O757" i="46"/>
  <c r="P757" i="46"/>
  <c r="Q757" i="46"/>
  <c r="R757" i="46"/>
  <c r="S757" i="46"/>
  <c r="L758" i="46"/>
  <c r="N758" i="46"/>
  <c r="O758" i="46"/>
  <c r="P758" i="46"/>
  <c r="Q758" i="46"/>
  <c r="R758" i="46"/>
  <c r="S758" i="46"/>
  <c r="L759" i="46"/>
  <c r="N759" i="46"/>
  <c r="O759" i="46"/>
  <c r="P759" i="46"/>
  <c r="Q759" i="46"/>
  <c r="R759" i="46"/>
  <c r="S759" i="46"/>
  <c r="L760" i="46"/>
  <c r="M760" i="46"/>
  <c r="N760" i="46"/>
  <c r="O760" i="46"/>
  <c r="P760" i="46"/>
  <c r="Q760" i="46"/>
  <c r="R760" i="46"/>
  <c r="S760" i="46"/>
  <c r="L761" i="46"/>
  <c r="N761" i="46"/>
  <c r="O761" i="46"/>
  <c r="P761" i="46"/>
  <c r="Q761" i="46"/>
  <c r="R761" i="46"/>
  <c r="S761" i="46"/>
  <c r="L762" i="46"/>
  <c r="N762" i="46"/>
  <c r="O762" i="46"/>
  <c r="P762" i="46"/>
  <c r="Q762" i="46"/>
  <c r="R762" i="46"/>
  <c r="S762" i="46"/>
  <c r="M763" i="46"/>
  <c r="O763" i="46"/>
  <c r="P763" i="46"/>
  <c r="Q763" i="46"/>
  <c r="R763" i="46"/>
  <c r="S763" i="46"/>
  <c r="L764" i="46"/>
  <c r="M764" i="46"/>
  <c r="N764" i="46"/>
  <c r="O764" i="46"/>
  <c r="P764" i="46"/>
  <c r="Q764" i="46"/>
  <c r="R764" i="46"/>
  <c r="S764" i="46"/>
  <c r="L765" i="46"/>
  <c r="N765" i="46"/>
  <c r="O765" i="46"/>
  <c r="P765" i="46"/>
  <c r="Q765" i="46"/>
  <c r="R765" i="46"/>
  <c r="S765" i="46"/>
  <c r="L766" i="46"/>
  <c r="N766" i="46"/>
  <c r="O766" i="46"/>
  <c r="P766" i="46"/>
  <c r="Q766" i="46"/>
  <c r="R766" i="46"/>
  <c r="S766" i="46"/>
  <c r="L767" i="46"/>
  <c r="N767" i="46"/>
  <c r="O767" i="46"/>
  <c r="P767" i="46"/>
  <c r="Q767" i="46"/>
  <c r="R767" i="46"/>
  <c r="S767" i="46"/>
  <c r="L768" i="46"/>
  <c r="N768" i="46"/>
  <c r="O768" i="46"/>
  <c r="P768" i="46"/>
  <c r="Q768" i="46"/>
  <c r="R768" i="46"/>
  <c r="S768" i="46"/>
  <c r="L769" i="46"/>
  <c r="M769" i="46"/>
  <c r="N769" i="46"/>
  <c r="O769" i="46"/>
  <c r="P769" i="46"/>
  <c r="Q769" i="46"/>
  <c r="R769" i="46"/>
  <c r="S769" i="46"/>
  <c r="L770" i="46"/>
  <c r="M770" i="46"/>
  <c r="N770" i="46"/>
  <c r="O770" i="46"/>
  <c r="P770" i="46"/>
  <c r="Q770" i="46"/>
  <c r="R770" i="46"/>
  <c r="S770" i="46"/>
  <c r="L771" i="46"/>
  <c r="N771" i="46"/>
  <c r="O771" i="46"/>
  <c r="P771" i="46"/>
  <c r="Q771" i="46"/>
  <c r="R771" i="46"/>
  <c r="S771" i="46"/>
  <c r="L772" i="46"/>
  <c r="N772" i="46"/>
  <c r="O772" i="46"/>
  <c r="P772" i="46"/>
  <c r="Q772" i="46"/>
  <c r="R772" i="46"/>
  <c r="S772" i="46"/>
  <c r="L773" i="46"/>
  <c r="M773" i="46"/>
  <c r="N773" i="46"/>
  <c r="O773" i="46"/>
  <c r="P773" i="46"/>
  <c r="Q773" i="46"/>
  <c r="R773" i="46"/>
  <c r="S773" i="46"/>
  <c r="L774" i="46"/>
  <c r="N774" i="46"/>
  <c r="O774" i="46"/>
  <c r="P774" i="46"/>
  <c r="Q774" i="46"/>
  <c r="R774" i="46"/>
  <c r="S774" i="46"/>
  <c r="L775" i="46"/>
  <c r="N775" i="46"/>
  <c r="O775" i="46"/>
  <c r="P775" i="46"/>
  <c r="Q775" i="46"/>
  <c r="R775" i="46"/>
  <c r="S775" i="46"/>
  <c r="M776" i="46"/>
  <c r="O776" i="46"/>
  <c r="P776" i="46"/>
  <c r="Q776" i="46"/>
  <c r="R776" i="46"/>
  <c r="S776" i="46"/>
  <c r="L777" i="46"/>
  <c r="M777" i="46"/>
  <c r="N777" i="46"/>
  <c r="O777" i="46"/>
  <c r="P777" i="46"/>
  <c r="Q777" i="46"/>
  <c r="R777" i="46"/>
  <c r="S777" i="46"/>
  <c r="L778" i="46"/>
  <c r="N778" i="46"/>
  <c r="O778" i="46"/>
  <c r="P778" i="46"/>
  <c r="Q778" i="46"/>
  <c r="R778" i="46"/>
  <c r="S778" i="46"/>
  <c r="L779" i="46"/>
  <c r="N779" i="46"/>
  <c r="O779" i="46"/>
  <c r="P779" i="46"/>
  <c r="Q779" i="46"/>
  <c r="R779" i="46"/>
  <c r="S779" i="46"/>
  <c r="L780" i="46"/>
  <c r="N780" i="46"/>
  <c r="O780" i="46"/>
  <c r="P780" i="46"/>
  <c r="Q780" i="46"/>
  <c r="R780" i="46"/>
  <c r="S780" i="46"/>
  <c r="L781" i="46"/>
  <c r="N781" i="46"/>
  <c r="O781" i="46"/>
  <c r="P781" i="46"/>
  <c r="Q781" i="46"/>
  <c r="R781" i="46"/>
  <c r="S781" i="46"/>
  <c r="D195" i="46"/>
  <c r="D196" i="46"/>
  <c r="D197" i="46"/>
  <c r="D74" i="46"/>
  <c r="D75" i="46"/>
  <c r="D76" i="46"/>
  <c r="N196" i="46" l="1"/>
  <c r="N195" i="46"/>
  <c r="N74" i="46"/>
  <c r="N75" i="46"/>
  <c r="D637" i="46"/>
  <c r="N637" i="46" s="1"/>
  <c r="D638" i="46"/>
  <c r="N638" i="46" s="1"/>
  <c r="D639" i="46"/>
  <c r="D489" i="46"/>
  <c r="N489" i="46" s="1"/>
  <c r="D490" i="46"/>
  <c r="N490" i="46" s="1"/>
  <c r="D491" i="46"/>
  <c r="D483" i="46"/>
  <c r="N483" i="46" s="1"/>
  <c r="D484" i="46"/>
  <c r="N484" i="46" s="1"/>
  <c r="D485" i="46"/>
  <c r="D376" i="46"/>
  <c r="N376" i="46" s="1"/>
  <c r="D377" i="46"/>
  <c r="N377" i="46" s="1"/>
  <c r="D378" i="46"/>
  <c r="D370" i="46"/>
  <c r="N370" i="46" s="1"/>
  <c r="D371" i="46"/>
  <c r="N371" i="46" s="1"/>
  <c r="D372" i="46"/>
  <c r="D319" i="46"/>
  <c r="N319" i="46" s="1"/>
  <c r="D320" i="46"/>
  <c r="N320" i="46" s="1"/>
  <c r="D321" i="46"/>
  <c r="D298" i="46"/>
  <c r="N298" i="46" s="1"/>
  <c r="D299" i="46"/>
  <c r="N299" i="46" s="1"/>
  <c r="D300" i="46"/>
  <c r="D301" i="46"/>
  <c r="N301" i="46" s="1"/>
  <c r="D302" i="46"/>
  <c r="N302" i="46" s="1"/>
  <c r="D303" i="46"/>
  <c r="D304" i="46"/>
  <c r="N304" i="46" s="1"/>
  <c r="D305" i="46"/>
  <c r="N305" i="46" s="1"/>
  <c r="D306" i="46"/>
  <c r="D264" i="46"/>
  <c r="N264" i="46" s="1"/>
  <c r="D265" i="46"/>
  <c r="N265" i="46" s="1"/>
  <c r="D266" i="46"/>
  <c r="D252" i="46"/>
  <c r="N252" i="46" s="1"/>
  <c r="D253" i="46"/>
  <c r="N253" i="46" s="1"/>
  <c r="D254" i="46"/>
  <c r="D240" i="46"/>
  <c r="N240" i="46" s="1"/>
  <c r="D241" i="46"/>
  <c r="N241" i="46" s="1"/>
  <c r="D242" i="46"/>
  <c r="D207" i="46"/>
  <c r="N207" i="46" s="1"/>
  <c r="D208" i="46"/>
  <c r="N208" i="46" s="1"/>
  <c r="D209" i="46"/>
  <c r="D192" i="46"/>
  <c r="N192" i="46" s="1"/>
  <c r="D193" i="46"/>
  <c r="N193" i="46" s="1"/>
  <c r="D194" i="46"/>
  <c r="D186" i="46"/>
  <c r="N186" i="46" s="1"/>
  <c r="D187" i="46"/>
  <c r="N187" i="46" s="1"/>
  <c r="D188" i="46"/>
  <c r="D141" i="46"/>
  <c r="N141" i="46" s="1"/>
  <c r="D142" i="46"/>
  <c r="N142" i="46" s="1"/>
  <c r="D143" i="46"/>
  <c r="D135" i="46"/>
  <c r="N135" i="46" s="1"/>
  <c r="D136" i="46"/>
  <c r="N136" i="46" s="1"/>
  <c r="D137" i="46"/>
  <c r="D130" i="46"/>
  <c r="N130" i="46" s="1"/>
  <c r="D131" i="46"/>
  <c r="D129" i="46"/>
  <c r="N129" i="46" s="1"/>
  <c r="D126" i="46"/>
  <c r="N126" i="46" s="1"/>
  <c r="D127" i="46"/>
  <c r="N127" i="46" s="1"/>
  <c r="D128" i="46"/>
  <c r="H62" i="17" l="1"/>
  <c r="F8334" i="34"/>
  <c r="H63" i="17" l="1"/>
  <c r="G62" i="17"/>
  <c r="K64" i="17"/>
  <c r="J64" i="17" s="1"/>
  <c r="K60" i="17"/>
  <c r="J60" i="17" l="1"/>
  <c r="G63" i="17"/>
  <c r="K63" i="17"/>
  <c r="J63" i="17" s="1"/>
  <c r="H61" i="17"/>
  <c r="G61" i="17" l="1"/>
  <c r="K61" i="17"/>
  <c r="J61" i="17" s="1"/>
  <c r="G13" i="17"/>
  <c r="G15" i="17"/>
  <c r="I3584" i="34"/>
  <c r="I3583" i="34"/>
  <c r="P784" i="46"/>
  <c r="N784" i="46"/>
  <c r="M784" i="46"/>
  <c r="D781" i="46"/>
  <c r="M781" i="46" s="1"/>
  <c r="E780" i="46"/>
  <c r="D780" i="46"/>
  <c r="E779" i="46"/>
  <c r="D779" i="46"/>
  <c r="E778" i="46"/>
  <c r="D778" i="46"/>
  <c r="I776" i="46"/>
  <c r="G776" i="46"/>
  <c r="E775" i="46"/>
  <c r="M775" i="46" s="1"/>
  <c r="E774" i="46"/>
  <c r="M774" i="46" s="1"/>
  <c r="E772" i="46"/>
  <c r="M772" i="46" s="1"/>
  <c r="E771" i="46"/>
  <c r="M771" i="46" s="1"/>
  <c r="D768" i="46"/>
  <c r="M768" i="46" s="1"/>
  <c r="E767" i="46"/>
  <c r="D767" i="46"/>
  <c r="E766" i="46"/>
  <c r="D766" i="46"/>
  <c r="E765" i="46"/>
  <c r="D765" i="46"/>
  <c r="I763" i="46"/>
  <c r="G763" i="46"/>
  <c r="E762" i="46"/>
  <c r="M762" i="46" s="1"/>
  <c r="E761" i="46"/>
  <c r="M761" i="46" s="1"/>
  <c r="E759" i="46"/>
  <c r="M759" i="46" s="1"/>
  <c r="E758" i="46"/>
  <c r="M758" i="46" s="1"/>
  <c r="D754" i="46"/>
  <c r="M754" i="46" s="1"/>
  <c r="E753" i="46"/>
  <c r="D753" i="46"/>
  <c r="E752" i="46"/>
  <c r="D752" i="46"/>
  <c r="E751" i="46"/>
  <c r="D751" i="46"/>
  <c r="I749" i="46"/>
  <c r="G749" i="46"/>
  <c r="E748" i="46"/>
  <c r="M748" i="46" s="1"/>
  <c r="E747" i="46"/>
  <c r="M747" i="46" s="1"/>
  <c r="E745" i="46"/>
  <c r="M745" i="46" s="1"/>
  <c r="E744" i="46"/>
  <c r="M744" i="46" s="1"/>
  <c r="D741" i="46"/>
  <c r="M741" i="46" s="1"/>
  <c r="E740" i="46"/>
  <c r="D740" i="46"/>
  <c r="E739" i="46"/>
  <c r="D739" i="46"/>
  <c r="E738" i="46"/>
  <c r="D738" i="46"/>
  <c r="I736" i="46"/>
  <c r="G736" i="46"/>
  <c r="E735" i="46"/>
  <c r="M735" i="46" s="1"/>
  <c r="E734" i="46"/>
  <c r="M734" i="46" s="1"/>
  <c r="E732" i="46"/>
  <c r="M732" i="46" s="1"/>
  <c r="E731" i="46"/>
  <c r="M731" i="46" s="1"/>
  <c r="D665" i="46"/>
  <c r="O665" i="46" s="1"/>
  <c r="D558" i="46"/>
  <c r="D557" i="46"/>
  <c r="O557" i="46" s="1"/>
  <c r="D555" i="46"/>
  <c r="D554" i="46"/>
  <c r="N554" i="46" s="1"/>
  <c r="D552" i="46"/>
  <c r="D551" i="46"/>
  <c r="N551" i="46" s="1"/>
  <c r="D549" i="46"/>
  <c r="D548" i="46"/>
  <c r="N548" i="46" s="1"/>
  <c r="D546" i="46"/>
  <c r="D545" i="46"/>
  <c r="N545" i="46" s="1"/>
  <c r="D543" i="46"/>
  <c r="D542" i="46"/>
  <c r="N542" i="46" s="1"/>
  <c r="D540" i="46"/>
  <c r="D539" i="46"/>
  <c r="N539" i="46" s="1"/>
  <c r="D537" i="46"/>
  <c r="D536" i="46"/>
  <c r="N536" i="46" s="1"/>
  <c r="D534" i="46"/>
  <c r="D533" i="46"/>
  <c r="N533" i="46" s="1"/>
  <c r="D531" i="46"/>
  <c r="D530" i="46"/>
  <c r="N530" i="46" s="1"/>
  <c r="D528" i="46"/>
  <c r="D527" i="46"/>
  <c r="N527" i="46" s="1"/>
  <c r="D525" i="46"/>
  <c r="D524" i="46"/>
  <c r="N524" i="46" s="1"/>
  <c r="E272" i="46"/>
  <c r="M272" i="46" s="1"/>
  <c r="E221" i="46"/>
  <c r="M221" i="46" s="1"/>
  <c r="E185" i="46"/>
  <c r="M185" i="46" s="1"/>
  <c r="E174" i="46"/>
  <c r="M174" i="46" s="1"/>
  <c r="E171" i="46"/>
  <c r="M171" i="46" s="1"/>
  <c r="E168" i="46"/>
  <c r="M168" i="46" s="1"/>
  <c r="E165" i="46"/>
  <c r="M165" i="46" s="1"/>
  <c r="E162" i="46"/>
  <c r="M162" i="46" s="1"/>
  <c r="E159" i="46"/>
  <c r="M159" i="46" s="1"/>
  <c r="E155" i="46"/>
  <c r="M155" i="46" s="1"/>
  <c r="E152" i="46"/>
  <c r="M152" i="46" s="1"/>
  <c r="E149" i="46"/>
  <c r="M149" i="46" s="1"/>
  <c r="E146" i="46"/>
  <c r="M146" i="46" s="1"/>
  <c r="E143" i="46"/>
  <c r="M143" i="46" s="1"/>
  <c r="E140" i="46"/>
  <c r="M140" i="46" s="1"/>
  <c r="E137" i="46"/>
  <c r="M137" i="46" s="1"/>
  <c r="E134" i="46"/>
  <c r="M134" i="46" s="1"/>
  <c r="E131" i="46"/>
  <c r="M131" i="46" s="1"/>
  <c r="E128" i="46"/>
  <c r="M128" i="46" s="1"/>
  <c r="E125" i="46"/>
  <c r="M125" i="46" s="1"/>
  <c r="E122" i="46"/>
  <c r="M122" i="46" s="1"/>
  <c r="E119" i="46"/>
  <c r="M119" i="46" s="1"/>
  <c r="E116" i="46"/>
  <c r="M116" i="46" s="1"/>
  <c r="E113" i="46"/>
  <c r="M113" i="46" s="1"/>
  <c r="E107" i="46"/>
  <c r="M107" i="46" s="1"/>
  <c r="E104" i="46"/>
  <c r="M104" i="46" s="1"/>
  <c r="E101" i="46"/>
  <c r="M101" i="46" s="1"/>
  <c r="E98" i="46"/>
  <c r="M98" i="46" s="1"/>
  <c r="E95" i="46"/>
  <c r="M95" i="46" s="1"/>
  <c r="E91" i="46"/>
  <c r="M91" i="46" s="1"/>
  <c r="E88" i="46"/>
  <c r="M88" i="46" s="1"/>
  <c r="E85" i="46"/>
  <c r="M85" i="46" s="1"/>
  <c r="E82" i="46"/>
  <c r="M82" i="46" s="1"/>
  <c r="E79" i="46"/>
  <c r="M79" i="46" s="1"/>
  <c r="E76" i="46"/>
  <c r="M76" i="46" s="1"/>
  <c r="E73" i="46"/>
  <c r="M73" i="46" s="1"/>
  <c r="E70" i="46"/>
  <c r="M70" i="46" s="1"/>
  <c r="E67" i="46"/>
  <c r="M67" i="46" s="1"/>
  <c r="E56" i="46"/>
  <c r="M56" i="46" s="1"/>
  <c r="E53" i="46"/>
  <c r="M53" i="46" s="1"/>
  <c r="E50" i="46"/>
  <c r="M50" i="46" s="1"/>
  <c r="E47" i="46"/>
  <c r="M47" i="46" s="1"/>
  <c r="E44" i="46"/>
  <c r="M44" i="46" s="1"/>
  <c r="E41" i="46"/>
  <c r="M41" i="46" s="1"/>
  <c r="E38" i="46"/>
  <c r="M38" i="46" s="1"/>
  <c r="E34" i="46"/>
  <c r="M34" i="46" s="1"/>
  <c r="E31" i="46"/>
  <c r="M31" i="46" s="1"/>
  <c r="E28" i="46"/>
  <c r="M28" i="46" s="1"/>
  <c r="E25" i="46"/>
  <c r="M25" i="46" s="1"/>
  <c r="E22" i="46"/>
  <c r="M22" i="46" s="1"/>
  <c r="E19" i="46"/>
  <c r="M19" i="46" s="1"/>
  <c r="E16" i="46"/>
  <c r="M16" i="46" s="1"/>
  <c r="E13" i="46"/>
  <c r="M13" i="46" s="1"/>
  <c r="S11" i="46"/>
  <c r="S783" i="46" s="1"/>
  <c r="S785" i="46" s="1"/>
  <c r="R11" i="46"/>
  <c r="R783" i="46" s="1"/>
  <c r="R785" i="46" s="1"/>
  <c r="Q11" i="46"/>
  <c r="Q783" i="46" s="1"/>
  <c r="Q785" i="46" s="1"/>
  <c r="P11" i="46"/>
  <c r="P783" i="46" s="1"/>
  <c r="P785" i="46" s="1"/>
  <c r="O11" i="46"/>
  <c r="M11" i="46"/>
  <c r="I3574" i="34"/>
  <c r="K13" i="17"/>
  <c r="I4555" i="34"/>
  <c r="I4883" i="34"/>
  <c r="I4879" i="34"/>
  <c r="J4879" i="34" s="1"/>
  <c r="F5813" i="34"/>
  <c r="I5813" i="34" s="1"/>
  <c r="F5814" i="34"/>
  <c r="I5814" i="34" s="1"/>
  <c r="F5815" i="34"/>
  <c r="I5815" i="34" s="1"/>
  <c r="F5816" i="34"/>
  <c r="I5816" i="34" s="1"/>
  <c r="F5817" i="34"/>
  <c r="I5817" i="34" s="1"/>
  <c r="F5818" i="34"/>
  <c r="I5818" i="34" s="1"/>
  <c r="F5819" i="34"/>
  <c r="I5819" i="34" s="1"/>
  <c r="F5820" i="34"/>
  <c r="I5820" i="34" s="1"/>
  <c r="F5823" i="34"/>
  <c r="I5823" i="34" s="1"/>
  <c r="F5825" i="34"/>
  <c r="I5825" i="34" s="1"/>
  <c r="F5826" i="34"/>
  <c r="I5826" i="34" s="1"/>
  <c r="F5828" i="34"/>
  <c r="I5828" i="34" s="1"/>
  <c r="F5829" i="34"/>
  <c r="I5829" i="34" s="1"/>
  <c r="F5830" i="34"/>
  <c r="I5830" i="34" s="1"/>
  <c r="F5833" i="34"/>
  <c r="I5833" i="34" s="1"/>
  <c r="F5834" i="34"/>
  <c r="I5834" i="34" s="1"/>
  <c r="F5835" i="34"/>
  <c r="I5835" i="34" s="1"/>
  <c r="F5836" i="34"/>
  <c r="I5836" i="34" s="1"/>
  <c r="F5837" i="34"/>
  <c r="I5837" i="34" s="1"/>
  <c r="F5838" i="34"/>
  <c r="I5838" i="34" s="1"/>
  <c r="F5839" i="34"/>
  <c r="I5839" i="34" s="1"/>
  <c r="F5840" i="34"/>
  <c r="I5840" i="34" s="1"/>
  <c r="F5841" i="34"/>
  <c r="I5841" i="34" s="1"/>
  <c r="F5842" i="34"/>
  <c r="I5842" i="34" s="1"/>
  <c r="F5845" i="34"/>
  <c r="I5845" i="34" s="1"/>
  <c r="F5847" i="34"/>
  <c r="I5847" i="34" s="1"/>
  <c r="F5849" i="34"/>
  <c r="I5849" i="34" s="1"/>
  <c r="F5850" i="34"/>
  <c r="I5850" i="34" s="1"/>
  <c r="F5852" i="34"/>
  <c r="I5852" i="34" s="1"/>
  <c r="F5853" i="34"/>
  <c r="I5853" i="34" s="1"/>
  <c r="F5854" i="34"/>
  <c r="I5854" i="34" s="1"/>
  <c r="F5855" i="34"/>
  <c r="I5855" i="34" s="1"/>
  <c r="F5856" i="34"/>
  <c r="I5856" i="34" s="1"/>
  <c r="F5857" i="34"/>
  <c r="I5857" i="34" s="1"/>
  <c r="F5858" i="34"/>
  <c r="I5858" i="34" s="1"/>
  <c r="F5859" i="34"/>
  <c r="I5859" i="34" s="1"/>
  <c r="F5862" i="34"/>
  <c r="I5862" i="34" s="1"/>
  <c r="F5863" i="34"/>
  <c r="I5863" i="34" s="1"/>
  <c r="F5864" i="34"/>
  <c r="I5864" i="34" s="1"/>
  <c r="F5865" i="34"/>
  <c r="I5865" i="34" s="1"/>
  <c r="F5866" i="34"/>
  <c r="I5866" i="34" s="1"/>
  <c r="F5867" i="34"/>
  <c r="I5867" i="34" s="1"/>
  <c r="F5868" i="34"/>
  <c r="I5868" i="34" s="1"/>
  <c r="F5870" i="34"/>
  <c r="I5870" i="34" s="1"/>
  <c r="F5871" i="34"/>
  <c r="I5871" i="34" s="1"/>
  <c r="F5872" i="34"/>
  <c r="I5872" i="34" s="1"/>
  <c r="F5873" i="34"/>
  <c r="I5873" i="34" s="1"/>
  <c r="F5874" i="34"/>
  <c r="I5874" i="34" s="1"/>
  <c r="F5875" i="34"/>
  <c r="I5875" i="34" s="1"/>
  <c r="F5876" i="34"/>
  <c r="I5876" i="34" s="1"/>
  <c r="F5877" i="34"/>
  <c r="I5877" i="34" s="1"/>
  <c r="F5878" i="34"/>
  <c r="I5878" i="34" s="1"/>
  <c r="F5879" i="34"/>
  <c r="I5879" i="34" s="1"/>
  <c r="F5882" i="34"/>
  <c r="I5882" i="34" s="1"/>
  <c r="F5883" i="34"/>
  <c r="I5883" i="34" s="1"/>
  <c r="F5884" i="34"/>
  <c r="I5884" i="34" s="1"/>
  <c r="F5885" i="34"/>
  <c r="I5885" i="34" s="1"/>
  <c r="F5886" i="34"/>
  <c r="I5886" i="34" s="1"/>
  <c r="F5887" i="34"/>
  <c r="I5887" i="34" s="1"/>
  <c r="F5888" i="34"/>
  <c r="I5888" i="34" s="1"/>
  <c r="F5889" i="34"/>
  <c r="I5889" i="34" s="1"/>
  <c r="F5890" i="34"/>
  <c r="I5890" i="34" s="1"/>
  <c r="M766" i="46" l="1"/>
  <c r="L736" i="46"/>
  <c r="N736" i="46" s="1"/>
  <c r="M738" i="46"/>
  <c r="M739" i="46"/>
  <c r="M740" i="46"/>
  <c r="L763" i="46"/>
  <c r="N763" i="46" s="1"/>
  <c r="M765" i="46"/>
  <c r="M767" i="46"/>
  <c r="G19" i="17"/>
  <c r="L749" i="46"/>
  <c r="N749" i="46" s="1"/>
  <c r="M751" i="46"/>
  <c r="M752" i="46"/>
  <c r="M753" i="46"/>
  <c r="L776" i="46"/>
  <c r="N776" i="46" s="1"/>
  <c r="M778" i="46"/>
  <c r="M779" i="46"/>
  <c r="M780" i="46"/>
  <c r="O783" i="46"/>
  <c r="O785" i="46" s="1"/>
  <c r="E428" i="46"/>
  <c r="M428" i="46" s="1"/>
  <c r="E452" i="46"/>
  <c r="M452" i="46" s="1"/>
  <c r="E464" i="46"/>
  <c r="M464" i="46" s="1"/>
  <c r="E531" i="46"/>
  <c r="M531" i="46" s="1"/>
  <c r="E568" i="46"/>
  <c r="M568" i="46" s="1"/>
  <c r="E580" i="46"/>
  <c r="M580" i="46" s="1"/>
  <c r="E611" i="46"/>
  <c r="M611" i="46" s="1"/>
  <c r="E704" i="46"/>
  <c r="M704" i="46" s="1"/>
  <c r="E727" i="46"/>
  <c r="M727" i="46" s="1"/>
  <c r="E182" i="46"/>
  <c r="M182" i="46" s="1"/>
  <c r="E197" i="46"/>
  <c r="M197" i="46" s="1"/>
  <c r="E209" i="46"/>
  <c r="M209" i="46" s="1"/>
  <c r="E225" i="46"/>
  <c r="M225" i="46" s="1"/>
  <c r="E239" i="46"/>
  <c r="M239" i="46" s="1"/>
  <c r="E251" i="46"/>
  <c r="M251" i="46" s="1"/>
  <c r="E263" i="46"/>
  <c r="M263" i="46" s="1"/>
  <c r="E279" i="46"/>
  <c r="M279" i="46" s="1"/>
  <c r="E294" i="46"/>
  <c r="M294" i="46" s="1"/>
  <c r="E306" i="46"/>
  <c r="M306" i="46" s="1"/>
  <c r="E318" i="46"/>
  <c r="M318" i="46" s="1"/>
  <c r="E330" i="46"/>
  <c r="M330" i="46" s="1"/>
  <c r="E342" i="46"/>
  <c r="M342" i="46" s="1"/>
  <c r="E369" i="46"/>
  <c r="M369" i="46" s="1"/>
  <c r="E381" i="46"/>
  <c r="M381" i="46" s="1"/>
  <c r="E394" i="46"/>
  <c r="M394" i="46" s="1"/>
  <c r="E409" i="46"/>
  <c r="M409" i="46" s="1"/>
  <c r="E421" i="46"/>
  <c r="M421" i="46" s="1"/>
  <c r="E434" i="46"/>
  <c r="M434" i="46" s="1"/>
  <c r="E446" i="46"/>
  <c r="M446" i="46" s="1"/>
  <c r="E458" i="46"/>
  <c r="M458" i="46" s="1"/>
  <c r="E473" i="46"/>
  <c r="M473" i="46" s="1"/>
  <c r="E485" i="46"/>
  <c r="M485" i="46" s="1"/>
  <c r="E497" i="46"/>
  <c r="M497" i="46" s="1"/>
  <c r="E510" i="46"/>
  <c r="M510" i="46" s="1"/>
  <c r="E525" i="46"/>
  <c r="M525" i="46" s="1"/>
  <c r="E537" i="46"/>
  <c r="M537" i="46" s="1"/>
  <c r="E549" i="46"/>
  <c r="M549" i="46" s="1"/>
  <c r="E562" i="46"/>
  <c r="M562" i="46" s="1"/>
  <c r="E574" i="46"/>
  <c r="M574" i="46" s="1"/>
  <c r="E598" i="46"/>
  <c r="M598" i="46" s="1"/>
  <c r="E602" i="46"/>
  <c r="M602" i="46" s="1"/>
  <c r="E605" i="46"/>
  <c r="M605" i="46" s="1"/>
  <c r="E617" i="46"/>
  <c r="M617" i="46" s="1"/>
  <c r="E630" i="46"/>
  <c r="M630" i="46" s="1"/>
  <c r="E642" i="46"/>
  <c r="M642" i="46" s="1"/>
  <c r="E689" i="46"/>
  <c r="M689" i="46" s="1"/>
  <c r="E721" i="46"/>
  <c r="M721" i="46" s="1"/>
  <c r="E179" i="46"/>
  <c r="M179" i="46" s="1"/>
  <c r="E194" i="46"/>
  <c r="M194" i="46" s="1"/>
  <c r="E206" i="46"/>
  <c r="M206" i="46" s="1"/>
  <c r="E218" i="46"/>
  <c r="M218" i="46" s="1"/>
  <c r="E303" i="46"/>
  <c r="M303" i="46" s="1"/>
  <c r="E315" i="46"/>
  <c r="M315" i="46" s="1"/>
  <c r="E327" i="46"/>
  <c r="M327" i="46" s="1"/>
  <c r="E352" i="46"/>
  <c r="M352" i="46" s="1"/>
  <c r="E378" i="46"/>
  <c r="M378" i="46" s="1"/>
  <c r="E391" i="46"/>
  <c r="M391" i="46" s="1"/>
  <c r="E406" i="46"/>
  <c r="M406" i="46" s="1"/>
  <c r="E418" i="46"/>
  <c r="M418" i="46" s="1"/>
  <c r="E431" i="46"/>
  <c r="M431" i="46" s="1"/>
  <c r="E443" i="46"/>
  <c r="M443" i="46" s="1"/>
  <c r="E455" i="46"/>
  <c r="M455" i="46" s="1"/>
  <c r="E467" i="46"/>
  <c r="M467" i="46" s="1"/>
  <c r="E482" i="46"/>
  <c r="M482" i="46" s="1"/>
  <c r="E494" i="46"/>
  <c r="M494" i="46" s="1"/>
  <c r="E506" i="46"/>
  <c r="M506" i="46" s="1"/>
  <c r="E519" i="46"/>
  <c r="M519" i="46" s="1"/>
  <c r="E528" i="46"/>
  <c r="M528" i="46" s="1"/>
  <c r="E540" i="46"/>
  <c r="M540" i="46" s="1"/>
  <c r="E552" i="46"/>
  <c r="M552" i="46" s="1"/>
  <c r="E571" i="46"/>
  <c r="M571" i="46" s="1"/>
  <c r="E587" i="46"/>
  <c r="M587" i="46" s="1"/>
  <c r="E591" i="46"/>
  <c r="M591" i="46" s="1"/>
  <c r="E614" i="46"/>
  <c r="M614" i="46" s="1"/>
  <c r="E627" i="46"/>
  <c r="M627" i="46" s="1"/>
  <c r="E639" i="46"/>
  <c r="M639" i="46" s="1"/>
  <c r="E666" i="46"/>
  <c r="M666" i="46" s="1"/>
  <c r="E674" i="46"/>
  <c r="M674" i="46" s="1"/>
  <c r="E678" i="46"/>
  <c r="M678" i="46" s="1"/>
  <c r="E683" i="46"/>
  <c r="M683" i="46" s="1"/>
  <c r="E718" i="46"/>
  <c r="M718" i="46" s="1"/>
  <c r="E191" i="46"/>
  <c r="M191" i="46" s="1"/>
  <c r="E203" i="46"/>
  <c r="M203" i="46" s="1"/>
  <c r="E215" i="46"/>
  <c r="M215" i="46" s="1"/>
  <c r="E245" i="46"/>
  <c r="M245" i="46" s="1"/>
  <c r="E257" i="46"/>
  <c r="M257" i="46" s="1"/>
  <c r="E269" i="46"/>
  <c r="M269" i="46" s="1"/>
  <c r="E285" i="46"/>
  <c r="M285" i="46" s="1"/>
  <c r="E300" i="46"/>
  <c r="M300" i="46" s="1"/>
  <c r="E312" i="46"/>
  <c r="M312" i="46" s="1"/>
  <c r="E324" i="46"/>
  <c r="M324" i="46" s="1"/>
  <c r="E349" i="46"/>
  <c r="M349" i="46" s="1"/>
  <c r="E361" i="46"/>
  <c r="M361" i="46" s="1"/>
  <c r="E375" i="46"/>
  <c r="M375" i="46" s="1"/>
  <c r="E387" i="46"/>
  <c r="M387" i="46" s="1"/>
  <c r="E403" i="46"/>
  <c r="M403" i="46" s="1"/>
  <c r="E415" i="46"/>
  <c r="M415" i="46" s="1"/>
  <c r="E236" i="46"/>
  <c r="M236" i="46" s="1"/>
  <c r="E248" i="46"/>
  <c r="M248" i="46" s="1"/>
  <c r="E260" i="46"/>
  <c r="M260" i="46" s="1"/>
  <c r="E276" i="46"/>
  <c r="M276" i="46" s="1"/>
  <c r="E291" i="46"/>
  <c r="M291" i="46" s="1"/>
  <c r="E339" i="46"/>
  <c r="M339" i="46" s="1"/>
  <c r="E366" i="46"/>
  <c r="M366" i="46" s="1"/>
  <c r="E231" i="46"/>
  <c r="M231" i="46" s="1"/>
  <c r="E336" i="46"/>
  <c r="M336" i="46" s="1"/>
  <c r="E440" i="46"/>
  <c r="M440" i="46" s="1"/>
  <c r="E479" i="46"/>
  <c r="M479" i="46" s="1"/>
  <c r="E491" i="46"/>
  <c r="M491" i="46" s="1"/>
  <c r="E503" i="46"/>
  <c r="M503" i="46" s="1"/>
  <c r="E516" i="46"/>
  <c r="M516" i="46" s="1"/>
  <c r="E543" i="46"/>
  <c r="M543" i="46" s="1"/>
  <c r="E555" i="46"/>
  <c r="M555" i="46" s="1"/>
  <c r="E624" i="46"/>
  <c r="M624" i="46" s="1"/>
  <c r="E636" i="46"/>
  <c r="M636" i="46" s="1"/>
  <c r="E653" i="46"/>
  <c r="M653" i="46" s="1"/>
  <c r="E657" i="46"/>
  <c r="M657" i="46" s="1"/>
  <c r="E661" i="46"/>
  <c r="M661" i="46" s="1"/>
  <c r="E699" i="46"/>
  <c r="M699" i="46" s="1"/>
  <c r="E711" i="46"/>
  <c r="M711" i="46" s="1"/>
  <c r="E714" i="46"/>
  <c r="M714" i="46" s="1"/>
  <c r="E188" i="46"/>
  <c r="M188" i="46" s="1"/>
  <c r="E200" i="46"/>
  <c r="M200" i="46" s="1"/>
  <c r="E212" i="46"/>
  <c r="M212" i="46" s="1"/>
  <c r="E228" i="46"/>
  <c r="M228" i="46" s="1"/>
  <c r="E242" i="46"/>
  <c r="M242" i="46" s="1"/>
  <c r="E254" i="46"/>
  <c r="M254" i="46" s="1"/>
  <c r="E266" i="46"/>
  <c r="M266" i="46" s="1"/>
  <c r="E282" i="46"/>
  <c r="M282" i="46" s="1"/>
  <c r="E297" i="46"/>
  <c r="M297" i="46" s="1"/>
  <c r="E309" i="46"/>
  <c r="M309" i="46" s="1"/>
  <c r="E321" i="46"/>
  <c r="M321" i="46" s="1"/>
  <c r="E333" i="46"/>
  <c r="M333" i="46" s="1"/>
  <c r="E346" i="46"/>
  <c r="M346" i="46" s="1"/>
  <c r="E358" i="46"/>
  <c r="M358" i="46" s="1"/>
  <c r="E372" i="46"/>
  <c r="M372" i="46" s="1"/>
  <c r="E384" i="46"/>
  <c r="M384" i="46" s="1"/>
  <c r="E397" i="46"/>
  <c r="M397" i="46" s="1"/>
  <c r="E412" i="46"/>
  <c r="M412" i="46" s="1"/>
  <c r="E424" i="46"/>
  <c r="M424" i="46" s="1"/>
  <c r="E437" i="46"/>
  <c r="M437" i="46" s="1"/>
  <c r="E449" i="46"/>
  <c r="M449" i="46" s="1"/>
  <c r="E461" i="46"/>
  <c r="M461" i="46" s="1"/>
  <c r="E476" i="46"/>
  <c r="M476" i="46" s="1"/>
  <c r="E488" i="46"/>
  <c r="M488" i="46" s="1"/>
  <c r="E500" i="46"/>
  <c r="M500" i="46" s="1"/>
  <c r="E513" i="46"/>
  <c r="M513" i="46" s="1"/>
  <c r="E534" i="46"/>
  <c r="M534" i="46" s="1"/>
  <c r="E546" i="46"/>
  <c r="M546" i="46" s="1"/>
  <c r="E558" i="46"/>
  <c r="M558" i="46" s="1"/>
  <c r="E565" i="46"/>
  <c r="M565" i="46" s="1"/>
  <c r="E577" i="46"/>
  <c r="M577" i="46" s="1"/>
  <c r="E608" i="46"/>
  <c r="M608" i="46" s="1"/>
  <c r="E620" i="46"/>
  <c r="M620" i="46" s="1"/>
  <c r="E633" i="46"/>
  <c r="M633" i="46" s="1"/>
  <c r="E645" i="46"/>
  <c r="M645" i="46" s="1"/>
  <c r="E692" i="46"/>
  <c r="M692" i="46" s="1"/>
  <c r="E724" i="46"/>
  <c r="M724" i="46" s="1"/>
  <c r="L11" i="46"/>
  <c r="N11" i="46" s="1"/>
  <c r="J13" i="17"/>
  <c r="K19" i="17"/>
  <c r="J19" i="17" s="1"/>
  <c r="N783" i="46" l="1"/>
  <c r="N785" i="46" s="1"/>
  <c r="M783" i="46"/>
  <c r="M785" i="46" s="1"/>
  <c r="J4883" i="34" l="1"/>
  <c r="M786" i="46"/>
  <c r="M787" i="46" s="1"/>
  <c r="J3584" i="34" s="1"/>
  <c r="I4577" i="34"/>
  <c r="K9" i="17"/>
  <c r="G9" i="17"/>
  <c r="I1298" i="34"/>
  <c r="I1299" i="34"/>
  <c r="H20" i="17" l="1"/>
  <c r="K20" i="17" s="1"/>
  <c r="J20" i="17" s="1"/>
  <c r="H20" i="52"/>
  <c r="H14" i="17"/>
  <c r="K14" i="17" s="1"/>
  <c r="J14" i="17" s="1"/>
  <c r="H14" i="52"/>
  <c r="G20" i="17"/>
  <c r="J9" i="17"/>
  <c r="J1298" i="34"/>
  <c r="J1299" i="34" s="1"/>
  <c r="H10" i="17" l="1"/>
  <c r="G10" i="17" s="1"/>
  <c r="H10" i="52"/>
  <c r="G20" i="52"/>
  <c r="K20" i="52"/>
  <c r="J20" i="52" s="1"/>
  <c r="G14" i="17"/>
  <c r="G14" i="52"/>
  <c r="K14" i="52"/>
  <c r="K10" i="17" l="1"/>
  <c r="J10" i="17" s="1"/>
  <c r="G10" i="52"/>
  <c r="K10" i="52"/>
  <c r="J10" i="52" s="1"/>
  <c r="J14" i="52"/>
  <c r="F7451" i="34"/>
  <c r="I7451" i="34" s="1"/>
  <c r="F7450" i="34"/>
  <c r="I7450" i="34" s="1"/>
  <c r="F7449" i="34"/>
  <c r="I7449" i="34" s="1"/>
  <c r="F7448" i="34"/>
  <c r="I7448" i="34" s="1"/>
  <c r="F7447" i="34"/>
  <c r="I7447" i="34" s="1"/>
  <c r="F7442" i="34"/>
  <c r="I7442" i="34" s="1"/>
  <c r="H7441" i="34"/>
  <c r="D7441" i="34"/>
  <c r="D7440" i="34"/>
  <c r="I7440" i="34" s="1"/>
  <c r="H7439" i="34"/>
  <c r="I7439" i="34" s="1"/>
  <c r="F7426" i="34"/>
  <c r="I7426" i="34" s="1"/>
  <c r="F7424" i="34"/>
  <c r="I7424" i="34" s="1"/>
  <c r="F7422" i="34"/>
  <c r="I7422" i="34" s="1"/>
  <c r="F7421" i="34"/>
  <c r="I7421" i="34" s="1"/>
  <c r="F7420" i="34"/>
  <c r="I7420" i="34" s="1"/>
  <c r="F7419" i="34"/>
  <c r="I7419" i="34" s="1"/>
  <c r="F7418" i="34"/>
  <c r="I7418" i="34" s="1"/>
  <c r="F7416" i="34"/>
  <c r="I7416" i="34" s="1"/>
  <c r="F7415" i="34"/>
  <c r="I7415" i="34" s="1"/>
  <c r="F7413" i="34"/>
  <c r="I7413" i="34" s="1"/>
  <c r="D7412" i="34"/>
  <c r="I7412" i="34" s="1"/>
  <c r="D7411" i="34"/>
  <c r="I7411" i="34" s="1"/>
  <c r="F7410" i="34"/>
  <c r="I7410" i="34" s="1"/>
  <c r="D7409" i="34"/>
  <c r="I7409" i="34" s="1"/>
  <c r="D7408" i="34"/>
  <c r="I7408" i="34" s="1"/>
  <c r="F7407" i="34"/>
  <c r="D7407" i="34"/>
  <c r="D7406" i="34"/>
  <c r="I7406" i="34" s="1"/>
  <c r="D7405" i="34"/>
  <c r="I7405" i="34" s="1"/>
  <c r="F7404" i="34"/>
  <c r="D7404" i="34"/>
  <c r="F7403" i="34"/>
  <c r="D7403" i="34"/>
  <c r="F7402" i="34"/>
  <c r="D7402" i="34"/>
  <c r="F7401" i="34"/>
  <c r="D7401" i="34"/>
  <c r="F7400" i="34"/>
  <c r="D7400" i="34"/>
  <c r="F7399" i="34"/>
  <c r="D7399" i="34"/>
  <c r="F7398" i="34"/>
  <c r="D7398" i="34"/>
  <c r="F7397" i="34"/>
  <c r="D7397" i="34"/>
  <c r="D7396" i="34"/>
  <c r="I7396" i="34" s="1"/>
  <c r="F7395" i="34"/>
  <c r="I7395" i="34" s="1"/>
  <c r="F7394" i="34"/>
  <c r="I7394" i="34" s="1"/>
  <c r="D7393" i="34"/>
  <c r="I7393" i="34" s="1"/>
  <c r="F7392" i="34"/>
  <c r="D7392" i="34"/>
  <c r="D7391" i="34"/>
  <c r="I7391" i="34" s="1"/>
  <c r="F7390" i="34"/>
  <c r="D7390" i="34"/>
  <c r="F7389" i="34"/>
  <c r="D7389" i="34"/>
  <c r="F7388" i="34"/>
  <c r="D7388" i="34"/>
  <c r="F7387" i="34"/>
  <c r="D7387" i="34"/>
  <c r="F7386" i="34"/>
  <c r="D7386" i="34"/>
  <c r="F7385" i="34"/>
  <c r="D7385" i="34"/>
  <c r="F7384" i="34"/>
  <c r="D7384" i="34"/>
  <c r="F7383" i="34"/>
  <c r="D7383" i="34"/>
  <c r="F7382" i="34"/>
  <c r="D7382" i="34"/>
  <c r="F7381" i="34"/>
  <c r="D7381" i="34"/>
  <c r="F7380" i="34"/>
  <c r="D7380" i="34"/>
  <c r="D7379" i="34"/>
  <c r="I7379" i="34" s="1"/>
  <c r="D7378" i="34"/>
  <c r="I7378" i="34" s="1"/>
  <c r="D7377" i="34"/>
  <c r="I7377" i="34" s="1"/>
  <c r="D7376" i="34"/>
  <c r="I7376" i="34" s="1"/>
  <c r="D7375" i="34"/>
  <c r="I7375" i="34" s="1"/>
  <c r="D7374" i="34"/>
  <c r="I7374" i="34" s="1"/>
  <c r="D7373" i="34"/>
  <c r="I7373" i="34" s="1"/>
  <c r="D7372" i="34"/>
  <c r="I7372" i="34" s="1"/>
  <c r="D7371" i="34"/>
  <c r="I7371" i="34" s="1"/>
  <c r="D7370" i="34"/>
  <c r="I7370" i="34" s="1"/>
  <c r="D7369" i="34"/>
  <c r="I7369" i="34" s="1"/>
  <c r="D7368" i="34"/>
  <c r="I7368" i="34" s="1"/>
  <c r="F7367" i="34"/>
  <c r="D7367" i="34"/>
  <c r="F7366" i="34"/>
  <c r="D7366" i="34"/>
  <c r="D7365" i="34"/>
  <c r="I7365" i="34" s="1"/>
  <c r="D7364" i="34"/>
  <c r="I7364" i="34" s="1"/>
  <c r="F7363" i="34"/>
  <c r="D7363" i="34"/>
  <c r="F7362" i="34"/>
  <c r="D7362" i="34"/>
  <c r="I7362" i="34" s="1"/>
  <c r="F7361" i="34"/>
  <c r="D7361" i="34"/>
  <c r="F7360" i="34"/>
  <c r="D7360" i="34"/>
  <c r="F7359" i="34"/>
  <c r="D7359" i="34"/>
  <c r="F7358" i="34"/>
  <c r="I7358" i="34" s="1"/>
  <c r="F7357" i="34"/>
  <c r="D7357" i="34"/>
  <c r="F7356" i="34"/>
  <c r="D7356" i="34"/>
  <c r="F7355" i="34"/>
  <c r="D7355" i="34"/>
  <c r="F7354" i="34"/>
  <c r="D7354" i="34"/>
  <c r="D7353" i="34"/>
  <c r="I7353" i="34" s="1"/>
  <c r="F7350" i="34"/>
  <c r="D7350" i="34"/>
  <c r="F7349" i="34"/>
  <c r="D7349" i="34"/>
  <c r="F7348" i="34"/>
  <c r="D7348" i="34"/>
  <c r="F7347" i="34"/>
  <c r="D7347" i="34"/>
  <c r="F7346" i="34"/>
  <c r="D7346" i="34"/>
  <c r="F7345" i="34"/>
  <c r="D7345" i="34"/>
  <c r="D7344" i="34"/>
  <c r="I7344" i="34" s="1"/>
  <c r="D7343" i="34"/>
  <c r="I7343" i="34" s="1"/>
  <c r="F7342" i="34"/>
  <c r="D7342" i="34"/>
  <c r="F7341" i="34"/>
  <c r="D7341" i="34"/>
  <c r="F7340" i="34"/>
  <c r="D7340" i="34"/>
  <c r="F7339" i="34"/>
  <c r="D7339" i="34"/>
  <c r="F7338" i="34"/>
  <c r="D7338" i="34"/>
  <c r="F7337" i="34"/>
  <c r="D7337" i="34"/>
  <c r="F7336" i="34"/>
  <c r="D7336" i="34"/>
  <c r="F7335" i="34"/>
  <c r="D7335" i="34"/>
  <c r="D7334" i="34"/>
  <c r="I7334" i="34" s="1"/>
  <c r="F7333" i="34"/>
  <c r="D7333" i="34"/>
  <c r="F7332" i="34"/>
  <c r="D7332" i="34"/>
  <c r="D7331" i="34"/>
  <c r="I7331" i="34" s="1"/>
  <c r="F7330" i="34"/>
  <c r="I7330" i="34" s="1"/>
  <c r="D7329" i="34"/>
  <c r="I7329" i="34" s="1"/>
  <c r="F7328" i="34"/>
  <c r="D7328" i="34"/>
  <c r="D7327" i="34"/>
  <c r="I7327" i="34" s="1"/>
  <c r="F7326" i="34"/>
  <c r="D7326" i="34"/>
  <c r="F7325" i="34"/>
  <c r="D7325" i="34"/>
  <c r="F7324" i="34"/>
  <c r="D7324" i="34"/>
  <c r="F7323" i="34"/>
  <c r="D7323" i="34"/>
  <c r="F7322" i="34"/>
  <c r="D7322" i="34"/>
  <c r="F7321" i="34"/>
  <c r="D7321" i="34"/>
  <c r="F7320" i="34"/>
  <c r="D7320" i="34"/>
  <c r="F7319" i="34"/>
  <c r="D7319" i="34"/>
  <c r="F7318" i="34"/>
  <c r="D7318" i="34"/>
  <c r="F7317" i="34"/>
  <c r="D7317" i="34"/>
  <c r="F7316" i="34"/>
  <c r="D7316" i="34"/>
  <c r="D7315" i="34"/>
  <c r="I7315" i="34" s="1"/>
  <c r="D7314" i="34"/>
  <c r="I7314" i="34" s="1"/>
  <c r="F7313" i="34"/>
  <c r="D7313" i="34"/>
  <c r="F7312" i="34"/>
  <c r="D7312" i="34"/>
  <c r="F7311" i="34"/>
  <c r="D7311" i="34"/>
  <c r="F7310" i="34"/>
  <c r="D7310" i="34"/>
  <c r="F7309" i="34"/>
  <c r="D7309" i="34"/>
  <c r="F7308" i="34"/>
  <c r="D7308" i="34"/>
  <c r="D7307" i="34"/>
  <c r="I7307" i="34" s="1"/>
  <c r="F7306" i="34"/>
  <c r="D7306" i="34"/>
  <c r="F7305" i="34"/>
  <c r="D7305" i="34"/>
  <c r="D7304" i="34"/>
  <c r="I7304" i="34" s="1"/>
  <c r="F7303" i="34"/>
  <c r="D7303" i="34"/>
  <c r="F7302" i="34"/>
  <c r="D7302" i="34"/>
  <c r="F7301" i="34"/>
  <c r="D7301" i="34"/>
  <c r="F7300" i="34"/>
  <c r="D7300" i="34"/>
  <c r="F7299" i="34"/>
  <c r="I7299" i="34" s="1"/>
  <c r="F7298" i="34"/>
  <c r="I7298" i="34" s="1"/>
  <c r="F7297" i="34"/>
  <c r="D7297" i="34"/>
  <c r="F7296" i="34"/>
  <c r="I7296" i="34" s="1"/>
  <c r="G5964" i="34"/>
  <c r="F5964" i="34"/>
  <c r="G5963" i="34"/>
  <c r="F5963" i="34"/>
  <c r="G5962" i="34"/>
  <c r="F5962" i="34"/>
  <c r="G5961" i="34"/>
  <c r="F5961" i="34"/>
  <c r="F5956" i="34"/>
  <c r="I5956" i="34" s="1"/>
  <c r="F5954" i="34"/>
  <c r="I5954" i="34" s="1"/>
  <c r="F5944" i="34"/>
  <c r="I5944" i="34" s="1"/>
  <c r="F5943" i="34"/>
  <c r="I5943" i="34" s="1"/>
  <c r="F5942" i="34"/>
  <c r="I5942" i="34" s="1"/>
  <c r="F5941" i="34"/>
  <c r="I5941" i="34" s="1"/>
  <c r="F5940" i="34"/>
  <c r="I5940" i="34" s="1"/>
  <c r="F5938" i="34"/>
  <c r="I5938" i="34" s="1"/>
  <c r="F5937" i="34"/>
  <c r="I5937" i="34" s="1"/>
  <c r="F5936" i="34"/>
  <c r="I5936" i="34" s="1"/>
  <c r="F5935" i="34"/>
  <c r="I5935" i="34" s="1"/>
  <c r="F5934" i="34"/>
  <c r="I5934" i="34" s="1"/>
  <c r="F5933" i="34"/>
  <c r="I5933" i="34" s="1"/>
  <c r="F5932" i="34"/>
  <c r="I5932" i="34" s="1"/>
  <c r="F5931" i="34"/>
  <c r="I5931" i="34" s="1"/>
  <c r="F5930" i="34"/>
  <c r="I5930" i="34" s="1"/>
  <c r="F5929" i="34"/>
  <c r="I5929" i="34" s="1"/>
  <c r="F5927" i="34"/>
  <c r="I5927" i="34" s="1"/>
  <c r="F5926" i="34"/>
  <c r="I5926" i="34" s="1"/>
  <c r="F5925" i="34"/>
  <c r="I5925" i="34" s="1"/>
  <c r="F5923" i="34"/>
  <c r="I5923" i="34" s="1"/>
  <c r="F5920" i="34"/>
  <c r="I5920" i="34" s="1"/>
  <c r="F5919" i="34"/>
  <c r="I5919" i="34" s="1"/>
  <c r="F5918" i="34"/>
  <c r="I5918" i="34" s="1"/>
  <c r="F5917" i="34"/>
  <c r="I5917" i="34" s="1"/>
  <c r="F5916" i="34"/>
  <c r="I5916" i="34" s="1"/>
  <c r="F5915" i="34"/>
  <c r="I5915" i="34" s="1"/>
  <c r="F5914" i="34"/>
  <c r="I5914" i="34" s="1"/>
  <c r="F5913" i="34"/>
  <c r="I5913" i="34" s="1"/>
  <c r="F5912" i="34"/>
  <c r="I5912" i="34" s="1"/>
  <c r="F5910" i="34"/>
  <c r="I5910" i="34" s="1"/>
  <c r="F5908" i="34"/>
  <c r="I5908" i="34" s="1"/>
  <c r="F5906" i="34"/>
  <c r="I5906" i="34" s="1"/>
  <c r="F5905" i="34"/>
  <c r="I5905" i="34" s="1"/>
  <c r="F5904" i="34"/>
  <c r="I5904" i="34" s="1"/>
  <c r="F5903" i="34"/>
  <c r="I5903" i="34" s="1"/>
  <c r="F5902" i="34"/>
  <c r="I5902" i="34" s="1"/>
  <c r="F5901" i="34"/>
  <c r="I5901" i="34" s="1"/>
  <c r="F5900" i="34"/>
  <c r="I5900" i="34" s="1"/>
  <c r="F5899" i="34"/>
  <c r="I5899" i="34" s="1"/>
  <c r="F5898" i="34"/>
  <c r="I5898" i="34" s="1"/>
  <c r="F5897" i="34"/>
  <c r="I5897" i="34" s="1"/>
  <c r="F5896" i="34"/>
  <c r="I5896" i="34" s="1"/>
  <c r="F5895" i="34"/>
  <c r="I5895" i="34" s="1"/>
  <c r="F5893" i="34"/>
  <c r="I5893" i="34" s="1"/>
  <c r="F5892" i="34"/>
  <c r="I5892" i="34" s="1"/>
  <c r="F5891" i="34"/>
  <c r="I5891" i="34" s="1"/>
  <c r="G3744" i="34"/>
  <c r="F3744" i="34"/>
  <c r="G3743" i="34"/>
  <c r="F3743" i="34"/>
  <c r="G3742" i="34"/>
  <c r="F3742" i="34"/>
  <c r="G3741" i="34"/>
  <c r="F3741" i="34"/>
  <c r="F3736" i="34"/>
  <c r="I3736" i="34" s="1"/>
  <c r="I3587" i="34"/>
  <c r="F1825" i="34"/>
  <c r="I1825" i="34" s="1"/>
  <c r="F1824" i="34"/>
  <c r="I1824" i="34" s="1"/>
  <c r="F1823" i="34"/>
  <c r="I1823" i="34" s="1"/>
  <c r="F1820" i="34"/>
  <c r="I1820" i="34" s="1"/>
  <c r="F1819" i="34"/>
  <c r="I1819" i="34" s="1"/>
  <c r="F1818" i="34"/>
  <c r="I1818" i="34" s="1"/>
  <c r="F1817" i="34"/>
  <c r="I1817" i="34" s="1"/>
  <c r="F1816" i="34"/>
  <c r="I1816" i="34" s="1"/>
  <c r="F1815" i="34"/>
  <c r="I1815" i="34" s="1"/>
  <c r="F1797" i="34"/>
  <c r="I1797" i="34" s="1"/>
  <c r="F1796" i="34"/>
  <c r="I1796" i="34" s="1"/>
  <c r="F1795" i="34"/>
  <c r="I1795" i="34" s="1"/>
  <c r="F1790" i="34"/>
  <c r="I1790" i="34" s="1"/>
  <c r="F1789" i="34"/>
  <c r="I1789" i="34" s="1"/>
  <c r="F1788" i="34"/>
  <c r="I1788" i="34" s="1"/>
  <c r="F1786" i="34"/>
  <c r="I1786" i="34" s="1"/>
  <c r="F1785" i="34"/>
  <c r="I1785" i="34" s="1"/>
  <c r="F1784" i="34"/>
  <c r="I1784" i="34" s="1"/>
  <c r="F1782" i="34"/>
  <c r="I1782" i="34" s="1"/>
  <c r="F1781" i="34"/>
  <c r="I1781" i="34" s="1"/>
  <c r="F1780" i="34"/>
  <c r="I1780" i="34" s="1"/>
  <c r="F1778" i="34"/>
  <c r="I1778" i="34" s="1"/>
  <c r="F1777" i="34"/>
  <c r="I1777" i="34" s="1"/>
  <c r="F1776" i="34"/>
  <c r="I1776" i="34" s="1"/>
  <c r="F1774" i="34"/>
  <c r="I1774" i="34" s="1"/>
  <c r="F1773" i="34"/>
  <c r="I1773" i="34" s="1"/>
  <c r="F1772" i="34"/>
  <c r="I1772" i="34" s="1"/>
  <c r="F1770" i="34"/>
  <c r="I1770" i="34" s="1"/>
  <c r="F1769" i="34"/>
  <c r="I1769" i="34" s="1"/>
  <c r="F1768" i="34"/>
  <c r="I1768" i="34" s="1"/>
  <c r="D1764" i="34"/>
  <c r="I1764" i="34" s="1"/>
  <c r="D1763" i="34"/>
  <c r="I1763" i="34" s="1"/>
  <c r="F1762" i="34"/>
  <c r="I1762" i="34" s="1"/>
  <c r="F1761" i="34"/>
  <c r="I1761" i="34" s="1"/>
  <c r="F1760" i="34"/>
  <c r="I1760" i="34" s="1"/>
  <c r="F1759" i="34"/>
  <c r="I1759" i="34" s="1"/>
  <c r="F1758" i="34"/>
  <c r="I1758" i="34" s="1"/>
  <c r="F1757" i="34"/>
  <c r="I1757" i="34" s="1"/>
  <c r="F1756" i="34"/>
  <c r="I1756" i="34" s="1"/>
  <c r="F1755" i="34"/>
  <c r="I1755" i="34" s="1"/>
  <c r="F1754" i="34"/>
  <c r="I1754" i="34" s="1"/>
  <c r="F1753" i="34"/>
  <c r="I1753" i="34" s="1"/>
  <c r="F1752" i="34"/>
  <c r="I1752" i="34" s="1"/>
  <c r="F1751" i="34"/>
  <c r="I1751" i="34" s="1"/>
  <c r="F1750" i="34"/>
  <c r="I1750" i="34" s="1"/>
  <c r="F1749" i="34"/>
  <c r="I1749" i="34" s="1"/>
  <c r="F1748" i="34"/>
  <c r="I1748" i="34" s="1"/>
  <c r="F1744" i="34"/>
  <c r="D1744" i="34"/>
  <c r="I1744" i="34" s="1"/>
  <c r="F1743" i="34"/>
  <c r="D1743" i="34"/>
  <c r="I1743" i="34" s="1"/>
  <c r="F1742" i="34"/>
  <c r="D1742" i="34"/>
  <c r="I1742" i="34" s="1"/>
  <c r="F1741" i="34"/>
  <c r="D1741" i="34"/>
  <c r="I1741" i="34" s="1"/>
  <c r="F1740" i="34"/>
  <c r="D1740" i="34"/>
  <c r="I1740" i="34" s="1"/>
  <c r="F1739" i="34"/>
  <c r="D1739" i="34"/>
  <c r="I1739" i="34" s="1"/>
  <c r="F1738" i="34"/>
  <c r="D1738" i="34"/>
  <c r="I1738" i="34" s="1"/>
  <c r="F1737" i="34"/>
  <c r="D1737" i="34"/>
  <c r="I1737" i="34" s="1"/>
  <c r="F1736" i="34"/>
  <c r="D1736" i="34"/>
  <c r="I1736" i="34" s="1"/>
  <c r="F1735" i="34"/>
  <c r="D1735" i="34"/>
  <c r="I1735" i="34" s="1"/>
  <c r="F1734" i="34"/>
  <c r="D1734" i="34"/>
  <c r="I1734" i="34" s="1"/>
  <c r="F1733" i="34"/>
  <c r="D1733" i="34"/>
  <c r="I1733" i="34" s="1"/>
  <c r="F1732" i="34"/>
  <c r="D1732" i="34"/>
  <c r="I1732" i="34" s="1"/>
  <c r="F1731" i="34"/>
  <c r="D1731" i="34"/>
  <c r="I1731" i="34" s="1"/>
  <c r="F1730" i="34"/>
  <c r="D1730" i="34"/>
  <c r="I1730" i="34" s="1"/>
  <c r="F1729" i="34"/>
  <c r="D1729" i="34"/>
  <c r="I1729" i="34" s="1"/>
  <c r="F1728" i="34"/>
  <c r="D1728" i="34"/>
  <c r="I1728" i="34" s="1"/>
  <c r="F1727" i="34"/>
  <c r="D1727" i="34"/>
  <c r="I1727" i="34" s="1"/>
  <c r="F1726" i="34"/>
  <c r="D1726" i="34"/>
  <c r="I1726" i="34" s="1"/>
  <c r="F1725" i="34"/>
  <c r="D1725" i="34"/>
  <c r="I1725" i="34" s="1"/>
  <c r="F1724" i="34"/>
  <c r="D1724" i="34"/>
  <c r="I1724" i="34" s="1"/>
  <c r="F1723" i="34"/>
  <c r="D1723" i="34"/>
  <c r="I1723" i="34" s="1"/>
  <c r="F1722" i="34"/>
  <c r="D1722" i="34"/>
  <c r="I1722" i="34" s="1"/>
  <c r="F1721" i="34"/>
  <c r="D1721" i="34"/>
  <c r="I1721" i="34" s="1"/>
  <c r="F1718" i="34"/>
  <c r="I1718" i="34" s="1"/>
  <c r="F1717" i="34"/>
  <c r="I1717" i="34" s="1"/>
  <c r="F1716" i="34"/>
  <c r="I1716" i="34" s="1"/>
  <c r="F1715" i="34"/>
  <c r="I1715" i="34" s="1"/>
  <c r="F1714" i="34"/>
  <c r="I1714" i="34" s="1"/>
  <c r="F1713" i="34"/>
  <c r="I1713" i="34" s="1"/>
  <c r="F1712" i="34"/>
  <c r="I1712" i="34" s="1"/>
  <c r="F1711" i="34"/>
  <c r="I1711" i="34" s="1"/>
  <c r="F1710" i="34"/>
  <c r="I1710" i="34" s="1"/>
  <c r="F1709" i="34"/>
  <c r="I1709" i="34" s="1"/>
  <c r="F1708" i="34"/>
  <c r="I1708" i="34" s="1"/>
  <c r="F1707" i="34"/>
  <c r="I1707" i="34" s="1"/>
  <c r="F1706" i="34"/>
  <c r="I1706" i="34" s="1"/>
  <c r="F1705" i="34"/>
  <c r="I1705" i="34" s="1"/>
  <c r="F1704" i="34"/>
  <c r="I1704" i="34" s="1"/>
  <c r="F1703" i="34"/>
  <c r="I1703" i="34" s="1"/>
  <c r="F1702" i="34"/>
  <c r="I1702" i="34" s="1"/>
  <c r="F1701" i="34"/>
  <c r="I1701" i="34" s="1"/>
  <c r="F1700" i="34"/>
  <c r="I1700" i="34" s="1"/>
  <c r="F1699" i="34"/>
  <c r="I1699" i="34" s="1"/>
  <c r="F1698" i="34"/>
  <c r="I1698" i="34" s="1"/>
  <c r="F1697" i="34"/>
  <c r="I1697" i="34" s="1"/>
  <c r="F1696" i="34"/>
  <c r="I1696" i="34" s="1"/>
  <c r="F1695" i="34"/>
  <c r="I1695" i="34" s="1"/>
  <c r="F1694" i="34"/>
  <c r="I1694" i="34" s="1"/>
  <c r="F1693" i="34"/>
  <c r="I1693" i="34" s="1"/>
  <c r="F1692" i="34"/>
  <c r="I1692" i="34" s="1"/>
  <c r="F1691" i="34"/>
  <c r="I1691" i="34" s="1"/>
  <c r="F1690" i="34"/>
  <c r="I1690" i="34" s="1"/>
  <c r="F1689" i="34"/>
  <c r="I1689" i="34" s="1"/>
  <c r="F1677" i="34"/>
  <c r="I1677" i="34" s="1"/>
  <c r="F1676" i="34"/>
  <c r="I1676" i="34" s="1"/>
  <c r="F1675" i="34"/>
  <c r="I1675" i="34" s="1"/>
  <c r="F1674" i="34"/>
  <c r="I1674" i="34" s="1"/>
  <c r="F1673" i="34"/>
  <c r="I1673" i="34" s="1"/>
  <c r="F1672" i="34"/>
  <c r="I1672" i="34" s="1"/>
  <c r="F1671" i="34"/>
  <c r="I1671" i="34" s="1"/>
  <c r="F1670" i="34"/>
  <c r="I1670" i="34" s="1"/>
  <c r="F1669" i="34"/>
  <c r="I1669" i="34" s="1"/>
  <c r="F1668" i="34"/>
  <c r="I1668" i="34" s="1"/>
  <c r="F1667" i="34"/>
  <c r="I1667" i="34" s="1"/>
  <c r="F1666" i="34"/>
  <c r="I1666" i="34" s="1"/>
  <c r="F1665" i="34"/>
  <c r="I1665" i="34" s="1"/>
  <c r="F1664" i="34"/>
  <c r="I1664" i="34" s="1"/>
  <c r="F1663" i="34"/>
  <c r="I1663" i="34" s="1"/>
  <c r="F1661" i="34"/>
  <c r="I1661" i="34" s="1"/>
  <c r="F1660" i="34"/>
  <c r="I1660" i="34" s="1"/>
  <c r="F1659" i="34"/>
  <c r="I1659" i="34" s="1"/>
  <c r="F1655" i="34"/>
  <c r="I1655" i="34" s="1"/>
  <c r="F1654" i="34"/>
  <c r="I1654" i="34" s="1"/>
  <c r="F1653" i="34"/>
  <c r="I1653" i="34" s="1"/>
  <c r="F1649" i="34"/>
  <c r="I1649" i="34" s="1"/>
  <c r="F1648" i="34"/>
  <c r="I1648" i="34" s="1"/>
  <c r="F1647" i="34"/>
  <c r="I1647" i="34" s="1"/>
  <c r="F1646" i="34"/>
  <c r="I1646" i="34" s="1"/>
  <c r="F1645" i="34"/>
  <c r="I1645" i="34" s="1"/>
  <c r="F1644" i="34"/>
  <c r="I1644" i="34" s="1"/>
  <c r="F1643" i="34"/>
  <c r="I1643" i="34" s="1"/>
  <c r="F1642" i="34"/>
  <c r="I1642" i="34" s="1"/>
  <c r="F1641" i="34"/>
  <c r="I1641" i="34" s="1"/>
  <c r="F1640" i="34"/>
  <c r="I1640" i="34" s="1"/>
  <c r="F1639" i="34"/>
  <c r="I1639" i="34" s="1"/>
  <c r="F1638" i="34"/>
  <c r="I1638" i="34" s="1"/>
  <c r="F1637" i="34"/>
  <c r="I1637" i="34" s="1"/>
  <c r="F1636" i="34"/>
  <c r="I1636" i="34" s="1"/>
  <c r="F1635" i="34"/>
  <c r="I1635" i="34" s="1"/>
  <c r="F1634" i="34"/>
  <c r="I1634" i="34" s="1"/>
  <c r="F1633" i="34"/>
  <c r="I1633" i="34" s="1"/>
  <c r="F1632" i="34"/>
  <c r="I1632" i="34" s="1"/>
  <c r="F1627" i="34"/>
  <c r="I1627" i="34" s="1"/>
  <c r="F1626" i="34"/>
  <c r="I1626" i="34" s="1"/>
  <c r="F1625" i="34"/>
  <c r="I1625" i="34" s="1"/>
  <c r="F1624" i="34"/>
  <c r="I1624" i="34" s="1"/>
  <c r="F1623" i="34"/>
  <c r="I1623" i="34" s="1"/>
  <c r="F1622" i="34"/>
  <c r="I1622" i="34" s="1"/>
  <c r="F1621" i="34"/>
  <c r="I1621" i="34" s="1"/>
  <c r="F1620" i="34"/>
  <c r="I1620" i="34" s="1"/>
  <c r="F1619" i="34"/>
  <c r="I1619" i="34" s="1"/>
  <c r="F1618" i="34"/>
  <c r="I1618" i="34" s="1"/>
  <c r="F1617" i="34"/>
  <c r="I1617" i="34" s="1"/>
  <c r="F1616" i="34"/>
  <c r="I1616" i="34" s="1"/>
  <c r="F1615" i="34"/>
  <c r="I1615" i="34" s="1"/>
  <c r="F1614" i="34"/>
  <c r="I1614" i="34" s="1"/>
  <c r="F1613" i="34"/>
  <c r="I1613" i="34" s="1"/>
  <c r="F1612" i="34"/>
  <c r="I1612" i="34" s="1"/>
  <c r="F1611" i="34"/>
  <c r="I1611" i="34" s="1"/>
  <c r="F1610" i="34"/>
  <c r="I1610" i="34" s="1"/>
  <c r="F1609" i="34"/>
  <c r="I1609" i="34" s="1"/>
  <c r="F1608" i="34"/>
  <c r="I1608" i="34" s="1"/>
  <c r="F1607" i="34"/>
  <c r="I1607" i="34" s="1"/>
  <c r="F1606" i="34"/>
  <c r="I1606" i="34" s="1"/>
  <c r="F1605" i="34"/>
  <c r="I1605" i="34" s="1"/>
  <c r="F1604" i="34"/>
  <c r="I1604" i="34" s="1"/>
  <c r="F1603" i="34"/>
  <c r="I1603" i="34" s="1"/>
  <c r="F1602" i="34"/>
  <c r="I1602" i="34" s="1"/>
  <c r="F1601" i="34"/>
  <c r="I1601" i="34" s="1"/>
  <c r="F1600" i="34"/>
  <c r="I1600" i="34" s="1"/>
  <c r="F1599" i="34"/>
  <c r="I1599" i="34" s="1"/>
  <c r="F1598" i="34"/>
  <c r="I1598" i="34" s="1"/>
  <c r="F1597" i="34"/>
  <c r="I1597" i="34" s="1"/>
  <c r="F1596" i="34"/>
  <c r="I1596" i="34" s="1"/>
  <c r="F1595" i="34"/>
  <c r="I1595" i="34" s="1"/>
  <c r="F1594" i="34"/>
  <c r="I1594" i="34" s="1"/>
  <c r="F1593" i="34"/>
  <c r="I1593" i="34" s="1"/>
  <c r="F1592" i="34"/>
  <c r="I1592" i="34" s="1"/>
  <c r="F1589" i="34"/>
  <c r="I1589" i="34" s="1"/>
  <c r="F1588" i="34"/>
  <c r="I1588" i="34" s="1"/>
  <c r="F1587" i="34"/>
  <c r="I1587" i="34" s="1"/>
  <c r="F1586" i="34"/>
  <c r="I1586" i="34" s="1"/>
  <c r="F1585" i="34"/>
  <c r="I1585" i="34" s="1"/>
  <c r="F1584" i="34"/>
  <c r="I1584" i="34" s="1"/>
  <c r="F1577" i="34"/>
  <c r="I1577" i="34" s="1"/>
  <c r="F1576" i="34"/>
  <c r="I1576" i="34" s="1"/>
  <c r="F1575" i="34"/>
  <c r="I1575" i="34" s="1"/>
  <c r="F1574" i="34"/>
  <c r="I1574" i="34" s="1"/>
  <c r="F1573" i="34"/>
  <c r="I1573" i="34" s="1"/>
  <c r="F1572" i="34"/>
  <c r="I1572" i="34" s="1"/>
  <c r="F1571" i="34"/>
  <c r="I1571" i="34" s="1"/>
  <c r="F1570" i="34"/>
  <c r="I1570" i="34" s="1"/>
  <c r="F1569" i="34"/>
  <c r="I1569" i="34" s="1"/>
  <c r="F1568" i="34"/>
  <c r="I1568" i="34" s="1"/>
  <c r="F1567" i="34"/>
  <c r="I1567" i="34" s="1"/>
  <c r="F1566" i="34"/>
  <c r="I1566" i="34" s="1"/>
  <c r="F1565" i="34"/>
  <c r="I1565" i="34" s="1"/>
  <c r="F1564" i="34"/>
  <c r="I1564" i="34" s="1"/>
  <c r="F1563" i="34"/>
  <c r="I1563" i="34" s="1"/>
  <c r="F1562" i="34"/>
  <c r="I1562" i="34" s="1"/>
  <c r="F1561" i="34"/>
  <c r="I1561" i="34" s="1"/>
  <c r="F1560" i="34"/>
  <c r="I1560" i="34" s="1"/>
  <c r="F1559" i="34"/>
  <c r="I1559" i="34" s="1"/>
  <c r="F1558" i="34"/>
  <c r="I1558" i="34" s="1"/>
  <c r="F1557" i="34"/>
  <c r="I1557" i="34" s="1"/>
  <c r="F1553" i="34"/>
  <c r="I1553" i="34" s="1"/>
  <c r="F1552" i="34"/>
  <c r="I1552" i="34" s="1"/>
  <c r="F1551" i="34"/>
  <c r="I1551" i="34" s="1"/>
  <c r="F1547" i="34"/>
  <c r="I1547" i="34" s="1"/>
  <c r="F1546" i="34"/>
  <c r="I1546" i="34" s="1"/>
  <c r="F1545" i="34"/>
  <c r="I1545" i="34" s="1"/>
  <c r="F1544" i="34"/>
  <c r="I1544" i="34" s="1"/>
  <c r="F1543" i="34"/>
  <c r="I1543" i="34" s="1"/>
  <c r="F1542" i="34"/>
  <c r="I1542" i="34" s="1"/>
  <c r="F1532" i="34"/>
  <c r="I1532" i="34" s="1"/>
  <c r="F1531" i="34"/>
  <c r="I1531" i="34" s="1"/>
  <c r="F1530" i="34"/>
  <c r="I1530" i="34" s="1"/>
  <c r="F1529" i="34"/>
  <c r="I1529" i="34" s="1"/>
  <c r="F1528" i="34"/>
  <c r="I1528" i="34" s="1"/>
  <c r="F1527" i="34"/>
  <c r="I1527" i="34" s="1"/>
  <c r="F1526" i="34"/>
  <c r="I1526" i="34" s="1"/>
  <c r="F1525" i="34"/>
  <c r="I1525" i="34" s="1"/>
  <c r="F1524" i="34"/>
  <c r="I1524" i="34" s="1"/>
  <c r="F1523" i="34"/>
  <c r="I1523" i="34" s="1"/>
  <c r="F1522" i="34"/>
  <c r="I1522" i="34" s="1"/>
  <c r="F1521" i="34"/>
  <c r="I1521" i="34" s="1"/>
  <c r="F1520" i="34"/>
  <c r="I1520" i="34" s="1"/>
  <c r="F1519" i="34"/>
  <c r="I1519" i="34" s="1"/>
  <c r="F1518" i="34"/>
  <c r="I1518" i="34" s="1"/>
  <c r="F1517" i="34"/>
  <c r="I1517" i="34" s="1"/>
  <c r="F1516" i="34"/>
  <c r="I1516" i="34" s="1"/>
  <c r="F1515" i="34"/>
  <c r="I1515" i="34" s="1"/>
  <c r="F1514" i="34"/>
  <c r="I1514" i="34" s="1"/>
  <c r="F1513" i="34"/>
  <c r="I1513" i="34" s="1"/>
  <c r="F1512" i="34"/>
  <c r="I1512" i="34" s="1"/>
  <c r="F1511" i="34"/>
  <c r="I1511" i="34" s="1"/>
  <c r="F1510" i="34"/>
  <c r="I1510" i="34" s="1"/>
  <c r="F1509" i="34"/>
  <c r="I1509" i="34" s="1"/>
  <c r="F1508" i="34"/>
  <c r="I1508" i="34" s="1"/>
  <c r="F1507" i="34"/>
  <c r="I1507" i="34" s="1"/>
  <c r="F1506" i="34"/>
  <c r="I1506" i="34" s="1"/>
  <c r="F1505" i="34"/>
  <c r="I1505" i="34" s="1"/>
  <c r="F1504" i="34"/>
  <c r="I1504" i="34" s="1"/>
  <c r="F1503" i="34"/>
  <c r="I1503" i="34" s="1"/>
  <c r="F1499" i="34"/>
  <c r="I1499" i="34" s="1"/>
  <c r="F1498" i="34"/>
  <c r="I1498" i="34" s="1"/>
  <c r="F1497" i="34"/>
  <c r="I1497" i="34" s="1"/>
  <c r="F1496" i="34"/>
  <c r="I1496" i="34" s="1"/>
  <c r="F1495" i="34"/>
  <c r="I1495" i="34" s="1"/>
  <c r="F1494" i="34"/>
  <c r="I1494" i="34" s="1"/>
  <c r="F1489" i="34"/>
  <c r="I1489" i="34" s="1"/>
  <c r="F1488" i="34"/>
  <c r="I1488" i="34" s="1"/>
  <c r="F1487" i="34"/>
  <c r="I1487" i="34" s="1"/>
  <c r="F1486" i="34"/>
  <c r="I1486" i="34" s="1"/>
  <c r="F1485" i="34"/>
  <c r="I1485" i="34" s="1"/>
  <c r="F1484" i="34"/>
  <c r="I1484" i="34" s="1"/>
  <c r="F1483" i="34"/>
  <c r="I1483" i="34" s="1"/>
  <c r="F1482" i="34"/>
  <c r="I1482" i="34" s="1"/>
  <c r="F1481" i="34"/>
  <c r="I1481" i="34" s="1"/>
  <c r="F1480" i="34"/>
  <c r="I1480" i="34" s="1"/>
  <c r="F1479" i="34"/>
  <c r="I1479" i="34" s="1"/>
  <c r="F1478" i="34"/>
  <c r="I1478" i="34" s="1"/>
  <c r="F1477" i="34"/>
  <c r="I1477" i="34" s="1"/>
  <c r="F1476" i="34"/>
  <c r="I1476" i="34" s="1"/>
  <c r="F1475" i="34"/>
  <c r="I1475" i="34" s="1"/>
  <c r="F1474" i="34"/>
  <c r="I1474" i="34" s="1"/>
  <c r="F1473" i="34"/>
  <c r="I1473" i="34" s="1"/>
  <c r="F1472" i="34"/>
  <c r="I1472" i="34" s="1"/>
  <c r="F1464" i="34"/>
  <c r="I1464" i="34" s="1"/>
  <c r="F1463" i="34"/>
  <c r="I1463" i="34" s="1"/>
  <c r="F1462" i="34"/>
  <c r="I1462" i="34" s="1"/>
  <c r="F1461" i="34"/>
  <c r="I1461" i="34" s="1"/>
  <c r="F1460" i="34"/>
  <c r="I1460" i="34" s="1"/>
  <c r="F1459" i="34"/>
  <c r="I1459" i="34" s="1"/>
  <c r="F1454" i="34"/>
  <c r="I1454" i="34" s="1"/>
  <c r="F1453" i="34"/>
  <c r="I1453" i="34" s="1"/>
  <c r="F1452" i="34"/>
  <c r="I1452" i="34" s="1"/>
  <c r="F1448" i="34"/>
  <c r="I1448" i="34" s="1"/>
  <c r="F1447" i="34"/>
  <c r="I1447" i="34" s="1"/>
  <c r="F1446" i="34"/>
  <c r="I1446" i="34" s="1"/>
  <c r="F1445" i="34"/>
  <c r="I1445" i="34" s="1"/>
  <c r="F1444" i="34"/>
  <c r="I1444" i="34" s="1"/>
  <c r="F1443" i="34"/>
  <c r="I1443" i="34" s="1"/>
  <c r="F1442" i="34"/>
  <c r="I1442" i="34" s="1"/>
  <c r="F1441" i="34"/>
  <c r="I1441" i="34" s="1"/>
  <c r="F1440" i="34"/>
  <c r="I1440" i="34" s="1"/>
  <c r="F1439" i="34"/>
  <c r="I1439" i="34" s="1"/>
  <c r="F1438" i="34"/>
  <c r="I1438" i="34" s="1"/>
  <c r="F1437" i="34"/>
  <c r="I1437" i="34" s="1"/>
  <c r="F1436" i="34"/>
  <c r="I1436" i="34" s="1"/>
  <c r="F1435" i="34"/>
  <c r="I1435" i="34" s="1"/>
  <c r="F1434" i="34"/>
  <c r="I1434" i="34" s="1"/>
  <c r="F1433" i="34"/>
  <c r="I1433" i="34" s="1"/>
  <c r="F1432" i="34"/>
  <c r="I1432" i="34" s="1"/>
  <c r="F1431" i="34"/>
  <c r="I1431" i="34" s="1"/>
  <c r="F1422" i="34"/>
  <c r="I1422" i="34" s="1"/>
  <c r="F1421" i="34"/>
  <c r="I1421" i="34" s="1"/>
  <c r="F1420" i="34"/>
  <c r="I1420" i="34" s="1"/>
  <c r="F1416" i="34"/>
  <c r="I1416" i="34" s="1"/>
  <c r="F1415" i="34"/>
  <c r="I1415" i="34" s="1"/>
  <c r="F1414" i="34"/>
  <c r="I1414" i="34" s="1"/>
  <c r="F1410" i="34"/>
  <c r="I1410" i="34" s="1"/>
  <c r="F1409" i="34"/>
  <c r="I1409" i="34" s="1"/>
  <c r="F1408" i="34"/>
  <c r="I1408" i="34" s="1"/>
  <c r="F1407" i="34"/>
  <c r="I1407" i="34" s="1"/>
  <c r="F1406" i="34"/>
  <c r="I1406" i="34" s="1"/>
  <c r="F1405" i="34"/>
  <c r="I1405" i="34" s="1"/>
  <c r="F1404" i="34"/>
  <c r="I1404" i="34" s="1"/>
  <c r="F1403" i="34"/>
  <c r="I1403" i="34" s="1"/>
  <c r="F1402" i="34"/>
  <c r="I1402" i="34" s="1"/>
  <c r="F1401" i="34"/>
  <c r="I1401" i="34" s="1"/>
  <c r="F1400" i="34"/>
  <c r="I1400" i="34" s="1"/>
  <c r="F1399" i="34"/>
  <c r="I1399" i="34" s="1"/>
  <c r="F1398" i="34"/>
  <c r="I1398" i="34" s="1"/>
  <c r="F1397" i="34"/>
  <c r="I1397" i="34" s="1"/>
  <c r="F1396" i="34"/>
  <c r="I1396" i="34" s="1"/>
  <c r="F1395" i="34"/>
  <c r="I1395" i="34" s="1"/>
  <c r="F1394" i="34"/>
  <c r="I1394" i="34" s="1"/>
  <c r="F1393" i="34"/>
  <c r="I1393" i="34" s="1"/>
  <c r="F1392" i="34"/>
  <c r="I1392" i="34" s="1"/>
  <c r="F1391" i="34"/>
  <c r="I1391" i="34" s="1"/>
  <c r="F1390" i="34"/>
  <c r="I1390" i="34" s="1"/>
  <c r="F1389" i="34"/>
  <c r="I1389" i="34" s="1"/>
  <c r="F1388" i="34"/>
  <c r="I1388" i="34" s="1"/>
  <c r="F1387" i="34"/>
  <c r="I1387" i="34" s="1"/>
  <c r="F1386" i="34"/>
  <c r="I1386" i="34" s="1"/>
  <c r="F1385" i="34"/>
  <c r="I1385" i="34" s="1"/>
  <c r="F1384" i="34"/>
  <c r="I1384" i="34" s="1"/>
  <c r="F1383" i="34"/>
  <c r="I1383" i="34" s="1"/>
  <c r="F1380" i="34"/>
  <c r="I1380" i="34" s="1"/>
  <c r="F1379" i="34"/>
  <c r="I1379" i="34" s="1"/>
  <c r="F1378" i="34"/>
  <c r="I1378" i="34" s="1"/>
  <c r="F1377" i="34"/>
  <c r="I1377" i="34" s="1"/>
  <c r="F1376" i="34"/>
  <c r="I1376" i="34" s="1"/>
  <c r="F1375" i="34"/>
  <c r="I1375" i="34" s="1"/>
  <c r="F1374" i="34"/>
  <c r="I1374" i="34" s="1"/>
  <c r="F1373" i="34"/>
  <c r="I1373" i="34" s="1"/>
  <c r="F1372" i="34"/>
  <c r="I1372" i="34" s="1"/>
  <c r="F1371" i="34"/>
  <c r="I1371" i="34" s="1"/>
  <c r="F1370" i="34"/>
  <c r="I1370" i="34" s="1"/>
  <c r="F1369" i="34"/>
  <c r="I1369" i="34" s="1"/>
  <c r="F1365" i="34"/>
  <c r="I1365" i="34" s="1"/>
  <c r="F1364" i="34"/>
  <c r="I1364" i="34" s="1"/>
  <c r="F1363" i="34"/>
  <c r="I1363" i="34" s="1"/>
  <c r="F1362" i="34"/>
  <c r="I1362" i="34" s="1"/>
  <c r="F1361" i="34"/>
  <c r="I1361" i="34" s="1"/>
  <c r="F1360" i="34"/>
  <c r="I1360" i="34" s="1"/>
  <c r="F1359" i="34"/>
  <c r="I1359" i="34" s="1"/>
  <c r="F1358" i="34"/>
  <c r="I1358" i="34" s="1"/>
  <c r="F1357" i="34"/>
  <c r="I1357" i="34" s="1"/>
  <c r="F1356" i="34"/>
  <c r="I1356" i="34" s="1"/>
  <c r="F1355" i="34"/>
  <c r="I1355" i="34" s="1"/>
  <c r="F1354" i="34"/>
  <c r="I1354" i="34" s="1"/>
  <c r="F1353" i="34"/>
  <c r="I1353" i="34" s="1"/>
  <c r="F1352" i="34"/>
  <c r="I1352" i="34" s="1"/>
  <c r="F1351" i="34"/>
  <c r="I1351" i="34" s="1"/>
  <c r="F1350" i="34"/>
  <c r="I1350" i="34" s="1"/>
  <c r="F1349" i="34"/>
  <c r="I1349" i="34" s="1"/>
  <c r="F1348" i="34"/>
  <c r="I1348" i="34" s="1"/>
  <c r="F1344" i="34"/>
  <c r="I1344" i="34" s="1"/>
  <c r="F1343" i="34"/>
  <c r="I1343" i="34" s="1"/>
  <c r="F1342" i="34"/>
  <c r="I1342" i="34" s="1"/>
  <c r="F1341" i="34"/>
  <c r="I1341" i="34" s="1"/>
  <c r="F1340" i="34"/>
  <c r="I1340" i="34" s="1"/>
  <c r="F1339" i="34"/>
  <c r="I1339" i="34" s="1"/>
  <c r="F1338" i="34"/>
  <c r="I1338" i="34" s="1"/>
  <c r="F1337" i="34"/>
  <c r="I1337" i="34" s="1"/>
  <c r="F1336" i="34"/>
  <c r="I1336" i="34" s="1"/>
  <c r="F1335" i="34"/>
  <c r="I1335" i="34" s="1"/>
  <c r="F1334" i="34"/>
  <c r="I1334" i="34" s="1"/>
  <c r="F1333" i="34"/>
  <c r="I1333" i="34" s="1"/>
  <c r="F1329" i="34"/>
  <c r="I1329" i="34" s="1"/>
  <c r="F1328" i="34"/>
  <c r="I1328" i="34" s="1"/>
  <c r="F1327" i="34"/>
  <c r="I1327" i="34" s="1"/>
  <c r="F1326" i="34"/>
  <c r="I1326" i="34" s="1"/>
  <c r="F1325" i="34"/>
  <c r="I1325" i="34" s="1"/>
  <c r="F1324" i="34"/>
  <c r="I1324" i="34" s="1"/>
  <c r="F1320" i="34"/>
  <c r="I1320" i="34" s="1"/>
  <c r="F1319" i="34"/>
  <c r="I1319" i="34" s="1"/>
  <c r="F1318" i="34"/>
  <c r="I1318" i="34" s="1"/>
  <c r="F1317" i="34"/>
  <c r="I1317" i="34" s="1"/>
  <c r="F1316" i="34"/>
  <c r="I1316" i="34" s="1"/>
  <c r="F1315" i="34"/>
  <c r="I1315" i="34" s="1"/>
  <c r="F1314" i="34"/>
  <c r="I1314" i="34" s="1"/>
  <c r="F1313" i="34"/>
  <c r="I1313" i="34" s="1"/>
  <c r="F1312" i="34"/>
  <c r="I1312" i="34" s="1"/>
  <c r="F1311" i="34"/>
  <c r="I1311" i="34" s="1"/>
  <c r="F1310" i="34"/>
  <c r="I1310" i="34" s="1"/>
  <c r="F1309" i="34"/>
  <c r="I1309" i="34" s="1"/>
  <c r="F1308" i="34"/>
  <c r="I1308" i="34" s="1"/>
  <c r="F1307" i="34"/>
  <c r="I1307" i="34" s="1"/>
  <c r="F1306" i="34"/>
  <c r="I1306" i="34" s="1"/>
  <c r="H1305" i="34"/>
  <c r="F1305" i="34"/>
  <c r="F1304" i="34"/>
  <c r="I1304" i="34" s="1"/>
  <c r="F1303" i="34"/>
  <c r="I1303" i="34" s="1"/>
  <c r="I1302" i="34"/>
  <c r="G159" i="34"/>
  <c r="F159" i="34"/>
  <c r="G158" i="34"/>
  <c r="F158" i="34"/>
  <c r="G157" i="34"/>
  <c r="F157" i="34"/>
  <c r="G156" i="34"/>
  <c r="F156" i="34"/>
  <c r="F151" i="34"/>
  <c r="I151" i="34" s="1"/>
  <c r="F149" i="34"/>
  <c r="I149" i="34" s="1"/>
  <c r="F139" i="34"/>
  <c r="I139" i="34" s="1"/>
  <c r="F138" i="34"/>
  <c r="I138" i="34" s="1"/>
  <c r="F137" i="34"/>
  <c r="I137" i="34" s="1"/>
  <c r="F136" i="34"/>
  <c r="I136" i="34" s="1"/>
  <c r="F135" i="34"/>
  <c r="I135" i="34" s="1"/>
  <c r="F133" i="34"/>
  <c r="I133" i="34" s="1"/>
  <c r="F132" i="34"/>
  <c r="I132" i="34" s="1"/>
  <c r="F131" i="34"/>
  <c r="I131" i="34" s="1"/>
  <c r="F130" i="34"/>
  <c r="I130" i="34" s="1"/>
  <c r="F129" i="34"/>
  <c r="I129" i="34" s="1"/>
  <c r="F128" i="34"/>
  <c r="I128" i="34" s="1"/>
  <c r="F127" i="34"/>
  <c r="I127" i="34" s="1"/>
  <c r="F126" i="34"/>
  <c r="I126" i="34" s="1"/>
  <c r="F125" i="34"/>
  <c r="I125" i="34" s="1"/>
  <c r="F124" i="34"/>
  <c r="I124" i="34" s="1"/>
  <c r="F122" i="34"/>
  <c r="I122" i="34" s="1"/>
  <c r="F121" i="34"/>
  <c r="I121" i="34" s="1"/>
  <c r="F120" i="34"/>
  <c r="I120" i="34" s="1"/>
  <c r="F118" i="34"/>
  <c r="I118" i="34" s="1"/>
  <c r="F115" i="34"/>
  <c r="I115" i="34" s="1"/>
  <c r="F114" i="34"/>
  <c r="I114" i="34" s="1"/>
  <c r="F113" i="34"/>
  <c r="I113" i="34" s="1"/>
  <c r="F112" i="34"/>
  <c r="I112" i="34" s="1"/>
  <c r="F111" i="34"/>
  <c r="I111" i="34" s="1"/>
  <c r="F110" i="34"/>
  <c r="I110" i="34" s="1"/>
  <c r="F109" i="34"/>
  <c r="I109" i="34" s="1"/>
  <c r="F108" i="34"/>
  <c r="I108" i="34" s="1"/>
  <c r="F107" i="34"/>
  <c r="I107" i="34" s="1"/>
  <c r="F105" i="34"/>
  <c r="I105" i="34" s="1"/>
  <c r="F103" i="34"/>
  <c r="I103" i="34" s="1"/>
  <c r="F101" i="34"/>
  <c r="I101" i="34" s="1"/>
  <c r="F100" i="34"/>
  <c r="I100" i="34" s="1"/>
  <c r="F99" i="34"/>
  <c r="I99" i="34" s="1"/>
  <c r="F98" i="34"/>
  <c r="I98" i="34" s="1"/>
  <c r="F97" i="34"/>
  <c r="I97" i="34" s="1"/>
  <c r="F96" i="34"/>
  <c r="I96" i="34" s="1"/>
  <c r="F95" i="34"/>
  <c r="I95" i="34" s="1"/>
  <c r="F94" i="34"/>
  <c r="I94" i="34" s="1"/>
  <c r="F93" i="34"/>
  <c r="I93" i="34" s="1"/>
  <c r="F92" i="34"/>
  <c r="I92" i="34" s="1"/>
  <c r="F91" i="34"/>
  <c r="I91" i="34" s="1"/>
  <c r="F90" i="34"/>
  <c r="I90" i="34" s="1"/>
  <c r="F88" i="34"/>
  <c r="I88" i="34" s="1"/>
  <c r="F87" i="34"/>
  <c r="I87" i="34" s="1"/>
  <c r="F86" i="34"/>
  <c r="I86" i="34" s="1"/>
  <c r="F85" i="34"/>
  <c r="I85" i="34" s="1"/>
  <c r="F84" i="34"/>
  <c r="I84" i="34" s="1"/>
  <c r="F83" i="34"/>
  <c r="I83" i="34" s="1"/>
  <c r="F82" i="34"/>
  <c r="I82" i="34" s="1"/>
  <c r="F81" i="34"/>
  <c r="I81" i="34" s="1"/>
  <c r="F80" i="34"/>
  <c r="I80" i="34" s="1"/>
  <c r="F79" i="34"/>
  <c r="I79" i="34" s="1"/>
  <c r="F78" i="34"/>
  <c r="I78" i="34" s="1"/>
  <c r="F77" i="34"/>
  <c r="I77" i="34" s="1"/>
  <c r="F74" i="34"/>
  <c r="I74" i="34" s="1"/>
  <c r="F73" i="34"/>
  <c r="I73" i="34" s="1"/>
  <c r="F72" i="34"/>
  <c r="I72" i="34" s="1"/>
  <c r="F71" i="34"/>
  <c r="I71" i="34" s="1"/>
  <c r="F70" i="34"/>
  <c r="I70" i="34" s="1"/>
  <c r="F69" i="34"/>
  <c r="I69" i="34" s="1"/>
  <c r="F68" i="34"/>
  <c r="I68" i="34" s="1"/>
  <c r="F67" i="34"/>
  <c r="I67" i="34" s="1"/>
  <c r="F66" i="34"/>
  <c r="I66" i="34" s="1"/>
  <c r="F65" i="34"/>
  <c r="I65" i="34" s="1"/>
  <c r="F63" i="34"/>
  <c r="I63" i="34" s="1"/>
  <c r="F62" i="34"/>
  <c r="I62" i="34" s="1"/>
  <c r="F61" i="34"/>
  <c r="I61" i="34" s="1"/>
  <c r="F60" i="34"/>
  <c r="I60" i="34" s="1"/>
  <c r="F59" i="34"/>
  <c r="I59" i="34" s="1"/>
  <c r="F58" i="34"/>
  <c r="I58" i="34" s="1"/>
  <c r="F57" i="34"/>
  <c r="I57" i="34" s="1"/>
  <c r="F54" i="34"/>
  <c r="I54" i="34" s="1"/>
  <c r="F53" i="34"/>
  <c r="I53" i="34" s="1"/>
  <c r="F52" i="34"/>
  <c r="I52" i="34" s="1"/>
  <c r="F51" i="34"/>
  <c r="I51" i="34" s="1"/>
  <c r="F50" i="34"/>
  <c r="I50" i="34" s="1"/>
  <c r="F49" i="34"/>
  <c r="I49" i="34" s="1"/>
  <c r="F48" i="34"/>
  <c r="I48" i="34" s="1"/>
  <c r="F47" i="34"/>
  <c r="I47" i="34" s="1"/>
  <c r="F45" i="34"/>
  <c r="I45" i="34" s="1"/>
  <c r="F44" i="34"/>
  <c r="I44" i="34" s="1"/>
  <c r="F42" i="34"/>
  <c r="I42" i="34" s="1"/>
  <c r="F40" i="34"/>
  <c r="I40" i="34" s="1"/>
  <c r="F37" i="34"/>
  <c r="I37" i="34" s="1"/>
  <c r="F36" i="34"/>
  <c r="I36" i="34" s="1"/>
  <c r="F35" i="34"/>
  <c r="I35" i="34" s="1"/>
  <c r="F34" i="34"/>
  <c r="I34" i="34" s="1"/>
  <c r="F33" i="34"/>
  <c r="I33" i="34" s="1"/>
  <c r="F32" i="34"/>
  <c r="I32" i="34" s="1"/>
  <c r="F31" i="34"/>
  <c r="I31" i="34" s="1"/>
  <c r="F30" i="34"/>
  <c r="I30" i="34" s="1"/>
  <c r="F29" i="34"/>
  <c r="I29" i="34" s="1"/>
  <c r="F28" i="34"/>
  <c r="I28" i="34" s="1"/>
  <c r="F25" i="34"/>
  <c r="I25" i="34" s="1"/>
  <c r="F24" i="34"/>
  <c r="I24" i="34" s="1"/>
  <c r="F23" i="34"/>
  <c r="I23" i="34" s="1"/>
  <c r="F21" i="34"/>
  <c r="I21" i="34" s="1"/>
  <c r="F20" i="34"/>
  <c r="I20" i="34" s="1"/>
  <c r="F18" i="34"/>
  <c r="I18" i="34" s="1"/>
  <c r="F15" i="34"/>
  <c r="I15" i="34" s="1"/>
  <c r="F14" i="34"/>
  <c r="I14" i="34" s="1"/>
  <c r="F13" i="34"/>
  <c r="I13" i="34" s="1"/>
  <c r="F12" i="34"/>
  <c r="I12" i="34" s="1"/>
  <c r="F11" i="34"/>
  <c r="I11" i="34" s="1"/>
  <c r="F10" i="34"/>
  <c r="I10" i="34" s="1"/>
  <c r="F9" i="34"/>
  <c r="I9" i="34" s="1"/>
  <c r="F8" i="34"/>
  <c r="I8" i="34" s="1"/>
  <c r="I3742" i="34" l="1"/>
  <c r="I3744" i="34"/>
  <c r="I7301" i="34"/>
  <c r="I7303" i="34"/>
  <c r="I7308" i="34"/>
  <c r="I7310" i="34"/>
  <c r="I7312" i="34"/>
  <c r="I7317" i="34"/>
  <c r="I7319" i="34"/>
  <c r="I7321" i="34"/>
  <c r="I7323" i="34"/>
  <c r="I7325" i="34"/>
  <c r="I7333" i="34"/>
  <c r="I7355" i="34"/>
  <c r="I7357" i="34"/>
  <c r="I7397" i="34"/>
  <c r="I7399" i="34"/>
  <c r="I7401" i="34"/>
  <c r="I7403" i="34"/>
  <c r="I1305" i="34"/>
  <c r="I3741" i="34"/>
  <c r="I3743" i="34"/>
  <c r="I7297" i="34"/>
  <c r="I7300" i="34"/>
  <c r="I7302" i="34"/>
  <c r="I7309" i="34"/>
  <c r="I7311" i="34"/>
  <c r="I7313" i="34"/>
  <c r="I7316" i="34"/>
  <c r="I7318" i="34"/>
  <c r="I7320" i="34"/>
  <c r="I7322" i="34"/>
  <c r="I7324" i="34"/>
  <c r="I7326" i="34"/>
  <c r="I7332" i="34"/>
  <c r="I7354" i="34"/>
  <c r="I7356" i="34"/>
  <c r="I7392" i="34"/>
  <c r="I7398" i="34"/>
  <c r="I7400" i="34"/>
  <c r="I7402" i="34"/>
  <c r="I7404" i="34"/>
  <c r="I7407" i="34"/>
  <c r="I156" i="34"/>
  <c r="I158" i="34"/>
  <c r="I5961" i="34"/>
  <c r="I5963" i="34"/>
  <c r="I7306" i="34"/>
  <c r="I7328" i="34"/>
  <c r="I7336" i="34"/>
  <c r="I7338" i="34"/>
  <c r="I7340" i="34"/>
  <c r="I7342" i="34"/>
  <c r="I7345" i="34"/>
  <c r="I7347" i="34"/>
  <c r="I7349" i="34"/>
  <c r="I7360" i="34"/>
  <c r="I7367" i="34"/>
  <c r="I7381" i="34"/>
  <c r="I7383" i="34"/>
  <c r="I7385" i="34"/>
  <c r="I7387" i="34"/>
  <c r="I7389" i="34"/>
  <c r="I7441" i="34"/>
  <c r="J8376" i="34" s="1"/>
  <c r="H59" i="52" s="1"/>
  <c r="I157" i="34"/>
  <c r="I159" i="34"/>
  <c r="I5962" i="34"/>
  <c r="I5964" i="34"/>
  <c r="I7305" i="34"/>
  <c r="I7335" i="34"/>
  <c r="I7337" i="34"/>
  <c r="I7339" i="34"/>
  <c r="I7341" i="34"/>
  <c r="I7346" i="34"/>
  <c r="I7348" i="34"/>
  <c r="I7350" i="34"/>
  <c r="I7359" i="34"/>
  <c r="I7361" i="34"/>
  <c r="I7363" i="34"/>
  <c r="I7366" i="34"/>
  <c r="I7380" i="34"/>
  <c r="I7382" i="34"/>
  <c r="I7384" i="34"/>
  <c r="I7386" i="34"/>
  <c r="I7388" i="34"/>
  <c r="I7390" i="34"/>
  <c r="B1" i="17"/>
  <c r="F7989" i="34" l="1"/>
  <c r="H57" i="17"/>
  <c r="J1245" i="34"/>
  <c r="J1256" i="34" s="1"/>
  <c r="H8" i="52" s="1"/>
  <c r="I7989" i="34" l="1"/>
  <c r="J8375" i="34" s="1"/>
  <c r="K8" i="52"/>
  <c r="J8" i="52" s="1"/>
  <c r="G8" i="52"/>
  <c r="J59" i="52"/>
  <c r="G59" i="52"/>
  <c r="G57" i="17"/>
  <c r="K57" i="17"/>
  <c r="J57" i="17" s="1"/>
  <c r="I3570" i="34"/>
  <c r="J3570" i="34" s="1"/>
  <c r="J3573" i="34" s="1"/>
  <c r="H12" i="52" s="1"/>
  <c r="I3572" i="34"/>
  <c r="I3573" i="34"/>
  <c r="I3585" i="34"/>
  <c r="J4547" i="34"/>
  <c r="J4556" i="34" s="1"/>
  <c r="H16" i="52" s="1"/>
  <c r="I4556" i="34"/>
  <c r="J6974" i="34"/>
  <c r="I6980" i="34"/>
  <c r="I6981" i="34"/>
  <c r="I7295" i="34"/>
  <c r="I8318" i="34"/>
  <c r="H56" i="17" l="1"/>
  <c r="G16" i="52"/>
  <c r="K16" i="52"/>
  <c r="J16" i="52" s="1"/>
  <c r="G12" i="52"/>
  <c r="K12" i="52"/>
  <c r="J6980" i="34"/>
  <c r="J8318" i="34"/>
  <c r="K53" i="17"/>
  <c r="K55" i="17"/>
  <c r="K62" i="17"/>
  <c r="K95" i="17"/>
  <c r="J8374" i="34" l="1"/>
  <c r="G56" i="17"/>
  <c r="K56" i="17"/>
  <c r="J56" i="17" s="1"/>
  <c r="H58" i="52"/>
  <c r="G58" i="52" s="1"/>
  <c r="L8375" i="34"/>
  <c r="J12" i="52"/>
  <c r="J6981" i="34"/>
  <c r="H54" i="52" s="1"/>
  <c r="I96" i="17"/>
  <c r="J95" i="17"/>
  <c r="J62" i="17"/>
  <c r="J53" i="17"/>
  <c r="J55" i="17"/>
  <c r="J58" i="52" l="1"/>
  <c r="K54" i="52"/>
  <c r="J54" i="52" s="1"/>
  <c r="G54" i="52"/>
  <c r="C15" i="45"/>
  <c r="H16" i="17"/>
  <c r="H12" i="17"/>
  <c r="E25" i="26" l="1"/>
  <c r="C20" i="45"/>
  <c r="H20" i="45"/>
  <c r="G12" i="17"/>
  <c r="G16" i="17"/>
  <c r="K16" i="17"/>
  <c r="H8" i="17"/>
  <c r="G8" i="17" l="1"/>
  <c r="K12" i="17"/>
  <c r="J16" i="17" l="1"/>
  <c r="J12" i="17"/>
  <c r="H54" i="17" l="1"/>
  <c r="G54" i="17" l="1"/>
  <c r="K54" i="17"/>
  <c r="H59" i="17" l="1"/>
  <c r="K59" i="17" s="1"/>
  <c r="J59" i="17" s="1"/>
  <c r="J54" i="17"/>
  <c r="K8" i="17"/>
  <c r="G59" i="17" l="1"/>
  <c r="G61" i="52"/>
  <c r="K96" i="17"/>
  <c r="J96" i="17"/>
  <c r="J61" i="52" l="1"/>
  <c r="J81" i="52" s="1"/>
  <c r="B3" i="17"/>
  <c r="B2" i="17"/>
  <c r="B2" i="47" l="1"/>
  <c r="B2" i="53"/>
  <c r="B3" i="47"/>
  <c r="B3" i="53"/>
  <c r="E13" i="45"/>
  <c r="D13" i="45" s="1"/>
  <c r="E24" i="26"/>
  <c r="D15" i="45" l="1"/>
  <c r="F25" i="26" s="1"/>
  <c r="D21" i="45"/>
  <c r="E15" i="45"/>
  <c r="I97" i="17"/>
  <c r="I19" i="45" l="1"/>
  <c r="G25" i="26"/>
  <c r="J19" i="45"/>
  <c r="E23" i="26"/>
  <c r="E26" i="26" s="1"/>
  <c r="C10" i="45"/>
  <c r="C17" i="45" l="1"/>
  <c r="H11" i="45"/>
  <c r="E30" i="26"/>
  <c r="E27" i="26"/>
  <c r="E28" i="26" s="1"/>
  <c r="C18" i="26"/>
  <c r="E32" i="26" l="1"/>
  <c r="E31" i="26"/>
  <c r="C19" i="26"/>
  <c r="E33" i="26" l="1"/>
  <c r="E34" i="26" s="1"/>
  <c r="J8" i="17"/>
  <c r="J5113" i="34" l="1"/>
  <c r="J5114" i="34" s="1"/>
  <c r="H31" i="17" l="1"/>
  <c r="G31" i="17" s="1"/>
  <c r="H31" i="52"/>
  <c r="K31" i="17" l="1"/>
  <c r="J31" i="17" s="1"/>
  <c r="J52" i="17" s="1"/>
  <c r="J97" i="17" s="1"/>
  <c r="K31" i="52"/>
  <c r="G31" i="52"/>
  <c r="K52" i="17" l="1"/>
  <c r="K97" i="17" s="1"/>
  <c r="J31" i="52"/>
  <c r="J52" i="52" s="1"/>
  <c r="J82" i="52" s="1"/>
  <c r="K52" i="52"/>
  <c r="E8" i="45" l="1"/>
  <c r="G23" i="26" s="1"/>
  <c r="K82" i="52"/>
  <c r="J803" i="48"/>
  <c r="J804" i="48" s="1"/>
  <c r="H19" i="47" l="1"/>
  <c r="K19" i="47" s="1"/>
  <c r="K25" i="47" s="1"/>
  <c r="H19" i="53"/>
  <c r="D8" i="45"/>
  <c r="F23" i="26" s="1"/>
  <c r="G19" i="47" l="1"/>
  <c r="G19" i="53"/>
  <c r="J19" i="47"/>
  <c r="J25" i="47" s="1"/>
  <c r="L25" i="47" s="1"/>
  <c r="J19" i="53" l="1"/>
  <c r="J25" i="53" s="1"/>
  <c r="K58" i="47"/>
  <c r="D9" i="45"/>
  <c r="J58" i="47"/>
  <c r="L25" i="53" l="1"/>
  <c r="J47" i="53"/>
  <c r="E9" i="45"/>
  <c r="G24" i="26" s="1"/>
  <c r="G26" i="26" s="1"/>
  <c r="K47" i="53"/>
  <c r="F24" i="26"/>
  <c r="F26" i="26" s="1"/>
  <c r="D10" i="45"/>
  <c r="E10" i="45" l="1"/>
  <c r="E17" i="45" s="1"/>
  <c r="D17" i="45"/>
  <c r="I11" i="45"/>
  <c r="G27" i="26"/>
  <c r="G28" i="26" s="1"/>
  <c r="G30" i="26"/>
  <c r="F27" i="26"/>
  <c r="F28" i="26" s="1"/>
  <c r="F30" i="26"/>
  <c r="J11" i="45" l="1"/>
  <c r="G32" i="26"/>
  <c r="G31" i="26"/>
  <c r="F32" i="26"/>
  <c r="F31" i="26"/>
  <c r="F33" i="26" l="1"/>
  <c r="F34" i="26" s="1"/>
  <c r="G33" i="26"/>
  <c r="G34" i="26" s="1"/>
</calcChain>
</file>

<file path=xl/comments1.xml><?xml version="1.0" encoding="utf-8"?>
<comments xmlns="http://schemas.openxmlformats.org/spreadsheetml/2006/main">
  <authors>
    <author>Tilak</author>
  </authors>
  <commentList>
    <comment ref="B775" authorId="0">
      <text>
        <r>
          <rPr>
            <b/>
            <sz val="9"/>
            <color indexed="81"/>
            <rFont val="Tahoma"/>
            <family val="2"/>
          </rPr>
          <t xml:space="preserve">SHOW RECORD
</t>
        </r>
      </text>
    </comment>
  </commentList>
</comments>
</file>

<file path=xl/sharedStrings.xml><?xml version="1.0" encoding="utf-8"?>
<sst xmlns="http://schemas.openxmlformats.org/spreadsheetml/2006/main" count="17634" uniqueCount="2193">
  <si>
    <t>Item</t>
  </si>
  <si>
    <t>Sqm</t>
  </si>
  <si>
    <t>Cum</t>
  </si>
  <si>
    <t>S.No.</t>
  </si>
  <si>
    <t>DESCRIPTION</t>
  </si>
  <si>
    <t xml:space="preserve">UNIT </t>
  </si>
  <si>
    <t xml:space="preserve">RATE </t>
  </si>
  <si>
    <t xml:space="preserve">Up to or all kinds of soil below existing excavated level as handed over to the contractor by the Project-in-charge.  </t>
  </si>
  <si>
    <t>Footing, raft, stitching slab, pedestals,pile caps, etc.,</t>
  </si>
  <si>
    <t>Previous Qty.</t>
  </si>
  <si>
    <t>This Bill</t>
  </si>
  <si>
    <t>Cummulative Qty.</t>
  </si>
  <si>
    <t>Previous Amount</t>
  </si>
  <si>
    <t>Cummulative Amount</t>
  </si>
  <si>
    <t>Remarks</t>
  </si>
  <si>
    <t>Project :</t>
  </si>
  <si>
    <t>Date</t>
  </si>
  <si>
    <t>Vendor</t>
  </si>
  <si>
    <t>RA Bill No.</t>
  </si>
  <si>
    <t>Service</t>
  </si>
  <si>
    <t xml:space="preserve">Period </t>
  </si>
  <si>
    <t>GENERAL INFORMATION</t>
  </si>
  <si>
    <t>LOI.</t>
  </si>
  <si>
    <t>Contract Value :</t>
  </si>
  <si>
    <t>Invoice Details</t>
  </si>
  <si>
    <t>Invoice Amount</t>
  </si>
  <si>
    <t>PAYMENT DETAILS (Figures in Indian Rupees)</t>
  </si>
  <si>
    <t>Particulars</t>
  </si>
  <si>
    <t>Up to last bill</t>
  </si>
  <si>
    <t>Total up to date</t>
  </si>
  <si>
    <t>A</t>
  </si>
  <si>
    <t>Bill Particulars</t>
  </si>
  <si>
    <t>A1</t>
  </si>
  <si>
    <t>B</t>
  </si>
  <si>
    <t>C</t>
  </si>
  <si>
    <t>D</t>
  </si>
  <si>
    <t>Recoveries</t>
  </si>
  <si>
    <t>E</t>
  </si>
  <si>
    <t>Recommended by</t>
  </si>
  <si>
    <t xml:space="preserve">Approved by </t>
  </si>
  <si>
    <t>Colliers International(India) Property Services Pvt Ltd</t>
  </si>
  <si>
    <t>Unit</t>
  </si>
  <si>
    <t>TOTAL</t>
  </si>
  <si>
    <t>Gannon Dunkerley &amp; Co. Ltd.</t>
  </si>
  <si>
    <t>Thapar University</t>
  </si>
  <si>
    <t>Item No.</t>
  </si>
  <si>
    <t>No.</t>
  </si>
  <si>
    <t>Side/
Nos</t>
  </si>
  <si>
    <t>L</t>
  </si>
  <si>
    <t>H/D</t>
  </si>
  <si>
    <t>Qty</t>
  </si>
  <si>
    <t>Total Qty</t>
  </si>
  <si>
    <t>THAPAR UNIVERSITY EXTENSION PROJECT, PATIALA</t>
  </si>
  <si>
    <t>M/S. GANNON DUNKERLEY &amp; CO. LTD.</t>
  </si>
  <si>
    <t>RA Bill-</t>
  </si>
  <si>
    <t>Gannon Dunkerley &amp; Co., LTD. Patiala</t>
  </si>
  <si>
    <t>A2</t>
  </si>
  <si>
    <t>Vincom Cost Management Pvt. Ltd.</t>
  </si>
  <si>
    <t>Sanjeev Pancholy</t>
  </si>
  <si>
    <t>Rajendra Nigam</t>
  </si>
  <si>
    <t>Start Date of Construction</t>
  </si>
  <si>
    <t>Completion Date of Construction</t>
  </si>
  <si>
    <t>INVOICE - WORK DONE VALUE</t>
  </si>
  <si>
    <t>SL. NO.</t>
  </si>
  <si>
    <t>NAME OF STRUCTURE</t>
  </si>
  <si>
    <t>PREV. BILL AMOUNT</t>
  </si>
  <si>
    <t>THIS BILL
AMOUNT</t>
  </si>
  <si>
    <t>CUMM.
AMOUNT</t>
  </si>
  <si>
    <t>i)</t>
  </si>
  <si>
    <t>ii)</t>
  </si>
  <si>
    <t>Rahul Bhardwaj</t>
  </si>
  <si>
    <t>SUMMARY OF PAYMENT</t>
  </si>
  <si>
    <t>Total B</t>
  </si>
  <si>
    <t>Total A</t>
  </si>
  <si>
    <t>D1</t>
  </si>
  <si>
    <t>D2</t>
  </si>
  <si>
    <t>D3</t>
  </si>
  <si>
    <t>Total Recovery D</t>
  </si>
  <si>
    <t>Thapar University Extension, Patiala</t>
  </si>
  <si>
    <t xml:space="preserve"> Amount Payable (C-D)</t>
  </si>
  <si>
    <t xml:space="preserve">AMOUNT (IN WORDS) -  </t>
  </si>
  <si>
    <t>Retention Money @5% on A</t>
  </si>
  <si>
    <t>TDS @ 2% On C</t>
  </si>
  <si>
    <t>WCT @ 6% On C</t>
  </si>
  <si>
    <t>Construction of Learning Block, Thapar University Patiala</t>
  </si>
  <si>
    <t>UP TO PREVIOUS BILL</t>
  </si>
  <si>
    <r>
      <t xml:space="preserve">THIS BILL TOTAL </t>
    </r>
    <r>
      <rPr>
        <b/>
        <sz val="12"/>
        <rFont val="Calibri"/>
        <family val="2"/>
      </rPr>
      <t>→</t>
    </r>
  </si>
  <si>
    <t>HARDCAPING</t>
  </si>
  <si>
    <t>BOYS HOSTEL</t>
  </si>
  <si>
    <t>GIRLS HOSTEL</t>
  </si>
  <si>
    <t>ABSTRACT - HARDSCAPING</t>
  </si>
  <si>
    <t xml:space="preserve"> "BOYS HOSTEL"</t>
  </si>
  <si>
    <t>Value of work done - BOYS HOSTEL</t>
  </si>
  <si>
    <t>Value of work done - GIRLS HOSTEL</t>
  </si>
  <si>
    <t>TU/CS/PSJ/16-17/150109</t>
  </si>
  <si>
    <t>Providing and laying in position under paving,driveways,floors,waterbodies,retaining walls,walls(of any thickness)and in planters,bed blocks etc. cement concrete of specified grade including the cost of centring and shuttering.
(a) 1:4:8(1 cement:4 coarse sand:8 graded aggregate 40mm nominal size) as/ structural approval and relevant structural drawings.</t>
  </si>
  <si>
    <t>Brickwork with bricks of class designation 75 in foundations,plinth and superstructure in cement mortar 1:4(1 cement:4 coarse sand)
(Quantity may vary as per actual drawings)</t>
  </si>
  <si>
    <t>Providing and laying in position ready mixed M-25 grade concrete for reinforced concrete works ,using cement content as per approved design mix manufactured in fully automatic batching plant and transported to site of work in transit mixers for all leads having continious agitated mixer, manufactured as per mix design of specified grade for reinforced cement concrete worksincluding pumping of R.M.C. from transit mixer to site of laying excluding the finishing and reinforcement including cost of admixture in recommende proportionas per IS:9103 to accelerate/retard setting of concrete , improve workability without imparing strength and durabilityas per direction of the chief enginner-in charge(min OPC contentto be considered in this item is 300kg/cum or as per design mix)</t>
  </si>
  <si>
    <t>NON -SCHEDULED ITEMS</t>
  </si>
  <si>
    <t>Excavation in all types of soil (Poclanable)for footings of columns, Retaining walls, Core walls, catch pits, Lift pits trenches for drains, etc., by mechanical means upto 2 m depth  (Using JCB,Poclane etc.,)including levelling, dressing the edges, with all leads and lifts including back filling in layers of 150mm with watering and compaction. Rate to include disposing the excess earth and spreading in layers to the required levels within the site wherever specified including watering, ramming , consolidating and dressing etc. working space shall be paid max 600mm extra</t>
  </si>
  <si>
    <t xml:space="preserve">Providing, erecting, fixing in position and striking ply wood shuttering &amp; centering for form work in plane / slopes at all levels, heights &amp; locations for all shapes including strutting, proping, chamfers, splays, keys, wedges, props, bracings, bolting, brackets, cuttings holes for pipes and removal of the same etc.,complete. allow for forming grooves, drops, throats, arrises, chamfers, cutouts, openings, G.I sleeves etc. wherever called for. Providing and applying approved form oil on all surfaces of form work coming in contact with concrete including close hacking of all exposed concrete work after removal of form work all materials, fixing nosing angles, switch boxes, labour etc. complete as per specifications, drawings and as directed.(Area of form work in contact with concrete shall only be measured for payment &amp; stop boards for construction joints will not be measured for payment).Unexposed concrete surface subsequently left untreated (in the condition obtained on removal of form work) shall not constitute exposed concrete work and shall be measured under this item only. </t>
  </si>
  <si>
    <t>E.I.02</t>
  </si>
  <si>
    <t>Sqm.</t>
  </si>
  <si>
    <t>PCC</t>
  </si>
  <si>
    <t>Planter BH-01 NORTH SIDE (M7.5)</t>
  </si>
  <si>
    <t xml:space="preserve"> G 32-37/1-5 vertical</t>
  </si>
  <si>
    <t>BH01-NORTH SIDE</t>
  </si>
  <si>
    <t>Bet  G 31-28 /1-5 vertical</t>
  </si>
  <si>
    <t>Bet. G 31-28/1-5 horizontal</t>
  </si>
  <si>
    <t>BH-02 EAST SIDE BET G 20-28/1-6 VERTICAL</t>
  </si>
  <si>
    <t>BH-02 EAST SIDE BET G 20-28/1-6 Horizontal</t>
  </si>
  <si>
    <t>PLANTER BET -01 AND WATER BODY VERTICAL</t>
  </si>
  <si>
    <t>BET.G 17-21/20-25</t>
  </si>
  <si>
    <t>PLANTER BET -01 AND WATER BODY HORIZONTAL</t>
  </si>
  <si>
    <t>BET.G 17-21/25-29</t>
  </si>
  <si>
    <t>PLANTER BET -01 AND WATER BODY Horizontal</t>
  </si>
  <si>
    <t>BET.G 17-21/29-35</t>
  </si>
  <si>
    <t>PLANTER BET -04 AND BH-05 VERTICAL</t>
  </si>
  <si>
    <t>BET.G 32-36/39-47</t>
  </si>
  <si>
    <t>PLANTER NEAR ZYM Vertical</t>
  </si>
  <si>
    <t>BET.G 2-11/48-52</t>
  </si>
  <si>
    <t>PLANTER NEAR ZYM Horizontal</t>
  </si>
  <si>
    <t>PLANTER BET. BH-04 AND BH-07 Vertical</t>
  </si>
  <si>
    <t>BET.G 13-18/48-52</t>
  </si>
  <si>
    <t>PLANTER BET. BH-04 AND BH-07 Horizontal</t>
  </si>
  <si>
    <t>BET.G 13-18/48-42</t>
  </si>
  <si>
    <t>PLANTER BET. BH-04 AND BH-07 VERTICAL</t>
  </si>
  <si>
    <t>PLANTER NEAR BH-03  AND INFRONT OF BASKET BALL HORIZONTAL</t>
  </si>
  <si>
    <t>BET.G 35-41/42-48</t>
  </si>
  <si>
    <t>PLANTER NEAR BH-03  AND INFRONT OF BASKET BALL VERTICAL</t>
  </si>
  <si>
    <t>BASKET BALL LONG WALL</t>
  </si>
  <si>
    <t>BASKET WALL SHORT WALL</t>
  </si>
  <si>
    <t>FIRE TENDER TOE WALL WITH BH-05</t>
  </si>
  <si>
    <t>FIRE TENDER TOE WALL WITH BH-01</t>
  </si>
  <si>
    <t>FIRE TENDER TOE WALL WITH BH-07</t>
  </si>
  <si>
    <t xml:space="preserve">TOE WALL BH-04 FOR GREEN </t>
  </si>
  <si>
    <t>BH-04 RCC PLANTER</t>
  </si>
  <si>
    <t>BH-03 RCC PLANTER</t>
  </si>
  <si>
    <t>Grid 32-37/1-5 horizontal</t>
  </si>
  <si>
    <t xml:space="preserve">Planter BH-01 NORTH SIDE </t>
  </si>
  <si>
    <t>SEAT</t>
  </si>
  <si>
    <t>PLANTER BET -04 AND BH-05 HORIZONTAL</t>
  </si>
  <si>
    <t>PLANTER NEAR ZYM HORIZONTAL</t>
  </si>
  <si>
    <t>BET.G 13-18/42-52</t>
  </si>
  <si>
    <t>BET.G 13-18/52-48</t>
  </si>
  <si>
    <t>BET.G 13-18/42-48</t>
  </si>
  <si>
    <t>FIRE TENDER TOE WALL  WITH BH-01</t>
  </si>
  <si>
    <t>FIRE TENDER TOE WALL  WITH BH-07</t>
  </si>
  <si>
    <t xml:space="preserve">TOE WALL BH-04FOR GREEN </t>
  </si>
  <si>
    <t>RCC</t>
  </si>
  <si>
    <t>Planter BH-01 NORTH SIDE (M25)</t>
  </si>
  <si>
    <t>SAET</t>
  </si>
  <si>
    <t>NON-SCHEDULED ITEMS</t>
  </si>
  <si>
    <t xml:space="preserve">Excavation in all types of soil (Poclanable)for footings of columns, Retaining walls, Core walls, catch pits, Lift pits trenches for drains, etc., by mechanical means upto 2 m depth  (Using JCB,Poclane etc.,)including levelling, dressing the edges, with all leads and lifts including back filling in layers of 150mm with watering and compaction. Rate to include disposing the excess earth and spreading in layers to the required </t>
  </si>
  <si>
    <t>Planter BH-01 NORTH SIDE  (EXECAVATION)</t>
  </si>
  <si>
    <t xml:space="preserve"> G 32-37/1-5 horizontal</t>
  </si>
  <si>
    <t>Planter BH-01 NORTH SIDE (SHUTT)</t>
  </si>
  <si>
    <t>G32-37/1-5 HORIZONTAL</t>
  </si>
  <si>
    <t>TOTAL AMT  (SCHEDULE)</t>
  </si>
  <si>
    <t>TOTAL AMT (NON SCHEDULE)</t>
  </si>
  <si>
    <t>GRAND `TOTAL</t>
  </si>
  <si>
    <t>EXTRA ITEMS</t>
  </si>
  <si>
    <t>GRAND TOTAL</t>
  </si>
  <si>
    <t>Value of work done - EXTRA ITEMS</t>
  </si>
  <si>
    <t>A3</t>
  </si>
  <si>
    <t>JMR NEEDED</t>
  </si>
  <si>
    <t>DIMENSION AS PER SITE</t>
  </si>
  <si>
    <t>CUM</t>
  </si>
  <si>
    <t>Avrege Depth 0.830</t>
  </si>
  <si>
    <r>
      <rPr>
        <b/>
        <sz val="18"/>
        <rFont val="Times New Roman"/>
        <family val="1"/>
      </rPr>
      <t>HARDSCAPING</t>
    </r>
    <r>
      <rPr>
        <sz val="18"/>
        <rFont val="Times New Roman"/>
        <family val="1"/>
      </rPr>
      <t xml:space="preserve"> Civil and finishes works of </t>
    </r>
    <r>
      <rPr>
        <b/>
        <sz val="18"/>
        <rFont val="Times New Roman"/>
        <family val="1"/>
      </rPr>
      <t>Boys &amp; Girls</t>
    </r>
    <r>
      <rPr>
        <sz val="18"/>
        <rFont val="Times New Roman"/>
        <family val="1"/>
      </rPr>
      <t xml:space="preserve"> Hostelat Thapar University Patiala</t>
    </r>
  </si>
  <si>
    <t>P.C.C. P/L for Planter (2-6/28'-31')</t>
  </si>
  <si>
    <t>(28'/2-3)</t>
  </si>
  <si>
    <t>(29'/2-3)</t>
  </si>
  <si>
    <t>(30'/2-3)</t>
  </si>
  <si>
    <t>(31'/2-3)</t>
  </si>
  <si>
    <t>(2-4/28'-31')</t>
  </si>
  <si>
    <t>(29'/2-4)</t>
  </si>
  <si>
    <t>(31'/2-4)</t>
  </si>
  <si>
    <t>P.C.C. P/L  for Planter (2-6/31'-37')</t>
  </si>
  <si>
    <t>(32'/2-5)</t>
  </si>
  <si>
    <t>P.C.C. P/L  for Sheet</t>
  </si>
  <si>
    <t>(33'/2-5)</t>
  </si>
  <si>
    <t>(35'/2-5)</t>
  </si>
  <si>
    <t>(37'/2-5)</t>
  </si>
  <si>
    <t>P.C.C. P/L for Sheet</t>
  </si>
  <si>
    <t>(2-5/32'-37')</t>
  </si>
  <si>
    <t>P.C.C. P/L for Planter (17-21/20-25)</t>
  </si>
  <si>
    <t>(20'/17-21)</t>
  </si>
  <si>
    <t>(21'/17-21)</t>
  </si>
  <si>
    <t>P.C.C.P/L Work for Sheet</t>
  </si>
  <si>
    <t>(24'/17-21)</t>
  </si>
  <si>
    <t>(17/20'-24')</t>
  </si>
  <si>
    <t>P.C.C. P/L  for Planter (17-21/25'-29')</t>
  </si>
  <si>
    <t>P.C.C. P/LWork for Sheet</t>
  </si>
  <si>
    <t>(17-21/25'-29')</t>
  </si>
  <si>
    <t>P.C.C. P/L for Planter (17-21/29'-35')</t>
  </si>
  <si>
    <t>(29'/17-21)</t>
  </si>
  <si>
    <t>(35'/17-20)</t>
  </si>
  <si>
    <t>(17-20/29'-35')</t>
  </si>
  <si>
    <t>P.C.C. P/L  for Planter (20-28/2'-5')</t>
  </si>
  <si>
    <t>P.C.C. P/L  (2'/20-28)</t>
  </si>
  <si>
    <t>P.C.C. P/L (3'/20-28)</t>
  </si>
  <si>
    <t>P.C.C. P/L  (6'/20-21)</t>
  </si>
  <si>
    <t>P.C.C. P/L  (4'/22-23)</t>
  </si>
  <si>
    <t>P.C.C. P/L  (20/2'-5')</t>
  </si>
  <si>
    <t>P.C.C. P/L (20/2'-5')</t>
  </si>
  <si>
    <t>P.C.C. for Sheet</t>
  </si>
  <si>
    <t>(23/2'-5')</t>
  </si>
  <si>
    <t>P.C.C. P/L Side of BH-01 (15/23'-35')</t>
  </si>
  <si>
    <t>east face (15/23'-35')</t>
  </si>
  <si>
    <t>north face (23'/9-10)</t>
  </si>
  <si>
    <t>north face (23'/11-13)</t>
  </si>
  <si>
    <t>P.C.C. P/L  (42'/13-16)</t>
  </si>
  <si>
    <t>(45'/14-17)</t>
  </si>
  <si>
    <t>(46'/14-17)</t>
  </si>
  <si>
    <t>(15/42'-47')</t>
  </si>
  <si>
    <t>P.C.C. P/L for Planter (20-28/2'-5')</t>
  </si>
  <si>
    <t>P.C.C. P/L (48'/13-16)</t>
  </si>
  <si>
    <t>(49'/13-16)</t>
  </si>
  <si>
    <t>(50'/14-18)</t>
  </si>
  <si>
    <t>(52'/14-18)</t>
  </si>
  <si>
    <t>(15/48'-53')</t>
  </si>
  <si>
    <t>(17/48'-49')</t>
  </si>
  <si>
    <t>P.C.C. P/L outer side of BH-04 (Drg. No. TU/LA-P-206.3)</t>
  </si>
  <si>
    <t>P.C.C. P/L Work west side (20/37'-50')</t>
  </si>
  <si>
    <t>P.C.C. P/L  south side (49'/19-23) (longitudinal axies)</t>
  </si>
  <si>
    <t>P.C.C. P/L  south side (49'/19-23) (transverse axies)</t>
  </si>
  <si>
    <t>P.C.C. P/L  north side (36'/19-21) (longitudianal axies)</t>
  </si>
  <si>
    <t>P.C.C. P/L  north side (36'/19-21) (transverse axies)</t>
  </si>
  <si>
    <t>(transverse axies)</t>
  </si>
  <si>
    <t>P.C.C. P/L outer side of BH-04 (Drg. No. TU/LA-P-206.4)</t>
  </si>
  <si>
    <t>P.C.C. P/L  east side (32/37'-49')</t>
  </si>
  <si>
    <t>P.C.C. P/L  P/L for Planter (39'-55'/32-36) (Drg. No. TU/LA-P-206.4)</t>
  </si>
  <si>
    <t>P.C.C. P/L  for Planter (39'-47'/32-36)</t>
  </si>
  <si>
    <t>longitudianal axies (40'/34-35)</t>
  </si>
  <si>
    <t>(47'/32-36)</t>
  </si>
  <si>
    <t>Transvere axies (34/40'-47')</t>
  </si>
  <si>
    <t>P.C.C. P/L for Planter (30-39/37-40)  near M4 (revised Drg. No. TU/LA-P-206.5 (front of Basket Ball)</t>
  </si>
  <si>
    <t>P.C.C. (west side wall)</t>
  </si>
  <si>
    <t>extra  for Sheet</t>
  </si>
  <si>
    <t>north &amp; south side wall</t>
  </si>
  <si>
    <t>P.C.C. P/L  P/L for Planter near BH-03  (drg. No. TU/LA-P-206.1) (48-52/2'-11')</t>
  </si>
  <si>
    <t>P.C.C. P/L  for Stepped Foundation (west side wall) (2'/48-52)</t>
  </si>
  <si>
    <t>Longitudianal axies (2'/48-52)</t>
  </si>
  <si>
    <t>(10'/49-50)</t>
  </si>
  <si>
    <t>extra for Sheet</t>
  </si>
  <si>
    <t>Transverse axies (49/2'-11')</t>
  </si>
  <si>
    <t>P.C.C. P/L for BH-05 outer side (drg. No. TU/LA-P-206.8)</t>
  </si>
  <si>
    <t>P.C.C. P/L for FIRE TENDER TOES Wall (north side wall)</t>
  </si>
  <si>
    <t>P.C.C. P/L for FIRE TENDER TOES Wall (west side wall)</t>
  </si>
  <si>
    <t>P.C.C. P/L for Basket Ball Ground Toe Wall</t>
  </si>
  <si>
    <t>Basket Ball Long Ball</t>
  </si>
  <si>
    <t xml:space="preserve">P.C.C. P/L for Road Toe Wall BH-01 </t>
  </si>
  <si>
    <t>P.C.C. P/L for Road Toe Wall BH-01 east side towards water body</t>
  </si>
  <si>
    <t>P.C.C. P/L for Road Toe Wall BH-01 North side towards GYM</t>
  </si>
  <si>
    <t>P.C.C. P/L for Road Toe Wall back side of Basket Ball (east side)</t>
  </si>
  <si>
    <t>Excavation  for Road Toe wall outer parapheri BG-02 to Gym North side</t>
  </si>
  <si>
    <t xml:space="preserve">P.C.C. P/L in Road </t>
  </si>
  <si>
    <t xml:space="preserve">Stone Agg. 90 to 45mm in Basket Ball Ground </t>
  </si>
  <si>
    <t xml:space="preserve">Stone Agg. 90 to 45mm in Road </t>
  </si>
  <si>
    <t>Road between BH-05 &amp; B3 Basket Ground</t>
  </si>
  <si>
    <t>Road between BH-05 &amp; BH-04</t>
  </si>
  <si>
    <t>P.C.C. P/L for Planter between BH-03 &amp; Basket Ball Ground</t>
  </si>
  <si>
    <t>Base Footning (4500x1000)</t>
  </si>
  <si>
    <t>P.C.C. P/L for Planter between BH-04 &amp; Base of Waterbody M3</t>
  </si>
  <si>
    <t>P.C.C. P/L in Planter Area</t>
  </si>
  <si>
    <t>Planter Front of Basket Ground (west side)</t>
  </si>
  <si>
    <t>space between basket ground &amp; planter</t>
  </si>
  <si>
    <t>planter front of Bh-05 (west side)</t>
  </si>
  <si>
    <t>P.C.C. P/L in Ramp Area Front side of Gym (West side)</t>
  </si>
  <si>
    <t>Less Previous RA  Quantity</t>
  </si>
  <si>
    <t>Brick Work for Planter (2-6/28'-31')</t>
  </si>
  <si>
    <t>Brick Work for Planter (2-6/31'-37')</t>
  </si>
  <si>
    <t>Brick Work for Sheat</t>
  </si>
  <si>
    <t>Brick Work for Planter (17-21/20-25)</t>
  </si>
  <si>
    <t>Brick Work for Planter (17-21/25'-29')</t>
  </si>
  <si>
    <t>Brick Work for Planter (17-21/29'-35')</t>
  </si>
  <si>
    <t>Brick Work for Planter (20-28/2'-5')</t>
  </si>
  <si>
    <t>Brick Work (2'/20-28)</t>
  </si>
  <si>
    <t>Brick Work (3'/20-28)</t>
  </si>
  <si>
    <t>Brick Work (6'/20-21)</t>
  </si>
  <si>
    <t>Brick Work (4'/22-23)</t>
  </si>
  <si>
    <t>Brick Work (20/2'-5')</t>
  </si>
  <si>
    <t>Brick Work Side of BH-01 (15/23'-35')</t>
  </si>
  <si>
    <t>Brick Work (42'/13-16)</t>
  </si>
  <si>
    <t>Brick Work (48'/13-16)</t>
  </si>
  <si>
    <t>Brick Work P/L outer side of BH-04 (Drg. No. TU/LA-P-206.3)</t>
  </si>
  <si>
    <t>Brick Work west side (20/37'-50')</t>
  </si>
  <si>
    <t>Brick Work south side (49'/19-23) (longitudinal axies)</t>
  </si>
  <si>
    <t>Brick Work south side (49'/19-23) (transverse axies)</t>
  </si>
  <si>
    <t>Brick Work north side (36'/19-21) (longitudianal axies)</t>
  </si>
  <si>
    <t>Brick Work north side (36'/19-21) (transverse axies)</t>
  </si>
  <si>
    <t>Brick Work P/L outer side of BH-04 (Drg. No. TU/LA-P-206.4)</t>
  </si>
  <si>
    <t>Brick Work east side (32/37'-49')</t>
  </si>
  <si>
    <t>Brick Work P/L for Planter (39'-55'/32-36) (Drg. No. TU/LA-P-206.4) between BH-05 &amp; BH-04</t>
  </si>
  <si>
    <t>Brick Work for Planter (39'-47'/32-36)</t>
  </si>
  <si>
    <t>Brick Work P/L for Planter (30-39/37-40)  near M4 (revised Drg. No. TU/LA-P-206.5 (front of Basket Ball)</t>
  </si>
  <si>
    <t>Brick Work for (west side wall)</t>
  </si>
  <si>
    <t>east side wall</t>
  </si>
  <si>
    <t>Brick Work P/L for Planter near BH-03  (drg. No. TU/LA-P-206.1) (48-52/2'-11') north side</t>
  </si>
  <si>
    <t>Brick Work for  (north side wall) (2'/48-52)</t>
  </si>
  <si>
    <t>Brick Work P/L for BH-05 outer side (drg. No. TU/LA-P-206.8)</t>
  </si>
  <si>
    <t>Brick Work for FIRE TENDER TOES Wall (north side wall)</t>
  </si>
  <si>
    <t>Brick Work for FIRE TENDER TOES Wall (west side wall)</t>
  </si>
  <si>
    <t>Brick Work for Basket Ball Ground Toe Wall</t>
  </si>
  <si>
    <t>Brick Work for Fire Tender Toe Wall</t>
  </si>
  <si>
    <t>FIRE TENDER TOE WALL  WITH BH-01 (South side)</t>
  </si>
  <si>
    <t>Brick Work for Road Toe Wall BH-01 east side towards water body</t>
  </si>
  <si>
    <t>Brick Work for Road Toe Wall BH-01 North side towards GYM</t>
  </si>
  <si>
    <t>Brick Work for Road Toe Wall back side of Basket Ball (east side)</t>
  </si>
  <si>
    <t>Brick Work for Road Toe wall outer parapheri BG-02 to Gym North side</t>
  </si>
  <si>
    <t>HARDCORE</t>
  </si>
  <si>
    <t>Providing and laying 100 mm Hardcore sub-base with stome aggregate 63 to 40 mm size as per structural specification and approved binding material including cleaning ,sorting ,spreading, packing and consolidation with half tonne roller to template etc. complete</t>
  </si>
  <si>
    <t/>
  </si>
  <si>
    <t>Road between BH-01 &amp;  Waterboy (east side)</t>
  </si>
  <si>
    <t>Road between BH-01 &amp; BH-07 (south side)</t>
  </si>
  <si>
    <t>WBM LAYER IN FIRE TENDER AND DRIVEWAYS</t>
  </si>
  <si>
    <t>Supplying and laying sub base course ( water bound macadam) 100 m thick (consolidated thickness) with stone aggregate of size 93 to 45 mm including stone screening,sorting and consolidation with 8 to 10 tonne power road roller etc. and binding material complete all as specified by structural consultant.
(Quantity  may vary as per structural drawings)</t>
  </si>
  <si>
    <t>Supplying and laying sub base course ( water bound macadam) 100 m thick (consolidated thickness) with stone aggregate of size 93 to 45 mm including stone screening,sorting and consolidation with 8 to 10 tonne power road roller etc. and binding material complete all as specified by structural consultant.</t>
  </si>
  <si>
    <t>Stone Agg. 90 to 45mm in Planter Area</t>
  </si>
  <si>
    <t xml:space="preserve">Stone agg. In planter front between Bh-07 &amp; BH-04 </t>
  </si>
  <si>
    <t>Stone agg. In planter east side of BH-1 or front of Water Body</t>
  </si>
  <si>
    <t>Stone Agg. 90 to 45mm in Ramp Area Front side of Gym (West side)</t>
  </si>
  <si>
    <t>R.C.C. P/L M25 for Tie Beam on Brick Work</t>
  </si>
  <si>
    <t>R.C.C. P/L for Planter (2-6/28'-31')</t>
  </si>
  <si>
    <t>(28'/2-3) (tie Beam=230x200)</t>
  </si>
  <si>
    <t>R.C.C. P/L  for Planter (2-6/31'-37')</t>
  </si>
  <si>
    <t>R.C.C. P/L  for Beam Sheat (385x275)</t>
  </si>
  <si>
    <t>R.C.C. P/L  for Sheat</t>
  </si>
  <si>
    <t>R.C.C. P/L  for Planter (17-21/20-25)</t>
  </si>
  <si>
    <t>R.C.C. P/L   for Sheet</t>
  </si>
  <si>
    <t>R.C.C. P/L  for Sheet</t>
  </si>
  <si>
    <t>R.C.C. P/L  Work for Sheet</t>
  </si>
  <si>
    <t>R.C.C. P/L Work for Sheet</t>
  </si>
  <si>
    <t>R.C.C. P/L  for Planter (17-21/25'-29')</t>
  </si>
  <si>
    <t>R.C.C. P/L for Sheet</t>
  </si>
  <si>
    <t>R.C.C. P/L for Planter (17-21/29'-35')</t>
  </si>
  <si>
    <t>R.C.C. P/L for Planter (20-28/2'-5')</t>
  </si>
  <si>
    <t>R.C.C. P/L  (2'/20-28)</t>
  </si>
  <si>
    <t>R.C.C. P/L (3'/20-28)</t>
  </si>
  <si>
    <t>R.C.C. P/L  (6'/20-21)</t>
  </si>
  <si>
    <t>R.C.C. P/L (4'/22-23)</t>
  </si>
  <si>
    <t>R.C.C. P/L  (20/2'-5')</t>
  </si>
  <si>
    <t>R.C.C. P/L  Side of BH-01 (15/23'-35')</t>
  </si>
  <si>
    <t>R.C.C. P/L (42'/13-16)</t>
  </si>
  <si>
    <t>R.C.C. P/L (48'/13-16)</t>
  </si>
  <si>
    <t>R.C.C. P/L  outer side of BH-04 (Drg. No. TU/LA-P-206.3)</t>
  </si>
  <si>
    <t>R.C.C. P/L Work west side (20/37'-50')</t>
  </si>
  <si>
    <t>R.C.C. P/L south side (49'/19-23) (longitudinal axies)</t>
  </si>
  <si>
    <t>R.C.C. P/L south side (49'/19-23) (transverse axies)</t>
  </si>
  <si>
    <t>R.C.C. P/L north side (36'/19-21) (longitudianal axies)</t>
  </si>
  <si>
    <t>R.C.C. P/L  north side (36'/19-21) (transverse axies)</t>
  </si>
  <si>
    <t>R.C.C. P/L outer side of BH-04 (Drg. No. TU/LA-P-206.4)</t>
  </si>
  <si>
    <t>R.C.C. P/L  east side (32/37'-49')</t>
  </si>
  <si>
    <t>R.C.C. P/L  for Planter (39'-55'/32-36) (Drg. No. TU/LA-P-206.4)</t>
  </si>
  <si>
    <t>R.C.C. P/L  for Planter (39'-47'/32-36)</t>
  </si>
  <si>
    <t>R.C.C. P/L for Planter (30-39/37-40)  near M4 (revised Drg. No. TU/LA-P-206.5 (front of Basket Ball)</t>
  </si>
  <si>
    <t>R.C.C. P/L  (west side wall)</t>
  </si>
  <si>
    <t>R.C.C. P/L  for Planter near BH-03  (drg. No. TU/LA-P-206.1) (48-52/2'-11')</t>
  </si>
  <si>
    <t>R.C.C. P/L  for Stepped Foundation (west side wall) (2'/48-52)</t>
  </si>
  <si>
    <t>R.C.C. P/L  for BH-05 outer side (drg. No. TU/LA-P-206.8)</t>
  </si>
  <si>
    <t>R.C.C. P/L for FIRE TENDER TOES Wall (north side wall)</t>
  </si>
  <si>
    <t>R.C.C. P/L for FIRE TENDER TOES Wall (west side wall)</t>
  </si>
  <si>
    <t>R.C.C. P/L  for Basket Ball Ground Toe Wall</t>
  </si>
  <si>
    <t>R.C.C. P/L for Basket Ball Ground Toe Wall</t>
  </si>
  <si>
    <t xml:space="preserve">R.C.C. P/L for Road Toe Wall BH-01 </t>
  </si>
  <si>
    <t>R.C.C. P/L for Road Toe Wall BH-01 east side towards water body</t>
  </si>
  <si>
    <t>R.C.C. P/L for Road Toe Wall BH-01 North side towards GYM</t>
  </si>
  <si>
    <t>R.C.C. P/L for Road Toe Wall back side of Basket Ball (east side)</t>
  </si>
  <si>
    <t>R.C.C. P/L  for Road Toe wall outer parapheri BG-02 to Gym North side</t>
  </si>
  <si>
    <t>R.C.C. P/L for Planter between BH-04 &amp; Base of Waterbody M3</t>
  </si>
  <si>
    <t>R.C.C. Wall for Planter</t>
  </si>
  <si>
    <t>Less Previous Ra Quantity</t>
  </si>
  <si>
    <t>Reinforcement for R.C.C. works including straightening, cutting , bending, placing in position and binding all complete. Cold twisted bars.</t>
  </si>
  <si>
    <t>MT</t>
  </si>
  <si>
    <t>Project : Hardscaping work for Thapar University Patiala</t>
  </si>
  <si>
    <t>Sub. :- Bar Bending Schedule</t>
  </si>
  <si>
    <t xml:space="preserve">Date : </t>
  </si>
  <si>
    <t xml:space="preserve">           </t>
  </si>
  <si>
    <t>Particulars/Description</t>
  </si>
  <si>
    <t>Dia Of Bar</t>
  </si>
  <si>
    <t>No Of  Member</t>
  </si>
  <si>
    <t>No. of Bars/ Member</t>
  </si>
  <si>
    <t>Length of Bars (mm)</t>
  </si>
  <si>
    <t>Bend Ded.</t>
  </si>
  <si>
    <t>Cutting Length Of Bar in Mtr.</t>
  </si>
  <si>
    <t>Dia of Bars</t>
  </si>
  <si>
    <t>A.1</t>
  </si>
  <si>
    <t>Reinft. For Tie Beam on Planter</t>
  </si>
  <si>
    <t>Reinft. for Planter (2-6/28'-31') Tie Beam (Near BH-01 west side)</t>
  </si>
  <si>
    <t>1.a</t>
  </si>
  <si>
    <t>Longitudianal Axies (tie Beam=230x200)</t>
  </si>
  <si>
    <t xml:space="preserve"> Beam (230x200) Bottom Bar</t>
  </si>
  <si>
    <t>Top Bar</t>
  </si>
  <si>
    <t>Stirrups @200C/C (180x150)</t>
  </si>
  <si>
    <t>1.b</t>
  </si>
  <si>
    <t>Transverse Axies (tie Beam=230x200)</t>
  </si>
  <si>
    <t>1.a.1</t>
  </si>
  <si>
    <t>1.a.2</t>
  </si>
  <si>
    <t xml:space="preserve"> Beam (385x275) Sheat) Bottom Bar</t>
  </si>
  <si>
    <t>Stirrups @200C/C (335x225)</t>
  </si>
  <si>
    <t>Reinft. For Tie Beam of between BH-01 &amp; Waterbody north side of BH-04</t>
  </si>
  <si>
    <t xml:space="preserve">2.a  </t>
  </si>
  <si>
    <t>Planter Tie Beam</t>
  </si>
  <si>
    <t>2.a.1</t>
  </si>
  <si>
    <t>2.a.2</t>
  </si>
  <si>
    <t>2.b</t>
  </si>
  <si>
    <t>2.b.1</t>
  </si>
  <si>
    <t>2.b.2</t>
  </si>
  <si>
    <t>2.c</t>
  </si>
  <si>
    <t>2.c.1</t>
  </si>
  <si>
    <t>2.c.2</t>
  </si>
  <si>
    <t xml:space="preserve">Reinft. For Tie Beam of Planter between BH-07 &amp; BH-04 </t>
  </si>
  <si>
    <t xml:space="preserve">3.a  </t>
  </si>
  <si>
    <t>3.a.1</t>
  </si>
  <si>
    <t>3.a.2</t>
  </si>
  <si>
    <t xml:space="preserve">3.b </t>
  </si>
  <si>
    <t>3.b.1</t>
  </si>
  <si>
    <t>3.b.2</t>
  </si>
  <si>
    <t>Reinft. For Tie Beam of Planter North side of BH-02 &amp; Gym</t>
  </si>
  <si>
    <t xml:space="preserve">4.a  </t>
  </si>
  <si>
    <t>4.a.1</t>
  </si>
  <si>
    <t>4.a.2</t>
  </si>
  <si>
    <t>Reinft. For Tie Beam of Planter between BH-04 &amp; BH-05</t>
  </si>
  <si>
    <t xml:space="preserve">5.a  </t>
  </si>
  <si>
    <t>5.a.1</t>
  </si>
  <si>
    <t>5.a.2</t>
  </si>
  <si>
    <t xml:space="preserve">6.a  </t>
  </si>
  <si>
    <t>6.a.1</t>
  </si>
  <si>
    <t>6.a.2</t>
  </si>
  <si>
    <t>Reinft. For Tie Beam of Planter East side of BH-01</t>
  </si>
  <si>
    <t xml:space="preserve">7.a  </t>
  </si>
  <si>
    <t>7.a.1</t>
  </si>
  <si>
    <t>Lap @50D</t>
  </si>
  <si>
    <t>7.a.2</t>
  </si>
  <si>
    <t>Reinft. For Tie Beam of Planter West side of BH-04</t>
  </si>
  <si>
    <t xml:space="preserve">8.a  </t>
  </si>
  <si>
    <t>8.a.1</t>
  </si>
  <si>
    <t>8.a.2</t>
  </si>
  <si>
    <t>Reinft. For Tie Beam for Basket Ball Ground alround on B/W</t>
  </si>
  <si>
    <t xml:space="preserve">9.a  </t>
  </si>
  <si>
    <t>Toe Wall Tie Beam</t>
  </si>
  <si>
    <t>9.a.1</t>
  </si>
  <si>
    <t xml:space="preserve"> (tie Beam=230x200)</t>
  </si>
  <si>
    <t>alround the basket ground</t>
  </si>
  <si>
    <t>9.a.2</t>
  </si>
  <si>
    <t>Tie Beam east side of basket ground for Toe wall</t>
  </si>
  <si>
    <t xml:space="preserve">9.b </t>
  </si>
  <si>
    <t>9.b.1</t>
  </si>
  <si>
    <t xml:space="preserve">10.a  </t>
  </si>
  <si>
    <t>10.a.1</t>
  </si>
  <si>
    <t>Tie Beam for Toe Wall Back side of Basket Ball Ground (east side)</t>
  </si>
  <si>
    <t>Reinft. For Tie Beam for Road Toe Wall BH-02 to GYM North side</t>
  </si>
  <si>
    <t xml:space="preserve">10.1.a  </t>
  </si>
  <si>
    <t>Reinft. For Tie Beam for Fire Tender Toe Wall</t>
  </si>
  <si>
    <t xml:space="preserve">11.a  </t>
  </si>
  <si>
    <t xml:space="preserve">12.a  </t>
  </si>
  <si>
    <t>a</t>
  </si>
  <si>
    <t>for Road Toe Wall BH-01 east side towards water body</t>
  </si>
  <si>
    <t>b</t>
  </si>
  <si>
    <t>or Road Toe Wall BH-01 North side towards GYM</t>
  </si>
  <si>
    <t>Reinft. For R.C.C. Planter North side of Basket Ball Ground</t>
  </si>
  <si>
    <t xml:space="preserve">13.a  </t>
  </si>
  <si>
    <t>Reinft. For Footing (4800x1300)</t>
  </si>
  <si>
    <t>Bottom Reinft.</t>
  </si>
  <si>
    <t>Main Bar @150C/C</t>
  </si>
  <si>
    <t>Dis.Bar @200C/C</t>
  </si>
  <si>
    <t>Top Reinft.</t>
  </si>
  <si>
    <t xml:space="preserve">Chair </t>
  </si>
  <si>
    <t xml:space="preserve">13.a.1  </t>
  </si>
  <si>
    <t>Reinft. For Wall 200mm thk.</t>
  </si>
  <si>
    <t>V.Bar @150C/C</t>
  </si>
  <si>
    <t>H. Bar Binder @200C/C (outer)</t>
  </si>
  <si>
    <t>spacer</t>
  </si>
  <si>
    <t xml:space="preserve">13.b </t>
  </si>
  <si>
    <t>Reinft. For Footing (4800x1150)</t>
  </si>
  <si>
    <t xml:space="preserve">13.b.1  </t>
  </si>
  <si>
    <t>Reinft. For R.C.C. Planter BH-01 &amp; GYM</t>
  </si>
  <si>
    <t xml:space="preserve">14.a  </t>
  </si>
  <si>
    <t xml:space="preserve">14.a.1  </t>
  </si>
  <si>
    <t xml:space="preserve">14.b </t>
  </si>
  <si>
    <t xml:space="preserve">14.b.1  </t>
  </si>
  <si>
    <t>Total Length</t>
  </si>
  <si>
    <t>wt./mtr.@</t>
  </si>
  <si>
    <t>wt. of bars</t>
  </si>
  <si>
    <t>Total Wt.</t>
  </si>
  <si>
    <t>KG</t>
  </si>
  <si>
    <t>Say</t>
  </si>
  <si>
    <t>As Per Attached BBS</t>
  </si>
  <si>
    <t>Earth Excavation for Planter (2-6/28'-31')</t>
  </si>
  <si>
    <t>Excavation  for Planter (2-6/31'-37')</t>
  </si>
  <si>
    <t>Excavation  for Sheet</t>
  </si>
  <si>
    <t>Excavation for Sheet</t>
  </si>
  <si>
    <t>Excavation  for Planter (17-21/20-25)</t>
  </si>
  <si>
    <t>Excavation Work for Sheet</t>
  </si>
  <si>
    <t>Excavation  Work for Sheet</t>
  </si>
  <si>
    <t>Excavation for Planter (17-21/25'-29')</t>
  </si>
  <si>
    <t>Excavation  for Planter (17-21/29'-35')</t>
  </si>
  <si>
    <t>Excavation for Planter (20-28/2'-5')</t>
  </si>
  <si>
    <t>Excavation (2'/20-28)</t>
  </si>
  <si>
    <t>Excavation (3'/20-28)</t>
  </si>
  <si>
    <t>Excavation  (6'/20-21)</t>
  </si>
  <si>
    <t>Excavation (4'/22-23)</t>
  </si>
  <si>
    <t>Excavation (20/2'-5')</t>
  </si>
  <si>
    <t>Excavation  (20/2'-5')</t>
  </si>
  <si>
    <t>Excavation for Sheat</t>
  </si>
  <si>
    <t>Excavation  Side of BH-01 (15/23'-35')</t>
  </si>
  <si>
    <t>Excavation (42'/13-16)</t>
  </si>
  <si>
    <t>Excavation  for Planter (20-28/2'-5')</t>
  </si>
  <si>
    <t>Excavation  (48'/13-16)</t>
  </si>
  <si>
    <t>Excavation outer side of BH-04 (Drg. No. TU/LA-P-206.3)</t>
  </si>
  <si>
    <t>Excavation Work west side (20/37'-50')</t>
  </si>
  <si>
    <t>Excavation  south side (49'/19-23) (longitudinal axies)</t>
  </si>
  <si>
    <t>Excavation south side (49'/19-23) (transverse axies)</t>
  </si>
  <si>
    <t>Excavation north side (36'/19-21) (longitudianal axies)</t>
  </si>
  <si>
    <t>Excavation  north side (36'/19-21) (transverse axies)</t>
  </si>
  <si>
    <t>Excavation outer side of BH-04 (Drg. No. TU/LA-P-206.4)</t>
  </si>
  <si>
    <t>Excavation east side (32/37'-49')</t>
  </si>
  <si>
    <t>Excavation  for Planter (39'-55'/32-36) (Drg. No. TU/LA-P-206.4)</t>
  </si>
  <si>
    <t>Excavation  for Planter (39'-47'/32-36)</t>
  </si>
  <si>
    <t>Excavation  for Sheat</t>
  </si>
  <si>
    <t>Excavation for Planter (30-39/37-40)  near M4 (revised Drg. No. TU/LA-P-206.5 (front of Basket Ball)</t>
  </si>
  <si>
    <t>Excavation (west side wall)</t>
  </si>
  <si>
    <t>Excavation for Planter near BH-03  (drg. No. TU/LA-P-206.1) (48-52/2'-11')</t>
  </si>
  <si>
    <t>Excavation for Stepped Foundation (west side wall) (2'/48-52)</t>
  </si>
  <si>
    <t>Excavation for BH-05 outer side (drg. No. TU/LA-P-206.8)</t>
  </si>
  <si>
    <t>Excavation for Basket Ball Ground Toe Wall</t>
  </si>
  <si>
    <t>Excavation  for Basket Ball Ground Toe Wall</t>
  </si>
  <si>
    <t xml:space="preserve">Excavation for Road Toe Wall BH-01 </t>
  </si>
  <si>
    <t>Excavation for Road Toe Wall BH-01 east side towards water body</t>
  </si>
  <si>
    <t>Excavation for Road Toe Wall BH-01 North side towards GYM</t>
  </si>
  <si>
    <t>Excavation for Road Toe Wall back side of Basket Ball (east side)</t>
  </si>
  <si>
    <t>Excavation  for Planter between BH-03 &amp; Basket Ball Ground</t>
  </si>
  <si>
    <t>Excavation for Planter between BH-04 &amp; Base of Waterbody M3</t>
  </si>
  <si>
    <t>Less Previous RA Quantity</t>
  </si>
  <si>
    <t>Form Work C/S for Tie Beam on Brick Work</t>
  </si>
  <si>
    <t>Form Work C/S for Planter (2-6/28'-31')</t>
  </si>
  <si>
    <t>SQM</t>
  </si>
  <si>
    <t>Form Work C/S for Planter (2-6/31'-37')</t>
  </si>
  <si>
    <t>Form Work C/Sfor Beam Sheat (385x275)</t>
  </si>
  <si>
    <t>Form Work C/S for Sheat</t>
  </si>
  <si>
    <t>Form Work C/S for Planter (17-21/20-25)</t>
  </si>
  <si>
    <t>Form Work C/S for Sheet</t>
  </si>
  <si>
    <t>Form Work C/S Work for Sheet</t>
  </si>
  <si>
    <t>Form Work C/S for Planter (17-21/25'-29')</t>
  </si>
  <si>
    <t>Form Work C/S for Planter (17-21/29'-35')</t>
  </si>
  <si>
    <t>Form Work C/S  for Planter (20-28/2'-5')</t>
  </si>
  <si>
    <t>Form Work C/S (2'/20-28)</t>
  </si>
  <si>
    <t>Form Work C/S  (3'/20-28)</t>
  </si>
  <si>
    <t>Form Work C/S  (6'/20-21)</t>
  </si>
  <si>
    <t>Form Work C/S  (20/2'-5')</t>
  </si>
  <si>
    <t>Form Work C/S  Side of BH-01 (15/23'-35')</t>
  </si>
  <si>
    <t>Form Work C/S  (42'/13-16)</t>
  </si>
  <si>
    <t>Form Work C/S (48'/13-16)</t>
  </si>
  <si>
    <t>Form Work C/S  for Sheet</t>
  </si>
  <si>
    <t>Form Work C/S  outer side of BH-04 (Drg. No. TU/LA-P-206.3)</t>
  </si>
  <si>
    <t>Form Work C/S  Work west side (20/37'-50')</t>
  </si>
  <si>
    <t>Form Work C/S  south side (49'/19-23) (longitudinal axies)</t>
  </si>
  <si>
    <t>Form Work C/S south side (49'/19-23) (transverse axies)</t>
  </si>
  <si>
    <t>Form Work C/S  north side (36'/19-21) (longitudianal axies)</t>
  </si>
  <si>
    <t>Form Work C/S north side (36'/19-21) (transverse axies)</t>
  </si>
  <si>
    <t>Form Work C/S  outer side of BH-04 (Drg. No. TU/LA-P-206.4)</t>
  </si>
  <si>
    <t>Form Work C/S east side (32/37'-49')</t>
  </si>
  <si>
    <t>Form Work C/S  for Planter (39'-55'/32-36) (Drg. No. TU/LA-P-206.4)</t>
  </si>
  <si>
    <t>Form Work C/S  for Planter (39'-47'/32-36)</t>
  </si>
  <si>
    <t>Form Work C/S for Planter (30-39/37-40)  near M4 (revised Drg. No. TU/LA-P-206.5 (front of Basket Ball)</t>
  </si>
  <si>
    <t>Form Work C/S  for Planter near BH-03  (drg. No. TU/LA-P-206.1) (48-52/2'-11')</t>
  </si>
  <si>
    <t>Form Work C/S  for Stepped Foundation (west side wall) (2'/48-52)</t>
  </si>
  <si>
    <t>Form Work C/S  for BH-05 outer side (drg. No. TU/LA-P-206.8)</t>
  </si>
  <si>
    <t>Form Work C/S  FIRE TENDER TOES Wall (west side wall)</t>
  </si>
  <si>
    <t>Form Work C/S for Basket Ball Ground Toe Wall</t>
  </si>
  <si>
    <t xml:space="preserve">Form Work C/S  for Road Toe Wall BH-01 </t>
  </si>
  <si>
    <t xml:space="preserve"> for Road Toe Wall BH-01 east side towards water body</t>
  </si>
  <si>
    <t xml:space="preserve"> for Road Toe Wall BH-01 North side towards GYM</t>
  </si>
  <si>
    <t>Form Work C/S for Road Toe Wall back side of Basket Ball (east side)</t>
  </si>
  <si>
    <t>Form Work C/S for Planter between BH-03 &amp; Basket Ball Ground</t>
  </si>
  <si>
    <t>Form Work C/S for Planter between BH-04 &amp; Base of Waterbody M3</t>
  </si>
  <si>
    <t>E.I.03</t>
  </si>
  <si>
    <t>Suspended floors, roofs, landings balconies, access platform, Lintels, beams, plinth beams, girders, bressumers, Stairs, cantilevers (excluding landing) except spiral staircases.etc</t>
  </si>
  <si>
    <t xml:space="preserve">Suspended floors, roofs, landings balconies, access platform, Lintels, beams, plinth beams, girders, bressumers, Stairs, cantilevers </t>
  </si>
  <si>
    <t>Form Work C/S for Planter (48'-55'/32-36)</t>
  </si>
  <si>
    <t>longitudianal axies (48'/34-35)</t>
  </si>
  <si>
    <t>Form Work C/S   for Sheat</t>
  </si>
  <si>
    <t>Transverse axies (34/48'-55')</t>
  </si>
  <si>
    <t>Form Work C/S for Road Toe Wall at Planter between BH-07 &amp; BH-04</t>
  </si>
  <si>
    <t>Form Work C/S for Road Toe Wall BH-04 to Planter front of BH-01</t>
  </si>
  <si>
    <t xml:space="preserve"> </t>
  </si>
  <si>
    <t>BH4</t>
  </si>
  <si>
    <t>RCC Planter Besides ST-03</t>
  </si>
  <si>
    <t>BH3</t>
  </si>
  <si>
    <t>12ws</t>
  </si>
  <si>
    <t>aa</t>
  </si>
  <si>
    <t>E.I. 15</t>
  </si>
  <si>
    <t>S. N.</t>
  </si>
  <si>
    <t>Reinforcement Steel</t>
  </si>
  <si>
    <t>RA-2</t>
  </si>
  <si>
    <t>E.I.06</t>
  </si>
  <si>
    <r>
      <t xml:space="preserve">Extra for shuttering in circular work (20% of respective centering and shuttering items) </t>
    </r>
    <r>
      <rPr>
        <b/>
        <sz val="14"/>
        <color theme="1"/>
        <rFont val="Book Antiqua"/>
        <family val="1"/>
      </rPr>
      <t>Ref. from D.A.R. Item no. 5.9.14</t>
    </r>
  </si>
  <si>
    <t>P.C.C. P/L  for Planter near Reception or west side of Waterbody (drg. No. TU/LA-P-206.1) (30'-35'/32-36)</t>
  </si>
  <si>
    <t>P.C.C. P/L  for Planter</t>
  </si>
  <si>
    <t>Longitudianal axies (30'/32-36)</t>
  </si>
  <si>
    <t>Longitudianal axies (31'/32-35)</t>
  </si>
  <si>
    <t>Longitudianal axies (32'/32-35)</t>
  </si>
  <si>
    <t>Longitudianal axies (33'/32-35)</t>
  </si>
  <si>
    <t>Transvere axies (34/30'-35')</t>
  </si>
  <si>
    <t>P.C.C. P/L for Planter South sid of BH-02 (drg. No. TU/LA-P-206.1 &amp; 206.2) ( (15'-19'/20-32)</t>
  </si>
  <si>
    <t>P.C.C. P/L for Planter</t>
  </si>
  <si>
    <t>Longitudianal axies (15'/20-32)</t>
  </si>
  <si>
    <t>Transvere axies (32/15'-19')</t>
  </si>
  <si>
    <t>(32/15'-19')</t>
  </si>
  <si>
    <t>(31/15'-19')</t>
  </si>
  <si>
    <t>(30/15'-18')</t>
  </si>
  <si>
    <t>(29/15'-17')</t>
  </si>
  <si>
    <t>P.C.C. P/L for Sheat</t>
  </si>
  <si>
    <t>P.C.C. P/L for Planter South sid of BH-02 &amp; BH-03 (drg. No. TU/LA-P-206.1) ( (19'-21'/35-40)</t>
  </si>
  <si>
    <t>Brick Work for Planter</t>
  </si>
  <si>
    <t>Longitudianal axies (40/19'-20')</t>
  </si>
  <si>
    <t>P.C.C. P/L for Road Toe wall outer parapheri (Ref. Drg. No. TU/LA-P-203) (1/F-J), (J/1-9), (9/H-J)</t>
  </si>
  <si>
    <t>P.C.C. P/L for Road Toe Wall (1/F-J)</t>
  </si>
  <si>
    <t>P.C.C. P/L  for Road Toe Wall (J/1-9)</t>
  </si>
  <si>
    <t>P.C.C. P/L  for Road Toe Wall (9/H-J)</t>
  </si>
  <si>
    <t>P.C.C. P/L for Planter between BH-01 &amp; Canteen</t>
  </si>
  <si>
    <t>P.C.C. P/L for Planter between BH-02 &amp; GYM</t>
  </si>
  <si>
    <t>P.C.C. P/L for Waterbody as per drg. No. 5128-6-103 (inner dia. 7.0m), dia. For P.C.C. =20.12+0.2*2+0.6*2+0.2*2=22.120m)</t>
  </si>
  <si>
    <t>area</t>
  </si>
  <si>
    <t>P.C.C. P/L on Road Area</t>
  </si>
  <si>
    <t>Area-1, Road between BH-01 &amp; BH-07</t>
  </si>
  <si>
    <t>Area-2, Road between BH-04 &amp; west corner of BH-01</t>
  </si>
  <si>
    <t>deduct area not done</t>
  </si>
  <si>
    <t xml:space="preserve">Area-3, Road between BH-01 west side  &amp; waterbody </t>
  </si>
  <si>
    <t xml:space="preserve">Area-4, Road between BH-04 west side </t>
  </si>
  <si>
    <t>Area-5, Road between BH-05 north side &amp; Basket Ball Ground</t>
  </si>
  <si>
    <t xml:space="preserve">Area-6, Road front BH-05 east side </t>
  </si>
  <si>
    <t>H</t>
  </si>
  <si>
    <t>P.C.C. P/L in Ramp Area (1/H-J)</t>
  </si>
  <si>
    <t xml:space="preserve">P.C.C. P/L between BH-01 &amp; Canteen </t>
  </si>
  <si>
    <t>add area near road junction near canteen east corner</t>
  </si>
  <si>
    <t>deduct R.C.C. Existng Col.</t>
  </si>
  <si>
    <t>deduct R.C.C. Planter Area</t>
  </si>
  <si>
    <t>deduct sheat area</t>
  </si>
  <si>
    <t>Green Planter</t>
  </si>
  <si>
    <t xml:space="preserve">P.C.C. P/L between BH-01 west side </t>
  </si>
  <si>
    <t>deduct existing Plnater</t>
  </si>
  <si>
    <t>P.C.C. P/L between BH-02 &amp; GYM</t>
  </si>
  <si>
    <t>deduction for seat</t>
  </si>
  <si>
    <t>deduction for Green Planter</t>
  </si>
  <si>
    <t>P.C.C. P/L at Podium Lvl.</t>
  </si>
  <si>
    <t>P.C.C. P/L at Podium Lvl. Ref. tp (drg. No. TU/LA/-P-216) at grid- (H-J/1-2)</t>
  </si>
  <si>
    <t>WBM in Road Area</t>
  </si>
  <si>
    <t>Brick Work P/L for Planter near Reception or west side of Waterbody (drg. No. TU/LA-P-206.1) (30'-35'/32-36)</t>
  </si>
  <si>
    <t>Brick Work P/L for Planter South sid of BH-02 (drg. No. TU/LA-P-206.1 &amp; 206.2) ( (15'-19'/20-32)</t>
  </si>
  <si>
    <t>Brick Work P/L for Planter South sid of BH-02 &amp; BH-03 (drg. No. TU/LA-P-206.1) ( (19'-21'/35-40)</t>
  </si>
  <si>
    <t>Brick Work for Road Toe wall outer parapheri (Ref. Drg. No. TU/LA-P-203) (1/F-J), (J/1-9), (9/H-J)</t>
  </si>
  <si>
    <t>Brick Work for Road Toe Wall (1/F-J)</t>
  </si>
  <si>
    <t>Brick Work for Road Toe Wall (J/1-9)</t>
  </si>
  <si>
    <t>Brick Work for Road Toe Wall (9/H-J)</t>
  </si>
  <si>
    <t>Brick Work for Waterbody</t>
  </si>
  <si>
    <t>Brick Work outer side of Waterbody (dia.=20.12+0.2*2+0.23*2=20.98)</t>
  </si>
  <si>
    <t>Brick Work P/L for Podium</t>
  </si>
  <si>
    <t>Brick Work for Planter at Podium Area Ref. (Drg. No. TU/LA-P-216) grid (H-J/1-2)</t>
  </si>
  <si>
    <t>Brick Work for Seat</t>
  </si>
  <si>
    <t>R.C.C. P/L for Planter near Reception or west side of Waterbody (drg. No. TU/LA-P-206.1) (30'-35'/32-36)</t>
  </si>
  <si>
    <t>R.C.C. P/L for Planter Tie Beam (230x200)</t>
  </si>
  <si>
    <t>Longitudianal axies (34'/32-35)</t>
  </si>
  <si>
    <t>R.C.C. P/L  for Planter South sid of BH-02 (drg. No. TU/LA-P-206.1 &amp; 206.2) ( (15'-19'/20-32)</t>
  </si>
  <si>
    <t>R.C.C. P/L for Planter</t>
  </si>
  <si>
    <t>R.C.C. Beam for Sheat</t>
  </si>
  <si>
    <t>R.C.C. P/L  for Planter South side of BH-02 &amp; BH-03 (drg. No. TU/LA-P-206.1) ( (19'-21'/35-40)</t>
  </si>
  <si>
    <t>R.C.C. P/L  for Planter</t>
  </si>
  <si>
    <t>R.C.C. P/L for Road Toe wall outer parapheri (Ref. Drg. No. TU/LA-P-203) (1/F-J), (J/1-9), (9/H-J)</t>
  </si>
  <si>
    <t>R.C.C. P/L  for Road Toe Wall (1/F-J)</t>
  </si>
  <si>
    <t>R.C.C. P/L  for Road Toe Wall (J/1-9)</t>
  </si>
  <si>
    <t>R.C.C. P/L  for Road Toe Wall (9/H-J)</t>
  </si>
  <si>
    <t>R.C.C. P/L for Planter between BH-03 &amp; Basket Ball Ground</t>
  </si>
  <si>
    <t>R.C.C. P/L for Planter between BH-01 &amp; Canteen</t>
  </si>
  <si>
    <t>R.C.C. P/L for Planter between BH-02 &amp; GYM</t>
  </si>
  <si>
    <t>base raft dia. 21.72m</t>
  </si>
  <si>
    <t>deduction for hold area (dia. 18.32m)</t>
  </si>
  <si>
    <t>R.C.C. wall 200mm thk.</t>
  </si>
  <si>
    <t>R.C.C. wall top beam (390x150)</t>
  </si>
  <si>
    <t xml:space="preserve">R.C.C. P/L in Basket Ball Ground </t>
  </si>
  <si>
    <t>R.C.C. P/L for Waterbody as per drg. No.(Inner dia. 20.12m), dia. For P.C.C. =20.12+0.2*2+0.6*2=21.720m)</t>
  </si>
  <si>
    <t>Stone Agg. P/L for Waterbody as per drg. No.(inner dia. 20.12m), dia. For P.C.C. =20.12+0.2*2+0.6*2+0.2*2=22.120m)</t>
  </si>
  <si>
    <t>WBM P/L in Ramp Area (1/H-J)</t>
  </si>
  <si>
    <t>deduct Col.</t>
  </si>
  <si>
    <t xml:space="preserve">WBM P/L between BH-01 &amp; Canteen </t>
  </si>
  <si>
    <t xml:space="preserve">WBM P/L between BH-01 west side </t>
  </si>
  <si>
    <t>WBM P/L between BH-02 &amp; GYM</t>
  </si>
  <si>
    <t>Deduction for prev. raod qty. &amp; ramp qty. for Revision</t>
  </si>
  <si>
    <t>Earth Excavation  for Planter near Reception or west side of Waterbody (drg. No. TU/LA-P-206.1) (30'-35'/32-36)</t>
  </si>
  <si>
    <t>Earth Excavation  for Planter</t>
  </si>
  <si>
    <t>Earth Excavation for Planter South sid of BH-02 (drg. No. TU/LA-P-206.1 &amp; 206.2) ( (15'-19'/20-32)</t>
  </si>
  <si>
    <t>Earth Excavation for Planter</t>
  </si>
  <si>
    <t>Earth Excavation  for Sheat</t>
  </si>
  <si>
    <t>Earth Excavation for Planter South sid of BH-02 &amp; BH-03 (drg. No. TU/LA-P-206.1) ( (19'-21'/35-40)</t>
  </si>
  <si>
    <t>Earth Excavation or Planter</t>
  </si>
  <si>
    <t>Earth Excavation for Road Toe wall outer parapheri (Ref. Drg. No. TU/LA-P-203) (1/F-J), (J/1-9), (9/H-J)</t>
  </si>
  <si>
    <t>Earth Excavation for Road Toe Wall (1/F-J)</t>
  </si>
  <si>
    <t>Earth Excavation  for Road Toe Wall (J/1-9)</t>
  </si>
  <si>
    <t>Earth Excavation for Road Toe Wall (9/H-J)</t>
  </si>
  <si>
    <t>Earth Excavation for Planter between BH-01 &amp; Canteen</t>
  </si>
  <si>
    <t>Earth Excavation for Planter between BH-02 &amp; GYM</t>
  </si>
  <si>
    <t>Earth Excavation for Waterbody as per drg. No. 5128-6-103 (inner dia. 7.0m), dia. For P.C.C. =20.12+0.2*2+0.6*2+0.2*2=22.120m)</t>
  </si>
  <si>
    <t>Form Work C/S  for Planter near Reception or west side of Waterbody (drg. No. TU/LA-P-206.1) (30'-35'/32-36)</t>
  </si>
  <si>
    <t>Form Work C/S  for Planter Tie Beam (230x200)</t>
  </si>
  <si>
    <t>Form Work C/S for Planter South sid of BH-02 (drg. No. TU/LA-P-206.1 &amp; 206.2) ( (15'-19'/20-32)</t>
  </si>
  <si>
    <t>Form Work C/S for Planter</t>
  </si>
  <si>
    <t>Form Work C/S Beam for Sheat</t>
  </si>
  <si>
    <t>Form Work C/S for Planter South sid of BH-02 &amp; BH-03 (drg. No. TU/LA-P-206.1) ( (19'-21'/35-40)</t>
  </si>
  <si>
    <t>Form Work C/S for Road Toe wall outer parapheri (Ref. Drg. No. TU/LA-P-203) (1/F-J), (J/1-9), (9/H-J)</t>
  </si>
  <si>
    <t>Form Work C/S  for Road Toe Wall (1/F-J)</t>
  </si>
  <si>
    <t>Form Work C/S  for Road Toe Wall (J/1-9)</t>
  </si>
  <si>
    <t>Form Work C/S for Road Toe Wall (9/H-J)</t>
  </si>
  <si>
    <t>Form Work C/S for Wall of R.C.C. PLanter (4500x1000)</t>
  </si>
  <si>
    <t>outer face wall</t>
  </si>
  <si>
    <t xml:space="preserve">outer face </t>
  </si>
  <si>
    <t>inner face wall</t>
  </si>
  <si>
    <t>outer face  wall</t>
  </si>
  <si>
    <t>Form Work C/S for Planter between BH-01 &amp; Canteen</t>
  </si>
  <si>
    <t>Form Work C/S for Waterbody as per drg. No.(inner dia. 20.12m), dia. For R.C.C. =20.12+0.2*2+0.6*2=21.720m)</t>
  </si>
  <si>
    <t>add for hold area (dia. 18.32m)</t>
  </si>
  <si>
    <t>Form  Work for wall 200mm thk. (outer face)</t>
  </si>
  <si>
    <t>inner face of wall</t>
  </si>
  <si>
    <t>Form Work C/S for wall top beam (390x150) (outer)</t>
  </si>
  <si>
    <t>inner shutt. Beam</t>
  </si>
  <si>
    <t xml:space="preserve">Extra over item no. 3.0 for Round, Circular Brick Work with bricks of class designation 75 in foundation, plinth &amp; superstructure in: cement mortar 1:6 (1cement : 6 coarse sand). </t>
  </si>
  <si>
    <t>E.I.07</t>
  </si>
  <si>
    <t>Extra over item no. E.I. 02 for Round, Circular shuttering</t>
  </si>
  <si>
    <t>Preparation and consolidation of sub grade with power road roller of 8 to 12 tonne capacity, dressing to camber and consolidating with road roller including making good the undulations etc.</t>
  </si>
  <si>
    <t>P.C.C. P/L (1:4:8)</t>
  </si>
  <si>
    <t>P.C.C. P/L for Raised Area</t>
  </si>
  <si>
    <t>Brick work for steps</t>
  </si>
  <si>
    <t>P.C.C. for Raised Area Top Lvl. +0.36m</t>
  </si>
  <si>
    <t xml:space="preserve">P.C.C.  P/L for Rectangle Seat </t>
  </si>
  <si>
    <t>P.C.C. P/L for Circular Seat (dia. 1.0m), dia.1.16m p.c.c.</t>
  </si>
  <si>
    <t>at Grid (22-23/C-D), Dia. 3.0m</t>
  </si>
  <si>
    <t>at Grid (20/F), Dia. 3.0m</t>
  </si>
  <si>
    <t>at Grid (18/F), Dia. 3.7m</t>
  </si>
  <si>
    <t>at Grid (16-17/F), Dia. 3.0m</t>
  </si>
  <si>
    <t>at Grid (18/C), Dia. 3.0m (half)</t>
  </si>
  <si>
    <t>at Grid (15/C-D), Dia. 2.7m</t>
  </si>
  <si>
    <t>at Grid (15/D-E), Dia. 3.0m</t>
  </si>
  <si>
    <t>at Grid (14-15/F-G), Dia. 3.0m</t>
  </si>
  <si>
    <t>at Grid (13/F-G), Dia. 3.0m</t>
  </si>
  <si>
    <t>at Grid (12-13/C-D), Dia. 3.0m</t>
  </si>
  <si>
    <t>at Grid (10-11/D-E), Dia. 3.0m</t>
  </si>
  <si>
    <t>at Grid (10-11/F), Dia. 3.0m</t>
  </si>
  <si>
    <t>at Grid (9/C-D), Dia. 3.0m</t>
  </si>
  <si>
    <t>at Grid (9/E), Dia. 3.0m</t>
  </si>
  <si>
    <t>at Grid (8/C-D), Dia. 3.0m</t>
  </si>
  <si>
    <t>at Grid (5-6/D), Dia. 3.0m</t>
  </si>
  <si>
    <t>at Grid (4-5/E), Dia. 3.0m</t>
  </si>
  <si>
    <t>at Grid (3-4/F), Dia. 3.0m</t>
  </si>
  <si>
    <t>P.C.C. P/L for Half Curved Seat (drg. No. 5128-16-101)</t>
  </si>
  <si>
    <t>Curved Seat seat at grid (20/F)</t>
  </si>
  <si>
    <t>Curved Seat seat at grid (12/F)</t>
  </si>
  <si>
    <t>Curved Seat seat at grid (11/F-G)</t>
  </si>
  <si>
    <t>P.C.C. P/L for Waterbody as per drg. No. 5128-6-103 (inner dia. 7.0m), dia. For P.C.C. =7+0.2*2+0.6*2+0.2*2=9.0m)</t>
  </si>
  <si>
    <r>
      <t xml:space="preserve">P.C.C.  P/L for Green Portion (Circular) </t>
    </r>
    <r>
      <rPr>
        <b/>
        <sz val="13"/>
        <color theme="1"/>
        <rFont val="Book Antiqua"/>
        <family val="1"/>
      </rPr>
      <t>(drg. No. 5128-16-101)</t>
    </r>
  </si>
  <si>
    <t>Providing and laying in position cement concrete of specified grade, 1:4:8 (1 Cement: 4 coarse sand: 8 graded stone aggregate 40mm nominal size)</t>
  </si>
  <si>
    <t>Brick work with common burnt clay F.P.S. (non modular) bricks of class designation 7.5 in foundation, plinth, superstructure above plinth level up to floor V level in all shapes &amp; sizes with cement mortar 1:4 (1 cement : 4 course sand)</t>
  </si>
  <si>
    <t>Brick Work outer side of Waterbody</t>
  </si>
  <si>
    <t>Brick Work P/L for Raised Area</t>
  </si>
  <si>
    <t xml:space="preserve">Brick Work P/L for Rectangle Seat </t>
  </si>
  <si>
    <t>Brick Work P/L for Circular Seat (dia. 1.0m)</t>
  </si>
  <si>
    <t>Brick Work P/L for Half Curved Seat (drg. No. 5128-16-101)</t>
  </si>
  <si>
    <r>
      <t xml:space="preserve">Brick Work P/L for Green Portion (Circular) </t>
    </r>
    <r>
      <rPr>
        <b/>
        <sz val="13"/>
        <color theme="1"/>
        <rFont val="Book Antiqua"/>
        <family val="1"/>
      </rPr>
      <t>(drg. No. 5128-16-101)</t>
    </r>
  </si>
  <si>
    <t>R.C.C. P/L for Waterbody</t>
  </si>
  <si>
    <t>R.C.C. P/L for Base footing of  Waterbody as per drg. No. 5128-6-103 (inner dia. 7.0m), dia. For R.C.C. =7+0.2*2+0.6*2=8.60m)</t>
  </si>
  <si>
    <t>base raft dia. 8.6m</t>
  </si>
  <si>
    <t>deduction for hold area (dia. 5.2m)</t>
  </si>
  <si>
    <t>R.C.C. P/L for Half Curved Seat (drg. No. 5128-16-101)</t>
  </si>
  <si>
    <r>
      <t xml:space="preserve">R.C.C. P/L for Green Portion (Circular) </t>
    </r>
    <r>
      <rPr>
        <b/>
        <sz val="13"/>
        <color theme="1"/>
        <rFont val="Book Antiqua"/>
        <family val="1"/>
      </rPr>
      <t>(drg. No. 5128-16-101)</t>
    </r>
  </si>
  <si>
    <t>As per attached BBS</t>
  </si>
  <si>
    <t>Stone Agg. P/L for Raised Area</t>
  </si>
  <si>
    <t>deduct Brick work area</t>
  </si>
  <si>
    <t>Stone Soling P/L for Waterbody as per drg. No. 5128-6-103 (inner dia. 7.0m), dia. For Stone Soling. =7+0.2*2+0.6*2+0.2*2=9.0m)</t>
  </si>
  <si>
    <t>Stone Soling for footing</t>
  </si>
  <si>
    <t>Item reference BOYS HOSTEL-LANDSCAPE DEVELOPMENT CIVIL WORKS</t>
  </si>
  <si>
    <t>Earth Excavation for Raised Area</t>
  </si>
  <si>
    <t xml:space="preserve">Earth Excavation  for Rectangle Seat </t>
  </si>
  <si>
    <t>Earth Excavation  for Circular Seat (dia. 1.0m), dia.1.16m p.c.c.</t>
  </si>
  <si>
    <t>Earth Excavation for Half Curved Seat (drg. No. 5128-16-101)</t>
  </si>
  <si>
    <t>Earth Excavation  for Waterbody as per drg. No. 5128-6-103 (inner dia. 7.0m), dia. For P.C.C. =7+0.2*2+0.6*2+0.2*2=9.0m)</t>
  </si>
  <si>
    <t>Form Work C/S for Waterbody</t>
  </si>
  <si>
    <t>Form Work for Base footing of  Waterbody as per drg. No. 5128-6-103 (inner dia. 7.0m), dia. For R.C.C. =7+0.2*2+0.6*2=8.60m)</t>
  </si>
  <si>
    <t>length</t>
  </si>
  <si>
    <t>add inner face shuttering for hold area (dia. 5.2m)</t>
  </si>
  <si>
    <t>form work C/S for wall 200mm thk. (outer)</t>
  </si>
  <si>
    <t>inner shutt. Wall</t>
  </si>
  <si>
    <t>R.C.C. wall top beam (390x150) (outer)</t>
  </si>
  <si>
    <t>at Grid (22-23/C-D), Dia. 3.0m outer face</t>
  </si>
  <si>
    <t>inner face (dia.=2.54)</t>
  </si>
  <si>
    <t>inner face (dia.=3.24)</t>
  </si>
  <si>
    <t>inner face (dia.=2.24)</t>
  </si>
  <si>
    <t>Form Work C/S for Half Curved Seat (drg. No. 5128-16-101)</t>
  </si>
  <si>
    <t>bottom projection</t>
  </si>
  <si>
    <r>
      <t xml:space="preserve">Form Work C/S for Green Portion (Circular) Tie Beam (230x200) </t>
    </r>
    <r>
      <rPr>
        <b/>
        <sz val="13"/>
        <color theme="1"/>
        <rFont val="Book Antiqua"/>
        <family val="1"/>
      </rPr>
      <t>(drg. No. 5128-16-101)</t>
    </r>
  </si>
  <si>
    <t>Extra for shuttering in circular work (20% of respective centering and shuttering items) Ref. from D.A.R. Item no. 5.9.14</t>
  </si>
  <si>
    <t xml:space="preserve"> "GIRLS HOSTEL"</t>
  </si>
  <si>
    <t>Name of Structure- "BOYS HOSTEL - HARDSCAPING"</t>
  </si>
  <si>
    <t>Name of Structure- "GIRLS HOSTEL-HARDSCAPING"</t>
  </si>
  <si>
    <t>DEDUCT SHEAR WALL</t>
  </si>
  <si>
    <t>QUANTITY</t>
  </si>
  <si>
    <t>4th RA</t>
  </si>
  <si>
    <t>RA-3</t>
  </si>
  <si>
    <r>
      <t xml:space="preserve">Earth Excavation  for Green Portion (Circular) brick work </t>
    </r>
    <r>
      <rPr>
        <b/>
        <sz val="13"/>
        <color theme="1"/>
        <rFont val="Book Antiqua"/>
        <family val="1"/>
      </rPr>
      <t>(drg. No. 5128-16-101)</t>
    </r>
  </si>
  <si>
    <t>P.C.C. P/L for Boy's Hostel</t>
  </si>
  <si>
    <t>P.C.C. P/L for Planter near Waterbody &amp; Reception (22'-26'/32-36) Ref. Drg. No. TU/LA-P-206.1</t>
  </si>
  <si>
    <t>P.C.C. for Planter</t>
  </si>
  <si>
    <t>Longitudianal axies (32/22'-26')</t>
  </si>
  <si>
    <t>(33/22'-26')</t>
  </si>
  <si>
    <t>(34/22'-26')</t>
  </si>
  <si>
    <t>(35/22'-26')</t>
  </si>
  <si>
    <t>(36/22'-26')</t>
  </si>
  <si>
    <t>Transverse Axies</t>
  </si>
  <si>
    <t>P.C.C. for Ramp B/W for Entrance in BH-01 Ref. to drg. No. TU-LA-D-205</t>
  </si>
  <si>
    <t>ht.=0.7=0.7m, =0.5+0.7=1.2m</t>
  </si>
  <si>
    <t xml:space="preserve">P.C.C. doe Brick Steps </t>
  </si>
  <si>
    <t>P.C.C. for brick wall side of step continue</t>
  </si>
  <si>
    <t>P.C.C. P/L on top of Ramp for R.C.C. Laying</t>
  </si>
  <si>
    <t>P.C.C. P/L for Entry Area Steps of BH-01</t>
  </si>
  <si>
    <t>Steps for Entry</t>
  </si>
  <si>
    <t>P.C.C. P/L for side ramp of entrance</t>
  </si>
  <si>
    <t>P.C.C. P/L for Ramp for Entrance in BH-02 Ref. to drg. No. TU-LA-D-205</t>
  </si>
  <si>
    <t xml:space="preserve">P.C.C. for Brick Steps </t>
  </si>
  <si>
    <t>P.C.C. P/L for Entry Area Steps of BH-02</t>
  </si>
  <si>
    <t>Brick Work for Ramp for Entrance in BH-03 Ref. to drg. No. TU-LA-D-205</t>
  </si>
  <si>
    <t>P.C.C. P/L for Entry Area Steps of BH-03</t>
  </si>
  <si>
    <t>P.C.C. P/L for Ramp for Entrance in BH-04 Ref. to drg. No. TU-LA-D-205</t>
  </si>
  <si>
    <t>P.C.C. for Entry Area Steps of BH-04</t>
  </si>
  <si>
    <t>P.C.C. P/L for Brick Work for Road Toe Wall (9/H-J)</t>
  </si>
  <si>
    <t>P.C.C P/L for Brick Work for Road Toe Wall (9/F-H) basket ball ground &amp; BH-03</t>
  </si>
  <si>
    <t xml:space="preserve">P.C.C. P/L for Brick work for Seprate Seat </t>
  </si>
  <si>
    <t>P.C.C. P/L for P.C.C. P/L for Brick work seat under transfer slab of BH-04 towards Waterbody</t>
  </si>
  <si>
    <t>TOS lvl. +0.5m</t>
  </si>
  <si>
    <t>P.C.C. P/L for Brick work seat between Waterbody &amp; Reception</t>
  </si>
  <si>
    <t>P.C.C. P/L for Brick work seat under transfer slab of BH-01 towards Canteen</t>
  </si>
  <si>
    <t>P.C.C. P/L for Fire Tender Wall (parallel to road)</t>
  </si>
  <si>
    <t>Fire Tender Wall towards BH-07</t>
  </si>
  <si>
    <t>Brick work for green Planter wall BH-07 (west side)</t>
  </si>
  <si>
    <t>Fire Tender Wall towards BH-01</t>
  </si>
  <si>
    <t>Fire Tender Wall Brick Work between BH-04 &amp; BH-07 near green Planter (triangle type)</t>
  </si>
  <si>
    <t>brick work for fire tender in green planter between BH-04 &amp; BH-07</t>
  </si>
  <si>
    <t>Fire Tender Wall Brick Work connect to BH-04 to green Planter between BH-01 &amp; waterbody</t>
  </si>
  <si>
    <t>Brick Work for Fire Tender in Green planter between BH-01 &amp; Waterbody</t>
  </si>
  <si>
    <t>Fire Tender Wall Brick Work BH-01 west corner to Canteen parallel to road betwee canteen &amp; BH-02</t>
  </si>
  <si>
    <t>parallel to canteen</t>
  </si>
  <si>
    <t>parallel to BH-02 towards canteen (east face)</t>
  </si>
  <si>
    <t>Fire Tender Wall Brick Work for Road between BH-02 &amp; Waterbody</t>
  </si>
  <si>
    <t>wall towards BH-02 (BH-02 to Gym toilet)</t>
  </si>
  <si>
    <t>fire tender wall towards waterbody planter to arround waterbody to Reception</t>
  </si>
  <si>
    <t>in planter</t>
  </si>
  <si>
    <t>fire tender wall west side of reception</t>
  </si>
  <si>
    <t>Fire Tender Wall Brick Work for Road South side of BH-04 (back side)</t>
  </si>
  <si>
    <t>Fire Tender Wall Brick Work for Road BH-04 (near watebody to basket ball ground planter) to BH-03</t>
  </si>
  <si>
    <t>basket ball ground planter to BH-03 corner(front of Gym)</t>
  </si>
  <si>
    <t>Deduct Previous Bill Qty. for Revise</t>
  </si>
  <si>
    <t xml:space="preserve">P.C.C. P/L on Floor area &amp; Road for Stone </t>
  </si>
  <si>
    <t>P.C.C. P/L for Floor (area side of Road line) Laying of Kandla Stone</t>
  </si>
  <si>
    <t>Area</t>
  </si>
  <si>
    <t>deduct Green Planter Area</t>
  </si>
  <si>
    <t>deduct Waterbody Area</t>
  </si>
  <si>
    <t>deduct seat</t>
  </si>
  <si>
    <t>deduct Green Planter area</t>
  </si>
  <si>
    <t>deduct  for Entrance Ramp</t>
  </si>
  <si>
    <t>deduct R.C.C. Wall/Col.</t>
  </si>
  <si>
    <t>deduct Green Planter south side of Reception</t>
  </si>
  <si>
    <t>deduct green planter of BH-01 north face</t>
  </si>
  <si>
    <t>deduct R.C.C. Planter area under transfer dalb BH-01</t>
  </si>
  <si>
    <t>deduct R.C.C. shear wall</t>
  </si>
  <si>
    <t>deduct Green planter of BH-01 east face</t>
  </si>
  <si>
    <t>deduct Green Planter</t>
  </si>
  <si>
    <t>deduct R.C.C. wall Col.</t>
  </si>
  <si>
    <t>deduct R.C.C. Planter area under transfer slab BH-02</t>
  </si>
  <si>
    <t>deduct green planter area</t>
  </si>
  <si>
    <t>add area near road junction</t>
  </si>
  <si>
    <t>Area-24, towards canteen east of road (Road between BH-02 &amp; Canteen)</t>
  </si>
  <si>
    <t>P.C.C. P/L for Road Work</t>
  </si>
  <si>
    <r>
      <rPr>
        <b/>
        <sz val="12"/>
        <rFont val="Book Antiqua"/>
        <family val="1"/>
      </rPr>
      <t>Area-1,</t>
    </r>
    <r>
      <rPr>
        <sz val="12"/>
        <rFont val="Book Antiqua"/>
        <family val="1"/>
      </rPr>
      <t xml:space="preserve"> Road between Waterbody &amp; BH-02 (remaining portion)</t>
    </r>
  </si>
  <si>
    <r>
      <rPr>
        <b/>
        <sz val="12"/>
        <rFont val="Book Antiqua"/>
        <family val="1"/>
      </rPr>
      <t>Area-2,</t>
    </r>
    <r>
      <rPr>
        <sz val="12"/>
        <rFont val="Book Antiqua"/>
        <family val="1"/>
      </rPr>
      <t xml:space="preserve"> Road between Canteen &amp; BH-02 </t>
    </r>
  </si>
  <si>
    <r>
      <rPr>
        <b/>
        <sz val="12"/>
        <rFont val="Book Antiqua"/>
        <family val="1"/>
      </rPr>
      <t>Area-3,</t>
    </r>
    <r>
      <rPr>
        <sz val="12"/>
        <rFont val="Book Antiqua"/>
        <family val="1"/>
      </rPr>
      <t xml:space="preserve"> Road south side of BH-04</t>
    </r>
  </si>
  <si>
    <r>
      <rPr>
        <b/>
        <sz val="12"/>
        <rFont val="Book Antiqua"/>
        <family val="1"/>
      </rPr>
      <t>Area-4,</t>
    </r>
    <r>
      <rPr>
        <sz val="12"/>
        <rFont val="Book Antiqua"/>
        <family val="1"/>
      </rPr>
      <t xml:space="preserve"> Road between BH-03 &amp; Gym</t>
    </r>
  </si>
  <si>
    <t>P.C.C. P/L for Road Toe Wall (1/E-J)</t>
  </si>
  <si>
    <t>Previous bill qty. release 2nos panal</t>
  </si>
  <si>
    <t>P.C.C. Qty. Revise due to correction</t>
  </si>
  <si>
    <t>Previous Bill Qty. deduct for revision</t>
  </si>
  <si>
    <t>P.C.C. P/L for Sump in Waterbody</t>
  </si>
  <si>
    <t>P.C.C. P/L in Waterbody for Sump (900x900x850)</t>
  </si>
  <si>
    <t>P.C.C. filling in side loose portion of sump (vertical)</t>
  </si>
  <si>
    <t>Demolishing of P.C.C. or Stone Soling in Waterbody for Filter Pit (2000x2000x1800)</t>
  </si>
  <si>
    <t>P.C.C. P/L for Filter Pit (2000x2000x1800) for Waterbody</t>
  </si>
  <si>
    <t>Revise Qty. due to correction in 3rd R.A.Bill</t>
  </si>
  <si>
    <t>add for previous bill correct quantity</t>
  </si>
  <si>
    <r>
      <t xml:space="preserve">P.C.C. P/L at Podium Lvl. Ref. tp (drg. No. TU/LA/-P-216) at grid- (H-J/2) </t>
    </r>
    <r>
      <rPr>
        <b/>
        <sz val="13"/>
        <rFont val="Book Antiqua"/>
        <family val="1"/>
      </rPr>
      <t>Area-1</t>
    </r>
  </si>
  <si>
    <r>
      <rPr>
        <b/>
        <sz val="13"/>
        <rFont val="Book Antiqua"/>
        <family val="1"/>
      </rPr>
      <t>Area-1</t>
    </r>
    <r>
      <rPr>
        <sz val="13"/>
        <rFont val="Book Antiqua"/>
        <family val="1"/>
      </rPr>
      <t>, area between BH-01 &amp; BH-07 south side of Road</t>
    </r>
  </si>
  <si>
    <r>
      <rPr>
        <b/>
        <sz val="13"/>
        <rFont val="Book Antiqua"/>
        <family val="1"/>
      </rPr>
      <t>Area-2</t>
    </r>
    <r>
      <rPr>
        <sz val="13"/>
        <rFont val="Book Antiqua"/>
        <family val="1"/>
      </rPr>
      <t>, BH-01  south side main entrance</t>
    </r>
  </si>
  <si>
    <r>
      <rPr>
        <b/>
        <sz val="13"/>
        <rFont val="Book Antiqua"/>
        <family val="1"/>
      </rPr>
      <t>Area-3</t>
    </r>
    <r>
      <rPr>
        <sz val="13"/>
        <rFont val="Book Antiqua"/>
        <family val="1"/>
      </rPr>
      <t>, BH-01  south side main entrance</t>
    </r>
  </si>
  <si>
    <r>
      <rPr>
        <b/>
        <sz val="13"/>
        <rFont val="Book Antiqua"/>
        <family val="1"/>
      </rPr>
      <t>Area-4</t>
    </r>
    <r>
      <rPr>
        <sz val="13"/>
        <rFont val="Book Antiqua"/>
        <family val="1"/>
      </rPr>
      <t>, BH-01  south side main entrance</t>
    </r>
  </si>
  <si>
    <r>
      <rPr>
        <b/>
        <sz val="13"/>
        <rFont val="Book Antiqua"/>
        <family val="1"/>
      </rPr>
      <t xml:space="preserve">Area-5, </t>
    </r>
    <r>
      <rPr>
        <sz val="13"/>
        <rFont val="Book Antiqua"/>
        <family val="1"/>
      </rPr>
      <t>BH-04 south side main entrance</t>
    </r>
  </si>
  <si>
    <r>
      <rPr>
        <b/>
        <sz val="13"/>
        <rFont val="Book Antiqua"/>
        <family val="1"/>
      </rPr>
      <t>Area-6,</t>
    </r>
    <r>
      <rPr>
        <sz val="13"/>
        <rFont val="Book Antiqua"/>
        <family val="1"/>
      </rPr>
      <t xml:space="preserve"> Area between BH-04 &amp; BH-02 , waterbody surrounding area</t>
    </r>
  </si>
  <si>
    <r>
      <rPr>
        <b/>
        <sz val="13"/>
        <rFont val="Book Antiqua"/>
        <family val="1"/>
      </rPr>
      <t>Area-7</t>
    </r>
    <r>
      <rPr>
        <sz val="13"/>
        <rFont val="Book Antiqua"/>
        <family val="1"/>
      </rPr>
      <t>, Area under BH-04 transfer Slab towards waterbody</t>
    </r>
  </si>
  <si>
    <r>
      <rPr>
        <b/>
        <sz val="13"/>
        <rFont val="Book Antiqua"/>
        <family val="1"/>
      </rPr>
      <t>Area-8</t>
    </r>
    <r>
      <rPr>
        <sz val="13"/>
        <rFont val="Book Antiqua"/>
        <family val="1"/>
      </rPr>
      <t>, west side of reception (front of Basket ball ground &amp; BH-03)</t>
    </r>
  </si>
  <si>
    <r>
      <rPr>
        <b/>
        <sz val="13"/>
        <rFont val="Book Antiqua"/>
        <family val="1"/>
      </rPr>
      <t>Area-9,</t>
    </r>
    <r>
      <rPr>
        <sz val="13"/>
        <rFont val="Book Antiqua"/>
        <family val="1"/>
      </rPr>
      <t xml:space="preserve"> north side of reception </t>
    </r>
  </si>
  <si>
    <r>
      <rPr>
        <b/>
        <sz val="13"/>
        <rFont val="Book Antiqua"/>
        <family val="1"/>
      </rPr>
      <t>Area-10,</t>
    </r>
    <r>
      <rPr>
        <sz val="13"/>
        <rFont val="Book Antiqua"/>
        <family val="1"/>
      </rPr>
      <t xml:space="preserve"> area between BH-01 &amp; Canteen, or under transfer slab</t>
    </r>
  </si>
  <si>
    <r>
      <rPr>
        <b/>
        <sz val="13"/>
        <rFont val="Book Antiqua"/>
        <family val="1"/>
      </rPr>
      <t>Area-11</t>
    </r>
    <r>
      <rPr>
        <sz val="13"/>
        <rFont val="Book Antiqua"/>
        <family val="1"/>
      </rPr>
      <t>, at junction of Road near canteen &amp; BH-01 towards waterbody</t>
    </r>
  </si>
  <si>
    <r>
      <rPr>
        <b/>
        <sz val="13"/>
        <rFont val="Book Antiqua"/>
        <family val="1"/>
      </rPr>
      <t>Area-12</t>
    </r>
    <r>
      <rPr>
        <sz val="13"/>
        <rFont val="Book Antiqua"/>
        <family val="1"/>
      </rPr>
      <t>, area east side of BH-01</t>
    </r>
  </si>
  <si>
    <r>
      <rPr>
        <b/>
        <sz val="13"/>
        <rFont val="Book Antiqua"/>
        <family val="1"/>
      </rPr>
      <t>Area-13</t>
    </r>
    <r>
      <rPr>
        <sz val="13"/>
        <rFont val="Book Antiqua"/>
        <family val="1"/>
      </rPr>
      <t>, area south side of BH-02 (long Planter)</t>
    </r>
  </si>
  <si>
    <r>
      <rPr>
        <b/>
        <sz val="13"/>
        <rFont val="Book Antiqua"/>
        <family val="1"/>
      </rPr>
      <t>Area-14</t>
    </r>
    <r>
      <rPr>
        <sz val="13"/>
        <rFont val="Book Antiqua"/>
        <family val="1"/>
      </rPr>
      <t>, area south side of Toilet near Gym</t>
    </r>
  </si>
  <si>
    <r>
      <rPr>
        <b/>
        <sz val="13"/>
        <rFont val="Book Antiqua"/>
        <family val="1"/>
      </rPr>
      <t>Area-15,</t>
    </r>
    <r>
      <rPr>
        <sz val="13"/>
        <rFont val="Book Antiqua"/>
        <family val="1"/>
      </rPr>
      <t xml:space="preserve"> area between BH-02 long Planter &amp; Toilet of Gym</t>
    </r>
  </si>
  <si>
    <r>
      <rPr>
        <b/>
        <sz val="13"/>
        <rFont val="Book Antiqua"/>
        <family val="1"/>
      </rPr>
      <t>Area-16,</t>
    </r>
    <r>
      <rPr>
        <sz val="13"/>
        <rFont val="Book Antiqua"/>
        <family val="1"/>
      </rPr>
      <t xml:space="preserve"> area between BH-02  &amp; GYM Transfer Slab</t>
    </r>
  </si>
  <si>
    <r>
      <rPr>
        <b/>
        <sz val="13"/>
        <rFont val="Book Antiqua"/>
        <family val="1"/>
      </rPr>
      <t>Area-17,</t>
    </r>
    <r>
      <rPr>
        <sz val="13"/>
        <rFont val="Book Antiqua"/>
        <family val="1"/>
      </rPr>
      <t xml:space="preserve"> Area north side of BH-02</t>
    </r>
  </si>
  <si>
    <r>
      <rPr>
        <b/>
        <sz val="13"/>
        <rFont val="Book Antiqua"/>
        <family val="1"/>
      </rPr>
      <t>Area-18,</t>
    </r>
    <r>
      <rPr>
        <sz val="13"/>
        <rFont val="Book Antiqua"/>
        <family val="1"/>
      </rPr>
      <t xml:space="preserve"> Area north side of Canteen (J/1'-4')</t>
    </r>
  </si>
  <si>
    <r>
      <rPr>
        <b/>
        <sz val="13"/>
        <rFont val="Book Antiqua"/>
        <family val="1"/>
      </rPr>
      <t>Area-19,</t>
    </r>
    <r>
      <rPr>
        <sz val="13"/>
        <rFont val="Book Antiqua"/>
        <family val="1"/>
      </rPr>
      <t xml:space="preserve"> Area north side gallary of BH-02 corner to Gym corner (J/5-9')</t>
    </r>
  </si>
  <si>
    <r>
      <rPr>
        <b/>
        <sz val="13"/>
        <rFont val="Book Antiqua"/>
        <family val="1"/>
      </rPr>
      <t>Area-20</t>
    </r>
    <r>
      <rPr>
        <sz val="13"/>
        <rFont val="Book Antiqua"/>
        <family val="1"/>
      </rPr>
      <t>, Area west side of canteen or north side of B H-03</t>
    </r>
  </si>
  <si>
    <r>
      <rPr>
        <b/>
        <sz val="13"/>
        <rFont val="Book Antiqua"/>
        <family val="1"/>
      </rPr>
      <t>Area-21,</t>
    </r>
    <r>
      <rPr>
        <sz val="13"/>
        <rFont val="Book Antiqua"/>
        <family val="1"/>
      </rPr>
      <t xml:space="preserve"> Area south side of Gym (8/H)</t>
    </r>
  </si>
  <si>
    <r>
      <rPr>
        <b/>
        <sz val="13"/>
        <rFont val="Book Antiqua"/>
        <family val="1"/>
      </rPr>
      <t>Area-22,</t>
    </r>
    <r>
      <rPr>
        <sz val="13"/>
        <rFont val="Book Antiqua"/>
        <family val="1"/>
      </rPr>
      <t xml:space="preserve"> Area between Basket Ball Ground &amp; BH-03, under Transfer slab</t>
    </r>
  </si>
  <si>
    <r>
      <rPr>
        <b/>
        <sz val="13"/>
        <rFont val="Book Antiqua"/>
        <family val="1"/>
      </rPr>
      <t>Area-23</t>
    </r>
    <r>
      <rPr>
        <sz val="13"/>
        <rFont val="Book Antiqua"/>
        <family val="1"/>
      </rPr>
      <t>, Area east side of BH-03 parallel to road</t>
    </r>
  </si>
  <si>
    <r>
      <rPr>
        <b/>
        <sz val="13"/>
        <rFont val="Book Antiqua"/>
        <family val="1"/>
      </rPr>
      <t>Area-24</t>
    </r>
    <r>
      <rPr>
        <sz val="13"/>
        <rFont val="Book Antiqua"/>
        <family val="1"/>
      </rPr>
      <t>, Area east side of BH-02 parallel to road (Road between BH-02 &amp; Canteen)</t>
    </r>
  </si>
  <si>
    <r>
      <rPr>
        <b/>
        <sz val="13"/>
        <rFont val="Book Antiqua"/>
        <family val="1"/>
      </rPr>
      <t>Area-25</t>
    </r>
    <r>
      <rPr>
        <sz val="13"/>
        <rFont val="Book Antiqua"/>
        <family val="1"/>
      </rPr>
      <t>, area between road of Basket ball ground &amp; BH-05</t>
    </r>
  </si>
  <si>
    <r>
      <rPr>
        <b/>
        <sz val="13"/>
        <rFont val="Book Antiqua"/>
        <family val="1"/>
      </rPr>
      <t>Area-1,</t>
    </r>
    <r>
      <rPr>
        <sz val="13"/>
        <rFont val="Book Antiqua"/>
        <family val="1"/>
      </rPr>
      <t xml:space="preserve"> Road between Waterbody &amp; BH-02 (remaining portion)</t>
    </r>
  </si>
  <si>
    <r>
      <rPr>
        <b/>
        <sz val="13"/>
        <rFont val="Book Antiqua"/>
        <family val="1"/>
      </rPr>
      <t>Area-2,</t>
    </r>
    <r>
      <rPr>
        <sz val="13"/>
        <rFont val="Book Antiqua"/>
        <family val="1"/>
      </rPr>
      <t xml:space="preserve"> Road between Canteen &amp; BH-02 </t>
    </r>
  </si>
  <si>
    <r>
      <rPr>
        <b/>
        <sz val="13"/>
        <rFont val="Book Antiqua"/>
        <family val="1"/>
      </rPr>
      <t>Area-3,</t>
    </r>
    <r>
      <rPr>
        <sz val="13"/>
        <rFont val="Book Antiqua"/>
        <family val="1"/>
      </rPr>
      <t xml:space="preserve"> Road south side of BH-04</t>
    </r>
  </si>
  <si>
    <r>
      <rPr>
        <b/>
        <sz val="13"/>
        <rFont val="Book Antiqua"/>
        <family val="1"/>
      </rPr>
      <t>Area-4,</t>
    </r>
    <r>
      <rPr>
        <sz val="13"/>
        <rFont val="Book Antiqua"/>
        <family val="1"/>
      </rPr>
      <t xml:space="preserve"> Road between BH-03 &amp; Gym</t>
    </r>
  </si>
  <si>
    <r>
      <rPr>
        <b/>
        <sz val="13"/>
        <rFont val="Book Antiqua"/>
        <family val="1"/>
      </rPr>
      <t>Area-2,</t>
    </r>
    <r>
      <rPr>
        <sz val="13"/>
        <rFont val="Book Antiqua"/>
        <family val="1"/>
      </rPr>
      <t xml:space="preserve"> north side podium passage (canteen to Gym)</t>
    </r>
  </si>
  <si>
    <r>
      <rPr>
        <b/>
        <sz val="13"/>
        <rFont val="Book Antiqua"/>
        <family val="1"/>
      </rPr>
      <t>Area-3,</t>
    </r>
    <r>
      <rPr>
        <sz val="13"/>
        <rFont val="Book Antiqua"/>
        <family val="1"/>
      </rPr>
      <t xml:space="preserve"> north side podium passage (canteen to Gym)</t>
    </r>
  </si>
  <si>
    <r>
      <rPr>
        <b/>
        <sz val="13"/>
        <rFont val="Book Antiqua"/>
        <family val="1"/>
      </rPr>
      <t>Area-4</t>
    </r>
    <r>
      <rPr>
        <sz val="13"/>
        <rFont val="Book Antiqua"/>
        <family val="1"/>
      </rPr>
      <t>, P.C.C. P/L for Podium passage (Canteen passage to BH-01)</t>
    </r>
  </si>
  <si>
    <r>
      <rPr>
        <b/>
        <sz val="13"/>
        <rFont val="Book Antiqua"/>
        <family val="1"/>
      </rPr>
      <t>Area-5</t>
    </r>
    <r>
      <rPr>
        <sz val="13"/>
        <rFont val="Book Antiqua"/>
        <family val="1"/>
      </rPr>
      <t>, P.C.C. P/L for Podium Passage BH-07 &amp; BH-01</t>
    </r>
  </si>
  <si>
    <r>
      <t xml:space="preserve">THIS BILL TOTAL </t>
    </r>
    <r>
      <rPr>
        <b/>
        <sz val="13"/>
        <rFont val="Calibri"/>
        <family val="2"/>
      </rPr>
      <t>→</t>
    </r>
  </si>
  <si>
    <t>WBM P/L for Road Work</t>
  </si>
  <si>
    <t xml:space="preserve">add area for correction </t>
  </si>
  <si>
    <t>deduct area not done (revise measurement)</t>
  </si>
  <si>
    <t>release 40% (ref. to previous bill hold qty.)</t>
  </si>
  <si>
    <t>Brick Work P/L for Boy's Hostel</t>
  </si>
  <si>
    <t>Brick Work for Planter near Waterbody &amp; Reception (22'-26'/32-36) Ref. Drg. No. TU/LA-P-206.1</t>
  </si>
  <si>
    <t>Brick Work for Ramp for Entrance in BH-01 Ref. to drg. No. TU-LA-D-205</t>
  </si>
  <si>
    <t xml:space="preserve">Brick Work for Steps </t>
  </si>
  <si>
    <t>brick wall side of step continue</t>
  </si>
  <si>
    <t>Brick Work for Entry Area Steps of BH-01</t>
  </si>
  <si>
    <t>Brick Work for Ramp for Entrance in BH-02 Ref. to drg. No. TU-LA-D-205</t>
  </si>
  <si>
    <t>Brick Work for Entry Area Steps of BH-02</t>
  </si>
  <si>
    <t>Brick Work for Entry Area Steps of BH-03</t>
  </si>
  <si>
    <t>Brick Work for Ramp for Entrance in BH-04 Ref. to drg. No. TU-LA-D-205</t>
  </si>
  <si>
    <t>Brick Work for Entry Area Steps of BH-04</t>
  </si>
  <si>
    <t>Brick Work for Road Toe Wall (9/F-H) basket ball ground &amp; BH-03</t>
  </si>
  <si>
    <t xml:space="preserve">Brick work for Seprate Seat </t>
  </si>
  <si>
    <t>Brick work seat under transfer slab of BH-04 towards Waterbody</t>
  </si>
  <si>
    <t>Brick work seat between Waterbody &amp; Reception</t>
  </si>
  <si>
    <t>Brick work seat under transfer slab of BH-01 towards Canteen</t>
  </si>
  <si>
    <t>Brick Work P/L for Fire Tender Wall (parallel to road)</t>
  </si>
  <si>
    <t xml:space="preserve">Brick Work at Podium </t>
  </si>
  <si>
    <t>Brick Work P/L at Gym Roof , Ref. Drg. TU/LA-P-216(8-9/H-J)</t>
  </si>
  <si>
    <t>Brick Work P/L for Long Planter Ref. Drg. TU/LA-P-216 (Lvl. +0.7m) (41-48/1'-14')</t>
  </si>
  <si>
    <t>(48-46/1'-13')</t>
  </si>
  <si>
    <t>inner Brick work for long Planter (48-46/1'-13')</t>
  </si>
  <si>
    <t>Brick Work for Planter (2'/42-45)</t>
  </si>
  <si>
    <t>Brick Work for Planter (41/2'-12')</t>
  </si>
  <si>
    <t>Brick Work for Chess Table</t>
  </si>
  <si>
    <t>Chess Table Seat</t>
  </si>
  <si>
    <t>R.C.C. Work for Planter Tie Beam (230x200)</t>
  </si>
  <si>
    <t>Fire Tender Wall towards BH-07 (Tie Beam 230x200)</t>
  </si>
  <si>
    <t>release hold area (dia. 18.32m)</t>
  </si>
  <si>
    <t>R.C.C. P/L for Tie beam for Planter near Waterbody &amp; Reception (22'-26'/32-36) Ref. Drg. No. TU/LA-P-206.1</t>
  </si>
  <si>
    <t>R.C.C. P/L for Ramp for Entrance in BH-01 Ref. to drg. No. TU-LA-D-205 (on top surface</t>
  </si>
  <si>
    <t>R.C.C. P/L for Ramp for Entrance in BH-02 Ref. to drg. No. TU-LA-D-205</t>
  </si>
  <si>
    <t>R.C.C. P/L for Ramp for Entrance in BH-03 Ref. to drg. No. TU-LA-D-205</t>
  </si>
  <si>
    <t>R.C.C. P/L for Ramp for Entrance in BH-04 Ref. to drg. No. TU-LA-D-205</t>
  </si>
  <si>
    <t>R.C.C. P/L for Road Toe Wall (9/H-J)</t>
  </si>
  <si>
    <t>R.C.C. P/L for Road Toe Wall (9/F-H) basket ball ground &amp; BH-03</t>
  </si>
  <si>
    <t>R.C.C. P/L for Fire Tender Wall (parallel to road) (Tie Beam 230x200)</t>
  </si>
  <si>
    <t>R.C.C. P/L for Waterbody Raft (Hold Portion)</t>
  </si>
  <si>
    <t>R.C.C. for Sump in Waterbody</t>
  </si>
  <si>
    <t>Sump inner size(900x900x850)</t>
  </si>
  <si>
    <t>Filter Pit (2000x2000x1800)</t>
  </si>
  <si>
    <t>Base footing</t>
  </si>
  <si>
    <t>Wall</t>
  </si>
  <si>
    <t>add previous 3rd R.A. Hold Qty.</t>
  </si>
  <si>
    <t>WBM for Boy's Hostel</t>
  </si>
  <si>
    <t>WBM/Stone Soling for Ramp for Entrance in BH-01 Ref. to drg. No. TU-LA-D-205</t>
  </si>
  <si>
    <t>WBM P/L for Entry Area Steps of BH-01</t>
  </si>
  <si>
    <t>WBM P/L for side ramp of entrance</t>
  </si>
  <si>
    <t>WBM P/L for Ramp for Entrance in BH-02 Ref. to drg. No. TU-LA-D-205</t>
  </si>
  <si>
    <t>WBM P/L for Entry Area Steps of BH-02</t>
  </si>
  <si>
    <t>WBM for Ramp for Entrance in BH-03 Ref. to drg. No. TU-LA-D-205</t>
  </si>
  <si>
    <t>WBM P/L for Entry Area Steps of BH-03</t>
  </si>
  <si>
    <t>WBM. P/L for Ramp for Entrance in BH-04 Ref. to drg. No. TU-LA-D-205</t>
  </si>
  <si>
    <t>WBM. for Entry Area Steps of BH-04</t>
  </si>
  <si>
    <t>WBM P/L for Floor (area side of Road line) Laying of Kandla Stone</t>
  </si>
  <si>
    <t>release 20% (ref. to previous bill hold qty.)</t>
  </si>
  <si>
    <t>Providing &amp; Laying composite built up waterproofing under screed comprising og three coatsof tepecrete polymer, each  coat admixed with cement in proportion 1:2 (one part Tepecrete &amp; two parts cement) over a primer coat of neat cement slurry admixed with impermeable chemical CH-09. After the second coat of Tepecrete, all corners, sdges, joints of pipes with concrete/masonry should be seated with epoxy putty. 10mm thk. protective plaster 1:4 (1 cement 4 coarse sand) over treated surface etc. complete. (Quoted rate to include grouting of RCC surface for any cracks/ fissures &amp; cost of grey cement.) (H+V)</t>
  </si>
  <si>
    <t>Waterproofing in R.C.C. Planter under Transfer Slab of BH-03 (between BH-03 &amp; Basket Ball Ground)</t>
  </si>
  <si>
    <t>Base</t>
  </si>
  <si>
    <t>Waterproofing in R.C.C. Planter under Transfer Slab of BH-04 (between BH-04 &amp; Waterbody)</t>
  </si>
  <si>
    <t>Waterproofing in R.C.C. Planter under Transfer Slab of BH-01 (between BH-01 &amp; Canteen)</t>
  </si>
  <si>
    <t>Waterproofing in R.C.C. Planter under Transfer Slab of BH-02 (between BH-02 &amp; Gym)</t>
  </si>
  <si>
    <t>GROUND FLOOR</t>
  </si>
  <si>
    <t>P.C.C</t>
  </si>
  <si>
    <t>BRICKWORK</t>
  </si>
  <si>
    <t>R.C.C</t>
  </si>
  <si>
    <t>PODIUM LEVEL</t>
  </si>
  <si>
    <t>WATERPROOFING WORK</t>
  </si>
  <si>
    <t>Providing &amp; Fixing 40mm natural Finish Kandla Grey Sand Stone (Base Rate Rs 900/Sqm) machine cut of required Size, approved shade, colour &amp; texture laid over 20 mm thk. Base cement mortar 1:4 (1cement : 4 coarse sand), joints treated with matching pigment, epoxy touch ups, etc. complete at all lvls. 
40mm thk. Natural Finish Kadappa for Paving</t>
  </si>
  <si>
    <t>BOYS HOSTEL-GROUND FLOOR LEVEL FINISHES</t>
  </si>
  <si>
    <t xml:space="preserve">Kandla Stone P/Fixing between BH-01 &amp; BH-07 </t>
  </si>
  <si>
    <t>deduct Col. (1200x375)</t>
  </si>
  <si>
    <t>deduct Round Col. For Podium</t>
  </si>
  <si>
    <t>deduct Green Planter (near BH-01 east corner)</t>
  </si>
  <si>
    <t>deduct Green Planter east face of BH-04</t>
  </si>
  <si>
    <t>deduct green Area long planter</t>
  </si>
  <si>
    <t>deduct waterbody area</t>
  </si>
  <si>
    <t>deduct green planter</t>
  </si>
  <si>
    <t>deduct green planter of BH-04</t>
  </si>
  <si>
    <t>deduct ramp portion</t>
  </si>
  <si>
    <t>deduct R.C.C. Planter</t>
  </si>
  <si>
    <t>deduct M2 Leather finish Cuuddapah</t>
  </si>
  <si>
    <t>deduct green planter area between BH-04 &amp; BH-05</t>
  </si>
  <si>
    <t>deduct planter of basket ball ground</t>
  </si>
  <si>
    <t>deduct Green Planter south side of Green Planter</t>
  </si>
  <si>
    <t>dedut Planter of basket ball ground</t>
  </si>
  <si>
    <t>deduct Green Planternorth side of reception</t>
  </si>
  <si>
    <t>green planter of Toilet</t>
  </si>
  <si>
    <t>deduct Green Planter of Toilet</t>
  </si>
  <si>
    <t>BH-01 entrance Step &amp; Ramp</t>
  </si>
  <si>
    <t>Tread</t>
  </si>
  <si>
    <t>Riser</t>
  </si>
  <si>
    <t>Kandla stone in side ramp</t>
  </si>
  <si>
    <t>BH-02 entrance Step &amp; Ramp</t>
  </si>
  <si>
    <t>BH-03 entrance Step &amp; Ramp</t>
  </si>
  <si>
    <t>BH-04 entrance Step &amp; Ramp</t>
  </si>
  <si>
    <r>
      <rPr>
        <b/>
        <sz val="13"/>
        <rFont val="Book Antiqua"/>
        <family val="1"/>
      </rPr>
      <t>Area-1,</t>
    </r>
    <r>
      <rPr>
        <sz val="13"/>
        <rFont val="Book Antiqua"/>
        <family val="1"/>
      </rPr>
      <t xml:space="preserve"> Kandla Stone 40mm between BH-01 &amp; BH-07 &amp; BH-04</t>
    </r>
  </si>
  <si>
    <r>
      <rPr>
        <b/>
        <sz val="13"/>
        <rFont val="Book Antiqua"/>
        <family val="1"/>
      </rPr>
      <t>Area-2,</t>
    </r>
    <r>
      <rPr>
        <sz val="13"/>
        <rFont val="Book Antiqua"/>
        <family val="1"/>
      </rPr>
      <t xml:space="preserve"> Area east side of BH-01 (Kandla Grey Stone)</t>
    </r>
  </si>
  <si>
    <r>
      <rPr>
        <b/>
        <sz val="13"/>
        <rFont val="Book Antiqua"/>
        <family val="1"/>
      </rPr>
      <t>Area-3,</t>
    </r>
    <r>
      <rPr>
        <sz val="13"/>
        <rFont val="Book Antiqua"/>
        <family val="1"/>
      </rPr>
      <t xml:space="preserve"> area east Canteen (under Podium stair case)</t>
    </r>
  </si>
  <si>
    <r>
      <rPr>
        <b/>
        <sz val="13"/>
        <rFont val="Book Antiqua"/>
        <family val="1"/>
      </rPr>
      <t>Area-4,</t>
    </r>
    <r>
      <rPr>
        <sz val="13"/>
        <rFont val="Book Antiqua"/>
        <family val="1"/>
      </rPr>
      <t xml:space="preserve"> area between BH-01 &amp; waterbody</t>
    </r>
  </si>
  <si>
    <r>
      <rPr>
        <b/>
        <sz val="13"/>
        <rFont val="Book Antiqua"/>
        <family val="1"/>
      </rPr>
      <t>Area-5,</t>
    </r>
    <r>
      <rPr>
        <sz val="13"/>
        <rFont val="Book Antiqua"/>
        <family val="1"/>
      </rPr>
      <t xml:space="preserve"> area between Canteen &amp; BH-02</t>
    </r>
  </si>
  <si>
    <r>
      <rPr>
        <b/>
        <sz val="13"/>
        <rFont val="Book Antiqua"/>
        <family val="1"/>
      </rPr>
      <t>Area-6,</t>
    </r>
    <r>
      <rPr>
        <sz val="13"/>
        <rFont val="Book Antiqua"/>
        <family val="1"/>
      </rPr>
      <t xml:space="preserve"> area at junction of road BH-02 &amp; waterdody planter east side</t>
    </r>
  </si>
  <si>
    <r>
      <rPr>
        <b/>
        <sz val="13"/>
        <rFont val="Book Antiqua"/>
        <family val="1"/>
      </rPr>
      <t>Area-7,</t>
    </r>
    <r>
      <rPr>
        <sz val="13"/>
        <rFont val="Book Antiqua"/>
        <family val="1"/>
      </rPr>
      <t xml:space="preserve"> between BH-02 &amp; waterdody (south face of BH-02)</t>
    </r>
  </si>
  <si>
    <r>
      <rPr>
        <b/>
        <sz val="13"/>
        <rFont val="Book Antiqua"/>
        <family val="1"/>
      </rPr>
      <t>Area-8,</t>
    </r>
    <r>
      <rPr>
        <sz val="13"/>
        <rFont val="Book Antiqua"/>
        <family val="1"/>
      </rPr>
      <t xml:space="preserve"> surrounding of waterbody</t>
    </r>
  </si>
  <si>
    <r>
      <rPr>
        <b/>
        <sz val="13"/>
        <rFont val="Book Antiqua"/>
        <family val="1"/>
      </rPr>
      <t>Area-9,</t>
    </r>
    <r>
      <rPr>
        <sz val="13"/>
        <rFont val="Book Antiqua"/>
        <family val="1"/>
      </rPr>
      <t xml:space="preserve"> area between BH-04 &amp; Waterbody (under transfer slab)</t>
    </r>
  </si>
  <si>
    <r>
      <rPr>
        <b/>
        <sz val="13"/>
        <rFont val="Book Antiqua"/>
        <family val="1"/>
      </rPr>
      <t>Area-10,</t>
    </r>
    <r>
      <rPr>
        <sz val="13"/>
        <rFont val="Book Antiqua"/>
        <family val="1"/>
      </rPr>
      <t xml:space="preserve"> area south side of BH-04 (back side)</t>
    </r>
  </si>
  <si>
    <r>
      <rPr>
        <b/>
        <sz val="13"/>
        <rFont val="Book Antiqua"/>
        <family val="1"/>
      </rPr>
      <t>Area-11,</t>
    </r>
    <r>
      <rPr>
        <sz val="13"/>
        <rFont val="Book Antiqua"/>
        <family val="1"/>
      </rPr>
      <t xml:space="preserve"> area West side of BH-04 &amp; road south side of Basket ball ground</t>
    </r>
  </si>
  <si>
    <r>
      <rPr>
        <b/>
        <sz val="13"/>
        <rFont val="Book Antiqua"/>
        <family val="1"/>
      </rPr>
      <t>Area-12,</t>
    </r>
    <r>
      <rPr>
        <sz val="13"/>
        <rFont val="Book Antiqua"/>
        <family val="1"/>
      </rPr>
      <t xml:space="preserve"> area between Planter &amp; basket ball ground</t>
    </r>
  </si>
  <si>
    <r>
      <rPr>
        <b/>
        <sz val="13"/>
        <rFont val="Book Antiqua"/>
        <family val="1"/>
      </rPr>
      <t>Area-13,</t>
    </r>
    <r>
      <rPr>
        <sz val="13"/>
        <rFont val="Book Antiqua"/>
        <family val="1"/>
      </rPr>
      <t xml:space="preserve"> area north side of Gym (J/8-9')</t>
    </r>
  </si>
  <si>
    <r>
      <rPr>
        <b/>
        <sz val="13"/>
        <rFont val="Book Antiqua"/>
        <family val="1"/>
      </rPr>
      <t>Area-15,</t>
    </r>
    <r>
      <rPr>
        <sz val="13"/>
        <rFont val="Book Antiqua"/>
        <family val="1"/>
      </rPr>
      <t xml:space="preserve"> area between basket ball green planter &amp; Reception BH-04 green planter </t>
    </r>
  </si>
  <si>
    <r>
      <rPr>
        <b/>
        <sz val="13"/>
        <rFont val="Book Antiqua"/>
        <family val="1"/>
      </rPr>
      <t>Area-16,</t>
    </r>
    <r>
      <rPr>
        <sz val="13"/>
        <rFont val="Book Antiqua"/>
        <family val="1"/>
      </rPr>
      <t xml:space="preserve"> area north side of reception &amp; at Road juction near waterbody</t>
    </r>
  </si>
  <si>
    <r>
      <rPr>
        <b/>
        <sz val="13"/>
        <rFont val="Book Antiqua"/>
        <family val="1"/>
      </rPr>
      <t>Area-17,</t>
    </r>
    <r>
      <rPr>
        <sz val="13"/>
        <rFont val="Book Antiqua"/>
        <family val="1"/>
      </rPr>
      <t xml:space="preserve"> area between BH-03 &amp; Reception &amp; Toilet at road junction (east side of BH-03)</t>
    </r>
  </si>
  <si>
    <r>
      <rPr>
        <b/>
        <sz val="13"/>
        <rFont val="Book Antiqua"/>
        <family val="1"/>
      </rPr>
      <t>Area-18,</t>
    </r>
    <r>
      <rPr>
        <sz val="13"/>
        <rFont val="Book Antiqua"/>
        <family val="1"/>
      </rPr>
      <t xml:space="preserve"> Kandla Grey Stone at entrance Step or ramp in Boy's Hostel</t>
    </r>
  </si>
  <si>
    <t>Natural Finish Red Agra Sandstone 40mm thk. At Podium Lvl.</t>
  </si>
  <si>
    <t>Agra Natural at canteen Podium</t>
  </si>
  <si>
    <t>stone near stair case area side of long green planter</t>
  </si>
  <si>
    <t>front of stair</t>
  </si>
  <si>
    <t>Agra Natural at Podium passage Canteen to Gym</t>
  </si>
  <si>
    <t>Agra Natural at Podium passage Canteen to BH-01</t>
  </si>
  <si>
    <t>passage BH-01 to BH-04</t>
  </si>
  <si>
    <t>Agra Red at Gym Podium</t>
  </si>
  <si>
    <t>deduct Planter Area</t>
  </si>
  <si>
    <t>Providing &amp; Fixing 40mm Natural Finish Red Agra Sandstone (Base Rate : 550) machine cut of required Size, approved shade, colour &amp; texture laid over 20 mm thk. Base cement mortar 1:4 (1cement : 4 coarse sand), joints treated with matching pigment, epoxy touch ups, etc. complete at all lvls.</t>
  </si>
  <si>
    <t>NATURAL FINISH KANDLA GREY SANDSTONE (LARGE PAVED AREA, SEATINGS)</t>
  </si>
  <si>
    <t>BOYS HOSTEL-PODIUM LEVEL FINISHES</t>
  </si>
  <si>
    <t>AGRA RED SANDSTONE- NATURAL FINISH (RAMP &amp; PAVED AREAS)</t>
  </si>
  <si>
    <t>Providing &amp; Fixing 40mm Honed Finish Red Agra Sandstone (Base Rate : 750) machine cut of required Size, approved shade, colour &amp; texture laid over 20 mm thk. Base cement mortar 1:4 (1cement : 4 coarse sand), joints treated with matching pigment, epoxy touch ups, etc. complete at all lvls.</t>
  </si>
  <si>
    <t>M2 Agra Red Sandstone Honed Finish</t>
  </si>
  <si>
    <t xml:space="preserve">at Canteen Podium </t>
  </si>
  <si>
    <t>Providing &amp; Fixing Serrated Finish Agra Red stone  (Base Rate Rs 750/Sqm) machine cut of required Size, approved shade, colour &amp; texture laid over 20 mm thk. Base cement mortar 1:4 (1cement : 4 coarse sand), joints treated with matching pigment, epoxy touch ups, etc. complete at all lvls. 20mm thk Machine Cut Finish Agra-Red Sand Stone 
(Base rate Rs 550/Sqm) (Planter Wall Cladding &amp; seat Cladding)</t>
  </si>
  <si>
    <t>Providing &amp; Fixing Machine Cut Finish Agra Red stone machine 20MM THK.(Base rate Rs 550/Sqm) cut of required Size, approved shade, colour &amp; texture laid over 20 mm thk. Base cement mortar 1:4 (1cement : 4 coarse sand), joints treated with matching pigment, epoxy touch ups, etc. complete at all lvls. 20mm thk Machine Cut Finish Agra-Red Sand Stone 
(Base rate Rs 550/Sqm) (Planter Wall Cladding &amp; seat Cladding)</t>
  </si>
  <si>
    <t>Podium Stair Case Agra Red Sanstone 20mm Natural Finish</t>
  </si>
  <si>
    <t>Landing</t>
  </si>
  <si>
    <t>Providing &amp; Laying gunited sprayed concrete (40mm thk, minimum) in Waterbody areas. Consisting of mix 1:4 (1 cement : 4 coarse sand) over Chicken Wire Mesh of approved weight per sq.m. using appropriate: a) Cleaning the surface where gunited concrete is to be  applied. b) Applying sprayed concrete. d) Finishing the surface with trowel to achieve smooth finish.</t>
  </si>
  <si>
    <t>Gunited Sprayed waterproofing for Waterbody</t>
  </si>
  <si>
    <t xml:space="preserve">for Waterbody as per drg. No.(Inner dia. 20.12m), dia. </t>
  </si>
  <si>
    <t>base raft dia. 20.12m</t>
  </si>
  <si>
    <t>for Sump in Waterbody</t>
  </si>
  <si>
    <t>for Vertical Wall (dia.=20.12m)</t>
  </si>
  <si>
    <t>top of wall (dia.=20.12+0.2=20.32m)</t>
  </si>
  <si>
    <t>WATERPROOFING</t>
  </si>
  <si>
    <t>AGRA RED SANDSTONE- HONED FINISH (IN PLAZZA, ALONG WITH BANDS)</t>
  </si>
  <si>
    <t>AGRA SANDSTONE- MACHINE CUT FINISH (PAVING BANDS, SEAT AND PLANTER WALL COPING AND CLADDING)</t>
  </si>
  <si>
    <t>TOTAL AMOUNT  (SCHEDULE)</t>
  </si>
  <si>
    <t>AGRA RED SANDSTONE- SERRATED FINISH (PAVING)</t>
  </si>
  <si>
    <t>Earth Excavation for Planter near Waterbody &amp; Reception (22'-26'/32-36) Ref. Drg. No. TU/LA-P-206.1</t>
  </si>
  <si>
    <t>Earth Excavation for Ramp B/W for Entrance in BH-01 Ref. to drg. No. TU-LA-D-205</t>
  </si>
  <si>
    <t xml:space="preserve">Earth Excavation for Brick Steps </t>
  </si>
  <si>
    <t>Earth Excavation. for brick wall side of step continue</t>
  </si>
  <si>
    <t>Earth Excavation for Ramp for Entrance in BH-02 Ref. to drg. No. TU-LA-D-205</t>
  </si>
  <si>
    <t>Earth Excavation for brick wall side of step continue</t>
  </si>
  <si>
    <t>Earth Excavation for Ramp for Entrance in BH-03 Ref. to drg. No. TU-LA-D-205</t>
  </si>
  <si>
    <t>Earth Excavation for Ramp for Entrance in BH-04 Ref. to drg. No. TU-LA-D-205</t>
  </si>
  <si>
    <t>Earth Excavation for Brick Work for Road Toe Wall (9/F-H) basket ball ground &amp; BH-03</t>
  </si>
  <si>
    <t xml:space="preserve">Earth Excavation  for Brick work for Seprate Seat </t>
  </si>
  <si>
    <t>Earth Excavation  for Brick work seat between Waterbody &amp; Reception</t>
  </si>
  <si>
    <t>Earth Excavation  for Brick work seat under transfer slab of BH-01 towards Canteen</t>
  </si>
  <si>
    <t>Earth Excavation  for Fire Tender Wall (parallel to road)</t>
  </si>
  <si>
    <t>Earth Excavation for green Planter wall BH-07 (west side)</t>
  </si>
  <si>
    <t>Earth Excavation  for fire tender in green planter between BH-04 &amp; BH-07</t>
  </si>
  <si>
    <t>Earth Excavation  for Fire Tender in Green planter between BH-01 &amp; Waterbody</t>
  </si>
  <si>
    <t>Earth Excavation for Fire Tender Toe Wall</t>
  </si>
  <si>
    <t>Earth Excavation  for Road Toe wall outer parapheri (Ref. Drg. No. TU/LA-P-203) (1/F-J), (J/1-9), (9/H-J)</t>
  </si>
  <si>
    <t>Earth Excavation  for Road Toe Wall (1/E-J)</t>
  </si>
  <si>
    <t>Earth Excavation  Qty. Revise due to correction</t>
  </si>
  <si>
    <t>Earth Excavation  for Road Toe Wall back side of Basket Ball (east side)</t>
  </si>
  <si>
    <t>Earth Excavation  for Road Toe Wall (9/H-J)</t>
  </si>
  <si>
    <t>Earth Excavation   for Road Toe Wall (J/1-9)</t>
  </si>
  <si>
    <t>Earth Excavation   for Road Toe Wall (9/H-J)</t>
  </si>
  <si>
    <t>Earth Excavation for Sump in Waterbody</t>
  </si>
  <si>
    <t>Form Work C/S for Planter Tie Beam (230x200)</t>
  </si>
  <si>
    <t>Form Work C/S for Ramp for Entrance in BH-01 Ref. to drg. No. TU-LA-D-205 (on top surface</t>
  </si>
  <si>
    <t>Form Work C/S for Ramp for Entrance in BH-02 Ref. to drg. No. TU-LA-D-205</t>
  </si>
  <si>
    <t>Form Work C/S for Ramp for Entrance in BH-04 Ref. to drg. No. TU-LA-D-205</t>
  </si>
  <si>
    <t>Form Work C/S for Road Toe Wall (9/F-H) basket ball ground &amp; BH-03</t>
  </si>
  <si>
    <t>Form Work C/S for Fire Tender Wall (parallel to road) (Tie Beam 230x200)</t>
  </si>
  <si>
    <t>Form Work C/Sfor green Planter wall BH-07 (west side)</t>
  </si>
  <si>
    <t>Fire Tender Wall Form Work C/S between BH-04 &amp; BH-07 near green Planter (triangle type)</t>
  </si>
  <si>
    <t>Form Work C/Sfor fire tender in green planter between BH-04 &amp; BH-07</t>
  </si>
  <si>
    <t>Fire Tender Wall Brick Work connect to BH-04 to green Planter between BH-01 &amp; waterbody Form Work C/S</t>
  </si>
  <si>
    <t>Form Work C/S for Fire Tender in Green planter between BH-01 &amp; Waterbody</t>
  </si>
  <si>
    <t>Form Work C/S for Fire Tender Wall Brick Work BH-01 west corner to Canteen parallel to road betwee canteen &amp; BH-02</t>
  </si>
  <si>
    <t>Form Work C/S Fire Tender Wall Brick Work for Road between BH-02 &amp; Waterbody</t>
  </si>
  <si>
    <t>Form Work C/S for fire tender wall towards waterbody planter to arround waterbody to Reception</t>
  </si>
  <si>
    <t>Form Work C/S for Fire Tender Wall Brick Work for Road South side of BH-04 (back side)</t>
  </si>
  <si>
    <t>Form Work C/S for Fire Tender Wall Brick Work for Road BH-04 (near watebody to basket ball ground planter) to BH-03</t>
  </si>
  <si>
    <t>Form Work C/S  for Fire Tender Toe Wall</t>
  </si>
  <si>
    <t>Form Work C/S for Sump in Waterbody</t>
  </si>
  <si>
    <t>for Waterbody for Sump (900x900x850)</t>
  </si>
  <si>
    <t>Demolishing of P.C.C. &amp; Stone Soling as per direction of Engineer in Charge</t>
  </si>
  <si>
    <t>Measurement shifted from EI-03 Form Faced Shuttering</t>
  </si>
  <si>
    <t>Providing and constructing half brick masonry using selected quality burnt clay FPS brick of class designation 75 in super structure laid in cement mortar 1:4 (1 cement : 4 coarse sand) mix, joints finished, flush / raked to 6mm depth as directed by Owner including providing and placing one no. 16 gauge 25 mm wide MS flat hoop reinforcement at every fourth course and anchoring the same by screwing with R.C.C members, scaffolding, curing, complete as per specification and drawing or as directed by Owner.</t>
  </si>
  <si>
    <t>R.C.C. P/L for Half Curved Seat (tie beam &amp; seating platform (drg. No. 5128-16-101)</t>
  </si>
  <si>
    <t>Curved Seat at grid (10/C-D)</t>
  </si>
  <si>
    <t>Curved Seat seat at grid (9/C-D)</t>
  </si>
  <si>
    <t>Curved Seat seat at grid (5/C-D)</t>
  </si>
  <si>
    <t>R.C.C. Qty. Revise for calculation correction</t>
  </si>
  <si>
    <t>R.C.C. P/L for Green Portion (Circular) (drg. No. 5128-16-101)</t>
  </si>
  <si>
    <t>at Grid (22-23/C-D), Dia. 3.0m, (Brick Work Dia. =3+0.115+0.115=3.23m)</t>
  </si>
  <si>
    <t>at Grid (18/F), Dia. 3.7m (Brick Work Dia. =3.7+0.115+0.115=3.93m)</t>
  </si>
  <si>
    <r>
      <t xml:space="preserve">deduct qty. of revised measurement(RA-3rd) for Green Portion (Circular) </t>
    </r>
    <r>
      <rPr>
        <b/>
        <sz val="13"/>
        <color theme="1"/>
        <rFont val="Book Antiqua"/>
        <family val="1"/>
      </rPr>
      <t>(drg. No. 5128-16-101)</t>
    </r>
  </si>
  <si>
    <t>release for hold area (dia. 5.2m)</t>
  </si>
  <si>
    <t>R.C.C. for Sump in waterbody (750x750x850) inner size</t>
  </si>
  <si>
    <t>R.C.C. for Filter Pit in waterbody (1000x1000x1000) inner size</t>
  </si>
  <si>
    <t>R.C.C. for Wall</t>
  </si>
  <si>
    <t>Base footing of pit</t>
  </si>
  <si>
    <t>P.C.C.  P/L for Green Portion (Circular) (drg. No. 5128-16-101)</t>
  </si>
  <si>
    <t>Qty. Revise due to canculation correction (R.A.3rd)</t>
  </si>
  <si>
    <t>deduction qty. for revision (clamed in R.A.3rd)</t>
  </si>
  <si>
    <t>Curved Seat seat at grid (10/C-D)</t>
  </si>
  <si>
    <t>P.C.C. P/L for Sunken Area</t>
  </si>
  <si>
    <t>P.C.C. P/L for Brick work of Sunken Area</t>
  </si>
  <si>
    <t>P.C.C. for Brick Work for Sunken Area</t>
  </si>
  <si>
    <t>P.C.C. for Brick work for Stair case step in Sunken Area</t>
  </si>
  <si>
    <t>P.C.C. P/L for Brick work for Stair case step in Sunken Area</t>
  </si>
  <si>
    <t>P.C.C. in Floor area of sunken portion</t>
  </si>
  <si>
    <t>P.C.C. P/L in Girl's hostel Floor for Stone Fixing</t>
  </si>
  <si>
    <t>Total Area of Floor</t>
  </si>
  <si>
    <t>deduct Green Area</t>
  </si>
  <si>
    <t>dia. 3.0m</t>
  </si>
  <si>
    <t>dia. 3.7m</t>
  </si>
  <si>
    <t>dia. 2.7m</t>
  </si>
  <si>
    <t>dia. 3.0m half</t>
  </si>
  <si>
    <t>deduct Raise Area</t>
  </si>
  <si>
    <t>deduct Waterbody</t>
  </si>
  <si>
    <t>deduct sunken area</t>
  </si>
  <si>
    <t>deduct R.C.C. wall</t>
  </si>
  <si>
    <t>deduct Rec. Seat</t>
  </si>
  <si>
    <t>deduct round seat dia. 0.83m</t>
  </si>
  <si>
    <t>P.C.C. P/L for Sump or Filter pit for Waterbody</t>
  </si>
  <si>
    <t>Sump (750x750x850), base</t>
  </si>
  <si>
    <t>Filter pit (1000x1000x1000) base</t>
  </si>
  <si>
    <t>at Grid (8/C-D), Dia. 3.0m (for Brick work 3.230m)</t>
  </si>
  <si>
    <t>Brick Work P/L for Sunken Area</t>
  </si>
  <si>
    <t>Brick work for Stair case step in Sunken Area</t>
  </si>
  <si>
    <t>Brick Work Qty. Revise for calculation correction</t>
  </si>
  <si>
    <t>Brick Work P/L for Green Portion (Circular) (drg. No. 5128-16-101)</t>
  </si>
  <si>
    <t>Brick work P/L for Sump or Filter pit for Waterbody as per direction of Engineer in Charge (outer face for wall).</t>
  </si>
  <si>
    <t>Sump (750x750x850),</t>
  </si>
  <si>
    <t>WBM P/L for Sunken Area</t>
  </si>
  <si>
    <t>WBM P/L for Brick work of Sunken Area</t>
  </si>
  <si>
    <t>WBM P/L in Floor area of sunken portion</t>
  </si>
  <si>
    <t>WBM P/L in Girl's hostel Floor for Stone Fixing</t>
  </si>
  <si>
    <t>White Marble Sawn Finish on Raised Area</t>
  </si>
  <si>
    <t>White Marble Sawn Finish on Sunken Area</t>
  </si>
  <si>
    <t>White Marble in Circular Portion of Circle 600mm dia.</t>
  </si>
  <si>
    <t>White Marble in circle (2-3/C-D) (dia. 4.0m)</t>
  </si>
  <si>
    <t>deduct seat portion</t>
  </si>
  <si>
    <t>White Marble in circle (4-5/C-D) (dia. 4.0m)</t>
  </si>
  <si>
    <t>White Marble in circle (3-4/D) (dia. 2.4m)</t>
  </si>
  <si>
    <t>White Marble in circle (6/C) (r = 2.15m) half</t>
  </si>
  <si>
    <t xml:space="preserve">White Marble in circle (6/C-D) (r = 1.0m) </t>
  </si>
  <si>
    <t xml:space="preserve">White Marble in circle (2-3/D-E) (r = 2.70m) </t>
  </si>
  <si>
    <t>deduct rec. seat</t>
  </si>
  <si>
    <t xml:space="preserve">White Marble in circle (4/D-E) (r = 1.10m) </t>
  </si>
  <si>
    <t xml:space="preserve">White Marble in circle (3-4/E) (r = 0.750m) </t>
  </si>
  <si>
    <t xml:space="preserve">White Marble in circle (5-6/D-E) (r = 0.750m) </t>
  </si>
  <si>
    <t xml:space="preserve">White Marble in circle (2-3/E-F) (r = 1.9m) </t>
  </si>
  <si>
    <t xml:space="preserve">White Marble in circle (1/E-F) (r = 1.2m) </t>
  </si>
  <si>
    <t xml:space="preserve">White Marble in circle (1/E-F) (r = 1.6m) </t>
  </si>
  <si>
    <t xml:space="preserve">White Marble in circle (1'/E-F) (r = 1.3m) </t>
  </si>
  <si>
    <t xml:space="preserve">White Marble in circle (1'/F-G) (r = 1.5m) </t>
  </si>
  <si>
    <t xml:space="preserve">White Marble in circle (2/F-G) (r = 1.35m) </t>
  </si>
  <si>
    <t>deduct round seat (dia. 0.83m)</t>
  </si>
  <si>
    <t xml:space="preserve">White Marble in circle (5-6/D-E) (r = 2.5m) </t>
  </si>
  <si>
    <t>deduct green Planter (dia. 3.0m)</t>
  </si>
  <si>
    <t>deduct half curve seat</t>
  </si>
  <si>
    <t xml:space="preserve">White Marble in circle (4-5/E) (r = 2.85m) </t>
  </si>
  <si>
    <t xml:space="preserve">White Marble in circle (3/F) (r = 2.75m) </t>
  </si>
  <si>
    <t xml:space="preserve">White Marble in circle (5/F-G) (r = 0.85m) </t>
  </si>
  <si>
    <t xml:space="preserve">White Marble in circle (5/F-G) (r = 0.5m) </t>
  </si>
  <si>
    <t>White Marble in circle (8/C) (r = 1.5m) half</t>
  </si>
  <si>
    <t xml:space="preserve">White Marble in circle (8/C-D) (r = 2.4m) </t>
  </si>
  <si>
    <t xml:space="preserve">White Marble in circle (7/D-E) (r = 0.9m) </t>
  </si>
  <si>
    <t xml:space="preserve">White Marble in circle (8/D-E) (r = 1.45m) </t>
  </si>
  <si>
    <t xml:space="preserve">White Marble in circle (6-7-8/E) (r = 2.3m) </t>
  </si>
  <si>
    <t xml:space="preserve">White Marble in circle (8-9/C-D) (r = 0.75m) </t>
  </si>
  <si>
    <t>White Marble in circle (9/C) (r = 0.75m) half</t>
  </si>
  <si>
    <t>White Marble in circle (9/C-D) (r = 2.55m)</t>
  </si>
  <si>
    <t>White Marble in circle (8-9/D) (r = 2.55m)</t>
  </si>
  <si>
    <t>White Marble in circle (8-9/D) (r = 1.2m)</t>
  </si>
  <si>
    <t>White Marble in circle (9/D-E) (r = 1.2m)</t>
  </si>
  <si>
    <t>White Marble in circle (10/D) (r = 2.0m)</t>
  </si>
  <si>
    <t>White Marble in circle (9/E) (r = 2.4m)</t>
  </si>
  <si>
    <t>White Marble in circle (9/E-F) (r = 1.5m)</t>
  </si>
  <si>
    <t>White Marble in circle (10/C) (r = 2.0m) half</t>
  </si>
  <si>
    <t xml:space="preserve">White Marble in circle (10/C-D) (r = 2.0m) </t>
  </si>
  <si>
    <t xml:space="preserve">White Marble in circle (10/E) (r = 3.0m) </t>
  </si>
  <si>
    <t xml:space="preserve">White Marble in circle (10/F) (r = 3.0m) </t>
  </si>
  <si>
    <t xml:space="preserve">White Marble in circle (11/C) (r = 2.0m) </t>
  </si>
  <si>
    <t xml:space="preserve">White Marble in circle (12/D) (r = 2.10m) </t>
  </si>
  <si>
    <t xml:space="preserve">White Marble in circle (11/F) (r = 2.0m) </t>
  </si>
  <si>
    <t xml:space="preserve">White Marble in circle (11/F-G) (r = 2.70m) </t>
  </si>
  <si>
    <t xml:space="preserve">White Marble in circle (12/F) (r = 1.6m) </t>
  </si>
  <si>
    <t xml:space="preserve">White Marble in circle (12/F-G) (r = 0.6m) </t>
  </si>
  <si>
    <t>White Marble in circle (10-11/G) (r = 1.250m) half</t>
  </si>
  <si>
    <t>White Marble in circle (12-13/C-D) (r =2.0m)</t>
  </si>
  <si>
    <t>White Marble in circle (14/C-D) (r =1.25m)</t>
  </si>
  <si>
    <t>White Marble in circle (14/D) (r =2.7m)</t>
  </si>
  <si>
    <t>White Marble in circle (14/D-E) (r =0.75m)</t>
  </si>
  <si>
    <t>White Marble in circle (14/F) (r =3.0m)</t>
  </si>
  <si>
    <t>White Marble in circle (14/F-G) (r =2.25m)</t>
  </si>
  <si>
    <t>White Marble in circle (14-15/C) (r =1.15m) half</t>
  </si>
  <si>
    <t>White Marble in circle (15-16/C) (r =1.5m) half</t>
  </si>
  <si>
    <t>White Marble in circle (16-17/C-D) (r =1.0m)</t>
  </si>
  <si>
    <t>White Marble in circle (15-16/D) (r =2.0m)</t>
  </si>
  <si>
    <t>White Marble in circle (15-16/E) (r =2.50m)</t>
  </si>
  <si>
    <t>White Marble in circle (15-16/E) (r =1.30m)</t>
  </si>
  <si>
    <t>White Marble in circle (16/F) (r =2.40m)</t>
  </si>
  <si>
    <t>White Marble in circle (15/F) (r =0.75m)</t>
  </si>
  <si>
    <t>White Marble in circle (16/F-G) (r =1.25m)</t>
  </si>
  <si>
    <t>White Marble in circle (15-16/G) (r =2.5m)half</t>
  </si>
  <si>
    <t>Providing &amp; Fixing 40/20mm 100mm x 10mm Polished Finish White Marble Cobbles (Base Rate : 1500) Pre-polished, machine cut of required Size, approved shade, colour &amp; texture laid over 20 mm thk. Base cement mortar 1:4 (1cement : 4 coarse sand), joints treated with matching pigment, epoxy touch ups, etc. complete at all lvls.</t>
  </si>
  <si>
    <t>Providing &amp; Fixing 40/20mm Sawn Finish White Marble (Base Rate : 1200) machine cut of required Size, approved shade, colour &amp; texture laid over 20 mm thk. Base cement mortar 1:4 (1cement : 4 coarse sand), joints treated with matching pigment, epoxy touch ups, etc. complete at all lvls.</t>
  </si>
  <si>
    <t>deduct 600mm dia. Circle stone qty.</t>
  </si>
  <si>
    <t>Providing &amp; Fixing 40mm Natural Finish Red Agra Sandstone (Base Rate : 550) machine cut of required size, approved shade, colour &amp; Texture laid over 20mm thick base cement mortar 1:4 (1cement : 4 coarse sand), Joints treated with white cement, mixed with matching pigment, epoxy touch ups etc. complete at all levels.</t>
  </si>
  <si>
    <t>Agra Red Sandstone in Floor G.Hostel</t>
  </si>
  <si>
    <t>deduct White marble qty.</t>
  </si>
  <si>
    <t>deduct sunken Area</t>
  </si>
  <si>
    <t>deduct green Planter Area Dia. 3.0m (11/D-E), (13/F-G), (15-16/C-D)</t>
  </si>
  <si>
    <t>deduct R.C.C. Wall</t>
  </si>
  <si>
    <t>Earth Eaxcavation for Green Portion (Circular) (drg. No. 5128-16-101)</t>
  </si>
  <si>
    <t>at Grid (8/C-D), Dia. 3.0m (dia.=3+0.46+0.46+0.15+0.15=4.22m)</t>
  </si>
  <si>
    <r>
      <t xml:space="preserve">Earth Excavation for Green Portion (Circular) </t>
    </r>
    <r>
      <rPr>
        <b/>
        <sz val="13"/>
        <color theme="1"/>
        <rFont val="Book Antiqua"/>
        <family val="1"/>
      </rPr>
      <t>(drg. No. 5128-16-101)</t>
    </r>
  </si>
  <si>
    <t>Earth Excavation for Sunken Area</t>
  </si>
  <si>
    <t>excavatio for sunken portion</t>
  </si>
  <si>
    <t>excavtion for Brick Work for Sunken Area</t>
  </si>
  <si>
    <t>excavtion for Brick work for Stair case step in Sunken Area</t>
  </si>
  <si>
    <t>Earth Excavation for Sump or Filter pit for Waterbody</t>
  </si>
  <si>
    <r>
      <t xml:space="preserve">Form Work C/S for Green Portion (Circular) </t>
    </r>
    <r>
      <rPr>
        <b/>
        <sz val="13"/>
        <color theme="1"/>
        <rFont val="Book Antiqua"/>
        <family val="1"/>
      </rPr>
      <t>(drg. No. 5128-16-101)</t>
    </r>
  </si>
  <si>
    <t>Form Work C/S for Half Curved Seat (tie beam &amp; seating platform (drg. No. 5128-16-101)</t>
  </si>
  <si>
    <t>bottom</t>
  </si>
  <si>
    <t>Form Work C/S Qty. Revise for calculation correction</t>
  </si>
  <si>
    <t>Form Work C/S for Green Portion (Circular) (drg. No. 5128-16-101)</t>
  </si>
  <si>
    <t>Form Work C/S for Sump in waterbody (750x750x850) inner size</t>
  </si>
  <si>
    <t>Form Work C/S for Filter Pit in waterbody (1000x1000x1000) inner size</t>
  </si>
  <si>
    <t xml:space="preserve">Extra for Wastage &amp; Cutting Stone in Particular Shape in 40mm natural Finish Kandla Grey Sand Stone </t>
  </si>
  <si>
    <t>Extra for Material wastage for Circular cutting in white marble</t>
  </si>
  <si>
    <t xml:space="preserve">for Waterbody as per drg. No.(Inner dia. 7.0m), dia. </t>
  </si>
  <si>
    <t>base raft dia. 7.0m</t>
  </si>
  <si>
    <t>Sump inner size(750x750x850)</t>
  </si>
  <si>
    <t>Filter Pit (1000x1000x1000)</t>
  </si>
  <si>
    <t>Area-6, Canteen Roof 8.0 m wide from BH-1 side</t>
  </si>
  <si>
    <t>Area-7, Slab near ST-04 (Ramp) Grid H/1~Canteen</t>
  </si>
  <si>
    <t>Parallel to St-04</t>
  </si>
  <si>
    <t>Area-8, Slab Between Canteen &amp; BH-02</t>
  </si>
  <si>
    <t>Area=160.975 Sqm.</t>
  </si>
  <si>
    <t>Area-9, Walkway from Area-8 towards BH-4 (Up to Expansion joint)</t>
  </si>
  <si>
    <t xml:space="preserve">Area-10, Walkway from Gym to BH-4 South side </t>
  </si>
  <si>
    <t>10 Rmt Balance towards Gym</t>
  </si>
  <si>
    <t>Area-11, Trapizoidal Slab at South side of BH-04 (Near Spiral staircase)</t>
  </si>
  <si>
    <t>Area=140.415 Sqm.</t>
  </si>
  <si>
    <t xml:space="preserve">Area-12, Podium Level Slab Over Gym </t>
  </si>
  <si>
    <t>Depth as per level sheet attached</t>
  </si>
  <si>
    <t>D=(0.809+0.661+1.078+0.797+0.782+0.808)/6</t>
  </si>
  <si>
    <t>Excavation under WBM area-</t>
  </si>
  <si>
    <t xml:space="preserve">Backfilling with selected, suitable excavated from  outside or adjacent plots in plinths, back of retaining walls, foundations, under floors and trenches and spreading the remaining soil for specified location as directed by the Project Manager and shall be done in layers, not exceeding 20cm in depth and consolidating each deposited layer by mechanical means, ramming and watering till 95% compaction is achieved or as per specifications including re-excavation, transportation, loading, unloading, carriage to dumping spot and all incidentals at all depth, levels, leads and lifts complete. 
(Net consolidated area fill volume will be computed from the initial and final levels.) </t>
  </si>
  <si>
    <t>Supplying and Filling in plinth, under floor with fine Approved ghagar or local available sand including ramming, watering, consolidating and dressing complete as per specification and as directed by the Project Manager.</t>
  </si>
  <si>
    <t>This bill measurement- Item no 6</t>
  </si>
  <si>
    <t>This bill measurement- Excavation</t>
  </si>
  <si>
    <t>Rs.6,84,56,072.00 (Rupees Six Crore Eighty Four Lac Fifty Six Thousand and Seventy Two Only)</t>
  </si>
  <si>
    <t>As per JMR Date -30.05.2017</t>
  </si>
  <si>
    <t>Page 7</t>
  </si>
  <si>
    <t>Mobilization Advance @5.56% on A</t>
  </si>
  <si>
    <r>
      <rPr>
        <b/>
        <sz val="13"/>
        <color rgb="FFFF0000"/>
        <rFont val="Book Antiqua"/>
        <family val="1"/>
      </rPr>
      <t>Area-14,</t>
    </r>
    <r>
      <rPr>
        <sz val="13"/>
        <color rgb="FFFF0000"/>
        <rFont val="Book Antiqua"/>
        <family val="1"/>
      </rPr>
      <t xml:space="preserve"> area between BH03 &amp; Gym (8/H)</t>
    </r>
  </si>
  <si>
    <r>
      <rPr>
        <b/>
        <sz val="13"/>
        <color rgb="FFFF0000"/>
        <rFont val="Book Antiqua"/>
        <family val="1"/>
      </rPr>
      <t>Area-1,</t>
    </r>
    <r>
      <rPr>
        <sz val="13"/>
        <color rgb="FFFF0000"/>
        <rFont val="Book Antiqua"/>
        <family val="1"/>
      </rPr>
      <t xml:space="preserve"> Road between Waterbody &amp; BH-02 (remaining portion)</t>
    </r>
  </si>
  <si>
    <r>
      <rPr>
        <b/>
        <sz val="13"/>
        <color rgb="FFFF0000"/>
        <rFont val="Book Antiqua"/>
        <family val="1"/>
      </rPr>
      <t>Area-2,</t>
    </r>
    <r>
      <rPr>
        <sz val="13"/>
        <color rgb="FFFF0000"/>
        <rFont val="Book Antiqua"/>
        <family val="1"/>
      </rPr>
      <t xml:space="preserve"> Road between Canteen &amp; BH-02 </t>
    </r>
  </si>
  <si>
    <r>
      <rPr>
        <b/>
        <sz val="13"/>
        <color rgb="FFFF0000"/>
        <rFont val="Book Antiqua"/>
        <family val="1"/>
      </rPr>
      <t>Area-3,</t>
    </r>
    <r>
      <rPr>
        <sz val="13"/>
        <color rgb="FFFF0000"/>
        <rFont val="Book Antiqua"/>
        <family val="1"/>
      </rPr>
      <t xml:space="preserve"> Road south side of BH-04</t>
    </r>
  </si>
  <si>
    <r>
      <rPr>
        <b/>
        <sz val="13"/>
        <color rgb="FFFF0000"/>
        <rFont val="Book Antiqua"/>
        <family val="1"/>
      </rPr>
      <t>Area-4,</t>
    </r>
    <r>
      <rPr>
        <sz val="13"/>
        <color rgb="FFFF0000"/>
        <rFont val="Book Antiqua"/>
        <family val="1"/>
      </rPr>
      <t xml:space="preserve"> Road between BH-03 &amp; Gym</t>
    </r>
  </si>
  <si>
    <t>QUANTITY SHIFTED FROM ITEM NO E.I 03</t>
  </si>
  <si>
    <t>PCC  for Road Toe wall outer parapheri BG-02 to Gym North side</t>
  </si>
  <si>
    <t>DEDUCT BRICK WALL</t>
  </si>
  <si>
    <t>deduct rcc column area</t>
  </si>
  <si>
    <t>deduct toe wall area</t>
  </si>
  <si>
    <t>EXCAVATION P.C.C. or Stone Soling in Waterbody for Sump (900x900x850)</t>
  </si>
  <si>
    <t>EXCAVATION P.C.C. or Stone Soling in Waterbody for Filter Pit (2000x2000x1800)</t>
  </si>
  <si>
    <t>P.C.C. P/L for Brick Work for Green Planter north side of BH-04 (under Transfer Slab) Drg. No. TU/LA-P-206.2 (36'-37'/26-22)</t>
  </si>
  <si>
    <t>longitudianal axies</t>
  </si>
  <si>
    <t>Transverse axies</t>
  </si>
  <si>
    <t>P.C.C. P/L for Brick Work for Green Planter South side of BH-03 towards Basket Ball Ground (Drg. No. TU/LA-P-206.1) (26'-27'/46-51)</t>
  </si>
  <si>
    <t>P.C.C. P/L for Brick Work for Green Planter West side of BH-02 under transfer slab (Drg. No. TU/LA-P-206.1) (7'-14'/32-33)</t>
  </si>
  <si>
    <t>P.C.C. P/L at west side of Basket ball ground (34'-39'/51-52)</t>
  </si>
  <si>
    <t>deduct R.C.C. Col.</t>
  </si>
  <si>
    <t>P.C.C. P/L north side of BH-01, between BH-01 Entrance Door &amp; Green Planter towards canteen</t>
  </si>
  <si>
    <t>P.C.C. P/L north side of BH-04, between BH-04 Entrance Door &amp; Green Planter towards waterbody</t>
  </si>
  <si>
    <t xml:space="preserve">P.C.C. P/L at Waterbody for final finish Lvl. Over waterbody foundation pipe </t>
  </si>
  <si>
    <t>Dia. 20.12m</t>
  </si>
  <si>
    <t>P.C.C. P/L at top of Seprate Seat on Podium</t>
  </si>
  <si>
    <t>P.C.C. on Seat at Canteen Podium (1000x1000)</t>
  </si>
  <si>
    <t>Brick Work for Green Planter north side of BH-04 (under Transfer Slab) Drg. No. TU/LA-P-206.2 (36'-37'/26-22)</t>
  </si>
  <si>
    <t>Brick Work for Green Planter South side of BH-03 towards Basket Ball Ground (Drg. No. TU/LA-P-206.1) (26'-27'/46-51)</t>
  </si>
  <si>
    <t>Brick Work for Green Planter West side of BH-02 under transfer slab (Drg. No. TU/LA-P-206.1) (7'-14'/32-33)</t>
  </si>
  <si>
    <t xml:space="preserve">Brick Work for Seprate Seat </t>
  </si>
  <si>
    <t>Brick work for seprate seat under transfer slab of BH-03 towards Basket Ball Ground</t>
  </si>
  <si>
    <t>Brick work for seprate seat near Basket Ball Ground</t>
  </si>
  <si>
    <t>Brick work for seprate seat under transfer slab of BH-02 towards Gym</t>
  </si>
  <si>
    <t>R.C.C. Tie Beam (230x200) for Green Planter north side of BH-04 (under Transfer Slab) Drg. No. TU/LA-P-206.2 (36'-37'/26-22) (230x200)</t>
  </si>
  <si>
    <t>R.C.C. Tie Beam (230x200) for Green Planter South side of BH-03 towards Basket Ball Ground (Drg. No. TU/LA-P-206.1) (26'-27'/46-51)</t>
  </si>
  <si>
    <t>R.C.C. Tie Beam (230x200) for Green Planter West side of BH-02 under transfer slab (Drg. No. TU/LA-P-206.1) (7'-14'/32-33)</t>
  </si>
  <si>
    <t>R.C.C. P/ at Podium Lvl. For Chess Table (GYM Podium)</t>
  </si>
  <si>
    <t>Chess Tabel (1500x1500)</t>
  </si>
  <si>
    <t>R.C.C. band under seat</t>
  </si>
  <si>
    <t xml:space="preserve">R.C.C. Beam (385x275) for Seprate Seat </t>
  </si>
  <si>
    <t>R.C.C. Beam (385x275) for seprate seat under transfer slab of BH-03 towards Basket Ball Ground</t>
  </si>
  <si>
    <t>R.C.C. Beam (385x275) for seprate seat near Basket Ball Ground</t>
  </si>
  <si>
    <t>R.C.C. Beam (385x275) for seprate seat under transfer slab of BH-02 towards Gym</t>
  </si>
  <si>
    <t>R.C.C. Beam (385x275) for seprate seat under transfer slab of BH-04 towards Waterbody</t>
  </si>
  <si>
    <t>R.C.C. Beam (385x275) for seprate seat under transfer slab of BH-01 towards Canteen</t>
  </si>
  <si>
    <t>R.C.C. Beam (385x275) for seprate seat at waterbody</t>
  </si>
  <si>
    <t xml:space="preserve">R.C.C. P/L at Waterbody  on round Piller </t>
  </si>
  <si>
    <t>Piller dia. (d=0.6), R.C.C. thk. 200 on peripheri</t>
  </si>
  <si>
    <t>WBM P/L at west side of Basket ball ground (34'-39'/51-52)</t>
  </si>
  <si>
    <t>WBM P/L north side of BH-01, between BH-01 Entrance Door &amp; Green Planter towards canteen</t>
  </si>
  <si>
    <t>WBM P/L north side of BH-04, between BH-04 Entrance Door &amp; Green Planter towards waterbody</t>
  </si>
  <si>
    <t>deduct R.C.C Planter under transefer slab</t>
  </si>
  <si>
    <t>deduction for R.C.C. Wall</t>
  </si>
  <si>
    <t>Stair trade</t>
  </si>
  <si>
    <t>side cladding</t>
  </si>
  <si>
    <t>Kandla Sandstone Natural Finish 40mm thk. On Seat Top</t>
  </si>
  <si>
    <t>Seprate Seat under BH-01 Transfer Slan</t>
  </si>
  <si>
    <t>Top face</t>
  </si>
  <si>
    <t>Seprate Seat under BH-04 Transfer Slan</t>
  </si>
  <si>
    <t>Seprate Seat under BH-02 Transfer Slan</t>
  </si>
  <si>
    <t>Seprate Seat under BH-03 Transfer Slan</t>
  </si>
  <si>
    <t>Seat at Green Planter East side of BH-01</t>
  </si>
  <si>
    <t>Seat at Green Planter between BH-04 &amp; BH-07</t>
  </si>
  <si>
    <t>Seat at Green Planter between BH-04 &amp; BH-05</t>
  </si>
  <si>
    <t>Seat between waterbody &amp; Reception</t>
  </si>
  <si>
    <t>Seat at Green Planter between BH-01 &amp; Waterbody</t>
  </si>
  <si>
    <t>Agra Red Sanstone 40mm thk. Natural</t>
  </si>
  <si>
    <t>add north side of green planter</t>
  </si>
  <si>
    <t>deduct honed stone</t>
  </si>
  <si>
    <t>Agra Red Sanstone 40mm thk. Natural at Stair Case Podium</t>
  </si>
  <si>
    <t>40mm thk. Agra Natural Stone at Coping in Cladding of Podium Stair Case at Canteen</t>
  </si>
  <si>
    <t xml:space="preserve">Coping at side cladding in staircase  R.H.S. </t>
  </si>
  <si>
    <t>1st, 2nd &amp; 3rd Flight</t>
  </si>
  <si>
    <t>4th Flight</t>
  </si>
  <si>
    <t>1st, 2nd, 3rd Landing</t>
  </si>
  <si>
    <t xml:space="preserve">Coping at side cladding in staircase  L.H.S. </t>
  </si>
  <si>
    <t>front face for packing</t>
  </si>
  <si>
    <t>Honed 40mm at Canteen Podium  (long)</t>
  </si>
  <si>
    <t xml:space="preserve">Honed 40mm at Gym Podium </t>
  </si>
  <si>
    <t>deduct Chess Table</t>
  </si>
  <si>
    <t>deduct Agra Red Sandstone Polished Finish</t>
  </si>
  <si>
    <t>Serrated Stone at Canteen Podium M4</t>
  </si>
  <si>
    <t>Serrated Stone at Gym Podium M4</t>
  </si>
  <si>
    <t>20mm thk. Agra Natural Stone in Cladding of Podium Stair Case at Canteen</t>
  </si>
  <si>
    <t>Cladding R.H.S. &amp; L.H.S.</t>
  </si>
  <si>
    <t>Providing &amp; Fixing Machine Cut 40 mm thk. Finish Agra Red stone machine cut of required Size, approved shade, colour &amp; texture laid over 20 mm thk. Base cement mortar 1:4 (1cement : 4 coarse sand), joints treated with matching pigment, epoxy touch ups, etc. complete at all lvls. 40 mm thk. Machine cut Finish Agra Red Sand Stone</t>
  </si>
  <si>
    <t xml:space="preserve"> (Base rate Rs 550/Sqm) (Flooring &amp; Seat Coping)</t>
  </si>
  <si>
    <t>Providing &amp; Fixing Machine Cut 40 mm thk. Finish Agra Red stone machine cut of required Size, approved shade, colour &amp; texture laid over 20 mm thk. Base cement mortar 1:4 (1cement : 4 coarse sand), joints treated with matching pigment, epoxy touch ups, etc. complete at all lvls. 40 mm thk. Machine cut Finish Agra Red Sand Stone
 (Base rate Rs 550/Sqm) (Flooring &amp; Seat Coping)</t>
  </si>
  <si>
    <t>Agra Red Sandstone Polished Finish M3 at Floor 40mm thk.</t>
  </si>
  <si>
    <t>at Canteen Podium on Floor</t>
  </si>
  <si>
    <t>at Gym Podium on Floor</t>
  </si>
  <si>
    <t>Agra Red Sandstone Polished Finish M3 at Planter Coping Lvl. 40mm thk.</t>
  </si>
  <si>
    <t>Coping at Planter &amp; Seats at Canteen Podium</t>
  </si>
  <si>
    <t>Planter near stair case (long Planter)</t>
  </si>
  <si>
    <t>Planter (5000x2000)(attached with long planter)</t>
  </si>
  <si>
    <t>long Planter near pargola top coping</t>
  </si>
  <si>
    <t>Seprate Seat top (1000x1000)</t>
  </si>
  <si>
    <t>Coping at Planter &amp; Seats at Gym Podium</t>
  </si>
  <si>
    <t>coping top at long Planter</t>
  </si>
  <si>
    <t>Planter (2685x2300)</t>
  </si>
  <si>
    <t>Planter (2685x2200)</t>
  </si>
  <si>
    <t>Planter (2685x2600)</t>
  </si>
  <si>
    <t>Planter (2632x2000)</t>
  </si>
  <si>
    <t>Chess Table Top (1500x1500)</t>
  </si>
  <si>
    <t>Chess table seat (500x500)</t>
  </si>
  <si>
    <t>Planter near Stiar case (long planter) canteen</t>
  </si>
  <si>
    <t>front face</t>
  </si>
  <si>
    <t>cladding for Planter (5000x2000) attached to long planter</t>
  </si>
  <si>
    <t>Planter seprate (5000x2000) at canteen Podium</t>
  </si>
  <si>
    <t>Planter near pargola (long planter) Canteen</t>
  </si>
  <si>
    <t>cladding for Planter (5000x2000)</t>
  </si>
  <si>
    <t>inner side clading strip of Planter</t>
  </si>
  <si>
    <t>long Planter near Staircase at canteen Podium. (22000x2700)</t>
  </si>
  <si>
    <t>Planter inner side (5000x2000)</t>
  </si>
  <si>
    <t>long Planter near pargola at canteen Podium. (22000x2700)</t>
  </si>
  <si>
    <t>20mm thk. Agra Polish finish for Seat Cladding</t>
  </si>
  <si>
    <t>Seat(1000x1000) Top Lvl. +0.65m</t>
  </si>
  <si>
    <t>Cladding of Planter at Gym Podium</t>
  </si>
  <si>
    <t>20mm thk. Polish Agra at Long Planter near Pargola.</t>
  </si>
  <si>
    <t>Cladding for Planter (5000x2000)</t>
  </si>
  <si>
    <t>side face</t>
  </si>
  <si>
    <t>Cladding for Planter (2685x2300)</t>
  </si>
  <si>
    <t>Cladding for Planter (2685x2200)</t>
  </si>
  <si>
    <t>Cladding for Planter (2685x2600)</t>
  </si>
  <si>
    <t>Cladding for Planter (2632x2000)</t>
  </si>
  <si>
    <t>Cladding for Cheess Table (1500x1500)</t>
  </si>
  <si>
    <t>base cladding on Brick work</t>
  </si>
  <si>
    <t>Cladding strip on table side</t>
  </si>
  <si>
    <t>Cladding for Cheess Table Seat (500x500)</t>
  </si>
  <si>
    <t>Cladding for seat</t>
  </si>
  <si>
    <t>inner Cladding Strip of Planter at Gym Podium</t>
  </si>
  <si>
    <r>
      <t xml:space="preserve">Providing &amp; Fixing </t>
    </r>
    <r>
      <rPr>
        <b/>
        <sz val="14"/>
        <rFont val="Cambria"/>
        <family val="1"/>
        <scheme val="major"/>
      </rPr>
      <t>40mm Leather Finish Kadappa Stone (Base Rate Rs 2000/Sqm)</t>
    </r>
    <r>
      <rPr>
        <sz val="14"/>
        <rFont val="Cambria"/>
        <family val="1"/>
        <scheme val="major"/>
      </rPr>
      <t xml:space="preserve"> machine cut of required Size, approved shade, colour &amp; texture laid over 20 mm thk. Base cement mortar 1:4 (1cement : 4 coarse sand), joints treated with matching pigment, epoxy touch ups, etc. complete at all levels.</t>
    </r>
  </si>
  <si>
    <t>Providing &amp; Fixing 40mm Leather Finish Kadappa Stone (Base Rate Rs 2000/Sqm) machine cut of required Size, approved shade, colour &amp; texture laid over 20 mm thk. Base cement mortar 1:4 (1cement : 4 coarse sand), joints treated with matching pigment, epoxy touch ups, etc. complete at all levels.</t>
  </si>
  <si>
    <t xml:space="preserve">Leather Finish Kadappa Stone under BH-01 Transfer Slab </t>
  </si>
  <si>
    <t xml:space="preserve">Leather Finish Kadappa Stone under BH-04 Transfer Slab </t>
  </si>
  <si>
    <t xml:space="preserve">Leather Finish Kadappa Stone under BH-02 Transfer Slab </t>
  </si>
  <si>
    <t xml:space="preserve">Leather Finish Kadappa Stone under BH-03 Transfer Slab </t>
  </si>
  <si>
    <r>
      <t>Providing &amp; Fixing</t>
    </r>
    <r>
      <rPr>
        <b/>
        <sz val="16"/>
        <rFont val="Cambria"/>
        <family val="1"/>
        <scheme val="major"/>
      </rPr>
      <t xml:space="preserve"> 40mm Polished Kadappa Stone</t>
    </r>
    <r>
      <rPr>
        <sz val="16"/>
        <rFont val="Cambria"/>
        <family val="1"/>
        <scheme val="major"/>
      </rPr>
      <t xml:space="preserve"> prepolished, machine cut of required size, ne cut of required Size, approved shade, colour &amp; texture laid over 20 mm thk. Base cement mortar 1:4 (1cement : 4 coarse sand), joints treated with matching pigment, epoxy touch ups, etc. complete at all levels.
40mm thk. Polished finish Kadappa Stone (Base rate Rs 1750/Sqm) (Seater Coping)</t>
    </r>
  </si>
  <si>
    <t>Providing &amp; Fixing 40mm Polished Kadappa Stone prepolished, machine cut of required size, ne cut of required Size, approved shade, colour &amp; texture laid over 20 mm thk. Base cement mortar 1:4 (1cement : 4 coarse sand), joints treated with matching pigment, epoxy touch ups, etc. complete at all levels.40mm thk. Polished finish Kadappa Stone (Base rate Rs 1750/Sqm) (Seater Coping)</t>
  </si>
  <si>
    <t>40mm thk. Kadappa Polish at Waterbody Coping (top seat Lvl. +0.5m) inner Dia. =20.12m, Outer dia.=21.2m) (Avrg. Dia.=20.66m)</t>
  </si>
  <si>
    <t>Providing &amp; Fixing 20mm Polished Finish Kadappa Stone prepolished, machine cut of required size, ne cut of required Size, approved shade, colour &amp; texture laid over 20 mm thk. Base cement mortar 1:4 (1cement : 4 coarse sand), joints treated with matching pigment, epoxy touch ups, etc. complete at all levels.</t>
  </si>
  <si>
    <t>20mm thk. Kadappa Polish in Waterbody  Dia. =20.12m</t>
  </si>
  <si>
    <t>inner side cladding waterbody</t>
  </si>
  <si>
    <t>outer cladding (D=20.12+0.5*2+0.04*2=21.2m)</t>
  </si>
  <si>
    <r>
      <t xml:space="preserve">Providing &amp; Fixing </t>
    </r>
    <r>
      <rPr>
        <b/>
        <sz val="16"/>
        <rFont val="Cambria"/>
        <family val="1"/>
        <scheme val="major"/>
      </rPr>
      <t>20mm Polished Finish Kadappa Stone</t>
    </r>
    <r>
      <rPr>
        <sz val="16"/>
        <rFont val="Cambria"/>
        <family val="1"/>
        <scheme val="major"/>
      </rPr>
      <t xml:space="preserve"> prepolished, machine cut of required size, ne cut of required Size, approved shade, colour &amp; texture laid over 20 mm thk. Base cement mortar 1:4 (1cement : 4 coarse sand), joints treated with matching pigment, epoxy touch ups, etc. complete at all levels.
(Base rate Rs 1500/Sqm) (Waterbody Cladding &amp; water body base)</t>
    </r>
  </si>
  <si>
    <t>Gunited Spray on Round Piller in Waterbody</t>
  </si>
  <si>
    <t>Piller Dia. (0.6m), Guniting on piller (=0.6+0.+0.2=1.0m)</t>
  </si>
  <si>
    <t>Providing &amp; Fixing in Position 40mm thk stone cover of size 600mm x 600mm as per design for catch basin fixed on Precast concrete with M.S. angle.</t>
  </si>
  <si>
    <t>740x740 (inner size)</t>
  </si>
  <si>
    <t>610x610</t>
  </si>
  <si>
    <t>500x460</t>
  </si>
  <si>
    <t>900x800</t>
  </si>
  <si>
    <t>315x315</t>
  </si>
  <si>
    <t>800x900</t>
  </si>
  <si>
    <t>880x870</t>
  </si>
  <si>
    <t>800x800</t>
  </si>
  <si>
    <t>400x500</t>
  </si>
  <si>
    <t>430x470</t>
  </si>
  <si>
    <t>430x430</t>
  </si>
  <si>
    <t>570x570</t>
  </si>
  <si>
    <t>900x900</t>
  </si>
  <si>
    <t>12mm cement plaster in cement mortar 1:4 on wall etc. with all scaffolding</t>
  </si>
  <si>
    <t>Plater work in Waterbody Sump (900x900)</t>
  </si>
  <si>
    <t>Filterpit (2000x2000x1800)</t>
  </si>
  <si>
    <t>Plaster work at end of Planter in Green Area</t>
  </si>
  <si>
    <t>Planter east side of BH-01</t>
  </si>
  <si>
    <t>Planter between BH-04 &amp; BH-07</t>
  </si>
  <si>
    <t>Planter beteen BH-01 &amp; Waterbody</t>
  </si>
  <si>
    <t>Planter between BH-04 &amp; BH-05</t>
  </si>
  <si>
    <t>Planter back side of Reception</t>
  </si>
  <si>
    <t>Planter front side of Reception</t>
  </si>
  <si>
    <t>Planter front of Gym Toilet</t>
  </si>
  <si>
    <t>Earth Excavation for Brick Work for Green Planter north side of BH-04 (under Transfer Slab) Drg. No. TU/LA-P-206.2 (36'-37'/26-22)</t>
  </si>
  <si>
    <t>Earth Excavation for Brick Work for Green Planter South side of BH-03 towards Basket Ball Ground (Drg. No. TU/LA-P-206.1) (26'-27'/46-51)</t>
  </si>
  <si>
    <t>Earth Excavation for Brick Work for Green Planter West side of BH-02 under transfer slab (Drg. No. TU/LA-P-206.1) (7'-14'/32-33)</t>
  </si>
  <si>
    <t>Form Work C/S for Tie Beam (230x200) for Green Planter north side of BH-04 (under Transfer Slab) Drg. No. TU/LA-P-206.2 (36'-37'/26-22) (230x200)</t>
  </si>
  <si>
    <t>Form Work C/S Tie Beam (230x200) for Green Planter South side of BH-03 towards Basket Ball Ground (Drg. No. TU/LA-P-206.1) (26'-27'/46-51)</t>
  </si>
  <si>
    <t>Form Work C/S Tie Beam (230x200) for Green Planter West side of BH-02 under transfer slab (Drg. No. TU/LA-P-206.1) (7'-14'/32-33)</t>
  </si>
  <si>
    <t>Form Work C/S  at Podium Lvl. For Chess Table (GYM Podium)</t>
  </si>
  <si>
    <t>deduct brick portion</t>
  </si>
  <si>
    <t>R.C.C. band under seat (outer side)</t>
  </si>
  <si>
    <t>side portion</t>
  </si>
  <si>
    <t xml:space="preserve">Form Work C/S  Beam (385x275) for Seprate Seat </t>
  </si>
  <si>
    <t>Form Work C/S  Beam (385x275) for seprate seat under transfer slab of BH-03 towards Basket Ball Ground</t>
  </si>
  <si>
    <t>bottom face</t>
  </si>
  <si>
    <t>Form Work C/S  Beam (385x275) for seprate seat near Basket Ball Ground</t>
  </si>
  <si>
    <t>Form Work C/S Beam (385x275) for seprate seat under transfer slab of BH-04 towards Waterbody</t>
  </si>
  <si>
    <t>Form Work C/S  Beam (385x275) for seprate seat under transfer slab of BH-01 towards Canteen</t>
  </si>
  <si>
    <t>Form Work C/S Beam (385x275) for seprate seat at waterbody</t>
  </si>
  <si>
    <t>P.C.C. P/L at Waterbody for covering of PVC pipe of waterbody (dia.=7.0m)</t>
  </si>
  <si>
    <t>White Marble in circle (20/C) (r=1.750m) half</t>
  </si>
  <si>
    <t>White Marble in circle (18-19/G) (r=2.750m) half</t>
  </si>
  <si>
    <t>White Marble in circle (20/G) (r=2.230m) half</t>
  </si>
  <si>
    <t>White Marble in circle (21-22/F-G) (r=1.50m) half</t>
  </si>
  <si>
    <t xml:space="preserve">White Marble in circle (21/F-G) (r=0.750m) </t>
  </si>
  <si>
    <t xml:space="preserve">White Marble in circle (22-23/F) (r=2.250m) </t>
  </si>
  <si>
    <t xml:space="preserve">White Marble in circle (24/F-G) (r=1.850m) </t>
  </si>
  <si>
    <t xml:space="preserve">White Marble in circle (24-25/F-G) (r=1.30m) </t>
  </si>
  <si>
    <t xml:space="preserve">White Marble in circle (24'/E-F) (r=1.80m) </t>
  </si>
  <si>
    <t xml:space="preserve">White Marble in circle (24'-25/E-F) (r=1.30m) </t>
  </si>
  <si>
    <t xml:space="preserve">White Marble in circle (24'/D-E) (r=2.0m) </t>
  </si>
  <si>
    <t xml:space="preserve">White Marble in circle (24'/C-D) (r=2.0m) </t>
  </si>
  <si>
    <t xml:space="preserve">White Marble in circle (14/C) (r=1.150m) </t>
  </si>
  <si>
    <t xml:space="preserve">White Marble in circle (15-16/C) (r=1.475m) </t>
  </si>
  <si>
    <t xml:space="preserve">White Marble in circle (14-15/B-C) (r=0.750m) </t>
  </si>
  <si>
    <t xml:space="preserve">White Marble in circle (15-16/B') (r=1.50m) </t>
  </si>
  <si>
    <t xml:space="preserve">White Marble in circle (14/B-B') (r=2.10m) </t>
  </si>
  <si>
    <t xml:space="preserve">White Marble in circle (15/B) (r=1.0m) </t>
  </si>
  <si>
    <t xml:space="preserve">White Marble in circle (14-15/A-B) (r=0.75m) </t>
  </si>
  <si>
    <t xml:space="preserve">White Marble in circle (14/A'-B) (r=1.0m) </t>
  </si>
  <si>
    <t xml:space="preserve">White Marble in circle (14-15/A'-B) (r=1.150m) </t>
  </si>
  <si>
    <t>sunken Area Step white ,marble stone</t>
  </si>
  <si>
    <t>stair area, Tread</t>
  </si>
  <si>
    <t>riser</t>
  </si>
  <si>
    <t>stair area</t>
  </si>
  <si>
    <t>c</t>
  </si>
  <si>
    <t>White Marble for Rec. Seat (2000x500)</t>
  </si>
  <si>
    <t>Side Cladding</t>
  </si>
  <si>
    <t>top coping (double stone)</t>
  </si>
  <si>
    <t>d</t>
  </si>
  <si>
    <t>White Marble for Round seat dia. 1.0m</t>
  </si>
  <si>
    <t>top coping (double stone as per detail/engineer in charge)</t>
  </si>
  <si>
    <t>e</t>
  </si>
  <si>
    <t>White Marble for curved seat</t>
  </si>
  <si>
    <t>Curved Seat (20/F)</t>
  </si>
  <si>
    <t>outer cladding</t>
  </si>
  <si>
    <t>inner cladding</t>
  </si>
  <si>
    <t>top coping (double layer)</t>
  </si>
  <si>
    <t>Curved Seat (11/F-G)</t>
  </si>
  <si>
    <t>Curved Seat (12/F)</t>
  </si>
  <si>
    <t>Curved Seat (10/C-D)</t>
  </si>
  <si>
    <t>Curved Seat (9/C-D)</t>
  </si>
  <si>
    <t>Curved Seat (4-5/D)</t>
  </si>
  <si>
    <t>Curved Seat (4-5/D-E)</t>
  </si>
  <si>
    <t>f</t>
  </si>
  <si>
    <t>White Marble on Coping top of Waterbody (double layer stone) as per specification</t>
  </si>
  <si>
    <t>r=4.04m</t>
  </si>
  <si>
    <t>deduct inner area (r=3.5m)</t>
  </si>
  <si>
    <t>White marble cobbles at circle in floor</t>
  </si>
  <si>
    <t>White Marble in circle (18-19/C) (r= 2.50m) half</t>
  </si>
  <si>
    <t xml:space="preserve">White Marble in circle (20/F) (r=3.0m) </t>
  </si>
  <si>
    <t>White Stone P/L on Sunken portion, top coping  face as per direction of Engineer in Charge</t>
  </si>
  <si>
    <t>outer line area</t>
  </si>
  <si>
    <t>deduct inner area</t>
  </si>
  <si>
    <t>Agra Red Sandstone in Floor G.Hostel (17-25/C-G)</t>
  </si>
  <si>
    <t>Agra Red Sandstone in Floor G.Hostel (13-16/A-C) entrance</t>
  </si>
  <si>
    <t>deduct White marble cobbles at circle in floor</t>
  </si>
  <si>
    <t>for Vertical Wall (dia.=7.0m)</t>
  </si>
  <si>
    <t>Dinesh Choudhary</t>
  </si>
  <si>
    <t>RA-5th</t>
  </si>
  <si>
    <t>01-07-2017 To
 31-07-2017</t>
  </si>
  <si>
    <t>Boy's Hostel</t>
  </si>
  <si>
    <t>Bar</t>
  </si>
  <si>
    <t>Nos</t>
  </si>
  <si>
    <t>Total Length of Over Laps</t>
  </si>
  <si>
    <t>Dia.</t>
  </si>
  <si>
    <t>Spacing</t>
  </si>
  <si>
    <t>Shape</t>
  </si>
  <si>
    <t>Block</t>
  </si>
  <si>
    <t>Member</t>
  </si>
  <si>
    <t>Bar per Member</t>
  </si>
  <si>
    <t>U Shape</t>
  </si>
  <si>
    <t>Rectangle</t>
  </si>
  <si>
    <t>Previous Bill Qty. R.A-2</t>
  </si>
  <si>
    <t>RA-3rd B.B.S.</t>
  </si>
  <si>
    <t>Reinft. Detail for Basket Ball Ground (Flooring) (27540x14190)</t>
  </si>
  <si>
    <t>Bottom Main Bar @200C/C</t>
  </si>
  <si>
    <t>Bottom Dis. Bar @200C/C</t>
  </si>
  <si>
    <t>Top Main Bar @200C/C</t>
  </si>
  <si>
    <t>Top Dis. Bar @200C/C</t>
  </si>
  <si>
    <t>Chair</t>
  </si>
  <si>
    <t>Reinft. Detail for Planter near Reception or west side of Waterbody (drg. No. TU/LA-P-206.1) (30'-35'/32-36)</t>
  </si>
  <si>
    <t xml:space="preserve">B.a  </t>
  </si>
  <si>
    <t>B.a.1</t>
  </si>
  <si>
    <t xml:space="preserve"> Beam (230x200) Bottom Bar (31'/32-35)</t>
  </si>
  <si>
    <t xml:space="preserve"> Beam (230x200) Bottom Bar  (32'/32-35)</t>
  </si>
  <si>
    <t xml:space="preserve"> Beam (230x200) Bottom Bar (33'/32-35) </t>
  </si>
  <si>
    <t xml:space="preserve"> Beam (230x200) Bottom Bar (34'/32-35) </t>
  </si>
  <si>
    <t xml:space="preserve"> Beam (230x200) Bottom Bar </t>
  </si>
  <si>
    <t>Reinft. for Planter South sid of BH-02 (drg. No. TU/LA-P-206.1 &amp; 206.2) ( (15'-19'/20-32)</t>
  </si>
  <si>
    <t xml:space="preserve"> Beam (230x200) Bottom Bar (32/15'-19')</t>
  </si>
  <si>
    <t xml:space="preserve"> Beam (230x200) Bottom Bar (31/15'-19')</t>
  </si>
  <si>
    <t xml:space="preserve"> Beam (230x200) Bottom Bar (30/15'-18')</t>
  </si>
  <si>
    <t xml:space="preserve"> Beam (230x200) Bottom Bar (29/15'-17')</t>
  </si>
  <si>
    <t xml:space="preserve"> Beam (385x275) Seat) Bottom Bar</t>
  </si>
  <si>
    <t>Reinft. for Planter South side of BH-02 &amp; BH-03 (drg. No. TU/LA-P-206.1) ( (19'-21'/35-40)</t>
  </si>
  <si>
    <t>Longitudianal axies (40/19'-20') (Beam 230x200)</t>
  </si>
  <si>
    <t>Reinft. for Road Toe wall outer parapheri (Ref. Drg. No. TU/LA-P-203) (1/F-J), (J/1-9), (9/H-J)</t>
  </si>
  <si>
    <t>Reinft. (Tie beam) for Road Toe Wall (1/F-J)</t>
  </si>
  <si>
    <t xml:space="preserve"> Beam (230x200) Bottom Bar (1/F-J)</t>
  </si>
  <si>
    <t xml:space="preserve"> Beam (230x200) Bottom Bar (J/1-9)</t>
  </si>
  <si>
    <t>Straight</t>
  </si>
  <si>
    <t>Reinft. (Tie beam) for Road Toe Wall (9/H-J)</t>
  </si>
  <si>
    <t>F</t>
  </si>
  <si>
    <t>Reinft. For R.C.C. Planter between BH-01 &amp; CanteenPlanter North side of Basket Ball Ground</t>
  </si>
  <si>
    <t xml:space="preserve">F.a  </t>
  </si>
  <si>
    <t xml:space="preserve">F.a.1  </t>
  </si>
  <si>
    <t>L Shape</t>
  </si>
  <si>
    <t xml:space="preserve">F.b </t>
  </si>
  <si>
    <t xml:space="preserve">F.b.1  </t>
  </si>
  <si>
    <t>G</t>
  </si>
  <si>
    <t>Reinft. For R.C.C. Planter  between BH-02 &amp; GYM</t>
  </si>
  <si>
    <t xml:space="preserve">G.a  </t>
  </si>
  <si>
    <t xml:space="preserve">G.a.1  </t>
  </si>
  <si>
    <t xml:space="preserve">G.b </t>
  </si>
  <si>
    <t xml:space="preserve">G.b.1  </t>
  </si>
  <si>
    <t>Reinft. For Waterbody</t>
  </si>
  <si>
    <t>Reinft. Detail  for Base footing of  Waterbody as per drg. No. 5128-6-103 (inner dia. 7.0m), dia. For R.C.C. =20.12+0.2*2+0.6*2=21.72m)</t>
  </si>
  <si>
    <t>H.1</t>
  </si>
  <si>
    <t>Bottom Bar</t>
  </si>
  <si>
    <t>Binder @200C/C</t>
  </si>
  <si>
    <t>Reinft. For Vertical Wall of Waterbody</t>
  </si>
  <si>
    <t>Vertical Bar @150C/C</t>
  </si>
  <si>
    <t>Binder @200C/C for vertical bar</t>
  </si>
  <si>
    <t>top beam bottom bar</t>
  </si>
  <si>
    <t>binder (in beam &amp; in footing)</t>
  </si>
  <si>
    <t xml:space="preserve">spacer </t>
  </si>
  <si>
    <t>G.Total Steel Work</t>
  </si>
  <si>
    <t>Till Previous Bill Quantity.</t>
  </si>
  <si>
    <t xml:space="preserve">R.A.4th Bill </t>
  </si>
  <si>
    <t>Reinft. for Tie beam for Planter near Waterbody &amp; Reception (22'-26'/32-36) Ref. Drg. No. TU/LA-P-206.1</t>
  </si>
  <si>
    <t xml:space="preserve"> Beam (230x200) Bottom Bar (33/22'-26')</t>
  </si>
  <si>
    <t xml:space="preserve"> Beam (230x200) Bottom Bar (34/22'-26')</t>
  </si>
  <si>
    <t xml:space="preserve"> Beam (230x200) Bottom Bar (35/22'-26')</t>
  </si>
  <si>
    <t xml:space="preserve"> Beam (230x200) Bottom Bar (36/22'-26')</t>
  </si>
  <si>
    <t>Reinft. for Road Toe Wall (9/H-J)</t>
  </si>
  <si>
    <t xml:space="preserve"> Beam (230x200) Bottom Bar (9/H-J)</t>
  </si>
  <si>
    <t>Reinft. for Road Toe Wall (9/F-H) basket ball ground &amp; BH-03</t>
  </si>
  <si>
    <t>Reinft. for Fire Tender Wall (parallel to road) (Tie Beam 230x200)</t>
  </si>
  <si>
    <t>D.1</t>
  </si>
  <si>
    <t>D.2</t>
  </si>
  <si>
    <t>Reinft. for green Planter wall BH-07 (west side)</t>
  </si>
  <si>
    <t>D.3</t>
  </si>
  <si>
    <t>D.3.1</t>
  </si>
  <si>
    <t>D.4</t>
  </si>
  <si>
    <t>Reinft. work for fire tender in green planter between BH-04 &amp; BH-07</t>
  </si>
  <si>
    <t>D.5</t>
  </si>
  <si>
    <t>for Fire Tender in Green planter between BH-01 &amp; Waterbody</t>
  </si>
  <si>
    <t>D.6</t>
  </si>
  <si>
    <t xml:space="preserve"> Beam (230x200) Bottom Bar parallel to canteen</t>
  </si>
  <si>
    <t xml:space="preserve"> Beam (230x200) Bottom Bar parallel to BH-02 towards canteen (east face)</t>
  </si>
  <si>
    <t>D.7</t>
  </si>
  <si>
    <t>D.7.1</t>
  </si>
  <si>
    <t>D.7.2</t>
  </si>
  <si>
    <t xml:space="preserve"> Beam (230x200) Bottom Bar fire tender wall west side of reception</t>
  </si>
  <si>
    <t>D.8</t>
  </si>
  <si>
    <t>D.9</t>
  </si>
  <si>
    <t xml:space="preserve"> Beam (230x200) Bottom Bar basket ball ground planter to BH-03 corner(front of Gym)</t>
  </si>
  <si>
    <t>Reinft. for Waterbody Raft (Hold Portion)</t>
  </si>
  <si>
    <t>Reinft.for Waterbody as per drg. No.(Inner dia. 20.12m), dia. For P.C.C. =20.12+0.2*2+0.6*2=21.720m)</t>
  </si>
  <si>
    <t>Main Bottom Bar @ 150 C/C</t>
  </si>
  <si>
    <t>Dis. Bottom Bar @ 150 C/C</t>
  </si>
  <si>
    <t>Main Top Bar @ 150 C/C</t>
  </si>
  <si>
    <t>Dis. Top Bar @ 150 C/C</t>
  </si>
  <si>
    <t>Reinft. For Sump in waterbody for Sump in waterbody (900x900x850) inner size</t>
  </si>
  <si>
    <t>Base Footing</t>
  </si>
  <si>
    <t>Main Bar Top &amp; Bottom</t>
  </si>
  <si>
    <t>Dis. Bar Top &amp; Bottom</t>
  </si>
  <si>
    <t>Vertical Bar (Wall) (inner side)</t>
  </si>
  <si>
    <t>Vertical Bar (Wall) (outer side)</t>
  </si>
  <si>
    <t>binder in wall (inner side)</t>
  </si>
  <si>
    <t>binder in wall (outer side)</t>
  </si>
  <si>
    <t>Spacer</t>
  </si>
  <si>
    <t>Reinft. For Sump in waterbody for Filter Pit in waterbody (2000x2000x1800) inner size</t>
  </si>
  <si>
    <t>G.Total Reinft. Work (Previous + This Bill)</t>
  </si>
  <si>
    <t xml:space="preserve">R.A.5th Bill </t>
  </si>
  <si>
    <t>Reinft. Detail for Chess Table (1440x1440)</t>
  </si>
  <si>
    <t>Main Bar @200C/C</t>
  </si>
  <si>
    <t xml:space="preserve">Dis. Bar @200C/C </t>
  </si>
  <si>
    <t xml:space="preserve">Reinft. For Seprate  Beam (385x275) </t>
  </si>
  <si>
    <t>Reinft. for  Beam (385x275) for seprate seat near Basket Ball Ground</t>
  </si>
  <si>
    <t>Reinft. Detail for Beam (385x275) for seprate seat under transfer slab of BH-01 towards Canteen</t>
  </si>
  <si>
    <t>Reinft. Detail for Beam (385x275) for seprate seat at waterbody</t>
  </si>
  <si>
    <t>G.Total Qty.</t>
  </si>
  <si>
    <t>Mesurement same as Excavation-</t>
  </si>
  <si>
    <t>LESS THIS BILL QUANTITY</t>
  </si>
  <si>
    <t>QUANTITY SHIFTED FROM E.I.03</t>
  </si>
  <si>
    <t>PLANTER EDGE PLASTER NOT PAYBLE</t>
  </si>
  <si>
    <t>DEDUCT FOR TOP RAILING 50MM</t>
  </si>
  <si>
    <t>PLANTER</t>
  </si>
  <si>
    <t>DEDUCT CHESS TABLE</t>
  </si>
  <si>
    <t>DEDUCT</t>
  </si>
  <si>
    <t xml:space="preserve">CIRCULAR PART </t>
  </si>
  <si>
    <t>SHEAR WALL</t>
  </si>
  <si>
    <t>DEDUCT SEAT MERGE IN CIRCULAR PART</t>
  </si>
  <si>
    <t>DEDUCT COL.</t>
  </si>
  <si>
    <t>DEDUCT PLANTER</t>
  </si>
  <si>
    <t>COL.</t>
  </si>
  <si>
    <t>ROUND COL.</t>
  </si>
  <si>
    <t>GREEN PLANTER</t>
  </si>
  <si>
    <t>SINGLE SEAT</t>
  </si>
  <si>
    <t>DEDUCT ROUND COL.</t>
  </si>
  <si>
    <t>DEDUCT RISED PART(AREA)</t>
  </si>
  <si>
    <t>DEDUCT MAIN HOLE QUANTITY</t>
  </si>
  <si>
    <t>6th RA</t>
  </si>
  <si>
    <t>RA-5</t>
  </si>
  <si>
    <r>
      <rPr>
        <b/>
        <sz val="12"/>
        <color rgb="FF7030A0"/>
        <rFont val="Book Antiqua"/>
        <family val="1"/>
      </rPr>
      <t>Area-1</t>
    </r>
    <r>
      <rPr>
        <sz val="12"/>
        <color rgb="FF7030A0"/>
        <rFont val="Book Antiqua"/>
        <family val="1"/>
      </rPr>
      <t>, Canteen to BH-01 passage (remaining portion)</t>
    </r>
  </si>
  <si>
    <r>
      <rPr>
        <b/>
        <sz val="12"/>
        <color rgb="FF7030A0"/>
        <rFont val="Book Antiqua"/>
        <family val="1"/>
      </rPr>
      <t>Area-2</t>
    </r>
    <r>
      <rPr>
        <sz val="12"/>
        <color rgb="FF7030A0"/>
        <rFont val="Book Antiqua"/>
        <family val="1"/>
      </rPr>
      <t>, Agra natural at passage canteen to BH-04 connection between BH-02 &amp; BH-01</t>
    </r>
  </si>
  <si>
    <r>
      <rPr>
        <b/>
        <sz val="12"/>
        <color rgb="FF7030A0"/>
        <rFont val="Book Antiqua"/>
        <family val="1"/>
      </rPr>
      <t>Area-3,</t>
    </r>
    <r>
      <rPr>
        <sz val="12"/>
        <color rgb="FF7030A0"/>
        <rFont val="Book Antiqua"/>
        <family val="1"/>
      </rPr>
      <t xml:space="preserve"> Agra natural at podium west side of canteen &amp; Bh-02 east side near Pargola</t>
    </r>
  </si>
  <si>
    <r>
      <rPr>
        <b/>
        <sz val="12"/>
        <color rgb="FF7030A0"/>
        <rFont val="Book Antiqua"/>
        <family val="1"/>
      </rPr>
      <t>Area-3.1,</t>
    </r>
    <r>
      <rPr>
        <sz val="12"/>
        <color rgb="FF7030A0"/>
        <rFont val="Book Antiqua"/>
        <family val="1"/>
      </rPr>
      <t xml:space="preserve"> Agra at Canteen Podium parallel to BH-01</t>
    </r>
  </si>
  <si>
    <r>
      <rPr>
        <b/>
        <sz val="12"/>
        <color rgb="FF7030A0"/>
        <rFont val="Book Antiqua"/>
        <family val="1"/>
      </rPr>
      <t>Area-4</t>
    </r>
    <r>
      <rPr>
        <sz val="12"/>
        <color rgb="FF7030A0"/>
        <rFont val="Book Antiqua"/>
        <family val="1"/>
      </rPr>
      <t>, agra Natural at Podium South side of BH-01</t>
    </r>
  </si>
  <si>
    <r>
      <rPr>
        <b/>
        <sz val="12"/>
        <color rgb="FF7030A0"/>
        <rFont val="Book Antiqua"/>
        <family val="1"/>
      </rPr>
      <t>Area-4.1,</t>
    </r>
    <r>
      <rPr>
        <sz val="12"/>
        <color rgb="FF7030A0"/>
        <rFont val="Book Antiqua"/>
        <family val="1"/>
      </rPr>
      <t xml:space="preserve"> agra at east side of BH-01 passage parallel to outer road</t>
    </r>
  </si>
  <si>
    <r>
      <rPr>
        <b/>
        <sz val="12"/>
        <color rgb="FF7030A0"/>
        <rFont val="Book Antiqua"/>
        <family val="1"/>
      </rPr>
      <t>Area-5,</t>
    </r>
    <r>
      <rPr>
        <sz val="12"/>
        <color rgb="FF7030A0"/>
        <rFont val="Book Antiqua"/>
        <family val="1"/>
      </rPr>
      <t xml:space="preserve"> Agra natural at Gym Podium</t>
    </r>
  </si>
  <si>
    <r>
      <rPr>
        <b/>
        <sz val="12"/>
        <color rgb="FF7030A0"/>
        <rFont val="Book Antiqua"/>
        <family val="1"/>
      </rPr>
      <t>Area-6,</t>
    </r>
    <r>
      <rPr>
        <sz val="12"/>
        <color rgb="FF7030A0"/>
        <rFont val="Book Antiqua"/>
        <family val="1"/>
      </rPr>
      <t xml:space="preserve"> Agra at Gym Podium (south side) near at junction of BH-03</t>
    </r>
  </si>
  <si>
    <r>
      <rPr>
        <b/>
        <sz val="12"/>
        <color rgb="FF7030A0"/>
        <rFont val="Book Antiqua"/>
        <family val="1"/>
      </rPr>
      <t>Area-7</t>
    </r>
    <r>
      <rPr>
        <sz val="12"/>
        <color rgb="FF7030A0"/>
        <rFont val="Book Antiqua"/>
        <family val="1"/>
      </rPr>
      <t>, Agra Natural 40mm at Podium passage Basket Ball ground to BH-04 south corner</t>
    </r>
  </si>
  <si>
    <r>
      <rPr>
        <b/>
        <sz val="12"/>
        <color rgb="FF7030A0"/>
        <rFont val="Book Antiqua"/>
        <family val="1"/>
      </rPr>
      <t>Area-8,</t>
    </r>
    <r>
      <rPr>
        <sz val="12"/>
        <color rgb="FF7030A0"/>
        <rFont val="Book Antiqua"/>
        <family val="1"/>
      </rPr>
      <t xml:space="preserve"> Agra natural at Podium passage above basket ball corner to BH-03 expansion joint</t>
    </r>
  </si>
  <si>
    <r>
      <rPr>
        <b/>
        <sz val="12"/>
        <color rgb="FF7030A0"/>
        <rFont val="Book Antiqua"/>
        <family val="1"/>
      </rPr>
      <t>Ara-9,</t>
    </r>
    <r>
      <rPr>
        <sz val="12"/>
        <color rgb="FF7030A0"/>
        <rFont val="Book Antiqua"/>
        <family val="1"/>
      </rPr>
      <t xml:space="preserve"> at Gym podium back side of long planter near pargola</t>
    </r>
  </si>
  <si>
    <r>
      <rPr>
        <b/>
        <sz val="12"/>
        <color rgb="FF7030A0"/>
        <rFont val="Book Antiqua"/>
        <family val="1"/>
      </rPr>
      <t>Area-10,</t>
    </r>
    <r>
      <rPr>
        <sz val="12"/>
        <color rgb="FF7030A0"/>
        <rFont val="Book Antiqua"/>
        <family val="1"/>
      </rPr>
      <t xml:space="preserve"> gym podium north side of pargola passage</t>
    </r>
  </si>
  <si>
    <r>
      <rPr>
        <b/>
        <sz val="12"/>
        <color rgb="FF7030A0"/>
        <rFont val="Book Antiqua"/>
        <family val="1"/>
      </rPr>
      <t>Area-11,</t>
    </r>
    <r>
      <rPr>
        <sz val="12"/>
        <color rgb="FF7030A0"/>
        <rFont val="Book Antiqua"/>
        <family val="1"/>
      </rPr>
      <t xml:space="preserve"> Agra Natural Stone at Podium Passage Canteen to Gym (J/4-8)</t>
    </r>
  </si>
  <si>
    <r>
      <rPr>
        <b/>
        <sz val="12"/>
        <color rgb="FF7030A0"/>
        <rFont val="Book Antiqua"/>
        <family val="1"/>
      </rPr>
      <t>Area-12,</t>
    </r>
    <r>
      <rPr>
        <sz val="12"/>
        <color rgb="FF7030A0"/>
        <rFont val="Book Antiqua"/>
        <family val="1"/>
      </rPr>
      <t xml:space="preserve"> Agra Natural Stone parallel to BH-02 taper side Podium Passage Canteen to Gym</t>
    </r>
  </si>
  <si>
    <r>
      <rPr>
        <b/>
        <sz val="12"/>
        <color rgb="FF7030A0"/>
        <rFont val="Book Antiqua"/>
        <family val="1"/>
      </rPr>
      <t>Area-1,</t>
    </r>
    <r>
      <rPr>
        <sz val="12"/>
        <color rgb="FF7030A0"/>
        <rFont val="Book Antiqua"/>
        <family val="1"/>
      </rPr>
      <t xml:space="preserve"> under BH-01 Transfer Slab</t>
    </r>
  </si>
  <si>
    <r>
      <rPr>
        <b/>
        <sz val="12"/>
        <color rgb="FF7030A0"/>
        <rFont val="Book Antiqua"/>
        <family val="1"/>
      </rPr>
      <t>Area-2,</t>
    </r>
    <r>
      <rPr>
        <sz val="12"/>
        <color rgb="FF7030A0"/>
        <rFont val="Book Antiqua"/>
        <family val="1"/>
      </rPr>
      <t xml:space="preserve"> north side of Canteen (outer side)</t>
    </r>
  </si>
  <si>
    <r>
      <rPr>
        <b/>
        <sz val="12"/>
        <color rgb="FF7030A0"/>
        <rFont val="Book Antiqua"/>
        <family val="1"/>
      </rPr>
      <t>Area-3</t>
    </r>
    <r>
      <rPr>
        <sz val="12"/>
        <color rgb="FF7030A0"/>
        <rFont val="Book Antiqua"/>
        <family val="1"/>
      </rPr>
      <t>, north side of BH-02 (outer side)</t>
    </r>
  </si>
  <si>
    <r>
      <rPr>
        <b/>
        <sz val="12"/>
        <color rgb="FF7030A0"/>
        <rFont val="Book Antiqua"/>
        <family val="1"/>
      </rPr>
      <t>Area-4,</t>
    </r>
    <r>
      <rPr>
        <sz val="12"/>
        <color rgb="FF7030A0"/>
        <rFont val="Book Antiqua"/>
        <family val="1"/>
      </rPr>
      <t xml:space="preserve"> kandla stone at Green Planter between BH-01 &amp; Waterbody</t>
    </r>
  </si>
  <si>
    <r>
      <rPr>
        <b/>
        <sz val="12"/>
        <color rgb="FF7030A0"/>
        <rFont val="Book Antiqua"/>
        <family val="1"/>
      </rPr>
      <t>Area-5</t>
    </r>
    <r>
      <rPr>
        <sz val="12"/>
        <color rgb="FF7030A0"/>
        <rFont val="Book Antiqua"/>
        <family val="1"/>
      </rPr>
      <t>, area between Gym Toilet &amp; BH-02 long planter</t>
    </r>
  </si>
  <si>
    <r>
      <rPr>
        <b/>
        <sz val="12"/>
        <color rgb="FF7030A0"/>
        <rFont val="Book Antiqua"/>
        <family val="1"/>
      </rPr>
      <t>Area-6</t>
    </r>
    <r>
      <rPr>
        <sz val="12"/>
        <color rgb="FF7030A0"/>
        <rFont val="Book Antiqua"/>
        <family val="1"/>
      </rPr>
      <t>, area under Transfer Slab of Bh-02 between Gym</t>
    </r>
  </si>
  <si>
    <r>
      <rPr>
        <b/>
        <sz val="12"/>
        <color rgb="FF7030A0"/>
        <rFont val="Book Antiqua"/>
        <family val="1"/>
      </rPr>
      <t>Area-7,</t>
    </r>
    <r>
      <rPr>
        <sz val="12"/>
        <color rgb="FF7030A0"/>
        <rFont val="Book Antiqua"/>
        <family val="1"/>
      </rPr>
      <t xml:space="preserve"> area east side of BH-03 &amp; at road junction</t>
    </r>
  </si>
  <si>
    <r>
      <rPr>
        <b/>
        <sz val="12"/>
        <color rgb="FF7030A0"/>
        <rFont val="Book Antiqua"/>
        <family val="1"/>
      </rPr>
      <t>Area-8,</t>
    </r>
    <r>
      <rPr>
        <sz val="12"/>
        <color rgb="FF7030A0"/>
        <rFont val="Book Antiqua"/>
        <family val="1"/>
      </rPr>
      <t xml:space="preserve"> area between north side of BH-03 &amp; south side of Gym</t>
    </r>
  </si>
  <si>
    <r>
      <rPr>
        <b/>
        <sz val="12"/>
        <color rgb="FF7030A0"/>
        <rFont val="Book Antiqua"/>
        <family val="1"/>
      </rPr>
      <t>Area-9</t>
    </r>
    <r>
      <rPr>
        <sz val="12"/>
        <color rgb="FF7030A0"/>
        <rFont val="Book Antiqua"/>
        <family val="1"/>
      </rPr>
      <t>, area between west side of Gym &amp; north side of BH-03</t>
    </r>
  </si>
  <si>
    <r>
      <rPr>
        <b/>
        <sz val="12"/>
        <color rgb="FF7030A0"/>
        <rFont val="Book Antiqua"/>
        <family val="1"/>
      </rPr>
      <t>Area-10,</t>
    </r>
    <r>
      <rPr>
        <sz val="12"/>
        <color rgb="FF7030A0"/>
        <rFont val="Book Antiqua"/>
        <family val="1"/>
      </rPr>
      <t xml:space="preserve"> area under Transfer Slab of BH-03 between basket ball ground </t>
    </r>
  </si>
  <si>
    <r>
      <rPr>
        <b/>
        <sz val="12"/>
        <color rgb="FF7030A0"/>
        <rFont val="Book Antiqua"/>
        <family val="1"/>
      </rPr>
      <t>Area-11</t>
    </r>
    <r>
      <rPr>
        <sz val="12"/>
        <color rgb="FF7030A0"/>
        <rFont val="Book Antiqua"/>
        <family val="1"/>
      </rPr>
      <t xml:space="preserve">, Kandla Stone back side of Basket Ball Ground </t>
    </r>
  </si>
  <si>
    <r>
      <rPr>
        <b/>
        <sz val="12"/>
        <color rgb="FF7030A0"/>
        <rFont val="Book Antiqua"/>
        <family val="1"/>
      </rPr>
      <t>Area-12</t>
    </r>
    <r>
      <rPr>
        <sz val="12"/>
        <color rgb="FF7030A0"/>
        <rFont val="Book Antiqua"/>
        <family val="1"/>
      </rPr>
      <t>, Kandla Stone on Entrace Ramp of BH-01, BH-02, BH-03, BH-04</t>
    </r>
  </si>
  <si>
    <r>
      <rPr>
        <b/>
        <sz val="13"/>
        <color rgb="FF7030A0"/>
        <rFont val="Book Antiqua"/>
        <family val="1"/>
      </rPr>
      <t>Area-1,</t>
    </r>
    <r>
      <rPr>
        <sz val="13"/>
        <color rgb="FF7030A0"/>
        <rFont val="Book Antiqua"/>
        <family val="1"/>
      </rPr>
      <t xml:space="preserve"> Road between Waterbody &amp; BH-02 (remaining portion)</t>
    </r>
  </si>
  <si>
    <r>
      <rPr>
        <b/>
        <sz val="13"/>
        <color rgb="FF7030A0"/>
        <rFont val="Book Antiqua"/>
        <family val="1"/>
      </rPr>
      <t>Area-2,</t>
    </r>
    <r>
      <rPr>
        <sz val="13"/>
        <color rgb="FF7030A0"/>
        <rFont val="Book Antiqua"/>
        <family val="1"/>
      </rPr>
      <t xml:space="preserve"> Road between Canteen &amp; BH-02 </t>
    </r>
  </si>
  <si>
    <r>
      <rPr>
        <b/>
        <sz val="13"/>
        <color rgb="FF7030A0"/>
        <rFont val="Book Antiqua"/>
        <family val="1"/>
      </rPr>
      <t>Area-3,</t>
    </r>
    <r>
      <rPr>
        <sz val="13"/>
        <color rgb="FF7030A0"/>
        <rFont val="Book Antiqua"/>
        <family val="1"/>
      </rPr>
      <t xml:space="preserve"> Road south side of BH-04</t>
    </r>
  </si>
  <si>
    <r>
      <rPr>
        <b/>
        <sz val="13"/>
        <color rgb="FF7030A0"/>
        <rFont val="Book Antiqua"/>
        <family val="1"/>
      </rPr>
      <t>Area-4,</t>
    </r>
    <r>
      <rPr>
        <sz val="13"/>
        <color rgb="FF7030A0"/>
        <rFont val="Book Antiqua"/>
        <family val="1"/>
      </rPr>
      <t xml:space="preserve"> Road between BH-03 &amp; Gym</t>
    </r>
  </si>
  <si>
    <t>Reclaim</t>
  </si>
  <si>
    <t>Mesurement same as WBM-</t>
  </si>
  <si>
    <t>P.C.C. P/L for Light Pole Foundation near Basket Ball Ground (900x900)</t>
  </si>
  <si>
    <t>P.C.C. on top Floor after earth backfilling for Stone Laying</t>
  </si>
  <si>
    <t>P.C.C. P/L for Basket Ball Ground  Pole Foundation (1500x1500)</t>
  </si>
  <si>
    <t>R.A. - Pre Final</t>
  </si>
  <si>
    <t>Previous Bill Qty.</t>
  </si>
  <si>
    <t>5th R.A.</t>
  </si>
  <si>
    <t xml:space="preserve">R.A.6th </t>
  </si>
  <si>
    <t>Reinft. For Light Pole Foundation near Baket Ball Ground</t>
  </si>
  <si>
    <t>Footing for Light Pole (900x900)</t>
  </si>
  <si>
    <t>Dis. Bar @200C/C</t>
  </si>
  <si>
    <t>Pedestal Vertical Bar</t>
  </si>
  <si>
    <t>Tie (170x170)</t>
  </si>
  <si>
    <t>Reinft. For Foundation of Baket Ball Ground Pole</t>
  </si>
  <si>
    <t>Footing for Light Pole (1500x1500)</t>
  </si>
  <si>
    <t>Main Bar @150C/C (Top &amp; Bottom)</t>
  </si>
  <si>
    <t>Dis. Bar @150C/C (Top &amp; Bottom)</t>
  </si>
  <si>
    <t>side bar for support</t>
  </si>
  <si>
    <t>Tie (420x420)</t>
  </si>
  <si>
    <t>(148x148)</t>
  </si>
  <si>
    <t>R.C.C. P/L for Light Pole Foundation near Basket Ball Ground (900x900)</t>
  </si>
  <si>
    <t>Pedestal (250x250)</t>
  </si>
  <si>
    <t>R.C.C. P/L for Basket Ball Ground  Pole Foundation (1500x1500)</t>
  </si>
  <si>
    <t>Pedestal (500x500)</t>
  </si>
  <si>
    <t>Area-1, Podium Passage parallel to BH-04 West side</t>
  </si>
  <si>
    <t>Area-1, Podium Passage parallel to BH-04 South side</t>
  </si>
  <si>
    <t>Area-2, Podium Passage parallel to BH-05 West side (remaining portion)</t>
  </si>
  <si>
    <t xml:space="preserve">Area-3, Podium Passage parallel to BH-03 to Gym Podium West side </t>
  </si>
  <si>
    <t>Area-4,Gym Podium east side near Pargola passage</t>
  </si>
  <si>
    <t>Agra Natural Sandstone P/L at Canteen Podium for Making of Drain after fixing of Stone (Rework) as per direction of Engineer in Charge</t>
  </si>
  <si>
    <t>Drain Stone parallel to BH-02 at Canteen Face</t>
  </si>
  <si>
    <t>Drain Stone parallel to Pargola at canteen</t>
  </si>
  <si>
    <t>Drain Stone north side of canteen pargola parallel to outer railing</t>
  </si>
  <si>
    <t>Drain parallel to long planter near stair case at canteen (east face)</t>
  </si>
  <si>
    <t>south face of planter, Drain</t>
  </si>
  <si>
    <t>Qty. Rewise due to calculation correction</t>
  </si>
  <si>
    <t>Area-1, Canteen to BH-01 passage (remaining portion)</t>
  </si>
  <si>
    <t>Area-2, Agra natural at passage canteen to BH-04 connection between BH-02 &amp; BH-01</t>
  </si>
  <si>
    <t>Area-3, Agra natural at podium west side of canteen &amp; Bh-02 east side near Pargola</t>
  </si>
  <si>
    <t>Area-3.1, Agra at Canteen Podium parallel to BH-01</t>
  </si>
  <si>
    <t>Area-4, agra Natural at Podium South side of BH-01</t>
  </si>
  <si>
    <t>Area-4.1, agra at east side of BH-01 passage parallel to outer road</t>
  </si>
  <si>
    <t>Area-5, Agra natural at Gym Podium</t>
  </si>
  <si>
    <t>Area-6, Agra at Gym Podium (south side) near at junction of BH-03</t>
  </si>
  <si>
    <t>Area-7, Agra Natural 40mm at Podium passage Basket Ball ground to BH-04 south corner</t>
  </si>
  <si>
    <t>Area-8, Agra natural at Podium passage above basket ball corner to BH-03 expansion joint</t>
  </si>
  <si>
    <t>Ara-9, at Gym podium back side of long planter near pargola</t>
  </si>
  <si>
    <t>Area-10, gym podium north side of pargola passage</t>
  </si>
  <si>
    <t>Area-11, Agra Natural Stone at Podium Passage Canteen to Gym (J/4-8)</t>
  </si>
  <si>
    <t>Area-12, Agra Natural Stone parallel to BH-02 taper side Podium Passage Canteen to Gym</t>
  </si>
  <si>
    <t>Rewised Corrected Calculation Agra Red Sanstone 40mm thk. Natural</t>
  </si>
  <si>
    <t>Podium Stair Case at Canteen Riser</t>
  </si>
  <si>
    <t>a.2</t>
  </si>
  <si>
    <t>Kanda Stone under Transfer Slab Parallel to green Planter or Wall of BH-01</t>
  </si>
  <si>
    <t>Kanda Stone Parallel to long green Planter or Wall of BH-01 towards face of waterbody</t>
  </si>
  <si>
    <t>Kanda Stone Parallel to long green Planter or Wall of BH-02 towards face of waterbody (south face waterbody)</t>
  </si>
  <si>
    <t>Kanda Stone Parallel to long green Planter or Wall of BH-04 towards face of BH-07 (west face)</t>
  </si>
  <si>
    <t>Kandla Stone under Transer Slan BH-04 near Green Planter</t>
  </si>
  <si>
    <t>BH-04 green Planter East side (face basket ball ground)</t>
  </si>
  <si>
    <t>BH-02 transfer slab near ramp</t>
  </si>
  <si>
    <t>BH-03 transfer slab near ramp</t>
  </si>
  <si>
    <t>Kandl Stone side of BH-05 west face(towards BH-04)</t>
  </si>
  <si>
    <t xml:space="preserve">Kandla Stone 40mm thk. For Seat </t>
  </si>
  <si>
    <t>Seat at Green Planter of Basket Ball Ground</t>
  </si>
  <si>
    <t>Seat between waterbody &amp; BH-02 long Planter</t>
  </si>
  <si>
    <t>Seat at Green Planter BH-02 North face</t>
  </si>
  <si>
    <t>Seat at Green Planter of Gym East side frontof BH-03</t>
  </si>
  <si>
    <t>Kandla Stone P/Fixing Rework after stone demolished by other agencies as per direction of Engineer in Charge (JMR attached)</t>
  </si>
  <si>
    <t>between BH-02 &amp; BH-04 Canteen area (1.092x0.292)</t>
  </si>
  <si>
    <t>infront of Canteen</t>
  </si>
  <si>
    <t>BH-02 near Ramp</t>
  </si>
  <si>
    <t>BH-03</t>
  </si>
  <si>
    <t>BH-01</t>
  </si>
  <si>
    <t>Kandla Sandstone Natural Finish 20mm thk. On Seat</t>
  </si>
  <si>
    <t>Seprate Seat near basket ball ground</t>
  </si>
  <si>
    <t>Seprate Seat near Waterbody</t>
  </si>
  <si>
    <t>g</t>
  </si>
  <si>
    <t>h</t>
  </si>
  <si>
    <t>i</t>
  </si>
  <si>
    <t>j</t>
  </si>
  <si>
    <t>Seat at Green Planter of basket ball ground</t>
  </si>
  <si>
    <t>k</t>
  </si>
  <si>
    <t>Seat at Green Planter south sid eof BH-02 (long planter) between BH-02 &amp; Waterbody</t>
  </si>
  <si>
    <t>l</t>
  </si>
  <si>
    <t xml:space="preserve">Seat at Green Planter north side of BH-02 </t>
  </si>
  <si>
    <t>m</t>
  </si>
  <si>
    <t>Seat at Green Planter between BH-01 &amp; waterbody</t>
  </si>
  <si>
    <t>n</t>
  </si>
  <si>
    <t>Seat at Green Planter west side of Gym</t>
  </si>
  <si>
    <t>Area-4, kandla stone at Green Planter between BH-01 &amp; Waterbody</t>
  </si>
  <si>
    <t>Revise Qty. due to calculation Correction</t>
  </si>
  <si>
    <t>actual Qty.</t>
  </si>
  <si>
    <t>20mm thk. Kadappa Polish in waterboy Podium Coumn Cladding (dia.1.2m)</t>
  </si>
  <si>
    <t>top coping</t>
  </si>
  <si>
    <t xml:space="preserve">Area  </t>
  </si>
  <si>
    <t>600x600</t>
  </si>
  <si>
    <t>950x950</t>
  </si>
  <si>
    <t>1100x1100</t>
  </si>
  <si>
    <t>Each</t>
  </si>
  <si>
    <t>750x750</t>
  </si>
  <si>
    <t>550x550</t>
  </si>
  <si>
    <t>1000x1000</t>
  </si>
  <si>
    <t>870x880</t>
  </si>
  <si>
    <t>Providing &amp; laying Drain Cell of 20mm thk. (Ovilite or similar item) composed of high density polythene (HDPE) &amp; Joint to a non woven geotextile of calendered polypropylene of not less than 120g/sqm or equivalent. Joints to overlapping at Nodule height should not be less than 7.3+/-0.2mm</t>
  </si>
  <si>
    <t>GEO TEXTILE AND DRAINCELL</t>
  </si>
  <si>
    <t>Drain Cell P/L at G.Floor R.C.C. Planter</t>
  </si>
  <si>
    <t>drain Cell P/L in R.C.C. Planter under BH-01 Transfer Slab</t>
  </si>
  <si>
    <t>drain Cell P/L in R.C.C. Planter under BH-02 Transfer Slab</t>
  </si>
  <si>
    <t>drain Cell P/L in R.C.C. Planter under BH-03 Transfer Slab</t>
  </si>
  <si>
    <t>drain Cell P/L in R.C.C. Planter under BH-04 Transfer Slab</t>
  </si>
  <si>
    <t>Drain Cell P/L at Podium Planter</t>
  </si>
  <si>
    <t xml:space="preserve">Drain Cell at Canteen Podium </t>
  </si>
  <si>
    <t>Long Planter near Stair Case</t>
  </si>
  <si>
    <t>Drain Cell in Planter near Pargola at Canteen</t>
  </si>
  <si>
    <t xml:space="preserve">Drain Cell at Gym Podium </t>
  </si>
  <si>
    <t>long Planter near Pargola</t>
  </si>
  <si>
    <t>deduction</t>
  </si>
  <si>
    <t>Planter</t>
  </si>
  <si>
    <t>Eacavation for Light Pole Foundation near Basket Ball Ground (900x900)</t>
  </si>
  <si>
    <t>Excavation for Basket Ball Ground  Pole Foundation (1500x1500)</t>
  </si>
  <si>
    <t>Form Work C/S for Light Pole Foundation near Basket Ball Ground (900x900)</t>
  </si>
  <si>
    <t>Form Work C/S for Basket Ball Ground  Pole Foundation (1500x1500)</t>
  </si>
  <si>
    <r>
      <t>Footing, raft, stitching slab, pedestals,pile caps, etc</t>
    </r>
    <r>
      <rPr>
        <b/>
        <sz val="18"/>
        <color rgb="FFFF0000"/>
        <rFont val="Cambria"/>
        <family val="1"/>
        <scheme val="major"/>
      </rPr>
      <t>.</t>
    </r>
  </si>
  <si>
    <t>Providing and fixing  special type of approved centering, shuttering and scaffolding to produce Foam Finish for exposed concrete surfaces for Columns and Shear Walls.</t>
  </si>
  <si>
    <t>Below measurement shifted from Item No. E.I. 15</t>
  </si>
  <si>
    <t>Brick Work outer side of Waterbody (dia.=20.12+0.2*2+0.23*2 =20.98)</t>
  </si>
  <si>
    <t>Base raft dia. 21.72m</t>
  </si>
  <si>
    <t>Sub Grade Preparation for Road &amp; Floor</t>
  </si>
  <si>
    <t xml:space="preserve">Sub Grade Prepration for  Basket Ball Ground </t>
  </si>
  <si>
    <t>Sub Grade Prepration for Planter Area</t>
  </si>
  <si>
    <t xml:space="preserve">Sub Grade Prepration for planter front between Bh-07 &amp; BH-04 </t>
  </si>
  <si>
    <t>Sub Grade Prepration for planter east side of BH-1 or front of Water Body</t>
  </si>
  <si>
    <t>Sub Grade Prepration for Ramp Area Front side of Gym (West side)</t>
  </si>
  <si>
    <t>Sub Grade Prepration for for Waterbody as per drg. No.(inner dia. 20.12m), dia. For P.C.C. =20.12+0.2*2+0.6*2+0.2*2=22.120m)</t>
  </si>
  <si>
    <t>Sub Grade Prepration for Road Area</t>
  </si>
  <si>
    <t>Sub Grade Prepration for Ramp Area (1/H-J)</t>
  </si>
  <si>
    <t xml:space="preserve">Sub Grade Prepration for between BH-01 &amp; Canteen </t>
  </si>
  <si>
    <t xml:space="preserve">Sub Grade Prepration for between BH-01 west side </t>
  </si>
  <si>
    <t>Sub Grade Prepration between BH-02 &amp; GYM</t>
  </si>
  <si>
    <t>Subgrade Prepratition for Boy's Hostel</t>
  </si>
  <si>
    <t>Subgrade for Ramp for Entrance in BH-01 Ref. to drg. No. TU-LA-D-205</t>
  </si>
  <si>
    <t>Subgrade for Entry Area Steps of BH-01</t>
  </si>
  <si>
    <t>Subgrade for side ramp of entrance</t>
  </si>
  <si>
    <t>Subgrade for Ramp for Entrance in BH-02 Ref. to drg. No. TU-LA-D-205</t>
  </si>
  <si>
    <t>Subgrade for Entry Area Steps of BH-02</t>
  </si>
  <si>
    <t>Subgrade for Ramp for Entrance in BH-03 Ref. to drg. No. TU-LA-D-205</t>
  </si>
  <si>
    <t>Subgrade for Entry Area Steps of BH-03</t>
  </si>
  <si>
    <t>Subgrade for Ramp for Entrance in BH-04 Ref. to drg. No. TU-LA-D-205</t>
  </si>
  <si>
    <t>Subgrade for Entry Area Steps of BH-04</t>
  </si>
  <si>
    <t>Subgrade for Floor (area side of Road line) Laying of Kandla Stone</t>
  </si>
  <si>
    <t>Area-1, area between BH-01 &amp; BH-07 south side of Road</t>
  </si>
  <si>
    <t>Area-2, BH-01  south side main entrance</t>
  </si>
  <si>
    <t>Area-3, BH-01  south side main entrance</t>
  </si>
  <si>
    <t>Area-4, BH-01  south side main entrance</t>
  </si>
  <si>
    <t>Area-5, BH-04 south side main entrance</t>
  </si>
  <si>
    <t>Area-6, Area between BH-04 &amp; BH-02 , waterbody surrounding area</t>
  </si>
  <si>
    <t>Area-7, Area under BH-04 transfer Slab towards waterbody</t>
  </si>
  <si>
    <t>Area-8, west side of reception (front of Basket ball ground &amp; BH-03)</t>
  </si>
  <si>
    <t xml:space="preserve">Area-9, north side of reception </t>
  </si>
  <si>
    <t>Area-10, area between BH-01 &amp; Canteen, or under transfer slab</t>
  </si>
  <si>
    <t>Area-11, at junction of Road near canteen &amp; BH-01 towards waterbody</t>
  </si>
  <si>
    <t>Area-12, area east side of BH-01</t>
  </si>
  <si>
    <t>Area-13, area south side of BH-02 (long Planter)</t>
  </si>
  <si>
    <t>Area-14, area south side of Toilet near Gym</t>
  </si>
  <si>
    <t>Area-15, area between BH-02 long Planter &amp; Toilet of Gym</t>
  </si>
  <si>
    <t>Area-16, area between BH-02  &amp; GYM Transfer Slab</t>
  </si>
  <si>
    <t>Area-17, Area north side of BH-02</t>
  </si>
  <si>
    <t>Area-18, Area north side of Canteen (J/1'-4')</t>
  </si>
  <si>
    <t>Area-19, Area north side gallary of BH-02 corner to Gym corner (J/5-9')</t>
  </si>
  <si>
    <t>Area-20, Area west side of canteen or north side of B H-03</t>
  </si>
  <si>
    <t>Area-21, Area south side of Gym (8/H)</t>
  </si>
  <si>
    <t>Area-22, Area between Basket Ball Ground &amp; BH-03, under Transfer slab</t>
  </si>
  <si>
    <t>Area-23, Area east side of BH-03 parallel to road</t>
  </si>
  <si>
    <t>Area-24, Area east side of BH-02 parallel to road (Road between BH-02 &amp; Canteen)</t>
  </si>
  <si>
    <t>Area-25, area between road of Basket ball ground &amp; BH-05</t>
  </si>
  <si>
    <t>Subgrade for Road Work</t>
  </si>
  <si>
    <t>Area-1, Road between Waterbody &amp; BH-02 (remaining portion)</t>
  </si>
  <si>
    <t xml:space="preserve">Area-2, Road between Canteen &amp; BH-02 </t>
  </si>
  <si>
    <t>Area-3, Road south side of BH-04</t>
  </si>
  <si>
    <t>Area-4, Road between BH-03 &amp; Gym</t>
  </si>
  <si>
    <t>Sub Grade preparation at west side of Basket ball ground (34'-39'/51-52)</t>
  </si>
  <si>
    <t>Sub Grade preparation north side of BH-01, between BH-01 Entrance Door &amp; Green Planter towards canteen</t>
  </si>
  <si>
    <t>Sub Grade preparation north side of BH-04, between BH-04 Entrance Door &amp; Green Planter towards waterbody</t>
  </si>
  <si>
    <t>Demolishing of P.C.C. or Stone Soling in Waterbody for Sump (900x900x850)</t>
  </si>
  <si>
    <t>P.C.C. desmentlling for Basket Ball Ground  Pole Foundation (1500x1500)</t>
  </si>
  <si>
    <t>P.C.C. desmentling for Basket ball Pole</t>
  </si>
  <si>
    <t>Brick Work P/L for Filter Pit of Waterbody (2000x2000x1800)</t>
  </si>
  <si>
    <t>Brick work for sump (900x900x850)</t>
  </si>
  <si>
    <t>Brick Work for Light Pole Foundation near Basket Ball Ground (900x900)</t>
  </si>
  <si>
    <t>Brick Work P/L for Basket Ball Ground  Pole Foundation (1500x1500)</t>
  </si>
  <si>
    <t>Total Cumm. Qty. of Scheduled Item No. 2.1</t>
  </si>
  <si>
    <t>E.I. 29</t>
  </si>
  <si>
    <t>E.I. 33</t>
  </si>
  <si>
    <t>Agra Red Sandstone desmentling for Drain making at Canteen Podium as per direction of Engineer in Charge</t>
  </si>
  <si>
    <t>NS-16</t>
  </si>
  <si>
    <t>NS-17</t>
  </si>
  <si>
    <t>Extra over on item No. 2.3 for Extra wastage due to Special shape in paving of Kadappa Stone.</t>
  </si>
  <si>
    <t xml:space="preserve">Area </t>
  </si>
  <si>
    <t>NS-03</t>
  </si>
  <si>
    <t>Preparation and consolidation of sub grade with power road roller of 8 to 12 tonne capacity, dressing to camber up to 225mm by excavation or filling and consolidating with road roller including making good the undulations etc.</t>
  </si>
  <si>
    <t>NS-05</t>
  </si>
  <si>
    <t>a)</t>
  </si>
  <si>
    <t>In Foundation &amp; at Ground level up to 1.5 Mtr Height</t>
  </si>
  <si>
    <t>NS-06</t>
  </si>
  <si>
    <t>Demolishing of PCC (Grade 1:4:8 &amp; Leaner)&amp; Stone Soling including disposal of Malba with in site, all as per instruction of engineer in charge.</t>
  </si>
  <si>
    <t>Extra over on item No. 2.1 for Extra wastage due to Special shape in paving of Kandla Grey Stone.</t>
  </si>
  <si>
    <t xml:space="preserve">MS Tray Square, 6mm thk. </t>
  </si>
  <si>
    <t>Kg</t>
  </si>
  <si>
    <t>(740x740 =inner size) (890x890 = MS Tray)</t>
  </si>
  <si>
    <t>wt.</t>
  </si>
  <si>
    <t>MS Flat 65x6mm (890x890)</t>
  </si>
  <si>
    <t>MS Plate 6mm thk.</t>
  </si>
  <si>
    <t>corner chamfer flat</t>
  </si>
  <si>
    <t>side packing</t>
  </si>
  <si>
    <t>(610x610 =inner size) (760x760 = MS Tray)</t>
  </si>
  <si>
    <t>MS Flat 65x6mm (760x760)</t>
  </si>
  <si>
    <t>(900x800 =inner size) (1050x950 = MS Tray)</t>
  </si>
  <si>
    <t xml:space="preserve">MS Flat 65x6mm </t>
  </si>
  <si>
    <t>(315x315 =inner size) (465x465 = MS Tray)</t>
  </si>
  <si>
    <t>MS Flat 65x6mm</t>
  </si>
  <si>
    <t>(880x870 =inner size) (1050x950 = MS Tray)</t>
  </si>
  <si>
    <t>(800x800 =inner size) (950x950 = MS Tray)</t>
  </si>
  <si>
    <t>(900x900 =inner size) (1050x1050 = MS Tray)</t>
  </si>
  <si>
    <t>(600x600 =inner size) (750x750 = MS Tray)</t>
  </si>
  <si>
    <t>(950x950 =inner size) (1100x1100 = MS Tray)</t>
  </si>
  <si>
    <t>(1100x1100 =inner size) (1250x1250 = MS Tray)</t>
  </si>
  <si>
    <t>(750x750 =inner size) (900x900 = MS Tray)</t>
  </si>
  <si>
    <t>(550x550 =inner size) (700x700 = MS Tray)</t>
  </si>
  <si>
    <t>(1000x1000 =inner size) (1000x1000 = MS Tray)</t>
  </si>
  <si>
    <t>500x460 (inner size of Manhole)</t>
  </si>
  <si>
    <t>500x400</t>
  </si>
  <si>
    <t>470x430</t>
  </si>
  <si>
    <t>(500x460 =inner size) (650x610 = MS Tray)</t>
  </si>
  <si>
    <t>partition flat patti 65x6</t>
  </si>
  <si>
    <t>(500x400 =inner size) (650x550 = MS Tray)</t>
  </si>
  <si>
    <t>(470x430 =inner size) (620x580 = MS Tray)</t>
  </si>
  <si>
    <t>(430x430 =inner size) (580x580 = MS Tray)</t>
  </si>
  <si>
    <t>(570x570 =inner size) (720x720 = MS Tray)</t>
  </si>
  <si>
    <t>MS Tray Square 6mm thk. (with slot)</t>
  </si>
  <si>
    <t>Making &amp; Cutting of Holes in Floor for Cunduit work</t>
  </si>
  <si>
    <t>south side of BH-01 ( 2 nos. hole at One location)</t>
  </si>
  <si>
    <t>west side of BH-01 towards wterbody</t>
  </si>
  <si>
    <t>alround of waterboy</t>
  </si>
  <si>
    <t>hole cutting at road between BH-02 &amp; Waterbody</t>
  </si>
  <si>
    <t>Making Hole in Red Stone Cladding of Podium Staircase</t>
  </si>
  <si>
    <t>Making &amp; Cutting of Holes in Floor for Light Fixing in Floor</t>
  </si>
  <si>
    <t xml:space="preserve">south side of BH-01 </t>
  </si>
  <si>
    <t>Hole Cutting at Podium Lvl.</t>
  </si>
  <si>
    <t>Making &amp; Cutting of Holes in Floor for Conduit work</t>
  </si>
  <si>
    <t>c.1</t>
  </si>
  <si>
    <t>Canteen Podium</t>
  </si>
  <si>
    <t>at Canteen Podium in Floor for Conduit on floor parallel to BH-01</t>
  </si>
  <si>
    <t>at Canteen Podium in Floor for Conduit on floor parallel to BH-02</t>
  </si>
  <si>
    <t>Hole cutting around long planter near stair case for Conduit</t>
  </si>
  <si>
    <t>Hole cutting around long planter near pargola for Conduit</t>
  </si>
  <si>
    <t>Hole Cutting for Conduit in Planter Wall Cladding</t>
  </si>
  <si>
    <t>Long Planter near Stair case at Canteen podium</t>
  </si>
  <si>
    <t>Long Planter near Pargola at Canteen podium</t>
  </si>
  <si>
    <t>c.2</t>
  </si>
  <si>
    <t>Gym Podium</t>
  </si>
  <si>
    <t>Hole cutting at Gym Podium for Conduit</t>
  </si>
  <si>
    <t>Hole cutting at Gym Podium for Conduit parallel to BH-03</t>
  </si>
  <si>
    <t>Cutting of Stone for Pole Fixing at Canteen Podium</t>
  </si>
  <si>
    <t>Cutting of Stone for Pole Fixing at Gym Podium</t>
  </si>
  <si>
    <t>Cutting of Holes in Kandla Stone for Cunduit work in Floor</t>
  </si>
  <si>
    <t>NS-18</t>
  </si>
  <si>
    <t>Champhering at Edges</t>
  </si>
  <si>
    <t>Rmt</t>
  </si>
  <si>
    <t>Champhering at Coping at side cladding in staircase 5x5mm</t>
  </si>
  <si>
    <t>champering for trad</t>
  </si>
  <si>
    <t>Champhering for Kandla Sandstone Natural Finish 20mm thk. for Seprate Seat (3000x500)</t>
  </si>
  <si>
    <t>Seprate Seat under BH-01 Transfer Slab</t>
  </si>
  <si>
    <t>Side Cladding (horizontal edge champher)</t>
  </si>
  <si>
    <t>vertical edge</t>
  </si>
  <si>
    <t>Champhering for Waterbody Coping</t>
  </si>
  <si>
    <t>Waterbody Champhering inner side  (Dia.-20.12)</t>
  </si>
  <si>
    <t>Waterbody Champhering outer side  (Dia.-21.26)</t>
  </si>
  <si>
    <t>inner podium pasage Col. Dia.=1.2m</t>
  </si>
  <si>
    <t>Making of Champhering of Agra Red Sandstone Polished Finish M3 at Planter Coping Lvl. 40mm thk.</t>
  </si>
  <si>
    <t>Champhering of Coping at Planter &amp; Seats at Canteen Podium</t>
  </si>
  <si>
    <t>Planter near stair case (long Planter) (outer side Champhering)</t>
  </si>
  <si>
    <t>inner side champhering</t>
  </si>
  <si>
    <t>Planter (5000x2000)(attached with long planter) (outer side)</t>
  </si>
  <si>
    <t>inne side</t>
  </si>
  <si>
    <t>long Planter near pargola top coping (outer + inner)</t>
  </si>
  <si>
    <t>Planter (5000x2000)(attached with long planter) (outer)</t>
  </si>
  <si>
    <t>(inner)</t>
  </si>
  <si>
    <t>b.2</t>
  </si>
  <si>
    <t>Champhering Coping at Planter &amp; Seats at Gym Podium</t>
  </si>
  <si>
    <t>coping top at long Planter (outer)</t>
  </si>
  <si>
    <t>Inner side</t>
  </si>
  <si>
    <t>Planter merged in long Planter (5000x2000) (outer)</t>
  </si>
  <si>
    <t>Planter (2685x2300) (outer side)</t>
  </si>
  <si>
    <t>inner</t>
  </si>
  <si>
    <t>Champhering of Edges</t>
  </si>
  <si>
    <t>Making of Groove in Stone Cladding for Architectural Appreance as per direction of Engineer in Charge</t>
  </si>
  <si>
    <t>NS 22</t>
  </si>
  <si>
    <t>NS 19</t>
  </si>
  <si>
    <t>NS 21</t>
  </si>
  <si>
    <t>Making of Groove at cladding in staircase Podium near canteen</t>
  </si>
  <si>
    <t>Making of Groove in Riser of Stair case</t>
  </si>
  <si>
    <t>Making of Groove for Kandla Sandstone Natural Finish 20mm thk.Cladding for Seprate Seat (3000x500)</t>
  </si>
  <si>
    <t>Seprate Seat under BH-04 Transfer Slab</t>
  </si>
  <si>
    <t>Seprate Seat under BH-02 Transfer Slab</t>
  </si>
  <si>
    <t>Seprate Seat under BH-03 Transfer Slab</t>
  </si>
  <si>
    <t>Making of Groove for Waterbody Coping</t>
  </si>
  <si>
    <t>Groove Making in Waterbody inner side  (Dia.-20.12)</t>
  </si>
  <si>
    <t>Groove Making in Waterbody Champhering outer side  (Dia.-21.26)</t>
  </si>
  <si>
    <t>Making of Groove of Agra Red Sandstone Polished Finish M3 at Planter Coping Lvl. 40mm thk.</t>
  </si>
  <si>
    <t>Making of Groove at Planter &amp; Seats at Canteen Podium</t>
  </si>
  <si>
    <t>Planter near stair case (long Planter) (Horizontal Groove)</t>
  </si>
  <si>
    <t xml:space="preserve">Planter (5000x2000) </t>
  </si>
  <si>
    <t>Vertical Groove in Planter near Stair case Canteen</t>
  </si>
  <si>
    <t>Long Planter</t>
  </si>
  <si>
    <t>(5000x2000)</t>
  </si>
  <si>
    <t>Vertical Groove in Planter near Pargola Canteen</t>
  </si>
  <si>
    <t>Long Planter (5000x2000)</t>
  </si>
  <si>
    <t>Vertical Groove for Seprate Seat (1000x1000)</t>
  </si>
  <si>
    <t>Vertical Groove</t>
  </si>
  <si>
    <t>Vertical Groove (length =3.0m)</t>
  </si>
  <si>
    <t>Horizontal Groove</t>
  </si>
  <si>
    <t xml:space="preserve">coping top at long Planter </t>
  </si>
  <si>
    <t>Chess Table Top (1500x1500) (horizontal groove)</t>
  </si>
  <si>
    <t>coping top at long Planter (L=29.12m)</t>
  </si>
  <si>
    <t>(L=3.08m)</t>
  </si>
  <si>
    <t>(L=3.04m)</t>
  </si>
  <si>
    <t>(L=3)</t>
  </si>
  <si>
    <t>(L=4.08)</t>
  </si>
  <si>
    <t>Planter (5000x2000)(attached with long planter) (L=5.08)</t>
  </si>
  <si>
    <t>(L=2.08)</t>
  </si>
  <si>
    <t>Planter (2685x2300) (L=2.77)</t>
  </si>
  <si>
    <t>(L=2.38)</t>
  </si>
  <si>
    <t>Planter (2685x2200) (L=2.77)</t>
  </si>
  <si>
    <t>(L=2.28)</t>
  </si>
  <si>
    <t>Planter (2685x2600) (L=2.77)</t>
  </si>
  <si>
    <t>(L=2.68)</t>
  </si>
  <si>
    <t>Planter (2632x2000) (L=2.71)</t>
  </si>
  <si>
    <t>Verical Groove in Cladding at corner</t>
  </si>
  <si>
    <t>Planter (5000x2000)</t>
  </si>
  <si>
    <t xml:space="preserve">planter  </t>
  </si>
  <si>
    <t>Chess Table verticall groove</t>
  </si>
  <si>
    <t>Chess seat</t>
  </si>
  <si>
    <t>NS-08</t>
  </si>
  <si>
    <t>Providing &amp; Fixing 230mm long upvc 75mm OD pipe for sleeve in planters including cutting hole in wall, making good with rich cement sand mortar etc. all complete as directed by engineer in charge.</t>
  </si>
  <si>
    <t>Providing &amp; Fixing of Sleeve in Planter at Podium</t>
  </si>
  <si>
    <t>Planter at Canteen Podium</t>
  </si>
  <si>
    <t>in Planter (5000x2000)</t>
  </si>
  <si>
    <t>Long Planter near Pargola</t>
  </si>
  <si>
    <t>Planter at Gym Podium</t>
  </si>
  <si>
    <t>Planter towards BH-02</t>
  </si>
  <si>
    <t>Providing &amp; Fixing of Sleeve in R.C.C. Planter at G.Floor</t>
  </si>
  <si>
    <t>Proving &amp; Fixing of Sleeve in R.C.C. Planter Under BH-01 Transfer Slab</t>
  </si>
  <si>
    <t>Proving &amp; Fixing of Sleeve in R.C.C. Planter Under BH-02 Transfer Slab</t>
  </si>
  <si>
    <t>Proving &amp; Fixing of Sleeve in R.C.C. Planter Under BH-03 Transfer Slab</t>
  </si>
  <si>
    <t>Proving &amp; Fixing of Sleeve in R.C.C. Planter Under BH-04 Transfer Slab</t>
  </si>
  <si>
    <t>M/S. Gannon Dunkerley &amp; Co. Ltd.</t>
  </si>
  <si>
    <t>Revise due to claculation Correction</t>
  </si>
  <si>
    <t>White Marble Cladding for Raised Portion</t>
  </si>
  <si>
    <t>750x750 (waterbody)</t>
  </si>
  <si>
    <t>1000x1000 (sump)</t>
  </si>
  <si>
    <t>450x450</t>
  </si>
  <si>
    <t>STONE FINISH CATCH BASIN COVER</t>
  </si>
  <si>
    <t>subgrade for Raised Area</t>
  </si>
  <si>
    <t xml:space="preserve"> for Raised Area Top Lvl. +0.36m</t>
  </si>
  <si>
    <t>subgrade for Waterbody as per drg. No. 5128-6-103 (inner dia. 7.0m), dia. For Stone Soling. =7+0.2*2+0.6*2+0.2*2=9.0m)</t>
  </si>
  <si>
    <t>subgrade for footing</t>
  </si>
  <si>
    <t>subgrade for Sunken Area</t>
  </si>
  <si>
    <t>subgrade for Brick work of Sunken Area</t>
  </si>
  <si>
    <t>subgrade in Floor area of sunken portion</t>
  </si>
  <si>
    <t xml:space="preserve">subgrade in Girl's hostel Floor </t>
  </si>
  <si>
    <t>Lakha Red Stone in Waterbody</t>
  </si>
  <si>
    <t>in Floor (dia.=7.0m)</t>
  </si>
  <si>
    <t>MS Tray Square 6mm thk. (without slot)</t>
  </si>
  <si>
    <t>(740x740=inner size)</t>
  </si>
  <si>
    <t>(750x750 =inner size) (900x900 = MS Tray) Waterbody</t>
  </si>
  <si>
    <t>(1000x1000 =inner size) (1150x1150 = MS Tray) Waterbody Sump</t>
  </si>
  <si>
    <t>(450x450 =inner size) (600x650 = MS Tray) Waterbody Sump</t>
  </si>
  <si>
    <t>(inner size=600x600), (frame size=750x750)</t>
  </si>
  <si>
    <t>NS-09</t>
  </si>
  <si>
    <t>Making hole of different size &amp; shape, by stone cutter machine in stone flooring/cladding for fixing electrical fixtures, passing conduits &amp; wires and making good after fixing fixtures etc. all complete as directed by engineer in charge.</t>
  </si>
  <si>
    <t>Hole Cutting for Conduit Work in Floor</t>
  </si>
  <si>
    <t>Cutting of Holes for light in Agra Red Stone &amp; White Marble for Conduit Fixing (Cutting of 2 nos. hole at same location</t>
  </si>
  <si>
    <t>holecutting for conduit around sunken portion</t>
  </si>
  <si>
    <t>holecutting for conduit around sunken portion at stair step</t>
  </si>
  <si>
    <t>cutting hole around waterboy</t>
  </si>
  <si>
    <t>cutting hole in waterbody</t>
  </si>
  <si>
    <t>around Raised portion</t>
  </si>
  <si>
    <t>hole in Raised portion stair step</t>
  </si>
  <si>
    <t>Making holes in Sunken Portion (Manhole cover</t>
  </si>
  <si>
    <t>Hole Cutting for Light Fixing in Floor</t>
  </si>
  <si>
    <t xml:space="preserve">Cutting of Holes for light in Agra Red Stone &amp; White Marble for Conduit Fixing </t>
  </si>
  <si>
    <t>sunken Area, white marble stone Champhering 5x5mm</t>
  </si>
  <si>
    <t>Sunken area, step tread</t>
  </si>
  <si>
    <t>sunken area inner champhering</t>
  </si>
  <si>
    <t>vertical</t>
  </si>
  <si>
    <t>outer side</t>
  </si>
  <si>
    <t xml:space="preserve">vertical </t>
  </si>
  <si>
    <t>outer face</t>
  </si>
  <si>
    <t>r=4.05m</t>
  </si>
  <si>
    <t>inner side (r=3.5m)</t>
  </si>
  <si>
    <t>champhering for Riased area</t>
  </si>
  <si>
    <t>step tread</t>
  </si>
  <si>
    <t>NS-15</t>
  </si>
  <si>
    <t>Providing &amp; Fixing 20mm thick Polish finish Lakha Red, machine cut of required size, approved shade, colour, texture laid over 20mm 1:4 cement sand mortar for Cladding &amp; flooring etc. all complete as directed by engineer in charge.</t>
  </si>
  <si>
    <t>Extra for Material wastage for Circular Stone in White Marbles</t>
  </si>
  <si>
    <t>sunken Ara Step white ,marble stone</t>
  </si>
  <si>
    <t>NS 23</t>
  </si>
  <si>
    <t>sunken Area, white marble stone groove</t>
  </si>
  <si>
    <t>White Marble for Rec. Seat (2000x500) groove</t>
  </si>
  <si>
    <t>MEASUREMENT SHEET (RA-06)</t>
  </si>
  <si>
    <t>06 (August'2017)</t>
  </si>
  <si>
    <t>Rupees One Crore Thirty One Lacs Fifty Six Thousand Eight Hundred And Three Only</t>
  </si>
  <si>
    <t>NOT PAYABLE</t>
  </si>
  <si>
    <t>NEED TO DISCUSS</t>
  </si>
  <si>
    <t>JMR REQUIRED</t>
  </si>
  <si>
    <t>NS-01</t>
  </si>
  <si>
    <t>Excavation in all types of soil (Poclanable)for footings of columns, Retaining walls, Core walls, catch pits, Lift pits trenches for drains, etc., by mechanical means upto 2 m depth (Using JCB,Poclane etc.,)including levelling, dressing the edges,with all leads and lifts. Rate to include disposing the excess earth and spreading in layers to the required levels within the site wherever specified including watering, ramming,consolidating and dressing etc. working space shall be paid max 600mm extra.</t>
  </si>
  <si>
    <t>NS-02</t>
  </si>
  <si>
    <t>Extra item for Supplying and filling in plinth with Ghagaar sand under floors , including watering ,ramming consolidating and dressing complete,as instructed by client.</t>
  </si>
  <si>
    <t>Preparation and consolidation of sub grade wirh power r oad roller of8 to l 2 tonne capac ity, dr·essing to camber and consolidat ing with road roller inclu ding making good the undulati ons etc.</t>
  </si>
  <si>
    <t>NS-04</t>
  </si>
  <si>
    <t>PROVIDING,ERECTING,FIXING IN POSITION AND STRIKING PLY WOOD SHUTTERING  &amp; CENTERING FOR FORM WORK IN PLANE,CURVES,SLOPES AT ALL LEVELS,HIGHTG &amp; LOCATIONS FOR ALL SHAPES INCLUDING STRUTTING ,PROPPING AND REMOVAL OF  THE SAME ETC, COMPLETE.PROVIDING AND APPLYING  APPROVED FORM OIL ON ALL SURFACES OF FORM WORK  COMIMG IN CONTACT WITH CONCRETE, COMLETE ASPER SPECEFICATIONS,DRAWING AND AS DIRECTED</t>
  </si>
  <si>
    <t>For base / raft of planter walls, tie on brick walls etc. all work for hardscape work</t>
  </si>
  <si>
    <t>sqm</t>
  </si>
  <si>
    <t>For side and bottom of seating slab edge,wall of planters etc</t>
  </si>
  <si>
    <t>extra over on above for circular surface work</t>
  </si>
  <si>
    <t>b)</t>
  </si>
  <si>
    <t>in superstructure above/ podium level</t>
  </si>
  <si>
    <t>brick work with bricks of class designation 75 in (115mmthk.)foundation plinth and</t>
  </si>
  <si>
    <t>NS-10</t>
  </si>
  <si>
    <t>NS-13</t>
  </si>
  <si>
    <t>Making of Groove in Stone wherever required  in seating work,cladding work etc. in red sand stone</t>
  </si>
  <si>
    <t>NS-14</t>
  </si>
  <si>
    <t>Chamfering of edge in stone work wherever required in seating work cladding work etc. in white marble ,kandla grey and kadappa stone</t>
  </si>
  <si>
    <t>NS-12</t>
  </si>
  <si>
    <t>Extra over on white marble work in pave area  for circular stone work  for extra wastage extra labour</t>
  </si>
  <si>
    <t>Preparation and consolidation of sub grade wirh power r oad roller of8 to l 2 tonne capac ity, dressing to camber up to 225mm by excavation or filling  and consolidating  with road roller including making  goon the undulations etc.</t>
  </si>
  <si>
    <t>NS-07</t>
  </si>
  <si>
    <t>providing and fabricating &amp; fixing structural steel work for manhole/chamber frame work using ms angle flat plate in required pattern asper drawing for different sizes including cost of cutting welding etc. all asper drawing or directed by engineer incharge</t>
  </si>
  <si>
    <t>RAFT OF PLANTER WALLS TIE BEAM ON BRICK WALLS etc. ALL WORK FOR HARDSCAPE WORK</t>
  </si>
  <si>
    <t>NS-04a</t>
  </si>
  <si>
    <t>NS-04b</t>
  </si>
  <si>
    <t>FOR SIDE &amp; BOTTOM OF SEATING SLAB EDGE,WALL OF PLANTERS ETC.</t>
  </si>
  <si>
    <t>Providing and constructing half brick masonry work using selected quality burnt clay FPS brick of class designation 75 in superstructure laid in cement mortar 1:4(1 cement : 4 sand) mix joints finished flush/ racked to 6mm depth and including required scaffolding curing complete asper specification and drawing or as directed by client</t>
  </si>
  <si>
    <t>4A</t>
  </si>
  <si>
    <t>4B</t>
  </si>
  <si>
    <t>HARDSCAPING</t>
  </si>
  <si>
    <t>Providing and laying in position under paving, driveways, floors, waterbodies, retaining walls, walls (of any thickness) and in planters, bed blocks etc. cement concrete of specified grade including the cost of centring and shuttering.</t>
  </si>
  <si>
    <t>Providing and laying 100 mm Hardcore sub-base with stome aggregate 63 to 40 mm size as per structural specification and approved binding material including cleaning, sorting, spreading, packing and consolidation with half tonne roller to template etc. complete</t>
  </si>
  <si>
    <t>Brickwork with bricks of class designation 75 in foundations, plinth and superstructure in cement mortar 1:4 (1 cement : 4 coarse sand) (Quantity may vary as per actual drawings)</t>
  </si>
  <si>
    <t>Providing and laying in position ready mixed M-25 grade concrete for reinforced concrete works, using cement content as per approved design mix manufactured in fully automatic batching plant and transported to site of work in transit mixers for all leads having continious agitated mixer, manufactured as per mix design of specified grade for reinforced cement concrete worksincluding pumping of R.M.C. from transit mixer to site of laying excluding the finishing and reinforcement including cost of admixture in recommende proportionas per IS:9103 to accelerate / retard setting of concrete, improve workability without imparing strength and durabilityas per direction of the chief enginner-in charge (min OPC contentto be considered in this item is 300kg/cum or as per design mix)</t>
  </si>
  <si>
    <t>Repeated</t>
  </si>
  <si>
    <t>NS-4c</t>
  </si>
  <si>
    <t>Supplying and laying sub base course (water bound macadam) 100 m thick (consolidated thickness) with stone aggregate of size 93 to 45 mm including stone screening,sorting and consolidation with 8 to 10 tonne power road roller etc. and binding material complete all as specified by structural consultant.
(Quantity  may vary as per structural drawings)</t>
  </si>
  <si>
    <t>UNITS</t>
  </si>
  <si>
    <t>LENGTH</t>
  </si>
  <si>
    <t>WIDTH</t>
  </si>
  <si>
    <t>HIGHT</t>
  </si>
  <si>
    <t>ROAD-1</t>
  </si>
  <si>
    <t>ROAD-2</t>
  </si>
  <si>
    <t>ROAD-3</t>
  </si>
  <si>
    <t>ROAD-4</t>
  </si>
  <si>
    <t>AREA-1</t>
  </si>
  <si>
    <t>AREA-2</t>
  </si>
  <si>
    <t>AREA-3</t>
  </si>
  <si>
    <t>AREA-4</t>
  </si>
  <si>
    <t>TOTAL QUANTITY</t>
  </si>
  <si>
    <t>QUANTITY OF SAND FILLING IN ROAD OF BOYS HOSTAL(AS PLOTED)</t>
  </si>
  <si>
    <t>ASPER CERTIFIED BY COLLIERS (SOFTCOPY &amp; JMR  ATTACHED)</t>
  </si>
  <si>
    <t>Near BH-01 West Side &amp; BH-04 North Side Area</t>
  </si>
</sst>
</file>

<file path=xl/styles.xml><?xml version="1.0" encoding="utf-8"?>
<styleSheet xmlns="http://schemas.openxmlformats.org/spreadsheetml/2006/main" xmlns:mc="http://schemas.openxmlformats.org/markup-compatibility/2006" xmlns:x14ac="http://schemas.microsoft.com/office/spreadsheetml/2009/9/ac" mc:Ignorable="x14ac">
  <numFmts count="186">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 #,##0_ ;_ * \-#,##0_ ;_ * &quot;-&quot;_ ;_ @_ "/>
    <numFmt numFmtId="165" formatCode="_ * #,##0.00_ ;_ * \-#,##0.00_ ;_ * &quot;-&quot;??_ ;_ @_ "/>
    <numFmt numFmtId="166" formatCode="0.0"/>
    <numFmt numFmtId="167" formatCode="[$$-409]* #,##0_);_([$$-409]* \#\,##0\);_([$$-409]* &quot;-&quot;_);_(@_)"/>
    <numFmt numFmtId="168" formatCode="_(* #,##0.00_);_(* \(#,##0.00\);_(* \-??_);_(@_)"/>
    <numFmt numFmtId="169" formatCode="0.000"/>
    <numFmt numFmtId="170" formatCode="_([$€]* #,##0.00_);_([$€]* \(#,##0.00\);_([$€]* &quot;-&quot;??_);_(@_)"/>
    <numFmt numFmtId="171" formatCode="#,##0.0&quot;%&quot;_);\(#,##0.0&quot;%&quot;\)"/>
    <numFmt numFmtId="172" formatCode="\\#,##0;[Red]&quot;\-&quot;#,##0"/>
    <numFmt numFmtId="173" formatCode="\\#,##0.00;[Red]&quot;\-&quot;#,##0.00"/>
    <numFmt numFmtId="174" formatCode="_-* #,##0_-;\-* #,##0_-;_-* \-_-;_-@_-"/>
    <numFmt numFmtId="175" formatCode="#,##0.00\ _$;[Red]\-#,##0.00\ _$"/>
    <numFmt numFmtId="176" formatCode="#,##0\ _$;[Red]\-#,##0\ _$"/>
    <numFmt numFmtId="177" formatCode="#,##0;\(#,##0\);&quot;-&quot;"/>
    <numFmt numFmtId="178" formatCode="0.0_)\%;\(0.0\)\%;0.0_)\%;@_)_%"/>
    <numFmt numFmtId="179" formatCode="#,##0.0_)_%;\(#,##0.0\)_%;0.0_)_%;@_)_%"/>
    <numFmt numFmtId="180" formatCode="#,##0.0_);\(#,##0.0\)"/>
    <numFmt numFmtId="181" formatCode="&quot;$&quot;_(#,##0.00_);&quot;$&quot;\(#,##0.00\)"/>
    <numFmt numFmtId="182" formatCode="\€_(#,##0.00_);\€\(#,##0.00\);\€_(0.00_);@_)"/>
    <numFmt numFmtId="183" formatCode="#,##0.0_)\x;\(#,##0.0\)\x"/>
    <numFmt numFmtId="184" formatCode="#,##0.0_)_x;\(#,##0.0\)_x"/>
    <numFmt numFmtId="185" formatCode="0.0_)\%;\(0.0\)\%"/>
    <numFmt numFmtId="186" formatCode="#,##0.0_)_%;\(#,##0.0\)_%"/>
    <numFmt numFmtId="187" formatCode="&quot;£&quot;\ #,##0_);[Red]\(&quot;£&quot;\ #,##0\)"/>
    <numFmt numFmtId="188" formatCode="&quot;¥&quot;\ #,##0_);[Red]\(&quot;¥&quot;\ #,##0\)"/>
    <numFmt numFmtId="189" formatCode="0%;\(0%\)"/>
    <numFmt numFmtId="190" formatCode="0.0%"/>
    <numFmt numFmtId="191" formatCode="0.000000"/>
    <numFmt numFmtId="192" formatCode="_(* #,##0.00_);_(* #,##0.00;_(* &quot;-&quot;??_);_(@_)"/>
    <numFmt numFmtId="193" formatCode="_(* #,##0_);_(* #,##0_);_(* &quot;-&quot;??_);_(@_)"/>
    <numFmt numFmtId="194" formatCode="#,##0.0000_);\(#,##0.0000\)"/>
    <numFmt numFmtId="195" formatCode="General_)"/>
    <numFmt numFmtId="196" formatCode="_(* #,##0_);_(* \(#,##0\);_(* &quot;-&quot;??_);_(@_)"/>
    <numFmt numFmtId="197" formatCode="#,##0.0;\(#,##0.0\)"/>
    <numFmt numFmtId="198" formatCode="_(* #,##0_);_(* \(#,##0\);_(* &quot;&quot;_);_(@_)"/>
    <numFmt numFmtId="199" formatCode="&quot;$&quot;&quot; &quot;#,##0_);\(&quot;$&quot;&quot; &quot;#,##0\);\-_)"/>
    <numFmt numFmtId="200" formatCode="0%_);\(0%\);\-_)"/>
    <numFmt numFmtId="201" formatCode="#,##0_);\(#,##0\);\-_)"/>
    <numFmt numFmtId="202" formatCode="&quot;$&quot;&quot; &quot;#,##0.0_);\(&quot;$&quot;&quot; &quot;#,##0.0\);\-_)"/>
    <numFmt numFmtId="203" formatCode="0.0%_);\(0.0%\);\-_)"/>
    <numFmt numFmtId="204" formatCode="#,##0.0_);\(#,##0.0\);\-_)"/>
    <numFmt numFmtId="205" formatCode="&quot;$&quot;&quot; &quot;#,##0.00_);\(&quot;$&quot;&quot; &quot;#,##0.00\);\-_)"/>
    <numFmt numFmtId="206" formatCode="0.00%_);\(0.00%\);\-_)"/>
    <numFmt numFmtId="207" formatCode="#,##0.00_);\(#,##0.00\);\-_)"/>
    <numFmt numFmtId="208" formatCode="0.0000000%"/>
    <numFmt numFmtId="209" formatCode="0.000000%"/>
    <numFmt numFmtId="210" formatCode="0.00000%"/>
    <numFmt numFmtId="211" formatCode="0.00&quot;x&quot;"/>
    <numFmt numFmtId="212" formatCode="_(&quot;$&quot;* #,##0.0_);_(&quot;$&quot;* \(#,##0.0\);_(&quot;$&quot;* &quot;-&quot;??_);_(@_)"/>
    <numFmt numFmtId="213" formatCode="&quot;$&quot;#,##0;\-&quot;$&quot;#,##0"/>
    <numFmt numFmtId="214" formatCode="0&quot; bp&quot;"/>
    <numFmt numFmtId="215" formatCode="&quot;•&quot;\ \ @"/>
    <numFmt numFmtId="216" formatCode="#,##0;\-#,##0;&quot;-&quot;"/>
    <numFmt numFmtId="217" formatCode="#,##0.000_);\(#,##0.000\)"/>
    <numFmt numFmtId="218" formatCode="yyyy"/>
    <numFmt numFmtId="219" formatCode="\(0.00%"/>
    <numFmt numFmtId="220" formatCode="#,##0_);\(#,##0\);\-"/>
    <numFmt numFmtId="221" formatCode="#,##0.00_);\(#,##0.00\);\-"/>
    <numFmt numFmtId="222" formatCode="#,##0.00000;\(#,##0.00000\)"/>
    <numFmt numFmtId="223" formatCode="_-* #,##0.00\ &quot;€&quot;_-;\-* #,##0.00\ &quot;€&quot;_-;_-* &quot;-&quot;??\ &quot;€&quot;_-;_-@_-"/>
    <numFmt numFmtId="224" formatCode="#,##0.00\ ;&quot; (&quot;#,##0.00\);&quot; -&quot;#\ ;@\ "/>
    <numFmt numFmtId="225" formatCode="0.00_);\(0.00\)"/>
    <numFmt numFmtId="226" formatCode="#,##0_);[Red]\(#,##0\);;@"/>
    <numFmt numFmtId="227" formatCode="_-* #,##0.00_-;\-* #,##0.00_-;_-* &quot;-&quot;??_-;_-@_-"/>
    <numFmt numFmtId="228" formatCode="_ * #,##0.00_ ;_ * \-#,##0.00_ ;_ * \-??_ ;_ @_ "/>
    <numFmt numFmtId="229" formatCode="#,##0.00000000"/>
    <numFmt numFmtId="230" formatCode="0.00000000000"/>
    <numFmt numFmtId="231" formatCode="0###0"/>
    <numFmt numFmtId="232" formatCode="&quot;\&quot;#,##0.00_);[Red]\(&quot;\&quot;#,##0.00\);&quot;--  &quot;;_(@_)"/>
    <numFmt numFmtId="233" formatCode="&quot;Rs.&quot;#,##0_);[Red]\(&quot;Rs.&quot;#,##0\)"/>
    <numFmt numFmtId="234" formatCode="\$#,##0.00;[Red]\-\$#,##0.00"/>
    <numFmt numFmtId="235" formatCode="&quot;$&quot;#,##0.00;[Red]\-&quot;$&quot;#,##0.00"/>
    <numFmt numFmtId="236" formatCode="&quot;$&quot;&quot; &quot;#,##0.0_);\(&quot;$&quot;&quot; &quot;#,##0.0\)"/>
    <numFmt numFmtId="237" formatCode="&quot;$&quot;&quot; &quot;#,##0.00_);\(&quot;$&quot;&quot; &quot;#,##0.00\)"/>
    <numFmt numFmtId="238" formatCode="&quot;$&quot;&quot; &quot;#,##0.000_);\(&quot;$&quot;&quot; &quot;#,##0.000\)"/>
    <numFmt numFmtId="239" formatCode="&quot;$&quot;#,##0.00_);[Red]\(&quot;$&quot;#,##0.00\);&quot;--  &quot;;_(@_)"/>
    <numFmt numFmtId="240" formatCode="0.000000000"/>
    <numFmt numFmtId="241" formatCode="_(* #,##0.0_);_(* \(#,##0.0\);_(* &quot;-&quot;??_);_(@_)"/>
    <numFmt numFmtId="242" formatCode="\ \ _•&quot;–&quot;\ \ \ \ @"/>
    <numFmt numFmtId="243" formatCode="d\-mmm\-yy_)"/>
    <numFmt numFmtId="244" formatCode="m/d/yy_)"/>
    <numFmt numFmtId="245" formatCode="m/yy_)"/>
    <numFmt numFmtId="246" formatCode="#,##0.0_);[Red]\(#,##0.0\)"/>
    <numFmt numFmtId="247" formatCode="mmm\-d\-yyyy"/>
    <numFmt numFmtId="248" formatCode="mmm\-yyyy"/>
    <numFmt numFmtId="249" formatCode="mmm\-yy&quot; &quot;"/>
    <numFmt numFmtId="250" formatCode="#,##0.000000000;[Red]\-#,##0.000000000"/>
    <numFmt numFmtId="251" formatCode="d\-mmm\-yyyy\ \ h:mm"/>
    <numFmt numFmtId="252" formatCode="m/d/yy\ h:mm"/>
    <numFmt numFmtId="253" formatCode="_(* #,##0.000_);_(* \(#,##0.000\);_(* &quot;-&quot;??_);_(@_)"/>
    <numFmt numFmtId="254" formatCode="\U\S\$#,##0.00;\(\U\S\$#,##0.00\)"/>
    <numFmt numFmtId="255" formatCode="_-* #,##0_-;\-* #,##0_-;_-* &quot;-&quot;_-;_-@_-"/>
    <numFmt numFmtId="256" formatCode="0.0000000000"/>
    <numFmt numFmtId="257" formatCode="#,##0.000_);\(#,##0.000\);&quot; - &quot;_);@_)"/>
    <numFmt numFmtId="258" formatCode="_([$€-2]* #,##0.00_);_([$€-2]* \(#,##0.00\);_([$€-2]* &quot;-&quot;??_)"/>
    <numFmt numFmtId="259" formatCode="_-* #,##0.00_-;\-* #,##0.00_-;_-* \-??_-;_-@_-"/>
    <numFmt numFmtId="260" formatCode="#,##0.00&quot; &quot;;&quot; (&quot;#,##0.00&quot;)&quot;;&quot; -&quot;#&quot; &quot;;@&quot; &quot;"/>
    <numFmt numFmtId="261" formatCode="_(\ #,##0.0_%_);_(\ \(#,##0.0_%\);_(\ &quot; - &quot;_%_);_(@_)"/>
    <numFmt numFmtId="262" formatCode="_(\ #,##0.0%_);_(\ \(#,##0.0%\);_(\ &quot; - &quot;\%_);_(@_)"/>
    <numFmt numFmtId="263" formatCode="\ #,##0.0_);\(#,##0.0\);&quot; - &quot;_);@_)"/>
    <numFmt numFmtId="264" formatCode="\ #,##0.00_);\(#,##0.00\);&quot; - &quot;_);@_)"/>
    <numFmt numFmtId="265" formatCode="\ #,##0.000_);\(#,##0.000\);&quot; - &quot;_);@_)"/>
    <numFmt numFmtId="266" formatCode="d\ mmmm\ yyyy"/>
    <numFmt numFmtId="267" formatCode="#,##0;[Red]\(#,##0\);0"/>
    <numFmt numFmtId="268" formatCode="&quot;Rs.&quot;#,##0.00_);\(&quot;Rs.&quot;#,##0.00\)"/>
    <numFmt numFmtId="269" formatCode="0.0_)"/>
    <numFmt numFmtId="270" formatCode="#.00"/>
    <numFmt numFmtId="271" formatCode="###0_);\(###0\)"/>
    <numFmt numFmtId="272" formatCode="General\ ;[Red]\(General\)"/>
    <numFmt numFmtId="273" formatCode="#,##0.0"/>
    <numFmt numFmtId="274" formatCode="#\ 0/0_)"/>
    <numFmt numFmtId="275" formatCode="#\ 0/8_)"/>
    <numFmt numFmtId="276" formatCode="#\ ?/?_)"/>
    <numFmt numFmtId="277" formatCode="#,##0;\(#,##0\)"/>
    <numFmt numFmtId="278" formatCode=";;;"/>
    <numFmt numFmtId="279" formatCode="#,##0.0000000_);\(#,##0.0000000\)"/>
    <numFmt numFmtId="280" formatCode="&quot;$&quot;#,##0_);\(&quot;$&quot;#,##0.0\)"/>
    <numFmt numFmtId="281" formatCode="#,##0.000"/>
    <numFmt numFmtId="282" formatCode="#,##0.0\x_);\(#,##0.0\x\);\-"/>
    <numFmt numFmtId="283" formatCode="#,##0.0_);[Red]\(#,##0.0\);&quot;N/A &quot;"/>
    <numFmt numFmtId="284" formatCode="#,##0.000;\(#,##0.000\)"/>
    <numFmt numFmtId="285" formatCode="#,##0.0_);[Red]\(#,##0.0\);&quot;--  &quot;"/>
    <numFmt numFmtId="286" formatCode="0.00_)"/>
    <numFmt numFmtId="287" formatCode="#,##0.000_);[Red]\(#,##0.000\)"/>
    <numFmt numFmtId="288" formatCode="#,##0.0_)\ \ ;[Red]\(#,##0.0\)\ \ "/>
    <numFmt numFmtId="289" formatCode="&quot;$&quot;#,##0.000_);\(&quot;$&quot;#,##0.000\)"/>
    <numFmt numFmtId="290" formatCode="#,##0.00&quot;x&quot;_);[Red]\(#,##0.00&quot;x&quot;\)"/>
    <numFmt numFmtId="291" formatCode="#,##0.00_)&quot; &quot;;[Red]\(#,##0.00\)&quot; &quot;"/>
    <numFmt numFmtId="292" formatCode="0.0%&quot;NetPPE/sales&quot;"/>
    <numFmt numFmtId="293" formatCode="0.0%&quot;NWI/Sls&quot;"/>
    <numFmt numFmtId="294" formatCode="0.0%_);\(0.0%\)"/>
    <numFmt numFmtId="295" formatCode="0.0%;[Red]\(0.0%\);&quot;--  &quot;"/>
    <numFmt numFmtId="296" formatCode="0.0%;[Red]\(0.0%\)"/>
    <numFmt numFmtId="297" formatCode="#,##0.00%"/>
    <numFmt numFmtId="298" formatCode="#,##0.00&quot; x&quot;"/>
    <numFmt numFmtId="299" formatCode="0.000%;;&quot;-- &quot;"/>
    <numFmt numFmtId="300" formatCode="0.000%_);\(0.000%\)"/>
    <numFmt numFmtId="301" formatCode="0%_);[Red]\(0%\)"/>
    <numFmt numFmtId="302" formatCode="0.00%_);[Red]\(0.00%\)"/>
    <numFmt numFmtId="303" formatCode="0.0&quot;%&quot;;\(0.0&quot;%&quot;\)"/>
    <numFmt numFmtId="304" formatCode="0.0%&quot;Sales&quot;"/>
    <numFmt numFmtId="305" formatCode="#,##0.0000;\(#,##0.0000\)"/>
    <numFmt numFmtId="306" formatCode="&quot;Proj &quot;0;;"/>
    <numFmt numFmtId="307" formatCode="_(0.00_);_(\(0.00\);_(* &quot;-&quot;??_);_(@_)"/>
    <numFmt numFmtId="308" formatCode="&quot;1 : &quot;#,##0.00_);[Red]\(&quot;1 : &quot;#,##0.00\)"/>
    <numFmt numFmtId="309" formatCode="[$$-409]#,##0.00;[Red]&quot;-&quot;[$$-409]#,##0.00"/>
    <numFmt numFmtId="310" formatCode="mm/dd/yy"/>
    <numFmt numFmtId="311" formatCode="0.00;[Red]0.00"/>
    <numFmt numFmtId="312" formatCode="#,##0.00\ &quot;€&quot;;[Red]\-#,##0.00\ &quot;€&quot;"/>
    <numFmt numFmtId="313" formatCode="#,##0_);\(#,##0\);\-_);&quot;–&quot;&quot; &quot;@"/>
    <numFmt numFmtId="314" formatCode="#,##0_);\(#,##0\);\-_);&quot;—&quot;&quot; &quot;@"/>
    <numFmt numFmtId="315" formatCode="\+0.00%\+"/>
    <numFmt numFmtId="316" formatCode="0.00%\)"/>
    <numFmt numFmtId="317" formatCode="#,##0.000\ \ \ ;\(#,##0.000\)\ \ "/>
    <numFmt numFmtId="318" formatCode="#,##0&quot;x&quot;_);\(#,##0&quot;x&quot;\)"/>
    <numFmt numFmtId="319" formatCode="#,##0.0&quot;x&quot;_);\(#,##0.0&quot;x&quot;\)"/>
    <numFmt numFmtId="320" formatCode="#,##0.00&quot;x&quot;_);\(#,##0.00&quot;x&quot;\)"/>
    <numFmt numFmtId="321" formatCode="0##0"/>
    <numFmt numFmtId="322" formatCode="_-&quot;£&quot;* #,##0_-;\-&quot;£&quot;* #,##0_-;_-&quot;£&quot;* &quot;-&quot;_-;_-@_-"/>
    <numFmt numFmtId="323" formatCode="_-&quot;£&quot;* #,##0.00_-;\-&quot;£&quot;* #,##0.00_-;_-&quot;£&quot;* &quot;-&quot;??_-;_-@_-"/>
    <numFmt numFmtId="324" formatCode="_(&quot;Yes&quot;_);_(&quot;No&quot;_);_(&quot;No&quot;_)"/>
    <numFmt numFmtId="325" formatCode="_-&quot;$&quot;* #,##0_-;\-&quot;$&quot;* #,##0_-;_-&quot;$&quot;* &quot;-&quot;_-;_-@_-"/>
    <numFmt numFmtId="326" formatCode="_-&quot;$&quot;* #,##0.00_-;\-&quot;$&quot;* #,##0.00_-;_-&quot;$&quot;* &quot;-&quot;??_-;_-@_-"/>
    <numFmt numFmtId="327" formatCode="&quot;\&quot;#,##0.00;[Red]&quot;\&quot;\-#,##0.00"/>
    <numFmt numFmtId="328" formatCode="&quot;\&quot;#,##0;[Red]&quot;\&quot;\-#,##0"/>
    <numFmt numFmtId="329" formatCode="#,##0\ &quot;BF&quot;;[Red]\-#,##0\ &quot;BF&quot;"/>
    <numFmt numFmtId="330" formatCode="[$-409]d\-mmm\-yy;@"/>
    <numFmt numFmtId="331" formatCode="0_);\(0\)"/>
    <numFmt numFmtId="332" formatCode="_(* #,##0.000_);_(* \(#,##0.000\);_(* &quot;-&quot;???_);_(@_)"/>
    <numFmt numFmtId="333" formatCode="0\ &quot;Ø&quot;"/>
    <numFmt numFmtId="334" formatCode="_-* #,##0_-;\-* #,##0_-;_-* &quot;-&quot;??_-;_-@_-"/>
    <numFmt numFmtId="335" formatCode="_-* #,##0.000_-;\-* #,##0.000_-;_-* &quot;-&quot;??_-;_-@_-"/>
    <numFmt numFmtId="336" formatCode="#,##0.000_ ;\-#,##0.000\ "/>
    <numFmt numFmtId="337" formatCode="&quot;HOLD&quot;0%"/>
    <numFmt numFmtId="338" formatCode="0.000_);\(0.000\)"/>
    <numFmt numFmtId="339" formatCode="_(* #,##0.0_);_(* \(#,##0.0\);_(* &quot;-&quot;?_);_(@_)"/>
    <numFmt numFmtId="340" formatCode="&quot;hold&quot;0%"/>
    <numFmt numFmtId="341" formatCode="0&quot;%&quot;"/>
    <numFmt numFmtId="342" formatCode="&quot;HOLD&quot;\%"/>
  </numFmts>
  <fonts count="319">
    <font>
      <sz val="11"/>
      <color theme="1"/>
      <name val="Calibri"/>
      <family val="2"/>
      <scheme val="minor"/>
    </font>
    <font>
      <sz val="10"/>
      <color theme="1"/>
      <name val="Tahoma"/>
      <family val="2"/>
    </font>
    <font>
      <sz val="11"/>
      <color theme="1"/>
      <name val="Calibri"/>
      <family val="2"/>
      <scheme val="minor"/>
    </font>
    <font>
      <b/>
      <sz val="11"/>
      <color theme="1"/>
      <name val="Calibri"/>
      <family val="2"/>
      <scheme val="minor"/>
    </font>
    <font>
      <sz val="10"/>
      <name val="Arial"/>
      <family val="2"/>
    </font>
    <font>
      <sz val="12"/>
      <name val="Arial Narrow"/>
      <family val="2"/>
    </font>
    <font>
      <sz val="10"/>
      <name val="Times New Roman"/>
      <family val="1"/>
    </font>
    <font>
      <sz val="10"/>
      <name val="Helv"/>
      <charset val="204"/>
    </font>
    <font>
      <sz val="11"/>
      <color indexed="8"/>
      <name val="Calibri"/>
      <family val="2"/>
    </font>
    <font>
      <sz val="12"/>
      <color theme="1"/>
      <name val="Calibri"/>
      <family val="2"/>
      <scheme val="minor"/>
    </font>
    <font>
      <sz val="10"/>
      <name val="Mangal"/>
      <family val="2"/>
    </font>
    <font>
      <sz val="10"/>
      <color indexed="8"/>
      <name val="Arial"/>
      <family val="2"/>
    </font>
    <font>
      <b/>
      <sz val="14"/>
      <name val="Arial"/>
      <family val="2"/>
    </font>
    <font>
      <b/>
      <sz val="14"/>
      <name val="Times New Roman"/>
      <family val="1"/>
    </font>
    <font>
      <sz val="14"/>
      <name val="Arial"/>
      <family val="2"/>
    </font>
    <font>
      <sz val="12"/>
      <color indexed="12"/>
      <name val="Times New Roman"/>
      <family val="1"/>
    </font>
    <font>
      <sz val="12"/>
      <name val="Times New Roman"/>
      <family val="1"/>
    </font>
    <font>
      <sz val="11"/>
      <name val="돋움"/>
      <charset val="129"/>
    </font>
    <font>
      <sz val="10"/>
      <color indexed="8"/>
      <name val="MS P????"/>
      <family val="3"/>
      <charset val="128"/>
    </font>
    <font>
      <b/>
      <sz val="10"/>
      <name val="Times New Roman"/>
      <family val="1"/>
    </font>
    <font>
      <sz val="10"/>
      <color indexed="12"/>
      <name val="Arial"/>
      <family val="2"/>
    </font>
    <font>
      <sz val="10"/>
      <name val="Helv"/>
      <family val="2"/>
    </font>
    <font>
      <sz val="10"/>
      <name val="Helv"/>
    </font>
    <font>
      <sz val="14"/>
      <name val="Terminal"/>
      <family val="3"/>
      <charset val="128"/>
    </font>
    <font>
      <b/>
      <sz val="10"/>
      <name val="Arial"/>
      <family val="2"/>
    </font>
    <font>
      <sz val="10"/>
      <name val="Arial"/>
      <family val="2"/>
      <charset val="204"/>
    </font>
    <font>
      <sz val="14"/>
      <name val="Terminal"/>
      <family val="3"/>
      <charset val="255"/>
    </font>
    <font>
      <sz val="10"/>
      <name val="Helv"/>
      <family val="2"/>
      <charset val="204"/>
    </font>
    <font>
      <sz val="11"/>
      <name val="??"/>
      <charset val="129"/>
    </font>
    <font>
      <sz val="11"/>
      <name val="돋움"/>
      <family val="3"/>
      <charset val="129"/>
    </font>
    <font>
      <sz val="11"/>
      <name val="돋움"/>
      <family val="2"/>
      <charset val="129"/>
    </font>
    <font>
      <b/>
      <sz val="22"/>
      <color indexed="18"/>
      <name val="Arial"/>
      <family val="2"/>
    </font>
    <font>
      <sz val="10"/>
      <name val="Univers Condensed"/>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3"/>
      <name val="Tms Rmn"/>
      <family val="1"/>
    </font>
    <font>
      <sz val="10"/>
      <name val="Calibri"/>
      <family val="2"/>
    </font>
    <font>
      <sz val="8"/>
      <name val="Helv"/>
    </font>
    <font>
      <sz val="11"/>
      <color indexed="9"/>
      <name val="Calibri"/>
      <family val="2"/>
    </font>
    <font>
      <sz val="14"/>
      <name val="AngsanaUPC"/>
      <family val="1"/>
    </font>
    <font>
      <b/>
      <sz val="11"/>
      <name val="Times New Roman"/>
      <family val="1"/>
    </font>
    <font>
      <sz val="11"/>
      <name val="Arial"/>
      <family val="2"/>
    </font>
    <font>
      <sz val="10"/>
      <color indexed="12"/>
      <name val="Times New Roman"/>
      <family val="1"/>
    </font>
    <font>
      <sz val="10"/>
      <name val="Vogue"/>
    </font>
    <font>
      <sz val="8"/>
      <name val="Tahoma"/>
      <family val="2"/>
    </font>
    <font>
      <sz val="16"/>
      <name val="Times New Roman"/>
      <family val="1"/>
    </font>
    <font>
      <sz val="8"/>
      <color indexed="12"/>
      <name val="Helv"/>
    </font>
    <font>
      <sz val="10"/>
      <name val="Geneva"/>
    </font>
    <font>
      <u/>
      <sz val="10"/>
      <name val="Times New Roman"/>
      <family val="1"/>
    </font>
    <font>
      <sz val="12"/>
      <color indexed="8"/>
      <name val="Times New Roman"/>
      <family val="1"/>
    </font>
    <font>
      <sz val="11"/>
      <color indexed="20"/>
      <name val="Calibri"/>
      <family val="2"/>
    </font>
    <font>
      <sz val="8"/>
      <name val="Times New Roman"/>
      <family val="1"/>
    </font>
    <font>
      <u/>
      <sz val="10"/>
      <name val="Tms Rmn"/>
    </font>
    <font>
      <sz val="12"/>
      <name val="Tms Rmn"/>
    </font>
    <font>
      <sz val="8"/>
      <name val="Verdana"/>
      <family val="2"/>
    </font>
    <font>
      <u/>
      <sz val="8"/>
      <name val="Tms Rmn"/>
    </font>
    <font>
      <b/>
      <sz val="10"/>
      <name val="Switzerland"/>
      <family val="2"/>
    </font>
    <font>
      <b/>
      <sz val="12"/>
      <name val="Switzerland"/>
      <family val="2"/>
    </font>
    <font>
      <b/>
      <sz val="8"/>
      <name val="Switzerland"/>
      <family val="2"/>
    </font>
    <font>
      <b/>
      <i/>
      <sz val="10"/>
      <name val="Switzerland"/>
      <family val="2"/>
    </font>
    <font>
      <b/>
      <i/>
      <sz val="12"/>
      <name val="Switzerland"/>
      <family val="2"/>
    </font>
    <font>
      <b/>
      <i/>
      <sz val="8"/>
      <name val="Switzerland"/>
      <family val="2"/>
    </font>
    <font>
      <b/>
      <sz val="12"/>
      <name val="Times New Roman"/>
      <family val="1"/>
    </font>
    <font>
      <b/>
      <sz val="10"/>
      <name val="MS Sans Serif"/>
      <family val="2"/>
    </font>
    <font>
      <i/>
      <sz val="8"/>
      <color indexed="12"/>
      <name val="Arial"/>
      <family val="2"/>
    </font>
    <font>
      <sz val="32"/>
      <color indexed="8"/>
      <name val="Times New Roman"/>
      <family val="1"/>
    </font>
    <font>
      <sz val="10"/>
      <name val="MS Sans Serif"/>
      <family val="2"/>
    </font>
    <font>
      <sz val="12"/>
      <name val="¹UAAA¼"/>
      <family val="3"/>
      <charset val="129"/>
    </font>
    <font>
      <sz val="12"/>
      <name val="¹ÙÅÁÃ¼"/>
      <charset val="129"/>
    </font>
    <font>
      <sz val="9"/>
      <name val="Times New Roman"/>
      <family val="1"/>
    </font>
    <font>
      <sz val="10"/>
      <name val="Courier"/>
      <family val="3"/>
    </font>
    <font>
      <sz val="10"/>
      <color indexed="8"/>
      <name val="Times New Roman"/>
      <family val="1"/>
    </font>
    <font>
      <b/>
      <sz val="11"/>
      <color indexed="52"/>
      <name val="Calibri"/>
      <family val="2"/>
    </font>
    <font>
      <b/>
      <sz val="10"/>
      <name val="Helv"/>
    </font>
    <font>
      <i/>
      <sz val="10"/>
      <name val="Arial"/>
      <family val="2"/>
    </font>
    <font>
      <u/>
      <sz val="12"/>
      <name val="Tms Rmn"/>
    </font>
    <font>
      <sz val="10"/>
      <color indexed="18"/>
      <name val="Times New Roman"/>
      <family val="1"/>
    </font>
    <font>
      <b/>
      <sz val="11"/>
      <color indexed="9"/>
      <name val="Calibri"/>
      <family val="2"/>
    </font>
    <font>
      <sz val="9"/>
      <name val="Arial Narrow"/>
      <family val="2"/>
    </font>
    <font>
      <b/>
      <sz val="8"/>
      <name val="Arial"/>
      <family val="2"/>
    </font>
    <font>
      <sz val="8"/>
      <name val="Arial"/>
      <family val="2"/>
    </font>
    <font>
      <b/>
      <sz val="13"/>
      <name val="Tms Rmn"/>
      <family val="1"/>
    </font>
    <font>
      <sz val="10"/>
      <name val="Tms Rmn"/>
    </font>
    <font>
      <sz val="11"/>
      <color indexed="8"/>
      <name val="Times New Roman"/>
      <family val="2"/>
    </font>
    <font>
      <sz val="10"/>
      <name val="Lohit Hindi"/>
      <family val="2"/>
    </font>
    <font>
      <sz val="11"/>
      <name val="Times New Roman"/>
      <family val="1"/>
    </font>
    <font>
      <sz val="10"/>
      <name val="MS Serif"/>
      <family val="1"/>
    </font>
    <font>
      <sz val="11"/>
      <name val="Courier"/>
      <family val="3"/>
    </font>
    <font>
      <sz val="14"/>
      <name val="Palatino"/>
      <family val="1"/>
    </font>
    <font>
      <sz val="16"/>
      <name val="Palatino"/>
      <family val="1"/>
    </font>
    <font>
      <sz val="32"/>
      <name val="Helvetica-Black"/>
    </font>
    <font>
      <b/>
      <u/>
      <sz val="11"/>
      <name val="Times New Roman"/>
      <family val="1"/>
    </font>
    <font>
      <sz val="12"/>
      <name val="Helv"/>
    </font>
    <font>
      <sz val="1"/>
      <color indexed="8"/>
      <name val="Courier"/>
      <family val="3"/>
    </font>
    <font>
      <sz val="8"/>
      <color indexed="12"/>
      <name val="Arial"/>
      <family val="2"/>
    </font>
    <font>
      <b/>
      <sz val="12"/>
      <name val="Arial Narrow"/>
      <family val="2"/>
    </font>
    <font>
      <sz val="10"/>
      <name val="Century Gothic"/>
      <family val="2"/>
    </font>
    <font>
      <i/>
      <sz val="10"/>
      <color indexed="12"/>
      <name val="Times New Roman"/>
      <family val="1"/>
    </font>
    <font>
      <sz val="12"/>
      <name val="Times"/>
      <family val="1"/>
    </font>
    <font>
      <b/>
      <sz val="10"/>
      <color indexed="8"/>
      <name val="Courier New"/>
      <family val="3"/>
    </font>
    <font>
      <sz val="10"/>
      <color indexed="16"/>
      <name val="MS Serif"/>
      <family val="1"/>
    </font>
    <font>
      <sz val="10"/>
      <name val="Arial Narrow"/>
      <family val="2"/>
    </font>
    <font>
      <i/>
      <sz val="11"/>
      <color indexed="23"/>
      <name val="Calibri"/>
      <family val="2"/>
      <charset val="1"/>
    </font>
    <font>
      <sz val="10"/>
      <color rgb="FF000000"/>
      <name val="Arial1"/>
    </font>
    <font>
      <i/>
      <sz val="11"/>
      <color indexed="23"/>
      <name val="Calibri"/>
      <family val="2"/>
    </font>
    <font>
      <i/>
      <sz val="10"/>
      <name val="Arial Narrow"/>
      <family val="2"/>
    </font>
    <font>
      <b/>
      <sz val="10"/>
      <color indexed="32"/>
      <name val="Arial Narrow"/>
      <family val="2"/>
    </font>
    <font>
      <i/>
      <sz val="10"/>
      <color indexed="32"/>
      <name val="Arial Narrow"/>
      <family val="2"/>
    </font>
    <font>
      <b/>
      <sz val="12"/>
      <color indexed="55"/>
      <name val="Arial"/>
      <family val="2"/>
    </font>
    <font>
      <b/>
      <i/>
      <sz val="9.5"/>
      <name val="Times New Roman"/>
      <family val="1"/>
    </font>
    <font>
      <sz val="10"/>
      <color indexed="32"/>
      <name val="Arial Narrow"/>
      <family val="2"/>
    </font>
    <font>
      <sz val="12"/>
      <name val="Arial"/>
      <family val="2"/>
    </font>
    <font>
      <b/>
      <sz val="16"/>
      <name val="Arial"/>
      <family val="2"/>
    </font>
    <font>
      <b/>
      <sz val="14"/>
      <color indexed="32"/>
      <name val="Arial"/>
      <family val="2"/>
    </font>
    <font>
      <sz val="8"/>
      <color indexed="32"/>
      <name val="Arial Narrow"/>
      <family val="2"/>
    </font>
    <font>
      <b/>
      <sz val="10"/>
      <name val="Arial Narrow"/>
      <family val="2"/>
    </font>
    <font>
      <b/>
      <i/>
      <sz val="10"/>
      <name val="Arial Narrow"/>
      <family val="2"/>
    </font>
    <font>
      <u/>
      <sz val="11"/>
      <color indexed="12"/>
      <name val="Book Antiqua"/>
      <family val="1"/>
    </font>
    <font>
      <sz val="6"/>
      <color indexed="23"/>
      <name val="Helvetica-Black"/>
    </font>
    <font>
      <sz val="9.5"/>
      <color indexed="23"/>
      <name val="Helvetica-Black"/>
    </font>
    <font>
      <sz val="7"/>
      <name val="Palatino"/>
      <family val="1"/>
    </font>
    <font>
      <sz val="10"/>
      <color indexed="10"/>
      <name val="Arial"/>
      <family val="2"/>
    </font>
    <font>
      <b/>
      <sz val="12"/>
      <color indexed="53"/>
      <name val="Times New Roman"/>
      <family val="1"/>
    </font>
    <font>
      <sz val="11"/>
      <name val="Book Antiqua"/>
      <family val="1"/>
    </font>
    <font>
      <sz val="11"/>
      <color indexed="17"/>
      <name val="Calibri"/>
      <family val="2"/>
    </font>
    <font>
      <b/>
      <sz val="9"/>
      <name val="Arial"/>
      <family val="2"/>
    </font>
    <font>
      <sz val="8"/>
      <name val="Arial Narrow"/>
      <family val="2"/>
    </font>
    <font>
      <sz val="12"/>
      <color indexed="9"/>
      <name val="Times New Roman"/>
      <family val="1"/>
    </font>
    <font>
      <sz val="24"/>
      <color indexed="8"/>
      <name val="TimesNewRomanPS"/>
      <family val="1"/>
    </font>
    <font>
      <sz val="18"/>
      <color indexed="8"/>
      <name val="Times New Roman"/>
      <family val="1"/>
    </font>
    <font>
      <b/>
      <sz val="10"/>
      <name val="Century Gothic"/>
      <family val="2"/>
    </font>
    <font>
      <sz val="6"/>
      <name val="Palatino"/>
      <family val="1"/>
    </font>
    <font>
      <b/>
      <sz val="8"/>
      <color indexed="8"/>
      <name val="Tahoma"/>
      <family val="2"/>
    </font>
    <font>
      <b/>
      <sz val="12"/>
      <name val="Arial"/>
      <family val="2"/>
    </font>
    <font>
      <b/>
      <i/>
      <sz val="16"/>
      <color rgb="FF000000"/>
      <name val="Arial1"/>
    </font>
    <font>
      <b/>
      <sz val="15"/>
      <color indexed="56"/>
      <name val="Calibri"/>
      <family val="2"/>
    </font>
    <font>
      <sz val="10"/>
      <name val="Helvetica-Black"/>
    </font>
    <font>
      <sz val="28"/>
      <name val="Helvetica-Black"/>
    </font>
    <font>
      <b/>
      <sz val="13"/>
      <color indexed="56"/>
      <name val="Calibri"/>
      <family val="2"/>
    </font>
    <font>
      <sz val="10"/>
      <name val="Palatino"/>
    </font>
    <font>
      <sz val="18"/>
      <name val="Palatino"/>
      <family val="1"/>
    </font>
    <font>
      <b/>
      <sz val="11"/>
      <color indexed="56"/>
      <name val="Calibri"/>
      <family val="2"/>
    </font>
    <font>
      <i/>
      <sz val="14"/>
      <name val="Palatino"/>
      <family val="1"/>
    </font>
    <font>
      <b/>
      <sz val="18"/>
      <name val="Arial"/>
      <family val="2"/>
    </font>
    <font>
      <sz val="24"/>
      <color indexed="8"/>
      <name val="Times New Roman"/>
      <family val="1"/>
    </font>
    <font>
      <u/>
      <sz val="10"/>
      <color indexed="12"/>
      <name val="Arial"/>
      <family val="2"/>
    </font>
    <font>
      <u/>
      <sz val="9"/>
      <color indexed="12"/>
      <name val="Arial"/>
      <family val="2"/>
    </font>
    <font>
      <sz val="12"/>
      <color indexed="48"/>
      <name val="Times New Roman"/>
      <family val="1"/>
    </font>
    <font>
      <sz val="10"/>
      <color indexed="47"/>
      <name val="Arial"/>
      <family val="2"/>
    </font>
    <font>
      <sz val="11"/>
      <color indexed="48"/>
      <name val="Times New Roman"/>
      <family val="1"/>
    </font>
    <font>
      <sz val="11"/>
      <color indexed="62"/>
      <name val="Calibri"/>
      <family val="2"/>
    </font>
    <font>
      <sz val="12"/>
      <color indexed="10"/>
      <name val="Bookman Old Style"/>
      <family val="1"/>
    </font>
    <font>
      <i/>
      <sz val="12"/>
      <color indexed="10"/>
      <name val="Bookman Old Style"/>
      <family val="1"/>
    </font>
    <font>
      <sz val="8"/>
      <color indexed="39"/>
      <name val="Arial"/>
      <family val="2"/>
    </font>
    <font>
      <sz val="10"/>
      <color indexed="16"/>
      <name val="Times New Roman"/>
      <family val="1"/>
    </font>
    <font>
      <sz val="12"/>
      <color indexed="10"/>
      <name val="Times New Roman"/>
      <family val="1"/>
    </font>
    <font>
      <b/>
      <sz val="14"/>
      <name val="Helv"/>
    </font>
    <font>
      <b/>
      <u val="double"/>
      <sz val="12"/>
      <name val="Times New Roman"/>
      <family val="1"/>
    </font>
    <font>
      <b/>
      <u val="double"/>
      <sz val="11"/>
      <name val="Times New Roman"/>
      <family val="1"/>
    </font>
    <font>
      <sz val="11"/>
      <color indexed="52"/>
      <name val="Calibri"/>
      <family val="2"/>
    </font>
    <font>
      <sz val="8"/>
      <color indexed="8"/>
      <name val="Helv"/>
    </font>
    <font>
      <sz val="10"/>
      <color indexed="20"/>
      <name val="Times New Roman"/>
      <family val="1"/>
    </font>
    <font>
      <b/>
      <sz val="11"/>
      <name val="Helv"/>
    </font>
    <font>
      <sz val="11"/>
      <color indexed="60"/>
      <name val="Calibri"/>
      <family val="2"/>
    </font>
    <font>
      <sz val="7"/>
      <name val="Small Fonts"/>
      <family val="2"/>
    </font>
    <font>
      <b/>
      <sz val="11"/>
      <color indexed="23"/>
      <name val="Verdana"/>
      <family val="2"/>
    </font>
    <font>
      <b/>
      <i/>
      <sz val="16"/>
      <name val="Helv"/>
    </font>
    <font>
      <sz val="10"/>
      <name val="Verdana"/>
      <family val="2"/>
    </font>
    <font>
      <b/>
      <i/>
      <sz val="14"/>
      <name val="Times New Roman"/>
      <family val="1"/>
    </font>
    <font>
      <sz val="9"/>
      <name val="Arial"/>
      <family val="2"/>
    </font>
    <font>
      <sz val="11"/>
      <color rgb="FF000000"/>
      <name val="Arial1"/>
    </font>
    <font>
      <sz val="11"/>
      <color rgb="FF000000"/>
      <name val="Calibri"/>
      <family val="2"/>
    </font>
    <font>
      <sz val="12"/>
      <name val="Book Antiqua"/>
      <family val="1"/>
    </font>
    <font>
      <sz val="11"/>
      <color theme="1"/>
      <name val="Times New Roman"/>
      <family val="2"/>
    </font>
    <font>
      <sz val="10"/>
      <name val="Courier New"/>
      <family val="3"/>
    </font>
    <font>
      <sz val="10"/>
      <color theme="1"/>
      <name val="Calibri"/>
      <family val="2"/>
      <scheme val="minor"/>
    </font>
    <font>
      <sz val="10"/>
      <color indexed="22"/>
      <name val="Arial"/>
      <family val="2"/>
    </font>
    <font>
      <sz val="10"/>
      <color indexed="10"/>
      <name val="Helv"/>
    </font>
    <font>
      <sz val="11"/>
      <color indexed="8"/>
      <name val="Times New Roman"/>
      <family val="1"/>
    </font>
    <font>
      <sz val="8"/>
      <name val="Helvetica"/>
      <family val="2"/>
    </font>
    <font>
      <b/>
      <sz val="11"/>
      <color indexed="63"/>
      <name val="Calibri"/>
      <family val="2"/>
    </font>
    <font>
      <i/>
      <sz val="10"/>
      <name val="Times New Roman"/>
      <family val="1"/>
    </font>
    <font>
      <i/>
      <sz val="8"/>
      <name val="Arial"/>
      <family val="2"/>
    </font>
    <font>
      <b/>
      <sz val="10"/>
      <name val="Arial CE"/>
      <family val="2"/>
      <charset val="238"/>
    </font>
    <font>
      <sz val="7"/>
      <color indexed="10"/>
      <name val="Helv"/>
    </font>
    <font>
      <sz val="8"/>
      <color indexed="10"/>
      <name val="Arial"/>
      <family val="2"/>
    </font>
    <font>
      <sz val="9"/>
      <color indexed="10"/>
      <name val="Arial"/>
      <family val="2"/>
    </font>
    <font>
      <b/>
      <i/>
      <u/>
      <sz val="11"/>
      <color rgb="FF000000"/>
      <name val="Arial1"/>
    </font>
    <font>
      <b/>
      <i/>
      <sz val="8"/>
      <name val="Arial"/>
      <family val="2"/>
    </font>
    <font>
      <sz val="10"/>
      <color indexed="12"/>
      <name val="TimesNewRomanPS"/>
      <family val="1"/>
    </font>
    <font>
      <b/>
      <u/>
      <sz val="10"/>
      <color indexed="18"/>
      <name val="Century Gothic"/>
      <family val="2"/>
    </font>
    <font>
      <sz val="10"/>
      <name val="TimesNewRomanPS"/>
      <family val="1"/>
    </font>
    <font>
      <b/>
      <sz val="18"/>
      <color indexed="8"/>
      <name val="Cambria"/>
      <family val="1"/>
    </font>
    <font>
      <u/>
      <sz val="9"/>
      <color indexed="36"/>
      <name val="Arial"/>
      <family val="2"/>
    </font>
    <font>
      <b/>
      <sz val="12"/>
      <color indexed="8"/>
      <name val="Times New Roman"/>
      <family val="1"/>
    </font>
    <font>
      <sz val="8"/>
      <color indexed="8"/>
      <name val="Tahoma"/>
      <family val="2"/>
    </font>
    <font>
      <b/>
      <i/>
      <sz val="8"/>
      <color indexed="8"/>
      <name val="Tahoma"/>
      <family val="2"/>
    </font>
    <font>
      <b/>
      <sz val="16"/>
      <color indexed="8"/>
      <name val="Tahoma"/>
      <family val="2"/>
    </font>
    <font>
      <b/>
      <sz val="9"/>
      <color indexed="63"/>
      <name val="Tahoma"/>
      <family val="2"/>
    </font>
    <font>
      <b/>
      <sz val="12"/>
      <color indexed="18"/>
      <name val="Times New Roman"/>
      <family val="1"/>
    </font>
    <font>
      <b/>
      <sz val="8"/>
      <color indexed="8"/>
      <name val="Helv"/>
    </font>
    <font>
      <sz val="9"/>
      <name val="Helvetica-Black"/>
    </font>
    <font>
      <b/>
      <sz val="12"/>
      <name val="Tms Rmn"/>
    </font>
    <font>
      <sz val="7"/>
      <name val="Arial"/>
      <family val="2"/>
    </font>
    <font>
      <sz val="24"/>
      <color indexed="13"/>
      <name val="Helv"/>
    </font>
    <font>
      <u/>
      <sz val="7"/>
      <name val="Tms Rmn"/>
    </font>
    <font>
      <b/>
      <sz val="18"/>
      <color indexed="56"/>
      <name val="Cambria"/>
      <family val="2"/>
    </font>
    <font>
      <b/>
      <i/>
      <sz val="12"/>
      <name val="Times New Roman"/>
      <family val="1"/>
    </font>
    <font>
      <b/>
      <sz val="14"/>
      <color indexed="48"/>
      <name val="Albertus Medium"/>
      <family val="2"/>
    </font>
    <font>
      <b/>
      <sz val="10"/>
      <name val="Britannic Bold"/>
      <family val="2"/>
    </font>
    <font>
      <b/>
      <sz val="10"/>
      <name val="Univers Condensed"/>
      <family val="2"/>
    </font>
    <font>
      <b/>
      <u/>
      <sz val="16"/>
      <name val="Times New Roman"/>
      <family val="1"/>
    </font>
    <font>
      <i/>
      <sz val="10"/>
      <color indexed="12"/>
      <name val="Tms Rmn"/>
    </font>
    <font>
      <b/>
      <sz val="10"/>
      <color indexed="8"/>
      <name val="Tms Rmn"/>
    </font>
    <font>
      <b/>
      <sz val="11"/>
      <color indexed="8"/>
      <name val="Calibri"/>
      <family val="2"/>
    </font>
    <font>
      <b/>
      <i/>
      <sz val="12"/>
      <name val="Tms Rmn"/>
    </font>
    <font>
      <sz val="11"/>
      <color indexed="10"/>
      <name val="Calibri"/>
      <family val="2"/>
    </font>
    <font>
      <u/>
      <sz val="11"/>
      <color indexed="12"/>
      <name val="ＭＳ Ｐゴシック"/>
      <family val="2"/>
      <charset val="128"/>
    </font>
    <font>
      <sz val="14"/>
      <name val="뼻뮝"/>
      <family val="3"/>
      <charset val="129"/>
    </font>
    <font>
      <sz val="12"/>
      <name val="뼻뮝"/>
      <family val="1"/>
      <charset val="129"/>
    </font>
    <font>
      <sz val="12"/>
      <name val="바탕체"/>
      <family val="1"/>
      <charset val="129"/>
    </font>
    <font>
      <sz val="10"/>
      <name val="굴림체"/>
      <family val="3"/>
      <charset val="129"/>
    </font>
    <font>
      <sz val="12"/>
      <name val="宋体"/>
      <charset val="134"/>
    </font>
    <font>
      <sz val="11"/>
      <name val="ＭＳ Ｐゴシック"/>
      <family val="3"/>
      <charset val="128"/>
    </font>
    <font>
      <sz val="10"/>
      <name val="Arial"/>
      <family val="2"/>
    </font>
    <font>
      <b/>
      <u/>
      <sz val="12"/>
      <name val="Book Antiqua"/>
      <family val="1"/>
    </font>
    <font>
      <b/>
      <i/>
      <u/>
      <sz val="12"/>
      <name val="Book Antiqua"/>
      <family val="1"/>
    </font>
    <font>
      <b/>
      <sz val="12"/>
      <name val="Book Antiqua"/>
      <family val="1"/>
    </font>
    <font>
      <b/>
      <i/>
      <sz val="12"/>
      <name val="Book Antiqua"/>
      <family val="1"/>
    </font>
    <font>
      <b/>
      <sz val="12"/>
      <color rgb="FFFF0000"/>
      <name val="Book Antiqua"/>
      <family val="1"/>
    </font>
    <font>
      <b/>
      <i/>
      <sz val="12"/>
      <color rgb="FFFF0000"/>
      <name val="Book Antiqua"/>
      <family val="1"/>
    </font>
    <font>
      <b/>
      <sz val="12"/>
      <name val="Calibri"/>
      <family val="2"/>
    </font>
    <font>
      <sz val="12"/>
      <color rgb="FFFF0000"/>
      <name val="Book Antiqua"/>
      <family val="1"/>
    </font>
    <font>
      <sz val="14"/>
      <color theme="1"/>
      <name val="Times New Roman"/>
      <family val="1"/>
    </font>
    <font>
      <b/>
      <sz val="14"/>
      <color theme="1"/>
      <name val="Times New Roman"/>
      <family val="1"/>
    </font>
    <font>
      <sz val="14"/>
      <color theme="1"/>
      <name val="Cambria"/>
      <family val="1"/>
      <scheme val="major"/>
    </font>
    <font>
      <b/>
      <sz val="16"/>
      <color theme="1"/>
      <name val="Cambria"/>
      <family val="1"/>
      <scheme val="major"/>
    </font>
    <font>
      <b/>
      <sz val="18"/>
      <color theme="1"/>
      <name val="Cambria"/>
      <family val="1"/>
      <scheme val="major"/>
    </font>
    <font>
      <b/>
      <u/>
      <sz val="22"/>
      <name val="Cambria"/>
      <family val="1"/>
      <scheme val="major"/>
    </font>
    <font>
      <b/>
      <sz val="22"/>
      <color theme="1"/>
      <name val="Cambria"/>
      <family val="1"/>
      <scheme val="major"/>
    </font>
    <font>
      <b/>
      <sz val="14"/>
      <name val="Cambria"/>
      <family val="1"/>
      <scheme val="major"/>
    </font>
    <font>
      <sz val="14"/>
      <color indexed="63"/>
      <name val="Cambria"/>
      <family val="1"/>
      <scheme val="major"/>
    </font>
    <font>
      <sz val="14"/>
      <name val="Cambria"/>
      <family val="1"/>
      <scheme val="major"/>
    </font>
    <font>
      <b/>
      <sz val="18"/>
      <name val="Times New Roman"/>
      <family val="1"/>
    </font>
    <font>
      <sz val="18"/>
      <name val="Times New Roman"/>
      <family val="1"/>
    </font>
    <font>
      <sz val="18"/>
      <color theme="1"/>
      <name val="Times New Roman"/>
      <family val="1"/>
    </font>
    <font>
      <b/>
      <sz val="18"/>
      <color indexed="8"/>
      <name val="Times New Roman"/>
      <family val="1"/>
    </font>
    <font>
      <b/>
      <sz val="13"/>
      <name val="Book Antiqua"/>
      <family val="1"/>
    </font>
    <font>
      <sz val="13"/>
      <name val="Book Antiqua"/>
      <family val="1"/>
    </font>
    <font>
      <b/>
      <i/>
      <sz val="13"/>
      <name val="Book Antiqua"/>
      <family val="1"/>
    </font>
    <font>
      <b/>
      <sz val="11"/>
      <color theme="1"/>
      <name val="Book Antiqua"/>
      <family val="1"/>
    </font>
    <font>
      <sz val="11"/>
      <color theme="1"/>
      <name val="Book Antiqua"/>
      <family val="1"/>
    </font>
    <font>
      <sz val="14"/>
      <color theme="1"/>
      <name val="Book Antiqua"/>
      <family val="1"/>
    </font>
    <font>
      <b/>
      <u/>
      <sz val="11"/>
      <name val="Book Antiqua"/>
      <family val="1"/>
    </font>
    <font>
      <b/>
      <sz val="11"/>
      <name val="Book Antiqua"/>
      <family val="1"/>
    </font>
    <font>
      <b/>
      <sz val="10"/>
      <name val="Bookman Old Style"/>
      <family val="1"/>
    </font>
    <font>
      <sz val="10"/>
      <name val="Bookman Old Style"/>
      <family val="1"/>
    </font>
    <font>
      <b/>
      <i/>
      <sz val="11"/>
      <color theme="1"/>
      <name val="Book Antiqua"/>
      <family val="1"/>
    </font>
    <font>
      <i/>
      <sz val="11"/>
      <color theme="1"/>
      <name val="Book Antiqua"/>
      <family val="1"/>
    </font>
    <font>
      <sz val="11"/>
      <name val="Bookman Old Style"/>
      <family val="1"/>
    </font>
    <font>
      <sz val="11"/>
      <color rgb="FFFF0000"/>
      <name val="Calibri"/>
      <family val="2"/>
      <scheme val="minor"/>
    </font>
    <font>
      <sz val="11"/>
      <color rgb="FFFF0000"/>
      <name val="Book Antiqua"/>
      <family val="1"/>
    </font>
    <font>
      <sz val="11"/>
      <color rgb="FFFF0000"/>
      <name val="Bookman Old Style"/>
      <family val="1"/>
    </font>
    <font>
      <sz val="11"/>
      <name val="Calibri"/>
      <family val="2"/>
      <scheme val="minor"/>
    </font>
    <font>
      <sz val="22"/>
      <name val="Book Antiqua"/>
      <family val="1"/>
    </font>
    <font>
      <b/>
      <i/>
      <sz val="13"/>
      <color theme="6" tint="-0.499984740745262"/>
      <name val="Book Antiqua"/>
      <family val="1"/>
    </font>
    <font>
      <sz val="13"/>
      <color theme="6" tint="-0.499984740745262"/>
      <name val="Book Antiqua"/>
      <family val="1"/>
    </font>
    <font>
      <b/>
      <sz val="13"/>
      <color theme="6" tint="-0.499984740745262"/>
      <name val="Book Antiqua"/>
      <family val="1"/>
    </font>
    <font>
      <b/>
      <sz val="14"/>
      <color theme="1"/>
      <name val="Book Antiqua"/>
      <family val="1"/>
    </font>
    <font>
      <b/>
      <sz val="13"/>
      <color theme="1"/>
      <name val="Book Antiqua"/>
      <family val="1"/>
    </font>
    <font>
      <sz val="13"/>
      <color theme="1"/>
      <name val="Book Antiqua"/>
      <family val="1"/>
    </font>
    <font>
      <b/>
      <i/>
      <sz val="13"/>
      <color rgb="FFFF0000"/>
      <name val="Book Antiqua"/>
      <family val="1"/>
    </font>
    <font>
      <sz val="13"/>
      <color rgb="FFFF0000"/>
      <name val="Book Antiqua"/>
      <family val="1"/>
    </font>
    <font>
      <b/>
      <sz val="13"/>
      <color rgb="FFFF0000"/>
      <name val="Book Antiqua"/>
      <family val="1"/>
    </font>
    <font>
      <b/>
      <sz val="14"/>
      <name val="Book Antiqua"/>
      <family val="1"/>
    </font>
    <font>
      <i/>
      <sz val="13"/>
      <name val="Book Antiqua"/>
      <family val="1"/>
    </font>
    <font>
      <b/>
      <sz val="13"/>
      <name val="Calibri"/>
      <family val="2"/>
    </font>
    <font>
      <b/>
      <u/>
      <sz val="13"/>
      <name val="Book Antiqua"/>
      <family val="1"/>
    </font>
    <font>
      <b/>
      <i/>
      <u/>
      <sz val="13"/>
      <name val="Book Antiqua"/>
      <family val="1"/>
    </font>
    <font>
      <sz val="13"/>
      <color theme="1"/>
      <name val="Calibri"/>
      <family val="2"/>
      <scheme val="minor"/>
    </font>
    <font>
      <u/>
      <sz val="13"/>
      <name val="Book Antiqua"/>
      <family val="1"/>
    </font>
    <font>
      <b/>
      <sz val="13"/>
      <name val="Cambria"/>
      <family val="1"/>
      <scheme val="major"/>
    </font>
    <font>
      <sz val="13"/>
      <color theme="1"/>
      <name val="Cambria"/>
      <family val="1"/>
      <scheme val="major"/>
    </font>
    <font>
      <sz val="13"/>
      <color indexed="63"/>
      <name val="Cambria"/>
      <family val="1"/>
      <scheme val="major"/>
    </font>
    <font>
      <sz val="13"/>
      <name val="Cambria"/>
      <family val="1"/>
      <scheme val="major"/>
    </font>
    <font>
      <b/>
      <sz val="13"/>
      <color theme="1"/>
      <name val="Cambria"/>
      <family val="1"/>
      <scheme val="major"/>
    </font>
    <font>
      <sz val="13"/>
      <color theme="0"/>
      <name val="Book Antiqua"/>
      <family val="1"/>
    </font>
    <font>
      <b/>
      <sz val="13"/>
      <color theme="0"/>
      <name val="Book Antiqua"/>
      <family val="1"/>
    </font>
    <font>
      <sz val="13"/>
      <name val="Calibri"/>
      <family val="2"/>
      <scheme val="minor"/>
    </font>
    <font>
      <i/>
      <u/>
      <sz val="13"/>
      <color rgb="FFFF0000"/>
      <name val="Book Antiqua"/>
      <family val="1"/>
    </font>
    <font>
      <i/>
      <u/>
      <sz val="13"/>
      <name val="Book Antiqua"/>
      <family val="1"/>
    </font>
    <font>
      <i/>
      <u/>
      <sz val="12"/>
      <name val="Book Antiqua"/>
      <family val="1"/>
    </font>
    <font>
      <i/>
      <u/>
      <sz val="12"/>
      <color rgb="FFFF0000"/>
      <name val="Book Antiqua"/>
      <family val="1"/>
    </font>
    <font>
      <b/>
      <sz val="16"/>
      <name val="Cambria"/>
      <family val="1"/>
      <scheme val="major"/>
    </font>
    <font>
      <sz val="16"/>
      <name val="Cambria"/>
      <family val="1"/>
      <scheme val="major"/>
    </font>
    <font>
      <sz val="18"/>
      <name val="Book Antiqua"/>
      <family val="1"/>
    </font>
    <font>
      <b/>
      <sz val="10"/>
      <color theme="1"/>
      <name val="Tahoma"/>
      <family val="2"/>
    </font>
    <font>
      <sz val="11"/>
      <color theme="1"/>
      <name val="Tahoma"/>
      <family val="2"/>
    </font>
    <font>
      <sz val="11"/>
      <name val="Tahoma"/>
      <family val="2"/>
    </font>
    <font>
      <sz val="14"/>
      <name val="Bookman Old Style"/>
      <family val="1"/>
    </font>
    <font>
      <b/>
      <sz val="12"/>
      <color theme="1"/>
      <name val="Book Antiqua"/>
      <family val="1"/>
    </font>
    <font>
      <b/>
      <sz val="9"/>
      <color indexed="81"/>
      <name val="Tahoma"/>
      <family val="2"/>
    </font>
    <font>
      <b/>
      <sz val="18"/>
      <color rgb="FFFF0000"/>
      <name val="Cambria"/>
      <family val="1"/>
      <scheme val="major"/>
    </font>
    <font>
      <u/>
      <sz val="11"/>
      <name val="Book Antiqua"/>
      <family val="1"/>
    </font>
    <font>
      <sz val="13"/>
      <color rgb="FF7030A0"/>
      <name val="Book Antiqua"/>
      <family val="1"/>
    </font>
    <font>
      <b/>
      <sz val="13"/>
      <color rgb="FF7030A0"/>
      <name val="Book Antiqua"/>
      <family val="1"/>
    </font>
    <font>
      <sz val="13"/>
      <color rgb="FF7030A0"/>
      <name val="Calibri"/>
      <family val="2"/>
      <scheme val="minor"/>
    </font>
    <font>
      <b/>
      <sz val="12"/>
      <color rgb="FF7030A0"/>
      <name val="Book Antiqua"/>
      <family val="1"/>
    </font>
    <font>
      <sz val="12"/>
      <color rgb="FF7030A0"/>
      <name val="Book Antiqua"/>
      <family val="1"/>
    </font>
    <font>
      <i/>
      <sz val="13"/>
      <color rgb="FF7030A0"/>
      <name val="Book Antiqua"/>
      <family val="1"/>
    </font>
    <font>
      <b/>
      <i/>
      <sz val="13"/>
      <color rgb="FF7030A0"/>
      <name val="Book Antiqua"/>
      <family val="1"/>
    </font>
    <font>
      <sz val="16"/>
      <color theme="1"/>
      <name val="Calibri"/>
      <family val="2"/>
      <scheme val="minor"/>
    </font>
    <font>
      <b/>
      <sz val="14"/>
      <color theme="1"/>
      <name val="Cambria"/>
      <family val="1"/>
      <scheme val="major"/>
    </font>
    <font>
      <b/>
      <sz val="12"/>
      <name val="Cambria"/>
      <family val="1"/>
      <scheme val="major"/>
    </font>
    <font>
      <b/>
      <sz val="22"/>
      <name val="Times New Roman"/>
      <family val="1"/>
    </font>
    <font>
      <b/>
      <sz val="26"/>
      <name val="Times New Roman"/>
      <family val="1"/>
    </font>
    <font>
      <b/>
      <sz val="11"/>
      <color theme="1"/>
      <name val="Tahoma"/>
      <family val="2"/>
    </font>
  </fonts>
  <fills count="97">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bgColor indexed="9"/>
      </patternFill>
    </fill>
    <fill>
      <patternFill patternType="solid">
        <fgColor indexed="54"/>
        <bgColor indexed="54"/>
      </patternFill>
    </fill>
    <fill>
      <patternFill patternType="solid">
        <fgColor indexed="25"/>
        <bgColor indexed="25"/>
      </patternFill>
    </fill>
    <fill>
      <patternFill patternType="solid">
        <fgColor indexed="55"/>
        <bgColor indexed="5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0"/>
        <bgColor indexed="21"/>
      </patternFill>
    </fill>
    <fill>
      <patternFill patternType="solid">
        <fgColor indexed="29"/>
        <bgColor indexed="45"/>
      </patternFill>
    </fill>
    <fill>
      <patternFill patternType="solid">
        <fgColor indexed="11"/>
        <bgColor indexed="49"/>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39"/>
        <bgColor indexed="64"/>
      </patternFill>
    </fill>
    <fill>
      <patternFill patternType="solid">
        <fgColor indexed="55"/>
        <bgColor indexed="64"/>
      </patternFill>
    </fill>
    <fill>
      <patternFill patternType="solid">
        <fgColor indexed="43"/>
        <bgColor indexed="64"/>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0"/>
        <bgColor indexed="64"/>
      </patternFill>
    </fill>
    <fill>
      <patternFill patternType="mediumGray">
        <fgColor indexed="22"/>
      </patternFill>
    </fill>
    <fill>
      <patternFill patternType="lightGray">
        <fgColor indexed="13"/>
        <bgColor indexed="9"/>
      </patternFill>
    </fill>
    <fill>
      <patternFill patternType="lightGray">
        <fgColor indexed="13"/>
        <bgColor indexed="13"/>
      </patternFill>
    </fill>
    <fill>
      <patternFill patternType="solid">
        <fgColor indexed="26"/>
        <bgColor indexed="64"/>
      </patternFill>
    </fill>
    <fill>
      <patternFill patternType="solid">
        <fgColor indexed="51"/>
        <bgColor indexed="64"/>
      </patternFill>
    </fill>
    <fill>
      <patternFill patternType="solid">
        <fgColor indexed="27"/>
        <bgColor indexed="24"/>
      </patternFill>
    </fill>
    <fill>
      <patternFill patternType="solid">
        <fgColor indexed="26"/>
        <bgColor indexed="41"/>
      </patternFill>
    </fill>
    <fill>
      <patternFill patternType="solid">
        <fgColor indexed="42"/>
        <bgColor indexed="27"/>
      </patternFill>
    </fill>
    <fill>
      <patternFill patternType="darkGray">
        <fgColor indexed="22"/>
        <bgColor indexed="13"/>
      </patternFill>
    </fill>
    <fill>
      <patternFill patternType="solid">
        <fgColor indexed="22"/>
        <bgColor indexed="64"/>
      </patternFill>
    </fill>
    <fill>
      <patternFill patternType="solid">
        <fgColor indexed="47"/>
        <bgColor indexed="22"/>
      </patternFill>
    </fill>
    <fill>
      <patternFill patternType="solid">
        <fgColor indexed="13"/>
      </patternFill>
    </fill>
    <fill>
      <patternFill patternType="mediumGray">
        <fgColor indexed="9"/>
        <bgColor indexed="22"/>
      </patternFill>
    </fill>
    <fill>
      <patternFill patternType="solid">
        <fgColor indexed="43"/>
        <bgColor indexed="26"/>
      </patternFill>
    </fill>
    <fill>
      <patternFill patternType="solid">
        <fgColor indexed="21"/>
        <bgColor indexed="64"/>
      </patternFill>
    </fill>
    <fill>
      <patternFill patternType="solid">
        <fgColor indexed="26"/>
      </patternFill>
    </fill>
    <fill>
      <patternFill patternType="solid">
        <fgColor indexed="26"/>
        <bgColor indexed="9"/>
      </patternFill>
    </fill>
    <fill>
      <patternFill patternType="solid">
        <fgColor indexed="32"/>
        <bgColor indexed="64"/>
      </patternFill>
    </fill>
    <fill>
      <patternFill patternType="solid">
        <fgColor indexed="47"/>
        <bgColor indexed="64"/>
      </patternFill>
    </fill>
    <fill>
      <patternFill patternType="solid">
        <fgColor indexed="22"/>
        <bgColor indexed="22"/>
      </patternFill>
    </fill>
    <fill>
      <patternFill patternType="solid">
        <fgColor indexed="38"/>
        <bgColor indexed="64"/>
      </patternFill>
    </fill>
    <fill>
      <patternFill patternType="solid">
        <fgColor indexed="41"/>
        <bgColor indexed="64"/>
      </patternFill>
    </fill>
    <fill>
      <patternFill patternType="solid">
        <fgColor indexed="31"/>
        <bgColor indexed="31"/>
      </patternFill>
    </fill>
    <fill>
      <patternFill patternType="solid">
        <fgColor indexed="62"/>
        <bgColor indexed="64"/>
      </patternFill>
    </fill>
    <fill>
      <patternFill patternType="solid">
        <fgColor indexed="10"/>
        <bgColor indexed="64"/>
      </patternFill>
    </fill>
    <fill>
      <patternFill patternType="solid">
        <fgColor indexed="61"/>
        <bgColor indexed="64"/>
      </patternFill>
    </fill>
    <fill>
      <patternFill patternType="solid">
        <fgColor indexed="59"/>
        <bgColor indexed="64"/>
      </patternFill>
    </fill>
    <fill>
      <patternFill patternType="mediumGray">
        <fgColor indexed="22"/>
        <bgColor indexed="9"/>
      </patternFill>
    </fill>
    <fill>
      <patternFill patternType="solid">
        <fgColor indexed="12"/>
      </patternFill>
    </fill>
    <fill>
      <patternFill patternType="solid">
        <fgColor indexed="22"/>
        <bgColor indexed="9"/>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rgb="FFFFC000"/>
        <bgColor indexed="64"/>
      </patternFill>
    </fill>
    <fill>
      <patternFill patternType="solid">
        <fgColor theme="0"/>
        <bgColor indexed="64"/>
      </patternFill>
    </fill>
    <fill>
      <patternFill patternType="solid">
        <fgColor theme="2" tint="-0.249977111117893"/>
        <bgColor indexed="64"/>
      </patternFill>
    </fill>
    <fill>
      <patternFill patternType="solid">
        <fgColor rgb="FF00B0F0"/>
        <bgColor indexed="64"/>
      </patternFill>
    </fill>
    <fill>
      <patternFill patternType="solid">
        <fgColor theme="2"/>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3" tint="0.59996337778862885"/>
        <bgColor indexed="64"/>
      </patternFill>
    </fill>
    <fill>
      <patternFill patternType="solid">
        <fgColor theme="5" tint="0.59999389629810485"/>
        <bgColor indexed="64"/>
      </patternFill>
    </fill>
    <fill>
      <patternFill patternType="solid">
        <fgColor theme="9" tint="-0.499984740745262"/>
        <bgColor indexed="64"/>
      </patternFill>
    </fill>
    <fill>
      <patternFill patternType="solid">
        <fgColor rgb="FF0070C0"/>
        <bgColor indexed="64"/>
      </patternFill>
    </fill>
    <fill>
      <patternFill patternType="solid">
        <fgColor rgb="FFFF0000"/>
        <bgColor indexed="64"/>
      </patternFill>
    </fill>
    <fill>
      <patternFill patternType="solid">
        <fgColor theme="9" tint="-0.249977111117893"/>
        <bgColor indexed="64"/>
      </patternFill>
    </fill>
    <fill>
      <patternFill patternType="solid">
        <fgColor theme="9" tint="0.39997558519241921"/>
        <bgColor indexed="64"/>
      </patternFill>
    </fill>
  </fills>
  <borders count="1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hair">
        <color indexed="8"/>
      </top>
      <bottom style="hair">
        <color indexed="8"/>
      </bottom>
      <diagonal/>
    </border>
    <border>
      <left/>
      <right/>
      <top/>
      <bottom style="medium">
        <color indexed="18"/>
      </bottom>
      <diagonal/>
    </border>
    <border>
      <left style="thin">
        <color indexed="22"/>
      </left>
      <right style="thin">
        <color indexed="23"/>
      </right>
      <top style="thin">
        <color indexed="22"/>
      </top>
      <bottom style="thin">
        <color indexed="23"/>
      </bottom>
      <diagonal/>
    </border>
    <border>
      <left style="thin">
        <color auto="1"/>
      </left>
      <right style="thin">
        <color auto="1"/>
      </right>
      <top/>
      <bottom style="hair">
        <color auto="1"/>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top/>
      <bottom style="medium">
        <color indexed="64"/>
      </bottom>
      <diagonal/>
    </border>
    <border>
      <left/>
      <right/>
      <top/>
      <bottom style="thin">
        <color indexed="22"/>
      </bottom>
      <diagonal/>
    </border>
    <border>
      <left/>
      <right/>
      <top/>
      <bottom style="medium">
        <color indexed="8"/>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medium">
        <color indexed="64"/>
      </left>
      <right/>
      <top/>
      <bottom/>
      <diagonal/>
    </border>
    <border>
      <left style="thin">
        <color indexed="23"/>
      </left>
      <right style="thin">
        <color indexed="23"/>
      </right>
      <top/>
      <bottom/>
      <diagonal/>
    </border>
    <border>
      <left style="medium">
        <color indexed="18"/>
      </left>
      <right style="medium">
        <color indexed="18"/>
      </right>
      <top style="medium">
        <color indexed="18"/>
      </top>
      <bottom style="medium">
        <color indexed="18"/>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top style="double">
        <color indexed="64"/>
      </top>
      <bottom style="double">
        <color indexed="64"/>
      </bottom>
      <diagonal/>
    </border>
    <border>
      <left/>
      <right/>
      <top style="thin">
        <color indexed="32"/>
      </top>
      <bottom style="thin">
        <color indexed="32"/>
      </bottom>
      <diagonal/>
    </border>
    <border>
      <left/>
      <right style="medium">
        <color indexed="64"/>
      </right>
      <top/>
      <bottom/>
      <diagonal/>
    </border>
    <border>
      <left/>
      <right/>
      <top style="medium">
        <color indexed="64"/>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tted">
        <color indexed="64"/>
      </left>
      <right style="dotted">
        <color indexed="64"/>
      </right>
      <top style="dotted">
        <color indexed="64"/>
      </top>
      <bottom style="dotted">
        <color indexed="64"/>
      </bottom>
      <diagonal/>
    </border>
    <border>
      <left/>
      <right/>
      <top/>
      <bottom style="double">
        <color indexed="52"/>
      </bottom>
      <diagonal/>
    </border>
    <border>
      <left/>
      <right/>
      <top style="thin">
        <color indexed="64"/>
      </top>
      <bottom style="double">
        <color indexed="64"/>
      </bottom>
      <diagonal/>
    </border>
    <border>
      <left/>
      <right/>
      <top/>
      <bottom style="hair">
        <color indexed="2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right/>
      <top style="hair">
        <color indexed="64"/>
      </top>
      <bottom style="hair">
        <color indexed="64"/>
      </bottom>
      <diagonal/>
    </border>
    <border>
      <left/>
      <right/>
      <top/>
      <bottom style="thick">
        <color indexed="64"/>
      </bottom>
      <diagonal/>
    </border>
    <border>
      <left style="thin">
        <color indexed="48"/>
      </left>
      <right style="thin">
        <color indexed="48"/>
      </right>
      <top style="thin">
        <color indexed="48"/>
      </top>
      <bottom style="thin">
        <color indexed="48"/>
      </bottom>
      <diagonal/>
    </border>
    <border>
      <left style="hair">
        <color indexed="64"/>
      </left>
      <right style="hair">
        <color indexed="64"/>
      </right>
      <top style="thin">
        <color indexed="64"/>
      </top>
      <bottom/>
      <diagonal/>
    </border>
    <border>
      <left/>
      <right/>
      <top style="double">
        <color indexed="64"/>
      </top>
      <bottom/>
      <diagonal/>
    </border>
    <border>
      <left style="thin">
        <color indexed="60"/>
      </left>
      <right style="thin">
        <color indexed="60"/>
      </right>
      <top style="thin">
        <color indexed="60"/>
      </top>
      <bottom style="thin">
        <color indexed="60"/>
      </bottom>
      <diagonal/>
    </border>
    <border>
      <left style="hair">
        <color indexed="64"/>
      </left>
      <right style="hair">
        <color indexed="64"/>
      </right>
      <top style="double">
        <color indexed="64"/>
      </top>
      <bottom/>
      <diagonal/>
    </border>
    <border>
      <left/>
      <right/>
      <top/>
      <bottom style="double">
        <color indexed="64"/>
      </bottom>
      <diagonal/>
    </border>
    <border>
      <left/>
      <right/>
      <top style="thin">
        <color indexed="62"/>
      </top>
      <bottom style="double">
        <color indexed="62"/>
      </bottom>
      <diagonal/>
    </border>
    <border>
      <left style="thin">
        <color indexed="8"/>
      </left>
      <right style="thin">
        <color indexed="8"/>
      </right>
      <top style="double">
        <color indexed="8"/>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hair">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auto="1"/>
      </right>
      <top style="thin">
        <color indexed="64"/>
      </top>
      <bottom style="thin">
        <color theme="0" tint="-0.34998626667073579"/>
      </bottom>
      <diagonal/>
    </border>
    <border>
      <left style="thin">
        <color indexed="64"/>
      </left>
      <right style="thin">
        <color auto="1"/>
      </right>
      <top style="thin">
        <color theme="0" tint="-0.34998626667073579"/>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theme="0" tint="-0.34998626667073579"/>
      </top>
      <bottom/>
      <diagonal/>
    </border>
    <border>
      <left style="thin">
        <color indexed="64"/>
      </left>
      <right style="thin">
        <color auto="1"/>
      </right>
      <top/>
      <bottom style="thin">
        <color theme="0" tint="-0.34998626667073579"/>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style="thin">
        <color theme="1"/>
      </left>
      <right style="thin">
        <color theme="1"/>
      </right>
      <top style="thin">
        <color theme="2" tint="-0.499984740745262"/>
      </top>
      <bottom style="thin">
        <color theme="2" tint="-0.499984740745262"/>
      </bottom>
      <diagonal/>
    </border>
    <border>
      <left style="thin">
        <color theme="1"/>
      </left>
      <right style="thin">
        <color indexed="64"/>
      </right>
      <top style="thin">
        <color theme="2" tint="-0.499984740745262"/>
      </top>
      <bottom style="thin">
        <color theme="2" tint="-0.499984740745262"/>
      </bottom>
      <diagonal/>
    </border>
    <border>
      <left style="thin">
        <color indexed="64"/>
      </left>
      <right style="thin">
        <color auto="1"/>
      </right>
      <top style="thin">
        <color theme="2" tint="-0.499984740745262"/>
      </top>
      <bottom style="thin">
        <color theme="2" tint="-0.499984740745262"/>
      </bottom>
      <diagonal/>
    </border>
    <border>
      <left style="thin">
        <color theme="1"/>
      </left>
      <right style="thin">
        <color theme="1"/>
      </right>
      <top/>
      <bottom style="thin">
        <color theme="2" tint="-0.499984740745262"/>
      </bottom>
      <diagonal/>
    </border>
    <border>
      <left style="thin">
        <color theme="1"/>
      </left>
      <right/>
      <top/>
      <bottom style="thin">
        <color theme="2" tint="-0.499984740745262"/>
      </bottom>
      <diagonal/>
    </border>
    <border>
      <left style="thin">
        <color indexed="64"/>
      </left>
      <right style="thin">
        <color indexed="64"/>
      </right>
      <top style="thin">
        <color theme="2" tint="-0.24994659260841701"/>
      </top>
      <bottom style="thin">
        <color theme="2" tint="-0.499984740745262"/>
      </bottom>
      <diagonal/>
    </border>
    <border>
      <left/>
      <right style="thin">
        <color theme="1"/>
      </right>
      <top style="thin">
        <color theme="2" tint="-0.499984740745262"/>
      </top>
      <bottom style="thin">
        <color theme="2" tint="-0.499984740745262"/>
      </bottom>
      <diagonal/>
    </border>
    <border>
      <left style="thin">
        <color theme="1"/>
      </left>
      <right/>
      <top style="thin">
        <color theme="2" tint="-0.499984740745262"/>
      </top>
      <bottom style="thin">
        <color theme="2" tint="-0.499984740745262"/>
      </bottom>
      <diagonal/>
    </border>
    <border>
      <left style="thin">
        <color indexed="64"/>
      </left>
      <right style="thin">
        <color indexed="64"/>
      </right>
      <top style="thin">
        <color theme="2" tint="-0.499984740745262"/>
      </top>
      <bottom style="thin">
        <color theme="2" tint="-0.24994659260841701"/>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theme="0"/>
      </bottom>
      <diagonal/>
    </border>
    <border>
      <left style="medium">
        <color indexed="64"/>
      </left>
      <right style="medium">
        <color indexed="64"/>
      </right>
      <top style="medium">
        <color theme="0"/>
      </top>
      <bottom style="medium">
        <color indexed="64"/>
      </bottom>
      <diagonal/>
    </border>
    <border>
      <left style="medium">
        <color indexed="64"/>
      </left>
      <right style="medium">
        <color theme="0"/>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theme="0"/>
      </left>
      <right style="medium">
        <color indexed="64"/>
      </right>
      <top style="medium">
        <color indexed="64"/>
      </top>
      <bottom style="medium">
        <color theme="0"/>
      </bottom>
      <diagonal/>
    </border>
    <border>
      <left style="medium">
        <color indexed="64"/>
      </left>
      <right style="medium">
        <color theme="0"/>
      </right>
      <top style="medium">
        <color theme="0"/>
      </top>
      <bottom style="medium">
        <color indexed="64"/>
      </bottom>
      <diagonal/>
    </border>
    <border>
      <left style="medium">
        <color theme="0"/>
      </left>
      <right style="medium">
        <color theme="0"/>
      </right>
      <top style="medium">
        <color theme="0"/>
      </top>
      <bottom style="medium">
        <color indexed="64"/>
      </bottom>
      <diagonal/>
    </border>
    <border>
      <left style="medium">
        <color theme="0"/>
      </left>
      <right style="medium">
        <color indexed="64"/>
      </right>
      <top style="medium">
        <color theme="0"/>
      </top>
      <bottom style="medium">
        <color indexed="64"/>
      </bottom>
      <diagonal/>
    </border>
    <border>
      <left style="medium">
        <color indexed="64"/>
      </left>
      <right style="medium">
        <color theme="0"/>
      </right>
      <top style="medium">
        <color indexed="64"/>
      </top>
      <bottom style="medium">
        <color indexed="64"/>
      </bottom>
      <diagonal/>
    </border>
    <border>
      <left style="medium">
        <color theme="0"/>
      </left>
      <right style="medium">
        <color theme="0"/>
      </right>
      <top style="medium">
        <color indexed="64"/>
      </top>
      <bottom style="medium">
        <color indexed="64"/>
      </bottom>
      <diagonal/>
    </border>
    <border>
      <left style="medium">
        <color theme="0"/>
      </left>
      <right style="medium">
        <color indexed="64"/>
      </right>
      <top style="medium">
        <color indexed="64"/>
      </top>
      <bottom style="medium">
        <color indexed="64"/>
      </bottom>
      <diagonal/>
    </border>
    <border>
      <left style="thin">
        <color theme="0"/>
      </left>
      <right style="medium">
        <color indexed="64"/>
      </right>
      <top style="thin">
        <color indexed="64"/>
      </top>
      <bottom style="thin">
        <color theme="0"/>
      </bottom>
      <diagonal/>
    </border>
    <border>
      <left style="thin">
        <color theme="0"/>
      </left>
      <right style="thin">
        <color theme="0"/>
      </right>
      <top style="thin">
        <color indexed="64"/>
      </top>
      <bottom style="thin">
        <color theme="0"/>
      </bottom>
      <diagonal/>
    </border>
    <border>
      <left/>
      <right style="thin">
        <color indexed="64"/>
      </right>
      <top/>
      <bottom style="thin">
        <color indexed="64"/>
      </bottom>
      <diagonal/>
    </border>
  </borders>
  <cellStyleXfs count="3656">
    <xf numFmtId="0" fontId="0" fillId="0" borderId="0"/>
    <xf numFmtId="43" fontId="2" fillId="0" borderId="0" applyFont="0" applyFill="0" applyBorder="0" applyAlignment="0" applyProtection="0"/>
    <xf numFmtId="0" fontId="2" fillId="0" borderId="0"/>
    <xf numFmtId="0" fontId="4" fillId="0" borderId="0"/>
    <xf numFmtId="166" fontId="4" fillId="0" borderId="0" applyFont="0" applyFill="0" applyBorder="0" applyAlignment="0" applyProtection="0"/>
    <xf numFmtId="0" fontId="2" fillId="0" borderId="0"/>
    <xf numFmtId="0" fontId="4" fillId="0" borderId="0"/>
    <xf numFmtId="0" fontId="5" fillId="0" borderId="0"/>
    <xf numFmtId="0" fontId="7" fillId="0" borderId="0"/>
    <xf numFmtId="0" fontId="2"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2" fillId="0" borderId="0" applyFont="0" applyFill="0" applyBorder="0" applyAlignment="0" applyProtection="0"/>
    <xf numFmtId="43" fontId="4" fillId="0" borderId="0" applyFont="0" applyFill="0" applyBorder="0" applyAlignment="0" applyProtection="0"/>
    <xf numFmtId="4" fontId="4" fillId="0" borderId="0"/>
    <xf numFmtId="3" fontId="4" fillId="0" borderId="0"/>
    <xf numFmtId="167" fontId="4"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9" fontId="4" fillId="0" borderId="0" applyFont="0" applyFill="0" applyBorder="0" applyAlignment="0" applyProtection="0"/>
    <xf numFmtId="9" fontId="4" fillId="0" borderId="0" applyFont="0" applyFill="0" applyBorder="0" applyAlignment="0" applyProtection="0"/>
    <xf numFmtId="168" fontId="10" fillId="0" borderId="0" applyFill="0" applyBorder="0" applyAlignment="0" applyProtection="0"/>
    <xf numFmtId="9" fontId="11" fillId="0" borderId="0" applyFont="0" applyFill="0" applyBorder="0" applyAlignment="0" applyProtection="0"/>
    <xf numFmtId="0" fontId="4" fillId="0" borderId="0"/>
    <xf numFmtId="170" fontId="6" fillId="0" borderId="0">
      <alignment horizontal="center"/>
    </xf>
    <xf numFmtId="0" fontId="7" fillId="0" borderId="0"/>
    <xf numFmtId="171" fontId="4" fillId="0" borderId="0"/>
    <xf numFmtId="171" fontId="4" fillId="0" borderId="0"/>
    <xf numFmtId="10" fontId="15" fillId="0" borderId="0"/>
    <xf numFmtId="0" fontId="16" fillId="0" borderId="0"/>
    <xf numFmtId="172" fontId="17" fillId="0" borderId="0" applyFill="0" applyBorder="0" applyAlignment="0" applyProtection="0"/>
    <xf numFmtId="173" fontId="17" fillId="0" borderId="0" applyFill="0" applyBorder="0" applyAlignment="0" applyProtection="0"/>
    <xf numFmtId="174" fontId="4" fillId="0" borderId="0" applyFont="0" applyFill="0" applyBorder="0" applyProtection="0">
      <alignment vertical="top"/>
    </xf>
    <xf numFmtId="175" fontId="17" fillId="0" borderId="0" applyFill="0" applyBorder="0" applyAlignment="0" applyProtection="0"/>
    <xf numFmtId="176" fontId="17" fillId="0" borderId="0" applyFill="0" applyBorder="0" applyAlignment="0" applyProtection="0"/>
    <xf numFmtId="17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7" fontId="19" fillId="0" borderId="0" applyNumberFormat="0" applyFont="0" applyAlignment="0">
      <alignment horizontal="left" vertical="top" wrapText="1"/>
    </xf>
    <xf numFmtId="178" fontId="20" fillId="0" borderId="0" applyFont="0" applyFill="0" applyBorder="0" applyAlignment="0" applyProtection="0"/>
    <xf numFmtId="179" fontId="20" fillId="0" borderId="0" applyFont="0" applyFill="0" applyBorder="0" applyAlignment="0" applyProtection="0"/>
    <xf numFmtId="0" fontId="7" fillId="0" borderId="0"/>
    <xf numFmtId="0" fontId="17" fillId="0" borderId="0"/>
    <xf numFmtId="0" fontId="21" fillId="0" borderId="0"/>
    <xf numFmtId="0" fontId="22" fillId="0" borderId="0"/>
    <xf numFmtId="0" fontId="22" fillId="0" borderId="0"/>
    <xf numFmtId="0" fontId="21" fillId="0" borderId="0"/>
    <xf numFmtId="0" fontId="23" fillId="0" borderId="0"/>
    <xf numFmtId="0" fontId="22" fillId="0" borderId="0"/>
    <xf numFmtId="0" fontId="22" fillId="0" borderId="0"/>
    <xf numFmtId="0" fontId="22" fillId="0" borderId="0"/>
    <xf numFmtId="0" fontId="2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2" fillId="0" borderId="0"/>
    <xf numFmtId="0" fontId="22" fillId="0" borderId="0" applyProtection="0"/>
    <xf numFmtId="0" fontId="23" fillId="0" borderId="0"/>
    <xf numFmtId="0" fontId="21" fillId="0" borderId="0"/>
    <xf numFmtId="0" fontId="22" fillId="0" borderId="0"/>
    <xf numFmtId="0" fontId="23" fillId="0" borderId="0"/>
    <xf numFmtId="0" fontId="22" fillId="0" borderId="0"/>
    <xf numFmtId="0" fontId="21" fillId="0" borderId="0"/>
    <xf numFmtId="0" fontId="22" fillId="0" borderId="0"/>
    <xf numFmtId="0" fontId="21" fillId="0" borderId="0"/>
    <xf numFmtId="0" fontId="21" fillId="0" borderId="0"/>
    <xf numFmtId="0" fontId="21" fillId="0" borderId="0"/>
    <xf numFmtId="0" fontId="21" fillId="0" borderId="0"/>
    <xf numFmtId="0" fontId="22" fillId="0" borderId="0"/>
    <xf numFmtId="0" fontId="22" fillId="0" borderId="0"/>
    <xf numFmtId="0" fontId="22" fillId="0" borderId="0"/>
    <xf numFmtId="0" fontId="22" fillId="0" borderId="0"/>
    <xf numFmtId="0" fontId="21" fillId="0" borderId="0"/>
    <xf numFmtId="0" fontId="22" fillId="0" borderId="0"/>
    <xf numFmtId="0" fontId="21" fillId="0" borderId="0"/>
    <xf numFmtId="0" fontId="21" fillId="0" borderId="0"/>
    <xf numFmtId="0" fontId="22" fillId="0" borderId="0"/>
    <xf numFmtId="0"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2" fillId="0" borderId="0"/>
    <xf numFmtId="0" fontId="22" fillId="0" borderId="0"/>
    <xf numFmtId="0" fontId="22" fillId="0" borderId="0"/>
    <xf numFmtId="0" fontId="22" fillId="0" borderId="0"/>
    <xf numFmtId="0" fontId="21" fillId="0" borderId="0"/>
    <xf numFmtId="0" fontId="22" fillId="0" borderId="0"/>
    <xf numFmtId="0" fontId="21" fillId="0" borderId="0"/>
    <xf numFmtId="0" fontId="22" fillId="0" borderId="0"/>
    <xf numFmtId="0" fontId="22" fillId="0" borderId="0"/>
    <xf numFmtId="0" fontId="4" fillId="0" borderId="0"/>
    <xf numFmtId="0" fontId="4" fillId="0" borderId="0"/>
    <xf numFmtId="0" fontId="4" fillId="0" borderId="0"/>
    <xf numFmtId="0" fontId="4" fillId="0" borderId="0"/>
    <xf numFmtId="0" fontId="21" fillId="0" borderId="0"/>
    <xf numFmtId="0" fontId="21" fillId="0" borderId="0"/>
    <xf numFmtId="0" fontId="23" fillId="0" borderId="0"/>
    <xf numFmtId="0" fontId="23"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3" fillId="0" borderId="0"/>
    <xf numFmtId="0" fontId="22" fillId="0" borderId="0"/>
    <xf numFmtId="0" fontId="21" fillId="0" borderId="0"/>
    <xf numFmtId="0" fontId="22"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3" fillId="0" borderId="0"/>
    <xf numFmtId="0" fontId="23" fillId="0" borderId="0"/>
    <xf numFmtId="0" fontId="22" fillId="0" borderId="0"/>
    <xf numFmtId="0" fontId="21" fillId="0" borderId="0"/>
    <xf numFmtId="0" fontId="23" fillId="0" borderId="0"/>
    <xf numFmtId="0" fontId="21" fillId="0" borderId="0"/>
    <xf numFmtId="0" fontId="22" fillId="0" borderId="0"/>
    <xf numFmtId="0" fontId="21" fillId="0" borderId="0"/>
    <xf numFmtId="0" fontId="22"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2" fillId="0" borderId="0"/>
    <xf numFmtId="0" fontId="23" fillId="0" borderId="0"/>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21" fillId="0" borderId="0"/>
    <xf numFmtId="0" fontId="21" fillId="0" borderId="0"/>
    <xf numFmtId="0" fontId="2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21" fillId="0" borderId="0"/>
    <xf numFmtId="0" fontId="21" fillId="0" borderId="0"/>
    <xf numFmtId="0" fontId="7" fillId="0" borderId="0"/>
    <xf numFmtId="0" fontId="21" fillId="0" borderId="0"/>
    <xf numFmtId="0" fontId="21" fillId="0" borderId="0"/>
    <xf numFmtId="0" fontId="22" fillId="0" borderId="0"/>
    <xf numFmtId="0" fontId="22" fillId="0" borderId="0"/>
    <xf numFmtId="0" fontId="22" fillId="0" borderId="0"/>
    <xf numFmtId="0" fontId="22" fillId="0" borderId="0"/>
    <xf numFmtId="0" fontId="22" fillId="0" borderId="0"/>
    <xf numFmtId="0" fontId="23" fillId="0" borderId="0"/>
    <xf numFmtId="0" fontId="23" fillId="0" borderId="0"/>
    <xf numFmtId="0" fontId="21" fillId="0" borderId="0"/>
    <xf numFmtId="0" fontId="21" fillId="0" borderId="0"/>
    <xf numFmtId="0" fontId="21"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3" fillId="0" borderId="0"/>
    <xf numFmtId="0" fontId="21" fillId="0" borderId="0"/>
    <xf numFmtId="0" fontId="23" fillId="0" borderId="0"/>
    <xf numFmtId="0" fontId="23" fillId="0" borderId="0"/>
    <xf numFmtId="0" fontId="22" fillId="0" borderId="0"/>
    <xf numFmtId="0" fontId="22" fillId="0" borderId="0"/>
    <xf numFmtId="0" fontId="21" fillId="0" borderId="0"/>
    <xf numFmtId="0" fontId="22" fillId="0" borderId="0"/>
    <xf numFmtId="0" fontId="22" fillId="0" borderId="0"/>
    <xf numFmtId="0" fontId="22" fillId="0" borderId="0"/>
    <xf numFmtId="0" fontId="24" fillId="0" borderId="0"/>
    <xf numFmtId="0" fontId="24" fillId="0" borderId="0"/>
    <xf numFmtId="0" fontId="22" fillId="0" borderId="0"/>
    <xf numFmtId="0" fontId="24" fillId="0" borderId="0"/>
    <xf numFmtId="0" fontId="22" fillId="0" borderId="0"/>
    <xf numFmtId="0" fontId="24" fillId="0" borderId="0"/>
    <xf numFmtId="0" fontId="22" fillId="0" borderId="0"/>
    <xf numFmtId="0" fontId="24" fillId="0" borderId="0"/>
    <xf numFmtId="0" fontId="24" fillId="0" borderId="0"/>
    <xf numFmtId="0" fontId="24"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4" fillId="0" borderId="0"/>
    <xf numFmtId="0" fontId="22" fillId="0" borderId="0"/>
    <xf numFmtId="0" fontId="22" fillId="0" borderId="0"/>
    <xf numFmtId="0" fontId="24" fillId="0" borderId="0"/>
    <xf numFmtId="0" fontId="24"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4" fillId="0" borderId="0"/>
    <xf numFmtId="0" fontId="22" fillId="0" borderId="0"/>
    <xf numFmtId="0" fontId="24" fillId="0" borderId="0"/>
    <xf numFmtId="0" fontId="24" fillId="0" borderId="0"/>
    <xf numFmtId="0" fontId="22" fillId="0" borderId="0"/>
    <xf numFmtId="0" fontId="4" fillId="0" borderId="0"/>
    <xf numFmtId="0" fontId="4" fillId="0" borderId="0"/>
    <xf numFmtId="0" fontId="4" fillId="0" borderId="0"/>
    <xf numFmtId="0" fontId="4" fillId="0" borderId="0"/>
    <xf numFmtId="0" fontId="24" fillId="0" borderId="0"/>
    <xf numFmtId="0" fontId="21" fillId="0" borderId="0"/>
    <xf numFmtId="0" fontId="21" fillId="0" borderId="0"/>
    <xf numFmtId="0" fontId="22" fillId="0" borderId="0"/>
    <xf numFmtId="0" fontId="21" fillId="0" borderId="0"/>
    <xf numFmtId="0" fontId="21" fillId="0" borderId="0"/>
    <xf numFmtId="0" fontId="22" fillId="0" borderId="0"/>
    <xf numFmtId="0" fontId="4" fillId="0" borderId="0"/>
    <xf numFmtId="0" fontId="4" fillId="0" borderId="0"/>
    <xf numFmtId="0" fontId="4" fillId="0" borderId="0"/>
    <xf numFmtId="0" fontId="4" fillId="0" borderId="0"/>
    <xf numFmtId="0" fontId="23" fillId="0" borderId="0"/>
    <xf numFmtId="0" fontId="21" fillId="0" borderId="0"/>
    <xf numFmtId="0" fontId="7" fillId="0" borderId="0"/>
    <xf numFmtId="0" fontId="25" fillId="0" borderId="0"/>
    <xf numFmtId="0" fontId="17" fillId="0" borderId="0"/>
    <xf numFmtId="0" fontId="17" fillId="0" borderId="0"/>
    <xf numFmtId="0" fontId="7" fillId="0" borderId="0"/>
    <xf numFmtId="0" fontId="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7" fillId="0" borderId="0"/>
    <xf numFmtId="170" fontId="16" fillId="0" borderId="0"/>
    <xf numFmtId="0" fontId="17" fillId="0" borderId="0"/>
    <xf numFmtId="0" fontId="7" fillId="0" borderId="0"/>
    <xf numFmtId="0" fontId="21" fillId="0" borderId="0"/>
    <xf numFmtId="0" fontId="7" fillId="0" borderId="0"/>
    <xf numFmtId="0" fontId="25"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22" fillId="0" borderId="0"/>
    <xf numFmtId="0" fontId="27" fillId="0" borderId="0"/>
    <xf numFmtId="0" fontId="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7" fillId="0" borderId="0"/>
    <xf numFmtId="0" fontId="7" fillId="0" borderId="0"/>
    <xf numFmtId="0" fontId="7" fillId="0" borderId="0"/>
    <xf numFmtId="0" fontId="7" fillId="0" borderId="0"/>
    <xf numFmtId="0" fontId="7" fillId="0" borderId="0"/>
    <xf numFmtId="0" fontId="24" fillId="0" borderId="0"/>
    <xf numFmtId="0" fontId="7" fillId="0" borderId="0"/>
    <xf numFmtId="0" fontId="25" fillId="0" borderId="0"/>
    <xf numFmtId="0" fontId="24" fillId="0" borderId="0"/>
    <xf numFmtId="0" fontId="7" fillId="0" borderId="0"/>
    <xf numFmtId="0" fontId="17" fillId="0" borderId="0"/>
    <xf numFmtId="0" fontId="7" fillId="0" borderId="0"/>
    <xf numFmtId="0" fontId="1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7" fillId="0" borderId="0"/>
    <xf numFmtId="0" fontId="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24" fillId="0" borderId="0"/>
    <xf numFmtId="0" fontId="17" fillId="0" borderId="0"/>
    <xf numFmtId="0" fontId="1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1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7" fillId="0" borderId="0"/>
    <xf numFmtId="0" fontId="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7" fillId="0" borderId="0"/>
    <xf numFmtId="0" fontId="7" fillId="0" borderId="0"/>
    <xf numFmtId="0" fontId="7" fillId="0" borderId="0"/>
    <xf numFmtId="0" fontId="7" fillId="0" borderId="0"/>
    <xf numFmtId="0" fontId="7" fillId="0" borderId="0"/>
    <xf numFmtId="0" fontId="24" fillId="0" borderId="0"/>
    <xf numFmtId="0" fontId="7" fillId="0" borderId="0"/>
    <xf numFmtId="0" fontId="25"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7" fillId="0" borderId="0"/>
    <xf numFmtId="0" fontId="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7" fillId="0" borderId="0"/>
    <xf numFmtId="0" fontId="7" fillId="0" borderId="0"/>
    <xf numFmtId="0" fontId="7" fillId="0" borderId="0"/>
    <xf numFmtId="0" fontId="7" fillId="0" borderId="0"/>
    <xf numFmtId="0" fontId="7" fillId="0" borderId="0"/>
    <xf numFmtId="0" fontId="24" fillId="0" borderId="0"/>
    <xf numFmtId="0" fontId="7" fillId="0" borderId="0"/>
    <xf numFmtId="0" fontId="25"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7" fillId="0" borderId="0"/>
    <xf numFmtId="0" fontId="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7" fillId="0" borderId="0"/>
    <xf numFmtId="0" fontId="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24" fillId="0" borderId="0"/>
    <xf numFmtId="0" fontId="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7" fillId="0" borderId="0"/>
    <xf numFmtId="0" fontId="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7" fillId="0" borderId="0"/>
    <xf numFmtId="0" fontId="7" fillId="0" borderId="0"/>
    <xf numFmtId="0" fontId="7" fillId="0" borderId="0"/>
    <xf numFmtId="0" fontId="7" fillId="0" borderId="0"/>
    <xf numFmtId="0" fontId="7" fillId="0" borderId="0"/>
    <xf numFmtId="0" fontId="24" fillId="0" borderId="0"/>
    <xf numFmtId="0" fontId="7" fillId="0" borderId="0"/>
    <xf numFmtId="0" fontId="25"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7" fillId="0" borderId="0"/>
    <xf numFmtId="0" fontId="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24" fillId="0" borderId="0"/>
    <xf numFmtId="0" fontId="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7" fillId="0" borderId="0"/>
    <xf numFmtId="0" fontId="17" fillId="0" borderId="0"/>
    <xf numFmtId="0" fontId="17" fillId="0" borderId="0"/>
    <xf numFmtId="0" fontId="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17" fillId="0" borderId="0"/>
    <xf numFmtId="0" fontId="7" fillId="0" borderId="0"/>
    <xf numFmtId="0" fontId="17" fillId="0" borderId="0"/>
    <xf numFmtId="0" fontId="22" fillId="0" borderId="0"/>
    <xf numFmtId="0" fontId="28" fillId="0" borderId="0"/>
    <xf numFmtId="0" fontId="28" fillId="0" borderId="0"/>
    <xf numFmtId="180" fontId="20" fillId="0" borderId="0" applyFont="0" applyFill="0" applyBorder="0" applyAlignment="0" applyProtection="0"/>
    <xf numFmtId="0" fontId="17" fillId="0" borderId="0"/>
    <xf numFmtId="0" fontId="7" fillId="0" borderId="0"/>
    <xf numFmtId="0" fontId="17" fillId="0" borderId="0"/>
    <xf numFmtId="0" fontId="7" fillId="0" borderId="0"/>
    <xf numFmtId="0" fontId="7" fillId="0" borderId="0"/>
    <xf numFmtId="0" fontId="17" fillId="0" borderId="0"/>
    <xf numFmtId="0" fontId="7" fillId="0" borderId="0"/>
    <xf numFmtId="0" fontId="25" fillId="0" borderId="0"/>
    <xf numFmtId="181" fontId="20" fillId="0" borderId="0" applyFont="0" applyFill="0" applyBorder="0" applyAlignment="0" applyProtection="0"/>
    <xf numFmtId="39" fontId="20" fillId="0" borderId="0" applyFont="0" applyFill="0" applyBorder="0" applyAlignment="0" applyProtection="0"/>
    <xf numFmtId="0" fontId="21" fillId="0" borderId="0"/>
    <xf numFmtId="0" fontId="17" fillId="0" borderId="0"/>
    <xf numFmtId="0" fontId="7" fillId="0" borderId="0"/>
    <xf numFmtId="0" fontId="17" fillId="0" borderId="0"/>
    <xf numFmtId="0" fontId="7" fillId="0" borderId="0"/>
    <xf numFmtId="0" fontId="7" fillId="0" borderId="0"/>
    <xf numFmtId="0" fontId="21" fillId="0" borderId="0"/>
    <xf numFmtId="0" fontId="21" fillId="0" borderId="0"/>
    <xf numFmtId="0" fontId="21" fillId="0" borderId="0"/>
    <xf numFmtId="0" fontId="7" fillId="0" borderId="0"/>
    <xf numFmtId="0" fontId="17" fillId="0" borderId="0"/>
    <xf numFmtId="0" fontId="7" fillId="0" borderId="0"/>
    <xf numFmtId="0" fontId="25" fillId="0" borderId="0"/>
    <xf numFmtId="0" fontId="17" fillId="0" borderId="0"/>
    <xf numFmtId="0" fontId="17" fillId="0" borderId="0"/>
    <xf numFmtId="0" fontId="7" fillId="0" borderId="0"/>
    <xf numFmtId="0" fontId="7" fillId="0" borderId="0"/>
    <xf numFmtId="0" fontId="25" fillId="0" borderId="0"/>
    <xf numFmtId="0" fontId="17" fillId="0" borderId="0"/>
    <xf numFmtId="0" fontId="17" fillId="0" borderId="0"/>
    <xf numFmtId="0" fontId="29" fillId="0" borderId="0"/>
    <xf numFmtId="0" fontId="29" fillId="0" borderId="0"/>
    <xf numFmtId="0" fontId="29" fillId="0" borderId="0"/>
    <xf numFmtId="0" fontId="29" fillId="0" borderId="0"/>
    <xf numFmtId="0" fontId="29" fillId="0" borderId="0"/>
    <xf numFmtId="0" fontId="7" fillId="0" borderId="0"/>
    <xf numFmtId="0" fontId="17" fillId="0" borderId="0"/>
    <xf numFmtId="0" fontId="30" fillId="0" borderId="0"/>
    <xf numFmtId="0" fontId="30" fillId="0" borderId="0"/>
    <xf numFmtId="0" fontId="30" fillId="0" borderId="0"/>
    <xf numFmtId="0" fontId="30" fillId="0" borderId="0"/>
    <xf numFmtId="0" fontId="30" fillId="0" borderId="0"/>
    <xf numFmtId="0" fontId="17" fillId="0" borderId="0"/>
    <xf numFmtId="0" fontId="17" fillId="0" borderId="0"/>
    <xf numFmtId="0" fontId="30" fillId="0" borderId="0"/>
    <xf numFmtId="0" fontId="30" fillId="0" borderId="0"/>
    <xf numFmtId="0" fontId="30" fillId="0" borderId="0"/>
    <xf numFmtId="0" fontId="30" fillId="0" borderId="0"/>
    <xf numFmtId="0" fontId="30" fillId="0" borderId="0"/>
    <xf numFmtId="0" fontId="17" fillId="0" borderId="0"/>
    <xf numFmtId="0" fontId="30" fillId="0" borderId="0"/>
    <xf numFmtId="0" fontId="30" fillId="0" borderId="0"/>
    <xf numFmtId="0" fontId="30" fillId="0" borderId="0"/>
    <xf numFmtId="0" fontId="30" fillId="0" borderId="0"/>
    <xf numFmtId="0" fontId="30" fillId="0" borderId="0"/>
    <xf numFmtId="0" fontId="17" fillId="0" borderId="0"/>
    <xf numFmtId="0" fontId="7" fillId="0" borderId="0"/>
    <xf numFmtId="0" fontId="25" fillId="0" borderId="0"/>
    <xf numFmtId="182" fontId="20" fillId="0" borderId="0" applyFont="0" applyFill="0" applyBorder="0" applyAlignment="0" applyProtection="0"/>
    <xf numFmtId="0" fontId="21" fillId="0" borderId="0"/>
    <xf numFmtId="0" fontId="7" fillId="0" borderId="0"/>
    <xf numFmtId="0" fontId="7" fillId="0" borderId="0"/>
    <xf numFmtId="0" fontId="7" fillId="0" borderId="0"/>
    <xf numFmtId="0" fontId="7" fillId="0" borderId="0"/>
    <xf numFmtId="170" fontId="31" fillId="0" borderId="0" applyNumberFormat="0" applyFill="0" applyBorder="0" applyAlignment="0" applyProtection="0"/>
    <xf numFmtId="0" fontId="17" fillId="0" borderId="0"/>
    <xf numFmtId="170" fontId="20" fillId="4" borderId="0" applyNumberFormat="0" applyFont="0" applyAlignment="0" applyProtection="0"/>
    <xf numFmtId="0" fontId="7" fillId="0" borderId="0"/>
    <xf numFmtId="0" fontId="4" fillId="0" borderId="0"/>
    <xf numFmtId="0" fontId="4" fillId="0" borderId="0"/>
    <xf numFmtId="0" fontId="7" fillId="0" borderId="0"/>
    <xf numFmtId="0" fontId="7" fillId="0" borderId="0"/>
    <xf numFmtId="0" fontId="17" fillId="0" borderId="0"/>
    <xf numFmtId="0" fontId="17" fillId="0" borderId="0"/>
    <xf numFmtId="0" fontId="17" fillId="0" borderId="0"/>
    <xf numFmtId="0" fontId="7" fillId="0" borderId="0"/>
    <xf numFmtId="0" fontId="7" fillId="0" borderId="0"/>
    <xf numFmtId="0" fontId="7" fillId="0" borderId="0"/>
    <xf numFmtId="0" fontId="17" fillId="0" borderId="0"/>
    <xf numFmtId="0" fontId="17" fillId="0" borderId="0"/>
    <xf numFmtId="0" fontId="7" fillId="0" borderId="0"/>
    <xf numFmtId="0" fontId="25" fillId="0" borderId="0"/>
    <xf numFmtId="0" fontId="17" fillId="0" borderId="0"/>
    <xf numFmtId="0" fontId="7" fillId="0" borderId="0"/>
    <xf numFmtId="0" fontId="25" fillId="0" borderId="0"/>
    <xf numFmtId="0" fontId="7" fillId="0" borderId="0"/>
    <xf numFmtId="0" fontId="25"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0" borderId="0"/>
    <xf numFmtId="0" fontId="17" fillId="0" borderId="0"/>
    <xf numFmtId="0" fontId="21" fillId="0" borderId="0"/>
    <xf numFmtId="0" fontId="21" fillId="0" borderId="0"/>
    <xf numFmtId="0" fontId="28" fillId="0" borderId="0"/>
    <xf numFmtId="0" fontId="2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 fillId="0" borderId="0"/>
    <xf numFmtId="0" fontId="21" fillId="0" borderId="0"/>
    <xf numFmtId="0" fontId="17" fillId="0" borderId="0"/>
    <xf numFmtId="0" fontId="7" fillId="0" borderId="0"/>
    <xf numFmtId="0" fontId="17" fillId="0" borderId="0"/>
    <xf numFmtId="0" fontId="22" fillId="0" borderId="0"/>
    <xf numFmtId="0" fontId="21" fillId="0" borderId="0"/>
    <xf numFmtId="0" fontId="17" fillId="0" borderId="0"/>
    <xf numFmtId="0" fontId="17" fillId="0" borderId="0"/>
    <xf numFmtId="0" fontId="17" fillId="0" borderId="0"/>
    <xf numFmtId="0" fontId="21" fillId="0" borderId="0"/>
    <xf numFmtId="0" fontId="30" fillId="0" borderId="0"/>
    <xf numFmtId="0" fontId="30" fillId="0" borderId="0"/>
    <xf numFmtId="0" fontId="17" fillId="0" borderId="0"/>
    <xf numFmtId="0" fontId="30" fillId="0" borderId="0"/>
    <xf numFmtId="0" fontId="30" fillId="0" borderId="0"/>
    <xf numFmtId="0" fontId="2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 fillId="0" borderId="0"/>
    <xf numFmtId="0" fontId="21" fillId="0" borderId="0"/>
    <xf numFmtId="0" fontId="28" fillId="0" borderId="0"/>
    <xf numFmtId="0" fontId="30" fillId="0" borderId="0"/>
    <xf numFmtId="0" fontId="17" fillId="0" borderId="0"/>
    <xf numFmtId="0" fontId="2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 fillId="0" borderId="0"/>
    <xf numFmtId="0" fontId="21" fillId="0" borderId="0"/>
    <xf numFmtId="0" fontId="21" fillId="0" borderId="0"/>
    <xf numFmtId="0" fontId="17" fillId="0" borderId="0"/>
    <xf numFmtId="0" fontId="29" fillId="0" borderId="0"/>
    <xf numFmtId="0" fontId="17" fillId="0" borderId="0"/>
    <xf numFmtId="0" fontId="22" fillId="0" borderId="0"/>
    <xf numFmtId="0" fontId="17" fillId="0" borderId="0"/>
    <xf numFmtId="0" fontId="17" fillId="0" borderId="0"/>
    <xf numFmtId="0" fontId="17" fillId="0" borderId="0"/>
    <xf numFmtId="0" fontId="2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0" borderId="0"/>
    <xf numFmtId="0" fontId="17" fillId="0" borderId="0"/>
    <xf numFmtId="0" fontId="21" fillId="0" borderId="0"/>
    <xf numFmtId="0" fontId="21" fillId="0" borderId="0"/>
    <xf numFmtId="0" fontId="28" fillId="0" borderId="0"/>
    <xf numFmtId="0" fontId="30" fillId="0" borderId="0"/>
    <xf numFmtId="0" fontId="2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 fillId="0" borderId="0"/>
    <xf numFmtId="0" fontId="21" fillId="0" borderId="0"/>
    <xf numFmtId="0" fontId="17" fillId="0" borderId="0"/>
    <xf numFmtId="0" fontId="22" fillId="0" borderId="0"/>
    <xf numFmtId="0" fontId="21" fillId="0" borderId="0"/>
    <xf numFmtId="0" fontId="17" fillId="0" borderId="0"/>
    <xf numFmtId="0" fontId="17" fillId="0" borderId="0"/>
    <xf numFmtId="0" fontId="17" fillId="0" borderId="0"/>
    <xf numFmtId="0" fontId="21" fillId="0" borderId="0"/>
    <xf numFmtId="0" fontId="30" fillId="0" borderId="0"/>
    <xf numFmtId="0" fontId="30" fillId="0" borderId="0"/>
    <xf numFmtId="0" fontId="17" fillId="0" borderId="0"/>
    <xf numFmtId="0" fontId="30" fillId="0" borderId="0"/>
    <xf numFmtId="0" fontId="30" fillId="0" borderId="0"/>
    <xf numFmtId="0" fontId="2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 fillId="0" borderId="0"/>
    <xf numFmtId="0" fontId="21" fillId="0" borderId="0"/>
    <xf numFmtId="0" fontId="28" fillId="0" borderId="0"/>
    <xf numFmtId="0" fontId="30" fillId="0" borderId="0"/>
    <xf numFmtId="0" fontId="30" fillId="0" borderId="0"/>
    <xf numFmtId="0" fontId="17" fillId="0" borderId="0"/>
    <xf numFmtId="0" fontId="2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 fillId="0" borderId="0"/>
    <xf numFmtId="0" fontId="21" fillId="0" borderId="0"/>
    <xf numFmtId="0" fontId="21" fillId="0" borderId="0"/>
    <xf numFmtId="0" fontId="17" fillId="0" borderId="0"/>
    <xf numFmtId="0" fontId="17" fillId="0" borderId="0"/>
    <xf numFmtId="0" fontId="22" fillId="0" borderId="0"/>
    <xf numFmtId="0" fontId="17" fillId="0" borderId="0"/>
    <xf numFmtId="0" fontId="17" fillId="0" borderId="0"/>
    <xf numFmtId="0" fontId="17" fillId="0" borderId="0"/>
    <xf numFmtId="0" fontId="2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 fillId="0" borderId="0"/>
    <xf numFmtId="0" fontId="21" fillId="0" borderId="0"/>
    <xf numFmtId="0" fontId="28" fillId="0" borderId="0"/>
    <xf numFmtId="0" fontId="30" fillId="0" borderId="0"/>
    <xf numFmtId="0" fontId="30" fillId="0" borderId="0"/>
    <xf numFmtId="0" fontId="17" fillId="0" borderId="0"/>
    <xf numFmtId="0" fontId="2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 fillId="0" borderId="0"/>
    <xf numFmtId="0" fontId="21" fillId="0" borderId="0"/>
    <xf numFmtId="0" fontId="21" fillId="0" borderId="0"/>
    <xf numFmtId="0" fontId="17" fillId="0" borderId="0"/>
    <xf numFmtId="0" fontId="17" fillId="0" borderId="0"/>
    <xf numFmtId="0" fontId="22" fillId="0" borderId="0"/>
    <xf numFmtId="0" fontId="17" fillId="0" borderId="0"/>
    <xf numFmtId="0" fontId="17" fillId="0" borderId="0"/>
    <xf numFmtId="0" fontId="17" fillId="0" borderId="0"/>
    <xf numFmtId="0" fontId="2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0" borderId="0"/>
    <xf numFmtId="0" fontId="17" fillId="0" borderId="0"/>
    <xf numFmtId="0" fontId="21" fillId="0" borderId="0"/>
    <xf numFmtId="0" fontId="21"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 fillId="0" borderId="0"/>
    <xf numFmtId="0" fontId="21" fillId="0" borderId="0"/>
    <xf numFmtId="0" fontId="17" fillId="0" borderId="0"/>
    <xf numFmtId="0" fontId="17" fillId="0" borderId="0"/>
    <xf numFmtId="0" fontId="22" fillId="0" borderId="0"/>
    <xf numFmtId="0" fontId="21" fillId="0" borderId="0"/>
    <xf numFmtId="0" fontId="17" fillId="0" borderId="0"/>
    <xf numFmtId="0" fontId="17" fillId="0" borderId="0"/>
    <xf numFmtId="0" fontId="17" fillId="0" borderId="0"/>
    <xf numFmtId="0" fontId="21" fillId="0" borderId="0"/>
    <xf numFmtId="0" fontId="30" fillId="0" borderId="0"/>
    <xf numFmtId="0" fontId="30" fillId="0" borderId="0"/>
    <xf numFmtId="0" fontId="17" fillId="0" borderId="0"/>
    <xf numFmtId="0" fontId="30" fillId="0" borderId="0"/>
    <xf numFmtId="0" fontId="30" fillId="0" borderId="0"/>
    <xf numFmtId="0" fontId="21" fillId="0" borderId="0"/>
    <xf numFmtId="0" fontId="17" fillId="0" borderId="0"/>
    <xf numFmtId="0" fontId="28" fillId="0" borderId="0"/>
    <xf numFmtId="0" fontId="17" fillId="0" borderId="0"/>
    <xf numFmtId="0" fontId="22" fillId="0" borderId="0"/>
    <xf numFmtId="0" fontId="17" fillId="0" borderId="0"/>
    <xf numFmtId="0" fontId="28" fillId="0" borderId="0"/>
    <xf numFmtId="0" fontId="17" fillId="0" borderId="0"/>
    <xf numFmtId="0" fontId="22" fillId="0" borderId="0"/>
    <xf numFmtId="0" fontId="7" fillId="0" borderId="0"/>
    <xf numFmtId="0" fontId="7" fillId="0" borderId="0"/>
    <xf numFmtId="0" fontId="25" fillId="0" borderId="0"/>
    <xf numFmtId="0" fontId="7" fillId="0" borderId="0"/>
    <xf numFmtId="0" fontId="17" fillId="0" borderId="0"/>
    <xf numFmtId="0" fontId="7" fillId="0" borderId="0"/>
    <xf numFmtId="0" fontId="17" fillId="0" borderId="0"/>
    <xf numFmtId="0" fontId="7" fillId="0" borderId="0"/>
    <xf numFmtId="0" fontId="17" fillId="0" borderId="0"/>
    <xf numFmtId="0" fontId="17" fillId="0" borderId="0"/>
    <xf numFmtId="0" fontId="7" fillId="0" borderId="0"/>
    <xf numFmtId="0" fontId="7"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5" fillId="0" borderId="0"/>
    <xf numFmtId="0" fontId="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5" fillId="0" borderId="0"/>
    <xf numFmtId="0" fontId="7"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5" fillId="0" borderId="0"/>
    <xf numFmtId="0" fontId="17" fillId="0" borderId="0"/>
    <xf numFmtId="0" fontId="7" fillId="0" borderId="0"/>
    <xf numFmtId="0" fontId="7" fillId="0" borderId="0"/>
    <xf numFmtId="0" fontId="17" fillId="0" borderId="0"/>
    <xf numFmtId="0" fontId="11" fillId="0" borderId="0">
      <alignment vertical="top"/>
    </xf>
    <xf numFmtId="183" fontId="20" fillId="0" borderId="0" applyFont="0" applyFill="0" applyBorder="0" applyAlignment="0" applyProtection="0"/>
    <xf numFmtId="184" fontId="20" fillId="0" borderId="0" applyFont="0" applyFill="0" applyBorder="0" applyAlignment="0" applyProtection="0"/>
    <xf numFmtId="0" fontId="17" fillId="0" borderId="0"/>
    <xf numFmtId="0" fontId="7" fillId="0" borderId="0"/>
    <xf numFmtId="0" fontId="7" fillId="0" borderId="0"/>
    <xf numFmtId="0" fontId="21" fillId="0" borderId="0"/>
    <xf numFmtId="0" fontId="7" fillId="0" borderId="0"/>
    <xf numFmtId="185" fontId="20" fillId="0" borderId="0" applyFont="0" applyFill="0" applyBorder="0" applyAlignment="0" applyProtection="0"/>
    <xf numFmtId="186" fontId="20" fillId="0" borderId="0" applyFont="0" applyFill="0" applyBorder="0" applyAlignment="0" applyProtection="0"/>
    <xf numFmtId="0" fontId="17" fillId="0" borderId="0"/>
    <xf numFmtId="0" fontId="4" fillId="0" borderId="0"/>
    <xf numFmtId="0" fontId="4" fillId="0" borderId="0"/>
    <xf numFmtId="0" fontId="4" fillId="0" borderId="0"/>
    <xf numFmtId="0" fontId="17" fillId="0" borderId="0"/>
    <xf numFmtId="0" fontId="17" fillId="0" borderId="0"/>
    <xf numFmtId="0" fontId="17" fillId="0" borderId="0"/>
    <xf numFmtId="0" fontId="7" fillId="0" borderId="0"/>
    <xf numFmtId="0" fontId="7" fillId="0" borderId="0"/>
    <xf numFmtId="0" fontId="17" fillId="0" borderId="0"/>
    <xf numFmtId="0" fontId="17" fillId="0" borderId="0"/>
    <xf numFmtId="0" fontId="17"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0" borderId="0"/>
    <xf numFmtId="0" fontId="25" fillId="0" borderId="0"/>
    <xf numFmtId="0" fontId="7" fillId="0" borderId="0"/>
    <xf numFmtId="0" fontId="24" fillId="0" borderId="0"/>
    <xf numFmtId="0" fontId="24" fillId="0" borderId="0"/>
    <xf numFmtId="0" fontId="7" fillId="0" borderId="0"/>
    <xf numFmtId="0" fontId="27"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17" fillId="0" borderId="0"/>
    <xf numFmtId="0" fontId="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7" fillId="0" borderId="0"/>
    <xf numFmtId="0" fontId="7" fillId="0" borderId="0"/>
    <xf numFmtId="0" fontId="7" fillId="0" borderId="0"/>
    <xf numFmtId="0" fontId="7" fillId="0" borderId="0"/>
    <xf numFmtId="0" fontId="7" fillId="0" borderId="0"/>
    <xf numFmtId="0" fontId="24" fillId="0" borderId="0"/>
    <xf numFmtId="0" fontId="27" fillId="0" borderId="0"/>
    <xf numFmtId="0" fontId="25" fillId="0" borderId="0"/>
    <xf numFmtId="0" fontId="27" fillId="0" borderId="0"/>
    <xf numFmtId="0" fontId="25" fillId="0" borderId="0"/>
    <xf numFmtId="0" fontId="7" fillId="0" borderId="0"/>
    <xf numFmtId="0" fontId="7" fillId="0" borderId="0"/>
    <xf numFmtId="0" fontId="25" fillId="0" borderId="0"/>
    <xf numFmtId="0" fontId="27" fillId="0" borderId="0"/>
    <xf numFmtId="0" fontId="25" fillId="0" borderId="0"/>
    <xf numFmtId="0" fontId="27" fillId="0" borderId="0"/>
    <xf numFmtId="0" fontId="25" fillId="0" borderId="0"/>
    <xf numFmtId="0" fontId="25" fillId="0" borderId="0"/>
    <xf numFmtId="0" fontId="24" fillId="0" borderId="0"/>
    <xf numFmtId="170" fontId="16" fillId="0" borderId="0"/>
    <xf numFmtId="0" fontId="17" fillId="0" borderId="0"/>
    <xf numFmtId="0" fontId="7" fillId="0" borderId="0"/>
    <xf numFmtId="0" fontId="17" fillId="0" borderId="0"/>
    <xf numFmtId="0" fontId="28" fillId="0" borderId="0"/>
    <xf numFmtId="0" fontId="22" fillId="0" borderId="0"/>
    <xf numFmtId="0" fontId="17" fillId="0" borderId="0"/>
    <xf numFmtId="0" fontId="30" fillId="0" borderId="0"/>
    <xf numFmtId="0" fontId="30" fillId="0" borderId="0"/>
    <xf numFmtId="0" fontId="30" fillId="0" borderId="0"/>
    <xf numFmtId="0" fontId="30" fillId="0" borderId="0"/>
    <xf numFmtId="0" fontId="8" fillId="0" borderId="0"/>
    <xf numFmtId="0" fontId="30" fillId="0" borderId="0"/>
    <xf numFmtId="0" fontId="17" fillId="0" borderId="0"/>
    <xf numFmtId="0" fontId="30" fillId="0" borderId="0"/>
    <xf numFmtId="0" fontId="30" fillId="0" borderId="0"/>
    <xf numFmtId="0" fontId="30" fillId="0" borderId="0"/>
    <xf numFmtId="0" fontId="30" fillId="0" borderId="0"/>
    <xf numFmtId="0" fontId="3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 fillId="0" borderId="0"/>
    <xf numFmtId="0" fontId="21" fillId="0" borderId="0"/>
    <xf numFmtId="0" fontId="28" fillId="0" borderId="0"/>
    <xf numFmtId="0" fontId="17" fillId="0" borderId="0"/>
    <xf numFmtId="0" fontId="17" fillId="0" borderId="0"/>
    <xf numFmtId="0" fontId="2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 fillId="0" borderId="0"/>
    <xf numFmtId="0" fontId="21" fillId="0" borderId="0"/>
    <xf numFmtId="0" fontId="21" fillId="0" borderId="0"/>
    <xf numFmtId="0" fontId="17" fillId="0" borderId="0"/>
    <xf numFmtId="0" fontId="7" fillId="0" borderId="0"/>
    <xf numFmtId="0" fontId="22" fillId="0" borderId="0"/>
    <xf numFmtId="0" fontId="17" fillId="0" borderId="0"/>
    <xf numFmtId="0" fontId="17" fillId="0" borderId="0"/>
    <xf numFmtId="0" fontId="17" fillId="0" borderId="0"/>
    <xf numFmtId="0" fontId="21" fillId="0" borderId="0"/>
    <xf numFmtId="0" fontId="1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0" borderId="0"/>
    <xf numFmtId="0" fontId="25" fillId="0" borderId="0"/>
    <xf numFmtId="0" fontId="7"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7" fillId="0" borderId="0"/>
    <xf numFmtId="0" fontId="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7" fillId="0" borderId="0"/>
    <xf numFmtId="0" fontId="7" fillId="0" borderId="0"/>
    <xf numFmtId="0" fontId="7" fillId="0" borderId="0"/>
    <xf numFmtId="0" fontId="7" fillId="0" borderId="0"/>
    <xf numFmtId="0" fontId="7" fillId="0" borderId="0"/>
    <xf numFmtId="0" fontId="24" fillId="0" borderId="0"/>
    <xf numFmtId="0" fontId="27" fillId="0" borderId="0"/>
    <xf numFmtId="0" fontId="25" fillId="0" borderId="0"/>
    <xf numFmtId="0" fontId="27" fillId="0" borderId="0"/>
    <xf numFmtId="0" fontId="25" fillId="0" borderId="0"/>
    <xf numFmtId="0" fontId="7" fillId="0" borderId="0"/>
    <xf numFmtId="0" fontId="7" fillId="0" borderId="0"/>
    <xf numFmtId="0" fontId="25" fillId="0" borderId="0"/>
    <xf numFmtId="0" fontId="27" fillId="0" borderId="0"/>
    <xf numFmtId="0" fontId="25" fillId="0" borderId="0"/>
    <xf numFmtId="0" fontId="27" fillId="0" borderId="0"/>
    <xf numFmtId="0" fontId="25" fillId="0" borderId="0"/>
    <xf numFmtId="0" fontId="25" fillId="0" borderId="0"/>
    <xf numFmtId="0" fontId="24" fillId="0" borderId="0"/>
    <xf numFmtId="0" fontId="17" fillId="0" borderId="0"/>
    <xf numFmtId="0" fontId="7"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5" fillId="0" borderId="0"/>
    <xf numFmtId="0" fontId="7"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5" fillId="0" borderId="0"/>
    <xf numFmtId="170" fontId="32" fillId="0" borderId="0">
      <alignment vertical="top"/>
    </xf>
    <xf numFmtId="0" fontId="17" fillId="0" borderId="0"/>
    <xf numFmtId="0" fontId="4" fillId="0" borderId="0"/>
    <xf numFmtId="0" fontId="4" fillId="0" borderId="0"/>
    <xf numFmtId="0" fontId="7" fillId="0" borderId="0"/>
    <xf numFmtId="0" fontId="17" fillId="0" borderId="0"/>
    <xf numFmtId="170" fontId="33" fillId="0" borderId="0" applyNumberFormat="0" applyFill="0" applyBorder="0" applyProtection="0">
      <alignment vertical="top"/>
    </xf>
    <xf numFmtId="0" fontId="7" fillId="0" borderId="0"/>
    <xf numFmtId="0" fontId="17" fillId="0" borderId="0"/>
    <xf numFmtId="0" fontId="30" fillId="0" borderId="0"/>
    <xf numFmtId="0" fontId="30" fillId="0" borderId="0"/>
    <xf numFmtId="0" fontId="30" fillId="0" borderId="0"/>
    <xf numFmtId="0" fontId="30" fillId="0" borderId="0"/>
    <xf numFmtId="0" fontId="30" fillId="0" borderId="0"/>
    <xf numFmtId="0" fontId="7"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5" fillId="0" borderId="0"/>
    <xf numFmtId="0" fontId="7"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5" fillId="0" borderId="0"/>
    <xf numFmtId="170" fontId="34" fillId="0" borderId="8" applyNumberFormat="0" applyFill="0" applyAlignment="0" applyProtection="0"/>
    <xf numFmtId="170" fontId="35" fillId="0" borderId="9" applyNumberFormat="0" applyFill="0" applyProtection="0">
      <alignment horizontal="center"/>
    </xf>
    <xf numFmtId="170" fontId="35" fillId="0" borderId="0" applyNumberFormat="0" applyFill="0" applyBorder="0" applyProtection="0">
      <alignment horizontal="left"/>
    </xf>
    <xf numFmtId="170" fontId="36" fillId="0" borderId="0" applyNumberFormat="0" applyFill="0" applyBorder="0" applyProtection="0">
      <alignment horizontal="centerContinuous"/>
    </xf>
    <xf numFmtId="0" fontId="21" fillId="0" borderId="0"/>
    <xf numFmtId="0" fontId="21" fillId="0" borderId="0"/>
    <xf numFmtId="0" fontId="21" fillId="0" borderId="0"/>
    <xf numFmtId="0" fontId="17" fillId="0" borderId="0"/>
    <xf numFmtId="0" fontId="21" fillId="0" borderId="0"/>
    <xf numFmtId="0" fontId="21" fillId="0" borderId="0"/>
    <xf numFmtId="187" fontId="16" fillId="0" borderId="0" applyFont="0" applyFill="0" applyBorder="0" applyAlignment="0" applyProtection="0"/>
    <xf numFmtId="188" fontId="1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7" fillId="0" borderId="0" applyFont="0" applyFill="0" applyBorder="0" applyAlignment="0" applyProtection="0"/>
    <xf numFmtId="0" fontId="4" fillId="0" borderId="0"/>
    <xf numFmtId="0" fontId="4" fillId="0" borderId="0"/>
    <xf numFmtId="190" fontId="37" fillId="0" borderId="0" applyFont="0" applyFill="0" applyBorder="0" applyAlignment="0" applyProtection="0"/>
    <xf numFmtId="10" fontId="37" fillId="0" borderId="0" applyFont="0" applyFill="0" applyBorder="0" applyAlignment="0" applyProtection="0"/>
    <xf numFmtId="191" fontId="4" fillId="0" borderId="0"/>
    <xf numFmtId="191" fontId="4" fillId="0" borderId="0"/>
    <xf numFmtId="170" fontId="4" fillId="0" borderId="0"/>
    <xf numFmtId="170" fontId="4" fillId="0" borderId="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38" fillId="11" borderId="10" applyNumberFormat="0" applyFont="0" applyFill="0" applyBorder="0" applyAlignment="0" applyProtection="0"/>
    <xf numFmtId="0" fontId="38" fillId="11" borderId="10" applyNumberFormat="0" applyFont="0" applyFill="0" applyBorder="0" applyAlignment="0" applyProtection="0"/>
    <xf numFmtId="0" fontId="38" fillId="12" borderId="10" applyNumberFormat="0" applyFont="0" applyFill="0" applyBorder="0" applyAlignment="0" applyProtection="0"/>
    <xf numFmtId="0" fontId="38" fillId="12" borderId="10" applyNumberFormat="0" applyFont="0" applyFill="0" applyBorder="0" applyAlignment="0" applyProtection="0"/>
    <xf numFmtId="0" fontId="38" fillId="13" borderId="10" applyNumberFormat="0" applyFont="0" applyFill="0" applyBorder="0" applyAlignment="0" applyProtection="0"/>
    <xf numFmtId="0" fontId="38" fillId="13" borderId="10" applyNumberFormat="0" applyFont="0" applyFill="0" applyBorder="0" applyAlignment="0" applyProtection="0"/>
    <xf numFmtId="0" fontId="38" fillId="14" borderId="10" applyNumberFormat="0" applyFont="0" applyFill="0" applyBorder="0" applyAlignment="0" applyProtection="0"/>
    <xf numFmtId="0" fontId="38" fillId="14" borderId="10" applyNumberFormat="0" applyFont="0" applyFill="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170" fontId="39" fillId="0" borderId="0">
      <alignment vertical="top" wrapText="1"/>
    </xf>
    <xf numFmtId="0" fontId="40" fillId="19"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21"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21"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22"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22"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8"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8"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9" fontId="41" fillId="0" borderId="0"/>
    <xf numFmtId="0" fontId="42" fillId="0" borderId="0" applyNumberFormat="0" applyFont="0" applyBorder="0" applyAlignment="0"/>
    <xf numFmtId="0" fontId="4" fillId="0" borderId="0"/>
    <xf numFmtId="0" fontId="4" fillId="0" borderId="0"/>
    <xf numFmtId="0" fontId="43" fillId="0" borderId="11">
      <alignment horizontal="left" vertical="center" wrapText="1" readingOrder="1"/>
    </xf>
    <xf numFmtId="192" fontId="6" fillId="0" borderId="0">
      <alignment horizontal="right" vertical="center"/>
      <protection locked="0"/>
    </xf>
    <xf numFmtId="193" fontId="6" fillId="0" borderId="0">
      <alignment horizontal="right" vertical="center"/>
      <protection locked="0"/>
    </xf>
    <xf numFmtId="192" fontId="6" fillId="0" borderId="0">
      <alignment horizontal="right" vertical="center"/>
      <protection locked="0"/>
    </xf>
    <xf numFmtId="0" fontId="40" fillId="29"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2"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2"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6"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6"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170" fontId="44" fillId="0" borderId="12"/>
    <xf numFmtId="194" fontId="41" fillId="0" borderId="0" applyFont="0" applyFill="0" applyBorder="0" applyAlignment="0" applyProtection="0"/>
    <xf numFmtId="0" fontId="41" fillId="0" borderId="0" applyFont="0" applyFill="0" applyBorder="0" applyAlignment="0" applyProtection="0"/>
    <xf numFmtId="170" fontId="6" fillId="0" borderId="6" applyBorder="0"/>
    <xf numFmtId="0" fontId="45" fillId="0" borderId="0">
      <alignment horizontal="justify" vertical="top" wrapText="1"/>
    </xf>
    <xf numFmtId="37" fontId="46" fillId="2" borderId="2" applyBorder="0" applyProtection="0">
      <alignment vertical="center"/>
    </xf>
    <xf numFmtId="37" fontId="46" fillId="2" borderId="2" applyBorder="0" applyProtection="0">
      <alignment vertical="center"/>
    </xf>
    <xf numFmtId="37" fontId="47" fillId="0" borderId="0">
      <alignment horizontal="left"/>
    </xf>
    <xf numFmtId="0" fontId="22" fillId="0" borderId="0"/>
    <xf numFmtId="0" fontId="22" fillId="0" borderId="0"/>
    <xf numFmtId="0" fontId="4" fillId="0" borderId="0" applyFill="0" applyBorder="0">
      <alignment vertical="center"/>
    </xf>
    <xf numFmtId="0" fontId="4" fillId="0" borderId="0" applyFill="0" applyBorder="0">
      <alignment vertical="center"/>
    </xf>
    <xf numFmtId="0" fontId="4" fillId="0" borderId="0" applyFill="0" applyBorder="0">
      <alignment vertical="center"/>
    </xf>
    <xf numFmtId="0" fontId="4" fillId="0" borderId="0" applyFill="0" applyBorder="0">
      <alignment vertical="center"/>
    </xf>
    <xf numFmtId="0" fontId="4" fillId="0" borderId="0" applyFill="0" applyBorder="0">
      <alignment vertical="center"/>
    </xf>
    <xf numFmtId="0" fontId="4" fillId="0" borderId="0" applyFill="0" applyBorder="0">
      <alignment vertical="center"/>
    </xf>
    <xf numFmtId="170" fontId="48" fillId="0" borderId="13">
      <protection hidden="1"/>
    </xf>
    <xf numFmtId="170" fontId="49" fillId="37" borderId="13" applyNumberFormat="0" applyFont="0" applyBorder="0" applyAlignment="0" applyProtection="0">
      <protection hidden="1"/>
    </xf>
    <xf numFmtId="195" fontId="6" fillId="0" borderId="0" applyFont="0" applyFill="0" applyBorder="0" applyAlignment="0" applyProtection="0"/>
    <xf numFmtId="0" fontId="41" fillId="0" borderId="0" applyFont="0" applyFill="0" applyBorder="0" applyAlignment="0" applyProtection="0"/>
    <xf numFmtId="170" fontId="50" fillId="0" borderId="13" applyBorder="0"/>
    <xf numFmtId="170" fontId="51" fillId="0" borderId="0"/>
    <xf numFmtId="170" fontId="51" fillId="0" borderId="0"/>
    <xf numFmtId="170" fontId="51" fillId="0" borderId="0"/>
    <xf numFmtId="170" fontId="51" fillId="0" borderId="0"/>
    <xf numFmtId="170" fontId="51" fillId="0" borderId="0"/>
    <xf numFmtId="170" fontId="51" fillId="0" borderId="0"/>
    <xf numFmtId="196" fontId="15" fillId="0" borderId="0"/>
    <xf numFmtId="195" fontId="6" fillId="0" borderId="14">
      <protection locked="0"/>
    </xf>
    <xf numFmtId="0" fontId="52" fillId="6" borderId="0" applyNumberFormat="0" applyBorder="0" applyAlignment="0" applyProtection="0"/>
    <xf numFmtId="0" fontId="52" fillId="6" borderId="0" applyNumberFormat="0" applyBorder="0" applyAlignment="0" applyProtection="0"/>
    <xf numFmtId="0" fontId="52" fillId="38"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38"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197" fontId="4" fillId="0" borderId="0" applyFont="0" applyFill="0" applyBorder="0" applyAlignment="0" applyProtection="0"/>
    <xf numFmtId="197" fontId="4" fillId="0" borderId="0" applyFont="0" applyFill="0" applyBorder="0" applyAlignment="0" applyProtection="0"/>
    <xf numFmtId="180" fontId="4" fillId="0" borderId="0" applyNumberFormat="0" applyFill="0" applyBorder="0" applyAlignment="0"/>
    <xf numFmtId="180" fontId="4" fillId="0" borderId="0" applyNumberFormat="0" applyFill="0" applyBorder="0" applyAlignment="0"/>
    <xf numFmtId="198" fontId="53" fillId="0" borderId="0" applyFont="0" applyFill="0" applyBorder="0" applyAlignment="0" applyProtection="0"/>
    <xf numFmtId="199" fontId="6" fillId="0" borderId="0" applyFont="0" applyFill="0" applyBorder="0" applyAlignment="0" applyProtection="0"/>
    <xf numFmtId="200" fontId="6" fillId="0" borderId="0" applyFont="0" applyFill="0" applyBorder="0" applyAlignment="0" applyProtection="0"/>
    <xf numFmtId="201" fontId="6" fillId="0" borderId="0" applyFont="0" applyFill="0" applyBorder="0" applyAlignment="0" applyProtection="0"/>
    <xf numFmtId="202" fontId="6" fillId="0" borderId="0" applyFont="0" applyFill="0" applyBorder="0" applyAlignment="0" applyProtection="0"/>
    <xf numFmtId="203" fontId="6" fillId="0" borderId="0" applyFont="0" applyFill="0" applyBorder="0" applyAlignment="0" applyProtection="0"/>
    <xf numFmtId="204" fontId="6" fillId="0" borderId="0" applyFont="0" applyFill="0" applyBorder="0" applyAlignment="0" applyProtection="0"/>
    <xf numFmtId="205" fontId="6" fillId="0" borderId="0" applyFont="0" applyFill="0" applyBorder="0" applyAlignment="0" applyProtection="0"/>
    <xf numFmtId="206" fontId="6" fillId="0" borderId="0" applyFont="0" applyFill="0" applyBorder="0" applyAlignment="0" applyProtection="0"/>
    <xf numFmtId="207" fontId="6"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1" fontId="4" fillId="0" borderId="0" applyFont="0" applyFill="0" applyBorder="0" applyAlignment="0" applyProtection="0">
      <alignment horizontal="right"/>
    </xf>
    <xf numFmtId="211" fontId="4" fillId="0" borderId="0" applyFont="0" applyFill="0" applyBorder="0" applyAlignment="0" applyProtection="0">
      <alignment horizontal="right"/>
    </xf>
    <xf numFmtId="212" fontId="4" fillId="0" borderId="0" applyFont="0" applyFill="0" applyBorder="0" applyAlignment="0" applyProtection="0"/>
    <xf numFmtId="212" fontId="4" fillId="0" borderId="0" applyFont="0" applyFill="0" applyBorder="0" applyAlignment="0" applyProtection="0"/>
    <xf numFmtId="180" fontId="54" fillId="0" borderId="0"/>
    <xf numFmtId="37" fontId="51" fillId="39" borderId="0"/>
    <xf numFmtId="0" fontId="55" fillId="0" borderId="0" applyNumberFormat="0" applyFill="0" applyBorder="0" applyAlignment="0" applyProtection="0"/>
    <xf numFmtId="170" fontId="56" fillId="40" borderId="0" applyBorder="0">
      <alignment horizontal="left" vertical="center" indent="1"/>
    </xf>
    <xf numFmtId="180" fontId="57" fillId="0" borderId="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70" fontId="64" fillId="0" borderId="7" applyNumberFormat="0" applyFill="0" applyAlignment="0" applyProtection="0"/>
    <xf numFmtId="213" fontId="65" fillId="0" borderId="15" applyAlignment="0" applyProtection="0"/>
    <xf numFmtId="170" fontId="53" fillId="0" borderId="16" applyNumberFormat="0" applyFont="0" applyFill="0" applyAlignment="0" applyProtection="0"/>
    <xf numFmtId="195" fontId="6" fillId="0" borderId="17" applyNumberFormat="0" applyFont="0" applyAlignment="0" applyProtection="0"/>
    <xf numFmtId="214" fontId="66" fillId="41" borderId="0" applyFont="0" applyFill="0" applyBorder="0" applyAlignment="0" applyProtection="0"/>
    <xf numFmtId="170" fontId="67" fillId="0" borderId="18" applyFont="0">
      <alignment horizontal="centerContinuous"/>
      <protection locked="0"/>
    </xf>
    <xf numFmtId="215" fontId="16" fillId="0" borderId="0" applyFont="0" applyFill="0" applyBorder="0" applyAlignment="0" applyProtection="0"/>
    <xf numFmtId="43" fontId="51" fillId="0" borderId="0">
      <alignment horizontal="right"/>
    </xf>
    <xf numFmtId="38" fontId="68" fillId="0" borderId="0" applyFill="0" applyBorder="0" applyAlignment="0" applyProtection="0"/>
    <xf numFmtId="0" fontId="69" fillId="0" borderId="0"/>
    <xf numFmtId="43" fontId="51" fillId="0" borderId="0">
      <alignment horizontal="right"/>
    </xf>
    <xf numFmtId="43" fontId="51" fillId="0" borderId="0">
      <alignment horizontal="right"/>
    </xf>
    <xf numFmtId="43" fontId="51" fillId="0" borderId="0">
      <alignment horizontal="right"/>
    </xf>
    <xf numFmtId="43" fontId="51" fillId="0" borderId="0">
      <alignment horizontal="right"/>
    </xf>
    <xf numFmtId="43" fontId="51" fillId="0" borderId="0">
      <alignment horizontal="right"/>
    </xf>
    <xf numFmtId="0" fontId="70" fillId="0" borderId="0"/>
    <xf numFmtId="0" fontId="69" fillId="0" borderId="0"/>
    <xf numFmtId="216" fontId="11" fillId="0" borderId="0" applyFill="0" applyBorder="0" applyAlignment="0"/>
    <xf numFmtId="195" fontId="71" fillId="0" borderId="0" applyFill="0" applyBorder="0" applyAlignment="0"/>
    <xf numFmtId="169" fontId="71" fillId="0" borderId="0" applyFill="0" applyBorder="0" applyAlignment="0"/>
    <xf numFmtId="180" fontId="72" fillId="0" borderId="0" applyFill="0" applyBorder="0" applyAlignment="0"/>
    <xf numFmtId="217" fontId="72" fillId="0" borderId="0" applyFill="0" applyBorder="0" applyAlignment="0"/>
    <xf numFmtId="218" fontId="4" fillId="0" borderId="0" applyFill="0" applyBorder="0" applyAlignment="0"/>
    <xf numFmtId="218" fontId="4" fillId="0" borderId="0" applyFill="0" applyBorder="0" applyAlignment="0"/>
    <xf numFmtId="218" fontId="4" fillId="0" borderId="0" applyFill="0" applyBorder="0" applyAlignment="0"/>
    <xf numFmtId="218" fontId="4" fillId="0" borderId="0" applyFill="0" applyBorder="0" applyAlignment="0"/>
    <xf numFmtId="219" fontId="4" fillId="0" borderId="0" applyFill="0" applyBorder="0" applyAlignment="0"/>
    <xf numFmtId="219" fontId="4" fillId="0" borderId="0" applyFill="0" applyBorder="0" applyAlignment="0"/>
    <xf numFmtId="219" fontId="4" fillId="0" borderId="0" applyFill="0" applyBorder="0" applyAlignment="0"/>
    <xf numFmtId="219" fontId="4" fillId="0" borderId="0" applyFill="0" applyBorder="0" applyAlignment="0"/>
    <xf numFmtId="195" fontId="71" fillId="0" borderId="0" applyFill="0" applyBorder="0" applyAlignment="0"/>
    <xf numFmtId="170" fontId="73" fillId="0" borderId="0">
      <alignment horizontal="right"/>
    </xf>
    <xf numFmtId="0" fontId="74" fillId="37" borderId="19" applyNumberFormat="0" applyAlignment="0" applyProtection="0"/>
    <xf numFmtId="0" fontId="74" fillId="37" borderId="19" applyNumberFormat="0" applyAlignment="0" applyProtection="0"/>
    <xf numFmtId="0" fontId="74" fillId="37" borderId="19" applyNumberFormat="0" applyAlignment="0" applyProtection="0"/>
    <xf numFmtId="0" fontId="74" fillId="37" borderId="19" applyNumberFormat="0" applyAlignment="0" applyProtection="0"/>
    <xf numFmtId="0" fontId="74" fillId="42" borderId="19" applyNumberFormat="0" applyAlignment="0" applyProtection="0"/>
    <xf numFmtId="0" fontId="74" fillId="37" borderId="19" applyNumberFormat="0" applyAlignment="0" applyProtection="0"/>
    <xf numFmtId="0" fontId="74" fillId="37" borderId="19" applyNumberFormat="0" applyAlignment="0" applyProtection="0"/>
    <xf numFmtId="0" fontId="74" fillId="37" borderId="19" applyNumberFormat="0" applyAlignment="0" applyProtection="0"/>
    <xf numFmtId="0" fontId="74" fillId="37" borderId="19" applyNumberFormat="0" applyAlignment="0" applyProtection="0"/>
    <xf numFmtId="0" fontId="74" fillId="42" borderId="19" applyNumberFormat="0" applyAlignment="0" applyProtection="0"/>
    <xf numFmtId="0" fontId="74" fillId="37" borderId="19" applyNumberFormat="0" applyAlignment="0" applyProtection="0"/>
    <xf numFmtId="0" fontId="74" fillId="37" borderId="19" applyNumberFormat="0" applyAlignment="0" applyProtection="0"/>
    <xf numFmtId="0" fontId="74" fillId="37" borderId="19" applyNumberFormat="0" applyAlignment="0" applyProtection="0"/>
    <xf numFmtId="0" fontId="74" fillId="37" borderId="19" applyNumberFormat="0" applyAlignment="0" applyProtection="0"/>
    <xf numFmtId="0" fontId="74" fillId="37" borderId="19" applyNumberFormat="0" applyAlignment="0" applyProtection="0"/>
    <xf numFmtId="0" fontId="74" fillId="37" borderId="19" applyNumberFormat="0" applyAlignment="0" applyProtection="0"/>
    <xf numFmtId="0" fontId="74" fillId="37" borderId="19" applyNumberFormat="0" applyAlignment="0" applyProtection="0"/>
    <xf numFmtId="0" fontId="75" fillId="0" borderId="0"/>
    <xf numFmtId="0" fontId="76" fillId="0" borderId="0" applyNumberFormat="0" applyFill="0" applyBorder="0" applyAlignment="0" applyProtection="0"/>
    <xf numFmtId="180" fontId="77" fillId="0" borderId="20"/>
    <xf numFmtId="1" fontId="78" fillId="0" borderId="0"/>
    <xf numFmtId="0" fontId="79" fillId="43" borderId="21" applyNumberFormat="0" applyAlignment="0" applyProtection="0"/>
    <xf numFmtId="0" fontId="79" fillId="43" borderId="21" applyNumberFormat="0" applyAlignment="0" applyProtection="0"/>
    <xf numFmtId="0" fontId="79" fillId="44" borderId="21" applyNumberFormat="0" applyAlignment="0" applyProtection="0"/>
    <xf numFmtId="0" fontId="79" fillId="43" borderId="21" applyNumberFormat="0" applyAlignment="0" applyProtection="0"/>
    <xf numFmtId="0" fontId="79" fillId="43" borderId="21" applyNumberFormat="0" applyAlignment="0" applyProtection="0"/>
    <xf numFmtId="0" fontId="79" fillId="44" borderId="21" applyNumberFormat="0" applyAlignment="0" applyProtection="0"/>
    <xf numFmtId="0" fontId="79" fillId="43" borderId="21" applyNumberFormat="0" applyAlignment="0" applyProtection="0"/>
    <xf numFmtId="0" fontId="79" fillId="43" borderId="21" applyNumberFormat="0" applyAlignment="0" applyProtection="0"/>
    <xf numFmtId="0" fontId="79" fillId="43" borderId="21" applyNumberFormat="0" applyAlignment="0" applyProtection="0"/>
    <xf numFmtId="0" fontId="79" fillId="43" borderId="21" applyNumberFormat="0" applyAlignment="0" applyProtection="0"/>
    <xf numFmtId="0" fontId="79" fillId="43" borderId="21" applyNumberFormat="0" applyAlignment="0" applyProtection="0"/>
    <xf numFmtId="220" fontId="80" fillId="0" borderId="0" applyFont="0" applyFill="0" applyBorder="0" applyProtection="0">
      <alignment horizontal="right"/>
    </xf>
    <xf numFmtId="221" fontId="4" fillId="45" borderId="0" applyFont="0" applyProtection="0">
      <alignment horizontal="right"/>
    </xf>
    <xf numFmtId="221" fontId="4" fillId="45" borderId="0" applyFont="0" applyProtection="0">
      <alignment horizontal="right"/>
    </xf>
    <xf numFmtId="170" fontId="81" fillId="46" borderId="22" applyFont="0" applyFill="0" applyBorder="0"/>
    <xf numFmtId="170" fontId="82" fillId="0" borderId="13"/>
    <xf numFmtId="170" fontId="83" fillId="0" borderId="7" applyNumberFormat="0" applyFill="0" applyProtection="0">
      <alignment horizontal="center"/>
    </xf>
    <xf numFmtId="166" fontId="84" fillId="0" borderId="14">
      <alignment horizontal="center" vertical="top" wrapText="1"/>
    </xf>
    <xf numFmtId="0" fontId="84" fillId="0" borderId="14">
      <alignment horizontal="left" vertical="top"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0" fontId="6" fillId="0" borderId="0"/>
    <xf numFmtId="0" fontId="6" fillId="0" borderId="0"/>
    <xf numFmtId="0" fontId="6" fillId="0" borderId="0"/>
    <xf numFmtId="0" fontId="6" fillId="0" borderId="0"/>
    <xf numFmtId="0" fontId="6" fillId="0" borderId="0"/>
    <xf numFmtId="0" fontId="6" fillId="0" borderId="0"/>
    <xf numFmtId="222" fontId="80" fillId="0" borderId="0"/>
    <xf numFmtId="41"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80" fontId="6" fillId="0" borderId="0" applyFont="0" applyFill="0" applyBorder="0" applyAlignment="0" applyProtection="0"/>
    <xf numFmtId="39" fontId="6" fillId="0" borderId="0" applyFont="0" applyFill="0" applyBorder="0" applyAlignment="0" applyProtection="0"/>
    <xf numFmtId="217"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0" fontId="85" fillId="0" borderId="0" applyFont="0" applyFill="0" applyBorder="0" applyAlignment="0" applyProtection="0"/>
    <xf numFmtId="168" fontId="4" fillId="0" borderId="0" applyFill="0" applyBorder="0" applyAlignment="0" applyProtection="0"/>
    <xf numFmtId="168" fontId="4" fillId="0" borderId="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7"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3" fontId="2" fillId="0" borderId="0" applyFont="0" applyFill="0" applyBorder="0" applyAlignment="0" applyProtection="0"/>
    <xf numFmtId="5"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8"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23" fontId="4" fillId="0" borderId="0" applyFill="0" applyBorder="0" applyAlignment="0" applyProtection="0"/>
    <xf numFmtId="223" fontId="4"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8" fillId="0" borderId="0" applyFont="0" applyFill="0" applyBorder="0" applyAlignment="0" applyProtection="0"/>
    <xf numFmtId="43"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224" fontId="86" fillId="0" borderId="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25" fontId="87" fillId="0" borderId="0" applyFont="0" applyFill="0" applyBorder="0" applyAlignment="0" applyProtection="0"/>
    <xf numFmtId="43" fontId="4" fillId="0" borderId="0" applyFont="0" applyFill="0" applyBorder="0" applyAlignment="0" applyProtection="0"/>
    <xf numFmtId="168" fontId="30"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26" fontId="4" fillId="0" borderId="0" applyFont="0" applyFill="0" applyBorder="0" applyAlignment="0" applyProtection="0"/>
    <xf numFmtId="168" fontId="4" fillId="0" borderId="0" applyFill="0" applyBorder="0" applyAlignment="0" applyProtection="0"/>
    <xf numFmtId="168" fontId="4" fillId="0" borderId="0" applyFill="0" applyBorder="0" applyAlignment="0" applyProtection="0"/>
    <xf numFmtId="224" fontId="4" fillId="0" borderId="0" applyFill="0" applyBorder="0" applyAlignment="0" applyProtection="0"/>
    <xf numFmtId="224" fontId="4" fillId="0" borderId="0" applyFill="0" applyBorder="0" applyAlignment="0" applyProtection="0"/>
    <xf numFmtId="227" fontId="8" fillId="0" borderId="0" applyFont="0" applyFill="0" applyBorder="0" applyAlignment="0" applyProtection="0"/>
    <xf numFmtId="227" fontId="8" fillId="0" borderId="0" applyFont="0" applyFill="0" applyBorder="0" applyAlignment="0" applyProtection="0"/>
    <xf numFmtId="228" fontId="8" fillId="0" borderId="0"/>
    <xf numFmtId="43" fontId="2" fillId="0" borderId="0" applyFont="0" applyFill="0" applyBorder="0" applyAlignment="0" applyProtection="0"/>
    <xf numFmtId="43"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43" fontId="4"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ill="0" applyBorder="0" applyAlignment="0" applyProtection="0"/>
    <xf numFmtId="43" fontId="2"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3" fontId="2"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43" fontId="4"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4" fillId="0" borderId="0" applyFill="0" applyBorder="0" applyAlignment="0" applyProtection="0"/>
    <xf numFmtId="168" fontId="4" fillId="0" borderId="0" applyFill="0" applyBorder="0" applyAlignment="0" applyProtection="0"/>
    <xf numFmtId="168" fontId="4" fillId="0" borderId="0" applyFill="0" applyBorder="0" applyAlignment="0" applyProtection="0"/>
    <xf numFmtId="168" fontId="4" fillId="0" borderId="0" applyFill="0" applyBorder="0" applyAlignment="0" applyProtection="0"/>
    <xf numFmtId="168" fontId="4" fillId="0" borderId="0" applyFill="0" applyBorder="0" applyAlignment="0" applyProtection="0"/>
    <xf numFmtId="168" fontId="4" fillId="0" borderId="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4" fillId="0" borderId="0" applyFill="0" applyBorder="0" applyAlignment="0" applyProtection="0"/>
    <xf numFmtId="168" fontId="4" fillId="0" borderId="0" applyFill="0" applyBorder="0" applyAlignment="0" applyProtection="0"/>
    <xf numFmtId="168" fontId="4" fillId="0" borderId="0" applyFill="0" applyBorder="0" applyAlignment="0" applyProtection="0"/>
    <xf numFmtId="168" fontId="4" fillId="0" borderId="0" applyFill="0" applyBorder="0" applyAlignment="0" applyProtection="0"/>
    <xf numFmtId="168" fontId="4" fillId="0" borderId="0" applyFill="0" applyBorder="0" applyAlignment="0" applyProtection="0"/>
    <xf numFmtId="168" fontId="4" fillId="0" borderId="0" applyFill="0" applyBorder="0" applyAlignment="0" applyProtection="0"/>
    <xf numFmtId="168" fontId="4" fillId="0" borderId="0" applyFill="0" applyBorder="0" applyAlignment="0" applyProtection="0"/>
    <xf numFmtId="43" fontId="4"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230" fontId="4" fillId="0" borderId="0"/>
    <xf numFmtId="230" fontId="4" fillId="0" borderId="0"/>
    <xf numFmtId="37" fontId="37" fillId="0" borderId="0" applyFont="0" applyFill="0" applyBorder="0" applyAlignment="0" applyProtection="0"/>
    <xf numFmtId="180" fontId="37" fillId="0" borderId="0" applyFont="0" applyFill="0" applyBorder="0" applyAlignment="0" applyProtection="0"/>
    <xf numFmtId="39"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88" fillId="0" borderId="0" applyNumberFormat="0" applyAlignment="0">
      <alignment horizontal="left"/>
    </xf>
    <xf numFmtId="195" fontId="89" fillId="0" borderId="23" applyNumberFormat="0" applyBorder="0" applyAlignment="0" applyProtection="0">
      <protection locked="0"/>
    </xf>
    <xf numFmtId="170" fontId="90" fillId="0" borderId="0">
      <alignment horizontal="left"/>
    </xf>
    <xf numFmtId="170" fontId="91" fillId="0" borderId="0"/>
    <xf numFmtId="170" fontId="92" fillId="0" borderId="0">
      <alignment horizontal="left"/>
    </xf>
    <xf numFmtId="170" fontId="4" fillId="1" borderId="0" applyFont="0" applyFill="0" applyBorder="0" applyAlignment="0" applyProtection="0">
      <alignment horizontal="right"/>
    </xf>
    <xf numFmtId="170" fontId="4" fillId="1" borderId="0" applyFont="0" applyFill="0" applyBorder="0" applyAlignment="0" applyProtection="0">
      <alignment horizontal="right"/>
    </xf>
    <xf numFmtId="231" fontId="93" fillId="47" borderId="0" applyFill="0">
      <alignment horizontal="left" vertical="top"/>
      <protection locked="0"/>
    </xf>
    <xf numFmtId="232" fontId="82" fillId="0" borderId="24" applyFont="0" applyFill="0" applyBorder="0" applyAlignment="0" applyProtection="0"/>
    <xf numFmtId="233" fontId="4" fillId="0" borderId="0">
      <alignment horizontal="center"/>
    </xf>
    <xf numFmtId="234" fontId="6" fillId="0" borderId="0">
      <alignment horizontal="center"/>
    </xf>
    <xf numFmtId="234" fontId="6" fillId="0" borderId="0">
      <alignment horizontal="center"/>
    </xf>
    <xf numFmtId="234" fontId="6" fillId="0" borderId="0">
      <alignment horizontal="center"/>
    </xf>
    <xf numFmtId="234" fontId="6" fillId="0" borderId="0">
      <alignment horizontal="center"/>
    </xf>
    <xf numFmtId="234" fontId="6" fillId="0" borderId="0">
      <alignment horizontal="center"/>
    </xf>
    <xf numFmtId="233" fontId="4" fillId="0" borderId="0">
      <alignment horizontal="center"/>
    </xf>
    <xf numFmtId="234" fontId="6" fillId="0" borderId="0">
      <alignment horizontal="center"/>
    </xf>
    <xf numFmtId="235" fontId="55" fillId="0" borderId="1"/>
    <xf numFmtId="235" fontId="55" fillId="0" borderId="1"/>
    <xf numFmtId="195" fontId="71" fillId="0" borderId="0" applyFont="0" applyFill="0" applyBorder="0" applyAlignment="0" applyProtection="0"/>
    <xf numFmtId="236" fontId="6" fillId="0" borderId="0" applyFont="0" applyFill="0" applyBorder="0" applyAlignment="0" applyProtection="0"/>
    <xf numFmtId="237" fontId="6" fillId="0" borderId="0" applyFont="0" applyFill="0" applyBorder="0" applyAlignment="0" applyProtection="0"/>
    <xf numFmtId="238"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39" fontId="4" fillId="0" borderId="0"/>
    <xf numFmtId="39" fontId="4" fillId="0" borderId="0"/>
    <xf numFmtId="5" fontId="37" fillId="0" borderId="0" applyFont="0" applyFill="0" applyBorder="0" applyAlignment="0" applyProtection="0"/>
    <xf numFmtId="7" fontId="37" fillId="0" borderId="0" applyFont="0" applyFill="0" applyBorder="0" applyAlignment="0" applyProtection="0"/>
    <xf numFmtId="239" fontId="82" fillId="0" borderId="24" applyFont="0" applyFill="0" applyBorder="0" applyAlignment="0" applyProtection="0"/>
    <xf numFmtId="240" fontId="4" fillId="0" borderId="0"/>
    <xf numFmtId="240" fontId="4" fillId="0" borderId="0"/>
    <xf numFmtId="0" fontId="94" fillId="0" borderId="0"/>
    <xf numFmtId="241" fontId="15" fillId="0" borderId="0">
      <alignment horizontal="right"/>
    </xf>
    <xf numFmtId="170" fontId="4" fillId="0" borderId="0"/>
    <xf numFmtId="170" fontId="4" fillId="0" borderId="0"/>
    <xf numFmtId="38" fontId="53" fillId="0" borderId="0"/>
    <xf numFmtId="170" fontId="22" fillId="0" borderId="25"/>
    <xf numFmtId="4" fontId="53" fillId="48" borderId="25">
      <protection locked="0"/>
    </xf>
    <xf numFmtId="242" fontId="16" fillId="0" borderId="0" applyFont="0" applyFill="0" applyBorder="0" applyAlignment="0" applyProtection="0"/>
    <xf numFmtId="0" fontId="94" fillId="0" borderId="26"/>
    <xf numFmtId="0" fontId="94" fillId="0" borderId="26"/>
    <xf numFmtId="0" fontId="95" fillId="0" borderId="0">
      <protection locked="0"/>
    </xf>
    <xf numFmtId="15" fontId="81" fillId="0" borderId="0" applyFill="0" applyBorder="0" applyAlignment="0"/>
    <xf numFmtId="243" fontId="6" fillId="0" borderId="0" applyFont="0" applyFill="0" applyBorder="0" applyAlignment="0" applyProtection="0"/>
    <xf numFmtId="244" fontId="6" fillId="0" borderId="0" applyFont="0" applyFill="0" applyBorder="0" applyAlignment="0" applyProtection="0"/>
    <xf numFmtId="245" fontId="6" fillId="0" borderId="0" applyFont="0" applyFill="0" applyBorder="0" applyAlignment="0" applyProtection="0"/>
    <xf numFmtId="246" fontId="81" fillId="49" borderId="0" applyFont="0" applyFill="0" applyBorder="0" applyAlignment="0" applyProtection="0"/>
    <xf numFmtId="247" fontId="96" fillId="49" borderId="5" applyFont="0" applyFill="0" applyBorder="0" applyAlignment="0" applyProtection="0"/>
    <xf numFmtId="247" fontId="82" fillId="49" borderId="0" applyFont="0" applyFill="0" applyBorder="0" applyAlignment="0" applyProtection="0"/>
    <xf numFmtId="17" fontId="81" fillId="0" borderId="0" applyFill="0" applyBorder="0">
      <alignment horizontal="right"/>
    </xf>
    <xf numFmtId="248" fontId="81" fillId="0" borderId="7" applyFont="0" applyFill="0" applyBorder="0" applyAlignment="0" applyProtection="0"/>
    <xf numFmtId="249" fontId="4" fillId="0" borderId="0" applyFont="0" applyFill="0" applyBorder="0" applyAlignment="0" applyProtection="0"/>
    <xf numFmtId="249" fontId="4" fillId="0" borderId="0" applyFont="0" applyFill="0" applyBorder="0" applyAlignment="0" applyProtection="0"/>
    <xf numFmtId="250" fontId="4" fillId="0" borderId="0">
      <protection locked="0"/>
    </xf>
    <xf numFmtId="250" fontId="4" fillId="0" borderId="0">
      <protection locked="0"/>
    </xf>
    <xf numFmtId="250" fontId="4" fillId="0" borderId="0">
      <protection locked="0"/>
    </xf>
    <xf numFmtId="250" fontId="4" fillId="0" borderId="0">
      <protection locked="0"/>
    </xf>
    <xf numFmtId="250" fontId="4" fillId="0" borderId="0">
      <protection locked="0"/>
    </xf>
    <xf numFmtId="14" fontId="11" fillId="0" borderId="0" applyFill="0" applyBorder="0" applyAlignment="0"/>
    <xf numFmtId="17" fontId="4" fillId="0" borderId="0" applyFont="0" applyFill="0" applyBorder="0" applyAlignment="0" applyProtection="0"/>
    <xf numFmtId="170" fontId="4" fillId="0" borderId="1" applyFont="0" applyFill="0" applyBorder="0" applyAlignment="0" applyProtection="0">
      <alignment horizontal="right"/>
    </xf>
    <xf numFmtId="170" fontId="4" fillId="0" borderId="1" applyFont="0" applyFill="0" applyBorder="0" applyAlignment="0" applyProtection="0">
      <alignment horizontal="right"/>
    </xf>
    <xf numFmtId="251" fontId="82" fillId="0" borderId="27">
      <alignment horizontal="center"/>
    </xf>
    <xf numFmtId="252" fontId="4" fillId="0" borderId="0" applyFont="0" applyFill="0" applyBorder="0" applyAlignment="0" applyProtection="0"/>
    <xf numFmtId="252" fontId="4" fillId="0" borderId="0" applyFont="0" applyFill="0" applyBorder="0" applyAlignment="0" applyProtection="0"/>
    <xf numFmtId="170" fontId="97" fillId="50" borderId="0" applyNumberFormat="0" applyFont="0" applyFill="0" applyBorder="0" applyAlignment="0"/>
    <xf numFmtId="196" fontId="15" fillId="0" borderId="0"/>
    <xf numFmtId="253" fontId="15" fillId="0" borderId="0"/>
    <xf numFmtId="0" fontId="25" fillId="0" borderId="0" applyNumberFormat="0" applyFill="0" applyBorder="0" applyAlignment="0" applyProtection="0"/>
    <xf numFmtId="254" fontId="4" fillId="0" borderId="28">
      <alignment vertical="center"/>
    </xf>
    <xf numFmtId="254" fontId="4" fillId="0" borderId="28">
      <alignment vertical="center"/>
    </xf>
    <xf numFmtId="254" fontId="4" fillId="0" borderId="28">
      <alignment vertical="center"/>
    </xf>
    <xf numFmtId="254" fontId="4" fillId="0" borderId="28">
      <alignment vertical="center"/>
    </xf>
    <xf numFmtId="226" fontId="98" fillId="0" borderId="0" applyFont="0" applyFill="0" applyBorder="0">
      <alignment horizontal="left" vertical="top" wrapText="1"/>
      <protection locked="0"/>
    </xf>
    <xf numFmtId="255" fontId="4" fillId="0" borderId="0" applyFont="0" applyFill="0" applyBorder="0" applyAlignment="0" applyProtection="0"/>
    <xf numFmtId="4" fontId="22" fillId="0" borderId="0" applyFont="0" applyFill="0" applyBorder="0" applyAlignment="0" applyProtection="0"/>
    <xf numFmtId="256" fontId="4" fillId="0" borderId="0"/>
    <xf numFmtId="256" fontId="4" fillId="0" borderId="0"/>
    <xf numFmtId="246" fontId="82" fillId="0" borderId="0"/>
    <xf numFmtId="190" fontId="99" fillId="0" borderId="0">
      <alignment horizontal="right"/>
    </xf>
    <xf numFmtId="241" fontId="15" fillId="0" borderId="15">
      <alignment horizontal="right"/>
    </xf>
    <xf numFmtId="241" fontId="15" fillId="0" borderId="15">
      <alignment horizontal="right"/>
    </xf>
    <xf numFmtId="170" fontId="100" fillId="0" borderId="0" applyNumberFormat="0" applyFont="0" applyFill="0" applyAlignment="0">
      <protection locked="0"/>
    </xf>
    <xf numFmtId="195" fontId="101" fillId="51" borderId="0" applyBorder="0" applyAlignment="0" applyProtection="0"/>
    <xf numFmtId="195" fontId="101" fillId="52" borderId="0" applyBorder="0" applyAlignment="0" applyProtection="0"/>
    <xf numFmtId="195" fontId="101" fillId="52" borderId="0" applyBorder="0" applyAlignment="0" applyProtection="0"/>
    <xf numFmtId="218" fontId="4" fillId="0" borderId="0" applyFill="0" applyBorder="0" applyAlignment="0"/>
    <xf numFmtId="218" fontId="4" fillId="0" borderId="0" applyFill="0" applyBorder="0" applyAlignment="0"/>
    <xf numFmtId="218" fontId="4" fillId="0" borderId="0" applyFill="0" applyBorder="0" applyAlignment="0"/>
    <xf numFmtId="218" fontId="4" fillId="0" borderId="0" applyFill="0" applyBorder="0" applyAlignment="0"/>
    <xf numFmtId="195" fontId="71" fillId="0" borderId="0" applyFill="0" applyBorder="0" applyAlignment="0"/>
    <xf numFmtId="218" fontId="4" fillId="0" borderId="0" applyFill="0" applyBorder="0" applyAlignment="0"/>
    <xf numFmtId="218" fontId="4" fillId="0" borderId="0" applyFill="0" applyBorder="0" applyAlignment="0"/>
    <xf numFmtId="218" fontId="4" fillId="0" borderId="0" applyFill="0" applyBorder="0" applyAlignment="0"/>
    <xf numFmtId="218" fontId="4" fillId="0" borderId="0" applyFill="0" applyBorder="0" applyAlignment="0"/>
    <xf numFmtId="219" fontId="4" fillId="0" borderId="0" applyFill="0" applyBorder="0" applyAlignment="0"/>
    <xf numFmtId="219" fontId="4" fillId="0" borderId="0" applyFill="0" applyBorder="0" applyAlignment="0"/>
    <xf numFmtId="219" fontId="4" fillId="0" borderId="0" applyFill="0" applyBorder="0" applyAlignment="0"/>
    <xf numFmtId="219" fontId="4" fillId="0" borderId="0" applyFill="0" applyBorder="0" applyAlignment="0"/>
    <xf numFmtId="195" fontId="71" fillId="0" borderId="0" applyFill="0" applyBorder="0" applyAlignment="0"/>
    <xf numFmtId="0" fontId="102" fillId="0" borderId="0" applyNumberFormat="0" applyAlignment="0">
      <alignment horizontal="left"/>
    </xf>
    <xf numFmtId="39" fontId="4" fillId="0" borderId="0" applyFont="0" applyFill="0" applyBorder="0" applyAlignment="0" applyProtection="0"/>
    <xf numFmtId="39" fontId="4" fillId="0" borderId="0" applyFont="0" applyFill="0" applyBorder="0" applyAlignment="0" applyProtection="0"/>
    <xf numFmtId="257" fontId="103" fillId="0" borderId="0" applyNumberFormat="0" applyBorder="0">
      <alignment horizontal="left" vertical="top"/>
    </xf>
    <xf numFmtId="258" fontId="4" fillId="0" borderId="0" applyFont="0" applyFill="0" applyBorder="0" applyAlignment="0" applyProtection="0"/>
    <xf numFmtId="258" fontId="4" fillId="0" borderId="0" applyFont="0" applyFill="0" applyBorder="0" applyAlignment="0" applyProtection="0"/>
    <xf numFmtId="259" fontId="8" fillId="0" borderId="0"/>
    <xf numFmtId="0" fontId="104" fillId="0" borderId="0" applyNumberFormat="0" applyFill="0" applyBorder="0" applyAlignment="0" applyProtection="0"/>
    <xf numFmtId="0" fontId="8" fillId="0" borderId="0"/>
    <xf numFmtId="0" fontId="4" fillId="0" borderId="0"/>
    <xf numFmtId="260" fontId="105" fillId="0" borderId="0" applyBorder="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170" fontId="16" fillId="0" borderId="0" applyFill="0" applyBorder="0" applyAlignment="0" applyProtection="0"/>
    <xf numFmtId="49" fontId="103" fillId="0" borderId="0" applyNumberFormat="0" applyFill="0" applyBorder="0" applyProtection="0">
      <alignment horizontal="center" vertical="top"/>
    </xf>
    <xf numFmtId="241" fontId="107" fillId="0" borderId="0"/>
    <xf numFmtId="261" fontId="107" fillId="0" borderId="0" applyBorder="0">
      <alignment horizontal="right" vertical="top"/>
    </xf>
    <xf numFmtId="262" fontId="103" fillId="0" borderId="0" applyBorder="0">
      <alignment horizontal="right" vertical="top"/>
    </xf>
    <xf numFmtId="262" fontId="107" fillId="0" borderId="0" applyBorder="0">
      <alignment horizontal="right" vertical="top"/>
    </xf>
    <xf numFmtId="170" fontId="6" fillId="0" borderId="0">
      <alignment horizontal="left" vertical="top" wrapText="1"/>
    </xf>
    <xf numFmtId="170" fontId="103" fillId="0" borderId="0" applyFill="0" applyBorder="0">
      <alignment horizontal="right" vertical="top"/>
    </xf>
    <xf numFmtId="179" fontId="103" fillId="0" borderId="0" applyFill="0" applyBorder="0">
      <alignment horizontal="right" vertical="top"/>
    </xf>
    <xf numFmtId="184" fontId="103" fillId="0" borderId="0" applyFill="0" applyBorder="0">
      <alignment horizontal="right" vertical="top"/>
    </xf>
    <xf numFmtId="170" fontId="103" fillId="0" borderId="0" applyFill="0" applyBorder="0">
      <alignment horizontal="right" vertical="top"/>
    </xf>
    <xf numFmtId="183" fontId="103" fillId="0" borderId="0" applyFill="0" applyBorder="0">
      <alignment horizontal="right" vertical="top"/>
    </xf>
    <xf numFmtId="263" fontId="103" fillId="0" borderId="0" applyFill="0" applyBorder="0">
      <alignment horizontal="right" vertical="top"/>
    </xf>
    <xf numFmtId="264" fontId="103" fillId="0" borderId="0" applyFill="0" applyBorder="0">
      <alignment horizontal="right" vertical="top"/>
    </xf>
    <xf numFmtId="265" fontId="103" fillId="0" borderId="0" applyFill="0" applyBorder="0">
      <alignment horizontal="right" vertical="top"/>
    </xf>
    <xf numFmtId="170" fontId="108" fillId="0" borderId="0">
      <alignment horizontal="left"/>
    </xf>
    <xf numFmtId="170" fontId="108" fillId="0" borderId="29">
      <alignment horizontal="right" wrapText="1"/>
    </xf>
    <xf numFmtId="170" fontId="108" fillId="0" borderId="29">
      <alignment horizontal="right" wrapText="1"/>
    </xf>
    <xf numFmtId="177" fontId="109" fillId="0" borderId="29">
      <alignment horizontal="left"/>
    </xf>
    <xf numFmtId="177" fontId="109" fillId="0" borderId="29">
      <alignment horizontal="left"/>
    </xf>
    <xf numFmtId="170" fontId="14" fillId="0" borderId="0">
      <alignment vertical="center"/>
    </xf>
    <xf numFmtId="266" fontId="14" fillId="0" borderId="0">
      <alignment horizontal="left" vertical="center"/>
    </xf>
    <xf numFmtId="267" fontId="110" fillId="0" borderId="0">
      <alignment vertical="center"/>
    </xf>
    <xf numFmtId="170" fontId="12" fillId="0" borderId="0">
      <alignment vertical="center"/>
    </xf>
    <xf numFmtId="177" fontId="109" fillId="0" borderId="29">
      <alignment horizontal="left"/>
    </xf>
    <xf numFmtId="177" fontId="109" fillId="0" borderId="29">
      <alignment horizontal="left"/>
    </xf>
    <xf numFmtId="177" fontId="42" fillId="0" borderId="0" applyFill="0" applyBorder="0">
      <alignment vertical="top"/>
    </xf>
    <xf numFmtId="177" fontId="19" fillId="0" borderId="0" applyFill="0" applyBorder="0" applyProtection="0">
      <alignment vertical="top"/>
    </xf>
    <xf numFmtId="177" fontId="111" fillId="0" borderId="0">
      <alignment vertical="top"/>
    </xf>
    <xf numFmtId="177" fontId="103" fillId="0" borderId="0">
      <alignment horizontal="center"/>
    </xf>
    <xf numFmtId="177" fontId="112" fillId="0" borderId="29">
      <alignment horizontal="center"/>
    </xf>
    <xf numFmtId="177" fontId="112" fillId="0" borderId="29">
      <alignment horizontal="center"/>
    </xf>
    <xf numFmtId="255" fontId="103" fillId="0" borderId="29" applyFill="0" applyBorder="0" applyProtection="0">
      <alignment horizontal="right" vertical="top"/>
    </xf>
    <xf numFmtId="255" fontId="103" fillId="0" borderId="29" applyFill="0" applyBorder="0" applyProtection="0">
      <alignment horizontal="right" vertical="top"/>
    </xf>
    <xf numFmtId="266" fontId="113" fillId="0" borderId="0">
      <alignment horizontal="left" vertical="center"/>
    </xf>
    <xf numFmtId="177" fontId="113" fillId="0" borderId="0"/>
    <xf numFmtId="177" fontId="114" fillId="0" borderId="0"/>
    <xf numFmtId="177" fontId="115" fillId="0" borderId="0"/>
    <xf numFmtId="177" fontId="4" fillId="0" borderId="0"/>
    <xf numFmtId="177" fontId="4" fillId="0" borderId="0"/>
    <xf numFmtId="177" fontId="116" fillId="0" borderId="0">
      <alignment horizontal="left" vertical="top"/>
    </xf>
    <xf numFmtId="170" fontId="103" fillId="0" borderId="0" applyFill="0" applyBorder="0">
      <alignment horizontal="left" vertical="top" wrapText="1"/>
    </xf>
    <xf numFmtId="170" fontId="117" fillId="0" borderId="0">
      <alignment horizontal="left" vertical="top" wrapText="1"/>
    </xf>
    <xf numFmtId="170" fontId="118" fillId="0" borderId="0">
      <alignment horizontal="left" vertical="top" wrapText="1"/>
    </xf>
    <xf numFmtId="170" fontId="107" fillId="0" borderId="0">
      <alignment horizontal="left" vertical="top" wrapText="1"/>
    </xf>
    <xf numFmtId="241" fontId="51" fillId="0" borderId="0">
      <alignment horizontal="right"/>
    </xf>
    <xf numFmtId="241" fontId="51" fillId="0" borderId="0">
      <alignment horizontal="right"/>
    </xf>
    <xf numFmtId="241" fontId="51" fillId="0" borderId="0">
      <alignment horizontal="right"/>
    </xf>
    <xf numFmtId="241" fontId="51" fillId="0" borderId="0">
      <alignment horizontal="right"/>
    </xf>
    <xf numFmtId="241" fontId="51" fillId="0" borderId="0">
      <alignment horizontal="right"/>
    </xf>
    <xf numFmtId="241" fontId="51" fillId="0" borderId="0">
      <alignment horizontal="right"/>
    </xf>
    <xf numFmtId="268" fontId="4" fillId="0" borderId="0">
      <protection locked="0"/>
    </xf>
    <xf numFmtId="250" fontId="4" fillId="0" borderId="0">
      <protection locked="0"/>
    </xf>
    <xf numFmtId="250" fontId="4" fillId="0" borderId="0">
      <protection locked="0"/>
    </xf>
    <xf numFmtId="250" fontId="4" fillId="0" borderId="0">
      <protection locked="0"/>
    </xf>
    <xf numFmtId="250" fontId="4" fillId="0" borderId="0">
      <protection locked="0"/>
    </xf>
    <xf numFmtId="250" fontId="4" fillId="0" borderId="0">
      <protection locked="0"/>
    </xf>
    <xf numFmtId="268" fontId="4" fillId="0" borderId="0">
      <protection locked="0"/>
    </xf>
    <xf numFmtId="268" fontId="4" fillId="0" borderId="0">
      <protection locked="0"/>
    </xf>
    <xf numFmtId="250" fontId="4" fillId="0" borderId="0">
      <protection locked="0"/>
    </xf>
    <xf numFmtId="250" fontId="4" fillId="0" borderId="0">
      <protection locked="0"/>
    </xf>
    <xf numFmtId="250" fontId="4" fillId="0" borderId="0">
      <protection locked="0"/>
    </xf>
    <xf numFmtId="250" fontId="4" fillId="0" borderId="0">
      <protection locked="0"/>
    </xf>
    <xf numFmtId="250" fontId="4" fillId="0" borderId="0">
      <protection locked="0"/>
    </xf>
    <xf numFmtId="268" fontId="4" fillId="0" borderId="0">
      <protection locked="0"/>
    </xf>
    <xf numFmtId="268" fontId="4" fillId="0" borderId="0">
      <protection locked="0"/>
    </xf>
    <xf numFmtId="250" fontId="4" fillId="0" borderId="0">
      <protection locked="0"/>
    </xf>
    <xf numFmtId="250" fontId="4" fillId="0" borderId="0">
      <protection locked="0"/>
    </xf>
    <xf numFmtId="250" fontId="4" fillId="0" borderId="0">
      <protection locked="0"/>
    </xf>
    <xf numFmtId="250" fontId="4" fillId="0" borderId="0">
      <protection locked="0"/>
    </xf>
    <xf numFmtId="250" fontId="4" fillId="0" borderId="0">
      <protection locked="0"/>
    </xf>
    <xf numFmtId="268" fontId="4" fillId="0" borderId="0">
      <protection locked="0"/>
    </xf>
    <xf numFmtId="268" fontId="4" fillId="0" borderId="0">
      <protection locked="0"/>
    </xf>
    <xf numFmtId="250" fontId="4" fillId="0" borderId="0">
      <protection locked="0"/>
    </xf>
    <xf numFmtId="250" fontId="4" fillId="0" borderId="0">
      <protection locked="0"/>
    </xf>
    <xf numFmtId="250" fontId="4" fillId="0" borderId="0">
      <protection locked="0"/>
    </xf>
    <xf numFmtId="250" fontId="4" fillId="0" borderId="0">
      <protection locked="0"/>
    </xf>
    <xf numFmtId="250" fontId="4" fillId="0" borderId="0">
      <protection locked="0"/>
    </xf>
    <xf numFmtId="268" fontId="4" fillId="0" borderId="0">
      <protection locked="0"/>
    </xf>
    <xf numFmtId="268" fontId="4" fillId="0" borderId="0">
      <protection locked="0"/>
    </xf>
    <xf numFmtId="250" fontId="4" fillId="0" borderId="0">
      <protection locked="0"/>
    </xf>
    <xf numFmtId="250" fontId="4" fillId="0" borderId="0">
      <protection locked="0"/>
    </xf>
    <xf numFmtId="250" fontId="4" fillId="0" borderId="0">
      <protection locked="0"/>
    </xf>
    <xf numFmtId="250" fontId="4" fillId="0" borderId="0">
      <protection locked="0"/>
    </xf>
    <xf numFmtId="250" fontId="4" fillId="0" borderId="0">
      <protection locked="0"/>
    </xf>
    <xf numFmtId="268" fontId="4" fillId="0" borderId="0">
      <protection locked="0"/>
    </xf>
    <xf numFmtId="268" fontId="4" fillId="0" borderId="0">
      <protection locked="0"/>
    </xf>
    <xf numFmtId="250" fontId="4" fillId="0" borderId="0">
      <protection locked="0"/>
    </xf>
    <xf numFmtId="250" fontId="4" fillId="0" borderId="0">
      <protection locked="0"/>
    </xf>
    <xf numFmtId="250" fontId="4" fillId="0" borderId="0">
      <protection locked="0"/>
    </xf>
    <xf numFmtId="250" fontId="4" fillId="0" borderId="0">
      <protection locked="0"/>
    </xf>
    <xf numFmtId="250" fontId="4" fillId="0" borderId="0">
      <protection locked="0"/>
    </xf>
    <xf numFmtId="268" fontId="4" fillId="0" borderId="0">
      <protection locked="0"/>
    </xf>
    <xf numFmtId="268" fontId="4" fillId="0" borderId="0">
      <protection locked="0"/>
    </xf>
    <xf numFmtId="250" fontId="4" fillId="0" borderId="0">
      <protection locked="0"/>
    </xf>
    <xf numFmtId="250" fontId="4" fillId="0" borderId="0">
      <protection locked="0"/>
    </xf>
    <xf numFmtId="250" fontId="4" fillId="0" borderId="0">
      <protection locked="0"/>
    </xf>
    <xf numFmtId="250" fontId="4" fillId="0" borderId="0">
      <protection locked="0"/>
    </xf>
    <xf numFmtId="250" fontId="4" fillId="0" borderId="0">
      <protection locked="0"/>
    </xf>
    <xf numFmtId="268" fontId="4" fillId="0" borderId="0">
      <protection locked="0"/>
    </xf>
    <xf numFmtId="269" fontId="80" fillId="11" borderId="14">
      <alignment horizontal="left"/>
    </xf>
    <xf numFmtId="196" fontId="51" fillId="0" borderId="0">
      <alignment horizontal="right"/>
    </xf>
    <xf numFmtId="253" fontId="51" fillId="0" borderId="0">
      <alignment horizontal="right"/>
    </xf>
    <xf numFmtId="270" fontId="95" fillId="0" borderId="0">
      <protection locked="0"/>
    </xf>
    <xf numFmtId="271" fontId="4" fillId="49" borderId="0" applyFont="0" applyFill="0" applyBorder="0" applyAlignment="0"/>
    <xf numFmtId="271" fontId="4" fillId="49" borderId="0" applyFont="0" applyFill="0" applyBorder="0" applyAlignment="0"/>
    <xf numFmtId="250" fontId="4" fillId="0" borderId="0">
      <protection locked="0"/>
    </xf>
    <xf numFmtId="250" fontId="4" fillId="0" borderId="0">
      <protection locked="0"/>
    </xf>
    <xf numFmtId="250" fontId="4" fillId="0" borderId="0">
      <protection locked="0"/>
    </xf>
    <xf numFmtId="250" fontId="4" fillId="0" borderId="0">
      <protection locked="0"/>
    </xf>
    <xf numFmtId="250" fontId="4" fillId="0" borderId="0">
      <protection locked="0"/>
    </xf>
    <xf numFmtId="2" fontId="4" fillId="0" borderId="0" applyFont="0" applyFill="0" applyBorder="0" applyAlignment="0" applyProtection="0"/>
    <xf numFmtId="11" fontId="4" fillId="0" borderId="0" applyFont="0" applyFill="0" applyBorder="0" applyAlignment="0" applyProtection="0"/>
    <xf numFmtId="11" fontId="4" fillId="0" borderId="0" applyFont="0" applyFill="0" applyBorder="0" applyAlignment="0" applyProtection="0"/>
    <xf numFmtId="191" fontId="16" fillId="0" borderId="0" applyProtection="0">
      <alignment horizontal="left"/>
    </xf>
    <xf numFmtId="0" fontId="119" fillId="0" borderId="0" applyNumberFormat="0" applyFill="0" applyBorder="0" applyAlignment="0" applyProtection="0">
      <alignment vertical="top"/>
      <protection locked="0"/>
    </xf>
    <xf numFmtId="170" fontId="120" fillId="0" borderId="0">
      <alignment horizontal="left"/>
    </xf>
    <xf numFmtId="170" fontId="121" fillId="0" borderId="0">
      <alignment horizontal="left"/>
    </xf>
    <xf numFmtId="170" fontId="122" fillId="0" borderId="0">
      <alignment horizontal="left"/>
    </xf>
    <xf numFmtId="170" fontId="122" fillId="0" borderId="0" applyNumberFormat="0" applyFill="0" applyBorder="0" applyProtection="0">
      <alignment horizontal="left"/>
    </xf>
    <xf numFmtId="272" fontId="98" fillId="0" borderId="0" applyFont="0">
      <alignment horizontal="left"/>
      <protection locked="0"/>
    </xf>
    <xf numFmtId="0" fontId="6" fillId="0" borderId="30" applyNumberFormat="0" applyFill="0" applyBorder="0" applyAlignment="0" applyProtection="0">
      <protection locked="0"/>
    </xf>
    <xf numFmtId="0" fontId="6" fillId="0" borderId="30" applyNumberFormat="0" applyFill="0" applyBorder="0" applyAlignment="0" applyProtection="0">
      <protection locked="0"/>
    </xf>
    <xf numFmtId="0" fontId="6" fillId="0" borderId="30" applyNumberFormat="0" applyFill="0" applyBorder="0" applyAlignment="0" applyProtection="0">
      <protection locked="0"/>
    </xf>
    <xf numFmtId="0" fontId="6" fillId="0" borderId="30" applyNumberFormat="0" applyFill="0" applyBorder="0" applyAlignment="0" applyProtection="0">
      <protection locked="0"/>
    </xf>
    <xf numFmtId="0" fontId="6" fillId="0" borderId="30" applyNumberFormat="0" applyFill="0" applyBorder="0" applyAlignment="0" applyProtection="0">
      <protection locked="0"/>
    </xf>
    <xf numFmtId="0" fontId="6" fillId="0" borderId="30" applyNumberFormat="0" applyFill="0" applyBorder="0" applyAlignment="0" applyProtection="0">
      <protection locked="0"/>
    </xf>
    <xf numFmtId="0" fontId="6" fillId="0" borderId="30" applyNumberFormat="0" applyFill="0" applyBorder="0" applyAlignment="0" applyProtection="0">
      <protection locked="0"/>
    </xf>
    <xf numFmtId="273" fontId="123" fillId="0" borderId="11">
      <alignment horizontal="right"/>
    </xf>
    <xf numFmtId="273" fontId="123" fillId="0" borderId="11">
      <alignment horizontal="right"/>
    </xf>
    <xf numFmtId="273" fontId="123" fillId="0" borderId="11">
      <alignment horizontal="right"/>
    </xf>
    <xf numFmtId="273" fontId="123" fillId="0" borderId="11">
      <alignment horizontal="right"/>
    </xf>
    <xf numFmtId="273" fontId="123" fillId="0" borderId="11">
      <alignment horizontal="right"/>
    </xf>
    <xf numFmtId="273" fontId="123" fillId="0" borderId="11">
      <alignment horizontal="right"/>
    </xf>
    <xf numFmtId="273" fontId="123" fillId="0" borderId="11">
      <alignment horizontal="right"/>
    </xf>
    <xf numFmtId="274" fontId="6" fillId="0" borderId="0" applyFont="0" applyFill="0" applyBorder="0" applyAlignment="0" applyProtection="0"/>
    <xf numFmtId="275" fontId="6" fillId="0" borderId="0" applyFont="0" applyFill="0" applyBorder="0" applyAlignment="0" applyProtection="0"/>
    <xf numFmtId="276" fontId="6" fillId="0" borderId="0" applyFont="0" applyFill="0" applyBorder="0" applyAlignment="0" applyProtection="0"/>
    <xf numFmtId="37" fontId="124" fillId="49" borderId="31" applyNumberFormat="0" applyBorder="0">
      <alignment horizontal="center"/>
    </xf>
    <xf numFmtId="196" fontId="125" fillId="0" borderId="0" applyNumberFormat="0" applyFont="0" applyFill="0" applyBorder="0" applyAlignment="0">
      <alignment horizontal="centerContinuous"/>
    </xf>
    <xf numFmtId="0" fontId="126" fillId="7" borderId="0" applyNumberFormat="0" applyBorder="0" applyAlignment="0" applyProtection="0"/>
    <xf numFmtId="0" fontId="126" fillId="7" borderId="0" applyNumberFormat="0" applyBorder="0" applyAlignment="0" applyProtection="0"/>
    <xf numFmtId="0" fontId="126" fillId="53" borderId="0" applyNumberFormat="0" applyBorder="0" applyAlignment="0" applyProtection="0"/>
    <xf numFmtId="0" fontId="126" fillId="7" borderId="0" applyNumberFormat="0" applyBorder="0" applyAlignment="0" applyProtection="0"/>
    <xf numFmtId="0" fontId="126" fillId="7" borderId="0" applyNumberFormat="0" applyBorder="0" applyAlignment="0" applyProtection="0"/>
    <xf numFmtId="0" fontId="126" fillId="53" borderId="0" applyNumberFormat="0" applyBorder="0" applyAlignment="0" applyProtection="0"/>
    <xf numFmtId="0" fontId="126" fillId="7" borderId="0" applyNumberFormat="0" applyBorder="0" applyAlignment="0" applyProtection="0"/>
    <xf numFmtId="0" fontId="126" fillId="7" borderId="0" applyNumberFormat="0" applyBorder="0" applyAlignment="0" applyProtection="0"/>
    <xf numFmtId="0" fontId="126" fillId="7" borderId="0" applyNumberFormat="0" applyBorder="0" applyAlignment="0" applyProtection="0"/>
    <xf numFmtId="0" fontId="126" fillId="7" borderId="0" applyNumberFormat="0" applyBorder="0" applyAlignment="0" applyProtection="0"/>
    <xf numFmtId="0" fontId="126" fillId="7" borderId="0" applyNumberFormat="0" applyBorder="0" applyAlignment="0" applyProtection="0"/>
    <xf numFmtId="4" fontId="53" fillId="54" borderId="25"/>
    <xf numFmtId="38" fontId="82" fillId="55" borderId="0" applyNumberFormat="0" applyBorder="0" applyAlignment="0" applyProtection="0"/>
    <xf numFmtId="0" fontId="4" fillId="37" borderId="0" applyNumberFormat="0" applyFont="0" applyBorder="0" applyAlignment="0" applyProtection="0"/>
    <xf numFmtId="0" fontId="4" fillId="37" borderId="0" applyNumberFormat="0" applyFont="0" applyBorder="0" applyAlignment="0" applyProtection="0"/>
    <xf numFmtId="43" fontId="127" fillId="0" borderId="31"/>
    <xf numFmtId="277" fontId="128" fillId="0" borderId="0" applyFont="0" applyFill="0" applyBorder="0" applyAlignment="0" applyProtection="0"/>
    <xf numFmtId="170" fontId="129" fillId="0" borderId="0" applyNumberFormat="0" applyFill="0" applyProtection="0">
      <alignment horizontal="left"/>
    </xf>
    <xf numFmtId="170" fontId="130" fillId="0" borderId="18">
      <alignment horizontal="centerContinuous"/>
    </xf>
    <xf numFmtId="170" fontId="131" fillId="0" borderId="0">
      <alignment horizontal="centerContinuous"/>
    </xf>
    <xf numFmtId="231" fontId="132" fillId="0" borderId="0">
      <alignment horizontal="left"/>
    </xf>
    <xf numFmtId="170" fontId="133" fillId="0" borderId="0">
      <alignment horizontal="left"/>
    </xf>
    <xf numFmtId="37" fontId="134" fillId="55" borderId="32" applyFill="0">
      <alignment vertical="center"/>
    </xf>
    <xf numFmtId="0" fontId="135" fillId="0" borderId="32" applyNumberFormat="0" applyAlignment="0" applyProtection="0">
      <alignment horizontal="left" vertical="center"/>
    </xf>
    <xf numFmtId="0" fontId="135" fillId="0" borderId="3">
      <alignment horizontal="left" vertical="center"/>
    </xf>
    <xf numFmtId="0" fontId="135" fillId="0" borderId="3">
      <alignment horizontal="left" vertical="center"/>
    </xf>
    <xf numFmtId="0" fontId="135" fillId="0" borderId="3">
      <alignment horizontal="left" vertical="center"/>
    </xf>
    <xf numFmtId="0" fontId="135" fillId="0" borderId="3">
      <alignment horizontal="left" vertical="center"/>
    </xf>
    <xf numFmtId="170" fontId="134" fillId="0" borderId="16" applyNumberFormat="0" applyFill="0">
      <alignment horizontal="centerContinuous" vertical="top"/>
    </xf>
    <xf numFmtId="0" fontId="136" fillId="0" borderId="0" applyNumberFormat="0" applyBorder="0" applyProtection="0">
      <alignment horizontal="center"/>
    </xf>
    <xf numFmtId="0" fontId="137" fillId="0" borderId="33" applyNumberFormat="0" applyFill="0" applyAlignment="0" applyProtection="0"/>
    <xf numFmtId="0" fontId="137" fillId="0" borderId="33" applyNumberFormat="0" applyFill="0" applyAlignment="0" applyProtection="0"/>
    <xf numFmtId="0" fontId="137" fillId="0" borderId="33" applyNumberFormat="0" applyFill="0" applyAlignment="0" applyProtection="0"/>
    <xf numFmtId="0" fontId="137" fillId="0" borderId="33" applyNumberFormat="0" applyFill="0" applyAlignment="0" applyProtection="0"/>
    <xf numFmtId="0" fontId="137" fillId="0" borderId="33" applyNumberFormat="0" applyFill="0" applyAlignment="0" applyProtection="0"/>
    <xf numFmtId="0" fontId="137" fillId="0" borderId="33" applyNumberFormat="0" applyFill="0" applyAlignment="0" applyProtection="0"/>
    <xf numFmtId="0" fontId="137" fillId="0" borderId="33" applyNumberFormat="0" applyFill="0" applyAlignment="0" applyProtection="0"/>
    <xf numFmtId="0" fontId="137" fillId="0" borderId="33" applyNumberFormat="0" applyFill="0" applyAlignment="0" applyProtection="0"/>
    <xf numFmtId="0" fontId="137" fillId="0" borderId="33" applyNumberFormat="0" applyFill="0" applyAlignment="0" applyProtection="0"/>
    <xf numFmtId="0" fontId="137" fillId="0" borderId="33" applyNumberFormat="0" applyFill="0" applyAlignment="0" applyProtection="0"/>
    <xf numFmtId="0" fontId="137" fillId="0" borderId="33" applyNumberFormat="0" applyFill="0" applyAlignment="0" applyProtection="0"/>
    <xf numFmtId="170" fontId="138" fillId="0" borderId="0">
      <alignment horizontal="left"/>
    </xf>
    <xf numFmtId="170" fontId="139" fillId="0" borderId="14">
      <alignment horizontal="left" vertical="top"/>
    </xf>
    <xf numFmtId="0" fontId="140" fillId="0" borderId="34" applyNumberFormat="0" applyFill="0" applyAlignment="0" applyProtection="0"/>
    <xf numFmtId="0" fontId="140" fillId="0" borderId="34" applyNumberFormat="0" applyFill="0" applyAlignment="0" applyProtection="0"/>
    <xf numFmtId="0" fontId="140" fillId="0" borderId="34" applyNumberFormat="0" applyFill="0" applyAlignment="0" applyProtection="0"/>
    <xf numFmtId="0" fontId="140" fillId="0" borderId="34" applyNumberFormat="0" applyFill="0" applyAlignment="0" applyProtection="0"/>
    <xf numFmtId="0" fontId="140" fillId="0" borderId="34" applyNumberFormat="0" applyFill="0" applyAlignment="0" applyProtection="0"/>
    <xf numFmtId="0" fontId="140" fillId="0" borderId="34" applyNumberFormat="0" applyFill="0" applyAlignment="0" applyProtection="0"/>
    <xf numFmtId="0" fontId="140" fillId="0" borderId="34" applyNumberFormat="0" applyFill="0" applyAlignment="0" applyProtection="0"/>
    <xf numFmtId="0" fontId="140" fillId="0" borderId="34" applyNumberFormat="0" applyFill="0" applyAlignment="0" applyProtection="0"/>
    <xf numFmtId="0" fontId="140" fillId="0" borderId="34" applyNumberFormat="0" applyFill="0" applyAlignment="0" applyProtection="0"/>
    <xf numFmtId="0" fontId="140" fillId="0" borderId="34" applyNumberFormat="0" applyFill="0" applyAlignment="0" applyProtection="0"/>
    <xf numFmtId="0" fontId="140" fillId="0" borderId="34" applyNumberFormat="0" applyFill="0" applyAlignment="0" applyProtection="0"/>
    <xf numFmtId="170" fontId="141" fillId="0" borderId="0">
      <alignment horizontal="left"/>
    </xf>
    <xf numFmtId="170" fontId="142" fillId="0" borderId="14">
      <alignment horizontal="left" vertical="top"/>
    </xf>
    <xf numFmtId="0" fontId="143" fillId="0" borderId="35" applyNumberFormat="0" applyFill="0" applyAlignment="0" applyProtection="0"/>
    <xf numFmtId="0" fontId="143" fillId="0" borderId="35" applyNumberFormat="0" applyFill="0" applyAlignment="0" applyProtection="0"/>
    <xf numFmtId="0" fontId="143" fillId="0" borderId="35" applyNumberFormat="0" applyFill="0" applyAlignment="0" applyProtection="0"/>
    <xf numFmtId="0" fontId="143" fillId="0" borderId="35" applyNumberFormat="0" applyFill="0" applyAlignment="0" applyProtection="0"/>
    <xf numFmtId="0" fontId="143" fillId="0" borderId="35" applyNumberFormat="0" applyFill="0" applyAlignment="0" applyProtection="0"/>
    <xf numFmtId="0" fontId="143" fillId="0" borderId="35" applyNumberFormat="0" applyFill="0" applyAlignment="0" applyProtection="0"/>
    <xf numFmtId="0" fontId="143" fillId="0" borderId="35" applyNumberFormat="0" applyFill="0" applyAlignment="0" applyProtection="0"/>
    <xf numFmtId="0" fontId="143" fillId="0" borderId="35" applyNumberFormat="0" applyFill="0" applyAlignment="0" applyProtection="0"/>
    <xf numFmtId="0" fontId="143" fillId="0" borderId="35" applyNumberFormat="0" applyFill="0" applyAlignment="0" applyProtection="0"/>
    <xf numFmtId="0" fontId="143" fillId="0" borderId="35" applyNumberFormat="0" applyFill="0" applyAlignment="0" applyProtection="0"/>
    <xf numFmtId="0" fontId="143" fillId="0" borderId="35" applyNumberFormat="0" applyFill="0" applyAlignment="0" applyProtection="0"/>
    <xf numFmtId="170" fontId="144" fillId="0" borderId="0">
      <alignment horizontal="left"/>
    </xf>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5" fillId="0" borderId="0" applyProtection="0"/>
    <xf numFmtId="0" fontId="8" fillId="0" borderId="0"/>
    <xf numFmtId="250" fontId="4" fillId="0" borderId="0">
      <protection locked="0"/>
    </xf>
    <xf numFmtId="250" fontId="4" fillId="0" borderId="0">
      <protection locked="0"/>
    </xf>
    <xf numFmtId="250" fontId="4" fillId="0" borderId="0">
      <protection locked="0"/>
    </xf>
    <xf numFmtId="250" fontId="4" fillId="0" borderId="0">
      <protection locked="0"/>
    </xf>
    <xf numFmtId="250" fontId="4" fillId="0" borderId="0">
      <protection locked="0"/>
    </xf>
    <xf numFmtId="250" fontId="4" fillId="0" borderId="0">
      <protection locked="0"/>
    </xf>
    <xf numFmtId="0" fontId="135" fillId="0" borderId="0" applyProtection="0"/>
    <xf numFmtId="250" fontId="4" fillId="0" borderId="0">
      <protection locked="0"/>
    </xf>
    <xf numFmtId="250" fontId="4" fillId="0" borderId="0">
      <protection locked="0"/>
    </xf>
    <xf numFmtId="250" fontId="4" fillId="0" borderId="0">
      <protection locked="0"/>
    </xf>
    <xf numFmtId="250" fontId="4" fillId="0" borderId="0">
      <protection locked="0"/>
    </xf>
    <xf numFmtId="250" fontId="4" fillId="0" borderId="0">
      <protection locked="0"/>
    </xf>
    <xf numFmtId="248" fontId="19" fillId="0" borderId="32">
      <alignment horizontal="left" vertical="center"/>
    </xf>
    <xf numFmtId="248" fontId="19" fillId="0" borderId="32">
      <alignment horizontal="center" vertical="center"/>
    </xf>
    <xf numFmtId="170" fontId="146" fillId="0" borderId="16">
      <alignment horizontal="centerContinuous"/>
    </xf>
    <xf numFmtId="278" fontId="6" fillId="0" borderId="0" applyFont="0" applyFill="0" applyBorder="0" applyAlignment="0"/>
    <xf numFmtId="278" fontId="4" fillId="0" borderId="0" applyFont="0" applyFill="0" applyBorder="0" applyAlignment="0"/>
    <xf numFmtId="37" fontId="24" fillId="0" borderId="0">
      <alignment horizontal="right"/>
    </xf>
    <xf numFmtId="278" fontId="4" fillId="0" borderId="0" applyFont="0" applyFill="0" applyBorder="0" applyAlignment="0"/>
    <xf numFmtId="278" fontId="4" fillId="0" borderId="0" applyFont="0" applyFill="0" applyBorder="0" applyAlignment="0"/>
    <xf numFmtId="278" fontId="4" fillId="0" borderId="0" applyFont="0" applyFill="0" applyBorder="0" applyAlignment="0"/>
    <xf numFmtId="278" fontId="4" fillId="0" borderId="0" applyFont="0" applyFill="0" applyBorder="0" applyAlignment="0"/>
    <xf numFmtId="37" fontId="24" fillId="0" borderId="0" applyNumberFormat="0" applyFont="0" applyBorder="0">
      <alignment horizontal="left"/>
    </xf>
    <xf numFmtId="170" fontId="64" fillId="0" borderId="0" applyFont="0" applyAlignment="0">
      <alignment horizontal="centerContinuous"/>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273" fontId="149" fillId="0" borderId="0">
      <alignment horizontal="right"/>
    </xf>
    <xf numFmtId="170" fontId="15" fillId="0" borderId="1">
      <alignment horizontal="centerContinuous"/>
    </xf>
    <xf numFmtId="170" fontId="15" fillId="0" borderId="1">
      <alignment horizontal="centerContinuous"/>
    </xf>
    <xf numFmtId="3" fontId="150" fillId="0" borderId="0"/>
    <xf numFmtId="273" fontId="149" fillId="0" borderId="0">
      <alignment horizontal="right"/>
    </xf>
    <xf numFmtId="170" fontId="4" fillId="0" borderId="0"/>
    <xf numFmtId="170" fontId="4" fillId="0" borderId="0"/>
    <xf numFmtId="37" fontId="15" fillId="0" borderId="0">
      <protection locked="0"/>
    </xf>
    <xf numFmtId="273" fontId="151" fillId="0" borderId="0">
      <alignment horizontal="center"/>
    </xf>
    <xf numFmtId="268" fontId="4" fillId="0" borderId="0" applyProtection="0">
      <alignment horizontal="center"/>
    </xf>
    <xf numFmtId="279" fontId="4" fillId="0" borderId="0" applyProtection="0">
      <alignment horizontal="center"/>
    </xf>
    <xf numFmtId="279" fontId="4" fillId="0" borderId="0" applyProtection="0">
      <alignment horizontal="center"/>
    </xf>
    <xf numFmtId="279" fontId="4" fillId="0" borderId="0" applyProtection="0">
      <alignment horizontal="center"/>
    </xf>
    <xf numFmtId="279" fontId="4" fillId="0" borderId="0" applyProtection="0">
      <alignment horizontal="center"/>
    </xf>
    <xf numFmtId="279" fontId="4" fillId="0" borderId="0" applyProtection="0">
      <alignment horizontal="center"/>
    </xf>
    <xf numFmtId="268" fontId="4" fillId="0" borderId="0" applyProtection="0">
      <alignment horizontal="center"/>
    </xf>
    <xf numFmtId="170" fontId="6" fillId="0" borderId="0" applyFill="0" applyBorder="0"/>
    <xf numFmtId="10" fontId="82" fillId="49" borderId="1" applyNumberFormat="0" applyBorder="0" applyAlignment="0" applyProtection="0"/>
    <xf numFmtId="10" fontId="82" fillId="49" borderId="1" applyNumberFormat="0" applyBorder="0" applyAlignment="0" applyProtection="0"/>
    <xf numFmtId="0" fontId="152" fillId="10" borderId="19" applyNumberFormat="0" applyAlignment="0" applyProtection="0"/>
    <xf numFmtId="0" fontId="152" fillId="10" borderId="19" applyNumberFormat="0" applyAlignment="0" applyProtection="0"/>
    <xf numFmtId="0" fontId="152" fillId="10" borderId="19" applyNumberFormat="0" applyAlignment="0" applyProtection="0"/>
    <xf numFmtId="0" fontId="152" fillId="10" borderId="19" applyNumberFormat="0" applyAlignment="0" applyProtection="0"/>
    <xf numFmtId="0" fontId="152" fillId="56" borderId="19" applyNumberFormat="0" applyAlignment="0" applyProtection="0"/>
    <xf numFmtId="0" fontId="152" fillId="10" borderId="19" applyNumberFormat="0" applyAlignment="0" applyProtection="0"/>
    <xf numFmtId="0" fontId="152" fillId="10" borderId="19" applyNumberFormat="0" applyAlignment="0" applyProtection="0"/>
    <xf numFmtId="0" fontId="152" fillId="10" borderId="19" applyNumberFormat="0" applyAlignment="0" applyProtection="0"/>
    <xf numFmtId="0" fontId="152" fillId="10" borderId="19" applyNumberFormat="0" applyAlignment="0" applyProtection="0"/>
    <xf numFmtId="0" fontId="152" fillId="56" borderId="19" applyNumberFormat="0" applyAlignment="0" applyProtection="0"/>
    <xf numFmtId="0" fontId="152" fillId="10" borderId="19" applyNumberFormat="0" applyAlignment="0" applyProtection="0"/>
    <xf numFmtId="0" fontId="152" fillId="10" borderId="19" applyNumberFormat="0" applyAlignment="0" applyProtection="0"/>
    <xf numFmtId="0" fontId="152" fillId="10" borderId="19" applyNumberFormat="0" applyAlignment="0" applyProtection="0"/>
    <xf numFmtId="0" fontId="152" fillId="10" borderId="19" applyNumberFormat="0" applyAlignment="0" applyProtection="0"/>
    <xf numFmtId="0" fontId="152" fillId="10" borderId="19" applyNumberFormat="0" applyAlignment="0" applyProtection="0"/>
    <xf numFmtId="0" fontId="152" fillId="10" borderId="19" applyNumberFormat="0" applyAlignment="0" applyProtection="0"/>
    <xf numFmtId="0" fontId="152" fillId="10" borderId="19" applyNumberFormat="0" applyAlignment="0" applyProtection="0"/>
    <xf numFmtId="246" fontId="82" fillId="0" borderId="0"/>
    <xf numFmtId="247" fontId="82" fillId="49" borderId="0" applyFont="0" applyBorder="0" applyAlignment="0" applyProtection="0">
      <protection locked="0"/>
    </xf>
    <xf numFmtId="271" fontId="82" fillId="49" borderId="0" applyFont="0" applyBorder="0" applyAlignment="0">
      <protection locked="0"/>
    </xf>
    <xf numFmtId="170" fontId="153" fillId="0" borderId="36"/>
    <xf numFmtId="9" fontId="154" fillId="0" borderId="36" applyFill="0" applyAlignment="0" applyProtection="0"/>
    <xf numFmtId="10" fontId="82" fillId="49" borderId="0">
      <protection locked="0"/>
    </xf>
    <xf numFmtId="246" fontId="82" fillId="0" borderId="0"/>
    <xf numFmtId="246" fontId="155" fillId="49" borderId="0" applyNumberFormat="0" applyBorder="0" applyAlignment="0">
      <protection locked="0"/>
    </xf>
    <xf numFmtId="170" fontId="156" fillId="0" borderId="36"/>
    <xf numFmtId="170" fontId="20" fillId="0" borderId="0" applyNumberFormat="0" applyFill="0" applyBorder="0" applyAlignment="0">
      <protection locked="0"/>
    </xf>
    <xf numFmtId="170" fontId="4" fillId="0" borderId="0"/>
    <xf numFmtId="170" fontId="4" fillId="0" borderId="0"/>
    <xf numFmtId="170" fontId="4" fillId="0" borderId="0"/>
    <xf numFmtId="170" fontId="4" fillId="0" borderId="0"/>
    <xf numFmtId="37" fontId="157" fillId="41" borderId="0">
      <protection locked="0"/>
    </xf>
    <xf numFmtId="231" fontId="98" fillId="0" borderId="0" applyFont="0">
      <alignment horizontal="left"/>
    </xf>
    <xf numFmtId="231" fontId="98" fillId="0" borderId="0" applyFont="0" applyFill="0" applyBorder="0">
      <alignment horizontal="left"/>
    </xf>
    <xf numFmtId="0" fontId="158" fillId="57" borderId="26"/>
    <xf numFmtId="0" fontId="158" fillId="57" borderId="26"/>
    <xf numFmtId="40" fontId="82" fillId="0" borderId="0" applyFont="0">
      <protection locked="0"/>
    </xf>
    <xf numFmtId="40" fontId="82" fillId="0" borderId="0" applyFont="0">
      <protection locked="0"/>
    </xf>
    <xf numFmtId="40" fontId="82" fillId="0" borderId="0" applyFont="0">
      <protection locked="0"/>
    </xf>
    <xf numFmtId="40" fontId="82" fillId="0" borderId="0" applyFont="0">
      <protection locked="0"/>
    </xf>
    <xf numFmtId="40" fontId="82" fillId="0" borderId="0" applyFont="0">
      <protection locked="0"/>
    </xf>
    <xf numFmtId="40" fontId="82" fillId="0" borderId="0" applyFont="0">
      <protection locked="0"/>
    </xf>
    <xf numFmtId="43" fontId="127" fillId="0" borderId="15"/>
    <xf numFmtId="43" fontId="127" fillId="0" borderId="15"/>
    <xf numFmtId="0" fontId="159" fillId="0" borderId="0"/>
    <xf numFmtId="0" fontId="160" fillId="0" borderId="12"/>
    <xf numFmtId="170" fontId="6" fillId="58" borderId="0" applyNumberFormat="0" applyFont="0" applyBorder="0" applyProtection="0"/>
    <xf numFmtId="218" fontId="4" fillId="0" borderId="0" applyFill="0" applyBorder="0" applyAlignment="0"/>
    <xf numFmtId="218" fontId="4" fillId="0" borderId="0" applyFill="0" applyBorder="0" applyAlignment="0"/>
    <xf numFmtId="218" fontId="4" fillId="0" borderId="0" applyFill="0" applyBorder="0" applyAlignment="0"/>
    <xf numFmtId="218" fontId="4" fillId="0" borderId="0" applyFill="0" applyBorder="0" applyAlignment="0"/>
    <xf numFmtId="195" fontId="71" fillId="0" borderId="0" applyFill="0" applyBorder="0" applyAlignment="0"/>
    <xf numFmtId="218" fontId="4" fillId="0" borderId="0" applyFill="0" applyBorder="0" applyAlignment="0"/>
    <xf numFmtId="218" fontId="4" fillId="0" borderId="0" applyFill="0" applyBorder="0" applyAlignment="0"/>
    <xf numFmtId="218" fontId="4" fillId="0" borderId="0" applyFill="0" applyBorder="0" applyAlignment="0"/>
    <xf numFmtId="218" fontId="4" fillId="0" borderId="0" applyFill="0" applyBorder="0" applyAlignment="0"/>
    <xf numFmtId="219" fontId="4" fillId="0" borderId="0" applyFill="0" applyBorder="0" applyAlignment="0"/>
    <xf numFmtId="219" fontId="4" fillId="0" borderId="0" applyFill="0" applyBorder="0" applyAlignment="0"/>
    <xf numFmtId="219" fontId="4" fillId="0" borderId="0" applyFill="0" applyBorder="0" applyAlignment="0"/>
    <xf numFmtId="219" fontId="4" fillId="0" borderId="0" applyFill="0" applyBorder="0" applyAlignment="0"/>
    <xf numFmtId="195" fontId="71" fillId="0" borderId="0" applyFill="0" applyBorder="0" applyAlignment="0"/>
    <xf numFmtId="0" fontId="161" fillId="0" borderId="37" applyNumberFormat="0" applyFill="0" applyAlignment="0" applyProtection="0"/>
    <xf numFmtId="0" fontId="161" fillId="0" borderId="37" applyNumberFormat="0" applyFill="0" applyAlignment="0" applyProtection="0"/>
    <xf numFmtId="0" fontId="161" fillId="0" borderId="37" applyNumberFormat="0" applyFill="0" applyAlignment="0" applyProtection="0"/>
    <xf numFmtId="0" fontId="161" fillId="0" borderId="37" applyNumberFormat="0" applyFill="0" applyAlignment="0" applyProtection="0"/>
    <xf numFmtId="0" fontId="161" fillId="0" borderId="37" applyNumberFormat="0" applyFill="0" applyAlignment="0" applyProtection="0"/>
    <xf numFmtId="0" fontId="161" fillId="0" borderId="37" applyNumberFormat="0" applyFill="0" applyAlignment="0" applyProtection="0"/>
    <xf numFmtId="0" fontId="161" fillId="0" borderId="37" applyNumberFormat="0" applyFill="0" applyAlignment="0" applyProtection="0"/>
    <xf numFmtId="0" fontId="161" fillId="0" borderId="37" applyNumberFormat="0" applyFill="0" applyAlignment="0" applyProtection="0"/>
    <xf numFmtId="0" fontId="161" fillId="0" borderId="37" applyNumberFormat="0" applyFill="0" applyAlignment="0" applyProtection="0"/>
    <xf numFmtId="0" fontId="161" fillId="0" borderId="37" applyNumberFormat="0" applyFill="0" applyAlignment="0" applyProtection="0"/>
    <xf numFmtId="0" fontId="161" fillId="0" borderId="37" applyNumberFormat="0" applyFill="0" applyAlignment="0" applyProtection="0"/>
    <xf numFmtId="231" fontId="98" fillId="0" borderId="0" applyFont="0" applyFill="0" applyBorder="0">
      <alignment horizontal="left"/>
    </xf>
    <xf numFmtId="14" fontId="81" fillId="0" borderId="7" applyFont="0" applyFill="0" applyBorder="0" applyAlignment="0" applyProtection="0"/>
    <xf numFmtId="280" fontId="16" fillId="0" borderId="0">
      <alignment horizontal="right"/>
    </xf>
    <xf numFmtId="280" fontId="16" fillId="0" borderId="0">
      <alignment horizontal="right"/>
    </xf>
    <xf numFmtId="231" fontId="98" fillId="0" borderId="0" applyFont="0" applyFill="0" applyBorder="0">
      <alignment horizontal="left"/>
    </xf>
    <xf numFmtId="170" fontId="162" fillId="0" borderId="13">
      <alignment horizontal="left"/>
      <protection locked="0"/>
    </xf>
    <xf numFmtId="226" fontId="127" fillId="0" borderId="0">
      <alignment horizontal="left" vertical="top"/>
      <protection locked="0"/>
    </xf>
    <xf numFmtId="44" fontId="127" fillId="0" borderId="38"/>
    <xf numFmtId="190" fontId="99" fillId="0" borderId="0"/>
    <xf numFmtId="226" fontId="82" fillId="0" borderId="0" applyFont="0"/>
    <xf numFmtId="226" fontId="82" fillId="0" borderId="0" applyFont="0"/>
    <xf numFmtId="226" fontId="82" fillId="0" borderId="0" applyFont="0"/>
    <xf numFmtId="226" fontId="82" fillId="0" borderId="0" applyFont="0"/>
    <xf numFmtId="226" fontId="82" fillId="0" borderId="0" applyFont="0"/>
    <xf numFmtId="226" fontId="82" fillId="0" borderId="0" applyFont="0"/>
    <xf numFmtId="43" fontId="6" fillId="0" borderId="3" applyNumberFormat="0">
      <alignment horizontal="right" vertical="center"/>
    </xf>
    <xf numFmtId="43" fontId="6" fillId="0" borderId="3" applyNumberFormat="0">
      <alignment horizontal="right" vertical="center"/>
    </xf>
    <xf numFmtId="41" fontId="4" fillId="0" borderId="0" applyFont="0" applyFill="0" applyBorder="0" applyAlignment="0" applyProtection="0"/>
    <xf numFmtId="4" fontId="22" fillId="0" borderId="0" applyFont="0" applyFill="0" applyBorder="0" applyAlignment="0" applyProtection="0"/>
    <xf numFmtId="170" fontId="163" fillId="0" borderId="0" applyBorder="0"/>
    <xf numFmtId="281" fontId="6" fillId="0" borderId="0"/>
    <xf numFmtId="170" fontId="4" fillId="0" borderId="0" applyFont="0" applyFill="0" applyBorder="0" applyAlignment="0" applyProtection="0"/>
    <xf numFmtId="170" fontId="4" fillId="0" borderId="0" applyFont="0" applyFill="0" applyBorder="0" applyAlignment="0" applyProtection="0"/>
    <xf numFmtId="38" fontId="68" fillId="0" borderId="0" applyFont="0" applyFill="0" applyBorder="0" applyAlignment="0" applyProtection="0"/>
    <xf numFmtId="40" fontId="68" fillId="0" borderId="0" applyFont="0" applyFill="0" applyBorder="0" applyAlignment="0" applyProtection="0"/>
    <xf numFmtId="231" fontId="98" fillId="0" borderId="0" applyFont="0" applyFill="0" applyBorder="0">
      <alignment horizontal="left"/>
    </xf>
    <xf numFmtId="0" fontId="164" fillId="0" borderId="16"/>
    <xf numFmtId="170" fontId="4" fillId="0" borderId="0" applyFont="0" applyFill="0" applyBorder="0" applyAlignment="0" applyProtection="0"/>
    <xf numFmtId="170" fontId="4" fillId="0" borderId="0" applyFont="0" applyFill="0" applyBorder="0" applyAlignment="0" applyProtection="0"/>
    <xf numFmtId="6" fontId="68" fillId="0" borderId="0" applyFont="0" applyFill="0" applyBorder="0" applyAlignment="0" applyProtection="0"/>
    <xf numFmtId="8" fontId="68" fillId="0" borderId="0" applyFont="0" applyFill="0" applyBorder="0" applyAlignment="0" applyProtection="0"/>
    <xf numFmtId="282" fontId="80" fillId="0" borderId="0" applyFont="0" applyFill="0" applyBorder="0" applyProtection="0">
      <alignment horizontal="right"/>
    </xf>
    <xf numFmtId="231" fontId="98" fillId="0" borderId="0" applyFont="0">
      <alignment horizontal="left"/>
    </xf>
    <xf numFmtId="43" fontId="16" fillId="0" borderId="0"/>
    <xf numFmtId="283" fontId="82" fillId="55" borderId="0" applyFont="0" applyBorder="0" applyAlignment="0" applyProtection="0">
      <alignment horizontal="right"/>
      <protection hidden="1"/>
    </xf>
    <xf numFmtId="0" fontId="165" fillId="4" borderId="0" applyNumberFormat="0" applyBorder="0" applyAlignment="0" applyProtection="0"/>
    <xf numFmtId="0" fontId="165" fillId="4" borderId="0" applyNumberFormat="0" applyBorder="0" applyAlignment="0" applyProtection="0"/>
    <xf numFmtId="0" fontId="165" fillId="59" borderId="0" applyNumberFormat="0" applyBorder="0" applyAlignment="0" applyProtection="0"/>
    <xf numFmtId="0" fontId="165" fillId="4" borderId="0" applyNumberFormat="0" applyBorder="0" applyAlignment="0" applyProtection="0"/>
    <xf numFmtId="0" fontId="165" fillId="4" borderId="0" applyNumberFormat="0" applyBorder="0" applyAlignment="0" applyProtection="0"/>
    <xf numFmtId="0" fontId="165" fillId="59" borderId="0" applyNumberFormat="0" applyBorder="0" applyAlignment="0" applyProtection="0"/>
    <xf numFmtId="0" fontId="165" fillId="4" borderId="0" applyNumberFormat="0" applyBorder="0" applyAlignment="0" applyProtection="0"/>
    <xf numFmtId="0" fontId="165" fillId="4" borderId="0" applyNumberFormat="0" applyBorder="0" applyAlignment="0" applyProtection="0"/>
    <xf numFmtId="0" fontId="165" fillId="4" borderId="0" applyNumberFormat="0" applyBorder="0" applyAlignment="0" applyProtection="0"/>
    <xf numFmtId="0" fontId="165" fillId="4" borderId="0" applyNumberFormat="0" applyBorder="0" applyAlignment="0" applyProtection="0"/>
    <xf numFmtId="0" fontId="165" fillId="4" borderId="0" applyNumberFormat="0" applyBorder="0" applyAlignment="0" applyProtection="0"/>
    <xf numFmtId="284" fontId="80" fillId="0" borderId="0"/>
    <xf numFmtId="2" fontId="73" fillId="0" borderId="0" applyNumberFormat="0" applyFont="0" applyAlignment="0"/>
    <xf numFmtId="37" fontId="166" fillId="0" borderId="0"/>
    <xf numFmtId="37" fontId="166" fillId="0" borderId="0"/>
    <xf numFmtId="37" fontId="166" fillId="0" borderId="0"/>
    <xf numFmtId="37" fontId="166" fillId="0" borderId="0"/>
    <xf numFmtId="37" fontId="166" fillId="0" borderId="0"/>
    <xf numFmtId="37" fontId="166" fillId="0" borderId="0"/>
    <xf numFmtId="37" fontId="166" fillId="0" borderId="0"/>
    <xf numFmtId="0" fontId="72" fillId="0" borderId="0"/>
    <xf numFmtId="170" fontId="167" fillId="55" borderId="0">
      <alignment horizontal="left" wrapText="1" indent="1"/>
    </xf>
    <xf numFmtId="0" fontId="4" fillId="0" borderId="0"/>
    <xf numFmtId="0" fontId="4" fillId="0" borderId="0"/>
    <xf numFmtId="285" fontId="82" fillId="0" borderId="0" applyFont="0" applyFill="0" applyBorder="0" applyAlignment="0" applyProtection="0">
      <alignment horizontal="right"/>
    </xf>
    <xf numFmtId="286" fontId="168" fillId="0" borderId="0"/>
    <xf numFmtId="37" fontId="96" fillId="41" borderId="0" applyFont="0" applyFill="0" applyBorder="0" applyAlignment="0" applyProtection="0"/>
    <xf numFmtId="246" fontId="4" fillId="0" borderId="0" applyFont="0" applyFill="0" applyBorder="0" applyAlignment="0"/>
    <xf numFmtId="246" fontId="4" fillId="0" borderId="0" applyFont="0" applyFill="0" applyBorder="0" applyAlignment="0"/>
    <xf numFmtId="40" fontId="82" fillId="0" borderId="0" applyFont="0" applyFill="0" applyBorder="0" applyAlignment="0"/>
    <xf numFmtId="287" fontId="82" fillId="0" borderId="0" applyFont="0" applyFill="0" applyBorder="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170" fontId="8"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190" fontId="8" fillId="0" borderId="0"/>
    <xf numFmtId="170" fontId="8" fillId="0" borderId="0"/>
    <xf numFmtId="170" fontId="8" fillId="0" borderId="0"/>
    <xf numFmtId="170" fontId="8" fillId="0" borderId="0"/>
    <xf numFmtId="190" fontId="8" fillId="0" borderId="0"/>
    <xf numFmtId="190" fontId="8" fillId="0" borderId="0"/>
    <xf numFmtId="190" fontId="8" fillId="0" borderId="0"/>
    <xf numFmtId="190" fontId="8" fillId="0" borderId="0"/>
    <xf numFmtId="190" fontId="8" fillId="0" borderId="0"/>
    <xf numFmtId="170" fontId="8" fillId="0" borderId="0"/>
    <xf numFmtId="170" fontId="8" fillId="0" borderId="0"/>
    <xf numFmtId="170" fontId="8" fillId="0" borderId="0"/>
    <xf numFmtId="190" fontId="8" fillId="0" borderId="0"/>
    <xf numFmtId="190" fontId="8" fillId="0" borderId="0"/>
    <xf numFmtId="44" fontId="8" fillId="0" borderId="0"/>
    <xf numFmtId="0" fontId="4" fillId="0" borderId="0"/>
    <xf numFmtId="0" fontId="4" fillId="0" borderId="0"/>
    <xf numFmtId="44" fontId="8" fillId="0" borderId="0"/>
    <xf numFmtId="0" fontId="2" fillId="0" borderId="0"/>
    <xf numFmtId="0" fontId="4" fillId="0" borderId="0"/>
    <xf numFmtId="0" fontId="2" fillId="0" borderId="0"/>
    <xf numFmtId="0" fontId="2" fillId="0" borderId="0"/>
    <xf numFmtId="0" fontId="2" fillId="0" borderId="0"/>
    <xf numFmtId="0" fontId="2" fillId="0" borderId="0"/>
    <xf numFmtId="0" fontId="16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0" fillId="0" borderId="0"/>
    <xf numFmtId="0" fontId="170" fillId="0" borderId="0"/>
    <xf numFmtId="0" fontId="170" fillId="0" borderId="0"/>
    <xf numFmtId="0" fontId="17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170" fillId="0" borderId="0"/>
    <xf numFmtId="0" fontId="170" fillId="0" borderId="0"/>
    <xf numFmtId="0" fontId="170" fillId="0" borderId="0"/>
    <xf numFmtId="0" fontId="170"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170" fillId="0" borderId="0"/>
    <xf numFmtId="0" fontId="2"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4" fillId="0" borderId="0"/>
    <xf numFmtId="0" fontId="2" fillId="0" borderId="0"/>
    <xf numFmtId="0" fontId="2" fillId="0" borderId="0"/>
    <xf numFmtId="0" fontId="170" fillId="0" borderId="0"/>
    <xf numFmtId="0" fontId="4" fillId="0" borderId="0"/>
    <xf numFmtId="0" fontId="4" fillId="0" borderId="0"/>
    <xf numFmtId="0" fontId="4" fillId="0" borderId="0">
      <alignment vertical="top"/>
    </xf>
    <xf numFmtId="0" fontId="8" fillId="0" borderId="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171" fillId="0" borderId="0">
      <alignment vertical="top"/>
    </xf>
    <xf numFmtId="0" fontId="4" fillId="0" borderId="0"/>
    <xf numFmtId="0" fontId="4" fillId="0" borderId="0"/>
    <xf numFmtId="0" fontId="4" fillId="0" borderId="0"/>
    <xf numFmtId="0" fontId="4" fillId="0" borderId="0"/>
    <xf numFmtId="260" fontId="113" fillId="0" borderId="0"/>
    <xf numFmtId="260" fontId="113" fillId="0" borderId="0"/>
    <xf numFmtId="0" fontId="172" fillId="0" borderId="0"/>
    <xf numFmtId="0" fontId="173" fillId="0" borderId="0"/>
    <xf numFmtId="0" fontId="174"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5" fillId="0" borderId="0"/>
    <xf numFmtId="0" fontId="4" fillId="0" borderId="0"/>
    <xf numFmtId="0" fontId="4" fillId="0" borderId="0"/>
    <xf numFmtId="0" fontId="2" fillId="0" borderId="0"/>
    <xf numFmtId="0" fontId="2" fillId="0" borderId="0"/>
    <xf numFmtId="0" fontId="2" fillId="0" borderId="0"/>
    <xf numFmtId="0" fontId="8"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169" fontId="176" fillId="0" borderId="0"/>
    <xf numFmtId="0" fontId="4"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2" fillId="0" borderId="0"/>
    <xf numFmtId="0" fontId="2" fillId="0" borderId="0"/>
    <xf numFmtId="0" fontId="2" fillId="0" borderId="0"/>
    <xf numFmtId="0" fontId="4" fillId="0" borderId="0"/>
    <xf numFmtId="0" fontId="8"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1" fillId="0" borderId="0">
      <alignment vertical="top"/>
    </xf>
    <xf numFmtId="170" fontId="8" fillId="0" borderId="0"/>
    <xf numFmtId="170" fontId="8" fillId="0" borderId="0"/>
    <xf numFmtId="170" fontId="8" fillId="0" borderId="0"/>
    <xf numFmtId="0" fontId="4" fillId="0" borderId="0"/>
    <xf numFmtId="0" fontId="4" fillId="0" borderId="0"/>
    <xf numFmtId="0" fontId="4" fillId="0" borderId="0"/>
    <xf numFmtId="0" fontId="4" fillId="0" borderId="0"/>
    <xf numFmtId="0" fontId="4" fillId="0" borderId="0"/>
    <xf numFmtId="0" fontId="113" fillId="0" borderId="0">
      <alignment wrapText="1"/>
    </xf>
    <xf numFmtId="0" fontId="87" fillId="0" borderId="0"/>
    <xf numFmtId="0" fontId="2" fillId="0" borderId="0"/>
    <xf numFmtId="0" fontId="2" fillId="0" borderId="0"/>
    <xf numFmtId="0" fontId="4" fillId="0" borderId="0"/>
    <xf numFmtId="0" fontId="177"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4" fillId="0" borderId="0"/>
    <xf numFmtId="0" fontId="4" fillId="0" borderId="0"/>
    <xf numFmtId="0" fontId="4" fillId="0" borderId="0"/>
    <xf numFmtId="0" fontId="4" fillId="0" borderId="0"/>
    <xf numFmtId="0" fontId="8" fillId="0" borderId="0"/>
    <xf numFmtId="0" fontId="4" fillId="0" borderId="0">
      <alignment horizontal="center" vertical="center"/>
    </xf>
    <xf numFmtId="0" fontId="4" fillId="0" borderId="0">
      <alignment horizontal="center" vertical="center"/>
    </xf>
    <xf numFmtId="246" fontId="81" fillId="0" borderId="0" applyNumberFormat="0" applyFill="0" applyBorder="0" applyAlignment="0" applyProtection="0"/>
    <xf numFmtId="288" fontId="82" fillId="0" borderId="0" applyFont="0" applyFill="0" applyBorder="0" applyAlignment="0" applyProtection="0"/>
    <xf numFmtId="197" fontId="128" fillId="0" borderId="0" applyFont="0" applyFill="0" applyBorder="0" applyAlignment="0" applyProtection="0"/>
    <xf numFmtId="289" fontId="4" fillId="0" borderId="12" applyFont="0" applyFill="0" applyBorder="0" applyAlignment="0" applyProtection="0">
      <protection locked="0"/>
    </xf>
    <xf numFmtId="289" fontId="4" fillId="0" borderId="12" applyFont="0" applyFill="0" applyBorder="0" applyAlignment="0" applyProtection="0">
      <protection locked="0"/>
    </xf>
    <xf numFmtId="0" fontId="4" fillId="0" borderId="0"/>
    <xf numFmtId="180" fontId="20" fillId="0" borderId="0" applyFill="0">
      <alignment vertical="center"/>
    </xf>
    <xf numFmtId="180" fontId="4" fillId="0" borderId="0" applyFont="0" applyFill="0" applyBorder="0" applyAlignment="0" applyProtection="0"/>
    <xf numFmtId="180" fontId="4" fillId="0" borderId="0" applyFont="0" applyFill="0" applyBorder="0" applyAlignment="0" applyProtection="0"/>
    <xf numFmtId="180" fontId="4" fillId="0" borderId="0"/>
    <xf numFmtId="180" fontId="4" fillId="0" borderId="0"/>
    <xf numFmtId="289" fontId="178" fillId="60" borderId="39" applyProtection="0">
      <alignment horizontal="right" vertical="center"/>
      <protection locked="0"/>
    </xf>
    <xf numFmtId="180" fontId="4" fillId="0" borderId="0"/>
    <xf numFmtId="180" fontId="4" fillId="0" borderId="0"/>
    <xf numFmtId="43" fontId="20" fillId="0" borderId="0">
      <protection locked="0"/>
    </xf>
    <xf numFmtId="170" fontId="49" fillId="0" borderId="0"/>
    <xf numFmtId="246" fontId="82" fillId="0" borderId="0"/>
    <xf numFmtId="170" fontId="4" fillId="0" borderId="12" applyFont="0" applyFill="0" applyBorder="0" applyAlignment="0" applyProtection="0">
      <protection locked="0"/>
    </xf>
    <xf numFmtId="170" fontId="4" fillId="0" borderId="12" applyFont="0" applyFill="0" applyBorder="0" applyAlignment="0" applyProtection="0">
      <protection locked="0"/>
    </xf>
    <xf numFmtId="170" fontId="179" fillId="0" borderId="0"/>
    <xf numFmtId="290" fontId="82" fillId="0" borderId="0" applyFont="0" applyFill="0" applyBorder="0" applyAlignment="0" applyProtection="0"/>
    <xf numFmtId="291" fontId="82" fillId="0" borderId="0" applyFont="0" applyFill="0" applyBorder="0" applyAlignment="0" applyProtection="0"/>
    <xf numFmtId="0" fontId="8" fillId="61" borderId="40" applyNumberFormat="0" applyFont="0" applyAlignment="0" applyProtection="0"/>
    <xf numFmtId="0" fontId="4" fillId="61" borderId="40" applyNumberFormat="0" applyFont="0" applyAlignment="0" applyProtection="0"/>
    <xf numFmtId="0" fontId="4" fillId="61" borderId="40" applyNumberFormat="0" applyFont="0" applyAlignment="0" applyProtection="0"/>
    <xf numFmtId="0" fontId="8" fillId="61" borderId="40" applyNumberFormat="0" applyFont="0" applyAlignment="0" applyProtection="0"/>
    <xf numFmtId="0" fontId="4" fillId="62" borderId="40" applyNumberFormat="0" applyAlignment="0" applyProtection="0"/>
    <xf numFmtId="0" fontId="8" fillId="61" borderId="40" applyNumberFormat="0" applyFont="0" applyAlignment="0" applyProtection="0"/>
    <xf numFmtId="0" fontId="4" fillId="61" borderId="40" applyNumberFormat="0" applyFont="0" applyAlignment="0" applyProtection="0"/>
    <xf numFmtId="0" fontId="4" fillId="61" borderId="40" applyNumberFormat="0" applyFont="0" applyAlignment="0" applyProtection="0"/>
    <xf numFmtId="0" fontId="8" fillId="61" borderId="40" applyNumberFormat="0" applyFont="0" applyAlignment="0" applyProtection="0"/>
    <xf numFmtId="0" fontId="4" fillId="62" borderId="40" applyNumberFormat="0" applyAlignment="0" applyProtection="0"/>
    <xf numFmtId="0" fontId="8" fillId="61" borderId="40" applyNumberFormat="0" applyFont="0" applyAlignment="0" applyProtection="0"/>
    <xf numFmtId="0" fontId="8" fillId="61" borderId="40" applyNumberFormat="0" applyFont="0" applyAlignment="0" applyProtection="0"/>
    <xf numFmtId="0" fontId="8" fillId="61" borderId="40" applyNumberFormat="0" applyFont="0" applyAlignment="0" applyProtection="0"/>
    <xf numFmtId="0" fontId="8" fillId="61" borderId="40" applyNumberFormat="0" applyFont="0" applyAlignment="0" applyProtection="0"/>
    <xf numFmtId="0" fontId="4" fillId="61" borderId="40" applyNumberFormat="0" applyFont="0" applyAlignment="0" applyProtection="0"/>
    <xf numFmtId="0" fontId="4" fillId="61" borderId="40" applyNumberFormat="0" applyFont="0" applyAlignment="0" applyProtection="0"/>
    <xf numFmtId="0" fontId="4" fillId="61" borderId="40" applyNumberFormat="0" applyFont="0" applyAlignment="0" applyProtection="0"/>
    <xf numFmtId="292" fontId="82" fillId="0" borderId="0" applyFont="0" applyFill="0" applyBorder="0" applyAlignment="0" applyProtection="0"/>
    <xf numFmtId="272" fontId="82" fillId="0" borderId="0" applyFont="0">
      <protection locked="0"/>
    </xf>
    <xf numFmtId="272" fontId="82" fillId="0" borderId="0" applyFont="0">
      <protection locked="0"/>
    </xf>
    <xf numFmtId="272" fontId="82" fillId="0" borderId="0" applyFont="0">
      <protection locked="0"/>
    </xf>
    <xf numFmtId="272" fontId="82" fillId="0" borderId="0" applyFont="0">
      <protection locked="0"/>
    </xf>
    <xf numFmtId="272" fontId="82" fillId="0" borderId="0" applyFont="0">
      <protection locked="0"/>
    </xf>
    <xf numFmtId="272" fontId="82" fillId="0" borderId="0" applyFont="0">
      <protection locked="0"/>
    </xf>
    <xf numFmtId="293" fontId="82" fillId="0" borderId="0" applyFont="0" applyFill="0" applyBorder="0" applyAlignment="0" applyProtection="0"/>
    <xf numFmtId="3" fontId="4" fillId="0" borderId="0"/>
    <xf numFmtId="3" fontId="4" fillId="0" borderId="0"/>
    <xf numFmtId="3" fontId="4" fillId="0" borderId="0"/>
    <xf numFmtId="3" fontId="4" fillId="0" borderId="0"/>
    <xf numFmtId="3" fontId="4" fillId="0" borderId="0"/>
    <xf numFmtId="3" fontId="4" fillId="0" borderId="0"/>
    <xf numFmtId="273" fontId="51" fillId="0" borderId="0"/>
    <xf numFmtId="273" fontId="51" fillId="0" borderId="0"/>
    <xf numFmtId="273" fontId="51" fillId="0" borderId="0"/>
    <xf numFmtId="273" fontId="51" fillId="0" borderId="0"/>
    <xf numFmtId="273" fontId="51" fillId="0" borderId="0"/>
    <xf numFmtId="273" fontId="51"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43" fontId="113" fillId="0" borderId="0" applyFont="0" applyFill="0" applyBorder="0" applyAlignment="0" applyProtection="0"/>
    <xf numFmtId="273" fontId="180" fillId="0" borderId="0">
      <alignment horizontal="center"/>
    </xf>
    <xf numFmtId="197" fontId="181" fillId="0" borderId="0">
      <alignment horizontal="right"/>
    </xf>
    <xf numFmtId="0" fontId="182" fillId="37" borderId="41" applyNumberFormat="0" applyAlignment="0" applyProtection="0"/>
    <xf numFmtId="0" fontId="182" fillId="37" borderId="41" applyNumberFormat="0" applyAlignment="0" applyProtection="0"/>
    <xf numFmtId="0" fontId="182" fillId="37" borderId="41" applyNumberFormat="0" applyAlignment="0" applyProtection="0"/>
    <xf numFmtId="0" fontId="182" fillId="37" borderId="41" applyNumberFormat="0" applyAlignment="0" applyProtection="0"/>
    <xf numFmtId="0" fontId="182" fillId="42" borderId="41" applyNumberFormat="0" applyAlignment="0" applyProtection="0"/>
    <xf numFmtId="0" fontId="182" fillId="37" borderId="41" applyNumberFormat="0" applyAlignment="0" applyProtection="0"/>
    <xf numFmtId="0" fontId="182" fillId="37" borderId="41" applyNumberFormat="0" applyAlignment="0" applyProtection="0"/>
    <xf numFmtId="0" fontId="182" fillId="37" borderId="41" applyNumberFormat="0" applyAlignment="0" applyProtection="0"/>
    <xf numFmtId="0" fontId="182" fillId="37" borderId="41" applyNumberFormat="0" applyAlignment="0" applyProtection="0"/>
    <xf numFmtId="0" fontId="182" fillId="42" borderId="41" applyNumberFormat="0" applyAlignment="0" applyProtection="0"/>
    <xf numFmtId="0" fontId="182" fillId="37" borderId="41" applyNumberFormat="0" applyAlignment="0" applyProtection="0"/>
    <xf numFmtId="0" fontId="182" fillId="37" borderId="41" applyNumberFormat="0" applyAlignment="0" applyProtection="0"/>
    <xf numFmtId="0" fontId="182" fillId="37" borderId="41" applyNumberFormat="0" applyAlignment="0" applyProtection="0"/>
    <xf numFmtId="0" fontId="182" fillId="37" borderId="41" applyNumberFormat="0" applyAlignment="0" applyProtection="0"/>
    <xf numFmtId="0" fontId="182" fillId="37" borderId="41" applyNumberFormat="0" applyAlignment="0" applyProtection="0"/>
    <xf numFmtId="0" fontId="182" fillId="37" borderId="41" applyNumberFormat="0" applyAlignment="0" applyProtection="0"/>
    <xf numFmtId="0" fontId="182" fillId="37" borderId="41" applyNumberFormat="0" applyAlignment="0" applyProtection="0"/>
    <xf numFmtId="190" fontId="183" fillId="0" borderId="0" applyProtection="0">
      <alignment horizontal="right"/>
    </xf>
    <xf numFmtId="170" fontId="138" fillId="0" borderId="0" applyNumberFormat="0" applyFill="0" applyBorder="0" applyProtection="0">
      <alignment horizontal="left"/>
    </xf>
    <xf numFmtId="0" fontId="51" fillId="2" borderId="0"/>
    <xf numFmtId="180" fontId="4" fillId="63" borderId="0" applyNumberFormat="0" applyFont="0" applyBorder="0" applyAlignment="0" applyProtection="0"/>
    <xf numFmtId="180" fontId="4" fillId="63" borderId="0" applyNumberFormat="0" applyFont="0" applyBorder="0" applyAlignment="0" applyProtection="0"/>
    <xf numFmtId="190" fontId="99" fillId="0" borderId="0">
      <alignment horizontal="right"/>
    </xf>
    <xf numFmtId="217" fontId="72"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294" fontId="6" fillId="0" borderId="0" applyFont="0" applyFill="0" applyBorder="0" applyAlignment="0" applyProtection="0"/>
    <xf numFmtId="295" fontId="184" fillId="0" borderId="0" applyFill="0" applyBorder="0" applyAlignment="0" applyProtection="0"/>
    <xf numFmtId="296" fontId="82" fillId="0" borderId="0" applyFont="0" applyFill="0" applyBorder="0" applyAlignment="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297" fontId="4" fillId="0" borderId="0" applyFont="0" applyFill="0" applyBorder="0" applyProtection="0">
      <alignment vertical="top"/>
    </xf>
    <xf numFmtId="298" fontId="4" fillId="0" borderId="0" applyFont="0" applyFill="0" applyBorder="0" applyAlignment="0" applyProtection="0"/>
    <xf numFmtId="299" fontId="184" fillId="64"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298" fontId="4" fillId="0" borderId="0" applyFont="0" applyFill="0" applyBorder="0" applyAlignment="0" applyProtection="0"/>
    <xf numFmtId="300"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301" fontId="82" fillId="65" borderId="42"/>
    <xf numFmtId="301" fontId="82" fillId="65" borderId="42"/>
    <xf numFmtId="302" fontId="82" fillId="0" borderId="42" applyFont="0" applyFill="0" applyBorder="0" applyAlignment="0" applyProtection="0">
      <protection locked="0"/>
    </xf>
    <xf numFmtId="302" fontId="82" fillId="0" borderId="42" applyFont="0" applyFill="0" applyBorder="0" applyAlignment="0" applyProtection="0">
      <protection locked="0"/>
    </xf>
    <xf numFmtId="303" fontId="169" fillId="0" borderId="0" applyFont="0" applyFill="0" applyBorder="0" applyAlignment="0" applyProtection="0"/>
    <xf numFmtId="9" fontId="68" fillId="0" borderId="31" applyNumberFormat="0" applyBorder="0"/>
    <xf numFmtId="37" fontId="82" fillId="0" borderId="0"/>
    <xf numFmtId="304" fontId="82" fillId="0" borderId="0" applyFont="0" applyFill="0" applyBorder="0" applyAlignment="0" applyProtection="0"/>
    <xf numFmtId="180" fontId="135" fillId="66" borderId="43">
      <alignment horizontal="right" vertical="center"/>
    </xf>
    <xf numFmtId="190" fontId="183" fillId="0" borderId="0">
      <alignment horizontal="right"/>
    </xf>
    <xf numFmtId="284" fontId="128" fillId="0" borderId="0" applyFont="0" applyFill="0" applyBorder="0" applyAlignment="0" applyProtection="0"/>
    <xf numFmtId="2" fontId="6" fillId="0" borderId="0">
      <alignment horizontal="left" vertical="center"/>
    </xf>
    <xf numFmtId="0" fontId="185" fillId="0" borderId="0" applyFont="0"/>
    <xf numFmtId="305" fontId="4" fillId="0" borderId="0"/>
    <xf numFmtId="305" fontId="4" fillId="0" borderId="0"/>
    <xf numFmtId="190" fontId="183" fillId="0" borderId="0" applyFill="0" applyProtection="0">
      <alignment horizontal="right"/>
    </xf>
    <xf numFmtId="10" fontId="15" fillId="0" borderId="0"/>
    <xf numFmtId="9" fontId="15" fillId="0" borderId="0"/>
    <xf numFmtId="218" fontId="4" fillId="0" borderId="0" applyFill="0" applyBorder="0" applyAlignment="0"/>
    <xf numFmtId="218" fontId="4" fillId="0" borderId="0" applyFill="0" applyBorder="0" applyAlignment="0"/>
    <xf numFmtId="218" fontId="4" fillId="0" borderId="0" applyFill="0" applyBorder="0" applyAlignment="0"/>
    <xf numFmtId="218" fontId="4" fillId="0" borderId="0" applyFill="0" applyBorder="0" applyAlignment="0"/>
    <xf numFmtId="195" fontId="71" fillId="0" borderId="0" applyFill="0" applyBorder="0" applyAlignment="0"/>
    <xf numFmtId="218" fontId="4" fillId="0" borderId="0" applyFill="0" applyBorder="0" applyAlignment="0"/>
    <xf numFmtId="218" fontId="4" fillId="0" borderId="0" applyFill="0" applyBorder="0" applyAlignment="0"/>
    <xf numFmtId="218" fontId="4" fillId="0" borderId="0" applyFill="0" applyBorder="0" applyAlignment="0"/>
    <xf numFmtId="218" fontId="4" fillId="0" borderId="0" applyFill="0" applyBorder="0" applyAlignment="0"/>
    <xf numFmtId="219" fontId="4" fillId="0" borderId="0" applyFill="0" applyBorder="0" applyAlignment="0"/>
    <xf numFmtId="219" fontId="4" fillId="0" borderId="0" applyFill="0" applyBorder="0" applyAlignment="0"/>
    <xf numFmtId="219" fontId="4" fillId="0" borderId="0" applyFill="0" applyBorder="0" applyAlignment="0"/>
    <xf numFmtId="219" fontId="4" fillId="0" borderId="0" applyFill="0" applyBorder="0" applyAlignment="0"/>
    <xf numFmtId="195" fontId="71" fillId="0" borderId="0" applyFill="0" applyBorder="0" applyAlignment="0"/>
    <xf numFmtId="306" fontId="81" fillId="0" borderId="0" applyFill="0" applyBorder="0" applyProtection="0">
      <alignment horizontal="right"/>
    </xf>
    <xf numFmtId="170" fontId="13" fillId="0" borderId="0"/>
    <xf numFmtId="170" fontId="13" fillId="0" borderId="44">
      <alignment horizontal="right"/>
    </xf>
    <xf numFmtId="43" fontId="6" fillId="0" borderId="0">
      <alignment horizontal="right" vertical="center"/>
      <protection locked="0"/>
    </xf>
    <xf numFmtId="41" fontId="6" fillId="0" borderId="0">
      <alignment horizontal="right" vertical="center"/>
      <protection locked="0"/>
    </xf>
    <xf numFmtId="307" fontId="6" fillId="0" borderId="0">
      <alignment horizontal="center" vertical="center"/>
      <protection locked="0"/>
    </xf>
    <xf numFmtId="43" fontId="6" fillId="0" borderId="0">
      <alignment horizontal="right" vertical="center"/>
      <protection locked="0"/>
    </xf>
    <xf numFmtId="170" fontId="4" fillId="0" borderId="1" applyFont="0" applyFill="0" applyBorder="0" applyAlignment="0"/>
    <xf numFmtId="170" fontId="4" fillId="0" borderId="1" applyFont="0" applyFill="0" applyBorder="0" applyAlignment="0"/>
    <xf numFmtId="170" fontId="4" fillId="0" borderId="1" applyFont="0" applyFill="0" applyBorder="0" applyAlignment="0"/>
    <xf numFmtId="170" fontId="4" fillId="0" borderId="1" applyFont="0" applyFill="0" applyBorder="0" applyAlignment="0"/>
    <xf numFmtId="170" fontId="68" fillId="0" borderId="0" applyNumberFormat="0" applyFont="0" applyFill="0" applyBorder="0" applyAlignment="0" applyProtection="0">
      <alignment horizontal="left"/>
    </xf>
    <xf numFmtId="15" fontId="68" fillId="0" borderId="0" applyFont="0" applyFill="0" applyBorder="0" applyAlignment="0" applyProtection="0"/>
    <xf numFmtId="4" fontId="68" fillId="0" borderId="0" applyFont="0" applyFill="0" applyBorder="0" applyAlignment="0" applyProtection="0"/>
    <xf numFmtId="170" fontId="65" fillId="0" borderId="16">
      <alignment horizontal="center"/>
    </xf>
    <xf numFmtId="3" fontId="68" fillId="0" borderId="0" applyFont="0" applyFill="0" applyBorder="0" applyAlignment="0" applyProtection="0"/>
    <xf numFmtId="170" fontId="68" fillId="46" borderId="0" applyNumberFormat="0" applyFont="0" applyBorder="0" applyAlignment="0" applyProtection="0"/>
    <xf numFmtId="241" fontId="157" fillId="0" borderId="0">
      <alignment horizontal="right"/>
    </xf>
    <xf numFmtId="40" fontId="98" fillId="0" borderId="0" applyFont="0">
      <protection locked="0"/>
    </xf>
    <xf numFmtId="40" fontId="132" fillId="0" borderId="0" applyFont="0">
      <protection locked="0"/>
    </xf>
    <xf numFmtId="308" fontId="6" fillId="0" borderId="0">
      <alignment horizontal="center" vertical="center"/>
      <protection locked="0"/>
    </xf>
    <xf numFmtId="3" fontId="186" fillId="0" borderId="0"/>
    <xf numFmtId="246" fontId="187" fillId="0" borderId="0" applyNumberFormat="0" applyFill="0" applyBorder="0" applyAlignment="0" applyProtection="0">
      <alignment horizontal="left"/>
    </xf>
    <xf numFmtId="2" fontId="188" fillId="0" borderId="0">
      <protection locked="0"/>
    </xf>
    <xf numFmtId="170" fontId="4" fillId="0" borderId="13" applyNumberFormat="0" applyFill="0" applyBorder="0" applyAlignment="0" applyProtection="0">
      <protection hidden="1"/>
    </xf>
    <xf numFmtId="170" fontId="4" fillId="0" borderId="13" applyNumberFormat="0" applyFill="0" applyBorder="0" applyAlignment="0" applyProtection="0">
      <protection hidden="1"/>
    </xf>
    <xf numFmtId="0" fontId="94" fillId="0" borderId="0"/>
    <xf numFmtId="0" fontId="189" fillId="0" borderId="0" applyNumberFormat="0" applyBorder="0" applyProtection="0"/>
    <xf numFmtId="309" fontId="189" fillId="0" borderId="0" applyBorder="0" applyProtection="0"/>
    <xf numFmtId="310" fontId="39" fillId="0" borderId="0" applyNumberFormat="0" applyFill="0" applyBorder="0" applyAlignment="0" applyProtection="0">
      <alignment horizontal="left"/>
    </xf>
    <xf numFmtId="241" fontId="51" fillId="0" borderId="15">
      <alignment horizontal="right"/>
    </xf>
    <xf numFmtId="241" fontId="51" fillId="0" borderId="15">
      <alignment horizontal="right"/>
    </xf>
    <xf numFmtId="241" fontId="51" fillId="0" borderId="15">
      <alignment horizontal="right"/>
    </xf>
    <xf numFmtId="241" fontId="51" fillId="0" borderId="15">
      <alignment horizontal="right"/>
    </xf>
    <xf numFmtId="241" fontId="51" fillId="0" borderId="15">
      <alignment horizontal="right"/>
    </xf>
    <xf numFmtId="241" fontId="51" fillId="0" borderId="15">
      <alignment horizontal="right"/>
    </xf>
    <xf numFmtId="241" fontId="51" fillId="0" borderId="15">
      <alignment horizontal="right"/>
    </xf>
    <xf numFmtId="241" fontId="51" fillId="0" borderId="15">
      <alignment horizontal="right"/>
    </xf>
    <xf numFmtId="241" fontId="51" fillId="0" borderId="15">
      <alignment horizontal="right"/>
    </xf>
    <xf numFmtId="241" fontId="51" fillId="0" borderId="15">
      <alignment horizontal="right"/>
    </xf>
    <xf numFmtId="241" fontId="51" fillId="0" borderId="15">
      <alignment horizontal="right"/>
    </xf>
    <xf numFmtId="241" fontId="51" fillId="0" borderId="15">
      <alignment horizontal="right"/>
    </xf>
    <xf numFmtId="170" fontId="24" fillId="45" borderId="45" applyNumberFormat="0" applyProtection="0">
      <alignment horizontal="left" vertical="center" indent="1"/>
    </xf>
    <xf numFmtId="170" fontId="24" fillId="45" borderId="45" applyNumberFormat="0" applyProtection="0">
      <alignment horizontal="left" vertical="center" indent="1"/>
    </xf>
    <xf numFmtId="311" fontId="11" fillId="67" borderId="45" applyProtection="0">
      <alignment horizontal="right" vertical="center"/>
    </xf>
    <xf numFmtId="311" fontId="11" fillId="67" borderId="45" applyProtection="0">
      <alignment horizontal="right" vertical="center"/>
    </xf>
    <xf numFmtId="0" fontId="190" fillId="0" borderId="46"/>
    <xf numFmtId="0" fontId="190" fillId="0" borderId="46"/>
    <xf numFmtId="180" fontId="191" fillId="0" borderId="0">
      <protection locked="0"/>
    </xf>
    <xf numFmtId="0" fontId="113" fillId="0" borderId="0">
      <alignment horizontal="justify" vertical="top" wrapText="1"/>
    </xf>
    <xf numFmtId="226" fontId="192" fillId="0" borderId="0" applyFont="0">
      <alignment horizontal="left"/>
    </xf>
    <xf numFmtId="180" fontId="193" fillId="0" borderId="0"/>
    <xf numFmtId="37" fontId="193" fillId="0" borderId="0"/>
    <xf numFmtId="169" fontId="6" fillId="0" borderId="0"/>
    <xf numFmtId="195" fontId="194" fillId="0" borderId="0" applyFill="0" applyBorder="0" applyAlignment="0" applyProtection="0"/>
    <xf numFmtId="0" fontId="195"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170" fontId="4" fillId="0" borderId="1" applyFont="0" applyFill="0" applyBorder="0" applyAlignment="0" applyProtection="0"/>
    <xf numFmtId="170" fontId="4" fillId="0" borderId="1" applyFont="0" applyFill="0" applyBorder="0" applyAlignment="0" applyProtection="0"/>
    <xf numFmtId="241" fontId="196" fillId="0" borderId="47">
      <alignment horizontal="right"/>
    </xf>
    <xf numFmtId="170" fontId="64" fillId="0" borderId="0">
      <alignment horizontal="centerContinuous"/>
    </xf>
    <xf numFmtId="0" fontId="68" fillId="0" borderId="0"/>
    <xf numFmtId="0" fontId="11" fillId="68" borderId="0" applyNumberFormat="0" applyFill="0" applyBorder="0" applyAlignment="0" applyProtection="0"/>
    <xf numFmtId="0" fontId="25" fillId="0" borderId="0"/>
    <xf numFmtId="0" fontId="7" fillId="0" borderId="0"/>
    <xf numFmtId="0" fontId="7" fillId="0" borderId="0"/>
    <xf numFmtId="0" fontId="197" fillId="0" borderId="1" applyNumberFormat="0" applyFill="0" applyProtection="0">
      <alignment horizontal="right"/>
    </xf>
    <xf numFmtId="0" fontId="197" fillId="0" borderId="1" applyNumberFormat="0" applyFill="0" applyProtection="0">
      <alignment horizontal="right"/>
    </xf>
    <xf numFmtId="17" fontId="197" fillId="0" borderId="1" applyFill="0" applyAlignment="0" applyProtection="0"/>
    <xf numFmtId="17" fontId="197" fillId="0" borderId="1" applyFill="0" applyAlignment="0" applyProtection="0"/>
    <xf numFmtId="0" fontId="197" fillId="0" borderId="1" applyNumberFormat="0" applyFill="0" applyProtection="0">
      <alignment horizontal="left" wrapText="1"/>
    </xf>
    <xf numFmtId="0" fontId="197" fillId="0" borderId="1" applyNumberFormat="0" applyFill="0" applyProtection="0">
      <alignment horizontal="left" wrapText="1"/>
    </xf>
    <xf numFmtId="0" fontId="198" fillId="69" borderId="0" applyNumberFormat="0" applyBorder="0" applyAlignment="0" applyProtection="0"/>
    <xf numFmtId="0" fontId="198" fillId="70" borderId="0" applyNumberFormat="0" applyBorder="0" applyAlignment="0" applyProtection="0"/>
    <xf numFmtId="312" fontId="197" fillId="0" borderId="0" applyFill="0" applyBorder="0" applyAlignment="0" applyProtection="0"/>
    <xf numFmtId="0" fontId="199" fillId="0" borderId="0" applyNumberFormat="0" applyFill="0" applyBorder="0" applyAlignment="0" applyProtection="0"/>
    <xf numFmtId="0" fontId="134" fillId="0" borderId="1" applyNumberFormat="0" applyFill="0" applyAlignment="0" applyProtection="0"/>
    <xf numFmtId="0" fontId="134" fillId="0" borderId="1" applyNumberFormat="0" applyFill="0" applyAlignment="0" applyProtection="0"/>
    <xf numFmtId="0" fontId="200" fillId="71" borderId="48" applyNumberFormat="0" applyProtection="0">
      <alignment horizontal="center" vertical="center" wrapText="1"/>
    </xf>
    <xf numFmtId="0" fontId="200" fillId="71" borderId="48" applyNumberFormat="0" applyProtection="0">
      <alignment horizontal="center" vertical="center" wrapText="1"/>
    </xf>
    <xf numFmtId="0" fontId="7" fillId="0" borderId="0"/>
    <xf numFmtId="0" fontId="200" fillId="71" borderId="0" applyNumberFormat="0" applyProtection="0">
      <alignment horizontal="right" vertical="center" wrapText="1"/>
    </xf>
    <xf numFmtId="0" fontId="134" fillId="72" borderId="0" applyNumberFormat="0" applyBorder="0" applyProtection="0">
      <alignment horizontal="center" vertical="center"/>
    </xf>
    <xf numFmtId="0" fontId="7" fillId="0" borderId="0"/>
    <xf numFmtId="0" fontId="7" fillId="0" borderId="0"/>
    <xf numFmtId="0" fontId="7" fillId="0" borderId="0"/>
    <xf numFmtId="226" fontId="171" fillId="0" borderId="0">
      <alignment horizontal="right" vertical="top"/>
      <protection locked="0"/>
    </xf>
    <xf numFmtId="0" fontId="164" fillId="0" borderId="0"/>
    <xf numFmtId="0" fontId="127" fillId="0" borderId="49"/>
    <xf numFmtId="0" fontId="201" fillId="0" borderId="0" applyNumberFormat="0" applyProtection="0">
      <alignment wrapText="1"/>
      <protection locked="0"/>
    </xf>
    <xf numFmtId="40" fontId="202" fillId="0" borderId="0" applyBorder="0">
      <alignment horizontal="right"/>
    </xf>
    <xf numFmtId="226" fontId="98" fillId="0" borderId="0" applyFont="0">
      <protection locked="0"/>
    </xf>
    <xf numFmtId="226" fontId="98" fillId="0" borderId="0" applyFill="0" applyProtection="0">
      <protection locked="0"/>
    </xf>
    <xf numFmtId="231" fontId="171" fillId="73" borderId="0" applyNumberFormat="0" applyAlignment="0">
      <alignment horizontal="left" vertical="top"/>
    </xf>
    <xf numFmtId="170" fontId="64" fillId="0" borderId="20">
      <alignment horizontal="centerContinuous"/>
    </xf>
    <xf numFmtId="170" fontId="64" fillId="0" borderId="20">
      <alignment horizontal="centerContinuous"/>
    </xf>
    <xf numFmtId="170" fontId="64" fillId="0" borderId="20">
      <alignment horizontal="centerContinuous"/>
    </xf>
    <xf numFmtId="170" fontId="64" fillId="0" borderId="20">
      <alignment horizontal="centerContinuous"/>
    </xf>
    <xf numFmtId="170" fontId="64" fillId="0" borderId="20">
      <alignment horizontal="centerContinuous"/>
    </xf>
    <xf numFmtId="170" fontId="64" fillId="0" borderId="20">
      <alignment horizontal="centerContinuous"/>
    </xf>
    <xf numFmtId="9" fontId="64" fillId="0" borderId="0">
      <alignment horizontal="centerContinuous"/>
    </xf>
    <xf numFmtId="0" fontId="94" fillId="0" borderId="26"/>
    <xf numFmtId="0" fontId="94" fillId="0" borderId="26"/>
    <xf numFmtId="170" fontId="4" fillId="0" borderId="0" applyNumberFormat="0" applyFill="0" applyBorder="0" applyProtection="0">
      <alignment horizontal="left"/>
    </xf>
    <xf numFmtId="170" fontId="4" fillId="0" borderId="0" applyNumberFormat="0" applyFill="0" applyBorder="0" applyProtection="0">
      <alignment horizontal="left"/>
    </xf>
    <xf numFmtId="170" fontId="122" fillId="0" borderId="0" applyNumberFormat="0" applyFill="0" applyBorder="0" applyProtection="0">
      <alignment horizontal="left"/>
    </xf>
    <xf numFmtId="170" fontId="127" fillId="0" borderId="0" applyFill="0" applyBorder="0" applyProtection="0"/>
    <xf numFmtId="170" fontId="141" fillId="0" borderId="0" applyNumberFormat="0" applyFill="0" applyBorder="0" applyProtection="0"/>
    <xf numFmtId="170" fontId="203" fillId="0" borderId="0" applyFill="0" applyBorder="0" applyProtection="0">
      <alignment horizontal="left"/>
    </xf>
    <xf numFmtId="170" fontId="122" fillId="0" borderId="0" applyNumberFormat="0" applyFill="0" applyBorder="0" applyProtection="0"/>
    <xf numFmtId="0" fontId="4" fillId="0" borderId="0"/>
    <xf numFmtId="0" fontId="4" fillId="0" borderId="0"/>
    <xf numFmtId="0" fontId="4" fillId="0" borderId="0"/>
    <xf numFmtId="0" fontId="4" fillId="0" borderId="0"/>
    <xf numFmtId="37" fontId="4" fillId="0" borderId="0"/>
    <xf numFmtId="37" fontId="4" fillId="0" borderId="0"/>
    <xf numFmtId="49" fontId="87" fillId="0" borderId="14">
      <alignment horizontal="justify" vertical="justify" wrapText="1"/>
    </xf>
    <xf numFmtId="313" fontId="16" fillId="0" borderId="0" applyFont="0" applyFill="0" applyBorder="0" applyAlignment="0" applyProtection="0"/>
    <xf numFmtId="313" fontId="6" fillId="0" borderId="0" applyFont="0" applyFill="0" applyBorder="0" applyAlignment="0" applyProtection="0"/>
    <xf numFmtId="314" fontId="6" fillId="0" borderId="0" applyFont="0" applyFill="0" applyBorder="0" applyAlignment="0" applyProtection="0"/>
    <xf numFmtId="170" fontId="4" fillId="0" borderId="0" applyNumberFormat="0" applyFill="0" applyBorder="0" applyProtection="0"/>
    <xf numFmtId="170" fontId="4" fillId="0" borderId="0" applyNumberFormat="0" applyFill="0" applyBorder="0" applyProtection="0"/>
    <xf numFmtId="170" fontId="4" fillId="0" borderId="0" applyNumberFormat="0" applyFill="0" applyBorder="0" applyProtection="0"/>
    <xf numFmtId="170" fontId="4" fillId="0" borderId="0" applyNumberFormat="0" applyFill="0" applyBorder="0" applyProtection="0"/>
    <xf numFmtId="0" fontId="204" fillId="0" borderId="14">
      <alignment horizontal="left" vertical="center" wrapText="1"/>
    </xf>
    <xf numFmtId="170" fontId="4" fillId="0" borderId="0" applyNumberFormat="0" applyFill="0" applyBorder="0" applyProtection="0"/>
    <xf numFmtId="170" fontId="4" fillId="0" borderId="0" applyNumberFormat="0" applyFill="0" applyBorder="0" applyProtection="0"/>
    <xf numFmtId="170" fontId="4" fillId="0" borderId="0" applyNumberFormat="0" applyFill="0" applyBorder="0" applyProtection="0"/>
    <xf numFmtId="170" fontId="4" fillId="0" borderId="0" applyNumberFormat="0" applyFill="0" applyBorder="0" applyProtection="0"/>
    <xf numFmtId="170" fontId="4" fillId="0" borderId="0" applyNumberFormat="0" applyFill="0" applyBorder="0" applyProtection="0"/>
    <xf numFmtId="170" fontId="4" fillId="0" borderId="0" applyNumberFormat="0" applyFill="0" applyBorder="0" applyProtection="0"/>
    <xf numFmtId="170" fontId="4" fillId="0" borderId="0"/>
    <xf numFmtId="170" fontId="4" fillId="0" borderId="0"/>
    <xf numFmtId="49" fontId="11" fillId="0" borderId="0" applyFill="0" applyBorder="0" applyAlignment="0"/>
    <xf numFmtId="315" fontId="4" fillId="0" borderId="0" applyFill="0" applyBorder="0" applyAlignment="0"/>
    <xf numFmtId="315" fontId="4" fillId="0" borderId="0" applyFill="0" applyBorder="0" applyAlignment="0"/>
    <xf numFmtId="315" fontId="4" fillId="0" borderId="0" applyFill="0" applyBorder="0" applyAlignment="0"/>
    <xf numFmtId="315" fontId="4" fillId="0" borderId="0" applyFill="0" applyBorder="0" applyAlignment="0"/>
    <xf numFmtId="316" fontId="4" fillId="0" borderId="0" applyFill="0" applyBorder="0" applyAlignment="0"/>
    <xf numFmtId="316" fontId="4" fillId="0" borderId="0" applyFill="0" applyBorder="0" applyAlignment="0"/>
    <xf numFmtId="316" fontId="4" fillId="0" borderId="0" applyFill="0" applyBorder="0" applyAlignment="0"/>
    <xf numFmtId="316" fontId="4" fillId="0" borderId="0" applyFill="0" applyBorder="0" applyAlignment="0"/>
    <xf numFmtId="49" fontId="87" fillId="0" borderId="14">
      <alignment horizontal="justify" vertical="justify" wrapText="1"/>
    </xf>
    <xf numFmtId="246" fontId="205" fillId="0" borderId="0" applyFill="0" applyBorder="0" applyAlignment="0" applyProtection="0">
      <alignment horizontal="right"/>
    </xf>
    <xf numFmtId="3" fontId="84" fillId="0" borderId="14">
      <alignment horizontal="center" vertical="top" wrapText="1"/>
    </xf>
    <xf numFmtId="317" fontId="39" fillId="0" borderId="50"/>
    <xf numFmtId="318" fontId="6" fillId="0" borderId="0" applyFont="0" applyFill="0" applyBorder="0" applyAlignment="0" applyProtection="0"/>
    <xf numFmtId="319" fontId="6" fillId="0" borderId="0" applyFont="0" applyFill="0" applyBorder="0" applyAlignment="0" applyProtection="0"/>
    <xf numFmtId="320" fontId="6" fillId="0" borderId="0" applyFont="0" applyFill="0" applyBorder="0" applyAlignment="0" applyProtection="0"/>
    <xf numFmtId="40" fontId="42" fillId="0" borderId="0"/>
    <xf numFmtId="0" fontId="206" fillId="74" borderId="0"/>
    <xf numFmtId="180" fontId="207" fillId="0" borderId="20"/>
    <xf numFmtId="0" fontId="208"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231" fontId="209" fillId="0" borderId="31" applyNumberFormat="0" applyFill="0" applyProtection="0">
      <alignment horizontal="center"/>
    </xf>
    <xf numFmtId="2" fontId="210" fillId="0" borderId="0">
      <alignment horizontal="centerContinuous" vertical="center"/>
    </xf>
    <xf numFmtId="2" fontId="211" fillId="0" borderId="0">
      <alignment horizontal="centerContinuous" vertical="center"/>
    </xf>
    <xf numFmtId="2" fontId="212" fillId="0" borderId="32">
      <alignment horizontal="centerContinuous" vertical="center"/>
    </xf>
    <xf numFmtId="170" fontId="213" fillId="0" borderId="0"/>
    <xf numFmtId="1" fontId="6" fillId="75" borderId="0" applyNumberFormat="0" applyFont="0" applyBorder="0" applyProtection="0">
      <alignment horizontal="left"/>
    </xf>
    <xf numFmtId="170" fontId="214" fillId="0" borderId="0">
      <alignment horizontal="right"/>
    </xf>
    <xf numFmtId="170" fontId="215" fillId="0" borderId="0"/>
    <xf numFmtId="170" fontId="4" fillId="0" borderId="0"/>
    <xf numFmtId="170" fontId="4" fillId="0" borderId="0"/>
    <xf numFmtId="170" fontId="4" fillId="0" borderId="0"/>
    <xf numFmtId="170" fontId="4" fillId="0" borderId="0"/>
    <xf numFmtId="170" fontId="39" fillId="37" borderId="13"/>
    <xf numFmtId="0" fontId="216" fillId="0" borderId="51" applyNumberFormat="0" applyFill="0" applyAlignment="0" applyProtection="0"/>
    <xf numFmtId="0" fontId="216" fillId="0" borderId="51" applyNumberFormat="0" applyFill="0" applyAlignment="0" applyProtection="0"/>
    <xf numFmtId="0" fontId="216" fillId="0" borderId="51" applyNumberFormat="0" applyFill="0" applyAlignment="0" applyProtection="0"/>
    <xf numFmtId="0" fontId="216" fillId="0" borderId="51" applyNumberFormat="0" applyFill="0" applyAlignment="0" applyProtection="0"/>
    <xf numFmtId="0" fontId="216" fillId="0" borderId="51" applyNumberFormat="0" applyFill="0" applyAlignment="0" applyProtection="0"/>
    <xf numFmtId="0" fontId="216" fillId="0" borderId="51" applyNumberFormat="0" applyFill="0" applyAlignment="0" applyProtection="0"/>
    <xf numFmtId="0" fontId="216" fillId="0" borderId="51" applyNumberFormat="0" applyFill="0" applyAlignment="0" applyProtection="0"/>
    <xf numFmtId="0" fontId="216" fillId="0" borderId="51" applyNumberFormat="0" applyFill="0" applyAlignment="0" applyProtection="0"/>
    <xf numFmtId="0" fontId="216" fillId="0" borderId="51" applyNumberFormat="0" applyFill="0" applyAlignment="0" applyProtection="0"/>
    <xf numFmtId="0" fontId="216" fillId="0" borderId="51" applyNumberFormat="0" applyFill="0" applyAlignment="0" applyProtection="0"/>
    <xf numFmtId="0" fontId="216" fillId="0" borderId="51" applyNumberFormat="0" applyFill="0" applyAlignment="0" applyProtection="0"/>
    <xf numFmtId="0" fontId="216" fillId="0" borderId="51" applyNumberFormat="0" applyFill="0" applyAlignment="0" applyProtection="0"/>
    <xf numFmtId="0" fontId="216" fillId="0" borderId="51" applyNumberFormat="0" applyFill="0" applyAlignment="0" applyProtection="0"/>
    <xf numFmtId="0" fontId="216" fillId="0" borderId="51" applyNumberFormat="0" applyFill="0" applyAlignment="0" applyProtection="0"/>
    <xf numFmtId="0" fontId="216" fillId="0" borderId="51" applyNumberFormat="0" applyFill="0" applyAlignment="0" applyProtection="0"/>
    <xf numFmtId="0" fontId="216" fillId="0" borderId="51" applyNumberFormat="0" applyFill="0" applyAlignment="0" applyProtection="0"/>
    <xf numFmtId="0" fontId="216" fillId="0" borderId="51" applyNumberFormat="0" applyFill="0" applyAlignment="0" applyProtection="0"/>
    <xf numFmtId="226" fontId="132" fillId="0" borderId="0"/>
    <xf numFmtId="43" fontId="6" fillId="0" borderId="28" applyNumberFormat="0">
      <alignment horizontal="right" vertical="center"/>
    </xf>
    <xf numFmtId="0" fontId="158" fillId="0" borderId="52"/>
    <xf numFmtId="0" fontId="158" fillId="0" borderId="26"/>
    <xf numFmtId="0" fontId="158" fillId="0" borderId="26"/>
    <xf numFmtId="170" fontId="64" fillId="0" borderId="7">
      <alignment horizontal="centerContinuous"/>
    </xf>
    <xf numFmtId="255" fontId="4" fillId="0" borderId="0" applyFont="0" applyFill="0" applyBorder="0" applyAlignment="0" applyProtection="0"/>
    <xf numFmtId="227" fontId="4" fillId="0" borderId="0" applyFont="0" applyFill="0" applyBorder="0" applyAlignment="0" applyProtection="0"/>
    <xf numFmtId="196" fontId="15" fillId="0" borderId="0" applyFont="0" applyFill="0" applyBorder="0">
      <alignment horizontal="right"/>
    </xf>
    <xf numFmtId="1" fontId="4" fillId="0" borderId="0">
      <alignment vertical="center"/>
    </xf>
    <xf numFmtId="1" fontId="4" fillId="0" borderId="0">
      <alignment vertical="center"/>
    </xf>
    <xf numFmtId="180" fontId="217" fillId="0" borderId="0"/>
    <xf numFmtId="321" fontId="98" fillId="0" borderId="0" applyFill="0">
      <alignment horizontal="center"/>
    </xf>
    <xf numFmtId="226" fontId="98" fillId="0" borderId="0" applyFont="0">
      <alignment horizontal="center"/>
      <protection locked="0"/>
    </xf>
    <xf numFmtId="286" fontId="127" fillId="0" borderId="1">
      <alignment horizontal="center" vertical="center"/>
    </xf>
    <xf numFmtId="286" fontId="127" fillId="0" borderId="1">
      <alignment horizontal="center" vertical="center"/>
    </xf>
    <xf numFmtId="286" fontId="127" fillId="0" borderId="1">
      <alignment horizontal="center" vertical="center"/>
    </xf>
    <xf numFmtId="286" fontId="127" fillId="0" borderId="1">
      <alignment horizontal="center" vertical="center"/>
    </xf>
    <xf numFmtId="286" fontId="127" fillId="0" borderId="1">
      <alignment horizontal="center" vertical="center"/>
    </xf>
    <xf numFmtId="286" fontId="127" fillId="0" borderId="1">
      <alignment horizontal="center" vertical="center"/>
    </xf>
    <xf numFmtId="170" fontId="141" fillId="0" borderId="0" applyFont="0" applyFill="0" applyBorder="0" applyAlignment="0" applyProtection="0"/>
    <xf numFmtId="170" fontId="22" fillId="0" borderId="0" applyFont="0" applyFill="0" applyBorder="0" applyAlignment="0" applyProtection="0"/>
    <xf numFmtId="170" fontId="157" fillId="0" borderId="1"/>
    <xf numFmtId="170" fontId="157" fillId="0" borderId="1"/>
    <xf numFmtId="241" fontId="157" fillId="0" borderId="0">
      <alignment horizontal="right"/>
    </xf>
    <xf numFmtId="322" fontId="4" fillId="0" borderId="0" applyFont="0" applyFill="0" applyBorder="0" applyAlignment="0" applyProtection="0"/>
    <xf numFmtId="323" fontId="4" fillId="0" borderId="0" applyFon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1" fontId="209" fillId="0" borderId="0">
      <alignment horizontal="right"/>
    </xf>
    <xf numFmtId="170" fontId="6" fillId="0" borderId="0"/>
    <xf numFmtId="169" fontId="4" fillId="0" borderId="0" applyFont="0" applyFill="0" applyBorder="0" applyAlignment="0" applyProtection="0">
      <alignment horizontal="right"/>
    </xf>
    <xf numFmtId="169" fontId="4" fillId="0" borderId="0" applyFont="0" applyFill="0" applyBorder="0" applyAlignment="0" applyProtection="0">
      <alignment horizontal="right"/>
    </xf>
    <xf numFmtId="0" fontId="4" fillId="61" borderId="0" applyNumberFormat="0" applyFont="0" applyBorder="0" applyAlignment="0" applyProtection="0"/>
    <xf numFmtId="0" fontId="4" fillId="61" borderId="0" applyNumberFormat="0" applyFont="0" applyBorder="0" applyAlignment="0" applyProtection="0"/>
    <xf numFmtId="37" fontId="24" fillId="0" borderId="0"/>
    <xf numFmtId="324" fontId="4" fillId="0" borderId="0">
      <alignment horizontal="right" vertical="center"/>
      <protection locked="0"/>
    </xf>
    <xf numFmtId="324" fontId="4" fillId="0" borderId="0">
      <alignment horizontal="right" vertical="center"/>
      <protection locked="0"/>
    </xf>
    <xf numFmtId="170" fontId="64" fillId="0" borderId="0">
      <alignment horizontal="centerContinuous"/>
    </xf>
    <xf numFmtId="9" fontId="51" fillId="0" borderId="0">
      <alignment horizontal="left"/>
    </xf>
    <xf numFmtId="170" fontId="51" fillId="0" borderId="0">
      <alignment horizontal="left"/>
    </xf>
    <xf numFmtId="170" fontId="51" fillId="0" borderId="0">
      <alignment horizontal="left"/>
    </xf>
    <xf numFmtId="170" fontId="51" fillId="0" borderId="0">
      <alignment horizontal="left"/>
    </xf>
    <xf numFmtId="170" fontId="51" fillId="0" borderId="0">
      <alignment horizontal="left"/>
    </xf>
    <xf numFmtId="170" fontId="51" fillId="0" borderId="0">
      <alignment horizontal="left"/>
    </xf>
    <xf numFmtId="170" fontId="51" fillId="0" borderId="0">
      <alignment horizontal="left"/>
    </xf>
    <xf numFmtId="170" fontId="219" fillId="0" borderId="0" applyNumberFormat="0" applyFill="0" applyBorder="0" applyAlignment="0" applyProtection="0">
      <alignment vertical="top"/>
      <protection locked="0"/>
    </xf>
    <xf numFmtId="40" fontId="220" fillId="0" borderId="0" applyFont="0" applyFill="0" applyBorder="0" applyAlignment="0" applyProtection="0"/>
    <xf numFmtId="38" fontId="220" fillId="0" borderId="0" applyFont="0" applyFill="0" applyBorder="0" applyAlignment="0" applyProtection="0"/>
    <xf numFmtId="0" fontId="220" fillId="0" borderId="0" applyFont="0" applyFill="0" applyBorder="0" applyAlignment="0" applyProtection="0"/>
    <xf numFmtId="0" fontId="220" fillId="0" borderId="0" applyFont="0" applyFill="0" applyBorder="0" applyAlignment="0" applyProtection="0"/>
    <xf numFmtId="10" fontId="4" fillId="0" borderId="0" applyFont="0" applyFill="0" applyBorder="0" applyAlignment="0" applyProtection="0"/>
    <xf numFmtId="0" fontId="221" fillId="0" borderId="0"/>
    <xf numFmtId="174" fontId="17" fillId="0" borderId="0" applyFill="0" applyBorder="0" applyAlignment="0" applyProtection="0"/>
    <xf numFmtId="325" fontId="4" fillId="0" borderId="0" applyFont="0" applyFill="0" applyBorder="0" applyAlignment="0" applyProtection="0"/>
    <xf numFmtId="326" fontId="4" fillId="0" borderId="0" applyFont="0" applyFill="0" applyBorder="0" applyAlignment="0" applyProtection="0"/>
    <xf numFmtId="327" fontId="222" fillId="0" borderId="0" applyFont="0" applyFill="0" applyBorder="0" applyAlignment="0" applyProtection="0"/>
    <xf numFmtId="328" fontId="222" fillId="0" borderId="0" applyFont="0" applyFill="0" applyBorder="0" applyAlignment="0" applyProtection="0"/>
    <xf numFmtId="0" fontId="223" fillId="0" borderId="0"/>
    <xf numFmtId="170" fontId="224" fillId="0" borderId="0">
      <alignment vertical="center"/>
    </xf>
    <xf numFmtId="164" fontId="16" fillId="0" borderId="0" applyFont="0" applyFill="0" applyBorder="0" applyAlignment="0" applyProtection="0"/>
    <xf numFmtId="165" fontId="16" fillId="0" borderId="0" applyFont="0" applyFill="0" applyBorder="0" applyAlignment="0" applyProtection="0"/>
    <xf numFmtId="165" fontId="6" fillId="0" borderId="0" applyFont="0" applyFill="0" applyBorder="0" applyAlignment="0" applyProtection="0"/>
    <xf numFmtId="41" fontId="16" fillId="0" borderId="0" applyFont="0" applyFill="0" applyBorder="0" applyAlignment="0" applyProtection="0"/>
    <xf numFmtId="165" fontId="224" fillId="0" borderId="0" applyFont="0" applyFill="0" applyBorder="0" applyAlignment="0" applyProtection="0">
      <alignment vertical="center"/>
    </xf>
    <xf numFmtId="0" fontId="16" fillId="0" borderId="0"/>
    <xf numFmtId="170" fontId="68" fillId="0" borderId="0"/>
    <xf numFmtId="40" fontId="225" fillId="0" borderId="0" applyFont="0" applyFill="0" applyBorder="0" applyAlignment="0" applyProtection="0"/>
    <xf numFmtId="38" fontId="225" fillId="0" borderId="0" applyFont="0" applyFill="0" applyBorder="0" applyAlignment="0" applyProtection="0"/>
    <xf numFmtId="0" fontId="43" fillId="0" borderId="0"/>
    <xf numFmtId="329" fontId="6" fillId="0" borderId="0" applyFont="0" applyFill="0" applyBorder="0" applyAlignment="0" applyProtection="0"/>
    <xf numFmtId="323" fontId="6" fillId="0" borderId="0" applyFont="0" applyFill="0" applyBorder="0" applyAlignment="0" applyProtection="0"/>
    <xf numFmtId="0" fontId="9" fillId="0" borderId="0"/>
    <xf numFmtId="0" fontId="226" fillId="0" borderId="0"/>
    <xf numFmtId="165" fontId="2" fillId="0" borderId="0" applyFont="0" applyFill="0" applyBorder="0" applyAlignment="0" applyProtection="0"/>
    <xf numFmtId="0" fontId="1" fillId="0" borderId="0"/>
  </cellStyleXfs>
  <cellXfs count="1551">
    <xf numFmtId="0" fontId="0" fillId="0" borderId="0" xfId="0"/>
    <xf numFmtId="169" fontId="174" fillId="0" borderId="0" xfId="28" applyNumberFormat="1" applyFont="1" applyFill="1" applyBorder="1" applyAlignment="1">
      <alignment horizontal="left" vertical="center"/>
    </xf>
    <xf numFmtId="253" fontId="174" fillId="0" borderId="0" xfId="1" applyNumberFormat="1" applyFont="1" applyBorder="1" applyAlignment="1">
      <alignment vertical="center"/>
    </xf>
    <xf numFmtId="0" fontId="174" fillId="0" borderId="0" xfId="28" applyFont="1" applyBorder="1" applyAlignment="1">
      <alignment vertical="center"/>
    </xf>
    <xf numFmtId="0" fontId="229" fillId="0" borderId="1" xfId="28" applyFont="1" applyBorder="1" applyAlignment="1">
      <alignment horizontal="center" vertical="center" wrapText="1"/>
    </xf>
    <xf numFmtId="0" fontId="229" fillId="0" borderId="1" xfId="28" applyFont="1" applyBorder="1" applyAlignment="1">
      <alignment horizontal="center" vertical="center"/>
    </xf>
    <xf numFmtId="43" fontId="229" fillId="0" borderId="1" xfId="1" applyNumberFormat="1" applyFont="1" applyBorder="1" applyAlignment="1">
      <alignment horizontal="center" vertical="center"/>
    </xf>
    <xf numFmtId="0" fontId="229" fillId="0" borderId="1" xfId="28" applyNumberFormat="1" applyFont="1" applyFill="1" applyBorder="1" applyAlignment="1">
      <alignment horizontal="center" vertical="center" wrapText="1"/>
    </xf>
    <xf numFmtId="253" fontId="174" fillId="0" borderId="0" xfId="1" applyNumberFormat="1" applyFont="1" applyBorder="1" applyAlignment="1">
      <alignment horizontal="center" vertical="center"/>
    </xf>
    <xf numFmtId="0" fontId="174" fillId="0" borderId="0" xfId="28" applyFont="1" applyBorder="1" applyAlignment="1">
      <alignment horizontal="center" vertical="center"/>
    </xf>
    <xf numFmtId="166" fontId="230" fillId="77" borderId="0" xfId="0" applyNumberFormat="1" applyFont="1" applyFill="1" applyBorder="1" applyAlignment="1">
      <alignment horizontal="center" vertical="center"/>
    </xf>
    <xf numFmtId="0" fontId="228" fillId="77" borderId="0" xfId="28" applyFont="1" applyFill="1" applyBorder="1" applyAlignment="1">
      <alignment horizontal="left" vertical="center"/>
    </xf>
    <xf numFmtId="169" fontId="229" fillId="77" borderId="0" xfId="28" applyNumberFormat="1" applyFont="1" applyFill="1" applyBorder="1" applyAlignment="1">
      <alignment horizontal="left" vertical="center"/>
    </xf>
    <xf numFmtId="225" fontId="229" fillId="77" borderId="0" xfId="1" applyNumberFormat="1" applyFont="1" applyFill="1" applyBorder="1" applyAlignment="1">
      <alignment horizontal="left" vertical="center"/>
    </xf>
    <xf numFmtId="0" fontId="229" fillId="77" borderId="0" xfId="0" applyNumberFormat="1" applyFont="1" applyFill="1" applyBorder="1" applyAlignment="1">
      <alignment horizontal="left" vertical="center" wrapText="1"/>
    </xf>
    <xf numFmtId="0" fontId="174" fillId="0" borderId="0" xfId="28" applyFont="1" applyFill="1" applyBorder="1" applyAlignment="1">
      <alignment horizontal="center" vertical="center"/>
    </xf>
    <xf numFmtId="0" fontId="174" fillId="0" borderId="0" xfId="28" applyFont="1" applyFill="1" applyBorder="1" applyAlignment="1">
      <alignment horizontal="left" vertical="center"/>
    </xf>
    <xf numFmtId="0" fontId="174" fillId="0" borderId="0" xfId="0" applyFont="1" applyFill="1" applyBorder="1" applyAlignment="1">
      <alignment horizontal="left" vertical="center"/>
    </xf>
    <xf numFmtId="253" fontId="174" fillId="0" borderId="0" xfId="1" applyNumberFormat="1" applyFont="1" applyFill="1" applyBorder="1" applyAlignment="1">
      <alignment vertical="center"/>
    </xf>
    <xf numFmtId="0" fontId="174" fillId="0" borderId="0" xfId="28" applyFont="1" applyFill="1" applyBorder="1" applyAlignment="1">
      <alignment vertical="center"/>
    </xf>
    <xf numFmtId="0" fontId="174" fillId="0" borderId="0" xfId="28" applyFont="1" applyFill="1" applyBorder="1" applyAlignment="1">
      <alignment horizontal="left" vertical="center" wrapText="1"/>
    </xf>
    <xf numFmtId="225" fontId="174" fillId="0" borderId="0" xfId="1" applyNumberFormat="1" applyFont="1" applyBorder="1" applyAlignment="1">
      <alignment horizontal="left" vertical="center"/>
    </xf>
    <xf numFmtId="0" fontId="174" fillId="0" borderId="0" xfId="28" applyFont="1" applyBorder="1" applyAlignment="1">
      <alignment horizontal="left" vertical="center" wrapText="1"/>
    </xf>
    <xf numFmtId="0" fontId="229" fillId="0" borderId="0" xfId="28" applyFont="1" applyFill="1" applyBorder="1" applyAlignment="1">
      <alignment horizontal="center" vertical="center"/>
    </xf>
    <xf numFmtId="43" fontId="229" fillId="77" borderId="0" xfId="1" applyNumberFormat="1" applyFont="1" applyFill="1" applyBorder="1" applyAlignment="1">
      <alignment horizontal="left" vertical="center"/>
    </xf>
    <xf numFmtId="0" fontId="174" fillId="0" borderId="0" xfId="28" applyFont="1" applyBorder="1" applyAlignment="1">
      <alignment horizontal="left" vertical="center"/>
    </xf>
    <xf numFmtId="169" fontId="174" fillId="0" borderId="0" xfId="28" applyNumberFormat="1" applyFont="1" applyBorder="1" applyAlignment="1">
      <alignment horizontal="left" vertical="center"/>
    </xf>
    <xf numFmtId="0" fontId="229" fillId="0" borderId="0" xfId="28" applyNumberFormat="1" applyFont="1" applyFill="1" applyBorder="1" applyAlignment="1">
      <alignment horizontal="center" vertical="center" wrapText="1"/>
    </xf>
    <xf numFmtId="225" fontId="229" fillId="0" borderId="1" xfId="1" applyNumberFormat="1" applyFont="1" applyBorder="1" applyAlignment="1">
      <alignment horizontal="center" vertical="center"/>
    </xf>
    <xf numFmtId="331" fontId="174" fillId="0" borderId="0" xfId="1" applyNumberFormat="1" applyFont="1" applyFill="1" applyBorder="1" applyAlignment="1">
      <alignment horizontal="center" vertical="center"/>
    </xf>
    <xf numFmtId="43" fontId="229" fillId="0" borderId="0" xfId="1" applyNumberFormat="1" applyFont="1" applyFill="1" applyBorder="1" applyAlignment="1">
      <alignment horizontal="left" vertical="center"/>
    </xf>
    <xf numFmtId="43" fontId="229" fillId="78" borderId="0" xfId="1" applyNumberFormat="1" applyFont="1" applyFill="1" applyBorder="1" applyAlignment="1">
      <alignment horizontal="left" vertical="center"/>
    </xf>
    <xf numFmtId="43" fontId="174" fillId="0" borderId="0" xfId="1" applyNumberFormat="1" applyFont="1" applyBorder="1" applyAlignment="1">
      <alignment horizontal="left" vertical="center"/>
    </xf>
    <xf numFmtId="0" fontId="229" fillId="0" borderId="0" xfId="28" applyFont="1" applyBorder="1" applyAlignment="1">
      <alignment horizontal="left" vertical="center" wrapText="1"/>
    </xf>
    <xf numFmtId="0" fontId="231" fillId="0" borderId="0" xfId="28" applyFont="1" applyBorder="1" applyAlignment="1">
      <alignment horizontal="left" vertical="center" wrapText="1"/>
    </xf>
    <xf numFmtId="0" fontId="229" fillId="80" borderId="0" xfId="28" applyNumberFormat="1" applyFont="1" applyFill="1" applyBorder="1" applyAlignment="1">
      <alignment horizontal="center" vertical="center" wrapText="1"/>
    </xf>
    <xf numFmtId="43" fontId="229" fillId="0" borderId="0" xfId="1" applyFont="1" applyFill="1" applyBorder="1" applyAlignment="1">
      <alignment horizontal="left" vertical="center"/>
    </xf>
    <xf numFmtId="43" fontId="229" fillId="78" borderId="0" xfId="1" applyNumberFormat="1" applyFont="1" applyFill="1" applyBorder="1" applyAlignment="1">
      <alignment horizontal="left" vertical="center" indent="2"/>
    </xf>
    <xf numFmtId="0" fontId="228" fillId="77" borderId="0" xfId="28" applyFont="1" applyFill="1" applyBorder="1" applyAlignment="1">
      <alignment horizontal="center" vertical="center"/>
    </xf>
    <xf numFmtId="0" fontId="229" fillId="0" borderId="0" xfId="28" applyFont="1" applyBorder="1" applyAlignment="1">
      <alignment vertical="center"/>
    </xf>
    <xf numFmtId="253" fontId="229" fillId="0" borderId="0" xfId="1" applyNumberFormat="1" applyFont="1" applyBorder="1" applyAlignment="1">
      <alignment vertical="center"/>
    </xf>
    <xf numFmtId="0" fontId="231" fillId="0" borderId="0" xfId="28" applyFont="1" applyBorder="1" applyAlignment="1">
      <alignment horizontal="center" vertical="center"/>
    </xf>
    <xf numFmtId="0" fontId="231" fillId="0" borderId="0" xfId="28" applyFont="1" applyBorder="1" applyAlignment="1">
      <alignment vertical="center"/>
    </xf>
    <xf numFmtId="0" fontId="231" fillId="0" borderId="0" xfId="28" applyNumberFormat="1" applyFont="1" applyFill="1" applyBorder="1" applyAlignment="1">
      <alignment horizontal="center" vertical="center" wrapText="1"/>
    </xf>
    <xf numFmtId="253" fontId="231" fillId="0" borderId="0" xfId="1" applyNumberFormat="1" applyFont="1" applyBorder="1" applyAlignment="1">
      <alignment vertical="center"/>
    </xf>
    <xf numFmtId="169" fontId="174" fillId="0" borderId="0" xfId="28" applyNumberFormat="1" applyFont="1" applyFill="1" applyBorder="1" applyAlignment="1">
      <alignment horizontal="center" vertical="center"/>
    </xf>
    <xf numFmtId="225" fontId="174" fillId="0" borderId="0" xfId="1" applyNumberFormat="1" applyFont="1" applyFill="1" applyBorder="1" applyAlignment="1">
      <alignment horizontal="center" vertical="center"/>
    </xf>
    <xf numFmtId="225" fontId="229" fillId="0" borderId="0" xfId="1" applyNumberFormat="1" applyFont="1" applyFill="1" applyBorder="1" applyAlignment="1">
      <alignment horizontal="center" vertical="center"/>
    </xf>
    <xf numFmtId="0" fontId="231" fillId="0" borderId="0" xfId="28" applyFont="1" applyBorder="1" applyAlignment="1">
      <alignment horizontal="center" vertical="center" wrapText="1"/>
    </xf>
    <xf numFmtId="0" fontId="234" fillId="0" borderId="0" xfId="28" applyFont="1" applyFill="1" applyBorder="1" applyAlignment="1">
      <alignment horizontal="center" vertical="center"/>
    </xf>
    <xf numFmtId="0" fontId="235" fillId="0" borderId="66" xfId="0" applyFont="1" applyBorder="1" applyAlignment="1">
      <alignment vertical="top"/>
    </xf>
    <xf numFmtId="0" fontId="235" fillId="0" borderId="31" xfId="0" applyFont="1" applyBorder="1" applyAlignment="1">
      <alignment vertical="top"/>
    </xf>
    <xf numFmtId="0" fontId="235" fillId="0" borderId="67" xfId="0" applyFont="1" applyBorder="1" applyAlignment="1">
      <alignment vertical="top"/>
    </xf>
    <xf numFmtId="0" fontId="235" fillId="0" borderId="16" xfId="0" applyFont="1" applyBorder="1" applyAlignment="1">
      <alignment vertical="top"/>
    </xf>
    <xf numFmtId="0" fontId="237" fillId="0" borderId="0" xfId="0" applyFont="1" applyAlignment="1">
      <alignment vertical="top"/>
    </xf>
    <xf numFmtId="0" fontId="242" fillId="3" borderId="85" xfId="0" applyFont="1" applyFill="1" applyBorder="1" applyAlignment="1" applyProtection="1">
      <alignment horizontal="center" vertical="top" wrapText="1"/>
    </xf>
    <xf numFmtId="0" fontId="242" fillId="3" borderId="85" xfId="0" applyFont="1" applyFill="1" applyBorder="1" applyAlignment="1" applyProtection="1">
      <alignment horizontal="left" vertical="top" wrapText="1"/>
    </xf>
    <xf numFmtId="1" fontId="242" fillId="3" borderId="85" xfId="4" applyNumberFormat="1" applyFont="1" applyFill="1" applyBorder="1" applyAlignment="1" applyProtection="1">
      <alignment horizontal="center" vertical="top" wrapText="1"/>
    </xf>
    <xf numFmtId="43" fontId="242" fillId="3" borderId="85" xfId="1" applyFont="1" applyFill="1" applyBorder="1" applyAlignment="1" applyProtection="1">
      <alignment horizontal="center" vertical="top" wrapText="1"/>
      <protection locked="0"/>
    </xf>
    <xf numFmtId="0" fontId="237" fillId="3" borderId="0" xfId="0" applyFont="1" applyFill="1" applyAlignment="1">
      <alignment vertical="top"/>
    </xf>
    <xf numFmtId="166" fontId="242" fillId="0" borderId="84" xfId="0" applyNumberFormat="1" applyFont="1" applyFill="1" applyBorder="1" applyAlignment="1" applyProtection="1">
      <alignment horizontal="center" vertical="top"/>
    </xf>
    <xf numFmtId="0" fontId="243" fillId="0" borderId="84" xfId="0" applyFont="1" applyFill="1" applyBorder="1" applyAlignment="1" applyProtection="1">
      <alignment horizontal="justify" vertical="top" wrapText="1"/>
    </xf>
    <xf numFmtId="0" fontId="243" fillId="0" borderId="84" xfId="0" applyFont="1" applyFill="1" applyBorder="1" applyAlignment="1" applyProtection="1">
      <alignment horizontal="left" vertical="top" wrapText="1"/>
    </xf>
    <xf numFmtId="0" fontId="244" fillId="0" borderId="84" xfId="3" applyFont="1" applyFill="1" applyBorder="1" applyAlignment="1" applyProtection="1">
      <alignment horizontal="justify" vertical="top"/>
    </xf>
    <xf numFmtId="0" fontId="242" fillId="0" borderId="84" xfId="6" applyFont="1" applyFill="1" applyBorder="1" applyAlignment="1" applyProtection="1">
      <alignment horizontal="center" vertical="top" wrapText="1"/>
    </xf>
    <xf numFmtId="0" fontId="242" fillId="81" borderId="84" xfId="6" applyFont="1" applyFill="1" applyBorder="1" applyAlignment="1" applyProtection="1">
      <alignment horizontal="left" vertical="top" wrapText="1"/>
    </xf>
    <xf numFmtId="0" fontId="237" fillId="0" borderId="0" xfId="0" applyFont="1" applyFill="1" applyAlignment="1">
      <alignment vertical="top"/>
    </xf>
    <xf numFmtId="0" fontId="242" fillId="0" borderId="84" xfId="6" applyFont="1" applyFill="1" applyBorder="1" applyAlignment="1" applyProtection="1">
      <alignment horizontal="right" vertical="top" wrapText="1"/>
    </xf>
    <xf numFmtId="43" fontId="237" fillId="0" borderId="0" xfId="1" applyFont="1" applyAlignment="1">
      <alignment vertical="top"/>
    </xf>
    <xf numFmtId="0" fontId="246" fillId="0" borderId="0" xfId="3155" applyFont="1" applyFill="1" applyAlignment="1">
      <alignment vertical="top"/>
    </xf>
    <xf numFmtId="2" fontId="246" fillId="0" borderId="0" xfId="3155" applyNumberFormat="1" applyFont="1" applyFill="1" applyAlignment="1">
      <alignment horizontal="right"/>
    </xf>
    <xf numFmtId="2" fontId="246" fillId="0" borderId="0" xfId="3155" applyNumberFormat="1" applyFont="1" applyFill="1" applyAlignment="1">
      <alignment vertical="top"/>
    </xf>
    <xf numFmtId="0" fontId="246" fillId="0" borderId="0" xfId="3155" applyFont="1" applyFill="1" applyAlignment="1">
      <alignment vertical="center"/>
    </xf>
    <xf numFmtId="0" fontId="245" fillId="0" borderId="23" xfId="3155" applyFont="1" applyFill="1" applyBorder="1" applyAlignment="1">
      <alignment horizontal="left" vertical="top" wrapText="1"/>
    </xf>
    <xf numFmtId="2" fontId="245" fillId="0" borderId="5" xfId="3155" applyNumberFormat="1" applyFont="1" applyFill="1" applyBorder="1" applyAlignment="1">
      <alignment horizontal="left" vertical="center" wrapText="1" indent="1"/>
    </xf>
    <xf numFmtId="330" fontId="245" fillId="0" borderId="73" xfId="3155" applyNumberFormat="1" applyFont="1" applyFill="1" applyBorder="1" applyAlignment="1">
      <alignment horizontal="left" vertical="center" wrapText="1" indent="1"/>
    </xf>
    <xf numFmtId="2" fontId="245" fillId="0" borderId="1" xfId="3155" applyNumberFormat="1" applyFont="1" applyFill="1" applyBorder="1" applyAlignment="1">
      <alignment horizontal="left" wrapText="1" indent="1"/>
    </xf>
    <xf numFmtId="2" fontId="245" fillId="0" borderId="63" xfId="3155" applyNumberFormat="1" applyFont="1" applyFill="1" applyBorder="1" applyAlignment="1">
      <alignment horizontal="left" vertical="top" wrapText="1" indent="1"/>
    </xf>
    <xf numFmtId="2" fontId="245" fillId="0" borderId="1" xfId="3155" applyNumberFormat="1" applyFont="1" applyFill="1" applyBorder="1" applyAlignment="1">
      <alignment horizontal="left" vertical="center" wrapText="1" indent="1"/>
    </xf>
    <xf numFmtId="0" fontId="247" fillId="0" borderId="0" xfId="3067" applyFont="1" applyFill="1" applyBorder="1" applyAlignment="1">
      <alignment vertical="center"/>
    </xf>
    <xf numFmtId="2" fontId="246" fillId="0" borderId="0" xfId="3155" applyNumberFormat="1" applyFont="1" applyFill="1" applyBorder="1" applyAlignment="1">
      <alignment horizontal="right" wrapText="1"/>
    </xf>
    <xf numFmtId="2" fontId="246" fillId="0" borderId="30" xfId="3155" applyNumberFormat="1" applyFont="1" applyFill="1" applyBorder="1" applyAlignment="1">
      <alignment vertical="top" wrapText="1"/>
    </xf>
    <xf numFmtId="0" fontId="245" fillId="0" borderId="23" xfId="3155" applyFont="1" applyFill="1" applyBorder="1" applyAlignment="1">
      <alignment vertical="top"/>
    </xf>
    <xf numFmtId="14" fontId="246" fillId="0" borderId="0" xfId="2176" applyNumberFormat="1" applyFont="1" applyFill="1" applyBorder="1" applyAlignment="1">
      <alignment horizontal="left" vertical="top" wrapText="1"/>
    </xf>
    <xf numFmtId="2" fontId="245" fillId="0" borderId="0" xfId="3155" applyNumberFormat="1" applyFont="1" applyFill="1" applyBorder="1" applyAlignment="1">
      <alignment horizontal="left" vertical="top" wrapText="1"/>
    </xf>
    <xf numFmtId="0" fontId="248" fillId="0" borderId="77" xfId="3155" applyFont="1" applyFill="1" applyBorder="1" applyAlignment="1">
      <alignment horizontal="left" vertical="top" wrapText="1"/>
    </xf>
    <xf numFmtId="0" fontId="248" fillId="0" borderId="72" xfId="3155" applyFont="1" applyFill="1" applyBorder="1" applyAlignment="1">
      <alignment horizontal="center" vertical="center" wrapText="1"/>
    </xf>
    <xf numFmtId="2" fontId="248" fillId="0" borderId="78" xfId="3155" applyNumberFormat="1" applyFont="1" applyFill="1" applyBorder="1" applyAlignment="1">
      <alignment horizontal="center" vertical="center" wrapText="1"/>
    </xf>
    <xf numFmtId="2" fontId="245" fillId="0" borderId="54" xfId="3155" applyNumberFormat="1" applyFont="1" applyFill="1" applyBorder="1" applyAlignment="1">
      <alignment horizontal="center" vertical="center" wrapText="1"/>
    </xf>
    <xf numFmtId="43" fontId="248" fillId="0" borderId="79" xfId="1" applyFont="1" applyFill="1" applyBorder="1" applyAlignment="1">
      <alignment horizontal="center" wrapText="1"/>
    </xf>
    <xf numFmtId="43" fontId="245" fillId="0" borderId="13" xfId="1" applyFont="1" applyFill="1" applyBorder="1" applyAlignment="1">
      <alignment vertical="center" wrapText="1"/>
    </xf>
    <xf numFmtId="43" fontId="245" fillId="0" borderId="4" xfId="1" applyFont="1" applyFill="1" applyBorder="1" applyAlignment="1">
      <alignment vertical="center" wrapText="1"/>
    </xf>
    <xf numFmtId="43" fontId="245" fillId="0" borderId="74" xfId="1" applyFont="1" applyFill="1" applyBorder="1" applyAlignment="1">
      <alignment vertical="center" wrapText="1"/>
    </xf>
    <xf numFmtId="43" fontId="246" fillId="0" borderId="0" xfId="1" applyFont="1" applyFill="1" applyAlignment="1">
      <alignment vertical="top"/>
    </xf>
    <xf numFmtId="43" fontId="246" fillId="0" borderId="0" xfId="1" applyFont="1" applyFill="1" applyBorder="1" applyAlignment="1">
      <alignment vertical="top"/>
    </xf>
    <xf numFmtId="43" fontId="131" fillId="0" borderId="56" xfId="1" applyFont="1" applyFill="1" applyBorder="1" applyAlignment="1">
      <alignment horizontal="right" wrapText="1" indent="1"/>
    </xf>
    <xf numFmtId="43" fontId="246" fillId="0" borderId="1" xfId="1" applyFont="1" applyFill="1" applyBorder="1" applyAlignment="1"/>
    <xf numFmtId="4" fontId="246" fillId="0" borderId="1" xfId="1" applyNumberFormat="1" applyFont="1" applyFill="1" applyBorder="1" applyAlignment="1"/>
    <xf numFmtId="4" fontId="246" fillId="0" borderId="63" xfId="1" applyNumberFormat="1" applyFont="1" applyFill="1" applyBorder="1" applyAlignment="1"/>
    <xf numFmtId="43" fontId="246" fillId="0" borderId="0" xfId="1" applyFont="1" applyFill="1" applyAlignment="1">
      <alignment vertical="center"/>
    </xf>
    <xf numFmtId="43" fontId="246" fillId="0" borderId="0" xfId="1" applyFont="1" applyFill="1" applyBorder="1" applyAlignment="1">
      <alignment vertical="center"/>
    </xf>
    <xf numFmtId="43" fontId="246" fillId="0" borderId="56" xfId="1" applyFont="1" applyFill="1" applyBorder="1" applyAlignment="1">
      <alignment horizontal="right" indent="1"/>
    </xf>
    <xf numFmtId="43" fontId="245" fillId="0" borderId="0" xfId="1" applyFont="1" applyFill="1" applyBorder="1" applyAlignment="1">
      <alignment vertical="center"/>
    </xf>
    <xf numFmtId="43" fontId="246" fillId="0" borderId="56" xfId="1" applyFont="1" applyFill="1" applyBorder="1" applyAlignment="1">
      <alignment horizontal="center"/>
    </xf>
    <xf numFmtId="43" fontId="245" fillId="0" borderId="1" xfId="1" applyFont="1" applyFill="1" applyBorder="1" applyAlignment="1"/>
    <xf numFmtId="43" fontId="245" fillId="0" borderId="0" xfId="1" applyFont="1" applyFill="1" applyAlignment="1">
      <alignment vertical="center"/>
    </xf>
    <xf numFmtId="43" fontId="245" fillId="0" borderId="56" xfId="1" applyFont="1" applyFill="1" applyBorder="1" applyAlignment="1">
      <alignment horizontal="center"/>
    </xf>
    <xf numFmtId="4" fontId="245" fillId="0" borderId="1" xfId="1" applyNumberFormat="1" applyFont="1" applyFill="1" applyBorder="1" applyAlignment="1"/>
    <xf numFmtId="4" fontId="245" fillId="0" borderId="63" xfId="1" applyNumberFormat="1" applyFont="1" applyFill="1" applyBorder="1" applyAlignment="1"/>
    <xf numFmtId="43" fontId="245" fillId="0" borderId="56" xfId="1" applyFont="1" applyFill="1" applyBorder="1" applyAlignment="1">
      <alignment horizontal="center" wrapText="1"/>
    </xf>
    <xf numFmtId="43" fontId="245" fillId="0" borderId="1" xfId="1" applyFont="1" applyFill="1" applyBorder="1" applyAlignment="1">
      <alignment wrapText="1"/>
    </xf>
    <xf numFmtId="4" fontId="245" fillId="0" borderId="1" xfId="1" applyNumberFormat="1" applyFont="1" applyFill="1" applyBorder="1" applyAlignment="1">
      <alignment wrapText="1"/>
    </xf>
    <xf numFmtId="4" fontId="245" fillId="0" borderId="63" xfId="1" applyNumberFormat="1" applyFont="1" applyFill="1" applyBorder="1" applyAlignment="1">
      <alignment wrapText="1"/>
    </xf>
    <xf numFmtId="43" fontId="245" fillId="0" borderId="76" xfId="1" applyFont="1" applyFill="1" applyBorder="1" applyAlignment="1">
      <alignment horizontal="center" wrapText="1"/>
    </xf>
    <xf numFmtId="1" fontId="246" fillId="0" borderId="0" xfId="3155" applyNumberFormat="1" applyFont="1" applyFill="1" applyAlignment="1">
      <alignment vertical="top"/>
    </xf>
    <xf numFmtId="0" fontId="246" fillId="0" borderId="27" xfId="3155" applyFont="1" applyFill="1" applyBorder="1" applyAlignment="1">
      <alignment horizontal="center"/>
    </xf>
    <xf numFmtId="0" fontId="246" fillId="0" borderId="0" xfId="3155" applyFont="1" applyFill="1" applyAlignment="1"/>
    <xf numFmtId="0" fontId="245" fillId="0" borderId="27" xfId="3155" applyFont="1" applyFill="1" applyBorder="1" applyAlignment="1">
      <alignment horizontal="center" vertical="center" wrapText="1"/>
    </xf>
    <xf numFmtId="0" fontId="235" fillId="0" borderId="32" xfId="0" applyFont="1" applyBorder="1" applyAlignment="1">
      <alignment vertical="top"/>
    </xf>
    <xf numFmtId="0" fontId="236" fillId="0" borderId="31" xfId="0" applyFont="1" applyBorder="1"/>
    <xf numFmtId="0" fontId="235" fillId="0" borderId="54" xfId="0" applyFont="1" applyBorder="1"/>
    <xf numFmtId="0" fontId="235" fillId="0" borderId="0" xfId="0" applyFont="1"/>
    <xf numFmtId="0" fontId="236" fillId="0" borderId="16" xfId="0" applyFont="1" applyBorder="1"/>
    <xf numFmtId="0" fontId="235" fillId="0" borderId="61" xfId="0" applyFont="1" applyBorder="1"/>
    <xf numFmtId="0" fontId="236" fillId="0" borderId="53" xfId="0" applyFont="1" applyBorder="1"/>
    <xf numFmtId="0" fontId="236" fillId="0" borderId="32" xfId="0" applyFont="1" applyBorder="1"/>
    <xf numFmtId="0" fontId="235" fillId="0" borderId="55" xfId="0" applyFont="1" applyBorder="1"/>
    <xf numFmtId="0" fontId="235" fillId="0" borderId="23" xfId="0" applyFont="1" applyBorder="1"/>
    <xf numFmtId="0" fontId="235" fillId="0" borderId="0" xfId="0" applyFont="1" applyBorder="1"/>
    <xf numFmtId="0" fontId="235" fillId="0" borderId="30" xfId="0" applyFont="1" applyBorder="1"/>
    <xf numFmtId="0" fontId="236" fillId="0" borderId="62" xfId="0" applyFont="1" applyBorder="1" applyAlignment="1">
      <alignment horizontal="center" vertical="center"/>
    </xf>
    <xf numFmtId="0" fontId="236" fillId="0" borderId="1" xfId="0" applyFont="1" applyBorder="1" applyAlignment="1">
      <alignment horizontal="center" vertical="center" wrapText="1"/>
    </xf>
    <xf numFmtId="0" fontId="236" fillId="0" borderId="63" xfId="0" applyFont="1" applyBorder="1" applyAlignment="1">
      <alignment horizontal="center" vertical="center" wrapText="1"/>
    </xf>
    <xf numFmtId="0" fontId="236" fillId="0" borderId="0" xfId="0" applyFont="1" applyAlignment="1">
      <alignment horizontal="center" vertical="center"/>
    </xf>
    <xf numFmtId="0" fontId="235" fillId="0" borderId="62" xfId="0" applyFont="1" applyBorder="1" applyAlignment="1">
      <alignment horizontal="center"/>
    </xf>
    <xf numFmtId="0" fontId="235" fillId="0" borderId="1" xfId="0" applyFont="1" applyBorder="1" applyAlignment="1">
      <alignment wrapText="1"/>
    </xf>
    <xf numFmtId="0" fontId="235" fillId="0" borderId="1" xfId="0" applyFont="1" applyBorder="1"/>
    <xf numFmtId="0" fontId="235" fillId="0" borderId="63" xfId="0" applyFont="1" applyBorder="1"/>
    <xf numFmtId="43" fontId="235" fillId="0" borderId="1" xfId="0" applyNumberFormat="1" applyFont="1" applyBorder="1"/>
    <xf numFmtId="43" fontId="235" fillId="0" borderId="63" xfId="0" applyNumberFormat="1" applyFont="1" applyBorder="1"/>
    <xf numFmtId="43" fontId="235" fillId="0" borderId="0" xfId="0" applyNumberFormat="1" applyFont="1"/>
    <xf numFmtId="43" fontId="235" fillId="0" borderId="0" xfId="0" applyNumberFormat="1" applyFont="1" applyBorder="1"/>
    <xf numFmtId="0" fontId="236" fillId="0" borderId="64" xfId="0" applyFont="1" applyBorder="1" applyAlignment="1">
      <alignment horizontal="center"/>
    </xf>
    <xf numFmtId="0" fontId="236" fillId="0" borderId="65" xfId="0" applyFont="1" applyBorder="1" applyAlignment="1">
      <alignment horizontal="right"/>
    </xf>
    <xf numFmtId="43" fontId="236" fillId="0" borderId="65" xfId="0" applyNumberFormat="1" applyFont="1" applyBorder="1"/>
    <xf numFmtId="43" fontId="236" fillId="0" borderId="68" xfId="0" applyNumberFormat="1" applyFont="1" applyBorder="1"/>
    <xf numFmtId="0" fontId="236" fillId="0" borderId="0" xfId="0" applyFont="1"/>
    <xf numFmtId="0" fontId="236" fillId="0" borderId="0" xfId="0" applyFont="1" applyBorder="1"/>
    <xf numFmtId="0" fontId="236" fillId="0" borderId="16" xfId="0" applyFont="1" applyBorder="1" applyAlignment="1">
      <alignment horizontal="center"/>
    </xf>
    <xf numFmtId="0" fontId="236" fillId="0" borderId="16" xfId="0" applyFont="1" applyBorder="1" applyAlignment="1">
      <alignment horizontal="right"/>
    </xf>
    <xf numFmtId="43" fontId="236" fillId="0" borderId="16" xfId="0" applyNumberFormat="1" applyFont="1" applyBorder="1"/>
    <xf numFmtId="43" fontId="235" fillId="0" borderId="53" xfId="0" applyNumberFormat="1" applyFont="1" applyBorder="1"/>
    <xf numFmtId="43" fontId="235" fillId="0" borderId="27" xfId="0" applyNumberFormat="1" applyFont="1" applyBorder="1"/>
    <xf numFmtId="43" fontId="235" fillId="0" borderId="55" xfId="0" applyNumberFormat="1" applyFont="1" applyBorder="1"/>
    <xf numFmtId="2" fontId="174" fillId="0" borderId="0" xfId="28" applyNumberFormat="1" applyFont="1" applyFill="1" applyBorder="1" applyAlignment="1">
      <alignment horizontal="left" vertical="center" wrapText="1"/>
    </xf>
    <xf numFmtId="166" fontId="229" fillId="0" borderId="0" xfId="28" applyNumberFormat="1" applyFont="1" applyFill="1" applyBorder="1" applyAlignment="1">
      <alignment horizontal="center" vertical="center" wrapText="1"/>
    </xf>
    <xf numFmtId="253" fontId="174" fillId="0" borderId="0" xfId="1" applyNumberFormat="1" applyFont="1" applyFill="1" applyBorder="1" applyAlignment="1">
      <alignment horizontal="center" vertical="center"/>
    </xf>
    <xf numFmtId="166" fontId="231" fillId="0" borderId="0" xfId="28" applyNumberFormat="1" applyFont="1" applyFill="1" applyBorder="1" applyAlignment="1">
      <alignment horizontal="center" vertical="center" wrapText="1"/>
    </xf>
    <xf numFmtId="0" fontId="231" fillId="0" borderId="0" xfId="28" applyFont="1" applyFill="1" applyBorder="1" applyAlignment="1">
      <alignment horizontal="left" vertical="center" wrapText="1"/>
    </xf>
    <xf numFmtId="0" fontId="231" fillId="0" borderId="0" xfId="28" applyFont="1" applyFill="1" applyBorder="1" applyAlignment="1">
      <alignment horizontal="center" vertical="center" wrapText="1"/>
    </xf>
    <xf numFmtId="166" fontId="249" fillId="0" borderId="0" xfId="28" applyNumberFormat="1" applyFont="1" applyFill="1" applyBorder="1" applyAlignment="1">
      <alignment horizontal="center" vertical="center" wrapText="1"/>
    </xf>
    <xf numFmtId="0" fontId="249" fillId="0" borderId="0" xfId="28" applyFont="1" applyFill="1" applyBorder="1" applyAlignment="1">
      <alignment horizontal="left" vertical="center" wrapText="1"/>
    </xf>
    <xf numFmtId="43" fontId="249" fillId="0" borderId="0" xfId="1" applyNumberFormat="1" applyFont="1" applyFill="1" applyBorder="1" applyAlignment="1">
      <alignment horizontal="left" vertical="center"/>
    </xf>
    <xf numFmtId="0" fontId="249" fillId="0" borderId="0" xfId="28" applyNumberFormat="1" applyFont="1" applyFill="1" applyBorder="1" applyAlignment="1">
      <alignment horizontal="center" vertical="center" wrapText="1"/>
    </xf>
    <xf numFmtId="253" fontId="250" fillId="0" borderId="0" xfId="1" applyNumberFormat="1" applyFont="1" applyFill="1" applyBorder="1" applyAlignment="1">
      <alignment horizontal="center" vertical="center"/>
    </xf>
    <xf numFmtId="0" fontId="250" fillId="0" borderId="0" xfId="28" applyFont="1" applyFill="1" applyBorder="1" applyAlignment="1">
      <alignment horizontal="center" vertical="center"/>
    </xf>
    <xf numFmtId="43" fontId="250" fillId="0" borderId="0" xfId="1" applyNumberFormat="1" applyFont="1" applyFill="1" applyBorder="1" applyAlignment="1">
      <alignment horizontal="center"/>
    </xf>
    <xf numFmtId="166" fontId="251" fillId="0" borderId="0" xfId="0" applyNumberFormat="1" applyFont="1" applyFill="1" applyBorder="1" applyAlignment="1">
      <alignment horizontal="center" vertical="center"/>
    </xf>
    <xf numFmtId="0" fontId="249" fillId="0" borderId="0" xfId="0" applyNumberFormat="1" applyFont="1" applyFill="1" applyBorder="1" applyAlignment="1">
      <alignment horizontal="left" vertical="center" wrapText="1"/>
    </xf>
    <xf numFmtId="253" fontId="250" fillId="0" borderId="0" xfId="1" applyNumberFormat="1" applyFont="1" applyFill="1" applyBorder="1" applyAlignment="1">
      <alignment vertical="center"/>
    </xf>
    <xf numFmtId="0" fontId="250" fillId="0" borderId="0" xfId="28" applyFont="1" applyFill="1" applyBorder="1" applyAlignment="1">
      <alignment vertical="center"/>
    </xf>
    <xf numFmtId="0" fontId="253" fillId="0" borderId="1" xfId="0" applyFont="1" applyBorder="1"/>
    <xf numFmtId="0" fontId="253" fillId="0" borderId="1" xfId="0" applyFont="1" applyBorder="1" applyAlignment="1">
      <alignment wrapText="1"/>
    </xf>
    <xf numFmtId="331" fontId="174" fillId="0" borderId="0" xfId="28" applyNumberFormat="1" applyFont="1" applyFill="1" applyBorder="1" applyAlignment="1">
      <alignment horizontal="center" vertical="center"/>
    </xf>
    <xf numFmtId="43" fontId="174" fillId="0" borderId="0" xfId="1" applyNumberFormat="1" applyFont="1" applyFill="1" applyBorder="1" applyAlignment="1">
      <alignment horizontal="left" vertical="center"/>
    </xf>
    <xf numFmtId="0" fontId="174" fillId="0" borderId="0" xfId="0" applyNumberFormat="1" applyFont="1" applyFill="1" applyBorder="1" applyAlignment="1">
      <alignment horizontal="left" vertical="center" wrapText="1"/>
    </xf>
    <xf numFmtId="0" fontId="244" fillId="0" borderId="84" xfId="3" applyFont="1" applyFill="1" applyBorder="1" applyAlignment="1" applyProtection="1">
      <alignment horizontal="justify" vertical="top" wrapText="1"/>
    </xf>
    <xf numFmtId="0" fontId="253" fillId="2" borderId="0" xfId="28" applyFont="1" applyFill="1" applyBorder="1" applyAlignment="1">
      <alignment horizontal="center" vertical="top" wrapText="1"/>
    </xf>
    <xf numFmtId="0" fontId="253" fillId="2" borderId="12" xfId="28" applyFont="1" applyFill="1" applyBorder="1" applyAlignment="1">
      <alignment horizontal="center" vertical="top" wrapText="1"/>
    </xf>
    <xf numFmtId="0" fontId="2" fillId="0" borderId="0" xfId="0" applyFont="1"/>
    <xf numFmtId="0" fontId="253" fillId="2" borderId="14" xfId="28" applyFont="1" applyFill="1" applyBorder="1" applyAlignment="1">
      <alignment horizontal="center" vertical="top" wrapText="1"/>
    </xf>
    <xf numFmtId="169" fontId="255" fillId="83" borderId="0" xfId="28" applyNumberFormat="1" applyFont="1" applyFill="1" applyBorder="1" applyAlignment="1">
      <alignment horizontal="right" vertical="center"/>
    </xf>
    <xf numFmtId="2" fontId="255" fillId="83" borderId="0" xfId="28" applyNumberFormat="1" applyFont="1" applyFill="1" applyBorder="1" applyAlignment="1">
      <alignment horizontal="center" vertical="center" wrapText="1"/>
    </xf>
    <xf numFmtId="0" fontId="255" fillId="83" borderId="0" xfId="28" applyFont="1" applyFill="1" applyBorder="1" applyAlignment="1">
      <alignment horizontal="centerContinuous" vertical="center"/>
    </xf>
    <xf numFmtId="0" fontId="125" fillId="83" borderId="0" xfId="28" applyFont="1" applyFill="1" applyBorder="1" applyAlignment="1">
      <alignment horizontal="center" vertical="center"/>
    </xf>
    <xf numFmtId="332" fontId="255" fillId="83" borderId="0" xfId="28" applyNumberFormat="1" applyFont="1" applyFill="1" applyBorder="1" applyAlignment="1">
      <alignment horizontal="centerContinuous" vertical="center"/>
    </xf>
    <xf numFmtId="0" fontId="2" fillId="83" borderId="0" xfId="0" applyFont="1" applyFill="1" applyBorder="1"/>
    <xf numFmtId="0" fontId="253" fillId="83" borderId="0" xfId="0" applyFont="1" applyFill="1" applyBorder="1" applyAlignment="1">
      <alignment horizontal="right"/>
    </xf>
    <xf numFmtId="0" fontId="2" fillId="83" borderId="12" xfId="0" applyFont="1" applyFill="1" applyBorder="1"/>
    <xf numFmtId="169" fontId="256" fillId="83" borderId="7" xfId="28" applyNumberFormat="1" applyFont="1" applyFill="1" applyBorder="1" applyAlignment="1">
      <alignment vertical="center"/>
    </xf>
    <xf numFmtId="2" fontId="256" fillId="83" borderId="0" xfId="28" applyNumberFormat="1" applyFont="1" applyFill="1" applyBorder="1" applyAlignment="1">
      <alignment vertical="center"/>
    </xf>
    <xf numFmtId="0" fontId="253" fillId="83" borderId="0" xfId="0" applyFont="1" applyFill="1" applyBorder="1" applyAlignment="1"/>
    <xf numFmtId="332" fontId="256" fillId="83" borderId="0" xfId="28" applyNumberFormat="1" applyFont="1" applyFill="1" applyBorder="1" applyAlignment="1">
      <alignment vertical="center"/>
    </xf>
    <xf numFmtId="0" fontId="257" fillId="0" borderId="1" xfId="0" applyFont="1" applyFill="1" applyBorder="1" applyAlignment="1">
      <alignment horizontal="center" vertical="center"/>
    </xf>
    <xf numFmtId="333" fontId="257" fillId="0" borderId="1" xfId="0" applyNumberFormat="1" applyFont="1" applyFill="1" applyBorder="1" applyAlignment="1">
      <alignment horizontal="center" vertical="center" wrapText="1"/>
    </xf>
    <xf numFmtId="0" fontId="253" fillId="0" borderId="1" xfId="0" applyFont="1" applyBorder="1" applyAlignment="1">
      <alignment vertical="top"/>
    </xf>
    <xf numFmtId="333" fontId="253" fillId="0" borderId="1" xfId="0" applyNumberFormat="1" applyFont="1" applyBorder="1"/>
    <xf numFmtId="169" fontId="253" fillId="0" borderId="1" xfId="0" applyNumberFormat="1" applyFont="1" applyBorder="1"/>
    <xf numFmtId="196" fontId="258" fillId="0" borderId="1" xfId="3654" applyNumberFormat="1" applyFont="1" applyFill="1" applyBorder="1" applyAlignment="1">
      <alignment horizontal="center" vertical="center"/>
    </xf>
    <xf numFmtId="332" fontId="258" fillId="0" borderId="1" xfId="3654" applyNumberFormat="1" applyFont="1" applyFill="1" applyBorder="1" applyAlignment="1">
      <alignment horizontal="center" vertical="center"/>
    </xf>
    <xf numFmtId="227" fontId="253" fillId="0" borderId="1" xfId="3654" applyNumberFormat="1" applyFont="1" applyBorder="1"/>
    <xf numFmtId="0" fontId="252" fillId="3" borderId="1" xfId="0" applyFont="1" applyFill="1" applyBorder="1" applyAlignment="1">
      <alignment vertical="top"/>
    </xf>
    <xf numFmtId="0" fontId="252" fillId="3" borderId="1" xfId="0" applyFont="1" applyFill="1" applyBorder="1" applyAlignment="1">
      <alignment wrapText="1"/>
    </xf>
    <xf numFmtId="334" fontId="253" fillId="0" borderId="1" xfId="3654" applyNumberFormat="1" applyFont="1" applyBorder="1" applyAlignment="1"/>
    <xf numFmtId="0" fontId="253" fillId="0" borderId="1" xfId="0" applyNumberFormat="1" applyFont="1" applyBorder="1"/>
    <xf numFmtId="0" fontId="3" fillId="3" borderId="1" xfId="0" applyFont="1" applyFill="1" applyBorder="1"/>
    <xf numFmtId="0" fontId="252" fillId="3" borderId="4" xfId="0" applyFont="1" applyFill="1" applyBorder="1" applyAlignment="1">
      <alignment wrapText="1"/>
    </xf>
    <xf numFmtId="0" fontId="3" fillId="0" borderId="1" xfId="0" applyFont="1" applyBorder="1"/>
    <xf numFmtId="0" fontId="3" fillId="0" borderId="1" xfId="0" applyFont="1" applyBorder="1" applyAlignment="1">
      <alignment wrapText="1"/>
    </xf>
    <xf numFmtId="0" fontId="3" fillId="77" borderId="1" xfId="0" applyFont="1" applyFill="1" applyBorder="1"/>
    <xf numFmtId="0" fontId="3" fillId="3" borderId="1" xfId="0" applyFont="1" applyFill="1" applyBorder="1" applyAlignment="1">
      <alignment wrapText="1"/>
    </xf>
    <xf numFmtId="0" fontId="253" fillId="3" borderId="1" xfId="0" applyFont="1" applyFill="1" applyBorder="1" applyAlignment="1">
      <alignment wrapText="1"/>
    </xf>
    <xf numFmtId="227" fontId="252" fillId="0" borderId="1" xfId="3654" applyNumberFormat="1" applyFont="1" applyBorder="1"/>
    <xf numFmtId="1" fontId="253" fillId="0" borderId="1" xfId="0" applyNumberFormat="1" applyFont="1" applyBorder="1" applyAlignment="1">
      <alignment horizontal="right"/>
    </xf>
    <xf numFmtId="227" fontId="253" fillId="0" borderId="1" xfId="3654" applyNumberFormat="1" applyFont="1" applyBorder="1" applyAlignment="1" applyProtection="1"/>
    <xf numFmtId="335" fontId="259" fillId="0" borderId="1" xfId="3654" applyNumberFormat="1" applyFont="1" applyBorder="1"/>
    <xf numFmtId="227" fontId="260" fillId="0" borderId="1" xfId="3654" applyNumberFormat="1" applyFont="1" applyBorder="1"/>
    <xf numFmtId="0" fontId="252" fillId="84" borderId="1" xfId="0" applyFont="1" applyFill="1" applyBorder="1"/>
    <xf numFmtId="333" fontId="252" fillId="84" borderId="1" xfId="0" applyNumberFormat="1" applyFont="1" applyFill="1" applyBorder="1"/>
    <xf numFmtId="0" fontId="252" fillId="84" borderId="1" xfId="0" applyNumberFormat="1" applyFont="1" applyFill="1" applyBorder="1"/>
    <xf numFmtId="1" fontId="252" fillId="84" borderId="1" xfId="0" applyNumberFormat="1" applyFont="1" applyFill="1" applyBorder="1" applyAlignment="1">
      <alignment horizontal="right"/>
    </xf>
    <xf numFmtId="336" fontId="252" fillId="84" borderId="1" xfId="3654" applyNumberFormat="1" applyFont="1" applyFill="1" applyBorder="1"/>
    <xf numFmtId="227" fontId="252" fillId="84" borderId="1" xfId="3654" applyNumberFormat="1" applyFont="1" applyFill="1" applyBorder="1"/>
    <xf numFmtId="166" fontId="174" fillId="0" borderId="0" xfId="0" applyNumberFormat="1" applyFont="1" applyFill="1" applyBorder="1" applyAlignment="1">
      <alignment horizontal="center" vertical="center"/>
    </xf>
    <xf numFmtId="0" fontId="242" fillId="0" borderId="89" xfId="6" applyFont="1" applyFill="1" applyBorder="1" applyAlignment="1" applyProtection="1">
      <alignment horizontal="center" vertical="top" wrapText="1"/>
    </xf>
    <xf numFmtId="0" fontId="242" fillId="0" borderId="89" xfId="6" applyFont="1" applyFill="1" applyBorder="1" applyAlignment="1" applyProtection="1">
      <alignment horizontal="right" vertical="top" wrapText="1"/>
    </xf>
    <xf numFmtId="166" fontId="232" fillId="0" borderId="0" xfId="0" applyNumberFormat="1" applyFont="1" applyFill="1" applyBorder="1" applyAlignment="1">
      <alignment horizontal="center" vertical="center"/>
    </xf>
    <xf numFmtId="43" fontId="231" fillId="0" borderId="0" xfId="1" applyNumberFormat="1" applyFont="1" applyFill="1" applyBorder="1" applyAlignment="1">
      <alignment horizontal="center" vertical="center"/>
    </xf>
    <xf numFmtId="0" fontId="231" fillId="0" borderId="0" xfId="0" applyNumberFormat="1" applyFont="1" applyFill="1" applyBorder="1" applyAlignment="1">
      <alignment horizontal="left" vertical="center" wrapText="1"/>
    </xf>
    <xf numFmtId="253" fontId="234" fillId="0" borderId="0" xfId="1" applyNumberFormat="1" applyFont="1" applyFill="1" applyBorder="1" applyAlignment="1">
      <alignment vertical="center"/>
    </xf>
    <xf numFmtId="0" fontId="234" fillId="0" borderId="0" xfId="28" applyFont="1" applyFill="1" applyBorder="1" applyAlignment="1">
      <alignment vertical="center"/>
    </xf>
    <xf numFmtId="225" fontId="231" fillId="0" borderId="0" xfId="1" applyNumberFormat="1" applyFont="1" applyFill="1" applyBorder="1" applyAlignment="1">
      <alignment horizontal="center" vertical="center"/>
    </xf>
    <xf numFmtId="225" fontId="231" fillId="0" borderId="0" xfId="1" applyNumberFormat="1" applyFont="1" applyFill="1" applyBorder="1" applyAlignment="1">
      <alignment vertical="center"/>
    </xf>
    <xf numFmtId="253" fontId="234" fillId="0" borderId="0" xfId="1" applyNumberFormat="1" applyFont="1" applyFill="1" applyBorder="1" applyAlignment="1">
      <alignment horizontal="center" vertical="center"/>
    </xf>
    <xf numFmtId="196" fontId="261" fillId="0" borderId="1" xfId="3654" applyNumberFormat="1" applyFont="1" applyFill="1" applyBorder="1" applyAlignment="1">
      <alignment horizontal="center" vertical="center"/>
    </xf>
    <xf numFmtId="332" fontId="261" fillId="0" borderId="1" xfId="3654" applyNumberFormat="1" applyFont="1" applyFill="1" applyBorder="1" applyAlignment="1">
      <alignment horizontal="center" vertical="center"/>
    </xf>
    <xf numFmtId="0" fontId="0" fillId="0" borderId="0" xfId="0" applyFont="1"/>
    <xf numFmtId="0" fontId="252" fillId="77" borderId="1" xfId="0" applyFont="1" applyFill="1" applyBorder="1" applyAlignment="1">
      <alignment vertical="top"/>
    </xf>
    <xf numFmtId="0" fontId="252" fillId="77" borderId="4" xfId="0" applyFont="1" applyFill="1" applyBorder="1" applyAlignment="1">
      <alignment wrapText="1"/>
    </xf>
    <xf numFmtId="0" fontId="0" fillId="0" borderId="1" xfId="0" applyFont="1" applyBorder="1"/>
    <xf numFmtId="333" fontId="0" fillId="0" borderId="1" xfId="0" applyNumberFormat="1" applyFont="1" applyBorder="1"/>
    <xf numFmtId="196" fontId="261" fillId="82" borderId="1" xfId="3654" applyNumberFormat="1" applyFont="1" applyFill="1" applyBorder="1" applyAlignment="1">
      <alignment horizontal="center" vertical="center"/>
    </xf>
    <xf numFmtId="0" fontId="262" fillId="0" borderId="1" xfId="0" applyFont="1" applyBorder="1"/>
    <xf numFmtId="333" fontId="262" fillId="0" borderId="1" xfId="0" applyNumberFormat="1" applyFont="1" applyBorder="1"/>
    <xf numFmtId="334" fontId="263" fillId="0" borderId="1" xfId="3654" applyNumberFormat="1" applyFont="1" applyBorder="1" applyAlignment="1"/>
    <xf numFmtId="196" fontId="264" fillId="82" borderId="1" xfId="3654" applyNumberFormat="1" applyFont="1" applyFill="1" applyBorder="1" applyAlignment="1">
      <alignment horizontal="center" vertical="center"/>
    </xf>
    <xf numFmtId="196" fontId="264" fillId="0" borderId="1" xfId="3654" applyNumberFormat="1" applyFont="1" applyFill="1" applyBorder="1" applyAlignment="1">
      <alignment horizontal="center" vertical="center"/>
    </xf>
    <xf numFmtId="0" fontId="262" fillId="0" borderId="0" xfId="0" applyFont="1"/>
    <xf numFmtId="335" fontId="253" fillId="0" borderId="1" xfId="3654" applyNumberFormat="1" applyFont="1" applyBorder="1"/>
    <xf numFmtId="334" fontId="253" fillId="82" borderId="1" xfId="3654" applyNumberFormat="1" applyFont="1" applyFill="1" applyBorder="1" applyAlignment="1"/>
    <xf numFmtId="0" fontId="0" fillId="82" borderId="1" xfId="0" applyFont="1" applyFill="1" applyBorder="1"/>
    <xf numFmtId="335" fontId="259" fillId="82" borderId="1" xfId="3654" applyNumberFormat="1" applyFont="1" applyFill="1" applyBorder="1"/>
    <xf numFmtId="0" fontId="265" fillId="0" borderId="1" xfId="0" applyFont="1" applyBorder="1"/>
    <xf numFmtId="333" fontId="265" fillId="0" borderId="1" xfId="0" applyNumberFormat="1" applyFont="1" applyBorder="1"/>
    <xf numFmtId="334" fontId="125" fillId="0" borderId="1" xfId="3654" applyNumberFormat="1" applyFont="1" applyBorder="1" applyAlignment="1"/>
    <xf numFmtId="227" fontId="125" fillId="0" borderId="1" xfId="3654" applyNumberFormat="1" applyFont="1" applyBorder="1"/>
    <xf numFmtId="0" fontId="265" fillId="0" borderId="0" xfId="0" applyFont="1"/>
    <xf numFmtId="0" fontId="254" fillId="2" borderId="14" xfId="28" applyFont="1" applyFill="1" applyBorder="1" applyAlignment="1">
      <alignment vertical="top"/>
    </xf>
    <xf numFmtId="0" fontId="254" fillId="2" borderId="0" xfId="28" applyFont="1" applyFill="1" applyBorder="1" applyAlignment="1">
      <alignment vertical="top"/>
    </xf>
    <xf numFmtId="0" fontId="229" fillId="0" borderId="0" xfId="28" applyFont="1" applyBorder="1" applyAlignment="1">
      <alignment horizontal="center" vertical="center"/>
    </xf>
    <xf numFmtId="0" fontId="268" fillId="0" borderId="0" xfId="28" applyFont="1" applyBorder="1" applyAlignment="1">
      <alignment horizontal="left" vertical="center" wrapText="1"/>
    </xf>
    <xf numFmtId="43" fontId="269" fillId="0" borderId="0" xfId="1" applyNumberFormat="1" applyFont="1" applyFill="1" applyBorder="1" applyAlignment="1">
      <alignment horizontal="left" vertical="center"/>
    </xf>
    <xf numFmtId="253" fontId="268" fillId="0" borderId="0" xfId="1" applyNumberFormat="1" applyFont="1" applyFill="1" applyBorder="1" applyAlignment="1">
      <alignment vertical="center"/>
    </xf>
    <xf numFmtId="0" fontId="268" fillId="0" borderId="0" xfId="28" applyFont="1" applyFill="1" applyBorder="1" applyAlignment="1">
      <alignment vertical="center"/>
    </xf>
    <xf numFmtId="0" fontId="268" fillId="0" borderId="0" xfId="28" applyFont="1" applyFill="1" applyBorder="1" applyAlignment="1">
      <alignment horizontal="center" wrapText="1"/>
    </xf>
    <xf numFmtId="331" fontId="268" fillId="0" borderId="0" xfId="28" applyNumberFormat="1" applyFont="1" applyFill="1" applyBorder="1" applyAlignment="1">
      <alignment horizontal="center" wrapText="1"/>
    </xf>
    <xf numFmtId="43" fontId="269" fillId="0" borderId="0" xfId="1" applyNumberFormat="1" applyFont="1" applyFill="1" applyBorder="1" applyAlignment="1">
      <alignment horizontal="center"/>
    </xf>
    <xf numFmtId="253" fontId="268" fillId="0" borderId="0" xfId="1" applyNumberFormat="1" applyFont="1" applyFill="1" applyBorder="1" applyAlignment="1">
      <alignment horizontal="center"/>
    </xf>
    <xf numFmtId="0" fontId="268" fillId="0" borderId="0" xfId="28" applyFont="1" applyFill="1" applyBorder="1" applyAlignment="1">
      <alignment horizontal="center"/>
    </xf>
    <xf numFmtId="0" fontId="174" fillId="85" borderId="0" xfId="28" applyFont="1" applyFill="1" applyBorder="1" applyAlignment="1">
      <alignment horizontal="center" vertical="center"/>
    </xf>
    <xf numFmtId="169" fontId="174" fillId="85" borderId="0" xfId="28" applyNumberFormat="1" applyFont="1" applyFill="1" applyBorder="1" applyAlignment="1">
      <alignment horizontal="left" vertical="center"/>
    </xf>
    <xf numFmtId="43" fontId="229" fillId="85" borderId="0" xfId="1" applyNumberFormat="1" applyFont="1" applyFill="1" applyBorder="1" applyAlignment="1">
      <alignment horizontal="left" vertical="center"/>
    </xf>
    <xf numFmtId="2" fontId="174" fillId="85" borderId="0" xfId="0" applyNumberFormat="1" applyFont="1" applyFill="1" applyBorder="1" applyAlignment="1">
      <alignment horizontal="left" vertical="center"/>
    </xf>
    <xf numFmtId="253" fontId="174" fillId="85" borderId="0" xfId="1" applyNumberFormat="1" applyFont="1" applyFill="1" applyBorder="1" applyAlignment="1">
      <alignment vertical="center"/>
    </xf>
    <xf numFmtId="0" fontId="174" fillId="85" borderId="0" xfId="28" applyFont="1" applyFill="1" applyBorder="1" applyAlignment="1">
      <alignment vertical="center"/>
    </xf>
    <xf numFmtId="241" fontId="235" fillId="0" borderId="1" xfId="0" applyNumberFormat="1" applyFont="1" applyBorder="1"/>
    <xf numFmtId="241" fontId="235" fillId="0" borderId="63" xfId="0" applyNumberFormat="1" applyFont="1" applyBorder="1"/>
    <xf numFmtId="241" fontId="235" fillId="0" borderId="0" xfId="0" applyNumberFormat="1" applyFont="1"/>
    <xf numFmtId="241" fontId="236" fillId="0" borderId="16" xfId="0" applyNumberFormat="1" applyFont="1" applyBorder="1"/>
    <xf numFmtId="0" fontId="244" fillId="0" borderId="84" xfId="0" applyFont="1" applyFill="1" applyBorder="1" applyAlignment="1" applyProtection="1">
      <alignment horizontal="center" vertical="center" wrapText="1"/>
    </xf>
    <xf numFmtId="0" fontId="244" fillId="0" borderId="84" xfId="0" applyFont="1" applyFill="1" applyBorder="1" applyAlignment="1" applyProtection="1">
      <alignment horizontal="center" vertical="center"/>
    </xf>
    <xf numFmtId="39" fontId="244" fillId="0" borderId="84" xfId="1" applyNumberFormat="1" applyFont="1" applyFill="1" applyBorder="1" applyAlignment="1" applyProtection="1">
      <alignment horizontal="center" vertical="center"/>
      <protection locked="0"/>
    </xf>
    <xf numFmtId="43" fontId="244" fillId="0" borderId="84" xfId="1" applyFont="1" applyFill="1" applyBorder="1" applyAlignment="1" applyProtection="1">
      <alignment horizontal="center" vertical="center"/>
      <protection locked="0"/>
    </xf>
    <xf numFmtId="0" fontId="244" fillId="0" borderId="84" xfId="3" applyFont="1" applyFill="1" applyBorder="1" applyAlignment="1" applyProtection="1">
      <alignment horizontal="left" vertical="center" wrapText="1"/>
    </xf>
    <xf numFmtId="1" fontId="242" fillId="0" borderId="84" xfId="4" applyNumberFormat="1" applyFont="1" applyFill="1" applyBorder="1" applyAlignment="1" applyProtection="1">
      <alignment horizontal="center" vertical="center" wrapText="1"/>
    </xf>
    <xf numFmtId="1" fontId="244" fillId="0" borderId="84" xfId="4" applyNumberFormat="1" applyFont="1" applyFill="1" applyBorder="1" applyAlignment="1" applyProtection="1">
      <alignment horizontal="center" vertical="center" wrapText="1"/>
    </xf>
    <xf numFmtId="0" fontId="242" fillId="0" borderId="84" xfId="0" applyNumberFormat="1" applyFont="1" applyFill="1" applyBorder="1" applyAlignment="1" applyProtection="1">
      <alignment horizontal="left" vertical="center" wrapText="1"/>
    </xf>
    <xf numFmtId="0" fontId="244" fillId="0" borderId="84" xfId="0" applyNumberFormat="1" applyFont="1" applyFill="1" applyBorder="1" applyAlignment="1" applyProtection="1">
      <alignment horizontal="left" vertical="center" wrapText="1"/>
    </xf>
    <xf numFmtId="0" fontId="244" fillId="0" borderId="89" xfId="0" applyFont="1" applyFill="1" applyBorder="1" applyAlignment="1" applyProtection="1">
      <alignment horizontal="center" vertical="center" wrapText="1"/>
    </xf>
    <xf numFmtId="0" fontId="244" fillId="0" borderId="89" xfId="0" applyNumberFormat="1" applyFont="1" applyFill="1" applyBorder="1" applyAlignment="1" applyProtection="1">
      <alignment horizontal="left" vertical="center" wrapText="1"/>
    </xf>
    <xf numFmtId="43" fontId="244" fillId="0" borderId="89" xfId="1" applyFont="1" applyFill="1" applyBorder="1" applyAlignment="1" applyProtection="1">
      <alignment horizontal="center" vertical="center"/>
      <protection locked="0"/>
    </xf>
    <xf numFmtId="0" fontId="242" fillId="0" borderId="13" xfId="0" applyFont="1" applyFill="1" applyBorder="1" applyAlignment="1" applyProtection="1">
      <alignment horizontal="center" vertical="center" wrapText="1"/>
    </xf>
    <xf numFmtId="1" fontId="242" fillId="0" borderId="13" xfId="4" applyNumberFormat="1" applyFont="1" applyFill="1" applyBorder="1" applyAlignment="1" applyProtection="1">
      <alignment horizontal="center" vertical="center" wrapText="1"/>
    </xf>
    <xf numFmtId="0" fontId="237" fillId="0" borderId="0" xfId="0" applyFont="1" applyAlignment="1">
      <alignment vertical="center"/>
    </xf>
    <xf numFmtId="225" fontId="250" fillId="0" borderId="0" xfId="1" applyNumberFormat="1" applyFont="1" applyFill="1" applyBorder="1" applyAlignment="1">
      <alignment horizontal="left" vertical="center"/>
    </xf>
    <xf numFmtId="0" fontId="272" fillId="0" borderId="0" xfId="0" applyFont="1" applyBorder="1"/>
    <xf numFmtId="0" fontId="272" fillId="0" borderId="0" xfId="0" applyFont="1" applyBorder="1" applyAlignment="1">
      <alignment vertical="center"/>
    </xf>
    <xf numFmtId="0" fontId="272" fillId="0" borderId="0" xfId="0" applyFont="1" applyBorder="1" applyAlignment="1">
      <alignment wrapText="1"/>
    </xf>
    <xf numFmtId="0" fontId="272" fillId="0" borderId="0" xfId="0" applyFont="1" applyBorder="1" applyAlignment="1">
      <alignment horizontal="center" vertical="center"/>
    </xf>
    <xf numFmtId="0" fontId="272" fillId="0" borderId="0" xfId="0" applyFont="1" applyBorder="1" applyAlignment="1">
      <alignment vertical="center" wrapText="1"/>
    </xf>
    <xf numFmtId="11" fontId="272" fillId="0" borderId="0" xfId="0" applyNumberFormat="1" applyFont="1" applyBorder="1" applyAlignment="1">
      <alignment vertical="center"/>
    </xf>
    <xf numFmtId="331" fontId="272" fillId="0" borderId="0" xfId="0" applyNumberFormat="1" applyFont="1" applyBorder="1" applyAlignment="1">
      <alignment vertical="center"/>
    </xf>
    <xf numFmtId="331" fontId="272" fillId="0" borderId="0" xfId="0" applyNumberFormat="1" applyFont="1" applyBorder="1" applyAlignment="1">
      <alignment horizontal="center" vertical="center"/>
    </xf>
    <xf numFmtId="0" fontId="272" fillId="0" borderId="0" xfId="0" applyFont="1" applyBorder="1" applyAlignment="1">
      <alignment horizontal="left" vertical="center" wrapText="1"/>
    </xf>
    <xf numFmtId="0" fontId="272" fillId="0" borderId="0" xfId="0" applyFont="1" applyBorder="1" applyAlignment="1">
      <alignment horizontal="center"/>
    </xf>
    <xf numFmtId="0" fontId="272" fillId="0" borderId="0" xfId="0" applyFont="1" applyBorder="1" applyAlignment="1">
      <alignment horizontal="left" vertical="center"/>
    </xf>
    <xf numFmtId="331" fontId="250" fillId="0" borderId="0" xfId="28" applyNumberFormat="1" applyFont="1" applyFill="1" applyBorder="1" applyAlignment="1">
      <alignment horizontal="center" vertical="center" wrapText="1"/>
    </xf>
    <xf numFmtId="0" fontId="250" fillId="0" borderId="0" xfId="28" applyFont="1" applyFill="1" applyBorder="1" applyAlignment="1">
      <alignment horizontal="left" vertical="center"/>
    </xf>
    <xf numFmtId="331" fontId="250" fillId="0" borderId="0" xfId="28" applyNumberFormat="1" applyFont="1" applyFill="1" applyBorder="1" applyAlignment="1">
      <alignment horizontal="center" vertical="center"/>
    </xf>
    <xf numFmtId="1" fontId="250" fillId="0" borderId="0" xfId="28" applyNumberFormat="1" applyFont="1" applyFill="1" applyBorder="1" applyAlignment="1">
      <alignment horizontal="center" vertical="center"/>
    </xf>
    <xf numFmtId="169" fontId="250" fillId="0" borderId="0" xfId="28" applyNumberFormat="1" applyFont="1" applyFill="1" applyBorder="1" applyAlignment="1">
      <alignment horizontal="center" vertical="center"/>
    </xf>
    <xf numFmtId="0" fontId="250" fillId="0" borderId="0" xfId="28" applyFont="1" applyFill="1" applyBorder="1" applyAlignment="1">
      <alignment horizontal="left" vertical="center" wrapText="1"/>
    </xf>
    <xf numFmtId="0" fontId="272" fillId="0" borderId="0" xfId="0" applyFont="1" applyBorder="1" applyAlignment="1">
      <alignment horizontal="left" wrapText="1"/>
    </xf>
    <xf numFmtId="0" fontId="272" fillId="0" borderId="0" xfId="0" applyFont="1" applyBorder="1" applyAlignment="1">
      <alignment horizontal="left"/>
    </xf>
    <xf numFmtId="0" fontId="244" fillId="0" borderId="89" xfId="6" applyFont="1" applyFill="1" applyBorder="1" applyAlignment="1" applyProtection="1">
      <alignment horizontal="left" vertical="top" wrapText="1"/>
    </xf>
    <xf numFmtId="0" fontId="271" fillId="0" borderId="0" xfId="0" applyFont="1" applyBorder="1" applyAlignment="1">
      <alignment horizontal="left" wrapText="1"/>
    </xf>
    <xf numFmtId="1" fontId="230" fillId="77" borderId="0" xfId="0" applyNumberFormat="1" applyFont="1" applyFill="1" applyBorder="1" applyAlignment="1">
      <alignment horizontal="center" vertical="center"/>
    </xf>
    <xf numFmtId="1" fontId="242" fillId="0" borderId="84" xfId="0" applyNumberFormat="1" applyFont="1" applyFill="1" applyBorder="1" applyAlignment="1" applyProtection="1">
      <alignment horizontal="center" vertical="top"/>
    </xf>
    <xf numFmtId="1" fontId="242" fillId="0" borderId="84" xfId="3" applyNumberFormat="1" applyFont="1" applyFill="1" applyBorder="1" applyAlignment="1" applyProtection="1">
      <alignment horizontal="center" vertical="top" wrapText="1"/>
    </xf>
    <xf numFmtId="0" fontId="250" fillId="0" borderId="0" xfId="28" applyFont="1" applyFill="1" applyBorder="1" applyAlignment="1">
      <alignment horizontal="center" vertical="center" wrapText="1"/>
    </xf>
    <xf numFmtId="0" fontId="244" fillId="0" borderId="84" xfId="3" applyFont="1" applyFill="1" applyBorder="1" applyAlignment="1" applyProtection="1">
      <alignment horizontal="center" vertical="center" wrapText="1"/>
    </xf>
    <xf numFmtId="2" fontId="242" fillId="0" borderId="84" xfId="3" applyNumberFormat="1" applyFont="1" applyFill="1" applyBorder="1" applyAlignment="1" applyProtection="1">
      <alignment horizontal="left" vertical="top"/>
    </xf>
    <xf numFmtId="0" fontId="272" fillId="0" borderId="0" xfId="0" applyFont="1" applyFill="1" applyBorder="1"/>
    <xf numFmtId="0" fontId="272" fillId="0" borderId="0" xfId="0" applyFont="1" applyFill="1" applyBorder="1" applyAlignment="1">
      <alignment horizontal="center" vertical="center"/>
    </xf>
    <xf numFmtId="0" fontId="272" fillId="0" borderId="0" xfId="0" applyFont="1" applyFill="1" applyBorder="1" applyAlignment="1">
      <alignment wrapText="1"/>
    </xf>
    <xf numFmtId="0" fontId="272" fillId="0" borderId="0" xfId="0" applyFont="1" applyFill="1" applyBorder="1" applyAlignment="1">
      <alignment horizontal="center"/>
    </xf>
    <xf numFmtId="43" fontId="272" fillId="0" borderId="0" xfId="1" applyFont="1" applyFill="1" applyBorder="1" applyAlignment="1">
      <alignment horizontal="center" vertical="center"/>
    </xf>
    <xf numFmtId="43" fontId="245" fillId="0" borderId="0" xfId="1" applyFont="1" applyFill="1" applyBorder="1" applyAlignment="1">
      <alignment horizontal="left" vertical="top"/>
    </xf>
    <xf numFmtId="0" fontId="236" fillId="0" borderId="23" xfId="0" applyFont="1" applyBorder="1" applyAlignment="1">
      <alignment horizontal="left"/>
    </xf>
    <xf numFmtId="0" fontId="272" fillId="82" borderId="0" xfId="0" applyFont="1" applyFill="1" applyBorder="1" applyAlignment="1">
      <alignment horizontal="center" vertical="center"/>
    </xf>
    <xf numFmtId="331" fontId="250" fillId="82" borderId="0" xfId="28" applyNumberFormat="1" applyFont="1" applyFill="1" applyBorder="1" applyAlignment="1">
      <alignment horizontal="center" vertical="center" wrapText="1"/>
    </xf>
    <xf numFmtId="225" fontId="250" fillId="82" borderId="0" xfId="1" applyNumberFormat="1" applyFont="1" applyFill="1" applyBorder="1" applyAlignment="1">
      <alignment horizontal="left" vertical="center"/>
    </xf>
    <xf numFmtId="43" fontId="249" fillId="82" borderId="0" xfId="1" applyNumberFormat="1" applyFont="1" applyFill="1" applyBorder="1" applyAlignment="1">
      <alignment horizontal="left" vertical="center"/>
    </xf>
    <xf numFmtId="0" fontId="250" fillId="82" borderId="0" xfId="28" applyFont="1" applyFill="1" applyBorder="1" applyAlignment="1">
      <alignment horizontal="center" vertical="center"/>
    </xf>
    <xf numFmtId="166" fontId="273" fillId="0" borderId="0" xfId="0" applyNumberFormat="1" applyFont="1" applyFill="1" applyBorder="1" applyAlignment="1">
      <alignment horizontal="center" vertical="center"/>
    </xf>
    <xf numFmtId="0" fontId="274" fillId="0" borderId="0" xfId="0" applyFont="1" applyBorder="1" applyAlignment="1">
      <alignment vertical="center"/>
    </xf>
    <xf numFmtId="331" fontId="274" fillId="0" borderId="0" xfId="0" applyNumberFormat="1" applyFont="1" applyBorder="1" applyAlignment="1">
      <alignment horizontal="center" vertical="center"/>
    </xf>
    <xf numFmtId="0" fontId="274" fillId="0" borderId="0" xfId="0" applyFont="1" applyBorder="1" applyAlignment="1">
      <alignment horizontal="center" vertical="center"/>
    </xf>
    <xf numFmtId="225" fontId="274" fillId="0" borderId="0" xfId="1" applyNumberFormat="1" applyFont="1" applyFill="1" applyBorder="1" applyAlignment="1">
      <alignment horizontal="left" vertical="center"/>
    </xf>
    <xf numFmtId="43" fontId="275" fillId="0" borderId="0" xfId="1" applyNumberFormat="1" applyFont="1" applyFill="1" applyBorder="1" applyAlignment="1">
      <alignment horizontal="left" vertical="center"/>
    </xf>
    <xf numFmtId="0" fontId="275" fillId="0" borderId="0" xfId="0" applyNumberFormat="1" applyFont="1" applyFill="1" applyBorder="1" applyAlignment="1">
      <alignment horizontal="left" vertical="center" wrapText="1"/>
    </xf>
    <xf numFmtId="253" fontId="274" fillId="0" borderId="0" xfId="1" applyNumberFormat="1" applyFont="1" applyFill="1" applyBorder="1" applyAlignment="1">
      <alignment vertical="center"/>
    </xf>
    <xf numFmtId="0" fontId="274" fillId="0" borderId="0" xfId="28" applyFont="1" applyFill="1" applyBorder="1" applyAlignment="1">
      <alignment vertical="center"/>
    </xf>
    <xf numFmtId="0" fontId="274" fillId="0" borderId="0" xfId="0" applyFont="1" applyBorder="1" applyAlignment="1">
      <alignment horizontal="left" vertical="center"/>
    </xf>
    <xf numFmtId="0" fontId="274" fillId="0" borderId="0" xfId="0" applyFont="1" applyBorder="1" applyAlignment="1">
      <alignment horizontal="left"/>
    </xf>
    <xf numFmtId="0" fontId="274" fillId="0" borderId="0" xfId="28" applyFont="1" applyFill="1" applyBorder="1" applyAlignment="1">
      <alignment horizontal="center" vertical="center"/>
    </xf>
    <xf numFmtId="0" fontId="274" fillId="0" borderId="0" xfId="0" applyFont="1" applyBorder="1" applyAlignment="1">
      <alignment horizontal="center"/>
    </xf>
    <xf numFmtId="0" fontId="234" fillId="0" borderId="0" xfId="28" applyFont="1" applyBorder="1" applyAlignment="1">
      <alignment horizontal="center" vertical="center"/>
    </xf>
    <xf numFmtId="0" fontId="274" fillId="0" borderId="0" xfId="0" applyFont="1" applyBorder="1"/>
    <xf numFmtId="331" fontId="274" fillId="0" borderId="0" xfId="0" applyNumberFormat="1" applyFont="1" applyBorder="1" applyAlignment="1">
      <alignment vertical="center"/>
    </xf>
    <xf numFmtId="43" fontId="234" fillId="0" borderId="0" xfId="1" applyNumberFormat="1" applyFont="1" applyBorder="1" applyAlignment="1">
      <alignment horizontal="left" vertical="center"/>
    </xf>
    <xf numFmtId="253" fontId="234" fillId="0" borderId="0" xfId="1" applyNumberFormat="1" applyFont="1" applyBorder="1" applyAlignment="1">
      <alignment vertical="center"/>
    </xf>
    <xf numFmtId="0" fontId="234" fillId="0" borderId="0" xfId="28" applyFont="1" applyBorder="1" applyAlignment="1">
      <alignment vertical="center"/>
    </xf>
    <xf numFmtId="166" fontId="275" fillId="0" borderId="0" xfId="28" applyNumberFormat="1" applyFont="1" applyFill="1" applyBorder="1" applyAlignment="1">
      <alignment horizontal="center" vertical="center" wrapText="1"/>
    </xf>
    <xf numFmtId="0" fontId="275" fillId="0" borderId="0" xfId="28" applyNumberFormat="1" applyFont="1" applyFill="1" applyBorder="1" applyAlignment="1">
      <alignment horizontal="center" vertical="center" wrapText="1"/>
    </xf>
    <xf numFmtId="253" fontId="274" fillId="0" borderId="0" xfId="1" applyNumberFormat="1" applyFont="1" applyFill="1" applyBorder="1" applyAlignment="1">
      <alignment horizontal="center" vertical="center"/>
    </xf>
    <xf numFmtId="0" fontId="250" fillId="0" borderId="0" xfId="0" applyFont="1" applyFill="1" applyBorder="1"/>
    <xf numFmtId="331" fontId="250" fillId="0" borderId="0" xfId="0" applyNumberFormat="1" applyFont="1" applyFill="1" applyBorder="1" applyAlignment="1">
      <alignment vertical="center"/>
    </xf>
    <xf numFmtId="0" fontId="250" fillId="0" borderId="0" xfId="0" applyFont="1" applyBorder="1"/>
    <xf numFmtId="331" fontId="250" fillId="0" borderId="0" xfId="0" applyNumberFormat="1" applyFont="1" applyBorder="1" applyAlignment="1">
      <alignment vertical="center"/>
    </xf>
    <xf numFmtId="169" fontId="272" fillId="0" borderId="0" xfId="0" applyNumberFormat="1" applyFont="1" applyBorder="1" applyAlignment="1">
      <alignment horizontal="center" vertical="center"/>
    </xf>
    <xf numFmtId="0" fontId="274" fillId="0" borderId="0" xfId="0" applyFont="1" applyBorder="1" applyAlignment="1">
      <alignment horizontal="left" wrapText="1"/>
    </xf>
    <xf numFmtId="0" fontId="274" fillId="0" borderId="0" xfId="0" applyFont="1" applyFill="1" applyBorder="1"/>
    <xf numFmtId="0" fontId="274" fillId="0" borderId="0" xfId="0" applyFont="1" applyFill="1" applyBorder="1" applyAlignment="1">
      <alignment horizontal="center" vertical="center"/>
    </xf>
    <xf numFmtId="43" fontId="274" fillId="0" borderId="0" xfId="1" applyFont="1" applyFill="1" applyBorder="1" applyAlignment="1">
      <alignment horizontal="center" vertical="center"/>
    </xf>
    <xf numFmtId="0" fontId="229" fillId="0" borderId="0" xfId="28" applyFont="1" applyBorder="1" applyAlignment="1">
      <alignment horizontal="center" vertical="center"/>
    </xf>
    <xf numFmtId="337" fontId="249" fillId="0" borderId="0" xfId="28" applyNumberFormat="1" applyFont="1" applyFill="1" applyBorder="1" applyAlignment="1">
      <alignment horizontal="left" vertical="center" wrapText="1"/>
    </xf>
    <xf numFmtId="0" fontId="249" fillId="0" borderId="0" xfId="28" applyNumberFormat="1" applyFont="1" applyFill="1" applyBorder="1" applyAlignment="1">
      <alignment horizontal="left" vertical="center" wrapText="1"/>
    </xf>
    <xf numFmtId="331" fontId="272" fillId="0" borderId="0" xfId="0" applyNumberFormat="1" applyFont="1" applyFill="1" applyBorder="1" applyAlignment="1">
      <alignment horizontal="center" vertical="center"/>
    </xf>
    <xf numFmtId="0" fontId="272" fillId="0" borderId="0" xfId="0" applyFont="1" applyFill="1" applyBorder="1" applyAlignment="1">
      <alignment horizontal="left" vertical="center"/>
    </xf>
    <xf numFmtId="0" fontId="272" fillId="0" borderId="0" xfId="0" applyFont="1" applyFill="1" applyBorder="1" applyAlignment="1">
      <alignment horizontal="left"/>
    </xf>
    <xf numFmtId="0" fontId="272" fillId="0" borderId="0" xfId="0" applyFont="1" applyFill="1" applyBorder="1" applyAlignment="1">
      <alignment horizontal="left" wrapText="1"/>
    </xf>
    <xf numFmtId="1" fontId="228" fillId="77" borderId="0" xfId="0" applyNumberFormat="1" applyFont="1" applyFill="1" applyBorder="1" applyAlignment="1">
      <alignment horizontal="left" vertical="center"/>
    </xf>
    <xf numFmtId="0" fontId="249" fillId="0" borderId="0" xfId="28" applyFont="1" applyBorder="1" applyAlignment="1">
      <alignment horizontal="center" vertical="center"/>
    </xf>
    <xf numFmtId="225" fontId="249" fillId="0" borderId="0" xfId="1" applyNumberFormat="1" applyFont="1" applyFill="1" applyBorder="1" applyAlignment="1">
      <alignment horizontal="center" vertical="center"/>
    </xf>
    <xf numFmtId="2" fontId="250" fillId="0" borderId="0" xfId="28" applyNumberFormat="1" applyFont="1" applyFill="1" applyBorder="1" applyAlignment="1">
      <alignment horizontal="left" vertical="center" wrapText="1"/>
    </xf>
    <xf numFmtId="253" fontId="249" fillId="0" borderId="0" xfId="1" applyNumberFormat="1" applyFont="1" applyBorder="1" applyAlignment="1">
      <alignment vertical="center"/>
    </xf>
    <xf numFmtId="0" fontId="249" fillId="0" borderId="0" xfId="28" applyFont="1" applyBorder="1" applyAlignment="1">
      <alignment vertical="center"/>
    </xf>
    <xf numFmtId="0" fontId="275" fillId="0" borderId="0" xfId="28" applyFont="1" applyBorder="1" applyAlignment="1">
      <alignment horizontal="center" vertical="center"/>
    </xf>
    <xf numFmtId="0" fontId="274" fillId="0" borderId="0" xfId="0" applyFont="1" applyFill="1" applyBorder="1" applyAlignment="1">
      <alignment horizontal="left"/>
    </xf>
    <xf numFmtId="0" fontId="274" fillId="0" borderId="0" xfId="0" applyFont="1" applyFill="1" applyBorder="1" applyAlignment="1">
      <alignment horizontal="center"/>
    </xf>
    <xf numFmtId="225" fontId="275" fillId="0" borderId="0" xfId="1" applyNumberFormat="1" applyFont="1" applyFill="1" applyBorder="1" applyAlignment="1">
      <alignment horizontal="center" vertical="center"/>
    </xf>
    <xf numFmtId="2" fontId="274" fillId="0" borderId="0" xfId="28" applyNumberFormat="1" applyFont="1" applyFill="1" applyBorder="1" applyAlignment="1">
      <alignment horizontal="left" vertical="center" wrapText="1"/>
    </xf>
    <xf numFmtId="253" fontId="275" fillId="0" borderId="0" xfId="1" applyNumberFormat="1" applyFont="1" applyBorder="1" applyAlignment="1">
      <alignment vertical="center"/>
    </xf>
    <xf numFmtId="0" fontId="275" fillId="0" borderId="0" xfId="28" applyFont="1" applyBorder="1" applyAlignment="1">
      <alignment vertical="center"/>
    </xf>
    <xf numFmtId="169" fontId="227" fillId="77" borderId="0" xfId="28" applyNumberFormat="1" applyFont="1" applyFill="1" applyBorder="1" applyAlignment="1">
      <alignment horizontal="left" vertical="center"/>
    </xf>
    <xf numFmtId="0" fontId="250" fillId="0" borderId="0" xfId="0" applyFont="1" applyFill="1" applyBorder="1" applyAlignment="1">
      <alignment horizontal="center" vertical="center"/>
    </xf>
    <xf numFmtId="0" fontId="250" fillId="0" borderId="0" xfId="0" applyFont="1" applyBorder="1" applyAlignment="1">
      <alignment horizontal="center" vertical="center"/>
    </xf>
    <xf numFmtId="0" fontId="249" fillId="0" borderId="0" xfId="28" applyFont="1" applyFill="1" applyBorder="1" applyAlignment="1">
      <alignment horizontal="center" vertical="center"/>
    </xf>
    <xf numFmtId="0" fontId="250" fillId="0" borderId="0" xfId="0" applyFont="1" applyFill="1" applyBorder="1" applyAlignment="1">
      <alignment vertical="center"/>
    </xf>
    <xf numFmtId="331" fontId="250" fillId="0" borderId="0" xfId="0" applyNumberFormat="1" applyFont="1" applyFill="1" applyBorder="1" applyAlignment="1">
      <alignment horizontal="center" vertical="center"/>
    </xf>
    <xf numFmtId="0" fontId="250" fillId="0" borderId="0" xfId="0" applyFont="1" applyFill="1" applyBorder="1" applyAlignment="1">
      <alignment vertical="center" wrapText="1"/>
    </xf>
    <xf numFmtId="331" fontId="250" fillId="0" borderId="0" xfId="1" applyNumberFormat="1" applyFont="1" applyFill="1" applyBorder="1" applyAlignment="1">
      <alignment horizontal="center" vertical="center"/>
    </xf>
    <xf numFmtId="43" fontId="250" fillId="0" borderId="0" xfId="1" applyNumberFormat="1" applyFont="1" applyFill="1" applyBorder="1" applyAlignment="1">
      <alignment horizontal="left" vertical="center"/>
    </xf>
    <xf numFmtId="225" fontId="250" fillId="0" borderId="0" xfId="1" applyNumberFormat="1" applyFont="1" applyFill="1" applyBorder="1" applyAlignment="1">
      <alignment horizontal="center" vertical="center"/>
    </xf>
    <xf numFmtId="0" fontId="250" fillId="0" borderId="0" xfId="0" applyFont="1" applyFill="1" applyBorder="1" applyAlignment="1">
      <alignment wrapText="1"/>
    </xf>
    <xf numFmtId="43" fontId="250" fillId="0" borderId="0" xfId="1" applyFont="1" applyFill="1" applyBorder="1"/>
    <xf numFmtId="0" fontId="250" fillId="0" borderId="0" xfId="0" applyFont="1" applyFill="1" applyBorder="1" applyAlignment="1"/>
    <xf numFmtId="0" fontId="249" fillId="0" borderId="0" xfId="28" applyFont="1" applyFill="1" applyBorder="1" applyAlignment="1">
      <alignment vertical="center"/>
    </xf>
    <xf numFmtId="225" fontId="250" fillId="0" borderId="0" xfId="1" applyNumberFormat="1" applyFont="1" applyFill="1" applyBorder="1" applyAlignment="1">
      <alignment vertical="center"/>
    </xf>
    <xf numFmtId="196" fontId="250" fillId="0" borderId="0" xfId="1" applyNumberFormat="1" applyFont="1" applyFill="1" applyBorder="1" applyAlignment="1">
      <alignment vertical="center"/>
    </xf>
    <xf numFmtId="169" fontId="250" fillId="0" borderId="0" xfId="28" applyNumberFormat="1" applyFont="1" applyFill="1" applyBorder="1" applyAlignment="1">
      <alignment vertical="center"/>
    </xf>
    <xf numFmtId="0" fontId="250" fillId="0" borderId="0" xfId="28" applyFont="1" applyFill="1" applyBorder="1" applyAlignment="1"/>
    <xf numFmtId="43" fontId="249" fillId="0" borderId="0" xfId="1" applyFont="1" applyFill="1" applyBorder="1" applyAlignment="1">
      <alignment horizontal="left" vertical="center"/>
    </xf>
    <xf numFmtId="43" fontId="249" fillId="0" borderId="0" xfId="1" applyFont="1" applyFill="1" applyBorder="1" applyAlignment="1">
      <alignment vertical="center"/>
    </xf>
    <xf numFmtId="0" fontId="250" fillId="0" borderId="0" xfId="0" applyFont="1" applyFill="1" applyBorder="1" applyAlignment="1">
      <alignment horizontal="left" vertical="center"/>
    </xf>
    <xf numFmtId="0" fontId="249" fillId="0" borderId="0" xfId="28" applyFont="1" applyBorder="1" applyAlignment="1">
      <alignment horizontal="center" vertical="center"/>
    </xf>
    <xf numFmtId="253" fontId="250" fillId="0" borderId="0" xfId="1" applyNumberFormat="1" applyFont="1" applyBorder="1" applyAlignment="1">
      <alignment vertical="center"/>
    </xf>
    <xf numFmtId="0" fontId="250" fillId="0" borderId="0" xfId="28" applyFont="1" applyBorder="1" applyAlignment="1">
      <alignment vertical="center"/>
    </xf>
    <xf numFmtId="0" fontId="249" fillId="0" borderId="1" xfId="28" applyFont="1" applyBorder="1" applyAlignment="1">
      <alignment horizontal="center" vertical="center" wrapText="1"/>
    </xf>
    <xf numFmtId="0" fontId="249" fillId="0" borderId="1" xfId="28" applyFont="1" applyBorder="1" applyAlignment="1">
      <alignment horizontal="center" vertical="center"/>
    </xf>
    <xf numFmtId="225" fontId="249" fillId="0" borderId="1" xfId="1" applyNumberFormat="1" applyFont="1" applyBorder="1" applyAlignment="1">
      <alignment horizontal="center" vertical="center"/>
    </xf>
    <xf numFmtId="43" fontId="249" fillId="0" borderId="1" xfId="1" applyNumberFormat="1" applyFont="1" applyBorder="1" applyAlignment="1">
      <alignment horizontal="center" vertical="center"/>
    </xf>
    <xf numFmtId="253" fontId="250" fillId="0" borderId="0" xfId="1" applyNumberFormat="1" applyFont="1" applyBorder="1" applyAlignment="1">
      <alignment horizontal="center" vertical="center"/>
    </xf>
    <xf numFmtId="0" fontId="250" fillId="0" borderId="0" xfId="28" applyFont="1" applyBorder="1" applyAlignment="1">
      <alignment horizontal="center" vertical="center"/>
    </xf>
    <xf numFmtId="166" fontId="249" fillId="76" borderId="0" xfId="28" applyNumberFormat="1" applyFont="1" applyFill="1" applyBorder="1" applyAlignment="1">
      <alignment horizontal="center" vertical="center" wrapText="1"/>
    </xf>
    <xf numFmtId="0" fontId="249" fillId="76" borderId="0" xfId="28" applyFont="1" applyFill="1" applyBorder="1" applyAlignment="1">
      <alignment horizontal="left" vertical="center"/>
    </xf>
    <xf numFmtId="0" fontId="249" fillId="76" borderId="0" xfId="28" applyFont="1" applyFill="1" applyBorder="1" applyAlignment="1">
      <alignment horizontal="center" vertical="center"/>
    </xf>
    <xf numFmtId="43" fontId="249" fillId="76" borderId="0" xfId="1" applyNumberFormat="1" applyFont="1" applyFill="1" applyBorder="1" applyAlignment="1">
      <alignment horizontal="left" vertical="center"/>
    </xf>
    <xf numFmtId="0" fontId="249" fillId="76" borderId="0" xfId="28" applyNumberFormat="1" applyFont="1" applyFill="1" applyBorder="1" applyAlignment="1">
      <alignment horizontal="left" vertical="center" wrapText="1"/>
    </xf>
    <xf numFmtId="166" fontId="251" fillId="77" borderId="0" xfId="0" applyNumberFormat="1" applyFont="1" applyFill="1" applyBorder="1" applyAlignment="1">
      <alignment horizontal="center" vertical="center"/>
    </xf>
    <xf numFmtId="0" fontId="280" fillId="77" borderId="0" xfId="28" applyFont="1" applyFill="1" applyBorder="1" applyAlignment="1">
      <alignment horizontal="left" vertical="center"/>
    </xf>
    <xf numFmtId="0" fontId="280" fillId="77" borderId="0" xfId="28" applyFont="1" applyFill="1" applyBorder="1" applyAlignment="1">
      <alignment horizontal="center" vertical="center"/>
    </xf>
    <xf numFmtId="43" fontId="249" fillId="77" borderId="0" xfId="1" applyNumberFormat="1" applyFont="1" applyFill="1" applyBorder="1" applyAlignment="1">
      <alignment horizontal="left" vertical="center"/>
    </xf>
    <xf numFmtId="0" fontId="249" fillId="77" borderId="0" xfId="0" applyNumberFormat="1" applyFont="1" applyFill="1" applyBorder="1" applyAlignment="1">
      <alignment horizontal="left" vertical="center" wrapText="1"/>
    </xf>
    <xf numFmtId="0" fontId="250" fillId="0" borderId="0" xfId="28" applyFont="1" applyBorder="1" applyAlignment="1">
      <alignment horizontal="left" vertical="center" wrapText="1"/>
    </xf>
    <xf numFmtId="0" fontId="250" fillId="82" borderId="0" xfId="28" applyFont="1" applyFill="1" applyBorder="1" applyAlignment="1">
      <alignment horizontal="left" vertical="center" wrapText="1"/>
    </xf>
    <xf numFmtId="225" fontId="250" fillId="82" borderId="0" xfId="1" applyNumberFormat="1" applyFont="1" applyFill="1" applyBorder="1" applyAlignment="1">
      <alignment horizontal="center" vertical="center"/>
    </xf>
    <xf numFmtId="225" fontId="249" fillId="82" borderId="0" xfId="1" applyNumberFormat="1" applyFont="1" applyFill="1" applyBorder="1" applyAlignment="1">
      <alignment horizontal="center" vertical="center"/>
    </xf>
    <xf numFmtId="0" fontId="275" fillId="0" borderId="0" xfId="28" applyFont="1" applyBorder="1" applyAlignment="1">
      <alignment horizontal="left" vertical="center" wrapText="1"/>
    </xf>
    <xf numFmtId="43" fontId="275" fillId="0" borderId="0" xfId="1" applyNumberFormat="1" applyFont="1" applyFill="1" applyBorder="1" applyAlignment="1">
      <alignment horizontal="center" vertical="center"/>
    </xf>
    <xf numFmtId="253" fontId="249" fillId="0" borderId="0" xfId="1" applyNumberFormat="1" applyFont="1" applyFill="1" applyBorder="1" applyAlignment="1">
      <alignment vertical="center"/>
    </xf>
    <xf numFmtId="43" fontId="249" fillId="78" borderId="0" xfId="1" applyNumberFormat="1" applyFont="1" applyFill="1" applyBorder="1" applyAlignment="1">
      <alignment horizontal="left" vertical="center"/>
    </xf>
    <xf numFmtId="331" fontId="250" fillId="76" borderId="0" xfId="1" applyNumberFormat="1" applyFont="1" applyFill="1" applyBorder="1" applyAlignment="1">
      <alignment horizontal="center" vertical="center"/>
    </xf>
    <xf numFmtId="0" fontId="275" fillId="0" borderId="0" xfId="28" applyFont="1" applyFill="1" applyBorder="1" applyAlignment="1">
      <alignment horizontal="center" vertical="center" wrapText="1"/>
    </xf>
    <xf numFmtId="0" fontId="275" fillId="0" borderId="0" xfId="28" applyNumberFormat="1" applyFont="1" applyFill="1" applyBorder="1" applyAlignment="1">
      <alignment horizontal="left" vertical="center" wrapText="1"/>
    </xf>
    <xf numFmtId="331" fontId="250" fillId="77" borderId="0" xfId="28" applyNumberFormat="1" applyFont="1" applyFill="1" applyBorder="1" applyAlignment="1">
      <alignment horizontal="center" vertical="center"/>
    </xf>
    <xf numFmtId="331" fontId="250" fillId="0" borderId="0" xfId="1" applyNumberFormat="1" applyFont="1" applyBorder="1" applyAlignment="1">
      <alignment horizontal="center" vertical="center"/>
    </xf>
    <xf numFmtId="331" fontId="250" fillId="82" borderId="0" xfId="1" applyNumberFormat="1" applyFont="1" applyFill="1" applyBorder="1" applyAlignment="1">
      <alignment horizontal="center" vertical="center"/>
    </xf>
    <xf numFmtId="0" fontId="268" fillId="0" borderId="0" xfId="28" applyFont="1" applyFill="1" applyBorder="1" applyAlignment="1">
      <alignment horizontal="center" vertical="center"/>
    </xf>
    <xf numFmtId="331" fontId="268" fillId="0" borderId="0" xfId="1" applyNumberFormat="1" applyFont="1" applyBorder="1" applyAlignment="1">
      <alignment horizontal="center" vertical="center"/>
    </xf>
    <xf numFmtId="0" fontId="268" fillId="0" borderId="0" xfId="28" applyFont="1" applyBorder="1" applyAlignment="1">
      <alignment horizontal="center" vertical="center"/>
    </xf>
    <xf numFmtId="225" fontId="269" fillId="0" borderId="0" xfId="1" applyNumberFormat="1" applyFont="1" applyFill="1" applyBorder="1" applyAlignment="1">
      <alignment horizontal="center" vertical="center"/>
    </xf>
    <xf numFmtId="0" fontId="268" fillId="82" borderId="0" xfId="28" applyFont="1" applyFill="1" applyBorder="1" applyAlignment="1">
      <alignment horizontal="center" vertical="center"/>
    </xf>
    <xf numFmtId="331" fontId="274" fillId="0" borderId="0" xfId="1" applyNumberFormat="1" applyFont="1" applyBorder="1" applyAlignment="1">
      <alignment horizontal="center" vertical="center"/>
    </xf>
    <xf numFmtId="225" fontId="274" fillId="0" borderId="0" xfId="1" applyNumberFormat="1" applyFont="1" applyFill="1" applyBorder="1" applyAlignment="1">
      <alignment horizontal="center" vertical="center"/>
    </xf>
    <xf numFmtId="331" fontId="250" fillId="76" borderId="0" xfId="28" applyNumberFormat="1" applyFont="1" applyFill="1" applyBorder="1" applyAlignment="1">
      <alignment horizontal="center" vertical="center"/>
    </xf>
    <xf numFmtId="0" fontId="268" fillId="0" borderId="0" xfId="28" applyFont="1" applyFill="1" applyBorder="1" applyAlignment="1">
      <alignment horizontal="left" vertical="center"/>
    </xf>
    <xf numFmtId="331" fontId="268" fillId="0" borderId="0" xfId="28" applyNumberFormat="1" applyFont="1" applyFill="1" applyBorder="1" applyAlignment="1">
      <alignment horizontal="center" vertical="center"/>
    </xf>
    <xf numFmtId="169" fontId="268" fillId="0" borderId="0" xfId="28" applyNumberFormat="1" applyFont="1" applyFill="1" applyBorder="1" applyAlignment="1">
      <alignment horizontal="center" vertical="center"/>
    </xf>
    <xf numFmtId="43" fontId="268" fillId="0" borderId="0" xfId="1" applyNumberFormat="1" applyFont="1" applyFill="1" applyBorder="1" applyAlignment="1">
      <alignment horizontal="left" vertical="center"/>
    </xf>
    <xf numFmtId="0" fontId="282" fillId="0" borderId="0" xfId="28" applyFont="1" applyFill="1" applyBorder="1" applyAlignment="1">
      <alignment horizontal="left" vertical="center"/>
    </xf>
    <xf numFmtId="0" fontId="282" fillId="0" borderId="0" xfId="28" applyFont="1" applyFill="1" applyBorder="1" applyAlignment="1">
      <alignment horizontal="center" vertical="center"/>
    </xf>
    <xf numFmtId="0" fontId="249" fillId="0" borderId="0" xfId="28" applyFont="1" applyBorder="1" applyAlignment="1">
      <alignment horizontal="left" vertical="center" wrapText="1"/>
    </xf>
    <xf numFmtId="0" fontId="249" fillId="80" borderId="0" xfId="28" applyNumberFormat="1" applyFont="1" applyFill="1" applyBorder="1" applyAlignment="1">
      <alignment horizontal="left" vertical="center" wrapText="1"/>
    </xf>
    <xf numFmtId="225" fontId="249" fillId="0" borderId="0" xfId="1" applyNumberFormat="1" applyFont="1" applyFill="1" applyBorder="1" applyAlignment="1">
      <alignment horizontal="left" vertical="center"/>
    </xf>
    <xf numFmtId="225" fontId="249" fillId="82" borderId="0" xfId="1" applyNumberFormat="1" applyFont="1" applyFill="1" applyBorder="1" applyAlignment="1">
      <alignment horizontal="left" vertical="center"/>
    </xf>
    <xf numFmtId="0" fontId="268" fillId="0" borderId="0" xfId="28" applyFont="1" applyBorder="1" applyAlignment="1">
      <alignment horizontal="center" vertical="center" wrapText="1"/>
    </xf>
    <xf numFmtId="0" fontId="268" fillId="0" borderId="0" xfId="28" applyFont="1" applyFill="1" applyBorder="1" applyAlignment="1">
      <alignment horizontal="left" vertical="center" wrapText="1"/>
    </xf>
    <xf numFmtId="0" fontId="268" fillId="0" borderId="0" xfId="28" applyFont="1" applyFill="1" applyBorder="1" applyAlignment="1">
      <alignment horizontal="center" vertical="center" wrapText="1"/>
    </xf>
    <xf numFmtId="331" fontId="268" fillId="0" borderId="0" xfId="1" applyNumberFormat="1" applyFont="1" applyFill="1" applyBorder="1" applyAlignment="1">
      <alignment horizontal="center" vertical="center"/>
    </xf>
    <xf numFmtId="253" fontId="269" fillId="0" borderId="0" xfId="1" applyNumberFormat="1" applyFont="1" applyFill="1" applyBorder="1" applyAlignment="1">
      <alignment vertical="center"/>
    </xf>
    <xf numFmtId="0" fontId="269" fillId="0" borderId="0" xfId="28" applyFont="1" applyFill="1" applyBorder="1" applyAlignment="1">
      <alignment vertical="center"/>
    </xf>
    <xf numFmtId="253" fontId="275" fillId="0" borderId="0" xfId="1" applyNumberFormat="1" applyFont="1" applyFill="1" applyBorder="1" applyAlignment="1">
      <alignment vertical="center"/>
    </xf>
    <xf numFmtId="0" fontId="275" fillId="0" borderId="0" xfId="28" applyFont="1" applyFill="1" applyBorder="1" applyAlignment="1">
      <alignment vertical="center"/>
    </xf>
    <xf numFmtId="0" fontId="275" fillId="0" borderId="0" xfId="28" applyFont="1" applyBorder="1" applyAlignment="1">
      <alignment horizontal="center" vertical="center" wrapText="1"/>
    </xf>
    <xf numFmtId="1" fontId="268" fillId="0" borderId="0" xfId="28" applyNumberFormat="1" applyFont="1" applyFill="1" applyBorder="1" applyAlignment="1">
      <alignment horizontal="center" vertical="center"/>
    </xf>
    <xf numFmtId="43" fontId="275" fillId="0" borderId="0" xfId="1" applyFont="1" applyFill="1" applyBorder="1" applyAlignment="1">
      <alignment horizontal="center" vertical="center"/>
    </xf>
    <xf numFmtId="2" fontId="250" fillId="0" borderId="0" xfId="0" applyNumberFormat="1" applyFont="1" applyFill="1" applyBorder="1" applyAlignment="1">
      <alignment horizontal="left" vertical="center"/>
    </xf>
    <xf numFmtId="43" fontId="249" fillId="78" borderId="0" xfId="1" applyNumberFormat="1" applyFont="1" applyFill="1" applyBorder="1" applyAlignment="1">
      <alignment horizontal="left" vertical="center" indent="2"/>
    </xf>
    <xf numFmtId="225" fontId="250" fillId="82" borderId="0" xfId="1" applyNumberFormat="1" applyFont="1" applyFill="1" applyBorder="1" applyAlignment="1">
      <alignment vertical="center"/>
    </xf>
    <xf numFmtId="225" fontId="269" fillId="0" borderId="0" xfId="1" applyNumberFormat="1" applyFont="1" applyFill="1" applyBorder="1" applyAlignment="1">
      <alignment vertical="center"/>
    </xf>
    <xf numFmtId="331" fontId="268" fillId="82" borderId="0" xfId="1" applyNumberFormat="1" applyFont="1" applyFill="1" applyBorder="1" applyAlignment="1">
      <alignment horizontal="center" vertical="center"/>
    </xf>
    <xf numFmtId="225" fontId="268" fillId="0" borderId="0" xfId="28" applyNumberFormat="1" applyFont="1" applyBorder="1" applyAlignment="1">
      <alignment horizontal="center" vertical="center"/>
    </xf>
    <xf numFmtId="225" fontId="275" fillId="0" borderId="0" xfId="1" applyNumberFormat="1" applyFont="1" applyFill="1" applyBorder="1" applyAlignment="1">
      <alignment vertical="center"/>
    </xf>
    <xf numFmtId="225" fontId="250" fillId="0" borderId="0" xfId="28" applyNumberFormat="1" applyFont="1" applyBorder="1" applyAlignment="1">
      <alignment horizontal="center" vertical="center"/>
    </xf>
    <xf numFmtId="225" fontId="249" fillId="0" borderId="0" xfId="1" applyNumberFormat="1" applyFont="1" applyFill="1" applyBorder="1" applyAlignment="1">
      <alignment vertical="center"/>
    </xf>
    <xf numFmtId="225" fontId="250" fillId="0" borderId="0" xfId="1" applyNumberFormat="1" applyFont="1" applyBorder="1" applyAlignment="1">
      <alignment horizontal="left" vertical="center"/>
    </xf>
    <xf numFmtId="43" fontId="250" fillId="0" borderId="0" xfId="1" applyNumberFormat="1" applyFont="1" applyBorder="1" applyAlignment="1">
      <alignment horizontal="left" vertical="center"/>
    </xf>
    <xf numFmtId="0" fontId="274" fillId="0" borderId="0" xfId="28" applyFont="1" applyBorder="1" applyAlignment="1">
      <alignment horizontal="center" vertical="center"/>
    </xf>
    <xf numFmtId="43" fontId="274" fillId="0" borderId="0" xfId="1" applyNumberFormat="1" applyFont="1" applyBorder="1" applyAlignment="1">
      <alignment horizontal="left" vertical="center"/>
    </xf>
    <xf numFmtId="0" fontId="274" fillId="0" borderId="0" xfId="28" applyFont="1" applyBorder="1" applyAlignment="1">
      <alignment vertical="center"/>
    </xf>
    <xf numFmtId="43" fontId="275" fillId="0" borderId="0" xfId="1" applyFont="1" applyFill="1" applyBorder="1" applyAlignment="1">
      <alignment vertical="center"/>
    </xf>
    <xf numFmtId="43" fontId="272" fillId="0" borderId="0" xfId="1" applyFont="1" applyBorder="1"/>
    <xf numFmtId="0" fontId="272" fillId="0" borderId="0" xfId="0" applyFont="1" applyBorder="1" applyAlignment="1"/>
    <xf numFmtId="196" fontId="250" fillId="0" borderId="0" xfId="1" applyNumberFormat="1" applyFont="1" applyBorder="1" applyAlignment="1">
      <alignment vertical="center"/>
    </xf>
    <xf numFmtId="169" fontId="250" fillId="0" borderId="0" xfId="28" applyNumberFormat="1" applyFont="1" applyBorder="1" applyAlignment="1">
      <alignment vertical="center"/>
    </xf>
    <xf numFmtId="0" fontId="250" fillId="0" borderId="0" xfId="28" applyFont="1" applyBorder="1" applyAlignment="1"/>
    <xf numFmtId="0" fontId="272" fillId="0" borderId="0" xfId="0" applyFont="1" applyFill="1" applyBorder="1" applyAlignment="1">
      <alignment vertical="center"/>
    </xf>
    <xf numFmtId="0" fontId="250" fillId="0" borderId="0" xfId="0" applyFont="1" applyBorder="1" applyAlignment="1"/>
    <xf numFmtId="0" fontId="250" fillId="83" borderId="0" xfId="0" applyFont="1" applyFill="1" applyBorder="1" applyAlignment="1">
      <alignment vertical="center"/>
    </xf>
    <xf numFmtId="43" fontId="250" fillId="0" borderId="0" xfId="1" applyFont="1" applyBorder="1"/>
    <xf numFmtId="0" fontId="272" fillId="0" borderId="0" xfId="0" applyFont="1" applyFill="1" applyBorder="1" applyAlignment="1"/>
    <xf numFmtId="11" fontId="272" fillId="0" borderId="0" xfId="1" applyNumberFormat="1" applyFont="1" applyBorder="1"/>
    <xf numFmtId="0" fontId="250" fillId="3" borderId="0" xfId="28" applyFont="1" applyFill="1" applyBorder="1" applyAlignment="1">
      <alignment horizontal="left" vertical="center" wrapText="1"/>
    </xf>
    <xf numFmtId="0" fontId="250" fillId="3" borderId="0" xfId="28" applyFont="1" applyFill="1" applyBorder="1" applyAlignment="1">
      <alignment horizontal="center" vertical="center"/>
    </xf>
    <xf numFmtId="331" fontId="250" fillId="3" borderId="0" xfId="1" applyNumberFormat="1" applyFont="1" applyFill="1" applyBorder="1" applyAlignment="1">
      <alignment horizontal="center" vertical="center"/>
    </xf>
    <xf numFmtId="166" fontId="250" fillId="0" borderId="0" xfId="28" applyNumberFormat="1" applyFont="1" applyFill="1" applyBorder="1" applyAlignment="1">
      <alignment horizontal="center" vertical="center" wrapText="1"/>
    </xf>
    <xf numFmtId="0" fontId="250" fillId="0" borderId="0" xfId="0" applyFont="1" applyBorder="1" applyAlignment="1">
      <alignment horizontal="center"/>
    </xf>
    <xf numFmtId="0" fontId="250" fillId="83" borderId="0" xfId="0" applyFont="1" applyFill="1" applyBorder="1" applyAlignment="1">
      <alignment horizontal="center"/>
    </xf>
    <xf numFmtId="0" fontId="250" fillId="0" borderId="0" xfId="0" applyFont="1" applyBorder="1" applyAlignment="1">
      <alignment vertical="center"/>
    </xf>
    <xf numFmtId="0" fontId="250" fillId="0" borderId="0" xfId="0" applyFont="1" applyBorder="1" applyAlignment="1">
      <alignment vertical="center" wrapText="1"/>
    </xf>
    <xf numFmtId="331" fontId="250" fillId="0" borderId="0" xfId="0" applyNumberFormat="1" applyFont="1" applyBorder="1" applyAlignment="1">
      <alignment horizontal="center" vertical="center"/>
    </xf>
    <xf numFmtId="0" fontId="271" fillId="0" borderId="0" xfId="0" applyFont="1" applyFill="1" applyBorder="1" applyAlignment="1">
      <alignment horizontal="left" vertical="center" wrapText="1"/>
    </xf>
    <xf numFmtId="0" fontId="272" fillId="0" borderId="0" xfId="0" applyFont="1" applyFill="1" applyBorder="1" applyAlignment="1">
      <alignment horizontal="left" vertical="center" wrapText="1"/>
    </xf>
    <xf numFmtId="331" fontId="250" fillId="0" borderId="0" xfId="1" applyNumberFormat="1" applyFont="1" applyFill="1" applyBorder="1" applyAlignment="1"/>
    <xf numFmtId="0" fontId="283" fillId="0" borderId="13" xfId="0" applyFont="1" applyFill="1" applyBorder="1" applyAlignment="1" applyProtection="1">
      <alignment horizontal="center" vertical="center" wrapText="1"/>
    </xf>
    <xf numFmtId="1" fontId="283" fillId="0" borderId="13" xfId="4" applyNumberFormat="1" applyFont="1" applyFill="1" applyBorder="1" applyAlignment="1" applyProtection="1">
      <alignment horizontal="center" vertical="center" wrapText="1"/>
    </xf>
    <xf numFmtId="43" fontId="283" fillId="0" borderId="14" xfId="1" applyFont="1" applyFill="1" applyBorder="1" applyAlignment="1" applyProtection="1">
      <alignment horizontal="center" vertical="center" wrapText="1"/>
      <protection locked="0"/>
    </xf>
    <xf numFmtId="0" fontId="284" fillId="0" borderId="0" xfId="0" applyFont="1" applyAlignment="1">
      <alignment vertical="center"/>
    </xf>
    <xf numFmtId="0" fontId="283" fillId="3" borderId="85" xfId="0" applyFont="1" applyFill="1" applyBorder="1" applyAlignment="1" applyProtection="1">
      <alignment horizontal="left" vertical="top" wrapText="1"/>
    </xf>
    <xf numFmtId="0" fontId="285" fillId="0" borderId="84" xfId="0" applyFont="1" applyFill="1" applyBorder="1" applyAlignment="1" applyProtection="1">
      <alignment horizontal="justify" vertical="top" wrapText="1"/>
    </xf>
    <xf numFmtId="0" fontId="286" fillId="0" borderId="84" xfId="0" applyFont="1" applyFill="1" applyBorder="1" applyAlignment="1" applyProtection="1">
      <alignment horizontal="center" vertical="top" wrapText="1"/>
    </xf>
    <xf numFmtId="0" fontId="284" fillId="0" borderId="0" xfId="0" applyFont="1" applyAlignment="1">
      <alignment vertical="top"/>
    </xf>
    <xf numFmtId="43" fontId="284" fillId="0" borderId="0" xfId="0" applyNumberFormat="1" applyFont="1" applyAlignment="1">
      <alignment vertical="top"/>
    </xf>
    <xf numFmtId="0" fontId="285" fillId="0" borderId="84" xfId="0" applyFont="1" applyFill="1" applyBorder="1" applyAlignment="1" applyProtection="1">
      <alignment horizontal="left" vertical="top" wrapText="1"/>
    </xf>
    <xf numFmtId="0" fontId="286" fillId="0" borderId="84" xfId="0" applyFont="1" applyFill="1" applyBorder="1" applyAlignment="1" applyProtection="1">
      <alignment horizontal="justify" vertical="top" wrapText="1"/>
    </xf>
    <xf numFmtId="0" fontId="286" fillId="0" borderId="84" xfId="3" applyFont="1" applyFill="1" applyBorder="1" applyAlignment="1" applyProtection="1">
      <alignment horizontal="justify" vertical="top"/>
    </xf>
    <xf numFmtId="0" fontId="283" fillId="3" borderId="1" xfId="0" applyFont="1" applyFill="1" applyBorder="1" applyAlignment="1" applyProtection="1">
      <alignment horizontal="left" vertical="top" wrapText="1"/>
    </xf>
    <xf numFmtId="0" fontId="286" fillId="0" borderId="90" xfId="3" applyFont="1" applyFill="1" applyBorder="1" applyAlignment="1" applyProtection="1">
      <alignment horizontal="justify" vertical="top"/>
    </xf>
    <xf numFmtId="0" fontId="283" fillId="0" borderId="84" xfId="6" applyFont="1" applyFill="1" applyBorder="1" applyAlignment="1" applyProtection="1">
      <alignment horizontal="right" vertical="top" wrapText="1"/>
    </xf>
    <xf numFmtId="0" fontId="283" fillId="0" borderId="89" xfId="6" applyFont="1" applyFill="1" applyBorder="1" applyAlignment="1" applyProtection="1">
      <alignment horizontal="right" vertical="top" wrapText="1"/>
    </xf>
    <xf numFmtId="0" fontId="286" fillId="0" borderId="89" xfId="6" applyFont="1" applyFill="1" applyBorder="1" applyAlignment="1" applyProtection="1">
      <alignment horizontal="left" vertical="top" wrapText="1"/>
    </xf>
    <xf numFmtId="0" fontId="286" fillId="0" borderId="84" xfId="3" applyFont="1" applyFill="1" applyBorder="1" applyAlignment="1" applyProtection="1">
      <alignment horizontal="left" vertical="top" wrapText="1"/>
    </xf>
    <xf numFmtId="1" fontId="242" fillId="87" borderId="84" xfId="4" applyNumberFormat="1" applyFont="1" applyFill="1" applyBorder="1" applyAlignment="1" applyProtection="1">
      <alignment horizontal="center" vertical="top" wrapText="1"/>
    </xf>
    <xf numFmtId="43" fontId="289" fillId="85" borderId="0" xfId="1" applyNumberFormat="1" applyFont="1" applyFill="1" applyBorder="1" applyAlignment="1">
      <alignment horizontal="left" vertical="center"/>
    </xf>
    <xf numFmtId="0" fontId="281" fillId="0" borderId="0" xfId="0" applyFont="1" applyFill="1" applyBorder="1"/>
    <xf numFmtId="169" fontId="250" fillId="0" borderId="0" xfId="28" applyNumberFormat="1" applyFont="1" applyFill="1" applyBorder="1" applyAlignment="1">
      <alignment vertical="center" wrapText="1"/>
    </xf>
    <xf numFmtId="0" fontId="272" fillId="0" borderId="0" xfId="28" applyFont="1" applyFill="1" applyBorder="1" applyAlignment="1">
      <alignment horizontal="center" vertical="center"/>
    </xf>
    <xf numFmtId="225" fontId="272" fillId="0" borderId="0" xfId="1" applyNumberFormat="1" applyFont="1" applyFill="1" applyBorder="1" applyAlignment="1">
      <alignment horizontal="center" vertical="center"/>
    </xf>
    <xf numFmtId="0" fontId="250" fillId="0" borderId="0" xfId="0" applyFont="1" applyFill="1" applyBorder="1" applyAlignment="1">
      <alignment horizontal="center"/>
    </xf>
    <xf numFmtId="0" fontId="249" fillId="88" borderId="0" xfId="28" applyFont="1" applyFill="1" applyBorder="1" applyAlignment="1">
      <alignment horizontal="left" vertical="center" wrapText="1"/>
    </xf>
    <xf numFmtId="0" fontId="250" fillId="0" borderId="0" xfId="0" applyFont="1" applyBorder="1" applyAlignment="1">
      <alignment wrapText="1"/>
    </xf>
    <xf numFmtId="0" fontId="272" fillId="79" borderId="0" xfId="0" applyFont="1" applyFill="1" applyBorder="1" applyAlignment="1">
      <alignment horizontal="left" wrapText="1"/>
    </xf>
    <xf numFmtId="166" fontId="271" fillId="0" borderId="0" xfId="28" applyNumberFormat="1" applyFont="1" applyFill="1" applyBorder="1" applyAlignment="1">
      <alignment horizontal="center" vertical="center" wrapText="1"/>
    </xf>
    <xf numFmtId="43" fontId="271" fillId="0" borderId="0" xfId="1" applyNumberFormat="1" applyFont="1" applyFill="1" applyBorder="1" applyAlignment="1">
      <alignment horizontal="left" vertical="center"/>
    </xf>
    <xf numFmtId="0" fontId="271" fillId="0" borderId="0" xfId="28" applyNumberFormat="1" applyFont="1" applyFill="1" applyBorder="1" applyAlignment="1">
      <alignment horizontal="center" vertical="center" wrapText="1"/>
    </xf>
    <xf numFmtId="0" fontId="271" fillId="77" borderId="0" xfId="0" applyFont="1" applyFill="1" applyBorder="1" applyAlignment="1">
      <alignment horizontal="left" wrapText="1"/>
    </xf>
    <xf numFmtId="166" fontId="249" fillId="79" borderId="0" xfId="28" applyNumberFormat="1" applyFont="1" applyFill="1" applyBorder="1" applyAlignment="1">
      <alignment horizontal="center" vertical="center" wrapText="1"/>
    </xf>
    <xf numFmtId="0" fontId="249" fillId="79" borderId="0" xfId="28" applyFont="1" applyFill="1" applyBorder="1" applyAlignment="1">
      <alignment horizontal="center" vertical="center"/>
    </xf>
    <xf numFmtId="169" fontId="250" fillId="0" borderId="0" xfId="28" applyNumberFormat="1" applyFont="1" applyFill="1" applyBorder="1" applyAlignment="1">
      <alignment horizontal="left" vertical="center"/>
    </xf>
    <xf numFmtId="0" fontId="249" fillId="77" borderId="0" xfId="28" applyFont="1" applyFill="1" applyBorder="1" applyAlignment="1">
      <alignment horizontal="center" vertical="center"/>
    </xf>
    <xf numFmtId="0" fontId="249" fillId="77" borderId="0" xfId="28" applyFont="1" applyFill="1" applyBorder="1" applyAlignment="1">
      <alignment horizontal="left" vertical="center" wrapText="1"/>
    </xf>
    <xf numFmtId="169" fontId="250" fillId="0" borderId="0" xfId="28" applyNumberFormat="1" applyFont="1" applyFill="1" applyBorder="1" applyAlignment="1">
      <alignment horizontal="left" vertical="center" wrapText="1"/>
    </xf>
    <xf numFmtId="166" fontId="272" fillId="0" borderId="0" xfId="0" applyNumberFormat="1" applyFont="1" applyFill="1" applyBorder="1" applyAlignment="1">
      <alignment horizontal="center" vertical="center"/>
    </xf>
    <xf numFmtId="43" fontId="272" fillId="0" borderId="0" xfId="1" applyNumberFormat="1" applyFont="1" applyFill="1" applyBorder="1" applyAlignment="1">
      <alignment horizontal="left" vertical="center"/>
    </xf>
    <xf numFmtId="0" fontId="272" fillId="0" borderId="0" xfId="0" applyNumberFormat="1" applyFont="1" applyFill="1" applyBorder="1" applyAlignment="1">
      <alignment horizontal="left" vertical="center" wrapText="1"/>
    </xf>
    <xf numFmtId="0" fontId="272" fillId="88" borderId="0" xfId="0" applyFont="1" applyFill="1" applyBorder="1" applyAlignment="1">
      <alignment horizontal="left" wrapText="1"/>
    </xf>
    <xf numFmtId="196" fontId="250" fillId="0" borderId="0" xfId="1" applyNumberFormat="1" applyFont="1" applyFill="1" applyBorder="1" applyAlignment="1">
      <alignment horizontal="left" vertical="center"/>
    </xf>
    <xf numFmtId="0" fontId="250" fillId="77" borderId="0" xfId="28" applyFont="1" applyFill="1" applyBorder="1" applyAlignment="1">
      <alignment horizontal="center" vertical="center"/>
    </xf>
    <xf numFmtId="0" fontId="272" fillId="0" borderId="0" xfId="28" applyFont="1" applyBorder="1" applyAlignment="1">
      <alignment horizontal="center" vertical="center"/>
    </xf>
    <xf numFmtId="0" fontId="272" fillId="0" borderId="0" xfId="28" applyFont="1" applyBorder="1" applyAlignment="1">
      <alignment horizontal="left" vertical="center" wrapText="1"/>
    </xf>
    <xf numFmtId="196" fontId="272" fillId="0" borderId="0" xfId="1" applyNumberFormat="1" applyFont="1" applyFill="1" applyBorder="1" applyAlignment="1">
      <alignment horizontal="left" vertical="center"/>
    </xf>
    <xf numFmtId="0" fontId="272" fillId="0" borderId="0" xfId="28" applyFont="1" applyFill="1" applyBorder="1" applyAlignment="1">
      <alignment horizontal="left" vertical="center"/>
    </xf>
    <xf numFmtId="169" fontId="272" fillId="0" borderId="0" xfId="28" applyNumberFormat="1" applyFont="1" applyFill="1" applyBorder="1" applyAlignment="1">
      <alignment horizontal="left" vertical="center"/>
    </xf>
    <xf numFmtId="0" fontId="249" fillId="88" borderId="0" xfId="28" applyFont="1" applyFill="1" applyBorder="1" applyAlignment="1">
      <alignment horizontal="center" vertical="center"/>
    </xf>
    <xf numFmtId="2" fontId="250" fillId="0" borderId="0" xfId="28" applyNumberFormat="1" applyFont="1" applyFill="1" applyBorder="1" applyAlignment="1">
      <alignment horizontal="left" vertical="center"/>
    </xf>
    <xf numFmtId="0" fontId="272" fillId="86" borderId="0" xfId="0" applyFont="1" applyFill="1" applyBorder="1" applyAlignment="1">
      <alignment horizontal="left" wrapText="1"/>
    </xf>
    <xf numFmtId="0" fontId="250" fillId="86" borderId="0" xfId="28" applyFont="1" applyFill="1" applyBorder="1" applyAlignment="1">
      <alignment horizontal="center" vertical="center"/>
    </xf>
    <xf numFmtId="0" fontId="271" fillId="0" borderId="0" xfId="28" applyFont="1" applyBorder="1" applyAlignment="1">
      <alignment horizontal="center" vertical="center"/>
    </xf>
    <xf numFmtId="225" fontId="271" fillId="0" borderId="0" xfId="1" applyNumberFormat="1" applyFont="1" applyFill="1" applyBorder="1" applyAlignment="1">
      <alignment horizontal="center" vertical="center"/>
    </xf>
    <xf numFmtId="225" fontId="229" fillId="0" borderId="0" xfId="1" applyNumberFormat="1" applyFont="1" applyFill="1" applyBorder="1" applyAlignment="1">
      <alignment horizontal="left" vertical="center"/>
    </xf>
    <xf numFmtId="0" fontId="250" fillId="0" borderId="0" xfId="28" applyNumberFormat="1" applyFont="1" applyFill="1" applyBorder="1" applyAlignment="1">
      <alignment horizontal="center" vertical="center" wrapText="1"/>
    </xf>
    <xf numFmtId="43" fontId="250" fillId="0" borderId="0" xfId="1" applyNumberFormat="1" applyFont="1" applyFill="1" applyBorder="1" applyAlignment="1"/>
    <xf numFmtId="43" fontId="249" fillId="0" borderId="0" xfId="0" applyNumberFormat="1" applyFont="1" applyFill="1" applyBorder="1" applyAlignment="1">
      <alignment horizontal="left" vertical="center" wrapText="1"/>
    </xf>
    <xf numFmtId="0" fontId="245" fillId="0" borderId="0" xfId="3155" applyFont="1" applyFill="1" applyBorder="1" applyAlignment="1">
      <alignment vertical="top" wrapText="1"/>
    </xf>
    <xf numFmtId="0" fontId="246" fillId="0" borderId="0" xfId="3155" applyFont="1" applyFill="1" applyBorder="1" applyAlignment="1">
      <alignment vertical="top" wrapText="1"/>
    </xf>
    <xf numFmtId="0" fontId="246" fillId="0" borderId="0" xfId="3155" applyFont="1" applyFill="1" applyBorder="1" applyAlignment="1">
      <alignment horizontal="left" vertical="top" wrapText="1"/>
    </xf>
    <xf numFmtId="2" fontId="272" fillId="0" borderId="0" xfId="0" applyNumberFormat="1" applyFont="1" applyFill="1" applyBorder="1" applyAlignment="1">
      <alignment horizontal="center" vertical="center"/>
    </xf>
    <xf numFmtId="273" fontId="242" fillId="0" borderId="14" xfId="1" applyNumberFormat="1" applyFont="1" applyFill="1" applyBorder="1" applyAlignment="1" applyProtection="1">
      <alignment horizontal="center" vertical="center" wrapText="1"/>
      <protection locked="0"/>
    </xf>
    <xf numFmtId="273" fontId="242" fillId="3" borderId="85" xfId="1" applyNumberFormat="1" applyFont="1" applyFill="1" applyBorder="1" applyAlignment="1" applyProtection="1">
      <alignment horizontal="center" vertical="top" wrapText="1"/>
      <protection locked="0"/>
    </xf>
    <xf numFmtId="273" fontId="244" fillId="0" borderId="84" xfId="1" applyNumberFormat="1" applyFont="1" applyFill="1" applyBorder="1" applyAlignment="1" applyProtection="1">
      <alignment horizontal="center" vertical="center"/>
      <protection locked="0"/>
    </xf>
    <xf numFmtId="273" fontId="244" fillId="0" borderId="84" xfId="1" applyNumberFormat="1" applyFont="1" applyFill="1" applyBorder="1" applyAlignment="1" applyProtection="1">
      <alignment horizontal="center" vertical="center" wrapText="1"/>
      <protection locked="0"/>
    </xf>
    <xf numFmtId="273" fontId="244" fillId="0" borderId="84" xfId="0" applyNumberFormat="1" applyFont="1" applyFill="1" applyBorder="1" applyAlignment="1" applyProtection="1">
      <alignment horizontal="center" vertical="center"/>
    </xf>
    <xf numFmtId="273" fontId="244" fillId="0" borderId="89" xfId="0" applyNumberFormat="1" applyFont="1" applyFill="1" applyBorder="1" applyAlignment="1" applyProtection="1">
      <alignment horizontal="center" vertical="center"/>
    </xf>
    <xf numFmtId="273" fontId="244" fillId="0" borderId="89" xfId="0" applyNumberFormat="1" applyFont="1" applyFill="1" applyBorder="1" applyAlignment="1" applyProtection="1">
      <alignment horizontal="center" vertical="top"/>
    </xf>
    <xf numFmtId="273" fontId="237" fillId="0" borderId="0" xfId="1" applyNumberFormat="1" applyFont="1" applyAlignment="1">
      <alignment vertical="top"/>
    </xf>
    <xf numFmtId="241" fontId="242" fillId="0" borderId="13" xfId="1" applyNumberFormat="1" applyFont="1" applyFill="1" applyBorder="1" applyAlignment="1" applyProtection="1">
      <alignment horizontal="center" vertical="center" wrapText="1"/>
    </xf>
    <xf numFmtId="241" fontId="242" fillId="3" borderId="85" xfId="1" applyNumberFormat="1" applyFont="1" applyFill="1" applyBorder="1" applyAlignment="1" applyProtection="1">
      <alignment horizontal="center" vertical="top" wrapText="1"/>
      <protection locked="0"/>
    </xf>
    <xf numFmtId="241" fontId="244" fillId="0" borderId="84" xfId="1" applyNumberFormat="1" applyFont="1" applyFill="1" applyBorder="1" applyAlignment="1" applyProtection="1">
      <alignment horizontal="center" vertical="center"/>
      <protection locked="0"/>
    </xf>
    <xf numFmtId="0" fontId="250" fillId="89" borderId="0" xfId="28" applyFont="1" applyFill="1" applyBorder="1" applyAlignment="1">
      <alignment horizontal="left" vertical="center" wrapText="1"/>
    </xf>
    <xf numFmtId="331" fontId="250" fillId="89" borderId="0" xfId="0" applyNumberFormat="1" applyFont="1" applyFill="1" applyBorder="1" applyAlignment="1">
      <alignment horizontal="center" vertical="center"/>
    </xf>
    <xf numFmtId="0" fontId="250" fillId="89" borderId="0" xfId="28" applyFont="1" applyFill="1" applyBorder="1" applyAlignment="1">
      <alignment vertical="center"/>
    </xf>
    <xf numFmtId="169" fontId="250" fillId="89" borderId="0" xfId="28" applyNumberFormat="1" applyFont="1" applyFill="1" applyBorder="1" applyAlignment="1">
      <alignment vertical="center"/>
    </xf>
    <xf numFmtId="43" fontId="287" fillId="0" borderId="91" xfId="1" applyNumberFormat="1" applyFont="1" applyBorder="1" applyAlignment="1">
      <alignment horizontal="center" vertical="top" wrapText="1"/>
    </xf>
    <xf numFmtId="1" fontId="242" fillId="87" borderId="86" xfId="4" applyNumberFormat="1" applyFont="1" applyFill="1" applyBorder="1" applyAlignment="1" applyProtection="1">
      <alignment horizontal="center" vertical="top" wrapText="1"/>
    </xf>
    <xf numFmtId="43" fontId="245" fillId="0" borderId="63" xfId="1" applyFont="1" applyFill="1" applyBorder="1" applyAlignment="1"/>
    <xf numFmtId="43" fontId="246" fillId="0" borderId="63" xfId="1" applyFont="1" applyFill="1" applyBorder="1" applyAlignment="1"/>
    <xf numFmtId="0" fontId="249" fillId="90" borderId="0" xfId="28" applyFont="1" applyFill="1" applyBorder="1" applyAlignment="1">
      <alignment horizontal="left" vertical="center"/>
    </xf>
    <xf numFmtId="0" fontId="271" fillId="90" borderId="0" xfId="0" applyFont="1" applyFill="1" applyBorder="1" applyAlignment="1">
      <alignment vertical="center" wrapText="1"/>
    </xf>
    <xf numFmtId="0" fontId="271" fillId="90" borderId="0" xfId="0" applyFont="1" applyFill="1" applyBorder="1" applyAlignment="1">
      <alignment vertical="center"/>
    </xf>
    <xf numFmtId="0" fontId="275" fillId="90" borderId="0" xfId="28" applyFont="1" applyFill="1" applyBorder="1" applyAlignment="1">
      <alignment horizontal="left" vertical="center" wrapText="1"/>
    </xf>
    <xf numFmtId="0" fontId="249" fillId="90" borderId="0" xfId="28" applyFont="1" applyFill="1" applyBorder="1" applyAlignment="1">
      <alignment horizontal="left" vertical="center" wrapText="1"/>
    </xf>
    <xf numFmtId="0" fontId="249" fillId="90" borderId="0" xfId="0" applyFont="1" applyFill="1" applyBorder="1" applyAlignment="1">
      <alignment wrapText="1"/>
    </xf>
    <xf numFmtId="0" fontId="249" fillId="90" borderId="0" xfId="0" applyFont="1" applyFill="1" applyBorder="1" applyAlignment="1">
      <alignment vertical="center" wrapText="1"/>
    </xf>
    <xf numFmtId="0" fontId="249" fillId="90" borderId="0" xfId="0" applyFont="1" applyFill="1" applyBorder="1" applyAlignment="1">
      <alignment vertical="center"/>
    </xf>
    <xf numFmtId="0" fontId="271" fillId="90" borderId="0" xfId="0" applyFont="1" applyFill="1" applyBorder="1"/>
    <xf numFmtId="337" fontId="249" fillId="90" borderId="0" xfId="28" applyNumberFormat="1" applyFont="1" applyFill="1" applyBorder="1" applyAlignment="1">
      <alignment horizontal="left" vertical="center" wrapText="1"/>
    </xf>
    <xf numFmtId="0" fontId="271" fillId="90" borderId="0" xfId="0" applyFont="1" applyFill="1" applyBorder="1" applyAlignment="1">
      <alignment horizontal="left" vertical="center" wrapText="1"/>
    </xf>
    <xf numFmtId="0" fontId="271" fillId="90" borderId="0" xfId="0" applyFont="1" applyFill="1" applyBorder="1" applyAlignment="1">
      <alignment horizontal="left" vertical="center"/>
    </xf>
    <xf numFmtId="0" fontId="276" fillId="90" borderId="0" xfId="28" applyFont="1" applyFill="1" applyBorder="1" applyAlignment="1">
      <alignment horizontal="left" vertical="center" wrapText="1"/>
    </xf>
    <xf numFmtId="0" fontId="271" fillId="90" borderId="0" xfId="0" applyFont="1" applyFill="1" applyBorder="1" applyAlignment="1">
      <alignment wrapText="1"/>
    </xf>
    <xf numFmtId="0" fontId="271" fillId="90" borderId="0" xfId="0" applyFont="1" applyFill="1" applyBorder="1" applyAlignment="1">
      <alignment horizontal="left" wrapText="1"/>
    </xf>
    <xf numFmtId="0" fontId="271" fillId="90" borderId="0" xfId="0" applyFont="1" applyFill="1" applyBorder="1" applyAlignment="1">
      <alignment horizontal="left"/>
    </xf>
    <xf numFmtId="0" fontId="279" fillId="90" borderId="0" xfId="28" applyFont="1" applyFill="1" applyBorder="1" applyAlignment="1">
      <alignment horizontal="left" vertical="center" wrapText="1"/>
    </xf>
    <xf numFmtId="0" fontId="274" fillId="0" borderId="0" xfId="28" applyFont="1" applyBorder="1" applyAlignment="1">
      <alignment horizontal="left" vertical="center" wrapText="1"/>
    </xf>
    <xf numFmtId="337" fontId="250" fillId="82" borderId="0" xfId="28" applyNumberFormat="1" applyFont="1" applyFill="1" applyBorder="1" applyAlignment="1">
      <alignment horizontal="left" vertical="center" wrapText="1"/>
    </xf>
    <xf numFmtId="0" fontId="274" fillId="0" borderId="0" xfId="28" applyFont="1" applyFill="1" applyBorder="1" applyAlignment="1">
      <alignment horizontal="left" vertical="center" wrapText="1"/>
    </xf>
    <xf numFmtId="331" fontId="274" fillId="0" borderId="0" xfId="28" applyNumberFormat="1" applyFont="1" applyFill="1" applyBorder="1" applyAlignment="1">
      <alignment horizontal="center" vertical="center"/>
    </xf>
    <xf numFmtId="169" fontId="274" fillId="0" borderId="0" xfId="28" applyNumberFormat="1" applyFont="1" applyFill="1" applyBorder="1" applyAlignment="1">
      <alignment horizontal="left" vertical="center"/>
    </xf>
    <xf numFmtId="0" fontId="274" fillId="0" borderId="0" xfId="28" applyFont="1" applyFill="1" applyBorder="1" applyAlignment="1">
      <alignment horizontal="left" vertical="center"/>
    </xf>
    <xf numFmtId="1" fontId="274" fillId="0" borderId="0" xfId="28" applyNumberFormat="1" applyFont="1" applyFill="1" applyBorder="1" applyAlignment="1">
      <alignment horizontal="center" vertical="center"/>
    </xf>
    <xf numFmtId="0" fontId="275" fillId="90" borderId="0" xfId="28" applyFont="1" applyFill="1" applyBorder="1" applyAlignment="1">
      <alignment horizontal="left" vertical="center"/>
    </xf>
    <xf numFmtId="196" fontId="274" fillId="0" borderId="0" xfId="1" applyNumberFormat="1" applyFont="1" applyBorder="1" applyAlignment="1">
      <alignment vertical="center"/>
    </xf>
    <xf numFmtId="169" fontId="274" fillId="0" borderId="0" xfId="28" applyNumberFormat="1" applyFont="1" applyBorder="1" applyAlignment="1">
      <alignment vertical="center"/>
    </xf>
    <xf numFmtId="43" fontId="275" fillId="0" borderId="0" xfId="1" applyFont="1" applyFill="1" applyBorder="1" applyAlignment="1">
      <alignment horizontal="left" vertical="center"/>
    </xf>
    <xf numFmtId="0" fontId="249" fillId="82" borderId="0" xfId="28" applyFont="1" applyFill="1" applyBorder="1" applyAlignment="1">
      <alignment horizontal="left" vertical="center" wrapText="1"/>
    </xf>
    <xf numFmtId="0" fontId="249" fillId="0" borderId="0" xfId="28" applyFont="1" applyBorder="1" applyAlignment="1">
      <alignment horizontal="center" vertical="center"/>
    </xf>
    <xf numFmtId="0" fontId="272" fillId="0" borderId="0" xfId="0" applyNumberFormat="1" applyFont="1" applyFill="1" applyBorder="1" applyAlignment="1">
      <alignment horizontal="center" vertical="center"/>
    </xf>
    <xf numFmtId="0" fontId="272" fillId="0" borderId="0" xfId="1" applyNumberFormat="1" applyFont="1" applyFill="1" applyBorder="1" applyAlignment="1">
      <alignment horizontal="center" vertical="center"/>
    </xf>
    <xf numFmtId="331" fontId="250" fillId="0" borderId="1" xfId="1" applyNumberFormat="1" applyFont="1" applyFill="1" applyBorder="1" applyAlignment="1">
      <alignment horizontal="center" vertical="center"/>
    </xf>
    <xf numFmtId="0" fontId="250" fillId="0" borderId="1" xfId="28" applyFont="1" applyFill="1" applyBorder="1" applyAlignment="1">
      <alignment horizontal="center" vertical="center" wrapText="1"/>
    </xf>
    <xf numFmtId="169" fontId="250" fillId="0" borderId="1" xfId="28" applyNumberFormat="1" applyFont="1" applyFill="1" applyBorder="1" applyAlignment="1">
      <alignment horizontal="center" vertical="center"/>
    </xf>
    <xf numFmtId="331" fontId="272" fillId="82" borderId="0" xfId="0" applyNumberFormat="1" applyFont="1" applyFill="1" applyBorder="1" applyAlignment="1">
      <alignment horizontal="center" vertical="center"/>
    </xf>
    <xf numFmtId="331" fontId="291" fillId="0" borderId="0" xfId="1" applyNumberFormat="1" applyFont="1" applyFill="1" applyBorder="1" applyAlignment="1">
      <alignment horizontal="center" vertical="center"/>
    </xf>
    <xf numFmtId="0" fontId="291" fillId="0" borderId="0" xfId="28" applyFont="1" applyFill="1" applyBorder="1" applyAlignment="1">
      <alignment horizontal="center" vertical="center"/>
    </xf>
    <xf numFmtId="169" fontId="274" fillId="0" borderId="0" xfId="28" applyNumberFormat="1" applyFont="1" applyFill="1" applyBorder="1" applyAlignment="1">
      <alignment horizontal="center" vertical="center"/>
    </xf>
    <xf numFmtId="0" fontId="250" fillId="0" borderId="0" xfId="0" applyNumberFormat="1" applyFont="1" applyFill="1" applyBorder="1" applyAlignment="1">
      <alignment horizontal="center" vertical="center"/>
    </xf>
    <xf numFmtId="0" fontId="292" fillId="77" borderId="0" xfId="28" applyFont="1" applyFill="1" applyBorder="1" applyAlignment="1">
      <alignment horizontal="center" vertical="center"/>
    </xf>
    <xf numFmtId="0" fontId="250" fillId="82" borderId="0" xfId="28" applyFont="1" applyFill="1" applyBorder="1" applyAlignment="1">
      <alignment horizontal="center" vertical="center" wrapText="1"/>
    </xf>
    <xf numFmtId="0" fontId="274" fillId="0" borderId="0" xfId="28" applyFont="1" applyFill="1" applyBorder="1" applyAlignment="1">
      <alignment horizontal="center" vertical="center" wrapText="1"/>
    </xf>
    <xf numFmtId="196" fontId="250" fillId="0" borderId="0" xfId="1" applyNumberFormat="1" applyFont="1" applyBorder="1" applyAlignment="1">
      <alignment horizontal="left" vertical="center"/>
    </xf>
    <xf numFmtId="0" fontId="250" fillId="0" borderId="0" xfId="28" applyFont="1" applyBorder="1" applyAlignment="1">
      <alignment horizontal="left" vertical="center"/>
    </xf>
    <xf numFmtId="331" fontId="250" fillId="82" borderId="0" xfId="28" applyNumberFormat="1" applyFont="1" applyFill="1" applyBorder="1" applyAlignment="1">
      <alignment horizontal="center" vertical="center"/>
    </xf>
    <xf numFmtId="0" fontId="272" fillId="82" borderId="0" xfId="0" applyFont="1" applyFill="1" applyBorder="1" applyAlignment="1">
      <alignment horizontal="center"/>
    </xf>
    <xf numFmtId="0" fontId="272" fillId="82" borderId="0" xfId="0" applyFont="1" applyFill="1" applyBorder="1"/>
    <xf numFmtId="331" fontId="250" fillId="82" borderId="0" xfId="0" applyNumberFormat="1" applyFont="1" applyFill="1" applyBorder="1" applyAlignment="1">
      <alignment vertical="center"/>
    </xf>
    <xf numFmtId="0" fontId="250" fillId="82" borderId="0" xfId="0" applyFont="1" applyFill="1" applyBorder="1" applyAlignment="1">
      <alignment horizontal="center" vertical="center"/>
    </xf>
    <xf numFmtId="331" fontId="274" fillId="0" borderId="0" xfId="1" applyNumberFormat="1" applyFont="1" applyFill="1" applyBorder="1" applyAlignment="1">
      <alignment horizontal="center" vertical="center"/>
    </xf>
    <xf numFmtId="0" fontId="274" fillId="0" borderId="0" xfId="0" applyFont="1" applyFill="1" applyBorder="1" applyAlignment="1">
      <alignment vertical="center"/>
    </xf>
    <xf numFmtId="169" fontId="250" fillId="0" borderId="0" xfId="28" applyNumberFormat="1" applyFont="1" applyFill="1" applyBorder="1" applyAlignment="1">
      <alignment horizontal="center" vertical="center" wrapText="1"/>
    </xf>
    <xf numFmtId="43" fontId="236" fillId="0" borderId="0" xfId="0" applyNumberFormat="1" applyFont="1"/>
    <xf numFmtId="331" fontId="174" fillId="0" borderId="1" xfId="1" applyNumberFormat="1" applyFont="1" applyFill="1" applyBorder="1" applyAlignment="1">
      <alignment horizontal="center" vertical="center"/>
    </xf>
    <xf numFmtId="0" fontId="174" fillId="0" borderId="1" xfId="28" applyFont="1" applyFill="1" applyBorder="1" applyAlignment="1">
      <alignment horizontal="center" vertical="center" wrapText="1"/>
    </xf>
    <xf numFmtId="169" fontId="174" fillId="0" borderId="1" xfId="28" applyNumberFormat="1" applyFont="1" applyFill="1" applyBorder="1" applyAlignment="1">
      <alignment horizontal="center" vertical="center"/>
    </xf>
    <xf numFmtId="0" fontId="293" fillId="77" borderId="0" xfId="28" applyFont="1" applyFill="1" applyBorder="1" applyAlignment="1">
      <alignment horizontal="center" vertical="center"/>
    </xf>
    <xf numFmtId="331" fontId="234" fillId="0" borderId="0" xfId="28" applyNumberFormat="1" applyFont="1" applyFill="1" applyBorder="1" applyAlignment="1">
      <alignment horizontal="center" vertical="center" wrapText="1"/>
    </xf>
    <xf numFmtId="0" fontId="234" fillId="0" borderId="0" xfId="28" applyFont="1" applyFill="1" applyBorder="1" applyAlignment="1">
      <alignment horizontal="left" vertical="center" wrapText="1"/>
    </xf>
    <xf numFmtId="169" fontId="234" fillId="0" borderId="0" xfId="28" applyNumberFormat="1" applyFont="1" applyFill="1" applyBorder="1" applyAlignment="1">
      <alignment horizontal="left" vertical="center" wrapText="1"/>
    </xf>
    <xf numFmtId="196" fontId="174" fillId="0" borderId="0" xfId="1" applyNumberFormat="1" applyFont="1" applyFill="1" applyBorder="1" applyAlignment="1">
      <alignment horizontal="left" vertical="center"/>
    </xf>
    <xf numFmtId="0" fontId="293" fillId="77" borderId="0" xfId="28" applyFont="1" applyFill="1" applyBorder="1" applyAlignment="1">
      <alignment horizontal="left" vertical="center"/>
    </xf>
    <xf numFmtId="331" fontId="294" fillId="0" borderId="0" xfId="1" applyNumberFormat="1" applyFont="1" applyFill="1" applyBorder="1" applyAlignment="1">
      <alignment horizontal="center" vertical="center"/>
    </xf>
    <xf numFmtId="0" fontId="294" fillId="0" borderId="0" xfId="28" applyFont="1" applyFill="1" applyBorder="1" applyAlignment="1">
      <alignment horizontal="left" vertical="center"/>
    </xf>
    <xf numFmtId="169" fontId="294" fillId="0" borderId="0" xfId="28" applyNumberFormat="1" applyFont="1" applyFill="1" applyBorder="1" applyAlignment="1">
      <alignment horizontal="left" vertical="center"/>
    </xf>
    <xf numFmtId="169" fontId="234" fillId="0" borderId="0" xfId="28" applyNumberFormat="1" applyFont="1" applyFill="1" applyBorder="1" applyAlignment="1">
      <alignment horizontal="left" vertical="center"/>
    </xf>
    <xf numFmtId="196" fontId="234" fillId="0" borderId="0" xfId="1" applyNumberFormat="1" applyFont="1" applyFill="1" applyBorder="1" applyAlignment="1">
      <alignment horizontal="left" vertical="center"/>
    </xf>
    <xf numFmtId="0" fontId="234" fillId="0" borderId="0" xfId="28" applyFont="1" applyFill="1" applyBorder="1" applyAlignment="1">
      <alignment horizontal="left" vertical="center"/>
    </xf>
    <xf numFmtId="169" fontId="174" fillId="77" borderId="0" xfId="28" applyNumberFormat="1" applyFont="1" applyFill="1" applyBorder="1" applyAlignment="1">
      <alignment horizontal="left" vertical="center"/>
    </xf>
    <xf numFmtId="331" fontId="274" fillId="0" borderId="0" xfId="0" applyNumberFormat="1" applyFont="1" applyFill="1" applyBorder="1" applyAlignment="1">
      <alignment horizontal="center" vertical="center"/>
    </xf>
    <xf numFmtId="0" fontId="250" fillId="82" borderId="0" xfId="0" applyFont="1" applyFill="1" applyBorder="1" applyAlignment="1">
      <alignment horizontal="center"/>
    </xf>
    <xf numFmtId="196" fontId="250" fillId="82" borderId="0" xfId="1" applyNumberFormat="1" applyFont="1" applyFill="1" applyBorder="1" applyAlignment="1">
      <alignment vertical="center"/>
    </xf>
    <xf numFmtId="0" fontId="250" fillId="82" borderId="0" xfId="28" applyFont="1" applyFill="1" applyBorder="1" applyAlignment="1">
      <alignment vertical="center"/>
    </xf>
    <xf numFmtId="169" fontId="250" fillId="82" borderId="0" xfId="28" applyNumberFormat="1" applyFont="1" applyFill="1" applyBorder="1" applyAlignment="1">
      <alignment vertical="center"/>
    </xf>
    <xf numFmtId="43" fontId="249" fillId="82" borderId="0" xfId="1" applyFont="1" applyFill="1" applyBorder="1" applyAlignment="1">
      <alignment vertical="center"/>
    </xf>
    <xf numFmtId="169" fontId="250" fillId="82" borderId="0" xfId="28" applyNumberFormat="1" applyFont="1" applyFill="1" applyBorder="1" applyAlignment="1">
      <alignment horizontal="left" vertical="center"/>
    </xf>
    <xf numFmtId="331" fontId="274" fillId="82" borderId="0" xfId="1" applyNumberFormat="1" applyFont="1" applyFill="1" applyBorder="1" applyAlignment="1">
      <alignment horizontal="center" vertical="center"/>
    </xf>
    <xf numFmtId="0" fontId="295" fillId="0" borderId="90" xfId="3" applyFont="1" applyFill="1" applyBorder="1" applyAlignment="1" applyProtection="1">
      <alignment horizontal="left" vertical="top" wrapText="1"/>
    </xf>
    <xf numFmtId="169" fontId="250" fillId="0" borderId="0" xfId="28" applyNumberFormat="1" applyFont="1" applyFill="1" applyBorder="1" applyAlignment="1">
      <alignment horizontal="center" vertical="center" wrapText="1"/>
    </xf>
    <xf numFmtId="43" fontId="272" fillId="0" borderId="0" xfId="1" applyFont="1" applyFill="1" applyBorder="1"/>
    <xf numFmtId="0" fontId="275" fillId="0" borderId="0" xfId="28" applyFont="1" applyFill="1" applyBorder="1" applyAlignment="1">
      <alignment horizontal="left" vertical="center" wrapText="1"/>
    </xf>
    <xf numFmtId="0" fontId="296" fillId="0" borderId="90" xfId="3" applyFont="1" applyFill="1" applyBorder="1" applyAlignment="1" applyProtection="1">
      <alignment horizontal="left" vertical="top" wrapText="1"/>
    </xf>
    <xf numFmtId="0" fontId="280" fillId="0" borderId="0" xfId="28" applyFont="1" applyFill="1" applyBorder="1" applyAlignment="1">
      <alignment horizontal="left" vertical="center"/>
    </xf>
    <xf numFmtId="331" fontId="272" fillId="0" borderId="0" xfId="0" applyNumberFormat="1" applyFont="1" applyFill="1" applyBorder="1" applyAlignment="1">
      <alignment vertical="center"/>
    </xf>
    <xf numFmtId="331" fontId="249" fillId="76" borderId="0" xfId="28" applyNumberFormat="1" applyFont="1" applyFill="1" applyBorder="1" applyAlignment="1">
      <alignment horizontal="left" vertical="center"/>
    </xf>
    <xf numFmtId="0" fontId="125" fillId="0" borderId="0" xfId="28" applyFont="1" applyFill="1" applyBorder="1" applyAlignment="1">
      <alignment horizontal="center" vertical="center"/>
    </xf>
    <xf numFmtId="0" fontId="253" fillId="0" borderId="0" xfId="0" applyFont="1" applyFill="1" applyBorder="1" applyAlignment="1"/>
    <xf numFmtId="0" fontId="253" fillId="0" borderId="0" xfId="0" applyFont="1" applyFill="1" applyBorder="1" applyAlignment="1">
      <alignment horizontal="right"/>
    </xf>
    <xf numFmtId="333" fontId="257" fillId="0" borderId="1" xfId="0" applyNumberFormat="1" applyFont="1" applyFill="1" applyBorder="1" applyAlignment="1">
      <alignment vertical="center"/>
    </xf>
    <xf numFmtId="196" fontId="298" fillId="0" borderId="1" xfId="1" applyNumberFormat="1" applyFont="1" applyBorder="1" applyAlignment="1">
      <alignment horizontal="center" textRotation="90"/>
    </xf>
    <xf numFmtId="0" fontId="298" fillId="0" borderId="1" xfId="0" applyFont="1" applyBorder="1" applyAlignment="1">
      <alignment horizontal="center" textRotation="90"/>
    </xf>
    <xf numFmtId="196" fontId="298" fillId="0" borderId="1" xfId="1" applyNumberFormat="1" applyFont="1" applyFill="1" applyBorder="1" applyAlignment="1">
      <alignment horizontal="center" textRotation="90"/>
    </xf>
    <xf numFmtId="0" fontId="298" fillId="0" borderId="1" xfId="0" applyFont="1" applyFill="1" applyBorder="1" applyAlignment="1">
      <alignment horizontal="center" textRotation="90"/>
    </xf>
    <xf numFmtId="0" fontId="298" fillId="0" borderId="1" xfId="0" applyFont="1" applyFill="1" applyBorder="1" applyAlignment="1">
      <alignment horizontal="center" textRotation="90" wrapText="1"/>
    </xf>
    <xf numFmtId="333" fontId="257" fillId="0" borderId="2" xfId="0" applyNumberFormat="1" applyFont="1" applyFill="1" applyBorder="1" applyAlignment="1">
      <alignment horizontal="center" vertical="center" wrapText="1"/>
    </xf>
    <xf numFmtId="0" fontId="0" fillId="0" borderId="0" xfId="0" applyBorder="1"/>
    <xf numFmtId="196" fontId="253" fillId="0" borderId="1" xfId="1" applyNumberFormat="1" applyFont="1" applyBorder="1"/>
    <xf numFmtId="169" fontId="299" fillId="0" borderId="96" xfId="0" applyNumberFormat="1" applyFont="1" applyBorder="1" applyAlignment="1"/>
    <xf numFmtId="169" fontId="299" fillId="0" borderId="97" xfId="0" applyNumberFormat="1" applyFont="1" applyBorder="1" applyAlignment="1"/>
    <xf numFmtId="227" fontId="253" fillId="0" borderId="2" xfId="3654" applyNumberFormat="1" applyFont="1" applyBorder="1"/>
    <xf numFmtId="0" fontId="0" fillId="0" borderId="0" xfId="0" applyFont="1" applyBorder="1"/>
    <xf numFmtId="196" fontId="0" fillId="0" borderId="1" xfId="1" applyNumberFormat="1" applyFont="1" applyBorder="1"/>
    <xf numFmtId="0" fontId="300" fillId="0" borderId="98" xfId="0" applyFont="1" applyFill="1" applyBorder="1" applyAlignment="1">
      <alignment horizontal="center" vertical="center" wrapText="1"/>
    </xf>
    <xf numFmtId="1" fontId="299" fillId="0" borderId="99" xfId="0" applyNumberFormat="1" applyFont="1" applyBorder="1" applyAlignment="1">
      <alignment horizontal="center"/>
    </xf>
    <xf numFmtId="169" fontId="299" fillId="0" borderId="99" xfId="0" applyNumberFormat="1" applyFont="1" applyBorder="1" applyAlignment="1"/>
    <xf numFmtId="169" fontId="299" fillId="0" borderId="100" xfId="0" applyNumberFormat="1" applyFont="1" applyBorder="1" applyAlignment="1"/>
    <xf numFmtId="169" fontId="299" fillId="0" borderId="1" xfId="0" applyNumberFormat="1" applyFont="1" applyBorder="1" applyAlignment="1"/>
    <xf numFmtId="196" fontId="262" fillId="0" borderId="1" xfId="1" applyNumberFormat="1" applyFont="1" applyBorder="1"/>
    <xf numFmtId="0" fontId="262" fillId="0" borderId="0" xfId="0" applyFont="1" applyBorder="1"/>
    <xf numFmtId="196" fontId="265" fillId="0" borderId="1" xfId="1" applyNumberFormat="1" applyFont="1" applyBorder="1"/>
    <xf numFmtId="227" fontId="125" fillId="0" borderId="2" xfId="3654" applyNumberFormat="1" applyFont="1" applyBorder="1"/>
    <xf numFmtId="0" fontId="265" fillId="0" borderId="0" xfId="0" applyFont="1" applyBorder="1"/>
    <xf numFmtId="335" fontId="259" fillId="82" borderId="2" xfId="3654" applyNumberFormat="1" applyFont="1" applyFill="1" applyBorder="1"/>
    <xf numFmtId="196" fontId="252" fillId="84" borderId="1" xfId="1" applyNumberFormat="1" applyFont="1" applyFill="1" applyBorder="1"/>
    <xf numFmtId="0" fontId="254" fillId="3" borderId="1" xfId="0" applyFont="1" applyFill="1" applyBorder="1" applyAlignment="1">
      <alignment wrapText="1"/>
    </xf>
    <xf numFmtId="333" fontId="253" fillId="3" borderId="1" xfId="0" applyNumberFormat="1" applyFont="1" applyFill="1" applyBorder="1"/>
    <xf numFmtId="196" fontId="253" fillId="3" borderId="1" xfId="1" applyNumberFormat="1" applyFont="1" applyFill="1" applyBorder="1"/>
    <xf numFmtId="0" fontId="253" fillId="3" borderId="1" xfId="0" applyNumberFormat="1" applyFont="1" applyFill="1" applyBorder="1"/>
    <xf numFmtId="334" fontId="253" fillId="3" borderId="1" xfId="3654" applyNumberFormat="1" applyFont="1" applyFill="1" applyBorder="1" applyAlignment="1"/>
    <xf numFmtId="196" fontId="258" fillId="3" borderId="1" xfId="3654" applyNumberFormat="1" applyFont="1" applyFill="1" applyBorder="1" applyAlignment="1">
      <alignment horizontal="center" vertical="center"/>
    </xf>
    <xf numFmtId="332" fontId="301" fillId="3" borderId="1" xfId="3654" applyNumberFormat="1" applyFont="1" applyFill="1" applyBorder="1" applyAlignment="1">
      <alignment horizontal="center" vertical="center"/>
    </xf>
    <xf numFmtId="227" fontId="254" fillId="3" borderId="1" xfId="3654" applyNumberFormat="1" applyFont="1" applyFill="1" applyBorder="1"/>
    <xf numFmtId="227" fontId="253" fillId="0" borderId="0" xfId="3654" applyNumberFormat="1" applyFont="1" applyBorder="1"/>
    <xf numFmtId="0" fontId="253" fillId="3" borderId="1" xfId="0" applyFont="1" applyFill="1" applyBorder="1" applyAlignment="1">
      <alignment vertical="top"/>
    </xf>
    <xf numFmtId="332" fontId="258" fillId="3" borderId="1" xfId="3654" applyNumberFormat="1" applyFont="1" applyFill="1" applyBorder="1" applyAlignment="1">
      <alignment horizontal="center" vertical="center"/>
    </xf>
    <xf numFmtId="227" fontId="253" fillId="3" borderId="1" xfId="3654" applyNumberFormat="1" applyFont="1" applyFill="1" applyBorder="1"/>
    <xf numFmtId="227" fontId="253" fillId="3" borderId="2" xfId="3654" applyNumberFormat="1" applyFont="1" applyFill="1" applyBorder="1"/>
    <xf numFmtId="227" fontId="253" fillId="3" borderId="0" xfId="3654" applyNumberFormat="1" applyFont="1" applyFill="1" applyBorder="1"/>
    <xf numFmtId="0" fontId="0" fillId="3" borderId="0" xfId="0" applyFill="1"/>
    <xf numFmtId="0" fontId="270" fillId="3" borderId="1" xfId="0" applyFont="1" applyFill="1" applyBorder="1" applyAlignment="1">
      <alignment wrapText="1"/>
    </xf>
    <xf numFmtId="0" fontId="252" fillId="0" borderId="1" xfId="0" applyFont="1" applyBorder="1" applyAlignment="1">
      <alignment wrapText="1"/>
    </xf>
    <xf numFmtId="0" fontId="300" fillId="0" borderId="101" xfId="0" applyFont="1" applyBorder="1" applyAlignment="1">
      <alignment horizontal="center" vertical="center" wrapText="1"/>
    </xf>
    <xf numFmtId="1" fontId="299" fillId="0" borderId="96" xfId="0" applyNumberFormat="1" applyFont="1" applyBorder="1" applyAlignment="1">
      <alignment horizontal="center"/>
    </xf>
    <xf numFmtId="169" fontId="299" fillId="0" borderId="102" xfId="0" applyNumberFormat="1" applyFont="1" applyBorder="1" applyAlignment="1"/>
    <xf numFmtId="169" fontId="299" fillId="0" borderId="103" xfId="0" applyNumberFormat="1" applyFont="1" applyBorder="1" applyAlignment="1"/>
    <xf numFmtId="335" fontId="259" fillId="0" borderId="2" xfId="3654" applyNumberFormat="1" applyFont="1" applyBorder="1"/>
    <xf numFmtId="335" fontId="259" fillId="0" borderId="0" xfId="3654" applyNumberFormat="1" applyFont="1" applyBorder="1"/>
    <xf numFmtId="0" fontId="0" fillId="0" borderId="1" xfId="0" applyBorder="1"/>
    <xf numFmtId="333" fontId="0" fillId="0" borderId="1" xfId="0" applyNumberFormat="1" applyBorder="1"/>
    <xf numFmtId="0" fontId="302" fillId="77" borderId="1" xfId="0" applyFont="1" applyFill="1" applyBorder="1" applyAlignment="1">
      <alignment vertical="top"/>
    </xf>
    <xf numFmtId="0" fontId="252" fillId="86" borderId="1" xfId="0" applyFont="1" applyFill="1" applyBorder="1" applyAlignment="1">
      <alignment wrapText="1"/>
    </xf>
    <xf numFmtId="0" fontId="0" fillId="0" borderId="1" xfId="0" applyBorder="1" applyAlignment="1">
      <alignment wrapText="1"/>
    </xf>
    <xf numFmtId="0" fontId="252" fillId="86" borderId="4" xfId="0" applyFont="1" applyFill="1" applyBorder="1"/>
    <xf numFmtId="0" fontId="252" fillId="86" borderId="1" xfId="0" applyFont="1" applyFill="1" applyBorder="1"/>
    <xf numFmtId="0" fontId="252" fillId="86" borderId="1" xfId="0" applyFont="1" applyFill="1" applyBorder="1" applyAlignment="1">
      <alignment vertical="top"/>
    </xf>
    <xf numFmtId="0" fontId="252" fillId="0" borderId="4" xfId="0" applyFont="1" applyBorder="1" applyAlignment="1">
      <alignment wrapText="1"/>
    </xf>
    <xf numFmtId="0" fontId="0" fillId="0" borderId="4" xfId="0" applyBorder="1"/>
    <xf numFmtId="0" fontId="302" fillId="77" borderId="4" xfId="0" applyFont="1" applyFill="1" applyBorder="1" applyAlignment="1">
      <alignment wrapText="1"/>
    </xf>
    <xf numFmtId="0" fontId="300" fillId="0" borderId="98" xfId="0" applyFont="1" applyBorder="1" applyAlignment="1">
      <alignment horizontal="center" vertical="center" wrapText="1"/>
    </xf>
    <xf numFmtId="0" fontId="253" fillId="0" borderId="4" xfId="0" applyFont="1" applyBorder="1" applyAlignment="1">
      <alignment wrapText="1"/>
    </xf>
    <xf numFmtId="0" fontId="252" fillId="3" borderId="4" xfId="0" applyFont="1" applyFill="1" applyBorder="1"/>
    <xf numFmtId="0" fontId="300" fillId="0" borderId="104" xfId="0" applyFont="1" applyFill="1" applyBorder="1" applyAlignment="1">
      <alignment horizontal="center" vertical="center" wrapText="1"/>
    </xf>
    <xf numFmtId="0" fontId="3" fillId="3" borderId="1" xfId="0" applyFont="1" applyFill="1" applyBorder="1" applyAlignment="1">
      <alignment vertical="top"/>
    </xf>
    <xf numFmtId="333" fontId="252" fillId="3" borderId="1" xfId="0" applyNumberFormat="1" applyFont="1" applyFill="1" applyBorder="1"/>
    <xf numFmtId="196" fontId="252" fillId="3" borderId="1" xfId="1" applyNumberFormat="1" applyFont="1" applyFill="1" applyBorder="1"/>
    <xf numFmtId="196" fontId="257" fillId="3" borderId="1" xfId="3654" applyNumberFormat="1" applyFont="1" applyFill="1" applyBorder="1" applyAlignment="1">
      <alignment horizontal="center" vertical="center"/>
    </xf>
    <xf numFmtId="332" fontId="257" fillId="3" borderId="1" xfId="3654" applyNumberFormat="1" applyFont="1" applyFill="1" applyBorder="1" applyAlignment="1">
      <alignment horizontal="center" vertical="center"/>
    </xf>
    <xf numFmtId="227" fontId="252" fillId="3" borderId="1" xfId="3654" applyNumberFormat="1" applyFont="1" applyFill="1" applyBorder="1"/>
    <xf numFmtId="0" fontId="252" fillId="0" borderId="1" xfId="0" applyFont="1" applyBorder="1" applyAlignment="1">
      <alignment vertical="top"/>
    </xf>
    <xf numFmtId="0" fontId="229" fillId="0" borderId="1" xfId="28" applyFont="1" applyBorder="1" applyAlignment="1">
      <alignment horizontal="left" vertical="center" wrapText="1"/>
    </xf>
    <xf numFmtId="0" fontId="256" fillId="3" borderId="1" xfId="0" applyFont="1" applyFill="1" applyBorder="1" applyAlignment="1">
      <alignment wrapText="1"/>
    </xf>
    <xf numFmtId="0" fontId="256" fillId="0" borderId="1" xfId="0" applyFont="1" applyBorder="1" applyAlignment="1">
      <alignment wrapText="1"/>
    </xf>
    <xf numFmtId="0" fontId="174" fillId="0" borderId="1" xfId="28" applyFont="1" applyBorder="1" applyAlignment="1">
      <alignment horizontal="left" vertical="center" wrapText="1"/>
    </xf>
    <xf numFmtId="0" fontId="125" fillId="3" borderId="1" xfId="0" applyFont="1" applyFill="1" applyBorder="1" applyAlignment="1">
      <alignment horizontal="center" vertical="center"/>
    </xf>
    <xf numFmtId="0" fontId="300" fillId="0" borderId="1" xfId="0" applyFont="1" applyBorder="1" applyAlignment="1">
      <alignment horizontal="center" vertical="center" wrapText="1"/>
    </xf>
    <xf numFmtId="0" fontId="300" fillId="0" borderId="1" xfId="0" applyFont="1" applyFill="1" applyBorder="1" applyAlignment="1">
      <alignment horizontal="center" vertical="center" wrapText="1"/>
    </xf>
    <xf numFmtId="0" fontId="253" fillId="0" borderId="1" xfId="0" applyFont="1" applyBorder="1" applyAlignment="1">
      <alignment vertical="top" wrapText="1"/>
    </xf>
    <xf numFmtId="0" fontId="229" fillId="0" borderId="1" xfId="28" applyFont="1" applyFill="1" applyBorder="1" applyAlignment="1">
      <alignment horizontal="center" vertical="center"/>
    </xf>
    <xf numFmtId="0" fontId="271" fillId="0" borderId="1" xfId="0" applyFont="1" applyBorder="1" applyAlignment="1">
      <alignment horizontal="left" vertical="center" wrapText="1"/>
    </xf>
    <xf numFmtId="0" fontId="272" fillId="0" borderId="1" xfId="0" applyFont="1" applyBorder="1" applyAlignment="1">
      <alignment horizontal="left" vertical="center" wrapText="1"/>
    </xf>
    <xf numFmtId="0" fontId="272" fillId="0" borderId="1" xfId="0" applyFont="1" applyBorder="1" applyAlignment="1">
      <alignment horizontal="left" vertical="center"/>
    </xf>
    <xf numFmtId="1" fontId="253" fillId="0" borderId="1" xfId="0" applyNumberFormat="1" applyFont="1" applyBorder="1"/>
    <xf numFmtId="334" fontId="253" fillId="83" borderId="1" xfId="3654" applyNumberFormat="1" applyFont="1" applyFill="1" applyBorder="1" applyAlignment="1"/>
    <xf numFmtId="227" fontId="253" fillId="0" borderId="105" xfId="3654" applyNumberFormat="1" applyFont="1" applyBorder="1"/>
    <xf numFmtId="0" fontId="253" fillId="83" borderId="4" xfId="0" applyFont="1" applyFill="1" applyBorder="1" applyAlignment="1">
      <alignment horizontal="center" vertical="center"/>
    </xf>
    <xf numFmtId="0" fontId="253" fillId="0" borderId="4" xfId="0" applyFont="1" applyBorder="1" applyAlignment="1">
      <alignment horizontal="center" vertical="center"/>
    </xf>
    <xf numFmtId="1" fontId="299" fillId="0" borderId="1" xfId="0" applyNumberFormat="1" applyFont="1" applyBorder="1" applyAlignment="1">
      <alignment horizontal="center"/>
    </xf>
    <xf numFmtId="169" fontId="299" fillId="0" borderId="105" xfId="0" applyNumberFormat="1" applyFont="1" applyBorder="1" applyAlignment="1"/>
    <xf numFmtId="196" fontId="0" fillId="0" borderId="0" xfId="1" applyNumberFormat="1" applyFont="1"/>
    <xf numFmtId="331" fontId="250" fillId="77" borderId="0" xfId="28" applyNumberFormat="1" applyFont="1" applyFill="1" applyBorder="1" applyAlignment="1">
      <alignment horizontal="left" vertical="center"/>
    </xf>
    <xf numFmtId="0" fontId="289" fillId="85" borderId="0" xfId="28" applyFont="1" applyFill="1" applyBorder="1" applyAlignment="1">
      <alignment vertical="center" wrapText="1"/>
    </xf>
    <xf numFmtId="166" fontId="249" fillId="76" borderId="0" xfId="28" applyNumberFormat="1" applyFont="1" applyFill="1" applyBorder="1" applyAlignment="1">
      <alignment horizontal="left" vertical="center"/>
    </xf>
    <xf numFmtId="0" fontId="237" fillId="0" borderId="106" xfId="0" applyFont="1" applyBorder="1" applyAlignment="1">
      <alignment vertical="top"/>
    </xf>
    <xf numFmtId="0" fontId="237" fillId="0" borderId="107" xfId="0" applyFont="1" applyBorder="1" applyAlignment="1">
      <alignment vertical="top"/>
    </xf>
    <xf numFmtId="0" fontId="238" fillId="0" borderId="108" xfId="0" applyFont="1" applyBorder="1"/>
    <xf numFmtId="0" fontId="237" fillId="0" borderId="109" xfId="0" applyFont="1" applyBorder="1" applyAlignment="1">
      <alignment horizontal="center" vertical="top"/>
    </xf>
    <xf numFmtId="0" fontId="237" fillId="0" borderId="109" xfId="0" applyFont="1" applyBorder="1" applyAlignment="1">
      <alignment vertical="top"/>
    </xf>
    <xf numFmtId="43" fontId="237" fillId="0" borderId="109" xfId="1" applyFont="1" applyBorder="1" applyAlignment="1">
      <alignment vertical="top"/>
    </xf>
    <xf numFmtId="43" fontId="237" fillId="0" borderId="110" xfId="1" applyFont="1" applyBorder="1" applyAlignment="1">
      <alignment vertical="top"/>
    </xf>
    <xf numFmtId="0" fontId="238" fillId="0" borderId="111" xfId="0" applyFont="1" applyBorder="1"/>
    <xf numFmtId="0" fontId="237" fillId="0" borderId="112" xfId="0" applyFont="1" applyBorder="1" applyAlignment="1">
      <alignment horizontal="center" vertical="top"/>
    </xf>
    <xf numFmtId="0" fontId="237" fillId="0" borderId="112" xfId="0" applyFont="1" applyBorder="1" applyAlignment="1">
      <alignment vertical="top"/>
    </xf>
    <xf numFmtId="43" fontId="237" fillId="0" borderId="112" xfId="1" applyFont="1" applyBorder="1" applyAlignment="1">
      <alignment vertical="top"/>
    </xf>
    <xf numFmtId="43" fontId="237" fillId="0" borderId="113" xfId="1" applyFont="1" applyBorder="1" applyAlignment="1">
      <alignment vertical="top"/>
    </xf>
    <xf numFmtId="0" fontId="238" fillId="0" borderId="114" xfId="0" applyFont="1" applyBorder="1"/>
    <xf numFmtId="0" fontId="239" fillId="0" borderId="115" xfId="0" applyFont="1" applyBorder="1"/>
    <xf numFmtId="0" fontId="237" fillId="0" borderId="115" xfId="0" applyFont="1" applyBorder="1" applyAlignment="1">
      <alignment horizontal="center" vertical="top"/>
    </xf>
    <xf numFmtId="0" fontId="237" fillId="0" borderId="115" xfId="0" applyFont="1" applyBorder="1" applyAlignment="1">
      <alignment vertical="top"/>
    </xf>
    <xf numFmtId="43" fontId="237" fillId="0" borderId="115" xfId="1" applyFont="1" applyBorder="1" applyAlignment="1">
      <alignment vertical="top"/>
    </xf>
    <xf numFmtId="43" fontId="237" fillId="0" borderId="116" xfId="1" applyFont="1" applyBorder="1" applyAlignment="1">
      <alignment vertical="top"/>
    </xf>
    <xf numFmtId="0" fontId="284" fillId="0" borderId="118" xfId="0" applyFont="1" applyBorder="1" applyAlignment="1">
      <alignment vertical="top"/>
    </xf>
    <xf numFmtId="0" fontId="284" fillId="0" borderId="118" xfId="0" applyFont="1" applyBorder="1" applyAlignment="1">
      <alignment horizontal="center" vertical="top"/>
    </xf>
    <xf numFmtId="43" fontId="284" fillId="0" borderId="118" xfId="1" applyFont="1" applyBorder="1" applyAlignment="1">
      <alignment vertical="top"/>
    </xf>
    <xf numFmtId="43" fontId="284" fillId="0" borderId="117" xfId="1" applyFont="1" applyBorder="1" applyAlignment="1">
      <alignment vertical="top"/>
    </xf>
    <xf numFmtId="1" fontId="283" fillId="0" borderId="84" xfId="0" applyNumberFormat="1" applyFont="1" applyFill="1" applyBorder="1" applyAlignment="1" applyProtection="1">
      <alignment horizontal="center" vertical="center"/>
    </xf>
    <xf numFmtId="0" fontId="237" fillId="0" borderId="106" xfId="0" applyFont="1" applyBorder="1" applyAlignment="1">
      <alignment vertical="center"/>
    </xf>
    <xf numFmtId="0" fontId="237" fillId="0" borderId="107" xfId="0" applyFont="1" applyBorder="1" applyAlignment="1">
      <alignment vertical="center"/>
    </xf>
    <xf numFmtId="0" fontId="238" fillId="0" borderId="114" xfId="0" applyFont="1" applyBorder="1" applyAlignment="1">
      <alignment vertical="center"/>
    </xf>
    <xf numFmtId="0" fontId="283" fillId="3" borderId="85" xfId="0" applyFont="1" applyFill="1" applyBorder="1" applyAlignment="1" applyProtection="1">
      <alignment horizontal="left" vertical="center"/>
    </xf>
    <xf numFmtId="166" fontId="242" fillId="0" borderId="84" xfId="0" applyNumberFormat="1" applyFont="1" applyFill="1" applyBorder="1" applyAlignment="1" applyProtection="1">
      <alignment horizontal="center" vertical="center"/>
    </xf>
    <xf numFmtId="166" fontId="283" fillId="0" borderId="84" xfId="0" applyNumberFormat="1" applyFont="1" applyFill="1" applyBorder="1" applyAlignment="1" applyProtection="1">
      <alignment horizontal="left" vertical="center"/>
    </xf>
    <xf numFmtId="166" fontId="283" fillId="0" borderId="84" xfId="0" applyNumberFormat="1" applyFont="1" applyFill="1" applyBorder="1" applyAlignment="1" applyProtection="1">
      <alignment vertical="center"/>
    </xf>
    <xf numFmtId="166" fontId="283" fillId="0" borderId="84" xfId="0" applyNumberFormat="1" applyFont="1" applyFill="1" applyBorder="1" applyAlignment="1" applyProtection="1">
      <alignment horizontal="center" vertical="center"/>
    </xf>
    <xf numFmtId="2" fontId="283" fillId="0" borderId="84" xfId="3" applyNumberFormat="1" applyFont="1" applyFill="1" applyBorder="1" applyAlignment="1" applyProtection="1">
      <alignment horizontal="left" vertical="center"/>
    </xf>
    <xf numFmtId="1" fontId="283" fillId="0" borderId="84" xfId="3" applyNumberFormat="1" applyFont="1" applyFill="1" applyBorder="1" applyAlignment="1" applyProtection="1">
      <alignment horizontal="center" vertical="center" wrapText="1"/>
    </xf>
    <xf numFmtId="0" fontId="283" fillId="3" borderId="1" xfId="0" applyFont="1" applyFill="1" applyBorder="1" applyAlignment="1" applyProtection="1">
      <alignment horizontal="left" vertical="center"/>
    </xf>
    <xf numFmtId="2" fontId="283" fillId="0" borderId="90" xfId="3" applyNumberFormat="1" applyFont="1" applyFill="1" applyBorder="1" applyAlignment="1" applyProtection="1">
      <alignment horizontal="left" vertical="center"/>
    </xf>
    <xf numFmtId="166" fontId="283" fillId="0" borderId="84" xfId="3" applyNumberFormat="1" applyFont="1" applyFill="1" applyBorder="1" applyAlignment="1" applyProtection="1">
      <alignment horizontal="center" vertical="center" wrapText="1"/>
    </xf>
    <xf numFmtId="166" fontId="283" fillId="0" borderId="90" xfId="3" applyNumberFormat="1" applyFont="1" applyFill="1" applyBorder="1" applyAlignment="1" applyProtection="1">
      <alignment horizontal="center" vertical="center" wrapText="1"/>
    </xf>
    <xf numFmtId="166" fontId="283" fillId="0" borderId="13" xfId="3" applyNumberFormat="1" applyFont="1" applyFill="1" applyBorder="1" applyAlignment="1" applyProtection="1">
      <alignment horizontal="center" vertical="center" wrapText="1"/>
    </xf>
    <xf numFmtId="2" fontId="283" fillId="0" borderId="84" xfId="3" applyNumberFormat="1" applyFont="1" applyFill="1" applyBorder="1" applyAlignment="1" applyProtection="1">
      <alignment horizontal="center" vertical="center" wrapText="1"/>
    </xf>
    <xf numFmtId="0" fontId="242" fillId="87" borderId="84" xfId="6" applyFont="1" applyFill="1" applyBorder="1" applyAlignment="1" applyProtection="1">
      <alignment horizontal="center" vertical="center" wrapText="1"/>
    </xf>
    <xf numFmtId="0" fontId="283" fillId="0" borderId="84" xfId="6" applyFont="1" applyFill="1" applyBorder="1" applyAlignment="1" applyProtection="1">
      <alignment horizontal="center" vertical="center" wrapText="1"/>
    </xf>
    <xf numFmtId="0" fontId="286" fillId="0" borderId="84" xfId="6" applyFont="1" applyFill="1" applyBorder="1" applyAlignment="1" applyProtection="1">
      <alignment horizontal="center" vertical="center" wrapText="1"/>
    </xf>
    <xf numFmtId="0" fontId="286" fillId="0" borderId="89" xfId="6" applyFont="1" applyFill="1" applyBorder="1" applyAlignment="1" applyProtection="1">
      <alignment horizontal="center" vertical="center" wrapText="1"/>
    </xf>
    <xf numFmtId="0" fontId="283" fillId="0" borderId="89" xfId="6" applyFont="1" applyFill="1" applyBorder="1" applyAlignment="1" applyProtection="1">
      <alignment horizontal="center" vertical="center" wrapText="1"/>
    </xf>
    <xf numFmtId="0" fontId="242" fillId="87" borderId="86" xfId="6" applyFont="1" applyFill="1" applyBorder="1" applyAlignment="1" applyProtection="1">
      <alignment horizontal="center" vertical="center" wrapText="1"/>
    </xf>
    <xf numFmtId="0" fontId="284" fillId="0" borderId="118" xfId="0" applyFont="1" applyBorder="1" applyAlignment="1">
      <alignment vertical="center"/>
    </xf>
    <xf numFmtId="227" fontId="252" fillId="3" borderId="1" xfId="3654" applyNumberFormat="1" applyFont="1" applyFill="1" applyBorder="1" applyAlignment="1">
      <alignment horizontal="center" vertical="center"/>
    </xf>
    <xf numFmtId="43" fontId="286" fillId="0" borderId="84" xfId="1" applyFont="1" applyFill="1" applyBorder="1" applyAlignment="1" applyProtection="1">
      <alignment horizontal="center" vertical="center"/>
      <protection locked="0"/>
    </xf>
    <xf numFmtId="341" fontId="229" fillId="0" borderId="0" xfId="28" applyNumberFormat="1" applyFont="1" applyFill="1" applyBorder="1" applyAlignment="1">
      <alignment horizontal="left" vertical="center" wrapText="1"/>
    </xf>
    <xf numFmtId="43" fontId="237" fillId="0" borderId="0" xfId="0" applyNumberFormat="1" applyFont="1" applyAlignment="1">
      <alignment vertical="top"/>
    </xf>
    <xf numFmtId="196" fontId="237" fillId="0" borderId="0" xfId="0" applyNumberFormat="1" applyFont="1" applyAlignment="1">
      <alignment vertical="top"/>
    </xf>
    <xf numFmtId="0" fontId="254" fillId="0" borderId="14" xfId="28" applyFont="1" applyFill="1" applyBorder="1" applyAlignment="1">
      <alignment vertical="top"/>
    </xf>
    <xf numFmtId="0" fontId="254" fillId="0" borderId="0" xfId="28" applyFont="1" applyFill="1" applyBorder="1" applyAlignment="1">
      <alignment vertical="top"/>
    </xf>
    <xf numFmtId="196" fontId="254" fillId="0" borderId="0" xfId="1" applyNumberFormat="1" applyFont="1" applyFill="1" applyBorder="1" applyAlignment="1">
      <alignment vertical="top"/>
    </xf>
    <xf numFmtId="0" fontId="253" fillId="0" borderId="0" xfId="28" applyFont="1" applyFill="1" applyBorder="1" applyAlignment="1">
      <alignment horizontal="center" vertical="top" wrapText="1"/>
    </xf>
    <xf numFmtId="0" fontId="253" fillId="0" borderId="12" xfId="28" applyFont="1" applyFill="1" applyBorder="1" applyAlignment="1">
      <alignment horizontal="center" vertical="top" wrapText="1"/>
    </xf>
    <xf numFmtId="332" fontId="255" fillId="0" borderId="0" xfId="28" applyNumberFormat="1" applyFont="1" applyFill="1" applyBorder="1" applyAlignment="1">
      <alignment horizontal="centerContinuous" vertical="center"/>
    </xf>
    <xf numFmtId="0" fontId="2" fillId="0" borderId="0" xfId="0" applyFont="1" applyFill="1" applyBorder="1"/>
    <xf numFmtId="0" fontId="2" fillId="0" borderId="12" xfId="0" applyFont="1" applyFill="1" applyBorder="1"/>
    <xf numFmtId="332" fontId="256" fillId="0" borderId="0" xfId="28" applyNumberFormat="1" applyFont="1" applyFill="1" applyBorder="1" applyAlignment="1">
      <alignment vertical="center"/>
    </xf>
    <xf numFmtId="169" fontId="305" fillId="0" borderId="0" xfId="28" applyNumberFormat="1" applyFont="1" applyFill="1" applyBorder="1" applyAlignment="1">
      <alignment horizontal="right" vertical="center"/>
    </xf>
    <xf numFmtId="2" fontId="305" fillId="0" borderId="0" xfId="28" applyNumberFormat="1" applyFont="1" applyFill="1" applyBorder="1" applyAlignment="1">
      <alignment horizontal="center" vertical="center" wrapText="1"/>
    </xf>
    <xf numFmtId="0" fontId="305" fillId="0" borderId="0" xfId="28" applyFont="1" applyFill="1" applyBorder="1" applyAlignment="1">
      <alignment horizontal="centerContinuous" vertical="center"/>
    </xf>
    <xf numFmtId="169" fontId="125" fillId="0" borderId="7" xfId="28" applyNumberFormat="1" applyFont="1" applyFill="1" applyBorder="1" applyAlignment="1">
      <alignment vertical="center"/>
    </xf>
    <xf numFmtId="2" fontId="125" fillId="0" borderId="0" xfId="28" applyNumberFormat="1" applyFont="1" applyFill="1" applyBorder="1" applyAlignment="1">
      <alignment vertical="center"/>
    </xf>
    <xf numFmtId="196" fontId="2" fillId="0" borderId="1" xfId="1" applyNumberFormat="1" applyFont="1" applyBorder="1"/>
    <xf numFmtId="196" fontId="253" fillId="82" borderId="1" xfId="1" applyNumberFormat="1" applyFont="1" applyFill="1" applyBorder="1"/>
    <xf numFmtId="0" fontId="253" fillId="82" borderId="1" xfId="0" applyNumberFormat="1" applyFont="1" applyFill="1" applyBorder="1"/>
    <xf numFmtId="1" fontId="253" fillId="82" borderId="1" xfId="0" applyNumberFormat="1" applyFont="1" applyFill="1" applyBorder="1" applyAlignment="1">
      <alignment horizontal="right"/>
    </xf>
    <xf numFmtId="196" fontId="258" fillId="82" borderId="1" xfId="3654" applyNumberFormat="1" applyFont="1" applyFill="1" applyBorder="1" applyAlignment="1">
      <alignment horizontal="center" vertical="center"/>
    </xf>
    <xf numFmtId="169" fontId="0" fillId="0" borderId="1" xfId="0" applyNumberFormat="1" applyFont="1" applyBorder="1"/>
    <xf numFmtId="1" fontId="0" fillId="0" borderId="1" xfId="0" applyNumberFormat="1" applyFont="1" applyBorder="1"/>
    <xf numFmtId="1" fontId="0" fillId="82" borderId="1" xfId="0" applyNumberFormat="1" applyFont="1" applyFill="1" applyBorder="1"/>
    <xf numFmtId="196" fontId="2" fillId="0" borderId="0" xfId="1" applyNumberFormat="1" applyFont="1"/>
    <xf numFmtId="0" fontId="253" fillId="82" borderId="1" xfId="0" applyFont="1" applyFill="1" applyBorder="1"/>
    <xf numFmtId="227" fontId="0" fillId="0" borderId="0" xfId="0" applyNumberFormat="1" applyBorder="1"/>
    <xf numFmtId="335" fontId="253" fillId="0" borderId="0" xfId="3654" applyNumberFormat="1" applyFont="1" applyBorder="1"/>
    <xf numFmtId="0" fontId="250" fillId="82" borderId="0" xfId="0" applyFont="1" applyFill="1" applyBorder="1" applyAlignment="1">
      <alignment vertical="center"/>
    </xf>
    <xf numFmtId="0" fontId="274" fillId="82" borderId="0" xfId="0" applyFont="1" applyFill="1" applyBorder="1" applyAlignment="1">
      <alignment vertical="center"/>
    </xf>
    <xf numFmtId="0" fontId="288" fillId="85" borderId="0" xfId="28" applyFont="1" applyFill="1" applyBorder="1" applyAlignment="1">
      <alignment vertical="center" wrapText="1"/>
    </xf>
    <xf numFmtId="169" fontId="250" fillId="0" borderId="0" xfId="28" applyNumberFormat="1" applyFont="1" applyFill="1" applyBorder="1" applyAlignment="1">
      <alignment horizontal="center" vertical="center" wrapText="1"/>
    </xf>
    <xf numFmtId="0" fontId="257" fillId="0" borderId="1" xfId="0" applyFont="1" applyFill="1" applyBorder="1" applyAlignment="1">
      <alignment horizontal="center" vertical="center"/>
    </xf>
    <xf numFmtId="333" fontId="257" fillId="0" borderId="1" xfId="0" applyNumberFormat="1" applyFont="1" applyFill="1" applyBorder="1" applyAlignment="1">
      <alignment horizontal="center" vertical="center" wrapText="1"/>
    </xf>
    <xf numFmtId="0" fontId="306" fillId="0" borderId="0" xfId="28" applyFont="1" applyFill="1" applyBorder="1" applyAlignment="1">
      <alignment horizontal="center" vertical="center"/>
    </xf>
    <xf numFmtId="0" fontId="306" fillId="0" borderId="0" xfId="28" applyFont="1" applyFill="1" applyBorder="1" applyAlignment="1">
      <alignment horizontal="left" vertical="center" wrapText="1"/>
    </xf>
    <xf numFmtId="0" fontId="306" fillId="0" borderId="0" xfId="0" applyFont="1" applyFill="1" applyBorder="1" applyAlignment="1"/>
    <xf numFmtId="196" fontId="306" fillId="0" borderId="0" xfId="1" applyNumberFormat="1" applyFont="1" applyFill="1" applyBorder="1" applyAlignment="1">
      <alignment vertical="center"/>
    </xf>
    <xf numFmtId="0" fontId="306" fillId="0" borderId="0" xfId="28" applyFont="1" applyFill="1" applyBorder="1" applyAlignment="1">
      <alignment vertical="center"/>
    </xf>
    <xf numFmtId="169" fontId="306" fillId="0" borderId="0" xfId="28" applyNumberFormat="1" applyFont="1" applyFill="1" applyBorder="1" applyAlignment="1">
      <alignment vertical="center"/>
    </xf>
    <xf numFmtId="43" fontId="307" fillId="0" borderId="0" xfId="1" applyFont="1" applyFill="1" applyBorder="1" applyAlignment="1">
      <alignment vertical="center"/>
    </xf>
    <xf numFmtId="253" fontId="307" fillId="0" borderId="0" xfId="1" applyNumberFormat="1" applyFont="1" applyBorder="1" applyAlignment="1">
      <alignment vertical="center"/>
    </xf>
    <xf numFmtId="0" fontId="307" fillId="0" borderId="0" xfId="28" applyFont="1" applyBorder="1" applyAlignment="1">
      <alignment vertical="center"/>
    </xf>
    <xf numFmtId="169" fontId="306" fillId="82" borderId="0" xfId="28" applyNumberFormat="1" applyFont="1" applyFill="1" applyBorder="1" applyAlignment="1">
      <alignment vertical="center"/>
    </xf>
    <xf numFmtId="0" fontId="306" fillId="0" borderId="0" xfId="0" applyFont="1" applyFill="1" applyBorder="1"/>
    <xf numFmtId="0" fontId="306" fillId="0" borderId="0" xfId="0" applyFont="1" applyFill="1" applyBorder="1" applyAlignment="1">
      <alignment wrapText="1"/>
    </xf>
    <xf numFmtId="0" fontId="306" fillId="0" borderId="0" xfId="0" applyFont="1" applyFill="1" applyBorder="1" applyAlignment="1">
      <alignment horizontal="center"/>
    </xf>
    <xf numFmtId="0" fontId="306" fillId="0" borderId="0" xfId="0" applyFont="1" applyFill="1" applyBorder="1" applyAlignment="1">
      <alignment vertical="center"/>
    </xf>
    <xf numFmtId="43" fontId="306" fillId="0" borderId="0" xfId="1" applyFont="1" applyFill="1" applyBorder="1"/>
    <xf numFmtId="253" fontId="307" fillId="0" borderId="0" xfId="1" applyNumberFormat="1" applyFont="1" applyFill="1" applyBorder="1" applyAlignment="1">
      <alignment vertical="center"/>
    </xf>
    <xf numFmtId="0" fontId="307" fillId="0" borderId="0" xfId="28" applyFont="1" applyFill="1" applyBorder="1" applyAlignment="1">
      <alignment vertical="center"/>
    </xf>
    <xf numFmtId="0" fontId="306" fillId="0" borderId="0" xfId="28" applyFont="1" applyFill="1" applyBorder="1" applyAlignment="1">
      <alignment horizontal="left" vertical="center"/>
    </xf>
    <xf numFmtId="331" fontId="306" fillId="0" borderId="0" xfId="28" applyNumberFormat="1" applyFont="1" applyFill="1" applyBorder="1" applyAlignment="1">
      <alignment horizontal="center" vertical="center"/>
    </xf>
    <xf numFmtId="169" fontId="306" fillId="0" borderId="0" xfId="28" applyNumberFormat="1" applyFont="1" applyFill="1" applyBorder="1" applyAlignment="1">
      <alignment horizontal="center" vertical="center"/>
    </xf>
    <xf numFmtId="43" fontId="306" fillId="0" borderId="0" xfId="1" applyNumberFormat="1" applyFont="1" applyFill="1" applyBorder="1" applyAlignment="1">
      <alignment horizontal="left" vertical="center"/>
    </xf>
    <xf numFmtId="253" fontId="306" fillId="0" borderId="0" xfId="1" applyNumberFormat="1" applyFont="1" applyFill="1" applyBorder="1" applyAlignment="1">
      <alignment vertical="center"/>
    </xf>
    <xf numFmtId="0" fontId="307" fillId="0" borderId="0" xfId="28" applyFont="1" applyFill="1" applyBorder="1" applyAlignment="1">
      <alignment horizontal="center" vertical="center"/>
    </xf>
    <xf numFmtId="0" fontId="306" fillId="0" borderId="0" xfId="0" applyFont="1" applyFill="1" applyBorder="1" applyAlignment="1">
      <alignment horizontal="left" vertical="center" wrapText="1"/>
    </xf>
    <xf numFmtId="331" fontId="306" fillId="0" borderId="0" xfId="1" applyNumberFormat="1" applyFont="1" applyFill="1" applyBorder="1" applyAlignment="1">
      <alignment horizontal="center" vertical="center"/>
    </xf>
    <xf numFmtId="0" fontId="306" fillId="0" borderId="0" xfId="0" applyFont="1" applyFill="1" applyBorder="1" applyAlignment="1">
      <alignment horizontal="center" vertical="center"/>
    </xf>
    <xf numFmtId="225" fontId="307" fillId="0" borderId="0" xfId="1" applyNumberFormat="1" applyFont="1" applyFill="1" applyBorder="1" applyAlignment="1">
      <alignment horizontal="center" vertical="center"/>
    </xf>
    <xf numFmtId="0" fontId="307" fillId="0" borderId="0" xfId="28" applyNumberFormat="1" applyFont="1" applyFill="1" applyBorder="1" applyAlignment="1">
      <alignment horizontal="center" vertical="center" wrapText="1"/>
    </xf>
    <xf numFmtId="225" fontId="306" fillId="0" borderId="0" xfId="1" applyNumberFormat="1" applyFont="1" applyFill="1" applyBorder="1" applyAlignment="1">
      <alignment horizontal="center" vertical="center"/>
    </xf>
    <xf numFmtId="0" fontId="306" fillId="0" borderId="0" xfId="0" applyFont="1" applyFill="1" applyBorder="1" applyAlignment="1">
      <alignment horizontal="left" vertical="center"/>
    </xf>
    <xf numFmtId="331" fontId="306" fillId="0" borderId="0" xfId="1" applyNumberFormat="1" applyFont="1" applyFill="1" applyBorder="1" applyAlignment="1"/>
    <xf numFmtId="0" fontId="306" fillId="0" borderId="0" xfId="28" applyFont="1" applyBorder="1" applyAlignment="1">
      <alignment horizontal="center" vertical="center"/>
    </xf>
    <xf numFmtId="0" fontId="306" fillId="0" borderId="0" xfId="28" applyFont="1" applyBorder="1" applyAlignment="1">
      <alignment horizontal="left" vertical="center" wrapText="1"/>
    </xf>
    <xf numFmtId="331" fontId="306" fillId="0" borderId="0" xfId="1" applyNumberFormat="1" applyFont="1" applyBorder="1" applyAlignment="1">
      <alignment horizontal="center" vertical="center"/>
    </xf>
    <xf numFmtId="225" fontId="306" fillId="82" borderId="0" xfId="1" applyNumberFormat="1" applyFont="1" applyFill="1" applyBorder="1" applyAlignment="1">
      <alignment horizontal="center" vertical="center"/>
    </xf>
    <xf numFmtId="331" fontId="306" fillId="82" borderId="0" xfId="1" applyNumberFormat="1" applyFont="1" applyFill="1" applyBorder="1" applyAlignment="1">
      <alignment horizontal="center" vertical="center"/>
    </xf>
    <xf numFmtId="0" fontId="307" fillId="82" borderId="0" xfId="28" applyFont="1" applyFill="1" applyBorder="1" applyAlignment="1">
      <alignment horizontal="left" vertical="center" wrapText="1"/>
    </xf>
    <xf numFmtId="0" fontId="308" fillId="0" borderId="0" xfId="0" applyFont="1" applyFill="1" applyBorder="1"/>
    <xf numFmtId="0" fontId="306" fillId="91" borderId="0" xfId="0" applyFont="1" applyFill="1" applyBorder="1" applyAlignment="1">
      <alignment wrapText="1"/>
    </xf>
    <xf numFmtId="0" fontId="306" fillId="91" borderId="0" xfId="0" applyFont="1" applyFill="1" applyBorder="1"/>
    <xf numFmtId="43" fontId="307" fillId="0" borderId="0" xfId="1" applyNumberFormat="1" applyFont="1" applyFill="1" applyBorder="1" applyAlignment="1">
      <alignment horizontal="left" vertical="center"/>
    </xf>
    <xf numFmtId="0" fontId="306" fillId="82" borderId="0" xfId="28" applyFont="1" applyFill="1" applyBorder="1" applyAlignment="1">
      <alignment horizontal="center" vertical="center"/>
    </xf>
    <xf numFmtId="338" fontId="306" fillId="0" borderId="0" xfId="1" applyNumberFormat="1" applyFont="1" applyFill="1" applyBorder="1" applyAlignment="1">
      <alignment horizontal="center" vertical="center"/>
    </xf>
    <xf numFmtId="0" fontId="307" fillId="82" borderId="0" xfId="28" applyFont="1" applyFill="1" applyBorder="1" applyAlignment="1">
      <alignment horizontal="center" vertical="center"/>
    </xf>
    <xf numFmtId="331" fontId="307" fillId="82" borderId="0" xfId="1" applyNumberFormat="1" applyFont="1" applyFill="1" applyBorder="1" applyAlignment="1">
      <alignment horizontal="center" vertical="center"/>
    </xf>
    <xf numFmtId="225" fontId="307" fillId="82" borderId="0" xfId="1" applyNumberFormat="1" applyFont="1" applyFill="1" applyBorder="1" applyAlignment="1">
      <alignment horizontal="center" vertical="center"/>
    </xf>
    <xf numFmtId="43" fontId="307" fillId="82" borderId="0" xfId="1" applyNumberFormat="1" applyFont="1" applyFill="1" applyBorder="1" applyAlignment="1">
      <alignment horizontal="left" vertical="center"/>
    </xf>
    <xf numFmtId="1" fontId="306" fillId="0" borderId="0" xfId="28" applyNumberFormat="1" applyFont="1" applyFill="1" applyBorder="1" applyAlignment="1">
      <alignment horizontal="center" vertical="center"/>
    </xf>
    <xf numFmtId="169" fontId="306" fillId="0" borderId="0" xfId="28" applyNumberFormat="1" applyFont="1" applyFill="1" applyBorder="1" applyAlignment="1">
      <alignment horizontal="left" vertical="center"/>
    </xf>
    <xf numFmtId="166" fontId="312" fillId="0" borderId="0" xfId="0" applyNumberFormat="1" applyFont="1" applyFill="1" applyBorder="1" applyAlignment="1">
      <alignment horizontal="center" vertical="center"/>
    </xf>
    <xf numFmtId="0" fontId="307" fillId="90" borderId="0" xfId="0" applyFont="1" applyFill="1" applyBorder="1" applyAlignment="1">
      <alignment horizontal="left"/>
    </xf>
    <xf numFmtId="331" fontId="306" fillId="0" borderId="0" xfId="0" applyNumberFormat="1" applyFont="1" applyFill="1" applyBorder="1" applyAlignment="1">
      <alignment horizontal="center" vertical="center"/>
    </xf>
    <xf numFmtId="0" fontId="307" fillId="0" borderId="0" xfId="0" applyNumberFormat="1" applyFont="1" applyFill="1" applyBorder="1" applyAlignment="1">
      <alignment horizontal="left" vertical="center" wrapText="1"/>
    </xf>
    <xf numFmtId="0" fontId="307" fillId="90" borderId="0" xfId="28" applyFont="1" applyFill="1" applyBorder="1" applyAlignment="1">
      <alignment horizontal="left" vertical="center"/>
    </xf>
    <xf numFmtId="0" fontId="307" fillId="90" borderId="0" xfId="28" applyFont="1" applyFill="1" applyBorder="1" applyAlignment="1">
      <alignment horizontal="left" vertical="center" wrapText="1"/>
    </xf>
    <xf numFmtId="0" fontId="306" fillId="0" borderId="0" xfId="0" applyFont="1" applyBorder="1" applyAlignment="1">
      <alignment horizontal="center"/>
    </xf>
    <xf numFmtId="196" fontId="306" fillId="0" borderId="0" xfId="1" applyNumberFormat="1" applyFont="1" applyBorder="1" applyAlignment="1">
      <alignment vertical="center"/>
    </xf>
    <xf numFmtId="0" fontId="306" fillId="0" borderId="0" xfId="28" applyFont="1" applyBorder="1" applyAlignment="1">
      <alignment vertical="center"/>
    </xf>
    <xf numFmtId="169" fontId="306" fillId="0" borderId="0" xfId="28" applyNumberFormat="1" applyFont="1" applyBorder="1" applyAlignment="1">
      <alignment vertical="center"/>
    </xf>
    <xf numFmtId="0" fontId="307" fillId="82" borderId="0" xfId="0" applyFont="1" applyFill="1" applyBorder="1" applyAlignment="1">
      <alignment horizontal="center"/>
    </xf>
    <xf numFmtId="225" fontId="307" fillId="82" borderId="0" xfId="1" applyNumberFormat="1" applyFont="1" applyFill="1" applyBorder="1" applyAlignment="1">
      <alignment horizontal="left" vertical="center"/>
    </xf>
    <xf numFmtId="225" fontId="307" fillId="0" borderId="0" xfId="1" applyNumberFormat="1" applyFont="1" applyFill="1" applyBorder="1" applyAlignment="1">
      <alignment vertical="center"/>
    </xf>
    <xf numFmtId="0" fontId="270" fillId="0" borderId="0" xfId="0" applyFont="1" applyFill="1" applyBorder="1"/>
    <xf numFmtId="225" fontId="250" fillId="3" borderId="0" xfId="1" applyNumberFormat="1" applyFont="1" applyFill="1" applyBorder="1" applyAlignment="1">
      <alignment horizontal="left" vertical="center"/>
    </xf>
    <xf numFmtId="0" fontId="306" fillId="0" borderId="0" xfId="0" applyFont="1" applyBorder="1" applyAlignment="1">
      <alignment horizontal="left" wrapText="1"/>
    </xf>
    <xf numFmtId="0" fontId="306" fillId="0" borderId="0" xfId="0" applyFont="1" applyBorder="1" applyAlignment="1">
      <alignment horizontal="left"/>
    </xf>
    <xf numFmtId="0" fontId="306" fillId="0" borderId="0" xfId="0" applyFont="1" applyBorder="1" applyAlignment="1">
      <alignment horizontal="center" vertical="center"/>
    </xf>
    <xf numFmtId="166" fontId="306" fillId="0" borderId="0" xfId="28" applyNumberFormat="1" applyFont="1" applyFill="1" applyBorder="1" applyAlignment="1">
      <alignment horizontal="center" vertical="center" wrapText="1"/>
    </xf>
    <xf numFmtId="253" fontId="306" fillId="0" borderId="0" xfId="1" applyNumberFormat="1" applyFont="1" applyFill="1" applyBorder="1" applyAlignment="1">
      <alignment horizontal="center" vertical="center"/>
    </xf>
    <xf numFmtId="166" fontId="307" fillId="82" borderId="0" xfId="28" applyNumberFormat="1" applyFont="1" applyFill="1" applyBorder="1" applyAlignment="1">
      <alignment horizontal="center" vertical="center" wrapText="1"/>
    </xf>
    <xf numFmtId="253" fontId="307" fillId="82" borderId="0" xfId="1" applyNumberFormat="1" applyFont="1" applyFill="1" applyBorder="1" applyAlignment="1">
      <alignment horizontal="center" vertical="center"/>
    </xf>
    <xf numFmtId="166" fontId="306" fillId="82" borderId="0" xfId="28" applyNumberFormat="1" applyFont="1" applyFill="1" applyBorder="1" applyAlignment="1">
      <alignment horizontal="center" vertical="center" wrapText="1"/>
    </xf>
    <xf numFmtId="0" fontId="306" fillId="82" borderId="0" xfId="28" applyFont="1" applyFill="1" applyBorder="1" applyAlignment="1">
      <alignment horizontal="left" vertical="center" wrapText="1"/>
    </xf>
    <xf numFmtId="253" fontId="306" fillId="82" borderId="0" xfId="1" applyNumberFormat="1" applyFont="1" applyFill="1" applyBorder="1" applyAlignment="1">
      <alignment horizontal="center" vertical="center"/>
    </xf>
    <xf numFmtId="0" fontId="229" fillId="88" borderId="1" xfId="28" applyFont="1" applyFill="1" applyBorder="1" applyAlignment="1">
      <alignment horizontal="left" vertical="center" wrapText="1"/>
    </xf>
    <xf numFmtId="333" fontId="252" fillId="88" borderId="1" xfId="0" applyNumberFormat="1" applyFont="1" applyFill="1" applyBorder="1"/>
    <xf numFmtId="196" fontId="252" fillId="88" borderId="1" xfId="1" applyNumberFormat="1" applyFont="1" applyFill="1" applyBorder="1"/>
    <xf numFmtId="0" fontId="252" fillId="88" borderId="1" xfId="0" applyNumberFormat="1" applyFont="1" applyFill="1" applyBorder="1"/>
    <xf numFmtId="334" fontId="252" fillId="88" borderId="1" xfId="3654" applyNumberFormat="1" applyFont="1" applyFill="1" applyBorder="1" applyAlignment="1"/>
    <xf numFmtId="196" fontId="257" fillId="88" borderId="1" xfId="3654" applyNumberFormat="1" applyFont="1" applyFill="1" applyBorder="1" applyAlignment="1">
      <alignment horizontal="center" vertical="center"/>
    </xf>
    <xf numFmtId="332" fontId="257" fillId="88" borderId="1" xfId="3654" applyNumberFormat="1" applyFont="1" applyFill="1" applyBorder="1" applyAlignment="1">
      <alignment horizontal="center" vertical="center"/>
    </xf>
    <xf numFmtId="227" fontId="252" fillId="88" borderId="1" xfId="3654" applyNumberFormat="1" applyFont="1" applyFill="1" applyBorder="1"/>
    <xf numFmtId="0" fontId="313" fillId="88" borderId="1" xfId="0" applyFont="1" applyFill="1" applyBorder="1"/>
    <xf numFmtId="338" fontId="275" fillId="0" borderId="0" xfId="1" applyNumberFormat="1" applyFont="1" applyFill="1" applyBorder="1" applyAlignment="1">
      <alignment vertical="center"/>
    </xf>
    <xf numFmtId="338" fontId="250" fillId="0" borderId="0" xfId="1" applyNumberFormat="1" applyFont="1" applyFill="1" applyBorder="1" applyAlignment="1">
      <alignment vertical="center"/>
    </xf>
    <xf numFmtId="338" fontId="249" fillId="0" borderId="0" xfId="1" applyNumberFormat="1" applyFont="1" applyFill="1" applyBorder="1" applyAlignment="1">
      <alignment vertical="center"/>
    </xf>
    <xf numFmtId="338" fontId="249" fillId="78" borderId="0" xfId="1" applyNumberFormat="1" applyFont="1" applyFill="1" applyBorder="1" applyAlignment="1">
      <alignment vertical="center"/>
    </xf>
    <xf numFmtId="0" fontId="272" fillId="89" borderId="0" xfId="0" applyFont="1" applyFill="1" applyBorder="1"/>
    <xf numFmtId="0" fontId="272" fillId="89" borderId="0" xfId="0" applyFont="1" applyFill="1" applyBorder="1" applyAlignment="1">
      <alignment wrapText="1"/>
    </xf>
    <xf numFmtId="0" fontId="229" fillId="3" borderId="1" xfId="28" applyFont="1" applyFill="1" applyBorder="1" applyAlignment="1">
      <alignment horizontal="left" vertical="center" wrapText="1"/>
    </xf>
    <xf numFmtId="0" fontId="250" fillId="89" borderId="0" xfId="28" applyFont="1" applyFill="1" applyBorder="1" applyAlignment="1">
      <alignment horizontal="center" vertical="center"/>
    </xf>
    <xf numFmtId="331" fontId="250" fillId="89" borderId="0" xfId="1" applyNumberFormat="1" applyFont="1" applyFill="1" applyBorder="1" applyAlignment="1">
      <alignment horizontal="center" vertical="center"/>
    </xf>
    <xf numFmtId="225" fontId="250" fillId="89" borderId="0" xfId="1" applyNumberFormat="1" applyFont="1" applyFill="1" applyBorder="1" applyAlignment="1">
      <alignment horizontal="center" vertical="center"/>
    </xf>
    <xf numFmtId="0" fontId="249" fillId="89" borderId="0" xfId="28" applyFont="1" applyFill="1" applyBorder="1" applyAlignment="1">
      <alignment horizontal="center" vertical="center"/>
    </xf>
    <xf numFmtId="0" fontId="249" fillId="89" borderId="0" xfId="28" applyFont="1" applyFill="1" applyBorder="1" applyAlignment="1">
      <alignment horizontal="left" vertical="center" wrapText="1"/>
    </xf>
    <xf numFmtId="225" fontId="249" fillId="89" borderId="0" xfId="1" applyNumberFormat="1" applyFont="1" applyFill="1" applyBorder="1" applyAlignment="1">
      <alignment horizontal="center" vertical="center"/>
    </xf>
    <xf numFmtId="0" fontId="249" fillId="0" borderId="0" xfId="0" applyFont="1" applyFill="1" applyBorder="1" applyAlignment="1">
      <alignment horizontal="center"/>
    </xf>
    <xf numFmtId="0" fontId="237" fillId="0" borderId="109" xfId="0" applyFont="1" applyBorder="1" applyAlignment="1">
      <alignment horizontal="center" vertical="center"/>
    </xf>
    <xf numFmtId="0" fontId="237" fillId="0" borderId="109" xfId="0" applyFont="1" applyBorder="1" applyAlignment="1">
      <alignment vertical="center"/>
    </xf>
    <xf numFmtId="43" fontId="237" fillId="0" borderId="109" xfId="1" applyFont="1" applyBorder="1" applyAlignment="1">
      <alignment vertical="center"/>
    </xf>
    <xf numFmtId="43" fontId="237" fillId="0" borderId="110" xfId="1" applyFont="1" applyBorder="1" applyAlignment="1">
      <alignment vertical="center"/>
    </xf>
    <xf numFmtId="0" fontId="237" fillId="0" borderId="112" xfId="0" applyFont="1" applyBorder="1" applyAlignment="1">
      <alignment horizontal="center" vertical="center"/>
    </xf>
    <xf numFmtId="0" fontId="237" fillId="0" borderId="112" xfId="0" applyFont="1" applyBorder="1" applyAlignment="1">
      <alignment vertical="center"/>
    </xf>
    <xf numFmtId="43" fontId="237" fillId="0" borderId="112" xfId="1" applyFont="1" applyBorder="1" applyAlignment="1">
      <alignment vertical="center"/>
    </xf>
    <xf numFmtId="43" fontId="237" fillId="0" borderId="113" xfId="1" applyFont="1" applyBorder="1" applyAlignment="1">
      <alignment vertical="center"/>
    </xf>
    <xf numFmtId="0" fontId="237" fillId="0" borderId="115" xfId="0" applyFont="1" applyBorder="1" applyAlignment="1">
      <alignment horizontal="center" vertical="center"/>
    </xf>
    <xf numFmtId="0" fontId="237" fillId="0" borderId="115" xfId="0" applyFont="1" applyBorder="1" applyAlignment="1">
      <alignment vertical="center"/>
    </xf>
    <xf numFmtId="43" fontId="237" fillId="0" borderId="115" xfId="1" applyFont="1" applyBorder="1" applyAlignment="1">
      <alignment vertical="center"/>
    </xf>
    <xf numFmtId="43" fontId="237" fillId="0" borderId="116" xfId="1" applyFont="1" applyBorder="1" applyAlignment="1">
      <alignment vertical="center"/>
    </xf>
    <xf numFmtId="0" fontId="283" fillId="3" borderId="85" xfId="0" applyFont="1" applyFill="1" applyBorder="1" applyAlignment="1" applyProtection="1">
      <alignment horizontal="center" vertical="center" wrapText="1"/>
    </xf>
    <xf numFmtId="1" fontId="283" fillId="3" borderId="85" xfId="4" applyNumberFormat="1" applyFont="1" applyFill="1" applyBorder="1" applyAlignment="1" applyProtection="1">
      <alignment horizontal="center" vertical="center" wrapText="1"/>
    </xf>
    <xf numFmtId="43" fontId="283" fillId="3" borderId="85" xfId="1" applyFont="1" applyFill="1" applyBorder="1" applyAlignment="1" applyProtection="1">
      <alignment horizontal="center" vertical="center" wrapText="1"/>
      <protection locked="0"/>
    </xf>
    <xf numFmtId="0" fontId="284" fillId="3" borderId="0" xfId="0" applyFont="1" applyFill="1" applyAlignment="1">
      <alignment vertical="center"/>
    </xf>
    <xf numFmtId="0" fontId="286" fillId="0" borderId="84" xfId="0" applyFont="1" applyFill="1" applyBorder="1" applyAlignment="1" applyProtection="1">
      <alignment horizontal="center" vertical="center" wrapText="1"/>
    </xf>
    <xf numFmtId="0" fontId="286" fillId="0" borderId="84" xfId="0" applyFont="1" applyFill="1" applyBorder="1" applyAlignment="1" applyProtection="1">
      <alignment horizontal="center" vertical="center"/>
    </xf>
    <xf numFmtId="39" fontId="286" fillId="0" borderId="84" xfId="1" applyNumberFormat="1" applyFont="1" applyFill="1" applyBorder="1" applyAlignment="1" applyProtection="1">
      <alignment horizontal="center" vertical="center"/>
      <protection locked="0"/>
    </xf>
    <xf numFmtId="43" fontId="284" fillId="0" borderId="0" xfId="0" applyNumberFormat="1" applyFont="1" applyAlignment="1">
      <alignment vertical="center"/>
    </xf>
    <xf numFmtId="43" fontId="296" fillId="0" borderId="84" xfId="1" applyFont="1" applyFill="1" applyBorder="1" applyAlignment="1" applyProtection="1">
      <alignment horizontal="center" vertical="center"/>
      <protection locked="0"/>
    </xf>
    <xf numFmtId="0" fontId="286" fillId="0" borderId="84" xfId="3" applyFont="1" applyFill="1" applyBorder="1" applyAlignment="1" applyProtection="1">
      <alignment horizontal="center" vertical="center" wrapText="1"/>
    </xf>
    <xf numFmtId="1" fontId="283" fillId="0" borderId="84" xfId="4" applyNumberFormat="1" applyFont="1" applyFill="1" applyBorder="1" applyAlignment="1" applyProtection="1">
      <alignment horizontal="center" vertical="center" wrapText="1"/>
    </xf>
    <xf numFmtId="43" fontId="286" fillId="0" borderId="84" xfId="1" applyFont="1" applyFill="1" applyBorder="1" applyAlignment="1" applyProtection="1">
      <alignment horizontal="center" vertical="center" wrapText="1"/>
      <protection locked="0"/>
    </xf>
    <xf numFmtId="1" fontId="286" fillId="0" borderId="84" xfId="4" applyNumberFormat="1" applyFont="1" applyFill="1" applyBorder="1" applyAlignment="1" applyProtection="1">
      <alignment horizontal="center" vertical="center" wrapText="1"/>
    </xf>
    <xf numFmtId="0" fontId="283" fillId="3" borderId="1" xfId="0" applyFont="1" applyFill="1" applyBorder="1" applyAlignment="1" applyProtection="1">
      <alignment horizontal="center" vertical="center" wrapText="1"/>
    </xf>
    <xf numFmtId="1" fontId="283" fillId="3" borderId="1" xfId="4" applyNumberFormat="1" applyFont="1" applyFill="1" applyBorder="1" applyAlignment="1" applyProtection="1">
      <alignment horizontal="center" vertical="center" wrapText="1"/>
    </xf>
    <xf numFmtId="43" fontId="283" fillId="3" borderId="1" xfId="1" applyFont="1" applyFill="1" applyBorder="1" applyAlignment="1" applyProtection="1">
      <alignment horizontal="center" vertical="center" wrapText="1"/>
      <protection locked="0"/>
    </xf>
    <xf numFmtId="43" fontId="286" fillId="3" borderId="84" xfId="1" applyFont="1" applyFill="1" applyBorder="1" applyAlignment="1" applyProtection="1">
      <alignment horizontal="center" vertical="center"/>
      <protection locked="0"/>
    </xf>
    <xf numFmtId="0" fontId="286" fillId="0" borderId="90" xfId="3" applyFont="1" applyFill="1" applyBorder="1" applyAlignment="1" applyProtection="1">
      <alignment horizontal="center" vertical="center" wrapText="1"/>
    </xf>
    <xf numFmtId="1" fontId="283" fillId="0" borderId="90" xfId="4" applyNumberFormat="1" applyFont="1" applyFill="1" applyBorder="1" applyAlignment="1" applyProtection="1">
      <alignment horizontal="center" vertical="center" wrapText="1"/>
    </xf>
    <xf numFmtId="43" fontId="286" fillId="0" borderId="90" xfId="1" applyFont="1" applyFill="1" applyBorder="1" applyAlignment="1" applyProtection="1">
      <alignment horizontal="center" vertical="center" wrapText="1"/>
      <protection locked="0"/>
    </xf>
    <xf numFmtId="43" fontId="286" fillId="0" borderId="90" xfId="1" applyFont="1" applyFill="1" applyBorder="1" applyAlignment="1" applyProtection="1">
      <alignment horizontal="center" vertical="center"/>
      <protection locked="0"/>
    </xf>
    <xf numFmtId="43" fontId="286" fillId="91" borderId="84" xfId="1" applyFont="1" applyFill="1" applyBorder="1" applyAlignment="1" applyProtection="1">
      <alignment horizontal="center" vertical="center" wrapText="1"/>
      <protection locked="0"/>
    </xf>
    <xf numFmtId="1" fontId="286" fillId="0" borderId="90" xfId="4" applyNumberFormat="1" applyFont="1" applyFill="1" applyBorder="1" applyAlignment="1" applyProtection="1">
      <alignment horizontal="center" vertical="center" wrapText="1"/>
    </xf>
    <xf numFmtId="0" fontId="286" fillId="0" borderId="13" xfId="3" applyFont="1" applyFill="1" applyBorder="1" applyAlignment="1" applyProtection="1">
      <alignment horizontal="center" vertical="center" wrapText="1"/>
    </xf>
    <xf numFmtId="1" fontId="286" fillId="0" borderId="13" xfId="4" applyNumberFormat="1" applyFont="1" applyFill="1" applyBorder="1" applyAlignment="1" applyProtection="1">
      <alignment horizontal="center" vertical="center" wrapText="1"/>
    </xf>
    <xf numFmtId="43" fontId="286" fillId="0" borderId="13" xfId="1" applyFont="1" applyFill="1" applyBorder="1" applyAlignment="1" applyProtection="1">
      <alignment horizontal="center" vertical="center" wrapText="1"/>
      <protection locked="0"/>
    </xf>
    <xf numFmtId="43" fontId="286" fillId="0" borderId="13" xfId="1" applyFont="1" applyFill="1" applyBorder="1" applyAlignment="1" applyProtection="1">
      <alignment horizontal="center" vertical="center"/>
      <protection locked="0"/>
    </xf>
    <xf numFmtId="1" fontId="242" fillId="87" borderId="84" xfId="4" applyNumberFormat="1" applyFont="1" applyFill="1" applyBorder="1" applyAlignment="1" applyProtection="1">
      <alignment horizontal="center" vertical="center" wrapText="1"/>
    </xf>
    <xf numFmtId="0" fontId="242" fillId="87" borderId="84" xfId="0" applyNumberFormat="1" applyFont="1" applyFill="1" applyBorder="1" applyAlignment="1" applyProtection="1">
      <alignment horizontal="center" vertical="center" wrapText="1"/>
    </xf>
    <xf numFmtId="43" fontId="242" fillId="87" borderId="84" xfId="1" applyFont="1" applyFill="1" applyBorder="1" applyAlignment="1" applyProtection="1">
      <alignment horizontal="center" vertical="center" wrapText="1"/>
      <protection locked="0"/>
    </xf>
    <xf numFmtId="241" fontId="242" fillId="87" borderId="84" xfId="1" applyNumberFormat="1" applyFont="1" applyFill="1" applyBorder="1" applyAlignment="1" applyProtection="1">
      <alignment horizontal="center" vertical="center" wrapText="1"/>
      <protection locked="0"/>
    </xf>
    <xf numFmtId="339" fontId="284" fillId="0" borderId="0" xfId="0" applyNumberFormat="1" applyFont="1" applyAlignment="1">
      <alignment vertical="center"/>
    </xf>
    <xf numFmtId="0" fontId="283" fillId="0" borderId="84" xfId="0" applyNumberFormat="1" applyFont="1" applyFill="1" applyBorder="1" applyAlignment="1" applyProtection="1">
      <alignment horizontal="center" vertical="center" wrapText="1"/>
    </xf>
    <xf numFmtId="43" fontId="283" fillId="0" borderId="84" xfId="1" applyFont="1" applyFill="1" applyBorder="1" applyAlignment="1" applyProtection="1">
      <alignment horizontal="center" vertical="center" wrapText="1"/>
      <protection locked="0"/>
    </xf>
    <xf numFmtId="0" fontId="284" fillId="0" borderId="0" xfId="0" applyFont="1" applyFill="1" applyAlignment="1">
      <alignment vertical="center"/>
    </xf>
    <xf numFmtId="43" fontId="284" fillId="0" borderId="0" xfId="0" applyNumberFormat="1" applyFont="1" applyFill="1" applyAlignment="1">
      <alignment vertical="center"/>
    </xf>
    <xf numFmtId="0" fontId="286" fillId="0" borderId="84" xfId="0" applyNumberFormat="1" applyFont="1" applyFill="1" applyBorder="1" applyAlignment="1" applyProtection="1">
      <alignment horizontal="center" vertical="center" wrapText="1"/>
    </xf>
    <xf numFmtId="0" fontId="283" fillId="0" borderId="89" xfId="0" applyNumberFormat="1" applyFont="1" applyFill="1" applyBorder="1" applyAlignment="1" applyProtection="1">
      <alignment horizontal="center" vertical="center" wrapText="1"/>
    </xf>
    <xf numFmtId="0" fontId="286" fillId="0" borderId="89" xfId="0" applyFont="1" applyFill="1" applyBorder="1" applyAlignment="1" applyProtection="1">
      <alignment horizontal="center" vertical="center" wrapText="1"/>
    </xf>
    <xf numFmtId="0" fontId="286" fillId="0" borderId="89" xfId="0" applyFont="1" applyFill="1" applyBorder="1" applyAlignment="1" applyProtection="1">
      <alignment horizontal="center" vertical="center"/>
    </xf>
    <xf numFmtId="0" fontId="286" fillId="0" borderId="89" xfId="0" applyNumberFormat="1" applyFont="1" applyFill="1" applyBorder="1" applyAlignment="1" applyProtection="1">
      <alignment horizontal="center" vertical="center" wrapText="1"/>
    </xf>
    <xf numFmtId="1" fontId="242" fillId="87" borderId="86" xfId="4" applyNumberFormat="1" applyFont="1" applyFill="1" applyBorder="1" applyAlignment="1" applyProtection="1">
      <alignment horizontal="center" vertical="center" wrapText="1"/>
    </xf>
    <xf numFmtId="0" fontId="242" fillId="87" borderId="86" xfId="0" applyNumberFormat="1" applyFont="1" applyFill="1" applyBorder="1" applyAlignment="1" applyProtection="1">
      <alignment horizontal="center" vertical="center" wrapText="1"/>
    </xf>
    <xf numFmtId="43" fontId="242" fillId="87" borderId="86" xfId="1" applyFont="1" applyFill="1" applyBorder="1" applyAlignment="1" applyProtection="1">
      <alignment horizontal="center" vertical="center" wrapText="1"/>
      <protection locked="0"/>
    </xf>
    <xf numFmtId="241" fontId="242" fillId="87" borderId="86" xfId="1" applyNumberFormat="1" applyFont="1" applyFill="1" applyBorder="1" applyAlignment="1" applyProtection="1">
      <alignment horizontal="center" vertical="center" wrapText="1"/>
      <protection locked="0"/>
    </xf>
    <xf numFmtId="0" fontId="284" fillId="0" borderId="118" xfId="0" applyFont="1" applyBorder="1" applyAlignment="1">
      <alignment horizontal="center" vertical="center"/>
    </xf>
    <xf numFmtId="43" fontId="284" fillId="0" borderId="118" xfId="1" applyFont="1" applyBorder="1" applyAlignment="1">
      <alignment vertical="center"/>
    </xf>
    <xf numFmtId="43" fontId="284" fillId="0" borderId="117" xfId="1" applyFont="1" applyBorder="1" applyAlignment="1">
      <alignment vertical="center"/>
    </xf>
    <xf numFmtId="43" fontId="287" fillId="0" borderId="91" xfId="1" applyNumberFormat="1" applyFont="1" applyBorder="1" applyAlignment="1">
      <alignment horizontal="center" vertical="center" wrapText="1"/>
    </xf>
    <xf numFmtId="43" fontId="287" fillId="0" borderId="92" xfId="1" applyNumberFormat="1" applyFont="1" applyFill="1" applyBorder="1" applyAlignment="1">
      <alignment vertical="center"/>
    </xf>
    <xf numFmtId="0" fontId="237" fillId="0" borderId="0" xfId="0" applyFont="1" applyAlignment="1">
      <alignment horizontal="center" vertical="center"/>
    </xf>
    <xf numFmtId="43" fontId="237" fillId="0" borderId="0" xfId="1" applyFont="1" applyAlignment="1">
      <alignment vertical="center"/>
    </xf>
    <xf numFmtId="0" fontId="238" fillId="0" borderId="108" xfId="0" applyFont="1" applyBorder="1" applyAlignment="1">
      <alignment vertical="top"/>
    </xf>
    <xf numFmtId="0" fontId="238" fillId="0" borderId="111" xfId="0" applyFont="1" applyBorder="1" applyAlignment="1">
      <alignment vertical="top"/>
    </xf>
    <xf numFmtId="0" fontId="239" fillId="0" borderId="115" xfId="0" applyFont="1" applyBorder="1" applyAlignment="1">
      <alignment vertical="top"/>
    </xf>
    <xf numFmtId="196" fontId="250" fillId="0" borderId="0" xfId="1" applyNumberFormat="1" applyFont="1" applyFill="1" applyBorder="1" applyAlignment="1">
      <alignment horizontal="center" vertical="center"/>
    </xf>
    <xf numFmtId="196" fontId="249" fillId="0" borderId="0" xfId="1" applyNumberFormat="1" applyFont="1" applyFill="1" applyBorder="1" applyAlignment="1">
      <alignment horizontal="left" vertical="center"/>
    </xf>
    <xf numFmtId="196" fontId="249" fillId="78" borderId="0" xfId="1" applyNumberFormat="1" applyFont="1" applyFill="1" applyBorder="1" applyAlignment="1">
      <alignment horizontal="left" vertical="center"/>
    </xf>
    <xf numFmtId="1" fontId="275" fillId="0" borderId="0" xfId="1" applyNumberFormat="1" applyFont="1" applyFill="1" applyBorder="1" applyAlignment="1">
      <alignment vertical="center"/>
    </xf>
    <xf numFmtId="1" fontId="250" fillId="0" borderId="0" xfId="1" applyNumberFormat="1" applyFont="1" applyBorder="1" applyAlignment="1">
      <alignment horizontal="left" vertical="center"/>
    </xf>
    <xf numFmtId="1" fontId="249" fillId="0" borderId="0" xfId="1" applyNumberFormat="1" applyFont="1" applyFill="1" applyBorder="1" applyAlignment="1">
      <alignment horizontal="left" vertical="center"/>
    </xf>
    <xf numFmtId="1" fontId="249" fillId="78" borderId="0" xfId="1" applyNumberFormat="1" applyFont="1" applyFill="1" applyBorder="1" applyAlignment="1">
      <alignment horizontal="left" vertical="center"/>
    </xf>
    <xf numFmtId="169" fontId="249" fillId="0" borderId="0" xfId="1" applyNumberFormat="1" applyFont="1" applyFill="1" applyBorder="1" applyAlignment="1">
      <alignment horizontal="left" vertical="center"/>
    </xf>
    <xf numFmtId="169" fontId="249" fillId="78" borderId="0" xfId="1" applyNumberFormat="1" applyFont="1" applyFill="1" applyBorder="1" applyAlignment="1">
      <alignment horizontal="left" vertical="center"/>
    </xf>
    <xf numFmtId="169" fontId="250" fillId="0" borderId="0" xfId="1" applyNumberFormat="1" applyFont="1" applyBorder="1" applyAlignment="1">
      <alignment horizontal="left" vertical="center"/>
    </xf>
    <xf numFmtId="169" fontId="275" fillId="0" borderId="0" xfId="1" applyNumberFormat="1" applyFont="1" applyFill="1" applyBorder="1" applyAlignment="1">
      <alignment vertical="center"/>
    </xf>
    <xf numFmtId="0" fontId="244" fillId="0" borderId="89" xfId="0" applyNumberFormat="1" applyFont="1" applyFill="1" applyBorder="1" applyAlignment="1" applyProtection="1">
      <alignment horizontal="center" vertical="center" wrapText="1"/>
    </xf>
    <xf numFmtId="0" fontId="244" fillId="0" borderId="89" xfId="0" applyFont="1" applyFill="1" applyBorder="1" applyAlignment="1" applyProtection="1">
      <alignment horizontal="center" vertical="center"/>
    </xf>
    <xf numFmtId="0" fontId="237" fillId="0" borderId="0" xfId="0" applyFont="1" applyFill="1" applyAlignment="1">
      <alignment vertical="center"/>
    </xf>
    <xf numFmtId="43" fontId="237" fillId="0" borderId="0" xfId="0" applyNumberFormat="1" applyFont="1" applyAlignment="1">
      <alignment vertical="center"/>
    </xf>
    <xf numFmtId="0" fontId="244" fillId="0" borderId="89" xfId="6" applyFont="1" applyFill="1" applyBorder="1" applyAlignment="1" applyProtection="1">
      <alignment horizontal="center" vertical="center" wrapText="1"/>
    </xf>
    <xf numFmtId="43" fontId="250" fillId="0" borderId="0" xfId="1" applyNumberFormat="1" applyFont="1" applyFill="1" applyBorder="1" applyAlignment="1">
      <alignment horizontal="center" vertical="center"/>
    </xf>
    <xf numFmtId="337" fontId="250" fillId="0" borderId="0" xfId="28" applyNumberFormat="1" applyFont="1" applyFill="1" applyBorder="1" applyAlignment="1">
      <alignment horizontal="left" vertical="center" wrapText="1"/>
    </xf>
    <xf numFmtId="0" fontId="242" fillId="80" borderId="84" xfId="6" applyFont="1" applyFill="1" applyBorder="1" applyAlignment="1" applyProtection="1">
      <alignment horizontal="center" vertical="top" wrapText="1"/>
    </xf>
    <xf numFmtId="0" fontId="242" fillId="80" borderId="84" xfId="6" applyFont="1" applyFill="1" applyBorder="1" applyAlignment="1" applyProtection="1">
      <alignment horizontal="left" vertical="top" wrapText="1"/>
    </xf>
    <xf numFmtId="0" fontId="242" fillId="80" borderId="84" xfId="0" applyNumberFormat="1" applyFont="1" applyFill="1" applyBorder="1" applyAlignment="1" applyProtection="1">
      <alignment horizontal="left" vertical="center" wrapText="1"/>
    </xf>
    <xf numFmtId="1" fontId="242" fillId="80" borderId="84" xfId="4" applyNumberFormat="1" applyFont="1" applyFill="1" applyBorder="1" applyAlignment="1" applyProtection="1">
      <alignment horizontal="center" vertical="center" wrapText="1"/>
    </xf>
    <xf numFmtId="273" fontId="242" fillId="80" borderId="84" xfId="1" applyNumberFormat="1" applyFont="1" applyFill="1" applyBorder="1" applyAlignment="1" applyProtection="1">
      <alignment horizontal="center" vertical="center" wrapText="1"/>
      <protection locked="0"/>
    </xf>
    <xf numFmtId="43" fontId="242" fillId="80" borderId="84" xfId="1" applyFont="1" applyFill="1" applyBorder="1" applyAlignment="1" applyProtection="1">
      <alignment horizontal="center" vertical="center" wrapText="1"/>
      <protection locked="0"/>
    </xf>
    <xf numFmtId="241" fontId="242" fillId="80" borderId="84" xfId="1" applyNumberFormat="1" applyFont="1" applyFill="1" applyBorder="1" applyAlignment="1" applyProtection="1">
      <alignment horizontal="center" vertical="center" wrapText="1"/>
      <protection locked="0"/>
    </xf>
    <xf numFmtId="1" fontId="242" fillId="0" borderId="84" xfId="4" applyNumberFormat="1" applyFont="1" applyFill="1" applyBorder="1" applyAlignment="1" applyProtection="1">
      <alignment horizontal="center" vertical="top" wrapText="1"/>
    </xf>
    <xf numFmtId="0" fontId="242" fillId="0" borderId="84" xfId="0" applyNumberFormat="1" applyFont="1" applyFill="1" applyBorder="1" applyAlignment="1" applyProtection="1">
      <alignment horizontal="center" vertical="top" wrapText="1"/>
    </xf>
    <xf numFmtId="273" fontId="242" fillId="0" borderId="84" xfId="1" applyNumberFormat="1" applyFont="1" applyFill="1" applyBorder="1" applyAlignment="1" applyProtection="1">
      <alignment horizontal="center" vertical="top" wrapText="1"/>
      <protection locked="0"/>
    </xf>
    <xf numFmtId="43" fontId="242" fillId="0" borderId="84" xfId="1" applyFont="1" applyFill="1" applyBorder="1" applyAlignment="1" applyProtection="1">
      <alignment horizontal="center" vertical="top" wrapText="1"/>
      <protection locked="0"/>
    </xf>
    <xf numFmtId="241" fontId="242" fillId="0" borderId="84" xfId="1" applyNumberFormat="1" applyFont="1" applyFill="1" applyBorder="1" applyAlignment="1" applyProtection="1">
      <alignment horizontal="center" vertical="top" wrapText="1"/>
      <protection locked="0"/>
    </xf>
    <xf numFmtId="273" fontId="242" fillId="0" borderId="84" xfId="1" applyNumberFormat="1" applyFont="1" applyFill="1" applyBorder="1" applyAlignment="1" applyProtection="1">
      <alignment horizontal="center" vertical="center"/>
      <protection locked="0"/>
    </xf>
    <xf numFmtId="166" fontId="242" fillId="0" borderId="89" xfId="0" applyNumberFormat="1" applyFont="1" applyFill="1" applyBorder="1" applyAlignment="1" applyProtection="1">
      <alignment horizontal="center" vertical="top" wrapText="1"/>
    </xf>
    <xf numFmtId="0" fontId="242" fillId="0" borderId="89" xfId="0" applyFont="1" applyFill="1" applyBorder="1" applyAlignment="1" applyProtection="1">
      <alignment horizontal="left" vertical="top" wrapText="1"/>
    </xf>
    <xf numFmtId="0" fontId="244" fillId="0" borderId="89" xfId="0" applyFont="1" applyFill="1" applyBorder="1" applyAlignment="1" applyProtection="1">
      <alignment horizontal="left" vertical="center" wrapText="1"/>
    </xf>
    <xf numFmtId="241" fontId="244" fillId="0" borderId="89" xfId="1" applyNumberFormat="1" applyFont="1" applyFill="1" applyBorder="1" applyAlignment="1" applyProtection="1">
      <alignment horizontal="center" vertical="center"/>
      <protection locked="0"/>
    </xf>
    <xf numFmtId="0" fontId="242" fillId="0" borderId="1" xfId="6" applyFont="1" applyFill="1" applyBorder="1" applyAlignment="1" applyProtection="1">
      <alignment horizontal="center" vertical="top" wrapText="1"/>
    </xf>
    <xf numFmtId="1" fontId="242" fillId="0" borderId="1" xfId="4" applyNumberFormat="1" applyFont="1" applyFill="1" applyBorder="1" applyAlignment="1" applyProtection="1">
      <alignment horizontal="center" vertical="top" wrapText="1"/>
    </xf>
    <xf numFmtId="0" fontId="242" fillId="0" borderId="1" xfId="0" applyNumberFormat="1" applyFont="1" applyFill="1" applyBorder="1" applyAlignment="1" applyProtection="1">
      <alignment horizontal="center" vertical="top" wrapText="1"/>
    </xf>
    <xf numFmtId="43" fontId="242" fillId="0" borderId="1" xfId="1" applyFont="1" applyFill="1" applyBorder="1" applyAlignment="1" applyProtection="1">
      <alignment horizontal="center" vertical="top" wrapText="1"/>
      <protection locked="0"/>
    </xf>
    <xf numFmtId="241" fontId="242" fillId="0" borderId="1" xfId="1" applyNumberFormat="1" applyFont="1" applyFill="1" applyBorder="1" applyAlignment="1" applyProtection="1">
      <alignment horizontal="center" vertical="top" wrapText="1"/>
      <protection locked="0"/>
    </xf>
    <xf numFmtId="43" fontId="314" fillId="0" borderId="92" xfId="1" applyNumberFormat="1" applyFont="1" applyFill="1" applyBorder="1" applyAlignment="1">
      <alignment vertical="top"/>
    </xf>
    <xf numFmtId="0" fontId="229" fillId="85" borderId="0" xfId="28" applyFont="1" applyFill="1" applyBorder="1" applyAlignment="1">
      <alignment horizontal="left" vertical="center" wrapText="1" indent="1"/>
    </xf>
    <xf numFmtId="43" fontId="250" fillId="0" borderId="0" xfId="1" applyNumberFormat="1" applyFont="1" applyBorder="1" applyAlignment="1">
      <alignment vertical="center"/>
    </xf>
    <xf numFmtId="43" fontId="286" fillId="92" borderId="84" xfId="1" applyFont="1" applyFill="1" applyBorder="1" applyAlignment="1" applyProtection="1">
      <alignment horizontal="center" vertical="center"/>
      <protection locked="0"/>
    </xf>
    <xf numFmtId="0" fontId="286" fillId="92" borderId="84" xfId="0" applyFont="1" applyFill="1" applyBorder="1" applyAlignment="1" applyProtection="1">
      <alignment horizontal="center" vertical="center"/>
    </xf>
    <xf numFmtId="43" fontId="249" fillId="92" borderId="0" xfId="1" applyFont="1" applyFill="1" applyBorder="1" applyAlignment="1">
      <alignment horizontal="left" vertical="center"/>
    </xf>
    <xf numFmtId="0" fontId="286" fillId="92" borderId="89" xfId="0" applyFont="1" applyFill="1" applyBorder="1" applyAlignment="1" applyProtection="1">
      <alignment horizontal="center" vertical="center"/>
    </xf>
    <xf numFmtId="0" fontId="286" fillId="92" borderId="89" xfId="6" applyFont="1" applyFill="1" applyBorder="1" applyAlignment="1" applyProtection="1">
      <alignment horizontal="center" vertical="center" wrapText="1"/>
    </xf>
    <xf numFmtId="0" fontId="250" fillId="92" borderId="0" xfId="28" applyFont="1" applyFill="1" applyBorder="1" applyAlignment="1">
      <alignment horizontal="center" vertical="center"/>
    </xf>
    <xf numFmtId="169" fontId="250" fillId="92" borderId="0" xfId="28" applyNumberFormat="1" applyFont="1" applyFill="1" applyBorder="1" applyAlignment="1">
      <alignment horizontal="center" vertical="center"/>
    </xf>
    <xf numFmtId="0" fontId="249" fillId="92" borderId="0" xfId="28" applyFont="1" applyFill="1" applyBorder="1" applyAlignment="1">
      <alignment horizontal="center" vertical="center"/>
    </xf>
    <xf numFmtId="169" fontId="249" fillId="92" borderId="0" xfId="28" applyNumberFormat="1" applyFont="1" applyFill="1" applyBorder="1" applyAlignment="1">
      <alignment horizontal="center" vertical="center"/>
    </xf>
    <xf numFmtId="225" fontId="249" fillId="92" borderId="0" xfId="1" applyNumberFormat="1" applyFont="1" applyFill="1" applyBorder="1" applyAlignment="1">
      <alignment horizontal="left" vertical="center"/>
    </xf>
    <xf numFmtId="0" fontId="250" fillId="92" borderId="0" xfId="28" applyFont="1" applyFill="1" applyBorder="1" applyAlignment="1">
      <alignment horizontal="left" vertical="center" wrapText="1"/>
    </xf>
    <xf numFmtId="0" fontId="272" fillId="92" borderId="0" xfId="0" applyFont="1" applyFill="1" applyBorder="1" applyAlignment="1">
      <alignment vertical="center"/>
    </xf>
    <xf numFmtId="331" fontId="250" fillId="92" borderId="0" xfId="1" applyNumberFormat="1" applyFont="1" applyFill="1" applyBorder="1" applyAlignment="1">
      <alignment horizontal="center" vertical="center"/>
    </xf>
    <xf numFmtId="43" fontId="250" fillId="92" borderId="0" xfId="1" applyNumberFormat="1" applyFont="1" applyFill="1" applyBorder="1" applyAlignment="1">
      <alignment horizontal="center" vertical="center"/>
    </xf>
    <xf numFmtId="43" fontId="250" fillId="92" borderId="0" xfId="1" applyNumberFormat="1" applyFont="1" applyFill="1" applyBorder="1" applyAlignment="1">
      <alignment horizontal="left" vertical="center"/>
    </xf>
    <xf numFmtId="0" fontId="249" fillId="92" borderId="0" xfId="28" applyNumberFormat="1" applyFont="1" applyFill="1" applyBorder="1" applyAlignment="1">
      <alignment horizontal="left" vertical="center" wrapText="1"/>
    </xf>
    <xf numFmtId="253" fontId="250" fillId="92" borderId="0" xfId="1" applyNumberFormat="1" applyFont="1" applyFill="1" applyBorder="1" applyAlignment="1">
      <alignment vertical="center"/>
    </xf>
    <xf numFmtId="0" fontId="250" fillId="92" borderId="0" xfId="28" applyFont="1" applyFill="1" applyBorder="1" applyAlignment="1">
      <alignment vertical="center"/>
    </xf>
    <xf numFmtId="0" fontId="249" fillId="92" borderId="0" xfId="28" applyFont="1" applyFill="1" applyBorder="1" applyAlignment="1">
      <alignment horizontal="left" vertical="center" wrapText="1"/>
    </xf>
    <xf numFmtId="331" fontId="249" fillId="92" borderId="0" xfId="1" applyNumberFormat="1" applyFont="1" applyFill="1" applyBorder="1" applyAlignment="1">
      <alignment horizontal="center" vertical="center"/>
    </xf>
    <xf numFmtId="169" fontId="249" fillId="92" borderId="0" xfId="1" applyNumberFormat="1" applyFont="1" applyFill="1" applyBorder="1" applyAlignment="1">
      <alignment horizontal="left" vertical="center"/>
    </xf>
    <xf numFmtId="1" fontId="249" fillId="92" borderId="0" xfId="1" applyNumberFormat="1" applyFont="1" applyFill="1" applyBorder="1" applyAlignment="1">
      <alignment horizontal="left" vertical="center"/>
    </xf>
    <xf numFmtId="0" fontId="242" fillId="92" borderId="89" xfId="0" applyFont="1" applyFill="1" applyBorder="1" applyAlignment="1" applyProtection="1">
      <alignment horizontal="center" vertical="center"/>
    </xf>
    <xf numFmtId="0" fontId="229" fillId="92" borderId="0" xfId="28" applyNumberFormat="1" applyFont="1" applyFill="1" applyBorder="1" applyAlignment="1">
      <alignment horizontal="center" vertical="center" wrapText="1"/>
    </xf>
    <xf numFmtId="0" fontId="229" fillId="92" borderId="0" xfId="28" applyFont="1" applyFill="1" applyBorder="1" applyAlignment="1">
      <alignment horizontal="center" vertical="center"/>
    </xf>
    <xf numFmtId="0" fontId="229" fillId="92" borderId="0" xfId="28" applyFont="1" applyFill="1" applyBorder="1" applyAlignment="1">
      <alignment horizontal="left" vertical="center" wrapText="1"/>
    </xf>
    <xf numFmtId="331" fontId="229" fillId="92" borderId="0" xfId="1" applyNumberFormat="1" applyFont="1" applyFill="1" applyBorder="1" applyAlignment="1">
      <alignment horizontal="center" vertical="center"/>
    </xf>
    <xf numFmtId="0" fontId="229" fillId="92" borderId="0" xfId="28" applyFont="1" applyFill="1" applyBorder="1" applyAlignment="1">
      <alignment horizontal="left" vertical="center"/>
    </xf>
    <xf numFmtId="169" fontId="229" fillId="92" borderId="0" xfId="28" applyNumberFormat="1" applyFont="1" applyFill="1" applyBorder="1" applyAlignment="1">
      <alignment horizontal="left" vertical="center"/>
    </xf>
    <xf numFmtId="225" fontId="229" fillId="92" borderId="0" xfId="1" applyNumberFormat="1" applyFont="1" applyFill="1" applyBorder="1" applyAlignment="1">
      <alignment horizontal="center" vertical="center"/>
    </xf>
    <xf numFmtId="43" fontId="229" fillId="92" borderId="0" xfId="1" applyNumberFormat="1" applyFont="1" applyFill="1" applyBorder="1" applyAlignment="1">
      <alignment horizontal="left" vertical="center"/>
    </xf>
    <xf numFmtId="253" fontId="229" fillId="92" borderId="0" xfId="1" applyNumberFormat="1" applyFont="1" applyFill="1" applyBorder="1" applyAlignment="1">
      <alignment vertical="center"/>
    </xf>
    <xf numFmtId="0" fontId="229" fillId="92" borderId="0" xfId="28" applyFont="1" applyFill="1" applyBorder="1" applyAlignment="1">
      <alignment vertical="center"/>
    </xf>
    <xf numFmtId="0" fontId="283" fillId="92" borderId="89" xfId="0" applyFont="1" applyFill="1" applyBorder="1" applyAlignment="1" applyProtection="1">
      <alignment horizontal="center" vertical="center"/>
    </xf>
    <xf numFmtId="43" fontId="249" fillId="92" borderId="0" xfId="1" applyNumberFormat="1" applyFont="1" applyFill="1" applyBorder="1" applyAlignment="1">
      <alignment horizontal="left" vertical="center"/>
    </xf>
    <xf numFmtId="169" fontId="249" fillId="0" borderId="0" xfId="28" applyNumberFormat="1" applyFont="1" applyFill="1" applyBorder="1" applyAlignment="1">
      <alignment horizontal="left" vertical="center" wrapText="1"/>
    </xf>
    <xf numFmtId="225" fontId="250" fillId="92" borderId="0" xfId="1" applyNumberFormat="1" applyFont="1" applyFill="1" applyBorder="1" applyAlignment="1">
      <alignment horizontal="center" vertical="center"/>
    </xf>
    <xf numFmtId="225" fontId="274" fillId="0" borderId="0" xfId="1" applyNumberFormat="1" applyFont="1" applyBorder="1" applyAlignment="1">
      <alignment horizontal="left" vertical="center"/>
    </xf>
    <xf numFmtId="0" fontId="275" fillId="89" borderId="0" xfId="28" applyFont="1" applyFill="1" applyBorder="1" applyAlignment="1">
      <alignment horizontal="left" vertical="center" wrapText="1"/>
    </xf>
    <xf numFmtId="1" fontId="274" fillId="0" borderId="0" xfId="1" applyNumberFormat="1" applyFont="1" applyBorder="1" applyAlignment="1">
      <alignment horizontal="left" vertical="center"/>
    </xf>
    <xf numFmtId="331" fontId="249" fillId="92" borderId="0" xfId="28" applyNumberFormat="1" applyFont="1" applyFill="1" applyBorder="1" applyAlignment="1">
      <alignment horizontal="center" vertical="center"/>
    </xf>
    <xf numFmtId="1" fontId="249" fillId="92" borderId="0" xfId="28" applyNumberFormat="1" applyFont="1" applyFill="1" applyBorder="1" applyAlignment="1">
      <alignment horizontal="center" vertical="center"/>
    </xf>
    <xf numFmtId="169" fontId="249" fillId="92" borderId="0" xfId="28" applyNumberFormat="1" applyFont="1" applyFill="1" applyBorder="1" applyAlignment="1">
      <alignment horizontal="left" vertical="center"/>
    </xf>
    <xf numFmtId="0" fontId="249" fillId="92" borderId="0" xfId="28" applyFont="1" applyFill="1" applyBorder="1" applyAlignment="1">
      <alignment horizontal="left" vertical="center"/>
    </xf>
    <xf numFmtId="166" fontId="274" fillId="0" borderId="0" xfId="28" applyNumberFormat="1" applyFont="1" applyFill="1" applyBorder="1" applyAlignment="1">
      <alignment horizontal="center" vertical="center" wrapText="1"/>
    </xf>
    <xf numFmtId="0" fontId="271" fillId="92" borderId="0" xfId="0" applyFont="1" applyFill="1" applyBorder="1" applyAlignment="1">
      <alignment horizontal="center" vertical="center"/>
    </xf>
    <xf numFmtId="0" fontId="307" fillId="92" borderId="0" xfId="28" applyFont="1" applyFill="1" applyBorder="1" applyAlignment="1">
      <alignment horizontal="left" vertical="center"/>
    </xf>
    <xf numFmtId="169" fontId="307" fillId="92" borderId="0" xfId="28" applyNumberFormat="1" applyFont="1" applyFill="1" applyBorder="1" applyAlignment="1">
      <alignment horizontal="left" vertical="center"/>
    </xf>
    <xf numFmtId="0" fontId="229" fillId="92" borderId="0" xfId="28" applyFont="1" applyFill="1" applyBorder="1" applyAlignment="1">
      <alignment horizontal="left" vertical="center" wrapText="1" indent="1"/>
    </xf>
    <xf numFmtId="169" fontId="249" fillId="92" borderId="0" xfId="28" applyNumberFormat="1" applyFont="1" applyFill="1" applyBorder="1" applyAlignment="1">
      <alignment vertical="center"/>
    </xf>
    <xf numFmtId="331" fontId="275" fillId="92" borderId="0" xfId="1" applyNumberFormat="1" applyFont="1" applyFill="1" applyBorder="1" applyAlignment="1">
      <alignment horizontal="center" vertical="center"/>
    </xf>
    <xf numFmtId="334" fontId="253" fillId="92" borderId="1" xfId="3654" applyNumberFormat="1" applyFont="1" applyFill="1" applyBorder="1" applyAlignment="1"/>
    <xf numFmtId="196" fontId="253" fillId="92" borderId="1" xfId="1" applyNumberFormat="1" applyFont="1" applyFill="1" applyBorder="1"/>
    <xf numFmtId="0" fontId="0" fillId="92" borderId="1" xfId="0" applyFont="1" applyFill="1" applyBorder="1"/>
    <xf numFmtId="196" fontId="258" fillId="92" borderId="1" xfId="3654" applyNumberFormat="1" applyFont="1" applyFill="1" applyBorder="1" applyAlignment="1">
      <alignment horizontal="center" vertical="center"/>
    </xf>
    <xf numFmtId="253" fontId="286" fillId="0" borderId="84" xfId="1" applyNumberFormat="1" applyFont="1" applyFill="1" applyBorder="1" applyAlignment="1" applyProtection="1">
      <alignment horizontal="center" vertical="center"/>
      <protection locked="0"/>
    </xf>
    <xf numFmtId="4" fontId="315" fillId="92" borderId="89" xfId="0" applyNumberFormat="1" applyFont="1" applyFill="1" applyBorder="1" applyAlignment="1" applyProtection="1">
      <alignment horizontal="center" vertical="top"/>
    </xf>
    <xf numFmtId="1" fontId="286" fillId="92" borderId="89" xfId="0" applyNumberFormat="1" applyFont="1" applyFill="1" applyBorder="1" applyAlignment="1" applyProtection="1">
      <alignment horizontal="center" vertical="center"/>
    </xf>
    <xf numFmtId="0" fontId="286" fillId="92" borderId="84" xfId="6" applyFont="1" applyFill="1" applyBorder="1" applyAlignment="1" applyProtection="1">
      <alignment horizontal="center" vertical="center" wrapText="1"/>
    </xf>
    <xf numFmtId="0" fontId="285" fillId="92" borderId="84" xfId="0" applyFont="1" applyFill="1" applyBorder="1" applyAlignment="1" applyProtection="1">
      <alignment horizontal="justify" vertical="top" wrapText="1"/>
    </xf>
    <xf numFmtId="0" fontId="286" fillId="92" borderId="84" xfId="0" applyNumberFormat="1" applyFont="1" applyFill="1" applyBorder="1" applyAlignment="1" applyProtection="1">
      <alignment horizontal="center" vertical="center" wrapText="1"/>
    </xf>
    <xf numFmtId="0" fontId="286" fillId="92" borderId="84" xfId="0" applyFont="1" applyFill="1" applyBorder="1" applyAlignment="1" applyProtection="1">
      <alignment horizontal="center" vertical="center" wrapText="1"/>
    </xf>
    <xf numFmtId="0" fontId="284" fillId="92" borderId="0" xfId="0" applyFont="1" applyFill="1" applyAlignment="1">
      <alignment vertical="center"/>
    </xf>
    <xf numFmtId="43" fontId="284" fillId="92" borderId="0" xfId="0" applyNumberFormat="1" applyFont="1" applyFill="1" applyAlignment="1">
      <alignment vertical="center"/>
    </xf>
    <xf numFmtId="0" fontId="242" fillId="92" borderId="84" xfId="6" applyFont="1" applyFill="1" applyBorder="1" applyAlignment="1" applyProtection="1">
      <alignment horizontal="center" vertical="top" wrapText="1"/>
    </xf>
    <xf numFmtId="0" fontId="250" fillId="93" borderId="0" xfId="28" applyFont="1" applyFill="1" applyBorder="1" applyAlignment="1">
      <alignment horizontal="center" vertical="center"/>
    </xf>
    <xf numFmtId="0" fontId="250" fillId="93" borderId="0" xfId="28" applyFont="1" applyFill="1" applyBorder="1" applyAlignment="1">
      <alignment horizontal="left" vertical="center" wrapText="1"/>
    </xf>
    <xf numFmtId="331" fontId="250" fillId="93" borderId="0" xfId="1" applyNumberFormat="1" applyFont="1" applyFill="1" applyBorder="1" applyAlignment="1">
      <alignment horizontal="center" vertical="center"/>
    </xf>
    <xf numFmtId="225" fontId="250" fillId="93" borderId="0" xfId="1" applyNumberFormat="1" applyFont="1" applyFill="1" applyBorder="1" applyAlignment="1">
      <alignment vertical="center"/>
    </xf>
    <xf numFmtId="43" fontId="236" fillId="0" borderId="0" xfId="0" applyNumberFormat="1" applyFont="1" applyBorder="1"/>
    <xf numFmtId="0" fontId="286" fillId="81" borderId="84" xfId="6" applyFont="1" applyFill="1" applyBorder="1" applyAlignment="1" applyProtection="1">
      <alignment horizontal="center" vertical="center" wrapText="1"/>
    </xf>
    <xf numFmtId="0" fontId="286" fillId="81" borderId="84" xfId="0" applyNumberFormat="1" applyFont="1" applyFill="1" applyBorder="1" applyAlignment="1" applyProtection="1">
      <alignment horizontal="center" vertical="center" wrapText="1"/>
    </xf>
    <xf numFmtId="0" fontId="286" fillId="81" borderId="84" xfId="0" applyFont="1" applyFill="1" applyBorder="1" applyAlignment="1" applyProtection="1">
      <alignment horizontal="center" vertical="center" wrapText="1"/>
    </xf>
    <xf numFmtId="43" fontId="286" fillId="81" borderId="84" xfId="1" applyFont="1" applyFill="1" applyBorder="1" applyAlignment="1" applyProtection="1">
      <alignment horizontal="center" vertical="center"/>
      <protection locked="0"/>
    </xf>
    <xf numFmtId="0" fontId="284" fillId="81" borderId="0" xfId="0" applyFont="1" applyFill="1" applyAlignment="1">
      <alignment vertical="center"/>
    </xf>
    <xf numFmtId="43" fontId="284" fillId="81" borderId="0" xfId="0" applyNumberFormat="1" applyFont="1" applyFill="1" applyAlignment="1">
      <alignment vertical="center"/>
    </xf>
    <xf numFmtId="0" fontId="286" fillId="81" borderId="89" xfId="0" applyFont="1" applyFill="1" applyBorder="1" applyAlignment="1" applyProtection="1">
      <alignment horizontal="center" vertical="center"/>
    </xf>
    <xf numFmtId="1" fontId="286" fillId="81" borderId="89" xfId="0" applyNumberFormat="1" applyFont="1" applyFill="1" applyBorder="1" applyAlignment="1" applyProtection="1">
      <alignment horizontal="center" vertical="center"/>
    </xf>
    <xf numFmtId="0" fontId="283" fillId="81" borderId="89" xfId="0" applyFont="1" applyFill="1" applyBorder="1" applyAlignment="1" applyProtection="1">
      <alignment horizontal="center" vertical="center"/>
    </xf>
    <xf numFmtId="0" fontId="285" fillId="81" borderId="84" xfId="0" applyFont="1" applyFill="1" applyBorder="1" applyAlignment="1" applyProtection="1">
      <alignment horizontal="left" vertical="top" wrapText="1"/>
    </xf>
    <xf numFmtId="0" fontId="286" fillId="81" borderId="89" xfId="6" applyFont="1" applyFill="1" applyBorder="1" applyAlignment="1" applyProtection="1">
      <alignment horizontal="center" vertical="center" wrapText="1"/>
    </xf>
    <xf numFmtId="0" fontId="286" fillId="81" borderId="89" xfId="6" applyFont="1" applyFill="1" applyBorder="1" applyAlignment="1" applyProtection="1">
      <alignment horizontal="left" vertical="top" wrapText="1"/>
    </xf>
    <xf numFmtId="0" fontId="286" fillId="81" borderId="89" xfId="0" applyNumberFormat="1" applyFont="1" applyFill="1" applyBorder="1" applyAlignment="1" applyProtection="1">
      <alignment horizontal="center" vertical="center" wrapText="1"/>
    </xf>
    <xf numFmtId="0" fontId="286" fillId="81" borderId="89" xfId="0" applyFont="1" applyFill="1" applyBorder="1" applyAlignment="1" applyProtection="1">
      <alignment horizontal="center" vertical="center" wrapText="1"/>
    </xf>
    <xf numFmtId="43" fontId="286" fillId="81" borderId="84" xfId="1" applyFont="1" applyFill="1" applyBorder="1" applyAlignment="1" applyProtection="1">
      <alignment horizontal="center" vertical="center" wrapText="1"/>
      <protection locked="0"/>
    </xf>
    <xf numFmtId="0" fontId="242" fillId="81" borderId="89" xfId="0" applyFont="1" applyFill="1" applyBorder="1" applyAlignment="1" applyProtection="1">
      <alignment horizontal="center" vertical="center"/>
    </xf>
    <xf numFmtId="0" fontId="242" fillId="81" borderId="84" xfId="6" applyFont="1" applyFill="1" applyBorder="1" applyAlignment="1" applyProtection="1">
      <alignment horizontal="center" vertical="top" wrapText="1"/>
    </xf>
    <xf numFmtId="4" fontId="315" fillId="81" borderId="89" xfId="0" applyNumberFormat="1" applyFont="1" applyFill="1" applyBorder="1" applyAlignment="1" applyProtection="1">
      <alignment horizontal="center" vertical="top"/>
    </xf>
    <xf numFmtId="338" fontId="250" fillId="0" borderId="0" xfId="1" applyNumberFormat="1" applyFont="1" applyFill="1" applyBorder="1" applyAlignment="1"/>
    <xf numFmtId="253" fontId="250" fillId="0" borderId="0" xfId="1" applyNumberFormat="1" applyFont="1" applyFill="1" applyBorder="1" applyAlignment="1">
      <alignment horizontal="center"/>
    </xf>
    <xf numFmtId="225" fontId="306" fillId="0" borderId="0" xfId="1" applyNumberFormat="1" applyFont="1" applyFill="1" applyBorder="1" applyAlignment="1">
      <alignment vertical="center"/>
    </xf>
    <xf numFmtId="338" fontId="306" fillId="0" borderId="0" xfId="1" applyNumberFormat="1" applyFont="1" applyFill="1" applyBorder="1" applyAlignment="1">
      <alignment vertical="center"/>
    </xf>
    <xf numFmtId="169" fontId="306" fillId="0" borderId="0" xfId="0" applyNumberFormat="1" applyFont="1" applyBorder="1" applyAlignment="1">
      <alignment vertical="center"/>
    </xf>
    <xf numFmtId="169" fontId="272" fillId="0" borderId="0" xfId="28" applyNumberFormat="1" applyFont="1" applyFill="1" applyBorder="1" applyAlignment="1">
      <alignment vertical="center"/>
    </xf>
    <xf numFmtId="169" fontId="272" fillId="82" borderId="0" xfId="0" applyNumberFormat="1" applyFont="1" applyFill="1" applyBorder="1" applyAlignment="1">
      <alignment vertical="center"/>
    </xf>
    <xf numFmtId="169" fontId="272" fillId="0" borderId="0" xfId="0" applyNumberFormat="1" applyFont="1" applyBorder="1" applyAlignment="1">
      <alignment vertical="center"/>
    </xf>
    <xf numFmtId="169" fontId="274" fillId="0" borderId="0" xfId="0" applyNumberFormat="1" applyFont="1" applyBorder="1" applyAlignment="1">
      <alignment vertical="center"/>
    </xf>
    <xf numFmtId="169" fontId="271" fillId="92" borderId="0" xfId="0" applyNumberFormat="1" applyFont="1" applyFill="1" applyBorder="1" applyAlignment="1">
      <alignment vertical="center"/>
    </xf>
    <xf numFmtId="169" fontId="272" fillId="83" borderId="0" xfId="0" applyNumberFormat="1" applyFont="1" applyFill="1" applyBorder="1" applyAlignment="1">
      <alignment vertical="center"/>
    </xf>
    <xf numFmtId="169" fontId="272" fillId="0" borderId="0" xfId="0" applyNumberFormat="1" applyFont="1" applyFill="1" applyBorder="1" applyAlignment="1">
      <alignment vertical="center"/>
    </xf>
    <xf numFmtId="225" fontId="174" fillId="0" borderId="0" xfId="1" applyNumberFormat="1" applyFont="1" applyFill="1" applyBorder="1" applyAlignment="1">
      <alignment vertical="center"/>
    </xf>
    <xf numFmtId="43" fontId="250" fillId="0" borderId="0" xfId="1" applyNumberFormat="1" applyFont="1" applyFill="1" applyBorder="1" applyAlignment="1">
      <alignment vertical="center"/>
    </xf>
    <xf numFmtId="225" fontId="268" fillId="0" borderId="0" xfId="1" applyNumberFormat="1" applyFont="1" applyFill="1" applyBorder="1" applyAlignment="1">
      <alignment vertical="center"/>
    </xf>
    <xf numFmtId="225" fontId="250" fillId="3" borderId="0" xfId="1" applyNumberFormat="1" applyFont="1" applyFill="1" applyBorder="1" applyAlignment="1">
      <alignment vertical="center"/>
    </xf>
    <xf numFmtId="225" fontId="250" fillId="94" borderId="0" xfId="1" applyNumberFormat="1" applyFont="1" applyFill="1" applyBorder="1" applyAlignment="1">
      <alignment vertical="center"/>
    </xf>
    <xf numFmtId="225" fontId="268" fillId="93" borderId="0" xfId="1" applyNumberFormat="1" applyFont="1" applyFill="1" applyBorder="1" applyAlignment="1">
      <alignment vertical="center"/>
    </xf>
    <xf numFmtId="225" fontId="249" fillId="93" borderId="0" xfId="1" applyNumberFormat="1" applyFont="1" applyFill="1" applyBorder="1" applyAlignment="1">
      <alignment vertical="center"/>
    </xf>
    <xf numFmtId="338" fontId="269" fillId="0" borderId="0" xfId="1" applyNumberFormat="1" applyFont="1" applyFill="1" applyBorder="1" applyAlignment="1">
      <alignment vertical="center"/>
    </xf>
    <xf numFmtId="338" fontId="268" fillId="0" borderId="0" xfId="1" applyNumberFormat="1" applyFont="1" applyFill="1" applyBorder="1" applyAlignment="1">
      <alignment vertical="center"/>
    </xf>
    <xf numFmtId="338" fontId="274" fillId="0" borderId="0" xfId="1" applyNumberFormat="1" applyFont="1" applyFill="1" applyBorder="1" applyAlignment="1">
      <alignment vertical="center"/>
    </xf>
    <xf numFmtId="338" fontId="250" fillId="76" borderId="0" xfId="1" applyNumberFormat="1" applyFont="1" applyFill="1" applyBorder="1" applyAlignment="1">
      <alignment vertical="center"/>
    </xf>
    <xf numFmtId="338" fontId="249" fillId="77" borderId="0" xfId="1" applyNumberFormat="1" applyFont="1" applyFill="1" applyBorder="1" applyAlignment="1">
      <alignment vertical="center"/>
    </xf>
    <xf numFmtId="338" fontId="269" fillId="0" borderId="0" xfId="1" applyNumberFormat="1" applyFont="1" applyFill="1" applyBorder="1" applyAlignment="1"/>
    <xf numFmtId="338" fontId="272" fillId="0" borderId="0" xfId="1" applyNumberFormat="1" applyFont="1" applyFill="1" applyBorder="1" applyAlignment="1"/>
    <xf numFmtId="338" fontId="249" fillId="76" borderId="0" xfId="1" applyNumberFormat="1" applyFont="1" applyFill="1" applyBorder="1" applyAlignment="1">
      <alignment vertical="center"/>
    </xf>
    <xf numFmtId="338" fontId="250" fillId="0" borderId="0" xfId="1" applyNumberFormat="1" applyFont="1" applyBorder="1" applyAlignment="1"/>
    <xf numFmtId="338" fontId="249" fillId="0" borderId="0" xfId="1" applyNumberFormat="1" applyFont="1" applyBorder="1" applyAlignment="1"/>
    <xf numFmtId="338" fontId="272" fillId="0" borderId="0" xfId="2187" applyNumberFormat="1" applyFont="1" applyFill="1" applyBorder="1" applyAlignment="1"/>
    <xf numFmtId="338" fontId="272" fillId="0" borderId="0" xfId="2187" applyNumberFormat="1" applyFont="1" applyBorder="1" applyAlignment="1"/>
    <xf numFmtId="338" fontId="250" fillId="92" borderId="0" xfId="1" applyNumberFormat="1" applyFont="1" applyFill="1" applyBorder="1" applyAlignment="1">
      <alignment vertical="center"/>
    </xf>
    <xf numFmtId="338" fontId="288" fillId="85" borderId="0" xfId="28" applyNumberFormat="1" applyFont="1" applyFill="1" applyBorder="1" applyAlignment="1">
      <alignment vertical="center"/>
    </xf>
    <xf numFmtId="338" fontId="250" fillId="0" borderId="0" xfId="1" applyNumberFormat="1" applyFont="1" applyBorder="1" applyAlignment="1">
      <alignment vertical="center"/>
    </xf>
    <xf numFmtId="338" fontId="274" fillId="0" borderId="0" xfId="1" applyNumberFormat="1" applyFont="1" applyBorder="1" applyAlignment="1">
      <alignment vertical="center"/>
    </xf>
    <xf numFmtId="338" fontId="249" fillId="92" borderId="0" xfId="1" applyNumberFormat="1" applyFont="1" applyFill="1" applyBorder="1" applyAlignment="1">
      <alignment vertical="center"/>
    </xf>
    <xf numFmtId="338" fontId="250" fillId="77" borderId="0" xfId="28" applyNumberFormat="1" applyFont="1" applyFill="1" applyBorder="1" applyAlignment="1">
      <alignment vertical="center"/>
    </xf>
    <xf numFmtId="225" fontId="268" fillId="0" borderId="0" xfId="1" applyNumberFormat="1" applyFont="1" applyFill="1" applyBorder="1" applyAlignment="1"/>
    <xf numFmtId="225" fontId="250" fillId="0" borderId="0" xfId="1" applyNumberFormat="1" applyFont="1" applyBorder="1" applyAlignment="1"/>
    <xf numFmtId="225" fontId="250" fillId="93" borderId="0" xfId="1" applyNumberFormat="1" applyFont="1" applyFill="1" applyBorder="1" applyAlignment="1"/>
    <xf numFmtId="225" fontId="250" fillId="93" borderId="0" xfId="28" applyNumberFormat="1" applyFont="1" applyFill="1" applyBorder="1" applyAlignment="1">
      <alignment vertical="center"/>
    </xf>
    <xf numFmtId="225" fontId="250" fillId="93" borderId="0" xfId="0" applyNumberFormat="1" applyFont="1" applyFill="1" applyBorder="1" applyAlignment="1">
      <alignment vertical="center"/>
    </xf>
    <xf numFmtId="169" fontId="249" fillId="0" borderId="0" xfId="1" applyNumberFormat="1" applyFont="1" applyFill="1" applyBorder="1" applyAlignment="1">
      <alignment vertical="center"/>
    </xf>
    <xf numFmtId="169" fontId="249" fillId="78" borderId="0" xfId="1" applyNumberFormat="1" applyFont="1" applyFill="1" applyBorder="1" applyAlignment="1">
      <alignment vertical="center"/>
    </xf>
    <xf numFmtId="0" fontId="235" fillId="0" borderId="62" xfId="0" applyFont="1" applyBorder="1" applyAlignment="1">
      <alignment horizontal="center" vertical="center"/>
    </xf>
    <xf numFmtId="0" fontId="236" fillId="0" borderId="64" xfId="0" applyFont="1" applyBorder="1" applyAlignment="1">
      <alignment horizontal="center" vertical="center"/>
    </xf>
    <xf numFmtId="253" fontId="244" fillId="0" borderId="84" xfId="1" applyNumberFormat="1" applyFont="1" applyFill="1" applyBorder="1" applyAlignment="1" applyProtection="1">
      <alignment horizontal="center" vertical="center"/>
      <protection locked="0"/>
    </xf>
    <xf numFmtId="0" fontId="174" fillId="0" borderId="0" xfId="28" applyNumberFormat="1" applyFont="1" applyFill="1" applyBorder="1" applyAlignment="1">
      <alignment vertical="center" wrapText="1"/>
    </xf>
    <xf numFmtId="0" fontId="234" fillId="0" borderId="0" xfId="28" applyNumberFormat="1" applyFont="1" applyFill="1" applyBorder="1" applyAlignment="1">
      <alignment vertical="center" wrapText="1"/>
    </xf>
    <xf numFmtId="0" fontId="272" fillId="0" borderId="0" xfId="28" applyNumberFormat="1" applyFont="1" applyFill="1" applyBorder="1" applyAlignment="1">
      <alignment vertical="center" wrapText="1"/>
    </xf>
    <xf numFmtId="0" fontId="250" fillId="0" borderId="0" xfId="28" applyNumberFormat="1" applyFont="1" applyFill="1" applyBorder="1" applyAlignment="1">
      <alignment vertical="center" wrapText="1"/>
    </xf>
    <xf numFmtId="331" fontId="250" fillId="77" borderId="0" xfId="28" applyNumberFormat="1" applyFont="1" applyFill="1" applyBorder="1" applyAlignment="1">
      <alignment horizontal="left" vertical="center" wrapText="1"/>
    </xf>
    <xf numFmtId="43" fontId="249" fillId="77" borderId="0" xfId="1" applyNumberFormat="1" applyFont="1" applyFill="1" applyBorder="1" applyAlignment="1">
      <alignment horizontal="left" vertical="center" wrapText="1"/>
    </xf>
    <xf numFmtId="169" fontId="250" fillId="82" borderId="0" xfId="0" applyNumberFormat="1" applyFont="1" applyFill="1" applyBorder="1" applyAlignment="1"/>
    <xf numFmtId="169" fontId="250" fillId="0" borderId="0" xfId="0" applyNumberFormat="1" applyFont="1" applyFill="1" applyBorder="1" applyAlignment="1"/>
    <xf numFmtId="169" fontId="272" fillId="82" borderId="0" xfId="0" applyNumberFormat="1" applyFont="1" applyFill="1" applyBorder="1" applyAlignment="1"/>
    <xf numFmtId="169" fontId="272" fillId="0" borderId="0" xfId="0" applyNumberFormat="1" applyFont="1" applyBorder="1" applyAlignment="1"/>
    <xf numFmtId="169" fontId="250" fillId="0" borderId="0" xfId="1" applyNumberFormat="1" applyFont="1" applyBorder="1" applyAlignment="1">
      <alignment vertical="center"/>
    </xf>
    <xf numFmtId="331" fontId="250" fillId="77" borderId="0" xfId="28" applyNumberFormat="1" applyFont="1" applyFill="1" applyBorder="1" applyAlignment="1">
      <alignment vertical="top" wrapText="1"/>
    </xf>
    <xf numFmtId="340" fontId="249" fillId="0" borderId="0" xfId="1" applyNumberFormat="1" applyFont="1" applyFill="1" applyBorder="1" applyAlignment="1">
      <alignment vertical="center"/>
    </xf>
    <xf numFmtId="0" fontId="290" fillId="0" borderId="0" xfId="0" applyFont="1" applyFill="1" applyBorder="1"/>
    <xf numFmtId="43" fontId="275" fillId="0" borderId="0" xfId="1" applyNumberFormat="1" applyFont="1" applyFill="1" applyBorder="1" applyAlignment="1">
      <alignment vertical="center"/>
    </xf>
    <xf numFmtId="0" fontId="249" fillId="0" borderId="2" xfId="28" applyNumberFormat="1" applyFont="1" applyFill="1" applyBorder="1" applyAlignment="1">
      <alignment horizontal="center" vertical="center" wrapText="1"/>
    </xf>
    <xf numFmtId="166" fontId="249" fillId="76" borderId="87" xfId="28" applyNumberFormat="1" applyFont="1" applyFill="1" applyBorder="1" applyAlignment="1">
      <alignment horizontal="center" vertical="center" wrapText="1"/>
    </xf>
    <xf numFmtId="0" fontId="249" fillId="76" borderId="15" xfId="28" applyFont="1" applyFill="1" applyBorder="1" applyAlignment="1">
      <alignment horizontal="left" vertical="center"/>
    </xf>
    <xf numFmtId="0" fontId="249" fillId="76" borderId="15" xfId="28" applyFont="1" applyFill="1" applyBorder="1" applyAlignment="1">
      <alignment horizontal="center" vertical="center"/>
    </xf>
    <xf numFmtId="43" fontId="250" fillId="76" borderId="15" xfId="1" applyNumberFormat="1" applyFont="1" applyFill="1" applyBorder="1" applyAlignment="1">
      <alignment horizontal="left" vertical="center"/>
    </xf>
    <xf numFmtId="225" fontId="249" fillId="76" borderId="15" xfId="1" applyNumberFormat="1" applyFont="1" applyFill="1" applyBorder="1" applyAlignment="1">
      <alignment horizontal="left" vertical="center"/>
    </xf>
    <xf numFmtId="43" fontId="249" fillId="76" borderId="15" xfId="1" applyNumberFormat="1" applyFont="1" applyFill="1" applyBorder="1" applyAlignment="1">
      <alignment horizontal="left" vertical="center"/>
    </xf>
    <xf numFmtId="0" fontId="249" fillId="76" borderId="88" xfId="28" applyNumberFormat="1" applyFont="1" applyFill="1" applyBorder="1" applyAlignment="1">
      <alignment horizontal="left" vertical="center" wrapText="1"/>
    </xf>
    <xf numFmtId="166" fontId="251" fillId="77" borderId="14" xfId="0" applyNumberFormat="1" applyFont="1" applyFill="1" applyBorder="1" applyAlignment="1">
      <alignment horizontal="center" vertical="center"/>
    </xf>
    <xf numFmtId="0" fontId="249" fillId="77" borderId="12" xfId="0" applyNumberFormat="1" applyFont="1" applyFill="1" applyBorder="1" applyAlignment="1">
      <alignment horizontal="left" vertical="center" wrapText="1"/>
    </xf>
    <xf numFmtId="0" fontId="250" fillId="0" borderId="14" xfId="28" applyFont="1" applyBorder="1" applyAlignment="1">
      <alignment horizontal="center" vertical="center"/>
    </xf>
    <xf numFmtId="0" fontId="249" fillId="0" borderId="12" xfId="28" applyNumberFormat="1" applyFont="1" applyFill="1" applyBorder="1" applyAlignment="1">
      <alignment horizontal="left" vertical="center" wrapText="1"/>
    </xf>
    <xf numFmtId="0" fontId="250" fillId="82" borderId="14" xfId="28" applyFont="1" applyFill="1" applyBorder="1" applyAlignment="1">
      <alignment horizontal="center" vertical="center"/>
    </xf>
    <xf numFmtId="0" fontId="249" fillId="82" borderId="12" xfId="28" applyNumberFormat="1" applyFont="1" applyFill="1" applyBorder="1" applyAlignment="1">
      <alignment horizontal="left" vertical="center" wrapText="1"/>
    </xf>
    <xf numFmtId="166" fontId="267" fillId="0" borderId="14" xfId="0" applyNumberFormat="1" applyFont="1" applyFill="1" applyBorder="1" applyAlignment="1">
      <alignment horizontal="center" vertical="center"/>
    </xf>
    <xf numFmtId="0" fontId="269" fillId="0" borderId="12" xfId="0" applyNumberFormat="1" applyFont="1" applyFill="1" applyBorder="1" applyAlignment="1">
      <alignment horizontal="left" vertical="center" wrapText="1"/>
    </xf>
    <xf numFmtId="2" fontId="268" fillId="0" borderId="12" xfId="0" applyNumberFormat="1" applyFont="1" applyFill="1" applyBorder="1" applyAlignment="1">
      <alignment horizontal="left" vertical="center" wrapText="1"/>
    </xf>
    <xf numFmtId="166" fontId="251" fillId="0" borderId="14" xfId="0" applyNumberFormat="1" applyFont="1" applyFill="1" applyBorder="1" applyAlignment="1">
      <alignment horizontal="center" vertical="center"/>
    </xf>
    <xf numFmtId="0" fontId="249" fillId="0" borderId="12" xfId="0" applyNumberFormat="1" applyFont="1" applyFill="1" applyBorder="1" applyAlignment="1">
      <alignment horizontal="left" vertical="center" wrapText="1"/>
    </xf>
    <xf numFmtId="166" fontId="273" fillId="0" borderId="14" xfId="0" applyNumberFormat="1" applyFont="1" applyFill="1" applyBorder="1" applyAlignment="1">
      <alignment horizontal="center" vertical="center"/>
    </xf>
    <xf numFmtId="0" fontId="275" fillId="0" borderId="12" xfId="0" applyNumberFormat="1" applyFont="1" applyFill="1" applyBorder="1" applyAlignment="1">
      <alignment horizontal="left" vertical="center" wrapText="1"/>
    </xf>
    <xf numFmtId="0" fontId="250" fillId="0" borderId="14" xfId="28" applyFont="1" applyFill="1" applyBorder="1" applyAlignment="1">
      <alignment horizontal="center" vertical="center"/>
    </xf>
    <xf numFmtId="225" fontId="250" fillId="0" borderId="12" xfId="1" applyNumberFormat="1" applyFont="1" applyFill="1" applyBorder="1" applyAlignment="1">
      <alignment horizontal="center" vertical="center"/>
    </xf>
    <xf numFmtId="43" fontId="249" fillId="0" borderId="12" xfId="1" applyFont="1" applyFill="1" applyBorder="1" applyAlignment="1">
      <alignment horizontal="left" vertical="center"/>
    </xf>
    <xf numFmtId="0" fontId="250" fillId="0" borderId="14" xfId="0" applyFont="1" applyFill="1" applyBorder="1"/>
    <xf numFmtId="0" fontId="250" fillId="0" borderId="12" xfId="0" applyFont="1" applyFill="1" applyBorder="1"/>
    <xf numFmtId="2" fontId="250" fillId="0" borderId="12" xfId="28" applyNumberFormat="1" applyFont="1" applyFill="1" applyBorder="1" applyAlignment="1">
      <alignment horizontal="left" vertical="center" wrapText="1"/>
    </xf>
    <xf numFmtId="166" fontId="277" fillId="0" borderId="14" xfId="0" applyNumberFormat="1" applyFont="1" applyFill="1" applyBorder="1" applyAlignment="1">
      <alignment horizontal="center" vertical="center"/>
    </xf>
    <xf numFmtId="2" fontId="250" fillId="0" borderId="12" xfId="0" applyNumberFormat="1" applyFont="1" applyFill="1" applyBorder="1" applyAlignment="1">
      <alignment horizontal="left" vertical="center" wrapText="1"/>
    </xf>
    <xf numFmtId="43" fontId="250" fillId="0" borderId="12" xfId="1" applyFont="1" applyFill="1" applyBorder="1" applyAlignment="1">
      <alignment horizontal="left" vertical="center"/>
    </xf>
    <xf numFmtId="166" fontId="250" fillId="0" borderId="14" xfId="0" applyNumberFormat="1" applyFont="1" applyFill="1" applyBorder="1" applyAlignment="1">
      <alignment horizontal="center" vertical="center"/>
    </xf>
    <xf numFmtId="0" fontId="250" fillId="0" borderId="12" xfId="0" applyFont="1" applyFill="1" applyBorder="1" applyAlignment="1">
      <alignment horizontal="left" vertical="center"/>
    </xf>
    <xf numFmtId="0" fontId="274" fillId="0" borderId="14" xfId="28" applyFont="1" applyFill="1" applyBorder="1" applyAlignment="1">
      <alignment horizontal="center" vertical="center"/>
    </xf>
    <xf numFmtId="0" fontId="274" fillId="0" borderId="12" xfId="0" applyFont="1" applyFill="1" applyBorder="1" applyAlignment="1">
      <alignment horizontal="left" vertical="center"/>
    </xf>
    <xf numFmtId="43" fontId="249" fillId="0" borderId="12" xfId="1" applyFont="1" applyFill="1" applyBorder="1" applyAlignment="1">
      <alignment horizontal="left" vertical="center" wrapText="1"/>
    </xf>
    <xf numFmtId="0" fontId="306" fillId="0" borderId="14" xfId="28" applyFont="1" applyFill="1" applyBorder="1" applyAlignment="1">
      <alignment horizontal="center" vertical="center"/>
    </xf>
    <xf numFmtId="43" fontId="307" fillId="0" borderId="12" xfId="1" applyFont="1" applyFill="1" applyBorder="1" applyAlignment="1">
      <alignment horizontal="left" vertical="center"/>
    </xf>
    <xf numFmtId="0" fontId="249" fillId="0" borderId="14" xfId="28" applyFont="1" applyFill="1" applyBorder="1" applyAlignment="1">
      <alignment horizontal="center" vertical="center"/>
    </xf>
    <xf numFmtId="0" fontId="249" fillId="90" borderId="12" xfId="28" applyFont="1" applyFill="1" applyBorder="1" applyAlignment="1">
      <alignment horizontal="left" vertical="center" wrapText="1"/>
    </xf>
    <xf numFmtId="0" fontId="249" fillId="0" borderId="14" xfId="28" applyFont="1" applyBorder="1" applyAlignment="1">
      <alignment horizontal="center" vertical="center"/>
    </xf>
    <xf numFmtId="166" fontId="249" fillId="76" borderId="14" xfId="28" applyNumberFormat="1" applyFont="1" applyFill="1" applyBorder="1" applyAlignment="1">
      <alignment horizontal="center" vertical="center" wrapText="1"/>
    </xf>
    <xf numFmtId="0" fontId="249" fillId="76" borderId="12" xfId="28" applyNumberFormat="1" applyFont="1" applyFill="1" applyBorder="1" applyAlignment="1">
      <alignment horizontal="left" vertical="center" wrapText="1"/>
    </xf>
    <xf numFmtId="166" fontId="269" fillId="0" borderId="14" xfId="28" applyNumberFormat="1" applyFont="1" applyFill="1" applyBorder="1" applyAlignment="1">
      <alignment horizontal="center" wrapText="1"/>
    </xf>
    <xf numFmtId="0" fontId="269" fillId="0" borderId="12" xfId="28" applyNumberFormat="1" applyFont="1" applyFill="1" applyBorder="1" applyAlignment="1">
      <alignment horizontal="left" wrapText="1"/>
    </xf>
    <xf numFmtId="166" fontId="249" fillId="0" borderId="14" xfId="28" applyNumberFormat="1" applyFont="1" applyFill="1" applyBorder="1" applyAlignment="1">
      <alignment horizontal="center" vertical="center" wrapText="1"/>
    </xf>
    <xf numFmtId="166" fontId="249" fillId="82" borderId="14" xfId="28" applyNumberFormat="1" applyFont="1" applyFill="1" applyBorder="1" applyAlignment="1">
      <alignment horizontal="center" vertical="center" wrapText="1"/>
    </xf>
    <xf numFmtId="166" fontId="275" fillId="0" borderId="14" xfId="28" applyNumberFormat="1" applyFont="1" applyFill="1" applyBorder="1" applyAlignment="1">
      <alignment horizontal="center" vertical="center" wrapText="1"/>
    </xf>
    <xf numFmtId="0" fontId="275" fillId="0" borderId="12" xfId="28" applyNumberFormat="1" applyFont="1" applyFill="1" applyBorder="1" applyAlignment="1">
      <alignment horizontal="left" vertical="center" wrapText="1"/>
    </xf>
    <xf numFmtId="0" fontId="250" fillId="0" borderId="12" xfId="28" applyNumberFormat="1" applyFont="1" applyFill="1" applyBorder="1" applyAlignment="1">
      <alignment horizontal="left" vertical="center" wrapText="1"/>
    </xf>
    <xf numFmtId="0" fontId="250" fillId="82" borderId="12" xfId="28" applyNumberFormat="1" applyFont="1" applyFill="1" applyBorder="1" applyAlignment="1">
      <alignment horizontal="left" vertical="center" wrapText="1"/>
    </xf>
    <xf numFmtId="0" fontId="269" fillId="0" borderId="14" xfId="28" applyFont="1" applyBorder="1" applyAlignment="1">
      <alignment horizontal="center" vertical="center"/>
    </xf>
    <xf numFmtId="0" fontId="269" fillId="0" borderId="12" xfId="28" applyNumberFormat="1" applyFont="1" applyFill="1" applyBorder="1" applyAlignment="1">
      <alignment horizontal="left" vertical="center" wrapText="1"/>
    </xf>
    <xf numFmtId="2" fontId="268" fillId="0" borderId="12" xfId="28" applyNumberFormat="1" applyFont="1" applyFill="1" applyBorder="1" applyAlignment="1">
      <alignment horizontal="left" vertical="center" wrapText="1"/>
    </xf>
    <xf numFmtId="0" fontId="275" fillId="0" borderId="14" xfId="28" applyFont="1" applyBorder="1" applyAlignment="1">
      <alignment horizontal="center" vertical="center"/>
    </xf>
    <xf numFmtId="0" fontId="272" fillId="0" borderId="14" xfId="0" applyFont="1" applyFill="1" applyBorder="1"/>
    <xf numFmtId="0" fontId="272" fillId="0" borderId="12" xfId="0" applyFont="1" applyBorder="1"/>
    <xf numFmtId="0" fontId="274" fillId="0" borderId="14" xfId="0" applyFont="1" applyFill="1" applyBorder="1"/>
    <xf numFmtId="0" fontId="269" fillId="0" borderId="14" xfId="28" applyFont="1" applyFill="1" applyBorder="1" applyAlignment="1">
      <alignment horizontal="center" vertical="center"/>
    </xf>
    <xf numFmtId="0" fontId="306" fillId="0" borderId="14" xfId="0" applyFont="1" applyFill="1" applyBorder="1"/>
    <xf numFmtId="0" fontId="306" fillId="0" borderId="12" xfId="0" applyFont="1" applyFill="1" applyBorder="1"/>
    <xf numFmtId="0" fontId="272" fillId="0" borderId="12" xfId="0" applyFont="1" applyFill="1" applyBorder="1"/>
    <xf numFmtId="166" fontId="268" fillId="0" borderId="14" xfId="0" applyNumberFormat="1" applyFont="1" applyFill="1" applyBorder="1" applyAlignment="1">
      <alignment horizontal="center" vertical="center"/>
    </xf>
    <xf numFmtId="0" fontId="268" fillId="0" borderId="12" xfId="0" applyNumberFormat="1" applyFont="1" applyFill="1" applyBorder="1" applyAlignment="1">
      <alignment horizontal="left" vertical="center" wrapText="1"/>
    </xf>
    <xf numFmtId="0" fontId="250" fillId="0" borderId="12" xfId="0" applyNumberFormat="1" applyFont="1" applyFill="1" applyBorder="1" applyAlignment="1">
      <alignment horizontal="left" vertical="center" wrapText="1"/>
    </xf>
    <xf numFmtId="166" fontId="306" fillId="0" borderId="14" xfId="0" applyNumberFormat="1" applyFont="1" applyFill="1" applyBorder="1" applyAlignment="1">
      <alignment horizontal="center" vertical="center"/>
    </xf>
    <xf numFmtId="0" fontId="306" fillId="0" borderId="12" xfId="0" applyNumberFormat="1" applyFont="1" applyFill="1" applyBorder="1" applyAlignment="1">
      <alignment horizontal="left" vertical="center" wrapText="1"/>
    </xf>
    <xf numFmtId="0" fontId="249" fillId="80" borderId="12" xfId="28" applyNumberFormat="1" applyFont="1" applyFill="1" applyBorder="1" applyAlignment="1">
      <alignment horizontal="left" vertical="center" wrapText="1"/>
    </xf>
    <xf numFmtId="0" fontId="249" fillId="82" borderId="14" xfId="28" applyFont="1" applyFill="1" applyBorder="1" applyAlignment="1">
      <alignment horizontal="center" vertical="center"/>
    </xf>
    <xf numFmtId="0" fontId="275" fillId="0" borderId="14" xfId="28" applyFont="1" applyFill="1" applyBorder="1" applyAlignment="1">
      <alignment horizontal="center" vertical="center"/>
    </xf>
    <xf numFmtId="0" fontId="272" fillId="0" borderId="14" xfId="0" applyFont="1" applyBorder="1"/>
    <xf numFmtId="0" fontId="274" fillId="0" borderId="14" xfId="0" applyFont="1" applyBorder="1"/>
    <xf numFmtId="0" fontId="274" fillId="0" borderId="14" xfId="28" applyFont="1" applyBorder="1" applyAlignment="1">
      <alignment horizontal="center" vertical="center"/>
    </xf>
    <xf numFmtId="43" fontId="275" fillId="0" borderId="12" xfId="1" applyFont="1" applyFill="1" applyBorder="1" applyAlignment="1">
      <alignment horizontal="left" vertical="center"/>
    </xf>
    <xf numFmtId="0" fontId="250" fillId="0" borderId="14" xfId="0" applyFont="1" applyBorder="1"/>
    <xf numFmtId="0" fontId="250" fillId="0" borderId="12" xfId="0" applyFont="1" applyBorder="1"/>
    <xf numFmtId="0" fontId="249" fillId="0" borderId="12" xfId="28" applyNumberFormat="1" applyFont="1" applyFill="1" applyBorder="1" applyAlignment="1">
      <alignment horizontal="center" vertical="center" wrapText="1"/>
    </xf>
    <xf numFmtId="0" fontId="307" fillId="0" borderId="14" xfId="28" applyFont="1" applyFill="1" applyBorder="1" applyAlignment="1">
      <alignment horizontal="center" vertical="center"/>
    </xf>
    <xf numFmtId="0" fontId="307" fillId="0" borderId="12" xfId="28" applyNumberFormat="1" applyFont="1" applyFill="1" applyBorder="1" applyAlignment="1">
      <alignment horizontal="center" vertical="center" wrapText="1"/>
    </xf>
    <xf numFmtId="2" fontId="250" fillId="0" borderId="12" xfId="0" applyNumberFormat="1" applyFont="1" applyFill="1" applyBorder="1" applyAlignment="1">
      <alignment horizontal="left" vertical="center"/>
    </xf>
    <xf numFmtId="43" fontId="249" fillId="82" borderId="12" xfId="1" applyFont="1" applyFill="1" applyBorder="1" applyAlignment="1">
      <alignment horizontal="left" vertical="center"/>
    </xf>
    <xf numFmtId="0" fontId="306" fillId="0" borderId="14" xfId="28" applyFont="1" applyBorder="1" applyAlignment="1">
      <alignment horizontal="center" vertical="center"/>
    </xf>
    <xf numFmtId="225" fontId="306" fillId="0" borderId="12" xfId="1" applyNumberFormat="1" applyFont="1" applyFill="1" applyBorder="1" applyAlignment="1">
      <alignment horizontal="center" vertical="center"/>
    </xf>
    <xf numFmtId="342" fontId="306" fillId="0" borderId="12" xfId="1" applyNumberFormat="1" applyFont="1" applyFill="1" applyBorder="1" applyAlignment="1">
      <alignment horizontal="center" vertical="center"/>
    </xf>
    <xf numFmtId="225" fontId="274" fillId="0" borderId="12" xfId="1" applyNumberFormat="1" applyFont="1" applyFill="1" applyBorder="1" applyAlignment="1">
      <alignment horizontal="center" vertical="center"/>
    </xf>
    <xf numFmtId="0" fontId="250" fillId="92" borderId="14" xfId="28" applyFont="1" applyFill="1" applyBorder="1" applyAlignment="1">
      <alignment horizontal="center" vertical="center"/>
    </xf>
    <xf numFmtId="225" fontId="250" fillId="92" borderId="12" xfId="1" applyNumberFormat="1" applyFont="1" applyFill="1" applyBorder="1" applyAlignment="1">
      <alignment horizontal="center" vertical="center"/>
    </xf>
    <xf numFmtId="225" fontId="249" fillId="0" borderId="12" xfId="1" applyNumberFormat="1" applyFont="1" applyFill="1" applyBorder="1" applyAlignment="1">
      <alignment horizontal="center" vertical="center"/>
    </xf>
    <xf numFmtId="225" fontId="306" fillId="0" borderId="12" xfId="0" applyNumberFormat="1" applyFont="1" applyFill="1" applyBorder="1"/>
    <xf numFmtId="225" fontId="272" fillId="0" borderId="12" xfId="0" applyNumberFormat="1" applyFont="1" applyFill="1" applyBorder="1"/>
    <xf numFmtId="225" fontId="272" fillId="0" borderId="12" xfId="0" applyNumberFormat="1" applyFont="1" applyBorder="1"/>
    <xf numFmtId="225" fontId="250" fillId="82" borderId="12" xfId="1" applyNumberFormat="1" applyFont="1" applyFill="1" applyBorder="1" applyAlignment="1">
      <alignment horizontal="center" vertical="center"/>
    </xf>
    <xf numFmtId="0" fontId="272" fillId="89" borderId="14" xfId="0" applyFont="1" applyFill="1" applyBorder="1"/>
    <xf numFmtId="0" fontId="272" fillId="89" borderId="12" xfId="0" applyFont="1" applyFill="1" applyBorder="1"/>
    <xf numFmtId="2" fontId="306" fillId="0" borderId="12" xfId="0" applyNumberFormat="1" applyFont="1" applyFill="1" applyBorder="1" applyAlignment="1">
      <alignment horizontal="left" vertical="center"/>
    </xf>
    <xf numFmtId="0" fontId="288" fillId="0" borderId="14" xfId="28" applyFont="1" applyBorder="1" applyAlignment="1">
      <alignment horizontal="center" vertical="center"/>
    </xf>
    <xf numFmtId="0" fontId="307" fillId="82" borderId="14" xfId="28" applyFont="1" applyFill="1" applyBorder="1" applyAlignment="1">
      <alignment horizontal="center" vertical="center"/>
    </xf>
    <xf numFmtId="225" fontId="307" fillId="82" borderId="12" xfId="1" applyNumberFormat="1" applyFont="1" applyFill="1" applyBorder="1" applyAlignment="1">
      <alignment horizontal="center" vertical="center"/>
    </xf>
    <xf numFmtId="0" fontId="250" fillId="89" borderId="14" xfId="28" applyFont="1" applyFill="1" applyBorder="1" applyAlignment="1">
      <alignment horizontal="center" vertical="center"/>
    </xf>
    <xf numFmtId="225" fontId="250" fillId="89" borderId="12" xfId="1" applyNumberFormat="1" applyFont="1" applyFill="1" applyBorder="1" applyAlignment="1">
      <alignment horizontal="center" vertical="center"/>
    </xf>
    <xf numFmtId="0" fontId="249" fillId="89" borderId="14" xfId="28" applyFont="1" applyFill="1" applyBorder="1" applyAlignment="1">
      <alignment horizontal="center" vertical="center"/>
    </xf>
    <xf numFmtId="225" fontId="249" fillId="89" borderId="12" xfId="1" applyNumberFormat="1" applyFont="1" applyFill="1" applyBorder="1" applyAlignment="1">
      <alignment horizontal="center" vertical="center"/>
    </xf>
    <xf numFmtId="2" fontId="307" fillId="82" borderId="12" xfId="0" applyNumberFormat="1" applyFont="1" applyFill="1" applyBorder="1" applyAlignment="1">
      <alignment horizontal="left" vertical="center"/>
    </xf>
    <xf numFmtId="0" fontId="249" fillId="92" borderId="14" xfId="28" applyFont="1" applyFill="1" applyBorder="1" applyAlignment="1">
      <alignment horizontal="center" vertical="center"/>
    </xf>
    <xf numFmtId="2" fontId="250" fillId="92" borderId="12" xfId="0" applyNumberFormat="1" applyFont="1" applyFill="1" applyBorder="1" applyAlignment="1">
      <alignment horizontal="left" vertical="center"/>
    </xf>
    <xf numFmtId="0" fontId="288" fillId="85" borderId="14" xfId="28" applyFont="1" applyFill="1" applyBorder="1" applyAlignment="1">
      <alignment horizontal="center" vertical="center"/>
    </xf>
    <xf numFmtId="2" fontId="288" fillId="85" borderId="12" xfId="0" applyNumberFormat="1" applyFont="1" applyFill="1" applyBorder="1" applyAlignment="1">
      <alignment horizontal="left" vertical="center"/>
    </xf>
    <xf numFmtId="2" fontId="274" fillId="0" borderId="12" xfId="28" applyNumberFormat="1" applyFont="1" applyFill="1" applyBorder="1" applyAlignment="1">
      <alignment horizontal="left" vertical="center" wrapText="1"/>
    </xf>
    <xf numFmtId="2" fontId="274" fillId="0" borderId="12" xfId="0" applyNumberFormat="1" applyFont="1" applyFill="1" applyBorder="1" applyAlignment="1">
      <alignment horizontal="left" vertical="center" wrapText="1"/>
    </xf>
    <xf numFmtId="43" fontId="274" fillId="0" borderId="12" xfId="1" applyFont="1" applyFill="1" applyBorder="1" applyAlignment="1">
      <alignment horizontal="left" vertical="center"/>
    </xf>
    <xf numFmtId="166" fontId="249" fillId="0" borderId="14" xfId="0" applyNumberFormat="1" applyFont="1" applyFill="1" applyBorder="1" applyAlignment="1">
      <alignment horizontal="center" vertical="center"/>
    </xf>
    <xf numFmtId="166" fontId="311" fillId="0" borderId="14" xfId="0" applyNumberFormat="1" applyFont="1" applyFill="1" applyBorder="1" applyAlignment="1">
      <alignment horizontal="center" vertical="center"/>
    </xf>
    <xf numFmtId="2" fontId="306" fillId="0" borderId="12" xfId="0" applyNumberFormat="1" applyFont="1" applyFill="1" applyBorder="1" applyAlignment="1">
      <alignment horizontal="left" vertical="center" wrapText="1"/>
    </xf>
    <xf numFmtId="166" fontId="312" fillId="0" borderId="14" xfId="0" applyNumberFormat="1" applyFont="1" applyFill="1" applyBorder="1" applyAlignment="1">
      <alignment horizontal="center" vertical="center"/>
    </xf>
    <xf numFmtId="0" fontId="307" fillId="0" borderId="14" xfId="28" applyFont="1" applyBorder="1" applyAlignment="1">
      <alignment horizontal="center" vertical="center"/>
    </xf>
    <xf numFmtId="2" fontId="306" fillId="0" borderId="12" xfId="28" applyNumberFormat="1" applyFont="1" applyFill="1" applyBorder="1" applyAlignment="1">
      <alignment horizontal="left" vertical="center" wrapText="1"/>
    </xf>
    <xf numFmtId="0" fontId="307" fillId="0" borderId="12" xfId="0" applyNumberFormat="1" applyFont="1" applyFill="1" applyBorder="1" applyAlignment="1">
      <alignment horizontal="left" vertical="center" wrapText="1"/>
    </xf>
    <xf numFmtId="43" fontId="306" fillId="0" borderId="12" xfId="1" applyFont="1" applyFill="1" applyBorder="1" applyAlignment="1">
      <alignment horizontal="left" vertical="center"/>
    </xf>
    <xf numFmtId="0" fontId="307" fillId="82" borderId="12" xfId="0" applyFont="1" applyFill="1" applyBorder="1" applyAlignment="1">
      <alignment horizontal="left" vertical="center"/>
    </xf>
    <xf numFmtId="2" fontId="250" fillId="80" borderId="12" xfId="28" applyNumberFormat="1" applyFont="1" applyFill="1" applyBorder="1" applyAlignment="1">
      <alignment horizontal="left" vertical="center" wrapText="1"/>
    </xf>
    <xf numFmtId="166" fontId="249" fillId="77" borderId="14" xfId="0" applyNumberFormat="1" applyFont="1" applyFill="1" applyBorder="1" applyAlignment="1">
      <alignment horizontal="center" vertical="center"/>
    </xf>
    <xf numFmtId="2" fontId="250" fillId="77" borderId="12" xfId="0" applyNumberFormat="1" applyFont="1" applyFill="1" applyBorder="1" applyAlignment="1">
      <alignment horizontal="left" vertical="center" wrapText="1"/>
    </xf>
    <xf numFmtId="2" fontId="250" fillId="82" borderId="12" xfId="28" applyNumberFormat="1" applyFont="1" applyFill="1" applyBorder="1" applyAlignment="1">
      <alignment horizontal="left" vertical="center" wrapText="1"/>
    </xf>
    <xf numFmtId="0" fontId="250" fillId="93" borderId="14" xfId="28" applyFont="1" applyFill="1" applyBorder="1" applyAlignment="1">
      <alignment horizontal="center" vertical="center"/>
    </xf>
    <xf numFmtId="2" fontId="250" fillId="93" borderId="12" xfId="28" applyNumberFormat="1" applyFont="1" applyFill="1" applyBorder="1" applyAlignment="1">
      <alignment horizontal="left" vertical="center" wrapText="1"/>
    </xf>
    <xf numFmtId="0" fontId="274" fillId="0" borderId="12" xfId="28" applyNumberFormat="1" applyFont="1" applyFill="1" applyBorder="1" applyAlignment="1">
      <alignment horizontal="left" vertical="center" wrapText="1"/>
    </xf>
    <xf numFmtId="0" fontId="306" fillId="82" borderId="12" xfId="0" applyFont="1" applyFill="1" applyBorder="1" applyAlignment="1">
      <alignment horizontal="left" vertical="center"/>
    </xf>
    <xf numFmtId="0" fontId="249" fillId="92" borderId="12" xfId="28" applyNumberFormat="1" applyFont="1" applyFill="1" applyBorder="1" applyAlignment="1">
      <alignment horizontal="left" vertical="center" wrapText="1"/>
    </xf>
    <xf numFmtId="0" fontId="249" fillId="92" borderId="12" xfId="0" applyFont="1" applyFill="1" applyBorder="1" applyAlignment="1">
      <alignment horizontal="left" vertical="center"/>
    </xf>
    <xf numFmtId="166" fontId="251" fillId="92" borderId="14" xfId="0" applyNumberFormat="1" applyFont="1" applyFill="1" applyBorder="1" applyAlignment="1">
      <alignment horizontal="center" vertical="center"/>
    </xf>
    <xf numFmtId="2" fontId="249" fillId="92" borderId="12" xfId="0" applyNumberFormat="1" applyFont="1" applyFill="1" applyBorder="1" applyAlignment="1">
      <alignment horizontal="left" vertical="center" wrapText="1"/>
    </xf>
    <xf numFmtId="0" fontId="249" fillId="0" borderId="6" xfId="28" applyFont="1" applyBorder="1" applyAlignment="1">
      <alignment horizontal="center" vertical="center"/>
    </xf>
    <xf numFmtId="0" fontId="250" fillId="0" borderId="7" xfId="28" applyFont="1" applyBorder="1" applyAlignment="1">
      <alignment horizontal="left" vertical="center" wrapText="1"/>
    </xf>
    <xf numFmtId="0" fontId="250" fillId="0" borderId="7" xfId="28" applyFont="1" applyBorder="1" applyAlignment="1">
      <alignment horizontal="center" vertical="center"/>
    </xf>
    <xf numFmtId="331" fontId="250" fillId="0" borderId="7" xfId="1" applyNumberFormat="1" applyFont="1" applyFill="1" applyBorder="1" applyAlignment="1">
      <alignment horizontal="center" vertical="center"/>
    </xf>
    <xf numFmtId="0" fontId="250" fillId="0" borderId="7" xfId="28" applyFont="1" applyFill="1" applyBorder="1" applyAlignment="1">
      <alignment horizontal="center" vertical="center"/>
    </xf>
    <xf numFmtId="338" fontId="250" fillId="0" borderId="7" xfId="1" applyNumberFormat="1" applyFont="1" applyBorder="1" applyAlignment="1">
      <alignment vertical="center"/>
    </xf>
    <xf numFmtId="43" fontId="249" fillId="78" borderId="7" xfId="1" applyNumberFormat="1" applyFont="1" applyFill="1" applyBorder="1" applyAlignment="1">
      <alignment horizontal="left" vertical="center"/>
    </xf>
    <xf numFmtId="0" fontId="250" fillId="0" borderId="119" xfId="0" applyFont="1" applyFill="1" applyBorder="1" applyAlignment="1">
      <alignment horizontal="left" vertical="center"/>
    </xf>
    <xf numFmtId="43" fontId="250" fillId="76" borderId="15" xfId="1" applyNumberFormat="1" applyFont="1" applyFill="1" applyBorder="1" applyAlignment="1">
      <alignment vertical="center"/>
    </xf>
    <xf numFmtId="169" fontId="268" fillId="0" borderId="0" xfId="28" applyNumberFormat="1" applyFont="1" applyFill="1" applyBorder="1" applyAlignment="1">
      <alignment vertical="center"/>
    </xf>
    <xf numFmtId="169" fontId="272" fillId="82" borderId="0" xfId="1" applyNumberFormat="1" applyFont="1" applyFill="1" applyBorder="1" applyAlignment="1">
      <alignment vertical="center"/>
    </xf>
    <xf numFmtId="169" fontId="250" fillId="0" borderId="0" xfId="1" applyNumberFormat="1" applyFont="1" applyFill="1" applyBorder="1" applyAlignment="1">
      <alignment vertical="center"/>
    </xf>
    <xf numFmtId="169" fontId="250" fillId="0" borderId="0" xfId="0" applyNumberFormat="1" applyFont="1" applyFill="1" applyBorder="1" applyAlignment="1">
      <alignment vertical="center"/>
    </xf>
    <xf numFmtId="169" fontId="250" fillId="82" borderId="0" xfId="0" applyNumberFormat="1" applyFont="1" applyFill="1" applyBorder="1" applyAlignment="1">
      <alignment vertical="center"/>
    </xf>
    <xf numFmtId="169" fontId="274" fillId="0" borderId="0" xfId="0" applyNumberFormat="1" applyFont="1" applyFill="1" applyBorder="1" applyAlignment="1">
      <alignment vertical="center"/>
    </xf>
    <xf numFmtId="169" fontId="274" fillId="0" borderId="0" xfId="28" applyNumberFormat="1" applyFont="1" applyFill="1" applyBorder="1" applyAlignment="1">
      <alignment vertical="center"/>
    </xf>
    <xf numFmtId="169" fontId="291" fillId="0" borderId="0" xfId="28" applyNumberFormat="1" applyFont="1" applyFill="1" applyBorder="1" applyAlignment="1">
      <alignment vertical="center"/>
    </xf>
    <xf numFmtId="169" fontId="250" fillId="76" borderId="0" xfId="1" applyNumberFormat="1" applyFont="1" applyFill="1" applyBorder="1" applyAlignment="1">
      <alignment vertical="center"/>
    </xf>
    <xf numFmtId="169" fontId="250" fillId="77" borderId="0" xfId="28" applyNumberFormat="1" applyFont="1" applyFill="1" applyBorder="1" applyAlignment="1">
      <alignment vertical="center"/>
    </xf>
    <xf numFmtId="169" fontId="268" fillId="0" borderId="0" xfId="28" applyNumberFormat="1" applyFont="1" applyFill="1" applyBorder="1" applyAlignment="1">
      <alignment wrapText="1"/>
    </xf>
    <xf numFmtId="169" fontId="250" fillId="82" borderId="0" xfId="28" applyNumberFormat="1" applyFont="1" applyFill="1" applyBorder="1" applyAlignment="1">
      <alignment vertical="center" wrapText="1"/>
    </xf>
    <xf numFmtId="169" fontId="274" fillId="0" borderId="0" xfId="28" applyNumberFormat="1" applyFont="1" applyFill="1" applyBorder="1" applyAlignment="1">
      <alignment vertical="center" wrapText="1"/>
    </xf>
    <xf numFmtId="169" fontId="268" fillId="0" borderId="0" xfId="28" applyNumberFormat="1" applyFont="1" applyBorder="1" applyAlignment="1">
      <alignment vertical="center"/>
    </xf>
    <xf numFmtId="169" fontId="268" fillId="82" borderId="0" xfId="28" applyNumberFormat="1" applyFont="1" applyFill="1" applyBorder="1" applyAlignment="1">
      <alignment vertical="center"/>
    </xf>
    <xf numFmtId="169" fontId="274" fillId="0" borderId="0" xfId="0" applyNumberFormat="1" applyFont="1" applyBorder="1" applyAlignment="1"/>
    <xf numFmtId="169" fontId="306" fillId="0" borderId="0" xfId="0" applyNumberFormat="1" applyFont="1" applyFill="1" applyBorder="1" applyAlignment="1"/>
    <xf numFmtId="169" fontId="306" fillId="82" borderId="0" xfId="0" applyNumberFormat="1" applyFont="1" applyFill="1" applyBorder="1" applyAlignment="1"/>
    <xf numFmtId="169" fontId="274" fillId="0" borderId="0" xfId="1" applyNumberFormat="1" applyFont="1" applyFill="1" applyBorder="1" applyAlignment="1">
      <alignment vertical="center"/>
    </xf>
    <xf numFmtId="169" fontId="272" fillId="0" borderId="0" xfId="0" applyNumberFormat="1" applyFont="1" applyFill="1" applyBorder="1" applyAlignment="1"/>
    <xf numFmtId="169" fontId="250" fillId="76" borderId="0" xfId="28" applyNumberFormat="1" applyFont="1" applyFill="1" applyBorder="1" applyAlignment="1">
      <alignment vertical="center"/>
    </xf>
    <xf numFmtId="169" fontId="272" fillId="0" borderId="0" xfId="1" applyNumberFormat="1" applyFont="1" applyBorder="1" applyAlignment="1">
      <alignment vertical="center"/>
    </xf>
    <xf numFmtId="169" fontId="250" fillId="0" borderId="0" xfId="0" applyNumberFormat="1" applyFont="1" applyBorder="1" applyAlignment="1">
      <alignment vertical="center"/>
    </xf>
    <xf numFmtId="169" fontId="250" fillId="3" borderId="0" xfId="28" applyNumberFormat="1" applyFont="1" applyFill="1" applyBorder="1" applyAlignment="1">
      <alignment vertical="center"/>
    </xf>
    <xf numFmtId="169" fontId="306" fillId="0" borderId="0" xfId="0" applyNumberFormat="1" applyFont="1" applyFill="1" applyBorder="1" applyAlignment="1">
      <alignment vertical="center"/>
    </xf>
    <xf numFmtId="169" fontId="306" fillId="82" borderId="0" xfId="0" applyNumberFormat="1" applyFont="1" applyFill="1" applyBorder="1" applyAlignment="1">
      <alignment vertical="center"/>
    </xf>
    <xf numFmtId="169" fontId="272" fillId="0" borderId="0" xfId="1" applyNumberFormat="1" applyFont="1" applyFill="1" applyBorder="1" applyAlignment="1">
      <alignment vertical="center"/>
    </xf>
    <xf numFmtId="169" fontId="250" fillId="82" borderId="0" xfId="1" applyNumberFormat="1" applyFont="1" applyFill="1" applyBorder="1" applyAlignment="1">
      <alignment vertical="center"/>
    </xf>
    <xf numFmtId="169" fontId="306" fillId="0" borderId="0" xfId="1" applyNumberFormat="1" applyFont="1" applyFill="1" applyBorder="1" applyAlignment="1">
      <alignment vertical="center"/>
    </xf>
    <xf numFmtId="169" fontId="306" fillId="0" borderId="0" xfId="1" applyNumberFormat="1" applyFont="1" applyBorder="1" applyAlignment="1">
      <alignment vertical="center"/>
    </xf>
    <xf numFmtId="169" fontId="306" fillId="82" borderId="0" xfId="1" applyNumberFormat="1" applyFont="1" applyFill="1" applyBorder="1" applyAlignment="1">
      <alignment vertical="center"/>
    </xf>
    <xf numFmtId="169" fontId="274" fillId="0" borderId="0" xfId="1" applyNumberFormat="1" applyFont="1" applyBorder="1" applyAlignment="1">
      <alignment vertical="center"/>
    </xf>
    <xf numFmtId="169" fontId="250" fillId="92" borderId="0" xfId="1" applyNumberFormat="1" applyFont="1" applyFill="1" applyBorder="1" applyAlignment="1">
      <alignment vertical="center"/>
    </xf>
    <xf numFmtId="169" fontId="249" fillId="92" borderId="0" xfId="1" applyNumberFormat="1" applyFont="1" applyFill="1" applyBorder="1" applyAlignment="1">
      <alignment vertical="center"/>
    </xf>
    <xf numFmtId="169" fontId="306" fillId="91" borderId="0" xfId="0" applyNumberFormat="1" applyFont="1" applyFill="1" applyBorder="1" applyAlignment="1"/>
    <xf numFmtId="169" fontId="272" fillId="89" borderId="0" xfId="0" applyNumberFormat="1" applyFont="1" applyFill="1" applyBorder="1" applyAlignment="1"/>
    <xf numFmtId="169" fontId="271" fillId="92" borderId="0" xfId="0" applyNumberFormat="1" applyFont="1" applyFill="1" applyBorder="1" applyAlignment="1"/>
    <xf numFmtId="169" fontId="250" fillId="89" borderId="0" xfId="1" applyNumberFormat="1" applyFont="1" applyFill="1" applyBorder="1" applyAlignment="1">
      <alignment vertical="center"/>
    </xf>
    <xf numFmtId="169" fontId="250" fillId="92" borderId="0" xfId="28" applyNumberFormat="1" applyFont="1" applyFill="1" applyBorder="1" applyAlignment="1">
      <alignment vertical="center"/>
    </xf>
    <xf numFmtId="169" fontId="288" fillId="85" borderId="0" xfId="28" applyNumberFormat="1" applyFont="1" applyFill="1" applyBorder="1" applyAlignment="1">
      <alignment vertical="center"/>
    </xf>
    <xf numFmtId="169" fontId="274" fillId="0" borderId="0" xfId="0" applyNumberFormat="1" applyFont="1" applyFill="1" applyBorder="1" applyAlignment="1"/>
    <xf numFmtId="169" fontId="292" fillId="77" borderId="0" xfId="28" applyNumberFormat="1" applyFont="1" applyFill="1" applyBorder="1" applyAlignment="1">
      <alignment vertical="center"/>
    </xf>
    <xf numFmtId="169" fontId="250" fillId="93" borderId="0" xfId="28" applyNumberFormat="1" applyFont="1" applyFill="1" applyBorder="1" applyAlignment="1">
      <alignment vertical="center"/>
    </xf>
    <xf numFmtId="169" fontId="250" fillId="0" borderId="0" xfId="0" applyNumberFormat="1" applyFont="1" applyBorder="1" applyAlignment="1"/>
    <xf numFmtId="169" fontId="250" fillId="0" borderId="7" xfId="28" applyNumberFormat="1" applyFont="1" applyFill="1" applyBorder="1" applyAlignment="1">
      <alignment vertical="center"/>
    </xf>
    <xf numFmtId="331" fontId="250" fillId="77" borderId="0" xfId="28" applyNumberFormat="1" applyFont="1" applyFill="1" applyBorder="1" applyAlignment="1">
      <alignment horizontal="justify" vertical="center" wrapText="1"/>
    </xf>
    <xf numFmtId="331" fontId="250" fillId="77" borderId="0" xfId="28" applyNumberFormat="1" applyFont="1" applyFill="1" applyBorder="1" applyAlignment="1">
      <alignment horizontal="justify" vertical="top" wrapText="1"/>
    </xf>
    <xf numFmtId="331" fontId="250" fillId="77" borderId="0" xfId="28" applyNumberFormat="1" applyFont="1" applyFill="1" applyBorder="1" applyAlignment="1">
      <alignment horizontal="left" vertical="top" wrapText="1"/>
    </xf>
    <xf numFmtId="43" fontId="286" fillId="0" borderId="89" xfId="1" applyFont="1" applyFill="1" applyBorder="1" applyAlignment="1" applyProtection="1">
      <alignment horizontal="center" vertical="center"/>
      <protection locked="0"/>
    </xf>
    <xf numFmtId="43" fontId="286" fillId="3" borderId="90" xfId="1" applyFont="1" applyFill="1" applyBorder="1" applyAlignment="1" applyProtection="1">
      <alignment horizontal="center" vertical="center"/>
      <protection locked="0"/>
    </xf>
    <xf numFmtId="43" fontId="286" fillId="3" borderId="1" xfId="1" applyFont="1" applyFill="1" applyBorder="1" applyAlignment="1" applyProtection="1">
      <alignment horizontal="center" vertical="center"/>
      <protection locked="0"/>
    </xf>
    <xf numFmtId="43" fontId="286" fillId="0" borderId="1" xfId="1" applyFont="1" applyFill="1" applyBorder="1" applyAlignment="1" applyProtection="1">
      <alignment horizontal="center" vertical="center"/>
      <protection locked="0"/>
    </xf>
    <xf numFmtId="169" fontId="249" fillId="0" borderId="0" xfId="1" applyNumberFormat="1" applyFont="1" applyBorder="1" applyAlignment="1">
      <alignment vertical="center"/>
    </xf>
    <xf numFmtId="0" fontId="256" fillId="0" borderId="0" xfId="28" applyFont="1" applyFill="1" applyBorder="1" applyAlignment="1">
      <alignment horizontal="left" vertical="center" wrapText="1"/>
    </xf>
    <xf numFmtId="331" fontId="249" fillId="0" borderId="0" xfId="1" applyNumberFormat="1" applyFont="1" applyBorder="1" applyAlignment="1">
      <alignment horizontal="center" vertical="center"/>
    </xf>
    <xf numFmtId="338" fontId="249" fillId="0" borderId="0" xfId="1" applyNumberFormat="1" applyFont="1" applyBorder="1" applyAlignment="1">
      <alignment vertical="center"/>
    </xf>
    <xf numFmtId="331" fontId="250" fillId="77" borderId="0" xfId="28" applyNumberFormat="1" applyFont="1" applyFill="1" applyBorder="1" applyAlignment="1">
      <alignment horizontal="center" vertical="top" wrapText="1"/>
    </xf>
    <xf numFmtId="0" fontId="250" fillId="89" borderId="0" xfId="0" applyFont="1" applyFill="1" applyBorder="1" applyAlignment="1">
      <alignment horizontal="center" vertical="center"/>
    </xf>
    <xf numFmtId="0" fontId="306" fillId="91" borderId="0" xfId="0" applyFont="1" applyFill="1" applyBorder="1" applyAlignment="1">
      <alignment horizontal="center"/>
    </xf>
    <xf numFmtId="0" fontId="272" fillId="89" borderId="0" xfId="0" applyFont="1" applyFill="1" applyBorder="1" applyAlignment="1">
      <alignment horizontal="center"/>
    </xf>
    <xf numFmtId="166" fontId="249" fillId="76" borderId="0" xfId="28" applyNumberFormat="1" applyFont="1" applyFill="1" applyBorder="1" applyAlignment="1">
      <alignment horizontal="center" vertical="center"/>
    </xf>
    <xf numFmtId="0" fontId="306" fillId="0" borderId="0" xfId="28" applyFont="1" applyBorder="1" applyAlignment="1">
      <alignment horizontal="center" vertical="center" wrapText="1"/>
    </xf>
    <xf numFmtId="0" fontId="250" fillId="0" borderId="0" xfId="28" applyFont="1" applyBorder="1" applyAlignment="1">
      <alignment horizontal="center" vertical="center" wrapText="1"/>
    </xf>
    <xf numFmtId="0" fontId="289" fillId="85" borderId="0" xfId="28" applyFont="1" applyFill="1" applyBorder="1" applyAlignment="1">
      <alignment horizontal="center" vertical="center" wrapText="1"/>
    </xf>
    <xf numFmtId="0" fontId="249" fillId="0" borderId="0" xfId="28" applyFont="1" applyBorder="1" applyAlignment="1">
      <alignment horizontal="center" vertical="center" wrapText="1"/>
    </xf>
    <xf numFmtId="0" fontId="249" fillId="92" borderId="0" xfId="28" applyFont="1" applyFill="1" applyBorder="1" applyAlignment="1">
      <alignment horizontal="center" vertical="center" wrapText="1"/>
    </xf>
    <xf numFmtId="0" fontId="249" fillId="0" borderId="0" xfId="0" applyFont="1" applyFill="1" applyBorder="1"/>
    <xf numFmtId="196" fontId="229" fillId="0" borderId="0" xfId="1" applyNumberFormat="1" applyFont="1" applyFill="1" applyBorder="1" applyAlignment="1">
      <alignment horizontal="left" vertical="center"/>
    </xf>
    <xf numFmtId="0" fontId="229" fillId="0" borderId="0" xfId="28" applyFont="1" applyFill="1" applyBorder="1" applyAlignment="1">
      <alignment horizontal="left" vertical="center"/>
    </xf>
    <xf numFmtId="169" fontId="229" fillId="0" borderId="0" xfId="28" applyNumberFormat="1" applyFont="1" applyFill="1" applyBorder="1" applyAlignment="1">
      <alignment horizontal="left" vertical="center"/>
    </xf>
    <xf numFmtId="225" fontId="249" fillId="0" borderId="0" xfId="1" applyNumberFormat="1" applyFont="1" applyBorder="1" applyAlignment="1">
      <alignment vertical="center"/>
    </xf>
    <xf numFmtId="0" fontId="174" fillId="77" borderId="0" xfId="28" applyFont="1" applyFill="1" applyBorder="1" applyAlignment="1">
      <alignment horizontal="left" vertical="center" wrapText="1"/>
    </xf>
    <xf numFmtId="169" fontId="274" fillId="95" borderId="0" xfId="28" applyNumberFormat="1" applyFont="1" applyFill="1" applyBorder="1" applyAlignment="1">
      <alignment vertical="center"/>
    </xf>
    <xf numFmtId="225" fontId="274" fillId="0" borderId="0" xfId="1" applyNumberFormat="1" applyFont="1" applyFill="1" applyBorder="1" applyAlignment="1">
      <alignment vertical="center"/>
    </xf>
    <xf numFmtId="0" fontId="1" fillId="0" borderId="0" xfId="3655"/>
    <xf numFmtId="0" fontId="298" fillId="0" borderId="1" xfId="3655" applyFont="1" applyBorder="1" applyAlignment="1">
      <alignment horizontal="center" vertical="center"/>
    </xf>
    <xf numFmtId="0" fontId="1" fillId="0" borderId="1" xfId="3655" applyBorder="1" applyAlignment="1">
      <alignment horizontal="center" vertical="center"/>
    </xf>
    <xf numFmtId="0" fontId="298" fillId="96" borderId="1" xfId="3655" applyFont="1" applyFill="1" applyBorder="1" applyAlignment="1">
      <alignment vertical="center"/>
    </xf>
    <xf numFmtId="0" fontId="1" fillId="0" borderId="0" xfId="3655" applyBorder="1" applyAlignment="1">
      <alignment horizontal="center" vertical="center"/>
    </xf>
    <xf numFmtId="169" fontId="125" fillId="0" borderId="0" xfId="28" applyNumberFormat="1" applyFont="1" applyFill="1" applyBorder="1" applyAlignment="1">
      <alignment horizontal="center" vertical="center"/>
    </xf>
    <xf numFmtId="225" fontId="125" fillId="0" borderId="0" xfId="1" applyNumberFormat="1" applyFont="1" applyFill="1" applyBorder="1" applyAlignment="1">
      <alignment horizontal="center" vertical="center"/>
    </xf>
    <xf numFmtId="0" fontId="298" fillId="0" borderId="0" xfId="3655" applyFont="1" applyBorder="1" applyAlignment="1">
      <alignment horizontal="center" vertical="center"/>
    </xf>
    <xf numFmtId="0" fontId="248" fillId="0" borderId="23" xfId="3155" applyFont="1" applyFill="1" applyBorder="1" applyAlignment="1">
      <alignment horizontal="left" vertical="top" wrapText="1"/>
    </xf>
    <xf numFmtId="0" fontId="248" fillId="0" borderId="0" xfId="3155" applyFont="1" applyFill="1" applyBorder="1" applyAlignment="1">
      <alignment horizontal="left" vertical="top" wrapText="1"/>
    </xf>
    <xf numFmtId="0" fontId="248" fillId="0" borderId="30" xfId="3155" applyFont="1" applyFill="1" applyBorder="1" applyAlignment="1">
      <alignment horizontal="left" vertical="top" wrapText="1"/>
    </xf>
    <xf numFmtId="43" fontId="248" fillId="0" borderId="11" xfId="1" applyFont="1" applyFill="1" applyBorder="1" applyAlignment="1">
      <alignment horizontal="left" wrapText="1"/>
    </xf>
    <xf numFmtId="0" fontId="248" fillId="0" borderId="80" xfId="3155" applyFont="1" applyFill="1" applyBorder="1" applyAlignment="1">
      <alignment horizontal="center" vertical="top" wrapText="1"/>
    </xf>
    <xf numFmtId="0" fontId="248" fillId="0" borderId="22" xfId="3155" applyFont="1" applyFill="1" applyBorder="1" applyAlignment="1">
      <alignment horizontal="center" vertical="top" wrapText="1"/>
    </xf>
    <xf numFmtId="0" fontId="248" fillId="0" borderId="81" xfId="3155" applyFont="1" applyFill="1" applyBorder="1" applyAlignment="1">
      <alignment horizontal="center" vertical="top" wrapText="1"/>
    </xf>
    <xf numFmtId="43" fontId="131" fillId="0" borderId="57" xfId="1" applyFont="1" applyFill="1" applyBorder="1" applyAlignment="1">
      <alignment horizontal="left" wrapText="1"/>
    </xf>
    <xf numFmtId="0" fontId="245" fillId="0" borderId="23" xfId="3155" applyFont="1" applyFill="1" applyBorder="1" applyAlignment="1">
      <alignment vertical="center" wrapText="1"/>
    </xf>
    <xf numFmtId="0" fontId="245" fillId="0" borderId="0" xfId="3155" applyFont="1" applyFill="1" applyBorder="1" applyAlignment="1">
      <alignment vertical="center" wrapText="1"/>
    </xf>
    <xf numFmtId="0" fontId="316" fillId="0" borderId="31" xfId="3155" applyFont="1" applyFill="1" applyBorder="1" applyAlignment="1">
      <alignment horizontal="left" vertical="center" wrapText="1"/>
    </xf>
    <xf numFmtId="0" fontId="316" fillId="0" borderId="54" xfId="3155" applyFont="1" applyFill="1" applyBorder="1" applyAlignment="1">
      <alignment horizontal="left" vertical="center" wrapText="1"/>
    </xf>
    <xf numFmtId="0" fontId="245" fillId="0" borderId="23" xfId="3155" applyFont="1" applyFill="1" applyBorder="1" applyAlignment="1">
      <alignment vertical="top" wrapText="1"/>
    </xf>
    <xf numFmtId="0" fontId="245" fillId="0" borderId="0" xfId="3155" applyFont="1" applyFill="1" applyBorder="1" applyAlignment="1">
      <alignment vertical="top" wrapText="1"/>
    </xf>
    <xf numFmtId="43" fontId="245" fillId="0" borderId="0" xfId="2176" applyFont="1" applyFill="1" applyBorder="1" applyAlignment="1">
      <alignment horizontal="left" vertical="top" wrapText="1"/>
    </xf>
    <xf numFmtId="43" fontId="245" fillId="0" borderId="30" xfId="2176" applyFont="1" applyFill="1" applyBorder="1" applyAlignment="1">
      <alignment horizontal="left" vertical="top" wrapText="1"/>
    </xf>
    <xf numFmtId="0" fontId="317" fillId="0" borderId="53" xfId="3155" applyFont="1" applyFill="1" applyBorder="1" applyAlignment="1">
      <alignment horizontal="center" vertical="top" wrapText="1"/>
    </xf>
    <xf numFmtId="0" fontId="317" fillId="0" borderId="32" xfId="3155" applyFont="1" applyFill="1" applyBorder="1" applyAlignment="1">
      <alignment horizontal="center" vertical="top" wrapText="1"/>
    </xf>
    <xf numFmtId="0" fontId="317" fillId="0" borderId="55" xfId="3155" applyFont="1" applyFill="1" applyBorder="1" applyAlignment="1">
      <alignment horizontal="center" vertical="top" wrapText="1"/>
    </xf>
    <xf numFmtId="0" fontId="316" fillId="0" borderId="53" xfId="3155" applyFont="1" applyFill="1" applyBorder="1" applyAlignment="1">
      <alignment horizontal="center" vertical="center" wrapText="1"/>
    </xf>
    <xf numFmtId="0" fontId="316" fillId="0" borderId="32" xfId="3155" applyFont="1" applyFill="1" applyBorder="1" applyAlignment="1">
      <alignment horizontal="center" vertical="center" wrapText="1"/>
    </xf>
    <xf numFmtId="0" fontId="316" fillId="0" borderId="55" xfId="3155" applyFont="1" applyFill="1" applyBorder="1" applyAlignment="1">
      <alignment horizontal="center" vertical="center" wrapText="1"/>
    </xf>
    <xf numFmtId="0" fontId="246" fillId="0" borderId="0" xfId="3155" applyFont="1" applyFill="1" applyBorder="1" applyAlignment="1">
      <alignment vertical="top" wrapText="1"/>
    </xf>
    <xf numFmtId="0" fontId="246" fillId="0" borderId="0" xfId="3155" applyFont="1" applyFill="1" applyBorder="1" applyAlignment="1">
      <alignment horizontal="left" vertical="top" wrapText="1"/>
    </xf>
    <xf numFmtId="0" fontId="245" fillId="0" borderId="53" xfId="3155" applyFont="1" applyFill="1" applyBorder="1" applyAlignment="1">
      <alignment horizontal="center" vertical="center" wrapText="1"/>
    </xf>
    <xf numFmtId="0" fontId="245" fillId="0" borderId="55" xfId="3155" applyFont="1" applyFill="1" applyBorder="1" applyAlignment="1">
      <alignment horizontal="center" vertical="center" wrapText="1"/>
    </xf>
    <xf numFmtId="2" fontId="246" fillId="0" borderId="53" xfId="14" applyNumberFormat="1" applyFont="1" applyFill="1" applyBorder="1" applyAlignment="1">
      <alignment horizontal="center" wrapText="1"/>
    </xf>
    <xf numFmtId="2" fontId="246" fillId="0" borderId="32" xfId="14" applyNumberFormat="1" applyFont="1" applyFill="1" applyBorder="1" applyAlignment="1">
      <alignment horizontal="center" wrapText="1"/>
    </xf>
    <xf numFmtId="0" fontId="245" fillId="0" borderId="32" xfId="3155" applyFont="1" applyFill="1" applyBorder="1" applyAlignment="1">
      <alignment horizontal="center" vertical="center" wrapText="1"/>
    </xf>
    <xf numFmtId="43" fontId="248" fillId="0" borderId="57" xfId="1" applyFont="1" applyFill="1" applyBorder="1" applyAlignment="1">
      <alignment horizontal="center" wrapText="1"/>
    </xf>
    <xf numFmtId="43" fontId="248" fillId="0" borderId="75" xfId="1" applyFont="1" applyFill="1" applyBorder="1" applyAlignment="1">
      <alignment horizontal="left" wrapText="1"/>
    </xf>
    <xf numFmtId="0" fontId="246" fillId="0" borderId="31" xfId="3155" applyFont="1" applyFill="1" applyBorder="1" applyAlignment="1">
      <alignment horizontal="center"/>
    </xf>
    <xf numFmtId="0" fontId="246" fillId="0" borderId="54" xfId="3155" applyFont="1" applyFill="1" applyBorder="1" applyAlignment="1">
      <alignment horizontal="center"/>
    </xf>
    <xf numFmtId="0" fontId="246" fillId="0" borderId="16" xfId="3155" applyFont="1" applyFill="1" applyBorder="1" applyAlignment="1">
      <alignment horizontal="center"/>
    </xf>
    <xf numFmtId="0" fontId="246" fillId="0" borderId="61" xfId="3155" applyFont="1" applyFill="1" applyBorder="1" applyAlignment="1">
      <alignment horizontal="center"/>
    </xf>
    <xf numFmtId="0" fontId="245" fillId="0" borderId="60" xfId="3155" applyFont="1" applyFill="1" applyBorder="1" applyAlignment="1">
      <alignment horizontal="center" vertical="center" wrapText="1"/>
    </xf>
    <xf numFmtId="0" fontId="245" fillId="0" borderId="16" xfId="3155" applyFont="1" applyFill="1" applyBorder="1" applyAlignment="1">
      <alignment horizontal="center" vertical="center" wrapText="1"/>
    </xf>
    <xf numFmtId="43" fontId="248" fillId="0" borderId="58" xfId="3155" applyNumberFormat="1" applyFont="1" applyFill="1" applyBorder="1" applyAlignment="1">
      <alignment horizontal="left" vertical="center" wrapText="1"/>
    </xf>
    <xf numFmtId="0" fontId="248" fillId="0" borderId="16" xfId="3155" applyFont="1" applyFill="1" applyBorder="1" applyAlignment="1">
      <alignment horizontal="left" vertical="center" wrapText="1"/>
    </xf>
    <xf numFmtId="0" fontId="248" fillId="0" borderId="61" xfId="3155" applyFont="1" applyFill="1" applyBorder="1" applyAlignment="1">
      <alignment horizontal="left" vertical="center" wrapText="1"/>
    </xf>
    <xf numFmtId="0" fontId="246" fillId="0" borderId="53" xfId="3155" applyFont="1" applyFill="1" applyBorder="1" applyAlignment="1">
      <alignment horizontal="center"/>
    </xf>
    <xf numFmtId="0" fontId="246" fillId="0" borderId="55" xfId="3155" applyFont="1" applyFill="1" applyBorder="1" applyAlignment="1">
      <alignment horizontal="center"/>
    </xf>
    <xf numFmtId="2" fontId="246" fillId="0" borderId="32" xfId="3155" applyNumberFormat="1" applyFont="1" applyFill="1" applyBorder="1" applyAlignment="1">
      <alignment horizontal="center"/>
    </xf>
    <xf numFmtId="2" fontId="246" fillId="0" borderId="55" xfId="3155" applyNumberFormat="1" applyFont="1" applyFill="1" applyBorder="1" applyAlignment="1">
      <alignment horizontal="center"/>
    </xf>
    <xf numFmtId="2" fontId="246" fillId="0" borderId="59" xfId="14" applyNumberFormat="1" applyFont="1" applyFill="1" applyBorder="1" applyAlignment="1">
      <alignment horizontal="center" wrapText="1"/>
    </xf>
    <xf numFmtId="2" fontId="246" fillId="0" borderId="54" xfId="14" applyNumberFormat="1" applyFont="1" applyFill="1" applyBorder="1" applyAlignment="1">
      <alignment horizontal="center" wrapText="1"/>
    </xf>
    <xf numFmtId="2" fontId="246" fillId="0" borderId="60" xfId="14" applyNumberFormat="1" applyFont="1" applyFill="1" applyBorder="1" applyAlignment="1">
      <alignment horizontal="center" wrapText="1"/>
    </xf>
    <xf numFmtId="2" fontId="246" fillId="0" borderId="61" xfId="14" applyNumberFormat="1" applyFont="1" applyFill="1" applyBorder="1" applyAlignment="1">
      <alignment horizontal="center" wrapText="1"/>
    </xf>
    <xf numFmtId="2" fontId="246" fillId="0" borderId="66" xfId="14" applyNumberFormat="1" applyFont="1" applyFill="1" applyBorder="1" applyAlignment="1">
      <alignment horizontal="center" wrapText="1"/>
    </xf>
    <xf numFmtId="2" fontId="246" fillId="0" borderId="67" xfId="14" applyNumberFormat="1" applyFont="1" applyFill="1" applyBorder="1" applyAlignment="1">
      <alignment horizontal="center" wrapText="1"/>
    </xf>
    <xf numFmtId="0" fontId="246" fillId="0" borderId="59" xfId="3155" applyFont="1" applyFill="1" applyBorder="1" applyAlignment="1">
      <alignment horizontal="center"/>
    </xf>
    <xf numFmtId="0" fontId="246" fillId="0" borderId="60" xfId="3155" applyFont="1" applyFill="1" applyBorder="1" applyAlignment="1">
      <alignment horizontal="center"/>
    </xf>
    <xf numFmtId="2" fontId="245" fillId="0" borderId="53" xfId="14" applyNumberFormat="1" applyFont="1" applyFill="1" applyBorder="1" applyAlignment="1">
      <alignment horizontal="center" vertical="center" wrapText="1"/>
    </xf>
    <xf numFmtId="2" fontId="245" fillId="0" borderId="32" xfId="14" applyNumberFormat="1" applyFont="1" applyFill="1" applyBorder="1" applyAlignment="1">
      <alignment horizontal="center" vertical="center" wrapText="1"/>
    </xf>
    <xf numFmtId="2" fontId="245" fillId="0" borderId="55" xfId="14" applyNumberFormat="1" applyFont="1" applyFill="1" applyBorder="1" applyAlignment="1">
      <alignment horizontal="center" vertical="center" wrapText="1"/>
    </xf>
    <xf numFmtId="0" fontId="245" fillId="0" borderId="53" xfId="3155" applyFont="1" applyFill="1" applyBorder="1" applyAlignment="1">
      <alignment horizontal="center" wrapText="1"/>
    </xf>
    <xf numFmtId="0" fontId="245" fillId="0" borderId="32" xfId="3155" applyFont="1" applyFill="1" applyBorder="1" applyAlignment="1">
      <alignment horizontal="center" wrapText="1"/>
    </xf>
    <xf numFmtId="0" fontId="245" fillId="0" borderId="55" xfId="3155" applyFont="1" applyFill="1" applyBorder="1" applyAlignment="1">
      <alignment horizontal="center" wrapText="1"/>
    </xf>
    <xf numFmtId="43" fontId="248" fillId="0" borderId="83" xfId="1" applyFont="1" applyFill="1" applyBorder="1" applyAlignment="1">
      <alignment horizontal="center" wrapText="1"/>
    </xf>
    <xf numFmtId="43" fontId="248" fillId="0" borderId="43" xfId="1" applyFont="1" applyFill="1" applyBorder="1" applyAlignment="1">
      <alignment horizontal="center" wrapText="1"/>
    </xf>
    <xf numFmtId="43" fontId="248" fillId="0" borderId="82" xfId="1" applyFont="1" applyFill="1" applyBorder="1" applyAlignment="1">
      <alignment horizontal="center" wrapText="1"/>
    </xf>
    <xf numFmtId="43" fontId="248" fillId="0" borderId="57" xfId="1" applyFont="1" applyFill="1" applyBorder="1" applyAlignment="1">
      <alignment horizontal="left" wrapText="1"/>
    </xf>
    <xf numFmtId="0" fontId="236" fillId="0" borderId="53" xfId="0" applyFont="1" applyBorder="1" applyAlignment="1">
      <alignment horizontal="center"/>
    </xf>
    <xf numFmtId="0" fontId="236" fillId="0" borderId="32" xfId="0" applyFont="1" applyBorder="1" applyAlignment="1">
      <alignment horizontal="center"/>
    </xf>
    <xf numFmtId="0" fontId="236" fillId="0" borderId="55" xfId="0" applyFont="1" applyBorder="1" applyAlignment="1">
      <alignment horizontal="center"/>
    </xf>
    <xf numFmtId="0" fontId="240" fillId="79" borderId="53" xfId="0" applyFont="1" applyFill="1" applyBorder="1" applyAlignment="1" applyProtection="1">
      <alignment horizontal="center" vertical="center" wrapText="1"/>
      <protection locked="0"/>
    </xf>
    <xf numFmtId="0" fontId="240" fillId="79" borderId="32" xfId="0" applyFont="1" applyFill="1" applyBorder="1" applyAlignment="1" applyProtection="1">
      <alignment horizontal="center" vertical="center" wrapText="1"/>
      <protection locked="0"/>
    </xf>
    <xf numFmtId="0" fontId="240" fillId="79" borderId="55" xfId="0" applyFont="1" applyFill="1" applyBorder="1" applyAlignment="1" applyProtection="1">
      <alignment horizontal="center" vertical="center" wrapText="1"/>
      <protection locked="0"/>
    </xf>
    <xf numFmtId="0" fontId="241" fillId="0" borderId="69" xfId="0" applyFont="1" applyBorder="1" applyAlignment="1">
      <alignment horizontal="center" vertical="center"/>
    </xf>
    <xf numFmtId="0" fontId="241" fillId="0" borderId="70" xfId="0" applyFont="1" applyBorder="1" applyAlignment="1">
      <alignment horizontal="center" vertical="center"/>
    </xf>
    <xf numFmtId="0" fontId="241" fillId="0" borderId="71" xfId="0" applyFont="1" applyBorder="1" applyAlignment="1">
      <alignment horizontal="center" vertical="center"/>
    </xf>
    <xf numFmtId="0" fontId="284" fillId="0" borderId="0" xfId="0" applyFont="1" applyAlignment="1">
      <alignment horizontal="center" vertical="center"/>
    </xf>
    <xf numFmtId="0" fontId="240" fillId="79" borderId="53" xfId="0" applyFont="1" applyFill="1" applyBorder="1" applyAlignment="1" applyProtection="1">
      <alignment horizontal="center" vertical="top" wrapText="1"/>
      <protection locked="0"/>
    </xf>
    <xf numFmtId="0" fontId="240" fillId="79" borderId="32" xfId="0" applyFont="1" applyFill="1" applyBorder="1" applyAlignment="1" applyProtection="1">
      <alignment horizontal="center" vertical="top" wrapText="1"/>
      <protection locked="0"/>
    </xf>
    <xf numFmtId="0" fontId="240" fillId="79" borderId="55" xfId="0" applyFont="1" applyFill="1" applyBorder="1" applyAlignment="1" applyProtection="1">
      <alignment horizontal="center" vertical="top" wrapText="1"/>
      <protection locked="0"/>
    </xf>
    <xf numFmtId="0" fontId="241" fillId="0" borderId="69" xfId="0" applyFont="1" applyBorder="1" applyAlignment="1">
      <alignment horizontal="center" vertical="top"/>
    </xf>
    <xf numFmtId="0" fontId="241" fillId="0" borderId="70" xfId="0" applyFont="1" applyBorder="1" applyAlignment="1">
      <alignment horizontal="center" vertical="top"/>
    </xf>
    <xf numFmtId="0" fontId="241" fillId="0" borderId="71" xfId="0" applyFont="1" applyBorder="1" applyAlignment="1">
      <alignment horizontal="center" vertical="top"/>
    </xf>
    <xf numFmtId="0" fontId="284" fillId="0" borderId="0" xfId="0" applyFont="1" applyAlignment="1">
      <alignment horizontal="center" vertical="top"/>
    </xf>
    <xf numFmtId="169" fontId="250" fillId="0" borderId="0" xfId="28" applyNumberFormat="1" applyFont="1" applyBorder="1" applyAlignment="1">
      <alignment vertical="center" wrapText="1"/>
    </xf>
    <xf numFmtId="169" fontId="250" fillId="0" borderId="0" xfId="28" applyNumberFormat="1" applyFont="1" applyFill="1" applyBorder="1" applyAlignment="1">
      <alignment vertical="center" wrapText="1"/>
    </xf>
    <xf numFmtId="0" fontId="249" fillId="0" borderId="0" xfId="28" applyFont="1" applyBorder="1" applyAlignment="1">
      <alignment horizontal="center" vertical="center"/>
    </xf>
    <xf numFmtId="0" fontId="279" fillId="0" borderId="0" xfId="28" applyFont="1" applyBorder="1" applyAlignment="1">
      <alignment horizontal="center" vertical="center"/>
    </xf>
    <xf numFmtId="225" fontId="279" fillId="3" borderId="7" xfId="28" applyNumberFormat="1" applyFont="1" applyFill="1" applyBorder="1" applyAlignment="1">
      <alignment horizontal="center" vertical="center"/>
    </xf>
    <xf numFmtId="0" fontId="318" fillId="0" borderId="2" xfId="3655" applyFont="1" applyBorder="1" applyAlignment="1">
      <alignment vertical="center" wrapText="1"/>
    </xf>
    <xf numFmtId="0" fontId="318" fillId="0" borderId="3" xfId="3655" applyFont="1" applyBorder="1" applyAlignment="1">
      <alignment vertical="center" wrapText="1"/>
    </xf>
    <xf numFmtId="0" fontId="318" fillId="0" borderId="105" xfId="3655" applyFont="1" applyBorder="1" applyAlignment="1">
      <alignment vertical="center" wrapText="1"/>
    </xf>
    <xf numFmtId="0" fontId="298" fillId="96" borderId="2" xfId="3655" applyFont="1" applyFill="1" applyBorder="1" applyAlignment="1">
      <alignment horizontal="center" vertical="center"/>
    </xf>
    <xf numFmtId="0" fontId="298" fillId="96" borderId="3" xfId="3655" applyFont="1" applyFill="1" applyBorder="1" applyAlignment="1">
      <alignment horizontal="center" vertical="center"/>
    </xf>
    <xf numFmtId="0" fontId="298" fillId="96" borderId="105" xfId="3655" applyFont="1" applyFill="1" applyBorder="1" applyAlignment="1">
      <alignment horizontal="center" vertical="center"/>
    </xf>
    <xf numFmtId="0" fontId="249" fillId="0" borderId="93" xfId="28" applyFont="1" applyBorder="1" applyAlignment="1">
      <alignment horizontal="center" vertical="center"/>
    </xf>
    <xf numFmtId="0" fontId="249" fillId="0" borderId="94" xfId="28" applyFont="1" applyBorder="1" applyAlignment="1">
      <alignment horizontal="center" vertical="center"/>
    </xf>
    <xf numFmtId="0" fontId="279" fillId="0" borderId="95" xfId="28" applyFont="1" applyBorder="1" applyAlignment="1">
      <alignment horizontal="center" vertical="center"/>
    </xf>
    <xf numFmtId="225" fontId="227" fillId="3" borderId="1" xfId="28" applyNumberFormat="1" applyFont="1" applyFill="1" applyBorder="1" applyAlignment="1">
      <alignment horizontal="center" vertical="center"/>
    </xf>
    <xf numFmtId="332" fontId="257" fillId="0" borderId="4" xfId="0" applyNumberFormat="1" applyFont="1" applyFill="1" applyBorder="1" applyAlignment="1">
      <alignment horizontal="center" vertical="center" wrapText="1"/>
    </xf>
    <xf numFmtId="332" fontId="257" fillId="0" borderId="5" xfId="0" applyNumberFormat="1" applyFont="1" applyFill="1" applyBorder="1" applyAlignment="1">
      <alignment horizontal="center" vertical="center" wrapText="1"/>
    </xf>
    <xf numFmtId="0" fontId="298" fillId="0" borderId="4" xfId="0" applyFont="1" applyBorder="1" applyAlignment="1">
      <alignment horizontal="center" textRotation="90" wrapText="1"/>
    </xf>
    <xf numFmtId="0" fontId="298" fillId="0" borderId="5" xfId="0" applyFont="1" applyBorder="1" applyAlignment="1">
      <alignment horizontal="center" textRotation="90" wrapText="1"/>
    </xf>
    <xf numFmtId="0" fontId="257" fillId="0" borderId="1" xfId="0" applyFont="1" applyFill="1" applyBorder="1" applyAlignment="1">
      <alignment horizontal="center" vertical="center"/>
    </xf>
    <xf numFmtId="0" fontId="297" fillId="0" borderId="87" xfId="28" applyFont="1" applyFill="1" applyBorder="1" applyAlignment="1">
      <alignment horizontal="center" vertical="center" wrapText="1"/>
    </xf>
    <xf numFmtId="0" fontId="297" fillId="0" borderId="15" xfId="28" applyFont="1" applyFill="1" applyBorder="1" applyAlignment="1">
      <alignment horizontal="center" vertical="center" wrapText="1"/>
    </xf>
    <xf numFmtId="0" fontId="297" fillId="0" borderId="88" xfId="28" applyFont="1" applyFill="1" applyBorder="1" applyAlignment="1">
      <alignment horizontal="center" vertical="center" wrapText="1"/>
    </xf>
    <xf numFmtId="0" fontId="255" fillId="0" borderId="5" xfId="28" applyFont="1" applyFill="1" applyBorder="1" applyAlignment="1">
      <alignment horizontal="left" vertical="center"/>
    </xf>
    <xf numFmtId="0" fontId="255" fillId="0" borderId="6" xfId="28" applyFont="1" applyFill="1" applyBorder="1" applyAlignment="1">
      <alignment horizontal="left" vertical="center"/>
    </xf>
    <xf numFmtId="15" fontId="253" fillId="0" borderId="7" xfId="0" applyNumberFormat="1" applyFont="1" applyFill="1" applyBorder="1" applyAlignment="1">
      <alignment horizontal="center"/>
    </xf>
    <xf numFmtId="0" fontId="256" fillId="0" borderId="2" xfId="28" applyFont="1" applyFill="1" applyBorder="1" applyAlignment="1">
      <alignment horizontal="left" vertical="center"/>
    </xf>
    <xf numFmtId="0" fontId="256" fillId="0" borderId="3" xfId="28" applyFont="1" applyFill="1" applyBorder="1" applyAlignment="1">
      <alignment horizontal="left" vertical="center"/>
    </xf>
    <xf numFmtId="15" fontId="252" fillId="0" borderId="7" xfId="0" applyNumberFormat="1" applyFont="1" applyFill="1" applyBorder="1" applyAlignment="1">
      <alignment horizontal="center"/>
    </xf>
    <xf numFmtId="0" fontId="257" fillId="0" borderId="1" xfId="0" applyFont="1" applyFill="1" applyBorder="1" applyAlignment="1">
      <alignment horizontal="center" vertical="center" wrapText="1"/>
    </xf>
    <xf numFmtId="333" fontId="257" fillId="0" borderId="1" xfId="0" applyNumberFormat="1" applyFont="1" applyFill="1" applyBorder="1" applyAlignment="1">
      <alignment horizontal="center" vertical="center"/>
    </xf>
    <xf numFmtId="0" fontId="257" fillId="0" borderId="4" xfId="0" applyFont="1" applyFill="1" applyBorder="1" applyAlignment="1">
      <alignment horizontal="center" vertical="center" wrapText="1"/>
    </xf>
    <xf numFmtId="0" fontId="257" fillId="0" borderId="5" xfId="0" applyFont="1" applyFill="1" applyBorder="1" applyAlignment="1">
      <alignment horizontal="center" vertical="center" wrapText="1"/>
    </xf>
    <xf numFmtId="333" fontId="257" fillId="0" borderId="1" xfId="0" applyNumberFormat="1" applyFont="1" applyFill="1" applyBorder="1" applyAlignment="1">
      <alignment horizontal="center" vertical="center" wrapText="1"/>
    </xf>
    <xf numFmtId="0" fontId="266" fillId="2" borderId="87" xfId="28" applyFont="1" applyFill="1" applyBorder="1" applyAlignment="1">
      <alignment horizontal="center" vertical="top" wrapText="1"/>
    </xf>
    <xf numFmtId="0" fontId="266" fillId="2" borderId="15" xfId="28" applyFont="1" applyFill="1" applyBorder="1" applyAlignment="1">
      <alignment horizontal="center" vertical="top" wrapText="1"/>
    </xf>
    <xf numFmtId="0" fontId="266" fillId="2" borderId="88" xfId="28" applyFont="1" applyFill="1" applyBorder="1" applyAlignment="1">
      <alignment horizontal="center" vertical="top" wrapText="1"/>
    </xf>
    <xf numFmtId="0" fontId="255" fillId="55" borderId="5" xfId="28" applyFont="1" applyFill="1" applyBorder="1" applyAlignment="1">
      <alignment horizontal="left" vertical="center"/>
    </xf>
    <xf numFmtId="0" fontId="255" fillId="55" borderId="6" xfId="28" applyFont="1" applyFill="1" applyBorder="1" applyAlignment="1">
      <alignment horizontal="left" vertical="center"/>
    </xf>
    <xf numFmtId="15" fontId="253" fillId="83" borderId="7" xfId="0" applyNumberFormat="1" applyFont="1" applyFill="1" applyBorder="1" applyAlignment="1">
      <alignment horizontal="center"/>
    </xf>
  </cellXfs>
  <cellStyles count="3656">
    <cellStyle name="-" xfId="44"/>
    <cellStyle name=" 1" xfId="45"/>
    <cellStyle name="&quot;%&quot; Format" xfId="46"/>
    <cellStyle name="&quot;%&quot; Format 2" xfId="47"/>
    <cellStyle name="%" xfId="48"/>
    <cellStyle name="." xfId="49"/>
    <cellStyle name="??" xfId="50"/>
    <cellStyle name="?? [0.00]_laroux" xfId="51"/>
    <cellStyle name="?? [0]_ML_Maintenance_Quo_060628" xfId="52"/>
    <cellStyle name="???? [0.00]_laroux" xfId="53"/>
    <cellStyle name="????_laroux" xfId="54"/>
    <cellStyle name="??_#01 Akaska1" xfId="55"/>
    <cellStyle name="?_x0001__x0017_?°_x0001_ÿÿÿ?ÿÿÿ??" xfId="56"/>
    <cellStyle name="?_x0001__x0017_?°_x0001_ÿÿÿ?ÿÿÿ?? 1" xfId="57"/>
    <cellStyle name="?_x0001__x0017_?°_x0001_ÿÿÿ?ÿÿÿ?? 2" xfId="58"/>
    <cellStyle name="?_x0001__x0017_?°_x0001_ÿÿÿ?ÿÿÿ?? 3" xfId="59"/>
    <cellStyle name="?_x0001__x0017_?°_x0001_ÿÿÿ?ÿÿÿ?? 4" xfId="60"/>
    <cellStyle name="?_x0001__x0017_?°_x0001_ÿÿÿ?ÿÿÿ?? 5" xfId="61"/>
    <cellStyle name="?_x0001__x0017_?°_x0001_ÿÿÿ?ÿÿÿ??_2 BHK" xfId="62"/>
    <cellStyle name="\" xfId="63"/>
    <cellStyle name="_%(SignOnly)" xfId="64"/>
    <cellStyle name="_%(SignSpaceOnly)" xfId="65"/>
    <cellStyle name="_(Type_II)_BOQ  Measurement 24-04-09" xfId="66"/>
    <cellStyle name="_00 REV COMBINED EST-03.04.12---" xfId="67"/>
    <cellStyle name="_05.08.12_BOQ HIAL" xfId="68"/>
    <cellStyle name="_06  E - Pricing Schedule BMS-TMS" xfId="69"/>
    <cellStyle name="_06  E - Pricing Schedule BMS-TMS_2 BHK" xfId="70"/>
    <cellStyle name="_06  E - Pricing Schedule BMS-TMS_5th FLOOR" xfId="71"/>
    <cellStyle name="_06  E - Pricing Schedule BMS-TMS_ALL WORK" xfId="72"/>
    <cellStyle name="_06  E - Pricing Schedule BMS-TMS_ARCH" xfId="73"/>
    <cellStyle name="_06  E - Pricing Schedule BMS-TMS_ARCH-GATE" xfId="74"/>
    <cellStyle name="_06  E - Pricing Schedule BMS-TMS_ARCH-Office" xfId="75"/>
    <cellStyle name="_06  E - Pricing Schedule BMS-TMS_Assumption" xfId="76"/>
    <cellStyle name="_06  E - Pricing Schedule BMS-TMS_BLK-EST-BUILDING 1 - DLF MUMBAI MILLS-13-10-10" xfId="77"/>
    <cellStyle name="_06  E - Pricing Schedule BMS-TMS_BLOCK EST - BASEMENT" xfId="78"/>
    <cellStyle name="_06  E - Pricing Schedule BMS-TMS_BLOCK EST - BUILDING 1" xfId="79"/>
    <cellStyle name="_06  E - Pricing Schedule BMS-TMS_BLOCK EST - BUILDING 2-TO STERLING" xfId="80"/>
    <cellStyle name="_06  E - Pricing Schedule BMS-TMS_BLOCK EST - BUILDING 3" xfId="81"/>
    <cellStyle name="_06  E - Pricing Schedule BMS-TMS_BLOCK EST - PODIUM -DLF" xfId="82"/>
    <cellStyle name="_06  E - Pricing Schedule BMS-TMS_BLOCK EST - PODIUM -MCGM" xfId="83"/>
    <cellStyle name="_06  E - Pricing Schedule BMS-TMS_BOQ" xfId="84"/>
    <cellStyle name="_06  E - Pricing Schedule BMS-TMS_BOQ_1" xfId="85"/>
    <cellStyle name="_06  E - Pricing Schedule BMS-TMS_BOQ_1_Assumption" xfId="86"/>
    <cellStyle name="_06  E - Pricing Schedule BMS-TMS_BOQ_1_RESI. FIN BOQ - D18" xfId="87"/>
    <cellStyle name="_06  E - Pricing Schedule BMS-TMS_BOQ_2" xfId="88"/>
    <cellStyle name="_06  E - Pricing Schedule BMS-TMS_BOQ_2 BHK" xfId="89"/>
    <cellStyle name="_06  E - Pricing Schedule BMS-TMS_BOQ_2_RA-MKT" xfId="90"/>
    <cellStyle name="_06  E - Pricing Schedule BMS-TMS_BOQ_5th FLOOR" xfId="91"/>
    <cellStyle name="_06  E - Pricing Schedule BMS-TMS_BOQ_ALL WORK" xfId="92"/>
    <cellStyle name="_06  E - Pricing Schedule BMS-TMS_BOQ_ARCH-Office" xfId="93"/>
    <cellStyle name="_06  E - Pricing Schedule BMS-TMS_BOQ_Assumption" xfId="94"/>
    <cellStyle name="_06  E - Pricing Schedule BMS-TMS_BOQ_BOQ" xfId="95"/>
    <cellStyle name="_06  E - Pricing Schedule BMS-TMS_BOQ_BOQ-SUMMARY" xfId="96"/>
    <cellStyle name="_06  E - Pricing Schedule BMS-TMS_BOQ_CIVIL FINISHES-QC1-BOQ" xfId="97"/>
    <cellStyle name="_06  E - Pricing Schedule BMS-TMS_BOQ_Copy of Copy of MEAS SHEET OF- ARCH-SHIKHA" xfId="98"/>
    <cellStyle name="_06  E - Pricing Schedule BMS-TMS_BOQ_Copy of MEAS SHEET OF- ARCH-kajal.." xfId="99"/>
    <cellStyle name="_06  E - Pricing Schedule BMS-TMS_BOQ_Copy of MEAS SHEET OF- ARCH-SK" xfId="100"/>
    <cellStyle name="_06  E - Pricing Schedule BMS-TMS_BOQ_DRAFT BOQ " xfId="101"/>
    <cellStyle name="_06  E - Pricing Schedule BMS-TMS_BOQ_DRAFT BOQ-STRL CIVIL &amp; FINISHING WORK-BLOCK D18-25.11.11" xfId="102"/>
    <cellStyle name="_06  E - Pricing Schedule BMS-TMS_BOQ_DRAFT-EST-CIVIL-05.11.11" xfId="103"/>
    <cellStyle name="_06  E - Pricing Schedule BMS-TMS_BOQ_Final BOQ-SEMINAR HALL" xfId="104"/>
    <cellStyle name="_06  E - Pricing Schedule BMS-TMS_BOQ_FINAL MEAS SHEET OF-ARCHI-MDP HOSTEL -BL -" xfId="105"/>
    <cellStyle name="_06  E - Pricing Schedule BMS-TMS_BOQ_landscape - nsg" xfId="106"/>
    <cellStyle name="_06  E - Pricing Schedule BMS-TMS_BOQ_MBA COLLAGE-CCBA ARCH" xfId="107"/>
    <cellStyle name="_06  E - Pricing Schedule BMS-TMS_BOQ_MEAS SHEET OF- ARCH - Lower Ground floor" xfId="108"/>
    <cellStyle name="_06  E - Pricing Schedule BMS-TMS_BOQ_MEAS SHEET OF- ARCH- Chaitali" xfId="109"/>
    <cellStyle name="_06  E - Pricing Schedule BMS-TMS_BOQ_MEAS SHEET OF- ARCH-25-12-2010-heena...." xfId="110"/>
    <cellStyle name="_06  E - Pricing Schedule BMS-TMS_BOQ_MEAS SHEET OF- ARCH-ANKITA " xfId="111"/>
    <cellStyle name="_06  E - Pricing Schedule BMS-TMS_BOQ_MEAS SHEET OF- ARCH-Ankita-19.10.2011 - Final-CHECK" xfId="112"/>
    <cellStyle name="_06  E - Pricing Schedule BMS-TMS_BOQ_MEAS SHEET OF- ARCH-kajal.." xfId="113"/>
    <cellStyle name="_06  E - Pricing Schedule BMS-TMS_BOQ_MEAS SHEET OF- ARCH-MP" xfId="114"/>
    <cellStyle name="_06  E - Pricing Schedule BMS-TMS_BOQ_MEAS SHEET OF- ARCH-priyanka." xfId="115"/>
    <cellStyle name="_06  E - Pricing Schedule BMS-TMS_BOQ_MEAS SHEET OF BLOCK - C- ALL - MP -CHK" xfId="116"/>
    <cellStyle name="_06  E - Pricing Schedule BMS-TMS_BOQ_MEAS SHEET OF FLOORING 08-07-2011-Mitali" xfId="117"/>
    <cellStyle name="_06  E - Pricing Schedule BMS-TMS_BOQ_MEAS SHEET OF Joinary Block C -- VK" xfId="118"/>
    <cellStyle name="_06  E - Pricing Schedule BMS-TMS_BOQ_MEAS SHEET OF Masonary 08-07-11 - Ankita" xfId="119"/>
    <cellStyle name="_06  E - Pricing Schedule BMS-TMS_BOQ_MEAS SHEET OF- Mitali" xfId="120"/>
    <cellStyle name="_06  E - Pricing Schedule BMS-TMS_BOQ_MEAS SHEET OF RCC - 05-05-12 - VK" xfId="121"/>
    <cellStyle name="_06  E - Pricing Schedule BMS-TMS_BOQ_MEAS SHEET OF RCC CLASS ROOM 1-PREKSHA-16.3.2012" xfId="122"/>
    <cellStyle name="_06  E - Pricing Schedule BMS-TMS_BOQ_MEAS SHEET OF RCC CLASS ROOM 2-PREKSHA-16.3.2012" xfId="123"/>
    <cellStyle name="_06  E - Pricing Schedule BMS-TMS_BOQ_MEAS SHEET OF RCC FOR Admin - 19-03-12 - ANKITA" xfId="124"/>
    <cellStyle name="_06  E - Pricing Schedule BMS-TMS_BOQ_MEAS SHEET OF RCC FOR LAB-1 - 16-03-12 - ANKITA" xfId="125"/>
    <cellStyle name="_06  E - Pricing Schedule BMS-TMS_BOQ_MEAS SHEET OF RCC FOR LAB-2 - 16-03-12 - ANKITA" xfId="126"/>
    <cellStyle name="_06  E - Pricing Schedule BMS-TMS_BOQ_MEAS SHEET OF RCC FOR MDP HOSTEL - 06.06.11-JRP" xfId="127"/>
    <cellStyle name="_06  E - Pricing Schedule BMS-TMS_BOQ_MEAS SHEET OF RCC FOR Seminar block - 16-03-12 - ANKITA" xfId="128"/>
    <cellStyle name="_06  E - Pricing Schedule BMS-TMS_BOQ_MEAS SHEET OF RCC FOR Toilet - 19-03-12 - ANKITA" xfId="129"/>
    <cellStyle name="_06  E - Pricing Schedule BMS-TMS_BOQ_MEAS SHEET OF RCC FOR Watertank - 26-03-12 - ANKITA" xfId="130"/>
    <cellStyle name="_06  E - Pricing Schedule BMS-TMS_BOQ_MEAS SHEET OF RCC FOR Workshop - 26-03-12 - ANKITA" xfId="131"/>
    <cellStyle name="_06  E - Pricing Schedule BMS-TMS_BOQ_MEAS SHEET OF STRL CIVIL BLOCK D18-18.11.11-SJU.xls - CHK" xfId="132"/>
    <cellStyle name="_06  E - Pricing Schedule BMS-TMS_BOQ_MEAS SHEET OF STRUCTURAL WORK" xfId="133"/>
    <cellStyle name="_06  E - Pricing Schedule BMS-TMS_BOQ_MEAS SHEET OF-R.C.C. (M) (28-01-12)(Foundation) - chk" xfId="134"/>
    <cellStyle name="_06  E - Pricing Schedule BMS-TMS_BOQ_Meas Sheet of-stru-STAFF QUARTER-kajal" xfId="135"/>
    <cellStyle name="_06  E - Pricing Schedule BMS-TMS_BOQ_Meas-sheet of Arch-workshop avdhi" xfId="136"/>
    <cellStyle name="_06  E - Pricing Schedule BMS-TMS_BOQ_Measurement" xfId="137"/>
    <cellStyle name="_06  E - Pricing Schedule BMS-TMS_BOQ_MEASUREMENT SHEET FINAL - SHINU" xfId="138"/>
    <cellStyle name="_06  E - Pricing Schedule BMS-TMS_BOQ_MEASUREMENT SHEET FINNAL - SHINU" xfId="139"/>
    <cellStyle name="_06  E - Pricing Schedule BMS-TMS_BOQ_MEASUREMENT SHEET -Plaster At Guest House- Chaitali" xfId="140"/>
    <cellStyle name="_06  E - Pricing Schedule BMS-TMS_BOQ_MEASURMENT-CIVIL-R1 shinu" xfId="141"/>
    <cellStyle name="_06  E - Pricing Schedule BMS-TMS_BOQ_Miscellaneous work" xfId="142"/>
    <cellStyle name="_06  E - Pricing Schedule BMS-TMS_BOQ_Partition" xfId="143"/>
    <cellStyle name="_06  E - Pricing Schedule BMS-TMS_BOQ_RESI. FIN BOQ - D18" xfId="144"/>
    <cellStyle name="_06  E - Pricing Schedule BMS-TMS_BOQ_REVISED ESTIMATE -29.09.11" xfId="145"/>
    <cellStyle name="_06  E - Pricing Schedule BMS-TMS_BOQ_Sez_Boq_Superstructure part-FORMATED" xfId="146"/>
    <cellStyle name="_06  E - Pricing Schedule BMS-TMS_BOQ_Sez_Boq_Superstructure part-FORMATED 2" xfId="147"/>
    <cellStyle name="_06  E - Pricing Schedule BMS-TMS_BOQ_Sez_Boq_Superstructure part-FORMATED_ESTIMATE-07.11.11" xfId="148"/>
    <cellStyle name="_06  E - Pricing Schedule BMS-TMS_BOQ_Sez_Boq_Superstructure part-FORMATED_ESTIMATE-07.11.11 2" xfId="149"/>
    <cellStyle name="_06  E - Pricing Schedule BMS-TMS_BOQ_Steel truss-Dharmendra" xfId="150"/>
    <cellStyle name="_06  E - Pricing Schedule BMS-TMS_BOQ-STORM WATER DRAIN -20.03.12" xfId="151"/>
    <cellStyle name="_06  E - Pricing Schedule BMS-TMS_BOQ-SUMMARY" xfId="152"/>
    <cellStyle name="_06  E - Pricing Schedule BMS-TMS_CIVIL FINISHES-QC1-BOQ" xfId="153"/>
    <cellStyle name="_06  E - Pricing Schedule BMS-TMS_Copy of Copy of MEAS SHEET OF- ARCH-SHIKHA" xfId="154"/>
    <cellStyle name="_06  E - Pricing Schedule BMS-TMS_Copy of MEAS SHEET OF- ARCH-kajal.." xfId="155"/>
    <cellStyle name="_06  E - Pricing Schedule BMS-TMS_Copy of MEAS SHEET OF- ARCH-SK" xfId="156"/>
    <cellStyle name="_06  E - Pricing Schedule BMS-TMS_DRAFT BOQ " xfId="157"/>
    <cellStyle name="_06  E - Pricing Schedule BMS-TMS_DRAFT BOQ _1" xfId="158"/>
    <cellStyle name="_06  E - Pricing Schedule BMS-TMS_DRAFT BOQ-10.11.11" xfId="159"/>
    <cellStyle name="_06  E - Pricing Schedule BMS-TMS_DRAFT BOQ-COMM-FIN-31.05.11-REV" xfId="160"/>
    <cellStyle name="_06  E - Pricing Schedule BMS-TMS_DRAFT BOQ-ROAD WORK-13.03.12-TO AHC" xfId="161"/>
    <cellStyle name="_06  E - Pricing Schedule BMS-TMS_DRAFT BOQ-STRL CIVIL &amp; FINISHING WORK-BLOCK D18-25.11.11" xfId="162"/>
    <cellStyle name="_06  E - Pricing Schedule BMS-TMS_DRAFT BOQ-STRUCTURAL CIVIL WORK-18.06.12" xfId="163"/>
    <cellStyle name="_06  E - Pricing Schedule BMS-TMS_DRAFT-EST-CIVIL-05.11.11" xfId="164"/>
    <cellStyle name="_06  E - Pricing Schedule BMS-TMS_EST-CLUB" xfId="165"/>
    <cellStyle name="_06  E - Pricing Schedule BMS-TMS_ESTIMATE" xfId="166"/>
    <cellStyle name="_06  E - Pricing Schedule BMS-TMS_ESTIMATE-15.03.11-OPTION-2" xfId="167"/>
    <cellStyle name="_06  E - Pricing Schedule BMS-TMS_ESTIMATE-FRONT BOUNDARY WALL" xfId="168"/>
    <cellStyle name="_06  E - Pricing Schedule BMS-TMS_ESTIMATE-OPTION-2" xfId="169"/>
    <cellStyle name="_06  E - Pricing Schedule BMS-TMS_ESTIMATE-VILLA TYPE A-B-C-05-07-2010-As per ABD" xfId="170"/>
    <cellStyle name="_06  E - Pricing Schedule BMS-TMS_EST-ROAD WORK-02.09.11-TO PROZONE" xfId="171"/>
    <cellStyle name="_06  E - Pricing Schedule BMS-TMS_EST-SAMPLE FLAT" xfId="172"/>
    <cellStyle name="_06  E - Pricing Schedule BMS-TMS_Final BOQ-SEMINAR HALL" xfId="173"/>
    <cellStyle name="_06  E - Pricing Schedule BMS-TMS_FINAL MEAS SHEET OF-ARCHI-MDP HOSTEL -BL -" xfId="174"/>
    <cellStyle name="_06  E - Pricing Schedule BMS-TMS_FINAL-DE-RGIPT-12.02.2010-WITH RA MKT-1 April-A-Dt.27-01-11" xfId="175"/>
    <cellStyle name="_06  E - Pricing Schedule BMS-TMS_landscape - nsg" xfId="176"/>
    <cellStyle name="_06  E - Pricing Schedule BMS-TMS_MBA COLLAGE-CCBA ARCH" xfId="177"/>
    <cellStyle name="_06  E - Pricing Schedule BMS-TMS_Meas of arch &amp; rcc" xfId="178"/>
    <cellStyle name="_06  E - Pricing Schedule BMS-TMS_MEAS SHEET -- JOINARY" xfId="179"/>
    <cellStyle name="_06  E - Pricing Schedule BMS-TMS_MEAS SHEET OF- ARCH - Lower Ground floor" xfId="180"/>
    <cellStyle name="_06  E - Pricing Schedule BMS-TMS_MEAS SHEET OF ARCH -24-9-2011" xfId="181"/>
    <cellStyle name="_06  E - Pricing Schedule BMS-TMS_MEAS SHEET OF- ARCH- Chaitali" xfId="182"/>
    <cellStyle name="_06  E - Pricing Schedule BMS-TMS_MEAS SHEET OF- ARCH-25-12-2010-heena...." xfId="183"/>
    <cellStyle name="_06  E - Pricing Schedule BMS-TMS_MEAS SHEET OF- ARCH-ANKITA " xfId="184"/>
    <cellStyle name="_06  E - Pricing Schedule BMS-TMS_MEAS SHEET OF- ARCH-Ankita-19.10.2011 - Final-CHECK" xfId="185"/>
    <cellStyle name="_06  E - Pricing Schedule BMS-TMS_MEAS SHEET OF- ARCH-kajal.." xfId="186"/>
    <cellStyle name="_06  E - Pricing Schedule BMS-TMS_MEAS SHEET OF- ARCH-MP" xfId="187"/>
    <cellStyle name="_06  E - Pricing Schedule BMS-TMS_MEAS SHEET OF- ARCH-priyanka." xfId="188"/>
    <cellStyle name="_06  E - Pricing Schedule BMS-TMS_MEAS SHEET OF BLOCK - C- ALL - MP -CHK" xfId="189"/>
    <cellStyle name="_06  E - Pricing Schedule BMS-TMS_MEAS SHEET OF FLOORING 08-07-2011-Mitali" xfId="190"/>
    <cellStyle name="_06  E - Pricing Schedule BMS-TMS_MEAS SHEET OF- Flooring-(06-8-11)-Neha" xfId="191"/>
    <cellStyle name="_06  E - Pricing Schedule BMS-TMS_MEAS SHEET OF Joinary Block C -- VK" xfId="192"/>
    <cellStyle name="_06  E - Pricing Schedule BMS-TMS_MEAS SHEET OF Masonary 08-07-11 - Ankita" xfId="193"/>
    <cellStyle name="_06  E - Pricing Schedule BMS-TMS_MEAS SHEET OF- Mitali" xfId="194"/>
    <cellStyle name="_06  E - Pricing Schedule BMS-TMS_MEAS SHEET OF RCC - 05-05-12 - VK" xfId="195"/>
    <cellStyle name="_06  E - Pricing Schedule BMS-TMS_MEAS SHEET OF RCC CLASS ROOM 1-PREKSHA-16.3.2012" xfId="196"/>
    <cellStyle name="_06  E - Pricing Schedule BMS-TMS_MEAS SHEET OF RCC CLASS ROOM 2-PREKSHA-16.3.2012" xfId="197"/>
    <cellStyle name="_06  E - Pricing Schedule BMS-TMS_MEAS SHEET OF RCC FOR Admin - 19-03-12 - ANKITA" xfId="198"/>
    <cellStyle name="_06  E - Pricing Schedule BMS-TMS_MEAS SHEET OF RCC FOR LAB-1 - 16-03-12 - ANKITA" xfId="199"/>
    <cellStyle name="_06  E - Pricing Schedule BMS-TMS_MEAS SHEET OF RCC FOR LAB-2 - 16-03-12 - ANKITA" xfId="200"/>
    <cellStyle name="_06  E - Pricing Schedule BMS-TMS_MEAS SHEET OF RCC FOR MDP HOSTEL - 06.06.11-JRP" xfId="201"/>
    <cellStyle name="_06  E - Pricing Schedule BMS-TMS_MEAS SHEET OF RCC FOR Seminar block - 16-03-12 - ANKITA" xfId="202"/>
    <cellStyle name="_06  E - Pricing Schedule BMS-TMS_MEAS SHEET OF RCC FOR Toilet - 19-03-12 - ANKITA" xfId="203"/>
    <cellStyle name="_06  E - Pricing Schedule BMS-TMS_MEAS SHEET OF RCC FOR Watertank - 26-03-12 - ANKITA" xfId="204"/>
    <cellStyle name="_06  E - Pricing Schedule BMS-TMS_MEAS SHEET OF RCC FOR Workshop - 26-03-12 - ANKITA" xfId="205"/>
    <cellStyle name="_06  E - Pricing Schedule BMS-TMS_MEAS SHEET Of SIX FLOOR WOODEN FLOORING- PREKSHA-RE WRITE FOR FLOORING" xfId="206"/>
    <cellStyle name="_06  E - Pricing Schedule BMS-TMS_MEAS SHEET OF STRL CIVIL BLOCK D18-18.11.11-SJU.xls - CHK" xfId="207"/>
    <cellStyle name="_06  E - Pricing Schedule BMS-TMS_MEAS SHEET OF STRUCTURAL WORK" xfId="208"/>
    <cellStyle name="_06  E - Pricing Schedule BMS-TMS_MEAS SHEET OF TOWER-2 - ARCH-Residental-(24-05-12)(N)" xfId="209"/>
    <cellStyle name="_06  E - Pricing Schedule BMS-TMS_MEAS SHEET OF TOWER-3 - ARCH-Residental- 7-6-2012-MP" xfId="210"/>
    <cellStyle name="_06  E - Pricing Schedule BMS-TMS_MEAS SHEET OF-MITTAL-KOREGOAN-PARK (Joinery)-(12-07-11)(M)" xfId="211"/>
    <cellStyle name="_06  E - Pricing Schedule BMS-TMS_MEAS SHEET OF-R.C.C. (M) (28-01-12)(Foundation) - chk" xfId="212"/>
    <cellStyle name="_06  E - Pricing Schedule BMS-TMS_Meas Sheet of-stru-STAFF QUARTER-kajal" xfId="213"/>
    <cellStyle name="_06  E - Pricing Schedule BMS-TMS_MEAS SHEET OF-T-1-07-06-2012" xfId="214"/>
    <cellStyle name="_06  E - Pricing Schedule BMS-TMS_Meas. Sheet Of R.C.C. (07-06-12)(M.)(Tower - 2)" xfId="215"/>
    <cellStyle name="_06  E - Pricing Schedule BMS-TMS_Meas. Sheet Of R.C.C. (07-06-12)(M.)(Tower- 1)" xfId="216"/>
    <cellStyle name="_06  E - Pricing Schedule BMS-TMS_Meas. Sheet Of R.C.C. (13-06-12)(M)(basement)" xfId="217"/>
    <cellStyle name="_06  E - Pricing Schedule BMS-TMS_Meas. Sheet Of R.C.C.Tower 3-(9.06.12)-N" xfId="218"/>
    <cellStyle name="_06  E - Pricing Schedule BMS-TMS_Meas. Sheet Of R.C.C-22.06.12-Tower 3" xfId="219"/>
    <cellStyle name="_06  E - Pricing Schedule BMS-TMS_MEAS.-OR'S (G+1) (3 QTRS.)" xfId="220"/>
    <cellStyle name="_06  E - Pricing Schedule BMS-TMS_MEAS.-OR'S (G+2) (6 QTRS.)" xfId="221"/>
    <cellStyle name="_06  E - Pricing Schedule BMS-TMS_MEAS-BOYS HOSTEL-RCC" xfId="222"/>
    <cellStyle name="_06  E - Pricing Schedule BMS-TMS_MEAS-FACULTY HOUSE-16.04.10-A" xfId="223"/>
    <cellStyle name="_06  E - Pricing Schedule BMS-TMS_MEAS-masonry-Ankita" xfId="224"/>
    <cellStyle name="_06  E - Pricing Schedule BMS-TMS_MEAS-RAJIV GANDHI PLAZA (2)" xfId="225"/>
    <cellStyle name="_06  E - Pricing Schedule BMS-TMS_MEAS-RCC-(Block-A) - Chk.Nv(21.07.11)" xfId="226"/>
    <cellStyle name="_06  E - Pricing Schedule BMS-TMS_MEAS-RCC...25-5-11-CSR" xfId="227"/>
    <cellStyle name="_06  E - Pricing Schedule BMS-TMS_MEAS-RCC-03.09.11-B" xfId="228"/>
    <cellStyle name="_06  E - Pricing Schedule BMS-TMS_MEAS-RCC-25.03.10-SSU" xfId="229"/>
    <cellStyle name="_06  E - Pricing Schedule BMS-TMS_MEAS-RCC-5-7-11" xfId="230"/>
    <cellStyle name="_06  E - Pricing Schedule BMS-TMS_MEASS SHEET OF PARTITION WALL -5 TH FLOORmitali-RE WRITE FOR FLOORING" xfId="231"/>
    <cellStyle name="_06  E - Pricing Schedule BMS-TMS_Meas-sheet of Arch-workshop avdhi" xfId="232"/>
    <cellStyle name="_06  E - Pricing Schedule BMS-TMS_MEAS-SHOPING-17.04.10" xfId="233"/>
    <cellStyle name="_06  E - Pricing Schedule BMS-TMS_Measurement" xfId="234"/>
    <cellStyle name="_06  E - Pricing Schedule BMS-TMS_MEASUREMENT SHEET - ARCH - Priyanka" xfId="235"/>
    <cellStyle name="_06  E - Pricing Schedule BMS-TMS_MEASUREMENT SHEET - ARCH-05.04.10" xfId="236"/>
    <cellStyle name="_06  E - Pricing Schedule BMS-TMS_MEASUREMENT SHEET FINAL - SHINU" xfId="237"/>
    <cellStyle name="_06  E - Pricing Schedule BMS-TMS_MEASUREMENT SHEET FINNAL - SHINU" xfId="238"/>
    <cellStyle name="_06  E - Pricing Schedule BMS-TMS_MEASUREMENT SHEET -Plaster At Guest House- Chaitali" xfId="239"/>
    <cellStyle name="_06  E - Pricing Schedule BMS-TMS_Measurement_BOQ" xfId="240"/>
    <cellStyle name="_06  E - Pricing Schedule BMS-TMS_Measurement_MEAS SHEET -- JOINARY" xfId="241"/>
    <cellStyle name="_06  E - Pricing Schedule BMS-TMS_MEASUREMENT-EXTERNAL DEVL" xfId="242"/>
    <cellStyle name="_06  E - Pricing Schedule BMS-TMS_MEASURMENT-CIVIL-R1 shinu" xfId="243"/>
    <cellStyle name="_06  E - Pricing Schedule BMS-TMS_Miscellaneous work" xfId="244"/>
    <cellStyle name="_06  E - Pricing Schedule BMS-TMS_painting" xfId="245"/>
    <cellStyle name="_06  E - Pricing Schedule BMS-TMS_Partition" xfId="246"/>
    <cellStyle name="_06  E - Pricing Schedule BMS-TMS_PRELIMINARY TOTAL ESTIMATE - R1" xfId="247"/>
    <cellStyle name="_06  E - Pricing Schedule BMS-TMS_PRELIMINARY TOTAL ESTIMATE - R2-11.01.11" xfId="248"/>
    <cellStyle name="_06  E - Pricing Schedule BMS-TMS_RA-MKT" xfId="249"/>
    <cellStyle name="_06  E - Pricing Schedule BMS-TMS_RCC -MAJOR- G+1)" xfId="250"/>
    <cellStyle name="_06  E - Pricing Schedule BMS-TMS_RCC -MAJOR- G+1)_2 BHK" xfId="251"/>
    <cellStyle name="_06  E - Pricing Schedule BMS-TMS_RCC -MAJOR- G+1)_5th FLOOR" xfId="252"/>
    <cellStyle name="_06  E - Pricing Schedule BMS-TMS_RCC -MAJOR- G+1)_ALL WORK" xfId="253"/>
    <cellStyle name="_06  E - Pricing Schedule BMS-TMS_RCC -MAJOR- G+1)_ARCH-Office" xfId="254"/>
    <cellStyle name="_06  E - Pricing Schedule BMS-TMS_RCC -MAJOR- G+1)_ARCH-Office_1" xfId="255"/>
    <cellStyle name="_06  E - Pricing Schedule BMS-TMS_RCC -MAJOR- G+1)_Assumption" xfId="256"/>
    <cellStyle name="_06  E - Pricing Schedule BMS-TMS_RCC -MAJOR- G+1)_BOQ" xfId="257"/>
    <cellStyle name="_06  E - Pricing Schedule BMS-TMS_RCC -MAJOR- G+1)_BOQ_1" xfId="258"/>
    <cellStyle name="_06  E - Pricing Schedule BMS-TMS_RCC -MAJOR- G+1)_BOQ_Assumption" xfId="259"/>
    <cellStyle name="_06  E - Pricing Schedule BMS-TMS_RCC -MAJOR- G+1)_BOQ_RESI. FIN BOQ - D18" xfId="260"/>
    <cellStyle name="_06  E - Pricing Schedule BMS-TMS_RCC -MAJOR- G+1)_BOQ-SUMMARY" xfId="261"/>
    <cellStyle name="_06  E - Pricing Schedule BMS-TMS_RCC -MAJOR- G+1)_CIVIL FINISHES-QC1-BOQ" xfId="262"/>
    <cellStyle name="_06  E - Pricing Schedule BMS-TMS_RCC -MAJOR- G+1)_Copy of Copy of MEAS SHEET OF- ARCH-SHIKHA" xfId="263"/>
    <cellStyle name="_06  E - Pricing Schedule BMS-TMS_RCC -MAJOR- G+1)_Copy of MEAS SHEET OF- ARCH-kajal.." xfId="264"/>
    <cellStyle name="_06  E - Pricing Schedule BMS-TMS_RCC -MAJOR- G+1)_Copy of MEAS SHEET OF- ARCH-SK" xfId="265"/>
    <cellStyle name="_06  E - Pricing Schedule BMS-TMS_RCC -MAJOR- G+1)_DRAFT BOQ " xfId="266"/>
    <cellStyle name="_06  E - Pricing Schedule BMS-TMS_RCC -MAJOR- G+1)_DRAFT BOQ-CIVIL WORK-BLOCK D18-18.11.11" xfId="267"/>
    <cellStyle name="_06  E - Pricing Schedule BMS-TMS_RCC -MAJOR- G+1)_DRAFT BOQ-COMM-FIN-31.05.11-REV" xfId="268"/>
    <cellStyle name="_06  E - Pricing Schedule BMS-TMS_RCC -MAJOR- G+1)_DRAFT BOQ-FINISHES-BLOCK D18-21.11.11" xfId="269"/>
    <cellStyle name="_06  E - Pricing Schedule BMS-TMS_RCC -MAJOR- G+1)_DRAFT BOQ-STRL CIVIL &amp; FINISHING WORK-BLOCK D18-25.11.11" xfId="270"/>
    <cellStyle name="_06  E - Pricing Schedule BMS-TMS_RCC -MAJOR- G+1)_DRAFT-EST-CIVIL-05.11.11" xfId="271"/>
    <cellStyle name="_06  E - Pricing Schedule BMS-TMS_RCC -MAJOR- G+1)_ESTIMATE-15.03.11-OPTION-2" xfId="272"/>
    <cellStyle name="_06  E - Pricing Schedule BMS-TMS_RCC -MAJOR- G+1)_Final BOQ-SEMINAR HALL" xfId="273"/>
    <cellStyle name="_06  E - Pricing Schedule BMS-TMS_RCC -MAJOR- G+1)_FINAL MEAS SHEET OF-ARCHI-MDP HOSTEL -BL -" xfId="274"/>
    <cellStyle name="_06  E - Pricing Schedule BMS-TMS_RCC -MAJOR- G+1)_landscape - nsg" xfId="275"/>
    <cellStyle name="_06  E - Pricing Schedule BMS-TMS_RCC -MAJOR- G+1)_MBA COLLAGE-CCBA ARCH" xfId="276"/>
    <cellStyle name="_06  E - Pricing Schedule BMS-TMS_RCC -MAJOR- G+1)_MEAS SHEET OF- ARCH - Lower Ground floor" xfId="277"/>
    <cellStyle name="_06  E - Pricing Schedule BMS-TMS_RCC -MAJOR- G+1)_MEAS SHEET OF- ARCH- Chaitali" xfId="278"/>
    <cellStyle name="_06  E - Pricing Schedule BMS-TMS_RCC -MAJOR- G+1)_MEAS SHEET OF- ARCH-25-12-2010-heena...." xfId="279"/>
    <cellStyle name="_06  E - Pricing Schedule BMS-TMS_RCC -MAJOR- G+1)_MEAS SHEET OF- ARCH-5th floor-manisha" xfId="280"/>
    <cellStyle name="_06  E - Pricing Schedule BMS-TMS_RCC -MAJOR- G+1)_MEAS SHEET OF- ARCH-ANKITA " xfId="281"/>
    <cellStyle name="_06  E - Pricing Schedule BMS-TMS_RCC -MAJOR- G+1)_MEAS SHEET OF- ARCH-Ankita-19.10.2011 - Final-CHECK" xfId="282"/>
    <cellStyle name="_06  E - Pricing Schedule BMS-TMS_RCC -MAJOR- G+1)_MEAS SHEET OF- ARCH-kajal.." xfId="283"/>
    <cellStyle name="_06  E - Pricing Schedule BMS-TMS_RCC -MAJOR- G+1)_MEAS SHEET OF- ARCH-MP" xfId="284"/>
    <cellStyle name="_06  E - Pricing Schedule BMS-TMS_RCC -MAJOR- G+1)_MEAS SHEET OF- ARCH-priyanka." xfId="285"/>
    <cellStyle name="_06  E - Pricing Schedule BMS-TMS_RCC -MAJOR- G+1)_MEAS SHEET OF BLOCK - C- ALL - MP -CHK" xfId="286"/>
    <cellStyle name="_06  E - Pricing Schedule BMS-TMS_RCC -MAJOR- G+1)_MEAS SHEET OF FLOORING 08-07-2011-Mitali" xfId="287"/>
    <cellStyle name="_06  E - Pricing Schedule BMS-TMS_RCC -MAJOR- G+1)_MEAS SHEET OF Joinary Block C -- VK" xfId="288"/>
    <cellStyle name="_06  E - Pricing Schedule BMS-TMS_RCC -MAJOR- G+1)_MEAS SHEET OF Masonary 08-07-11 - Ankita" xfId="289"/>
    <cellStyle name="_06  E - Pricing Schedule BMS-TMS_RCC -MAJOR- G+1)_MEAS SHEET OF- Mitali" xfId="290"/>
    <cellStyle name="_06  E - Pricing Schedule BMS-TMS_RCC -MAJOR- G+1)_MEAS SHEET OF RCC - 05-05-12 - VK" xfId="291"/>
    <cellStyle name="_06  E - Pricing Schedule BMS-TMS_RCC -MAJOR- G+1)_MEAS SHEET OF RCC CLASS ROOM 1-PREKSHA-16.3.2012" xfId="292"/>
    <cellStyle name="_06  E - Pricing Schedule BMS-TMS_RCC -MAJOR- G+1)_MEAS SHEET OF RCC CLASS ROOM 2-PREKSHA-16.3.2012" xfId="293"/>
    <cellStyle name="_06  E - Pricing Schedule BMS-TMS_RCC -MAJOR- G+1)_MEAS SHEET OF RCC FOR 1.5BHK-19.10.11-JRP" xfId="294"/>
    <cellStyle name="_06  E - Pricing Schedule BMS-TMS_RCC -MAJOR- G+1)_MEAS SHEET OF RCC FOR 2BHK-19.10.11- VK.- CHK xls" xfId="295"/>
    <cellStyle name="_06  E - Pricing Schedule BMS-TMS_RCC -MAJOR- G+1)_MEAS SHEET OF RCC FOR 3BHK-21.10.11-Cha chk preksha" xfId="296"/>
    <cellStyle name="_06  E - Pricing Schedule BMS-TMS_RCC -MAJOR- G+1)_MEAS SHEET OF RCC FOR Admin - 19-03-12 - ANKITA" xfId="297"/>
    <cellStyle name="_06  E - Pricing Schedule BMS-TMS_RCC -MAJOR- G+1)_MEAS SHEET OF RCC FOR LAB-1 - 16-03-12 - ANKITA" xfId="298"/>
    <cellStyle name="_06  E - Pricing Schedule BMS-TMS_RCC -MAJOR- G+1)_MEAS SHEET OF RCC FOR LAB-2 - 16-03-12 - ANKITA" xfId="299"/>
    <cellStyle name="_06  E - Pricing Schedule BMS-TMS_RCC -MAJOR- G+1)_MEAS SHEET OF RCC FOR MDP HOSTEL - 06.06.11-JRP" xfId="300"/>
    <cellStyle name="_06  E - Pricing Schedule BMS-TMS_RCC -MAJOR- G+1)_MEAS SHEET OF RCC FOR Seminar block - 16-03-12 - ANKITA" xfId="301"/>
    <cellStyle name="_06  E - Pricing Schedule BMS-TMS_RCC -MAJOR- G+1)_MEAS SHEET OF RCC FOR Toilet - 19-03-12 - ANKITA" xfId="302"/>
    <cellStyle name="_06  E - Pricing Schedule BMS-TMS_RCC -MAJOR- G+1)_MEAS SHEET OF RCC FOR Watertank - 26-03-12 - ANKITA" xfId="303"/>
    <cellStyle name="_06  E - Pricing Schedule BMS-TMS_RCC -MAJOR- G+1)_MEAS SHEET OF RCC FOR Workshop - 26-03-12 - ANKITA" xfId="304"/>
    <cellStyle name="_06  E - Pricing Schedule BMS-TMS_RCC -MAJOR- G+1)_MEAS SHEET OF STRL CIVIL BLOCK D18-18.11.11-SJU.xls - CHK" xfId="305"/>
    <cellStyle name="_06  E - Pricing Schedule BMS-TMS_RCC -MAJOR- G+1)_MEAS SHEET OF STRUCTURAL WORK" xfId="306"/>
    <cellStyle name="_06  E - Pricing Schedule BMS-TMS_RCC -MAJOR- G+1)_MEAS SHEET OF-R.C.C. (M) (28-01-12)(Foundation) - chk" xfId="307"/>
    <cellStyle name="_06  E - Pricing Schedule BMS-TMS_RCC -MAJOR- G+1)_Meas Sheet of-stru-STAFF QUARTER-kajal" xfId="308"/>
    <cellStyle name="_06  E - Pricing Schedule BMS-TMS_RCC -MAJOR- G+1)_Meas-sheet of Arch-workshop avdhi" xfId="309"/>
    <cellStyle name="_06  E - Pricing Schedule BMS-TMS_RCC -MAJOR- G+1)_Measurement" xfId="310"/>
    <cellStyle name="_06  E - Pricing Schedule BMS-TMS_RCC -MAJOR- G+1)_MEASUREMENT SHEET FINAL - SHINU" xfId="311"/>
    <cellStyle name="_06  E - Pricing Schedule BMS-TMS_RCC -MAJOR- G+1)_MEASUREMENT SHEET FINNAL - SHINU" xfId="312"/>
    <cellStyle name="_06  E - Pricing Schedule BMS-TMS_RCC -MAJOR- G+1)_MEASUREMENT SHEET -Plaster At Guest House- Chaitali" xfId="313"/>
    <cellStyle name="_06  E - Pricing Schedule BMS-TMS_RCC -MAJOR- G+1)_MEASURMENT-CIVIL-R1 shinu" xfId="314"/>
    <cellStyle name="_06  E - Pricing Schedule BMS-TMS_RCC -MAJOR- G+1)_Miscellaneous work" xfId="315"/>
    <cellStyle name="_06  E - Pricing Schedule BMS-TMS_RCC -MAJOR- G+1)_painting" xfId="316"/>
    <cellStyle name="_06  E - Pricing Schedule BMS-TMS_RCC -MAJOR- G+1)_Partition" xfId="317"/>
    <cellStyle name="_06  E - Pricing Schedule BMS-TMS_RCC -MAJOR- G+1)_RESI. FIN BOQ - D18" xfId="318"/>
    <cellStyle name="_06  E - Pricing Schedule BMS-TMS_RCC -MAJOR- G+1)_REV-BOQ-MAIN HOSPITA-AS PER AMENDMENT 3-30.08.10-TO UNITY" xfId="319"/>
    <cellStyle name="_06  E - Pricing Schedule BMS-TMS_RCC -MAJOR- G+1)_REV-BOQ-MAIN HOSPITA-AS PER AMENDMENT 6-01.09.10-TO UNITY" xfId="320"/>
    <cellStyle name="_06  E - Pricing Schedule BMS-TMS_RCC -MAJOR- G+1)_REVISED ESTIMATE -29.09.11" xfId="321"/>
    <cellStyle name="_06  E - Pricing Schedule BMS-TMS_RCC -MAJOR- G+1)_Sez_Boq_Superstructure part-FORMATED" xfId="322"/>
    <cellStyle name="_06  E - Pricing Schedule BMS-TMS_RCC -MAJOR- G+1)_Sez_Boq_Superstructure part-FORMATED 2" xfId="323"/>
    <cellStyle name="_06  E - Pricing Schedule BMS-TMS_RCC -MAJOR- G+1)_Sez_Boq_Superstructure part-FORMATED_ESTIMATE-07.11.11" xfId="324"/>
    <cellStyle name="_06  E - Pricing Schedule BMS-TMS_RCC -MAJOR- G+1)_Sez_Boq_Superstructure part-FORMATED_ESTIMATE-07.11.11 2" xfId="325"/>
    <cellStyle name="_06  E - Pricing Schedule BMS-TMS_RCC -MAJOR- G+1)_Steel truss-Dharmendra" xfId="326"/>
    <cellStyle name="_06  E - Pricing Schedule BMS-TMS_RESI. FIN BOQ - D18" xfId="327"/>
    <cellStyle name="_06  E - Pricing Schedule BMS-TMS_REV BOQ-COMPOUND WALL-15.03.12" xfId="328"/>
    <cellStyle name="_06  E - Pricing Schedule BMS-TMS_REV PRELIMINARY ESTIMATE-FIRE STATION-07-07-11" xfId="329"/>
    <cellStyle name="_06  E - Pricing Schedule BMS-TMS_REVISED ESTIMATE -14.06.11" xfId="330"/>
    <cellStyle name="_06  E - Pricing Schedule BMS-TMS_REVISED ESTIMATE -29.09.11" xfId="331"/>
    <cellStyle name="_06  E - Pricing Schedule BMS-TMS_REV-PRELIMINARY ESTIMATE-BPO BUILDING" xfId="332"/>
    <cellStyle name="_06  E - Pricing Schedule BMS-TMS_Sez_Boq_Superstructure part-FORMATED" xfId="333"/>
    <cellStyle name="_06  E - Pricing Schedule BMS-TMS_Sez_Boq_Superstructure part-FORMATED 2" xfId="334"/>
    <cellStyle name="_06  E - Pricing Schedule BMS-TMS_Sez_Boq_Superstructure part-FORMATED_ESTIMATE-07.11.11" xfId="335"/>
    <cellStyle name="_06  E - Pricing Schedule BMS-TMS_Sez_Boq_Superstructure part-FORMATED_ESTIMATE-07.11.11 2" xfId="336"/>
    <cellStyle name="_06  E - Pricing Schedule BMS-TMS_Steel truss-Dharmendra" xfId="337"/>
    <cellStyle name="_06  E - Pricing Schedule BMS-TMS_T. EST-BASMENT" xfId="338"/>
    <cellStyle name="_15.02.11 Internal Work _BOQ_R0-FORMATED" xfId="339"/>
    <cellStyle name="_15.02.11 Internal Work _BOQ_R0-FORMATED_Sez_Boq_Superstructure part-FORMATED" xfId="340"/>
    <cellStyle name="_6141 Adhiraj  Summary 08-03-10" xfId="341"/>
    <cellStyle name="_6227 BOQ &amp; MEA.-13.03.09" xfId="342"/>
    <cellStyle name="_6333tower1W.P.cal" xfId="343"/>
    <cellStyle name="_6340_ BOQ_MEA. 09.03.09" xfId="344"/>
    <cellStyle name="_6340_ BOQ_MEA. 09.03.09_MEAS-FACULTY HOUSE-16.04.10-A" xfId="345"/>
    <cellStyle name="_6340_ BOQ_MEA. 09.03.09_MEAS-FACULTY HOUSE-16.04.10-A_00 REV COMBINED EST-03.04.12---" xfId="346"/>
    <cellStyle name="_6340_ BOQ_MEA. 09.03.09_MEAS-FACULTY HOUSE-16.04.10-A_00-REV-ESTIMATE-04.04.12" xfId="347"/>
    <cellStyle name="_6340_ BOQ_MEA. 09.03.09_MEAS-FACULTY HOUSE-16.04.10-A_BOQ" xfId="348"/>
    <cellStyle name="_6340_ BOQ_MEA. 09.03.09_MEAS-FACULTY HOUSE-16.04.10-A_BOQ_RA-MKT" xfId="349"/>
    <cellStyle name="_6340_ BOQ_MEA. 09.03.09_MEAS-FACULTY HOUSE-16.04.10-A_BOQ_RESIDENTIAL FLOORS-30.05.12-JOINARY" xfId="350"/>
    <cellStyle name="_6340_ BOQ_MEA. 09.03.09_MEAS-FACULTY HOUSE-16.04.10-A_MEAS SHEET OF RCC - 05-05-12 - VK" xfId="351"/>
    <cellStyle name="_6340_ BOQ_MEA. 09.03.09_MEAS-FACULTY HOUSE-16.04.10-A_MEAS SHEET OF RCC - 05-05-12 - VK_RESIDENTIAL FLOORS-30.05.12-JOINARY" xfId="352"/>
    <cellStyle name="_6340_ BOQ_MEA. 09.03.09_MEAS-FACULTY HOUSE-16.04.10-A_MEAS SHEET OF RCC FOR Admin - 19-03-12 - ANKITA" xfId="353"/>
    <cellStyle name="_6340_ BOQ_MEA. 09.03.09_MEAS-FACULTY HOUSE-16.04.10-A_MEAS SHEET OF RCC FOR Admin - 19-03-12 - ANKITA_RESIDENTIAL FLOORS-30.05.12-JOINARY" xfId="354"/>
    <cellStyle name="_6340_ BOQ_MEA. 09.03.09_MEAS-FACULTY HOUSE-16.04.10-A_MEAS SHEET OF RCC FOR Toilet - 19-03-12 - ANKITA" xfId="355"/>
    <cellStyle name="_6340_ BOQ_MEA. 09.03.09_MEAS-FACULTY HOUSE-16.04.10-A_MEAS SHEET OF RCC FOR Toilet - 19-03-12 - ANKITA_RESIDENTIAL FLOORS-30.05.12-JOINARY" xfId="356"/>
    <cellStyle name="_6340_ BOQ_MEA. 09.03.09_MEAS-FACULTY HOUSE-16.04.10-A_Meas. Sheet Of R.C.C. (07-06-12)(M.)(Tower - 2)" xfId="357"/>
    <cellStyle name="_6340_ BOQ_MEA. 09.03.09_MEAS-FACULTY HOUSE-16.04.10-A_Meas. Sheet Of R.C.C. (07-06-12)(M.)(Tower - 2)_BOQ" xfId="358"/>
    <cellStyle name="_6340_ BOQ_MEA. 09.03.09_MEAS-FACULTY HOUSE-16.04.10-A_Meas. Sheet Of R.C.C. (07-06-12)(M.)(Tower - 2)_Meas. Sheet Of R.C.C-22.06.12-Tower 3" xfId="359"/>
    <cellStyle name="_6340_ BOQ_MEA. 09.03.09_MEAS-FACULTY HOUSE-16.04.10-A_Meas. Sheet Of R.C.C. (07-06-12)(M.)(Tower- 1)" xfId="360"/>
    <cellStyle name="_6340_ BOQ_MEA. 09.03.09_MEAS-FACULTY HOUSE-16.04.10-A_Meas. Sheet Of R.C.C. (07-06-12)(M.)(Tower- 1)_BOQ" xfId="361"/>
    <cellStyle name="_6340_ BOQ_MEA. 09.03.09_MEAS-FACULTY HOUSE-16.04.10-A_Meas. Sheet Of R.C.C. (07-06-12)(M.)(Tower- 1)_Meas. Sheet Of R.C.C-22.06.12-Tower 3" xfId="362"/>
    <cellStyle name="_6340_ BOQ_MEA. 09.03.09_MEAS-FACULTY HOUSE-16.04.10-A_Meas. Sheet Of R.C.C. (13-06-12)(M)(basement)" xfId="363"/>
    <cellStyle name="_6340_ BOQ_MEA. 09.03.09_MEAS-FACULTY HOUSE-16.04.10-A_Meas. Sheet Of R.C.C. (13-06-12)(M)(basement)_BOQ" xfId="364"/>
    <cellStyle name="_6340_ BOQ_MEA. 09.03.09_MEAS-FACULTY HOUSE-16.04.10-A_Meas. Sheet Of R.C.C. (13-06-12)(M)(basement)_Meas. Sheet Of R.C.C-22.06.12-Tower 3" xfId="365"/>
    <cellStyle name="_6340_ BOQ_MEA. 09.03.09_MEAS-FACULTY HOUSE-16.04.10-A_Meas. Sheet Of R.C.C.Tower 3-(9.06.12)-N" xfId="366"/>
    <cellStyle name="_6340_ BOQ_MEA. 09.03.09_MEAS-FACULTY HOUSE-16.04.10-A_Meas. Sheet Of R.C.C.Tower 3-(9.06.12)-N_BOQ" xfId="367"/>
    <cellStyle name="_6340_ BOQ_MEA. 09.03.09_MEAS-FACULTY HOUSE-16.04.10-A_Meas. Sheet Of R.C.C.Tower 3-(9.06.12)-N_Meas. Sheet Of R.C.C-22.06.12-Tower 3" xfId="368"/>
    <cellStyle name="_6340_ BOQ_MEA. 09.03.09_Sez_Boq_Superstructure part-FORMATED" xfId="369"/>
    <cellStyle name="_6520_AREA_IBIS HOTEL AT NAVI MUMBAI - 02-04-09" xfId="370"/>
    <cellStyle name="_6520_AREA_IBIS HOTEL AT NAVI MUMBAI - 02-04-09_MEAS-FACULTY HOUSE-16.04.10-A" xfId="371"/>
    <cellStyle name="_6520_AREA_IBIS HOTEL AT NAVI MUMBAI - 02-04-09_MEAS-FACULTY HOUSE-16.04.10-A_00 REV COMBINED EST-03.04.12---" xfId="372"/>
    <cellStyle name="_6520_AREA_IBIS HOTEL AT NAVI MUMBAI - 02-04-09_MEAS-FACULTY HOUSE-16.04.10-A_00-REV-ESTIMATE-04.04.12" xfId="373"/>
    <cellStyle name="_6520_AREA_IBIS HOTEL AT NAVI MUMBAI - 02-04-09_MEAS-FACULTY HOUSE-16.04.10-A_BOQ" xfId="374"/>
    <cellStyle name="_6520_AREA_IBIS HOTEL AT NAVI MUMBAI - 02-04-09_MEAS-FACULTY HOUSE-16.04.10-A_BOQ_RA-MKT" xfId="375"/>
    <cellStyle name="_6520_AREA_IBIS HOTEL AT NAVI MUMBAI - 02-04-09_MEAS-FACULTY HOUSE-16.04.10-A_BOQ_RESIDENTIAL FLOORS-30.05.12-JOINARY" xfId="376"/>
    <cellStyle name="_6520_AREA_IBIS HOTEL AT NAVI MUMBAI - 02-04-09_MEAS-FACULTY HOUSE-16.04.10-A_Meas. Sheet Of R.C.C. (07-06-12)(M.)(Tower - 2)" xfId="377"/>
    <cellStyle name="_6520_AREA_IBIS HOTEL AT NAVI MUMBAI - 02-04-09_MEAS-FACULTY HOUSE-16.04.10-A_Meas. Sheet Of R.C.C. (07-06-12)(M.)(Tower - 2)_BOQ" xfId="378"/>
    <cellStyle name="_6520_AREA_IBIS HOTEL AT NAVI MUMBAI - 02-04-09_MEAS-FACULTY HOUSE-16.04.10-A_Meas. Sheet Of R.C.C. (07-06-12)(M.)(Tower - 2)_Meas. Sheet Of R.C.C-22.06.12-Tower 3" xfId="379"/>
    <cellStyle name="_6520_AREA_IBIS HOTEL AT NAVI MUMBAI - 02-04-09_MEAS-FACULTY HOUSE-16.04.10-A_Meas. Sheet Of R.C.C. (07-06-12)(M.)(Tower- 1)" xfId="380"/>
    <cellStyle name="_6520_AREA_IBIS HOTEL AT NAVI MUMBAI - 02-04-09_MEAS-FACULTY HOUSE-16.04.10-A_Meas. Sheet Of R.C.C. (07-06-12)(M.)(Tower- 1)_BOQ" xfId="381"/>
    <cellStyle name="_6520_AREA_IBIS HOTEL AT NAVI MUMBAI - 02-04-09_MEAS-FACULTY HOUSE-16.04.10-A_Meas. Sheet Of R.C.C. (07-06-12)(M.)(Tower- 1)_Meas. Sheet Of R.C.C-22.06.12-Tower 3" xfId="382"/>
    <cellStyle name="_6520_AREA_IBIS HOTEL AT NAVI MUMBAI - 02-04-09_MEAS-FACULTY HOUSE-16.04.10-A_Meas. Sheet Of R.C.C. (13-06-12)(M)(basement)" xfId="383"/>
    <cellStyle name="_6520_AREA_IBIS HOTEL AT NAVI MUMBAI - 02-04-09_MEAS-FACULTY HOUSE-16.04.10-A_Meas. Sheet Of R.C.C. (13-06-12)(M)(basement)_BOQ" xfId="384"/>
    <cellStyle name="_6520_AREA_IBIS HOTEL AT NAVI MUMBAI - 02-04-09_MEAS-FACULTY HOUSE-16.04.10-A_Meas. Sheet Of R.C.C. (13-06-12)(M)(basement)_Meas. Sheet Of R.C.C-22.06.12-Tower 3" xfId="385"/>
    <cellStyle name="_6520_AREA_IBIS HOTEL AT NAVI MUMBAI - 02-04-09_MEAS-FACULTY HOUSE-16.04.10-A_Meas. Sheet Of R.C.C.Tower 3-(9.06.12)-N" xfId="386"/>
    <cellStyle name="_6520_AREA_IBIS HOTEL AT NAVI MUMBAI - 02-04-09_MEAS-FACULTY HOUSE-16.04.10-A_Meas. Sheet Of R.C.C.Tower 3-(9.06.12)-N_BOQ" xfId="387"/>
    <cellStyle name="_6520_AREA_IBIS HOTEL AT NAVI MUMBAI - 02-04-09_MEAS-FACULTY HOUSE-16.04.10-A_Meas. Sheet Of R.C.C.Tower 3-(9.06.12)-N_Meas. Sheet Of R.C.C-22.06.12-Tower 3" xfId="388"/>
    <cellStyle name="_6520_AREA_IBIS HOTEL AT NAVI MUMBAI - 02-04-09_Sez_Boq_Superstructure part-FORMATED" xfId="389"/>
    <cellStyle name="_analysis 06.04.06" xfId="390"/>
    <cellStyle name="_Approval status" xfId="391"/>
    <cellStyle name="_ARCH-GATE" xfId="392"/>
    <cellStyle name="_Area Statement 0705017" xfId="393"/>
    <cellStyle name="_Basic Rates" xfId="394"/>
    <cellStyle name="_BILLS OF QUANTITIS" xfId="395"/>
    <cellStyle name="_BILLS OF QUANTITIS_Sez_Boq_Superstructure part-FORMATED" xfId="396"/>
    <cellStyle name="_BLG Costing-29.08.08" xfId="397"/>
    <cellStyle name="_BLG Costing-29.08.08_Sez_Boq_Superstructure part-FORMATED" xfId="398"/>
    <cellStyle name="_BLK-EST-BUILDING 1 - DLF MUMBAI MILLS-13-10-10" xfId="399"/>
    <cellStyle name="_BLOCK EST - BASEMENT" xfId="400"/>
    <cellStyle name="_BLOCK EST - BUILDING 1" xfId="401"/>
    <cellStyle name="_BLOCK EST - BUILDING 2-TO STERLING" xfId="402"/>
    <cellStyle name="_BLOCK EST - BUILDING 3" xfId="403"/>
    <cellStyle name="_BLOCK EST - PODIUM -DLF" xfId="404"/>
    <cellStyle name="_BLOCK EST - PODIUM -MCGM" xfId="405"/>
    <cellStyle name="_BLOCK ESTIMATE-09.05.08-PHASE-II-DPA" xfId="406"/>
    <cellStyle name="_BLOCK ESTIMATE-09.05.08-PHASE-II-DPA_5th FLOOR" xfId="407"/>
    <cellStyle name="_BLOCK ESTIMATE-09.05.08-PHASE-II-DPA_ARCH MAJORs (G)" xfId="408"/>
    <cellStyle name="_BLOCK ESTIMATE-09.05.08-PHASE-II-DPA_ARCH MAJORs (G+1)-4 QTR" xfId="409"/>
    <cellStyle name="_BLOCK ESTIMATE-09.05.08-PHASE-II-DPA_ARCH OR'S (G+1) -3 QTR_" xfId="410"/>
    <cellStyle name="_BLOCK ESTIMATE-09.05.08-PHASE-II-DPA_BOQ" xfId="411"/>
    <cellStyle name="_BLOCK ESTIMATE-09.05.08-PHASE-II-DPA_BOQ OF FINISHES FOR residentialL- 21.05.11" xfId="412"/>
    <cellStyle name="_BLOCK ESTIMATE-09.05.08-PHASE-II-DPA_Copy of Copy of MEAS SHEET OF- ARCH-SHIKHA" xfId="413"/>
    <cellStyle name="_BLOCK ESTIMATE-09.05.08-PHASE-II-DPA_Copy of MEAS SHEET OF- ARCH-kajal.." xfId="414"/>
    <cellStyle name="_BLOCK ESTIMATE-09.05.08-PHASE-II-DPA_Copy of MEAS SHEET OF- ARCH-SK" xfId="415"/>
    <cellStyle name="_BLOCK ESTIMATE-09.05.08-PHASE-II-DPA_ESTIMATE-15.03.11-OPTION-2" xfId="416"/>
    <cellStyle name="_BLOCK ESTIMATE-09.05.08-PHASE-II-DPA_Final BOQ-SEMINAR HALL" xfId="417"/>
    <cellStyle name="_BLOCK ESTIMATE-09.05.08-PHASE-II-DPA_FINAL MEAS SHEET OF-ARCHI-MDP HOSTEL -BL -" xfId="418"/>
    <cellStyle name="_BLOCK ESTIMATE-09.05.08-PHASE-II-DPA_JCO's (G+1) - 3 QUARTES" xfId="419"/>
    <cellStyle name="_BLOCK ESTIMATE-09.05.08-PHASE-II-DPA_JCO's (G+1) - 3 QUARTES - FINAL ARCH &amp; STRU" xfId="420"/>
    <cellStyle name="_BLOCK ESTIMATE-09.05.08-PHASE-II-DPA_JCO's (G+1) - 4 QUARTES" xfId="421"/>
    <cellStyle name="_BLOCK ESTIMATE-09.05.08-PHASE-II-DPA_JCO's (G+2) - 6 QUARTES" xfId="422"/>
    <cellStyle name="_BLOCK ESTIMATE-09.05.08-PHASE-II-DPA_MBA COLLAGE-CCBA ARCH" xfId="423"/>
    <cellStyle name="_BLOCK ESTIMATE-09.05.08-PHASE-II-DPA_MEAS -SENIOR SAILOR -(G)" xfId="424"/>
    <cellStyle name="_BLOCK ESTIMATE-09.05.08-PHASE-II-DPA_MEAS SHEET OF- ARCH - Lower Ground floor" xfId="425"/>
    <cellStyle name="_BLOCK ESTIMATE-09.05.08-PHASE-II-DPA_MEAS SHEET OF- ARCH- Chaitali" xfId="426"/>
    <cellStyle name="_BLOCK ESTIMATE-09.05.08-PHASE-II-DPA_MEAS SHEET OF- ARCH-25-12-2010-heena...." xfId="427"/>
    <cellStyle name="_BLOCK ESTIMATE-09.05.08-PHASE-II-DPA_MEAS SHEET OF- ARCH-ANKITA " xfId="428"/>
    <cellStyle name="_BLOCK ESTIMATE-09.05.08-PHASE-II-DPA_MEAS SHEET OF- ARCH-kajal.." xfId="429"/>
    <cellStyle name="_BLOCK ESTIMATE-09.05.08-PHASE-II-DPA_MEAS SHEET OF- ARCH-MP" xfId="430"/>
    <cellStyle name="_BLOCK ESTIMATE-09.05.08-PHASE-II-DPA_MEAS SHEET OF- ARCH-priyanka." xfId="431"/>
    <cellStyle name="_BLOCK ESTIMATE-09.05.08-PHASE-II-DPA_MEAS SHEET OF- Mitali" xfId="432"/>
    <cellStyle name="_BLOCK ESTIMATE-09.05.08-PHASE-II-DPA_MEAS SHEET OF RCC FOR MDP HOSTEL - 06.06.11-JRP" xfId="433"/>
    <cellStyle name="_BLOCK ESTIMATE-09.05.08-PHASE-II-DPA_Meas Sheet of-stru-STAFF QUARTER-kajal" xfId="434"/>
    <cellStyle name="_BLOCK ESTIMATE-09.05.08-PHASE-II-DPA_MEAS.-OR'S (G+1) (3 QTRS.)" xfId="435"/>
    <cellStyle name="_BLOCK ESTIMATE-09.05.08-PHASE-II-DPA_MEAS.-OR'S (G+2) (6 QTRS.)" xfId="436"/>
    <cellStyle name="_BLOCK ESTIMATE-09.05.08-PHASE-II-DPA_MEAS_FACULTY HOUSING" xfId="437"/>
    <cellStyle name="_BLOCK ESTIMATE-09.05.08-PHASE-II-DPA_MEAS-FACULTY HOUSE-16.04.10-A" xfId="438"/>
    <cellStyle name="_BLOCK ESTIMATE-09.05.08-PHASE-II-DPA_MEAS-FACULTY HOUSE-16.04.10-A_00 REV COMBINED EST-03.04.12---" xfId="439"/>
    <cellStyle name="_BLOCK ESTIMATE-09.05.08-PHASE-II-DPA_MEAS-FACULTY HOUSE-16.04.10-A_00-REV-ESTIMATE-04.04.12" xfId="440"/>
    <cellStyle name="_BLOCK ESTIMATE-09.05.08-PHASE-II-DPA_MEAS-FACULTY HOUSE-16.04.10-A_BOQ" xfId="441"/>
    <cellStyle name="_BLOCK ESTIMATE-09.05.08-PHASE-II-DPA_MEAS-FACULTY HOUSE-16.04.10-A_Meas. Sheet Of R.C.C. (07-06-12)(M.)(Tower - 2)" xfId="442"/>
    <cellStyle name="_BLOCK ESTIMATE-09.05.08-PHASE-II-DPA_MEAS-FACULTY HOUSE-16.04.10-A_Meas. Sheet Of R.C.C. (07-06-12)(M.)(Tower - 2)_BOQ" xfId="443"/>
    <cellStyle name="_BLOCK ESTIMATE-09.05.08-PHASE-II-DPA_MEAS-FACULTY HOUSE-16.04.10-A_Meas. Sheet Of R.C.C. (07-06-12)(M.)(Tower - 2)_Meas. Sheet Of R.C.C-22.06.12-Tower 3" xfId="444"/>
    <cellStyle name="_BLOCK ESTIMATE-09.05.08-PHASE-II-DPA_MEAS-FACULTY HOUSE-16.04.10-A_Meas. Sheet Of R.C.C. (07-06-12)(M.)(Tower- 1)" xfId="445"/>
    <cellStyle name="_BLOCK ESTIMATE-09.05.08-PHASE-II-DPA_MEAS-FACULTY HOUSE-16.04.10-A_Meas. Sheet Of R.C.C. (07-06-12)(M.)(Tower- 1)_BOQ" xfId="446"/>
    <cellStyle name="_BLOCK ESTIMATE-09.05.08-PHASE-II-DPA_MEAS-FACULTY HOUSE-16.04.10-A_Meas. Sheet Of R.C.C. (07-06-12)(M.)(Tower- 1)_Meas. Sheet Of R.C.C-22.06.12-Tower 3" xfId="447"/>
    <cellStyle name="_BLOCK ESTIMATE-09.05.08-PHASE-II-DPA_MEAS-FACULTY HOUSE-16.04.10-A_Meas. Sheet Of R.C.C. (13-06-12)(M)(basement)" xfId="448"/>
    <cellStyle name="_BLOCK ESTIMATE-09.05.08-PHASE-II-DPA_MEAS-FACULTY HOUSE-16.04.10-A_Meas. Sheet Of R.C.C. (13-06-12)(M)(basement)_BOQ" xfId="449"/>
    <cellStyle name="_BLOCK ESTIMATE-09.05.08-PHASE-II-DPA_MEAS-FACULTY HOUSE-16.04.10-A_Meas. Sheet Of R.C.C. (13-06-12)(M)(basement)_Meas. Sheet Of R.C.C-22.06.12-Tower 3" xfId="450"/>
    <cellStyle name="_BLOCK ESTIMATE-09.05.08-PHASE-II-DPA_MEAS-FACULTY HOUSE-16.04.10-A_Meas. Sheet Of R.C.C.Tower 3-(9.06.12)-N" xfId="451"/>
    <cellStyle name="_BLOCK ESTIMATE-09.05.08-PHASE-II-DPA_MEAS-FACULTY HOUSE-16.04.10-A_Meas. Sheet Of R.C.C.Tower 3-(9.06.12)-N_BOQ" xfId="452"/>
    <cellStyle name="_BLOCK ESTIMATE-09.05.08-PHASE-II-DPA_MEAS-FACULTY HOUSE-16.04.10-A_Meas. Sheet Of R.C.C.Tower 3-(9.06.12)-N_Meas. Sheet Of R.C.C-22.06.12-Tower 3" xfId="453"/>
    <cellStyle name="_BLOCK ESTIMATE-09.05.08-PHASE-II-DPA_MEAS-SHEET- FINISHING-BL" xfId="454"/>
    <cellStyle name="_BLOCK ESTIMATE-09.05.08-PHASE-II-DPA_Measurement" xfId="455"/>
    <cellStyle name="_BLOCK ESTIMATE-09.05.08-PHASE-II-DPA_MEASUREMENT SHEET -Plaster At Guest House- Chaitali" xfId="456"/>
    <cellStyle name="_BLOCK ESTIMATE-09.05.08-PHASE-II-DPA_MEASUREMENT-MAJOR(G+1)-BLOCK-4- 10-08-10-ARVA" xfId="457"/>
    <cellStyle name="_BLOCK ESTIMATE-09.05.08-PHASE-II-DPA_MEASUREMENT-MAJOR(G+1)-BLOCK-4- 10-08-10-NILAM" xfId="458"/>
    <cellStyle name="_BLOCK ESTIMATE-09.05.08-PHASE-II-DPA_Miscellaneous work" xfId="459"/>
    <cellStyle name="_BLOCK ESTIMATE-09.05.08-PHASE-II-DPA_PAINTING" xfId="460"/>
    <cellStyle name="_BLOCK ESTIMATE-09.05.08-PHASE-II-DPA_RCC OR'S (G+2) -6 QTR_" xfId="461"/>
    <cellStyle name="_BLOCK ESTIMATE-09.05.08-PHASE-II-DPA_Sez_Boq_Superstructure part-FORMATED" xfId="462"/>
    <cellStyle name="_BLOCK ESTIMATE-09.05.08-PHASE-II-DPA_Steel truss-Dharmendra" xfId="463"/>
    <cellStyle name="_Book1" xfId="464"/>
    <cellStyle name="_BOQ" xfId="465"/>
    <cellStyle name="_BOQ - Workings" xfId="466"/>
    <cellStyle name="_BOQ -26-02-10" xfId="467"/>
    <cellStyle name="_BOQ Excavation-Contracts" xfId="468"/>
    <cellStyle name="_BOQ FOR HOTEL BLOCK - 18.10.08 - AHC" xfId="469"/>
    <cellStyle name="_BOQ FOR HOTEL BLOCK - 18.10.08 - AHC_Sez_Boq_Superstructure part-FORMATED" xfId="470"/>
    <cellStyle name="_BOQ FOR OFFICE LEVELS" xfId="471"/>
    <cellStyle name="_BOQ FOR OFFICE LEVELS_5th FLOOR" xfId="472"/>
    <cellStyle name="_BOQ FOR OFFICE LEVELS_ARCH MAJORs (G)" xfId="473"/>
    <cellStyle name="_BOQ FOR OFFICE LEVELS_ARCH MAJORs (G+1)-4 QTR" xfId="474"/>
    <cellStyle name="_BOQ FOR OFFICE LEVELS_ARCH OR'S (G+1) -3 QTR_" xfId="475"/>
    <cellStyle name="_BOQ FOR OFFICE LEVELS_BOQ" xfId="476"/>
    <cellStyle name="_BOQ FOR OFFICE LEVELS_Copy of Copy of MEAS SHEET OF- ARCH-SHIKHA" xfId="477"/>
    <cellStyle name="_BOQ FOR OFFICE LEVELS_Copy of MEAS SHEET OF- ARCH-kajal.." xfId="478"/>
    <cellStyle name="_BOQ FOR OFFICE LEVELS_Copy of MEAS SHEET OF- ARCH-SK" xfId="479"/>
    <cellStyle name="_BOQ FOR OFFICE LEVELS_DRAFT BOQ-CIVIL WORK-BLOCK D18-18.11.11" xfId="480"/>
    <cellStyle name="_BOQ FOR OFFICE LEVELS_DRAFT-BOQ-16.05.11" xfId="481"/>
    <cellStyle name="_BOQ FOR OFFICE LEVELS_DRAFT-EST-CIVIL-05.11.11" xfId="482"/>
    <cellStyle name="_BOQ FOR OFFICE LEVELS_ESTIMATE-15.03.11-OPTION-2" xfId="483"/>
    <cellStyle name="_BOQ FOR OFFICE LEVELS_Final BOQ-SEMINAR HALL" xfId="484"/>
    <cellStyle name="_BOQ FOR OFFICE LEVELS_FINAL MEAS SHEET OF-ARCHI-MDP HOSTEL -BL -" xfId="485"/>
    <cellStyle name="_BOQ FOR OFFICE LEVELS_JCO's (G+1) - 3 QUARTES" xfId="486"/>
    <cellStyle name="_BOQ FOR OFFICE LEVELS_JCO's (G+1) - 3 QUARTES - FINAL ARCH &amp; STRU" xfId="487"/>
    <cellStyle name="_BOQ FOR OFFICE LEVELS_JCO's (G+1) - 4 QUARTES" xfId="488"/>
    <cellStyle name="_BOQ FOR OFFICE LEVELS_JCO's (G+2) - 6 QUARTES" xfId="489"/>
    <cellStyle name="_BOQ FOR OFFICE LEVELS_landscape - nsg" xfId="490"/>
    <cellStyle name="_BOQ FOR OFFICE LEVELS_MBA COLLAGE-CCBA ARCH" xfId="491"/>
    <cellStyle name="_BOQ FOR OFFICE LEVELS_MEAS SHEET OF- ARCH - Lower Ground floor" xfId="492"/>
    <cellStyle name="_BOQ FOR OFFICE LEVELS_MEAS SHEET OF- ARCH- Chaitali" xfId="493"/>
    <cellStyle name="_BOQ FOR OFFICE LEVELS_MEAS SHEET OF- ARCH-11.05.11-JRP" xfId="494"/>
    <cellStyle name="_BOQ FOR OFFICE LEVELS_MEAS SHEET OF- ARCH-25-12-2010-heena...." xfId="495"/>
    <cellStyle name="_BOQ FOR OFFICE LEVELS_MEAS SHEET OF- ARCH-ANKITA " xfId="496"/>
    <cellStyle name="_BOQ FOR OFFICE LEVELS_MEAS SHEET OF- ARCH-kajal.." xfId="497"/>
    <cellStyle name="_BOQ FOR OFFICE LEVELS_MEAS SHEET OF- ARCH-MP" xfId="498"/>
    <cellStyle name="_BOQ FOR OFFICE LEVELS_MEAS SHEET OF- ARCH-priyanka." xfId="499"/>
    <cellStyle name="_BOQ FOR OFFICE LEVELS_MEAS SHEET OF- Mitali" xfId="500"/>
    <cellStyle name="_BOQ FOR OFFICE LEVELS_MEAS SHEET OF RCC FOR MDP HOSTEL - 06.06.11-JRP" xfId="501"/>
    <cellStyle name="_BOQ FOR OFFICE LEVELS_MEAS SHEET OF-R.C.C. (M) (28-01-12)(Foundation) - chk" xfId="502"/>
    <cellStyle name="_BOQ FOR OFFICE LEVELS_Meas Sheet of-stru-STAFF QUARTER-kajal" xfId="503"/>
    <cellStyle name="_BOQ FOR OFFICE LEVELS_MEAS.-OR'S (G+1) (3 QTRS.)" xfId="504"/>
    <cellStyle name="_BOQ FOR OFFICE LEVELS_MEAS.-OR'S (G+2) (6 QTRS.)" xfId="505"/>
    <cellStyle name="_BOQ FOR OFFICE LEVELS_MEAS-FACULTY HOUSE-16.04.10-A" xfId="506"/>
    <cellStyle name="_BOQ FOR OFFICE LEVELS_MEAS-FACULTY HOUSE-16.04.10-A_00 REV COMBINED EST-03.04.12---" xfId="507"/>
    <cellStyle name="_BOQ FOR OFFICE LEVELS_MEAS-FACULTY HOUSE-16.04.10-A_00-REV-ESTIMATE-04.04.12" xfId="508"/>
    <cellStyle name="_BOQ FOR OFFICE LEVELS_MEAS-FACULTY HOUSE-16.04.10-A_BOQ" xfId="509"/>
    <cellStyle name="_BOQ FOR OFFICE LEVELS_MEAS-FACULTY HOUSE-16.04.10-A_Meas. Sheet Of R.C.C. (07-06-12)(M.)(Tower - 2)" xfId="510"/>
    <cellStyle name="_BOQ FOR OFFICE LEVELS_MEAS-FACULTY HOUSE-16.04.10-A_Meas. Sheet Of R.C.C. (07-06-12)(M.)(Tower - 2)_BOQ" xfId="511"/>
    <cellStyle name="_BOQ FOR OFFICE LEVELS_MEAS-FACULTY HOUSE-16.04.10-A_Meas. Sheet Of R.C.C. (07-06-12)(M.)(Tower - 2)_Meas. Sheet Of R.C.C-22.06.12-Tower 3" xfId="512"/>
    <cellStyle name="_BOQ FOR OFFICE LEVELS_MEAS-FACULTY HOUSE-16.04.10-A_Meas. Sheet Of R.C.C. (07-06-12)(M.)(Tower- 1)" xfId="513"/>
    <cellStyle name="_BOQ FOR OFFICE LEVELS_MEAS-FACULTY HOUSE-16.04.10-A_Meas. Sheet Of R.C.C. (07-06-12)(M.)(Tower- 1)_BOQ" xfId="514"/>
    <cellStyle name="_BOQ FOR OFFICE LEVELS_MEAS-FACULTY HOUSE-16.04.10-A_Meas. Sheet Of R.C.C. (07-06-12)(M.)(Tower- 1)_Meas. Sheet Of R.C.C-22.06.12-Tower 3" xfId="515"/>
    <cellStyle name="_BOQ FOR OFFICE LEVELS_MEAS-FACULTY HOUSE-16.04.10-A_Meas. Sheet Of R.C.C. (13-06-12)(M)(basement)" xfId="516"/>
    <cellStyle name="_BOQ FOR OFFICE LEVELS_MEAS-FACULTY HOUSE-16.04.10-A_Meas. Sheet Of R.C.C. (13-06-12)(M)(basement)_BOQ" xfId="517"/>
    <cellStyle name="_BOQ FOR OFFICE LEVELS_MEAS-FACULTY HOUSE-16.04.10-A_Meas. Sheet Of R.C.C. (13-06-12)(M)(basement)_Meas. Sheet Of R.C.C-22.06.12-Tower 3" xfId="518"/>
    <cellStyle name="_BOQ FOR OFFICE LEVELS_MEAS-FACULTY HOUSE-16.04.10-A_Meas. Sheet Of R.C.C.Tower 3-(9.06.12)-N" xfId="519"/>
    <cellStyle name="_BOQ FOR OFFICE LEVELS_MEAS-FACULTY HOUSE-16.04.10-A_Meas. Sheet Of R.C.C.Tower 3-(9.06.12)-N_BOQ" xfId="520"/>
    <cellStyle name="_BOQ FOR OFFICE LEVELS_MEAS-FACULTY HOUSE-16.04.10-A_Meas. Sheet Of R.C.C.Tower 3-(9.06.12)-N_Meas. Sheet Of R.C.C-22.06.12-Tower 3" xfId="521"/>
    <cellStyle name="_BOQ FOR OFFICE LEVELS_Measurement" xfId="522"/>
    <cellStyle name="_BOQ FOR OFFICE LEVELS_MEASUREMENT SHEET -Plaster At Guest House- Chaitali" xfId="523"/>
    <cellStyle name="_BOQ FOR OFFICE LEVELS_MEASUREMENT-MAJOR(G+1)-BLOCK-4- 10-08-10-ARVA" xfId="524"/>
    <cellStyle name="_BOQ FOR OFFICE LEVELS_MEASUREMENT-MAJOR(G+1)-BLOCK-4- 10-08-10-NILAM" xfId="525"/>
    <cellStyle name="_BOQ FOR OFFICE LEVELS_Miscellaneous work" xfId="526"/>
    <cellStyle name="_BOQ FOR OFFICE LEVELS_PAINTING" xfId="527"/>
    <cellStyle name="_BOQ FOR OFFICE LEVELS_RCC OR'S (G+2) -6 QTR_" xfId="528"/>
    <cellStyle name="_BOQ FOR OFFICE LEVELS_Sez_Boq_Superstructure part-FORMATED" xfId="529"/>
    <cellStyle name="_BOQ FOR OFFICE LEVELS_Steel truss-Dharmendra" xfId="530"/>
    <cellStyle name="_BOQ OF FINISHES FOR residentialL- 21.05.11" xfId="531"/>
    <cellStyle name="_BOQ WITH MEAS OF EXT BOQ-23.02.11 TO HSA" xfId="532"/>
    <cellStyle name="_BOQ WITH MEASUREMENT - CIVIL FINISHING WORK - 04.01.2008" xfId="533"/>
    <cellStyle name="_BOQ_1" xfId="534"/>
    <cellStyle name="_BOQ_5th FLOOR" xfId="535"/>
    <cellStyle name="_BOQ_Copy of Copy of MEAS SHEET OF- ARCH-SHIKHA" xfId="536"/>
    <cellStyle name="_BOQ_Copy of MEAS SHEET OF- ARCH-kajal.." xfId="537"/>
    <cellStyle name="_BOQ_Copy of MEAS SHEET OF- ARCH-SK" xfId="538"/>
    <cellStyle name="_BOQ_DRAFT-EST-CIVIL-05.11.11" xfId="539"/>
    <cellStyle name="_BOQ_Final BOQ-SEMINAR HALL" xfId="540"/>
    <cellStyle name="_BOQ_FINAL MEAS SHEET OF-ARCHI-MDP HOSTEL -BL -" xfId="541"/>
    <cellStyle name="_BOQ_landscape - nsg" xfId="542"/>
    <cellStyle name="_BOQ_MBA COLLAGE-CCBA ARCH" xfId="543"/>
    <cellStyle name="_BOQ_MEAS SHEET OF- ARCH - Lower Ground floor" xfId="544"/>
    <cellStyle name="_BOQ_MEAS SHEET OF- ARCH- Chaitali" xfId="545"/>
    <cellStyle name="_BOQ_MEAS SHEET OF- ARCH-25-12-2010-heena...." xfId="546"/>
    <cellStyle name="_BOQ_MEAS SHEET OF- ARCH-ANKITA " xfId="547"/>
    <cellStyle name="_BOQ_MEAS SHEET OF- ARCH-kajal.." xfId="548"/>
    <cellStyle name="_BOQ_MEAS SHEET OF- ARCH-MP" xfId="549"/>
    <cellStyle name="_BOQ_MEAS SHEET OF- ARCH-priyanka." xfId="550"/>
    <cellStyle name="_BOQ_MEAS SHEET OF- Mitali" xfId="551"/>
    <cellStyle name="_BOQ_MEAS SHEET OF RCC FOR MDP HOSTEL - 06.06.11-JRP" xfId="552"/>
    <cellStyle name="_BOQ_MEAS SHEET OF-R.C.C. (M) (28-01-12)(Foundation) - chk" xfId="553"/>
    <cellStyle name="_BOQ_Meas Sheet of-stru-STAFF QUARTER-kajal" xfId="554"/>
    <cellStyle name="_BOQ_Measurement" xfId="555"/>
    <cellStyle name="_BOQ_MEASUREMENT SHEET -Plaster At Guest House- Chaitali" xfId="556"/>
    <cellStyle name="_BOQ_Miscellaneous work" xfId="557"/>
    <cellStyle name="_BOQ_Steel truss-Dharmendra" xfId="558"/>
    <cellStyle name="_BOQ-IIT-SCPL-25.12.08" xfId="559"/>
    <cellStyle name="_BOQ-IIT-SCPL-25.12.08_5th FLOOR" xfId="560"/>
    <cellStyle name="_BOQ-IIT-SCPL-25.12.08_ARCH MAJORs (G)" xfId="561"/>
    <cellStyle name="_BOQ-IIT-SCPL-25.12.08_ARCH MAJORs (G+1)-4 QTR" xfId="562"/>
    <cellStyle name="_BOQ-IIT-SCPL-25.12.08_ARCH OR'S (G+1) -3 QTR_" xfId="563"/>
    <cellStyle name="_BOQ-IIT-SCPL-25.12.08_BOQ" xfId="564"/>
    <cellStyle name="_BOQ-IIT-SCPL-25.12.08_BOQ OF FINISHES FOR residentialL- 21.05.11" xfId="565"/>
    <cellStyle name="_BOQ-IIT-SCPL-25.12.08_Copy of Copy of MEAS SHEET OF- ARCH-SHIKHA" xfId="566"/>
    <cellStyle name="_BOQ-IIT-SCPL-25.12.08_Copy of MEAS SHEET OF- ARCH-kajal.." xfId="567"/>
    <cellStyle name="_BOQ-IIT-SCPL-25.12.08_Copy of MEAS SHEET OF- ARCH-SK" xfId="568"/>
    <cellStyle name="_BOQ-IIT-SCPL-25.12.08_ESTIMATE-15.03.11-OPTION-2" xfId="569"/>
    <cellStyle name="_BOQ-IIT-SCPL-25.12.08_Final BOQ-SEMINAR HALL" xfId="570"/>
    <cellStyle name="_BOQ-IIT-SCPL-25.12.08_FINAL MEAS SHEET OF-ARCHI-MDP HOSTEL -BL -" xfId="571"/>
    <cellStyle name="_BOQ-IIT-SCPL-25.12.08_JCO's (G+1) - 3 QUARTES" xfId="572"/>
    <cellStyle name="_BOQ-IIT-SCPL-25.12.08_JCO's (G+1) - 3 QUARTES - FINAL ARCH &amp; STRU" xfId="573"/>
    <cellStyle name="_BOQ-IIT-SCPL-25.12.08_JCO's (G+1) - 4 QUARTES" xfId="574"/>
    <cellStyle name="_BOQ-IIT-SCPL-25.12.08_JCO's (G+2) - 6 QUARTES" xfId="575"/>
    <cellStyle name="_BOQ-IIT-SCPL-25.12.08_MBA COLLAGE-CCBA ARCH" xfId="576"/>
    <cellStyle name="_BOQ-IIT-SCPL-25.12.08_MEAS SHEET OF- ARCH - Lower Ground floor" xfId="577"/>
    <cellStyle name="_BOQ-IIT-SCPL-25.12.08_MEAS SHEET OF- ARCH- Chaitali" xfId="578"/>
    <cellStyle name="_BOQ-IIT-SCPL-25.12.08_MEAS SHEET OF- ARCH-25-12-2010-heena...." xfId="579"/>
    <cellStyle name="_BOQ-IIT-SCPL-25.12.08_MEAS SHEET OF- ARCH-ANKITA " xfId="580"/>
    <cellStyle name="_BOQ-IIT-SCPL-25.12.08_MEAS SHEET OF- ARCH-kajal.." xfId="581"/>
    <cellStyle name="_BOQ-IIT-SCPL-25.12.08_MEAS SHEET OF- ARCH-MP" xfId="582"/>
    <cellStyle name="_BOQ-IIT-SCPL-25.12.08_MEAS SHEET OF- ARCH-priyanka." xfId="583"/>
    <cellStyle name="_BOQ-IIT-SCPL-25.12.08_MEAS SHEET OF- Mitali" xfId="584"/>
    <cellStyle name="_BOQ-IIT-SCPL-25.12.08_MEAS SHEET OF RCC FOR MDP HOSTEL - 06.06.11-JRP" xfId="585"/>
    <cellStyle name="_BOQ-IIT-SCPL-25.12.08_Meas Sheet of-stru-STAFF QUARTER-kajal" xfId="586"/>
    <cellStyle name="_BOQ-IIT-SCPL-25.12.08_MEAS.-OR'S (G+1) (3 QTRS.)" xfId="587"/>
    <cellStyle name="_BOQ-IIT-SCPL-25.12.08_MEAS.-OR'S (G+2) (6 QTRS.)" xfId="588"/>
    <cellStyle name="_BOQ-IIT-SCPL-25.12.08_MEAS-FACULTY HOUSE-16.04.10-A" xfId="589"/>
    <cellStyle name="_BOQ-IIT-SCPL-25.12.08_MEAS-FACULTY HOUSE-16.04.10-A_00 REV COMBINED EST-03.04.12---" xfId="590"/>
    <cellStyle name="_BOQ-IIT-SCPL-25.12.08_MEAS-FACULTY HOUSE-16.04.10-A_00-REV-ESTIMATE-04.04.12" xfId="591"/>
    <cellStyle name="_BOQ-IIT-SCPL-25.12.08_MEAS-FACULTY HOUSE-16.04.10-A_BOQ" xfId="592"/>
    <cellStyle name="_BOQ-IIT-SCPL-25.12.08_MEAS-FACULTY HOUSE-16.04.10-A_Meas. Sheet Of R.C.C. (07-06-12)(M.)(Tower - 2)" xfId="593"/>
    <cellStyle name="_BOQ-IIT-SCPL-25.12.08_MEAS-FACULTY HOUSE-16.04.10-A_Meas. Sheet Of R.C.C. (07-06-12)(M.)(Tower - 2)_BOQ" xfId="594"/>
    <cellStyle name="_BOQ-IIT-SCPL-25.12.08_MEAS-FACULTY HOUSE-16.04.10-A_Meas. Sheet Of R.C.C. (07-06-12)(M.)(Tower - 2)_Meas. Sheet Of R.C.C-22.06.12-Tower 3" xfId="595"/>
    <cellStyle name="_BOQ-IIT-SCPL-25.12.08_MEAS-FACULTY HOUSE-16.04.10-A_Meas. Sheet Of R.C.C. (07-06-12)(M.)(Tower- 1)" xfId="596"/>
    <cellStyle name="_BOQ-IIT-SCPL-25.12.08_MEAS-FACULTY HOUSE-16.04.10-A_Meas. Sheet Of R.C.C. (07-06-12)(M.)(Tower- 1)_BOQ" xfId="597"/>
    <cellStyle name="_BOQ-IIT-SCPL-25.12.08_MEAS-FACULTY HOUSE-16.04.10-A_Meas. Sheet Of R.C.C. (07-06-12)(M.)(Tower- 1)_Meas. Sheet Of R.C.C-22.06.12-Tower 3" xfId="598"/>
    <cellStyle name="_BOQ-IIT-SCPL-25.12.08_MEAS-FACULTY HOUSE-16.04.10-A_Meas. Sheet Of R.C.C. (13-06-12)(M)(basement)" xfId="599"/>
    <cellStyle name="_BOQ-IIT-SCPL-25.12.08_MEAS-FACULTY HOUSE-16.04.10-A_Meas. Sheet Of R.C.C. (13-06-12)(M)(basement)_BOQ" xfId="600"/>
    <cellStyle name="_BOQ-IIT-SCPL-25.12.08_MEAS-FACULTY HOUSE-16.04.10-A_Meas. Sheet Of R.C.C. (13-06-12)(M)(basement)_Meas. Sheet Of R.C.C-22.06.12-Tower 3" xfId="601"/>
    <cellStyle name="_BOQ-IIT-SCPL-25.12.08_MEAS-FACULTY HOUSE-16.04.10-A_Meas. Sheet Of R.C.C.Tower 3-(9.06.12)-N" xfId="602"/>
    <cellStyle name="_BOQ-IIT-SCPL-25.12.08_MEAS-FACULTY HOUSE-16.04.10-A_Meas. Sheet Of R.C.C.Tower 3-(9.06.12)-N_BOQ" xfId="603"/>
    <cellStyle name="_BOQ-IIT-SCPL-25.12.08_MEAS-FACULTY HOUSE-16.04.10-A_Meas. Sheet Of R.C.C.Tower 3-(9.06.12)-N_Meas. Sheet Of R.C.C-22.06.12-Tower 3" xfId="604"/>
    <cellStyle name="_BOQ-IIT-SCPL-25.12.08_MEAS-SHEET- FINISHING-BL" xfId="605"/>
    <cellStyle name="_BOQ-IIT-SCPL-25.12.08_Measurement" xfId="606"/>
    <cellStyle name="_BOQ-IIT-SCPL-25.12.08_MEASUREMENT SHEET -Plaster At Guest House- Chaitali" xfId="607"/>
    <cellStyle name="_BOQ-IIT-SCPL-25.12.08_MEASUREMENT-MAJOR(G+1)-BLOCK-4- 10-08-10-ARVA" xfId="608"/>
    <cellStyle name="_BOQ-IIT-SCPL-25.12.08_MEASUREMENT-MAJOR(G+1)-BLOCK-4- 10-08-10-NILAM" xfId="609"/>
    <cellStyle name="_BOQ-IIT-SCPL-25.12.08_Miscellaneous work" xfId="610"/>
    <cellStyle name="_BOQ-IIT-SCPL-25.12.08_PAINTING" xfId="611"/>
    <cellStyle name="_BOQ-IIT-SCPL-25.12.08_RCC OR'S (G+2) -6 QTR_" xfId="612"/>
    <cellStyle name="_BOQ-IIT-SCPL-25.12.08_Sez_Boq_Superstructure part-FORMATED" xfId="613"/>
    <cellStyle name="_BOQ-IIT-SCPL-25.12.08_Steel truss-Dharmendra" xfId="614"/>
    <cellStyle name="_BOQ-IIT-SCPL-R2-EXCLUING BLDG." xfId="615"/>
    <cellStyle name="_BOQ-IIT-SCPL-R2-EXCLUING BLDG._5th FLOOR" xfId="616"/>
    <cellStyle name="_BOQ-IIT-SCPL-R2-EXCLUING BLDG._ARCH MAJORs (G)" xfId="617"/>
    <cellStyle name="_BOQ-IIT-SCPL-R2-EXCLUING BLDG._ARCH MAJORs (G+1)-4 QTR" xfId="618"/>
    <cellStyle name="_BOQ-IIT-SCPL-R2-EXCLUING BLDG._ARCH OR'S (G+1) -3 QTR_" xfId="619"/>
    <cellStyle name="_BOQ-IIT-SCPL-R2-EXCLUING BLDG._BOQ" xfId="620"/>
    <cellStyle name="_BOQ-IIT-SCPL-R2-EXCLUING BLDG._BOQ OF FINISHES FOR residentialL- 21.05.11" xfId="621"/>
    <cellStyle name="_BOQ-IIT-SCPL-R2-EXCLUING BLDG._Copy of Copy of MEAS SHEET OF- ARCH-SHIKHA" xfId="622"/>
    <cellStyle name="_BOQ-IIT-SCPL-R2-EXCLUING BLDG._Copy of MEAS SHEET OF- ARCH-kajal.." xfId="623"/>
    <cellStyle name="_BOQ-IIT-SCPL-R2-EXCLUING BLDG._Copy of MEAS SHEET OF- ARCH-SK" xfId="624"/>
    <cellStyle name="_BOQ-IIT-SCPL-R2-EXCLUING BLDG._ESTIMATE-15.03.11-OPTION-2" xfId="625"/>
    <cellStyle name="_BOQ-IIT-SCPL-R2-EXCLUING BLDG._Final BOQ-SEMINAR HALL" xfId="626"/>
    <cellStyle name="_BOQ-IIT-SCPL-R2-EXCLUING BLDG._FINAL MEAS SHEET OF-ARCHI-MDP HOSTEL -BL -" xfId="627"/>
    <cellStyle name="_BOQ-IIT-SCPL-R2-EXCLUING BLDG._JCO's (G+1) - 3 QUARTES" xfId="628"/>
    <cellStyle name="_BOQ-IIT-SCPL-R2-EXCLUING BLDG._JCO's (G+1) - 3 QUARTES - FINAL ARCH &amp; STRU" xfId="629"/>
    <cellStyle name="_BOQ-IIT-SCPL-R2-EXCLUING BLDG._JCO's (G+1) - 4 QUARTES" xfId="630"/>
    <cellStyle name="_BOQ-IIT-SCPL-R2-EXCLUING BLDG._JCO's (G+2) - 6 QUARTES" xfId="631"/>
    <cellStyle name="_BOQ-IIT-SCPL-R2-EXCLUING BLDG._MBA COLLAGE-CCBA ARCH" xfId="632"/>
    <cellStyle name="_BOQ-IIT-SCPL-R2-EXCLUING BLDG._MEAS SHEET OF- ARCH - Lower Ground floor" xfId="633"/>
    <cellStyle name="_BOQ-IIT-SCPL-R2-EXCLUING BLDG._MEAS SHEET OF- ARCH- Chaitali" xfId="634"/>
    <cellStyle name="_BOQ-IIT-SCPL-R2-EXCLUING BLDG._MEAS SHEET OF- ARCH-25-12-2010-heena...." xfId="635"/>
    <cellStyle name="_BOQ-IIT-SCPL-R2-EXCLUING BLDG._MEAS SHEET OF- ARCH-ANKITA " xfId="636"/>
    <cellStyle name="_BOQ-IIT-SCPL-R2-EXCLUING BLDG._MEAS SHEET OF- ARCH-kajal.." xfId="637"/>
    <cellStyle name="_BOQ-IIT-SCPL-R2-EXCLUING BLDG._MEAS SHEET OF- ARCH-MP" xfId="638"/>
    <cellStyle name="_BOQ-IIT-SCPL-R2-EXCLUING BLDG._MEAS SHEET OF- ARCH-priyanka." xfId="639"/>
    <cellStyle name="_BOQ-IIT-SCPL-R2-EXCLUING BLDG._MEAS SHEET OF- Mitali" xfId="640"/>
    <cellStyle name="_BOQ-IIT-SCPL-R2-EXCLUING BLDG._MEAS SHEET OF RCC FOR MDP HOSTEL - 06.06.11-JRP" xfId="641"/>
    <cellStyle name="_BOQ-IIT-SCPL-R2-EXCLUING BLDG._Meas Sheet of-stru-STAFF QUARTER-kajal" xfId="642"/>
    <cellStyle name="_BOQ-IIT-SCPL-R2-EXCLUING BLDG._MEAS.-OR'S (G+1) (3 QTRS.)" xfId="643"/>
    <cellStyle name="_BOQ-IIT-SCPL-R2-EXCLUING BLDG._MEAS.-OR'S (G+2) (6 QTRS.)" xfId="644"/>
    <cellStyle name="_BOQ-IIT-SCPL-R2-EXCLUING BLDG._MEAS-FACULTY HOUSE-16.04.10-A" xfId="645"/>
    <cellStyle name="_BOQ-IIT-SCPL-R2-EXCLUING BLDG._MEAS-FACULTY HOUSE-16.04.10-A_00 REV COMBINED EST-03.04.12---" xfId="646"/>
    <cellStyle name="_BOQ-IIT-SCPL-R2-EXCLUING BLDG._MEAS-FACULTY HOUSE-16.04.10-A_00-REV-ESTIMATE-04.04.12" xfId="647"/>
    <cellStyle name="_BOQ-IIT-SCPL-R2-EXCLUING BLDG._MEAS-FACULTY HOUSE-16.04.10-A_BOQ" xfId="648"/>
    <cellStyle name="_BOQ-IIT-SCPL-R2-EXCLUING BLDG._MEAS-FACULTY HOUSE-16.04.10-A_Meas. Sheet Of R.C.C. (07-06-12)(M.)(Tower - 2)" xfId="649"/>
    <cellStyle name="_BOQ-IIT-SCPL-R2-EXCLUING BLDG._MEAS-FACULTY HOUSE-16.04.10-A_Meas. Sheet Of R.C.C. (07-06-12)(M.)(Tower - 2)_BOQ" xfId="650"/>
    <cellStyle name="_BOQ-IIT-SCPL-R2-EXCLUING BLDG._MEAS-FACULTY HOUSE-16.04.10-A_Meas. Sheet Of R.C.C. (07-06-12)(M.)(Tower - 2)_Meas. Sheet Of R.C.C-22.06.12-Tower 3" xfId="651"/>
    <cellStyle name="_BOQ-IIT-SCPL-R2-EXCLUING BLDG._MEAS-FACULTY HOUSE-16.04.10-A_Meas. Sheet Of R.C.C. (07-06-12)(M.)(Tower- 1)" xfId="652"/>
    <cellStyle name="_BOQ-IIT-SCPL-R2-EXCLUING BLDG._MEAS-FACULTY HOUSE-16.04.10-A_Meas. Sheet Of R.C.C. (07-06-12)(M.)(Tower- 1)_BOQ" xfId="653"/>
    <cellStyle name="_BOQ-IIT-SCPL-R2-EXCLUING BLDG._MEAS-FACULTY HOUSE-16.04.10-A_Meas. Sheet Of R.C.C. (07-06-12)(M.)(Tower- 1)_Meas. Sheet Of R.C.C-22.06.12-Tower 3" xfId="654"/>
    <cellStyle name="_BOQ-IIT-SCPL-R2-EXCLUING BLDG._MEAS-FACULTY HOUSE-16.04.10-A_Meas. Sheet Of R.C.C. (13-06-12)(M)(basement)" xfId="655"/>
    <cellStyle name="_BOQ-IIT-SCPL-R2-EXCLUING BLDG._MEAS-FACULTY HOUSE-16.04.10-A_Meas. Sheet Of R.C.C. (13-06-12)(M)(basement)_BOQ" xfId="656"/>
    <cellStyle name="_BOQ-IIT-SCPL-R2-EXCLUING BLDG._MEAS-FACULTY HOUSE-16.04.10-A_Meas. Sheet Of R.C.C. (13-06-12)(M)(basement)_Meas. Sheet Of R.C.C-22.06.12-Tower 3" xfId="657"/>
    <cellStyle name="_BOQ-IIT-SCPL-R2-EXCLUING BLDG._MEAS-FACULTY HOUSE-16.04.10-A_Meas. Sheet Of R.C.C.Tower 3-(9.06.12)-N" xfId="658"/>
    <cellStyle name="_BOQ-IIT-SCPL-R2-EXCLUING BLDG._MEAS-FACULTY HOUSE-16.04.10-A_Meas. Sheet Of R.C.C.Tower 3-(9.06.12)-N_BOQ" xfId="659"/>
    <cellStyle name="_BOQ-IIT-SCPL-R2-EXCLUING BLDG._MEAS-FACULTY HOUSE-16.04.10-A_Meas. Sheet Of R.C.C.Tower 3-(9.06.12)-N_Meas. Sheet Of R.C.C-22.06.12-Tower 3" xfId="660"/>
    <cellStyle name="_BOQ-IIT-SCPL-R2-EXCLUING BLDG._MEAS-SHEET- FINISHING-BL" xfId="661"/>
    <cellStyle name="_BOQ-IIT-SCPL-R2-EXCLUING BLDG._Measurement" xfId="662"/>
    <cellStyle name="_BOQ-IIT-SCPL-R2-EXCLUING BLDG._MEASUREMENT SHEET -Plaster At Guest House- Chaitali" xfId="663"/>
    <cellStyle name="_BOQ-IIT-SCPL-R2-EXCLUING BLDG._MEASUREMENT-MAJOR(G+1)-BLOCK-4- 10-08-10-ARVA" xfId="664"/>
    <cellStyle name="_BOQ-IIT-SCPL-R2-EXCLUING BLDG._MEASUREMENT-MAJOR(G+1)-BLOCK-4- 10-08-10-NILAM" xfId="665"/>
    <cellStyle name="_BOQ-IIT-SCPL-R2-EXCLUING BLDG._Miscellaneous work" xfId="666"/>
    <cellStyle name="_BOQ-IIT-SCPL-R2-EXCLUING BLDG._PAINTING" xfId="667"/>
    <cellStyle name="_BOQ-IIT-SCPL-R2-EXCLUING BLDG._RCC OR'S (G+2) -6 QTR_" xfId="668"/>
    <cellStyle name="_BOQ-IIT-SCPL-R2-EXCLUING BLDG._Sez_Boq_Superstructure part-FORMATED" xfId="669"/>
    <cellStyle name="_BOQ-IIT-SCPL-R2-EXCLUING BLDG._Steel truss-Dharmendra" xfId="670"/>
    <cellStyle name="_BOQ-IIT-SCPL-R3-for B2 Bldg.-external development" xfId="671"/>
    <cellStyle name="_BOQ-IIT-SCPL-R3-for B2 Bldg.-external development_5th FLOOR" xfId="672"/>
    <cellStyle name="_BOQ-IIT-SCPL-R3-for B2 Bldg.-external development_ARCH MAJORs (G)" xfId="673"/>
    <cellStyle name="_BOQ-IIT-SCPL-R3-for B2 Bldg.-external development_ARCH MAJORs (G+1)-4 QTR" xfId="674"/>
    <cellStyle name="_BOQ-IIT-SCPL-R3-for B2 Bldg.-external development_ARCH OR'S (G+1) -3 QTR_" xfId="675"/>
    <cellStyle name="_BOQ-IIT-SCPL-R3-for B2 Bldg.-external development_BOQ" xfId="676"/>
    <cellStyle name="_BOQ-IIT-SCPL-R3-for B2 Bldg.-external development_Copy of Copy of MEAS SHEET OF- ARCH-SHIKHA" xfId="677"/>
    <cellStyle name="_BOQ-IIT-SCPL-R3-for B2 Bldg.-external development_Copy of MEAS SHEET OF- ARCH-kajal.." xfId="678"/>
    <cellStyle name="_BOQ-IIT-SCPL-R3-for B2 Bldg.-external development_Copy of MEAS SHEET OF- ARCH-SK" xfId="679"/>
    <cellStyle name="_BOQ-IIT-SCPL-R3-for B2 Bldg.-external development_ESTIMATE-15.03.11-OPTION-2" xfId="680"/>
    <cellStyle name="_BOQ-IIT-SCPL-R3-for B2 Bldg.-external development_Final BOQ-SEMINAR HALL" xfId="681"/>
    <cellStyle name="_BOQ-IIT-SCPL-R3-for B2 Bldg.-external development_FINAL MEAS SHEET OF-ARCHI-MDP HOSTEL -BL -" xfId="682"/>
    <cellStyle name="_BOQ-IIT-SCPL-R3-for B2 Bldg.-external development_JCO's (G+1) - 3 QUARTES" xfId="683"/>
    <cellStyle name="_BOQ-IIT-SCPL-R3-for B2 Bldg.-external development_JCO's (G+1) - 3 QUARTES - FINAL ARCH &amp; STRU" xfId="684"/>
    <cellStyle name="_BOQ-IIT-SCPL-R3-for B2 Bldg.-external development_JCO's (G+1) - 4 QUARTES" xfId="685"/>
    <cellStyle name="_BOQ-IIT-SCPL-R3-for B2 Bldg.-external development_JCO's (G+2) - 6 QUARTES" xfId="686"/>
    <cellStyle name="_BOQ-IIT-SCPL-R3-for B2 Bldg.-external development_MBA COLLAGE-CCBA ARCH" xfId="687"/>
    <cellStyle name="_BOQ-IIT-SCPL-R3-for B2 Bldg.-external development_MEAS SHEET OF- ARCH - Lower Ground floor" xfId="688"/>
    <cellStyle name="_BOQ-IIT-SCPL-R3-for B2 Bldg.-external development_MEAS SHEET OF- ARCH- Chaitali" xfId="689"/>
    <cellStyle name="_BOQ-IIT-SCPL-R3-for B2 Bldg.-external development_MEAS SHEET OF- ARCH-25-12-2010-heena...." xfId="690"/>
    <cellStyle name="_BOQ-IIT-SCPL-R3-for B2 Bldg.-external development_MEAS SHEET OF- ARCH-ANKITA " xfId="691"/>
    <cellStyle name="_BOQ-IIT-SCPL-R3-for B2 Bldg.-external development_MEAS SHEET OF- ARCH-kajal.." xfId="692"/>
    <cellStyle name="_BOQ-IIT-SCPL-R3-for B2 Bldg.-external development_MEAS SHEET OF- ARCH-MP" xfId="693"/>
    <cellStyle name="_BOQ-IIT-SCPL-R3-for B2 Bldg.-external development_MEAS SHEET OF- ARCH-priyanka." xfId="694"/>
    <cellStyle name="_BOQ-IIT-SCPL-R3-for B2 Bldg.-external development_MEAS SHEET OF- Mitali" xfId="695"/>
    <cellStyle name="_BOQ-IIT-SCPL-R3-for B2 Bldg.-external development_MEAS SHEET OF RCC FOR MDP HOSTEL - 06.06.11-JRP" xfId="696"/>
    <cellStyle name="_BOQ-IIT-SCPL-R3-for B2 Bldg.-external development_Meas Sheet of-stru-STAFF QUARTER-kajal" xfId="697"/>
    <cellStyle name="_BOQ-IIT-SCPL-R3-for B2 Bldg.-external development_MEAS.-OR'S (G+1) (3 QTRS.)" xfId="698"/>
    <cellStyle name="_BOQ-IIT-SCPL-R3-for B2 Bldg.-external development_MEAS.-OR'S (G+2) (6 QTRS.)" xfId="699"/>
    <cellStyle name="_BOQ-IIT-SCPL-R3-for B2 Bldg.-external development_MEAS-FACULTY HOUSE-16.04.10-A" xfId="700"/>
    <cellStyle name="_BOQ-IIT-SCPL-R3-for B2 Bldg.-external development_MEAS-FACULTY HOUSE-16.04.10-A_00 REV COMBINED EST-03.04.12---" xfId="701"/>
    <cellStyle name="_BOQ-IIT-SCPL-R3-for B2 Bldg.-external development_MEAS-FACULTY HOUSE-16.04.10-A_00-REV-ESTIMATE-04.04.12" xfId="702"/>
    <cellStyle name="_BOQ-IIT-SCPL-R3-for B2 Bldg.-external development_MEAS-FACULTY HOUSE-16.04.10-A_BOQ" xfId="703"/>
    <cellStyle name="_BOQ-IIT-SCPL-R3-for B2 Bldg.-external development_MEAS-FACULTY HOUSE-16.04.10-A_Meas. Sheet Of R.C.C. (07-06-12)(M.)(Tower - 2)" xfId="704"/>
    <cellStyle name="_BOQ-IIT-SCPL-R3-for B2 Bldg.-external development_MEAS-FACULTY HOUSE-16.04.10-A_Meas. Sheet Of R.C.C. (07-06-12)(M.)(Tower - 2)_BOQ" xfId="705"/>
    <cellStyle name="_BOQ-IIT-SCPL-R3-for B2 Bldg.-external development_MEAS-FACULTY HOUSE-16.04.10-A_Meas. Sheet Of R.C.C. (07-06-12)(M.)(Tower - 2)_Meas. Sheet Of R.C.C-22.06.12-Tower 3" xfId="706"/>
    <cellStyle name="_BOQ-IIT-SCPL-R3-for B2 Bldg.-external development_MEAS-FACULTY HOUSE-16.04.10-A_Meas. Sheet Of R.C.C. (07-06-12)(M.)(Tower- 1)" xfId="707"/>
    <cellStyle name="_BOQ-IIT-SCPL-R3-for B2 Bldg.-external development_MEAS-FACULTY HOUSE-16.04.10-A_Meas. Sheet Of R.C.C. (07-06-12)(M.)(Tower- 1)_BOQ" xfId="708"/>
    <cellStyle name="_BOQ-IIT-SCPL-R3-for B2 Bldg.-external development_MEAS-FACULTY HOUSE-16.04.10-A_Meas. Sheet Of R.C.C. (07-06-12)(M.)(Tower- 1)_Meas. Sheet Of R.C.C-22.06.12-Tower 3" xfId="709"/>
    <cellStyle name="_BOQ-IIT-SCPL-R3-for B2 Bldg.-external development_MEAS-FACULTY HOUSE-16.04.10-A_Meas. Sheet Of R.C.C. (13-06-12)(M)(basement)" xfId="710"/>
    <cellStyle name="_BOQ-IIT-SCPL-R3-for B2 Bldg.-external development_MEAS-FACULTY HOUSE-16.04.10-A_Meas. Sheet Of R.C.C. (13-06-12)(M)(basement)_BOQ" xfId="711"/>
    <cellStyle name="_BOQ-IIT-SCPL-R3-for B2 Bldg.-external development_MEAS-FACULTY HOUSE-16.04.10-A_Meas. Sheet Of R.C.C. (13-06-12)(M)(basement)_Meas. Sheet Of R.C.C-22.06.12-Tower 3" xfId="712"/>
    <cellStyle name="_BOQ-IIT-SCPL-R3-for B2 Bldg.-external development_MEAS-FACULTY HOUSE-16.04.10-A_Meas. Sheet Of R.C.C.Tower 3-(9.06.12)-N" xfId="713"/>
    <cellStyle name="_BOQ-IIT-SCPL-R3-for B2 Bldg.-external development_MEAS-FACULTY HOUSE-16.04.10-A_Meas. Sheet Of R.C.C.Tower 3-(9.06.12)-N_BOQ" xfId="714"/>
    <cellStyle name="_BOQ-IIT-SCPL-R3-for B2 Bldg.-external development_MEAS-FACULTY HOUSE-16.04.10-A_Meas. Sheet Of R.C.C.Tower 3-(9.06.12)-N_Meas. Sheet Of R.C.C-22.06.12-Tower 3" xfId="715"/>
    <cellStyle name="_BOQ-IIT-SCPL-R3-for B2 Bldg.-external development_Measurement" xfId="716"/>
    <cellStyle name="_BOQ-IIT-SCPL-R3-for B2 Bldg.-external development_MEASUREMENT SHEET -Plaster At Guest House- Chaitali" xfId="717"/>
    <cellStyle name="_BOQ-IIT-SCPL-R3-for B2 Bldg.-external development_MEASUREMENT-MAJOR(G+1)-BLOCK-4- 10-08-10-ARVA" xfId="718"/>
    <cellStyle name="_BOQ-IIT-SCPL-R3-for B2 Bldg.-external development_MEASUREMENT-MAJOR(G+1)-BLOCK-4- 10-08-10-NILAM" xfId="719"/>
    <cellStyle name="_BOQ-IIT-SCPL-R3-for B2 Bldg.-external development_Miscellaneous work" xfId="720"/>
    <cellStyle name="_BOQ-IIT-SCPL-R3-for B2 Bldg.-external development_RCC OR'S (G+2) -6 QTR_" xfId="721"/>
    <cellStyle name="_BOQ-IIT-SCPL-R3-for B2 Bldg.-external development_Sez_Boq_Superstructure part-FORMATED" xfId="722"/>
    <cellStyle name="_BOQ-IIT-SCPL-R3-for B2 Bldg.-external development_Steel truss-Dharmendra" xfId="723"/>
    <cellStyle name="_BOQ-IIT-SCPL-R3-for B3 Bldg.-external development" xfId="724"/>
    <cellStyle name="_BOQ-IIT-SCPL-R3-for B3 Bldg.-external development_5th FLOOR" xfId="725"/>
    <cellStyle name="_BOQ-IIT-SCPL-R3-for B3 Bldg.-external development_ARCH MAJORs (G)" xfId="726"/>
    <cellStyle name="_BOQ-IIT-SCPL-R3-for B3 Bldg.-external development_ARCH MAJORs (G+1)-4 QTR" xfId="727"/>
    <cellStyle name="_BOQ-IIT-SCPL-R3-for B3 Bldg.-external development_ARCH OR'S (G+1) -3 QTR_" xfId="728"/>
    <cellStyle name="_BOQ-IIT-SCPL-R3-for B3 Bldg.-external development_BOQ" xfId="729"/>
    <cellStyle name="_BOQ-IIT-SCPL-R3-for B3 Bldg.-external development_Copy of Copy of MEAS SHEET OF- ARCH-SHIKHA" xfId="730"/>
    <cellStyle name="_BOQ-IIT-SCPL-R3-for B3 Bldg.-external development_Copy of MEAS SHEET OF- ARCH-kajal.." xfId="731"/>
    <cellStyle name="_BOQ-IIT-SCPL-R3-for B3 Bldg.-external development_Copy of MEAS SHEET OF- ARCH-SK" xfId="732"/>
    <cellStyle name="_BOQ-IIT-SCPL-R3-for B3 Bldg.-external development_ESTIMATE-15.03.11-OPTION-2" xfId="733"/>
    <cellStyle name="_BOQ-IIT-SCPL-R3-for B3 Bldg.-external development_Final BOQ-SEMINAR HALL" xfId="734"/>
    <cellStyle name="_BOQ-IIT-SCPL-R3-for B3 Bldg.-external development_FINAL MEAS SHEET OF-ARCHI-MDP HOSTEL -BL -" xfId="735"/>
    <cellStyle name="_BOQ-IIT-SCPL-R3-for B3 Bldg.-external development_JCO's (G+1) - 3 QUARTES" xfId="736"/>
    <cellStyle name="_BOQ-IIT-SCPL-R3-for B3 Bldg.-external development_JCO's (G+1) - 3 QUARTES - FINAL ARCH &amp; STRU" xfId="737"/>
    <cellStyle name="_BOQ-IIT-SCPL-R3-for B3 Bldg.-external development_JCO's (G+1) - 4 QUARTES" xfId="738"/>
    <cellStyle name="_BOQ-IIT-SCPL-R3-for B3 Bldg.-external development_JCO's (G+2) - 6 QUARTES" xfId="739"/>
    <cellStyle name="_BOQ-IIT-SCPL-R3-for B3 Bldg.-external development_MBA COLLAGE-CCBA ARCH" xfId="740"/>
    <cellStyle name="_BOQ-IIT-SCPL-R3-for B3 Bldg.-external development_MEAS SHEET OF- ARCH - Lower Ground floor" xfId="741"/>
    <cellStyle name="_BOQ-IIT-SCPL-R3-for B3 Bldg.-external development_MEAS SHEET OF- ARCH- Chaitali" xfId="742"/>
    <cellStyle name="_BOQ-IIT-SCPL-R3-for B3 Bldg.-external development_MEAS SHEET OF- ARCH-25-12-2010-heena...." xfId="743"/>
    <cellStyle name="_BOQ-IIT-SCPL-R3-for B3 Bldg.-external development_MEAS SHEET OF- ARCH-ANKITA " xfId="744"/>
    <cellStyle name="_BOQ-IIT-SCPL-R3-for B3 Bldg.-external development_MEAS SHEET OF- ARCH-kajal.." xfId="745"/>
    <cellStyle name="_BOQ-IIT-SCPL-R3-for B3 Bldg.-external development_MEAS SHEET OF- ARCH-MP" xfId="746"/>
    <cellStyle name="_BOQ-IIT-SCPL-R3-for B3 Bldg.-external development_MEAS SHEET OF- ARCH-priyanka." xfId="747"/>
    <cellStyle name="_BOQ-IIT-SCPL-R3-for B3 Bldg.-external development_MEAS SHEET OF- Mitali" xfId="748"/>
    <cellStyle name="_BOQ-IIT-SCPL-R3-for B3 Bldg.-external development_MEAS SHEET OF RCC FOR MDP HOSTEL - 06.06.11-JRP" xfId="749"/>
    <cellStyle name="_BOQ-IIT-SCPL-R3-for B3 Bldg.-external development_Meas Sheet of-stru-STAFF QUARTER-kajal" xfId="750"/>
    <cellStyle name="_BOQ-IIT-SCPL-R3-for B3 Bldg.-external development_MEAS.-OR'S (G+1) (3 QTRS.)" xfId="751"/>
    <cellStyle name="_BOQ-IIT-SCPL-R3-for B3 Bldg.-external development_MEAS.-OR'S (G+2) (6 QTRS.)" xfId="752"/>
    <cellStyle name="_BOQ-IIT-SCPL-R3-for B3 Bldg.-external development_MEAS-FACULTY HOUSE-16.04.10-A" xfId="753"/>
    <cellStyle name="_BOQ-IIT-SCPL-R3-for B3 Bldg.-external development_MEAS-FACULTY HOUSE-16.04.10-A_00 REV COMBINED EST-03.04.12---" xfId="754"/>
    <cellStyle name="_BOQ-IIT-SCPL-R3-for B3 Bldg.-external development_MEAS-FACULTY HOUSE-16.04.10-A_00-REV-ESTIMATE-04.04.12" xfId="755"/>
    <cellStyle name="_BOQ-IIT-SCPL-R3-for B3 Bldg.-external development_MEAS-FACULTY HOUSE-16.04.10-A_BOQ" xfId="756"/>
    <cellStyle name="_BOQ-IIT-SCPL-R3-for B3 Bldg.-external development_MEAS-FACULTY HOUSE-16.04.10-A_Meas. Sheet Of R.C.C. (07-06-12)(M.)(Tower - 2)" xfId="757"/>
    <cellStyle name="_BOQ-IIT-SCPL-R3-for B3 Bldg.-external development_MEAS-FACULTY HOUSE-16.04.10-A_Meas. Sheet Of R.C.C. (07-06-12)(M.)(Tower - 2)_BOQ" xfId="758"/>
    <cellStyle name="_BOQ-IIT-SCPL-R3-for B3 Bldg.-external development_MEAS-FACULTY HOUSE-16.04.10-A_Meas. Sheet Of R.C.C. (07-06-12)(M.)(Tower - 2)_Meas. Sheet Of R.C.C-22.06.12-Tower 3" xfId="759"/>
    <cellStyle name="_BOQ-IIT-SCPL-R3-for B3 Bldg.-external development_MEAS-FACULTY HOUSE-16.04.10-A_Meas. Sheet Of R.C.C. (07-06-12)(M.)(Tower- 1)" xfId="760"/>
    <cellStyle name="_BOQ-IIT-SCPL-R3-for B3 Bldg.-external development_MEAS-FACULTY HOUSE-16.04.10-A_Meas. Sheet Of R.C.C. (07-06-12)(M.)(Tower- 1)_BOQ" xfId="761"/>
    <cellStyle name="_BOQ-IIT-SCPL-R3-for B3 Bldg.-external development_MEAS-FACULTY HOUSE-16.04.10-A_Meas. Sheet Of R.C.C. (07-06-12)(M.)(Tower- 1)_Meas. Sheet Of R.C.C-22.06.12-Tower 3" xfId="762"/>
    <cellStyle name="_BOQ-IIT-SCPL-R3-for B3 Bldg.-external development_MEAS-FACULTY HOUSE-16.04.10-A_Meas. Sheet Of R.C.C. (13-06-12)(M)(basement)" xfId="763"/>
    <cellStyle name="_BOQ-IIT-SCPL-R3-for B3 Bldg.-external development_MEAS-FACULTY HOUSE-16.04.10-A_Meas. Sheet Of R.C.C. (13-06-12)(M)(basement)_BOQ" xfId="764"/>
    <cellStyle name="_BOQ-IIT-SCPL-R3-for B3 Bldg.-external development_MEAS-FACULTY HOUSE-16.04.10-A_Meas. Sheet Of R.C.C. (13-06-12)(M)(basement)_Meas. Sheet Of R.C.C-22.06.12-Tower 3" xfId="765"/>
    <cellStyle name="_BOQ-IIT-SCPL-R3-for B3 Bldg.-external development_MEAS-FACULTY HOUSE-16.04.10-A_Meas. Sheet Of R.C.C.Tower 3-(9.06.12)-N" xfId="766"/>
    <cellStyle name="_BOQ-IIT-SCPL-R3-for B3 Bldg.-external development_MEAS-FACULTY HOUSE-16.04.10-A_Meas. Sheet Of R.C.C.Tower 3-(9.06.12)-N_BOQ" xfId="767"/>
    <cellStyle name="_BOQ-IIT-SCPL-R3-for B3 Bldg.-external development_MEAS-FACULTY HOUSE-16.04.10-A_Meas. Sheet Of R.C.C.Tower 3-(9.06.12)-N_Meas. Sheet Of R.C.C-22.06.12-Tower 3" xfId="768"/>
    <cellStyle name="_BOQ-IIT-SCPL-R3-for B3 Bldg.-external development_Measurement" xfId="769"/>
    <cellStyle name="_BOQ-IIT-SCPL-R3-for B3 Bldg.-external development_MEASUREMENT SHEET -Plaster At Guest House- Chaitali" xfId="770"/>
    <cellStyle name="_BOQ-IIT-SCPL-R3-for B3 Bldg.-external development_MEASUREMENT-MAJOR(G+1)-BLOCK-4- 10-08-10-ARVA" xfId="771"/>
    <cellStyle name="_BOQ-IIT-SCPL-R3-for B3 Bldg.-external development_MEASUREMENT-MAJOR(G+1)-BLOCK-4- 10-08-10-NILAM" xfId="772"/>
    <cellStyle name="_BOQ-IIT-SCPL-R3-for B3 Bldg.-external development_Miscellaneous work" xfId="773"/>
    <cellStyle name="_BOQ-IIT-SCPL-R3-for B3 Bldg.-external development_RCC OR'S (G+2) -6 QTR_" xfId="774"/>
    <cellStyle name="_BOQ-IIT-SCPL-R3-for B3 Bldg.-external development_Sez_Boq_Superstructure part-FORMATED" xfId="775"/>
    <cellStyle name="_BOQ-IIT-SCPL-R3-for B3 Bldg.-external development_Steel truss-Dharmendra" xfId="776"/>
    <cellStyle name="_BOQ-IIT-SCPL-R5-for B2 Bldg.-external development-26.06.09" xfId="777"/>
    <cellStyle name="_BOQ-IIT-SCPL-R5-for B2 Bldg.-external development-26.06.09_MEAS-FACULTY HOUSE-16.04.10-A" xfId="778"/>
    <cellStyle name="_BOQ-IIT-SCPL-R5-for B2 Bldg.-external development-26.06.09_MEAS-FACULTY HOUSE-16.04.10-A_00 REV COMBINED EST-03.04.12---" xfId="779"/>
    <cellStyle name="_BOQ-IIT-SCPL-R5-for B2 Bldg.-external development-26.06.09_MEAS-FACULTY HOUSE-16.04.10-A_00-REV-ESTIMATE-04.04.12" xfId="780"/>
    <cellStyle name="_BOQ-IIT-SCPL-R5-for B2 Bldg.-external development-26.06.09_MEAS-FACULTY HOUSE-16.04.10-A_BOQ" xfId="781"/>
    <cellStyle name="_BOQ-IIT-SCPL-R5-for B2 Bldg.-external development-26.06.09_MEAS-FACULTY HOUSE-16.04.10-A_Meas. Sheet Of R.C.C. (07-06-12)(M.)(Tower - 2)" xfId="782"/>
    <cellStyle name="_BOQ-IIT-SCPL-R5-for B2 Bldg.-external development-26.06.09_MEAS-FACULTY HOUSE-16.04.10-A_Meas. Sheet Of R.C.C. (07-06-12)(M.)(Tower - 2)_BOQ" xfId="783"/>
    <cellStyle name="_BOQ-IIT-SCPL-R5-for B2 Bldg.-external development-26.06.09_MEAS-FACULTY HOUSE-16.04.10-A_Meas. Sheet Of R.C.C. (07-06-12)(M.)(Tower - 2)_Meas. Sheet Of R.C.C-22.06.12-Tower 3" xfId="784"/>
    <cellStyle name="_BOQ-IIT-SCPL-R5-for B2 Bldg.-external development-26.06.09_MEAS-FACULTY HOUSE-16.04.10-A_Meas. Sheet Of R.C.C. (07-06-12)(M.)(Tower- 1)" xfId="785"/>
    <cellStyle name="_BOQ-IIT-SCPL-R5-for B2 Bldg.-external development-26.06.09_MEAS-FACULTY HOUSE-16.04.10-A_Meas. Sheet Of R.C.C. (07-06-12)(M.)(Tower- 1)_BOQ" xfId="786"/>
    <cellStyle name="_BOQ-IIT-SCPL-R5-for B2 Bldg.-external development-26.06.09_MEAS-FACULTY HOUSE-16.04.10-A_Meas. Sheet Of R.C.C. (07-06-12)(M.)(Tower- 1)_Meas. Sheet Of R.C.C-22.06.12-Tower 3" xfId="787"/>
    <cellStyle name="_BOQ-IIT-SCPL-R5-for B2 Bldg.-external development-26.06.09_MEAS-FACULTY HOUSE-16.04.10-A_Meas. Sheet Of R.C.C. (13-06-12)(M)(basement)" xfId="788"/>
    <cellStyle name="_BOQ-IIT-SCPL-R5-for B2 Bldg.-external development-26.06.09_MEAS-FACULTY HOUSE-16.04.10-A_Meas. Sheet Of R.C.C. (13-06-12)(M)(basement)_BOQ" xfId="789"/>
    <cellStyle name="_BOQ-IIT-SCPL-R5-for B2 Bldg.-external development-26.06.09_MEAS-FACULTY HOUSE-16.04.10-A_Meas. Sheet Of R.C.C. (13-06-12)(M)(basement)_Meas. Sheet Of R.C.C-22.06.12-Tower 3" xfId="790"/>
    <cellStyle name="_BOQ-IIT-SCPL-R5-for B2 Bldg.-external development-26.06.09_MEAS-FACULTY HOUSE-16.04.10-A_Meas. Sheet Of R.C.C.Tower 3-(9.06.12)-N" xfId="791"/>
    <cellStyle name="_BOQ-IIT-SCPL-R5-for B2 Bldg.-external development-26.06.09_MEAS-FACULTY HOUSE-16.04.10-A_Meas. Sheet Of R.C.C.Tower 3-(9.06.12)-N_BOQ" xfId="792"/>
    <cellStyle name="_BOQ-IIT-SCPL-R5-for B2 Bldg.-external development-26.06.09_MEAS-FACULTY HOUSE-16.04.10-A_Meas. Sheet Of R.C.C.Tower 3-(9.06.12)-N_Meas. Sheet Of R.C.C-22.06.12-Tower 3" xfId="793"/>
    <cellStyle name="_BOQ-IIT-SCPL-R5-for B2 Bldg.-external development-26.06.09_Sez_Boq_Superstructure part-FORMATED" xfId="794"/>
    <cellStyle name="_BOQ-IIT-SCPL-R5-for B3 Bldg.-external development-26.06.09" xfId="795"/>
    <cellStyle name="_BOQ-IIT-SCPL-R5-for B3 Bldg.-external development-26.06.09_MEAS-FACULTY HOUSE-16.04.10-A" xfId="796"/>
    <cellStyle name="_BOQ-IIT-SCPL-R5-for B3 Bldg.-external development-26.06.09_MEAS-FACULTY HOUSE-16.04.10-A_00 REV COMBINED EST-03.04.12---" xfId="797"/>
    <cellStyle name="_BOQ-IIT-SCPL-R5-for B3 Bldg.-external development-26.06.09_MEAS-FACULTY HOUSE-16.04.10-A_00-REV-ESTIMATE-04.04.12" xfId="798"/>
    <cellStyle name="_BOQ-IIT-SCPL-R5-for B3 Bldg.-external development-26.06.09_MEAS-FACULTY HOUSE-16.04.10-A_BOQ" xfId="799"/>
    <cellStyle name="_BOQ-IIT-SCPL-R5-for B3 Bldg.-external development-26.06.09_MEAS-FACULTY HOUSE-16.04.10-A_Meas. Sheet Of R.C.C. (07-06-12)(M.)(Tower - 2)" xfId="800"/>
    <cellStyle name="_BOQ-IIT-SCPL-R5-for B3 Bldg.-external development-26.06.09_MEAS-FACULTY HOUSE-16.04.10-A_Meas. Sheet Of R.C.C. (07-06-12)(M.)(Tower - 2)_BOQ" xfId="801"/>
    <cellStyle name="_BOQ-IIT-SCPL-R5-for B3 Bldg.-external development-26.06.09_MEAS-FACULTY HOUSE-16.04.10-A_Meas. Sheet Of R.C.C. (07-06-12)(M.)(Tower - 2)_Meas. Sheet Of R.C.C-22.06.12-Tower 3" xfId="802"/>
    <cellStyle name="_BOQ-IIT-SCPL-R5-for B3 Bldg.-external development-26.06.09_MEAS-FACULTY HOUSE-16.04.10-A_Meas. Sheet Of R.C.C. (07-06-12)(M.)(Tower- 1)" xfId="803"/>
    <cellStyle name="_BOQ-IIT-SCPL-R5-for B3 Bldg.-external development-26.06.09_MEAS-FACULTY HOUSE-16.04.10-A_Meas. Sheet Of R.C.C. (07-06-12)(M.)(Tower- 1)_BOQ" xfId="804"/>
    <cellStyle name="_BOQ-IIT-SCPL-R5-for B3 Bldg.-external development-26.06.09_MEAS-FACULTY HOUSE-16.04.10-A_Meas. Sheet Of R.C.C. (07-06-12)(M.)(Tower- 1)_Meas. Sheet Of R.C.C-22.06.12-Tower 3" xfId="805"/>
    <cellStyle name="_BOQ-IIT-SCPL-R5-for B3 Bldg.-external development-26.06.09_MEAS-FACULTY HOUSE-16.04.10-A_Meas. Sheet Of R.C.C. (13-06-12)(M)(basement)" xfId="806"/>
    <cellStyle name="_BOQ-IIT-SCPL-R5-for B3 Bldg.-external development-26.06.09_MEAS-FACULTY HOUSE-16.04.10-A_Meas. Sheet Of R.C.C. (13-06-12)(M)(basement)_BOQ" xfId="807"/>
    <cellStyle name="_BOQ-IIT-SCPL-R5-for B3 Bldg.-external development-26.06.09_MEAS-FACULTY HOUSE-16.04.10-A_Meas. Sheet Of R.C.C. (13-06-12)(M)(basement)_Meas. Sheet Of R.C.C-22.06.12-Tower 3" xfId="808"/>
    <cellStyle name="_BOQ-IIT-SCPL-R5-for B3 Bldg.-external development-26.06.09_MEAS-FACULTY HOUSE-16.04.10-A_Meas. Sheet Of R.C.C.Tower 3-(9.06.12)-N" xfId="809"/>
    <cellStyle name="_BOQ-IIT-SCPL-R5-for B3 Bldg.-external development-26.06.09_MEAS-FACULTY HOUSE-16.04.10-A_Meas. Sheet Of R.C.C.Tower 3-(9.06.12)-N_BOQ" xfId="810"/>
    <cellStyle name="_BOQ-IIT-SCPL-R5-for B3 Bldg.-external development-26.06.09_MEAS-FACULTY HOUSE-16.04.10-A_Meas. Sheet Of R.C.C.Tower 3-(9.06.12)-N_Meas. Sheet Of R.C.C-22.06.12-Tower 3" xfId="811"/>
    <cellStyle name="_BOQ-IIT-SCPL-R5-for B3 Bldg.-external development-26.06.09_Sez_Boq_Superstructure part-FORMATED" xfId="812"/>
    <cellStyle name="_BOQ-IIT-SCPL-R6-for B3 Bldg.-external development-13.08.09" xfId="813"/>
    <cellStyle name="_BOQ-IIT-SCPL-R6-for B3 Bldg.-external development-13.08.09_MEAS-FACULTY HOUSE-16.04.10-A" xfId="814"/>
    <cellStyle name="_BOQ-IIT-SCPL-R6-for B3 Bldg.-external development-13.08.09_MEAS-FACULTY HOUSE-16.04.10-A_00 REV COMBINED EST-03.04.12---" xfId="815"/>
    <cellStyle name="_BOQ-IIT-SCPL-R6-for B3 Bldg.-external development-13.08.09_MEAS-FACULTY HOUSE-16.04.10-A_00-REV-ESTIMATE-04.04.12" xfId="816"/>
    <cellStyle name="_BOQ-IIT-SCPL-R6-for B3 Bldg.-external development-13.08.09_MEAS-FACULTY HOUSE-16.04.10-A_BOQ" xfId="817"/>
    <cellStyle name="_BOQ-IIT-SCPL-R6-for B3 Bldg.-external development-13.08.09_MEAS-FACULTY HOUSE-16.04.10-A_Meas. Sheet Of R.C.C. (07-06-12)(M.)(Tower - 2)" xfId="818"/>
    <cellStyle name="_BOQ-IIT-SCPL-R6-for B3 Bldg.-external development-13.08.09_MEAS-FACULTY HOUSE-16.04.10-A_Meas. Sheet Of R.C.C. (07-06-12)(M.)(Tower - 2)_BOQ" xfId="819"/>
    <cellStyle name="_BOQ-IIT-SCPL-R6-for B3 Bldg.-external development-13.08.09_MEAS-FACULTY HOUSE-16.04.10-A_Meas. Sheet Of R.C.C. (07-06-12)(M.)(Tower - 2)_Meas. Sheet Of R.C.C-22.06.12-Tower 3" xfId="820"/>
    <cellStyle name="_BOQ-IIT-SCPL-R6-for B3 Bldg.-external development-13.08.09_MEAS-FACULTY HOUSE-16.04.10-A_Meas. Sheet Of R.C.C. (07-06-12)(M.)(Tower- 1)" xfId="821"/>
    <cellStyle name="_BOQ-IIT-SCPL-R6-for B3 Bldg.-external development-13.08.09_MEAS-FACULTY HOUSE-16.04.10-A_Meas. Sheet Of R.C.C. (07-06-12)(M.)(Tower- 1)_BOQ" xfId="822"/>
    <cellStyle name="_BOQ-IIT-SCPL-R6-for B3 Bldg.-external development-13.08.09_MEAS-FACULTY HOUSE-16.04.10-A_Meas. Sheet Of R.C.C. (07-06-12)(M.)(Tower- 1)_Meas. Sheet Of R.C.C-22.06.12-Tower 3" xfId="823"/>
    <cellStyle name="_BOQ-IIT-SCPL-R6-for B3 Bldg.-external development-13.08.09_MEAS-FACULTY HOUSE-16.04.10-A_Meas. Sheet Of R.C.C. (13-06-12)(M)(basement)" xfId="824"/>
    <cellStyle name="_BOQ-IIT-SCPL-R6-for B3 Bldg.-external development-13.08.09_MEAS-FACULTY HOUSE-16.04.10-A_Meas. Sheet Of R.C.C. (13-06-12)(M)(basement)_BOQ" xfId="825"/>
    <cellStyle name="_BOQ-IIT-SCPL-R6-for B3 Bldg.-external development-13.08.09_MEAS-FACULTY HOUSE-16.04.10-A_Meas. Sheet Of R.C.C. (13-06-12)(M)(basement)_Meas. Sheet Of R.C.C-22.06.12-Tower 3" xfId="826"/>
    <cellStyle name="_BOQ-IIT-SCPL-R6-for B3 Bldg.-external development-13.08.09_MEAS-FACULTY HOUSE-16.04.10-A_Meas. Sheet Of R.C.C.Tower 3-(9.06.12)-N" xfId="827"/>
    <cellStyle name="_BOQ-IIT-SCPL-R6-for B3 Bldg.-external development-13.08.09_MEAS-FACULTY HOUSE-16.04.10-A_Meas. Sheet Of R.C.C.Tower 3-(9.06.12)-N_BOQ" xfId="828"/>
    <cellStyle name="_BOQ-IIT-SCPL-R6-for B3 Bldg.-external development-13.08.09_MEAS-FACULTY HOUSE-16.04.10-A_Meas. Sheet Of R.C.C.Tower 3-(9.06.12)-N_Meas. Sheet Of R.C.C-22.06.12-Tower 3" xfId="829"/>
    <cellStyle name="_BOQ-IIT-SCPL-R6-for B3 Bldg.-external development-13.08.09_Sez_Boq_Superstructure part-FORMATED" xfId="830"/>
    <cellStyle name="_BOQ-IIT-SCPL-REVISED-R2-FOR BLDG-as per various lvls" xfId="831"/>
    <cellStyle name="_BOQ-IIT-SCPL-REVISED-R2-FOR BLDG-as per various lvls_5th FLOOR" xfId="832"/>
    <cellStyle name="_BOQ-IIT-SCPL-REVISED-R2-FOR BLDG-as per various lvls_ARCH MAJORs (G)" xfId="833"/>
    <cellStyle name="_BOQ-IIT-SCPL-REVISED-R2-FOR BLDG-as per various lvls_ARCH MAJORs (G+1)-4 QTR" xfId="834"/>
    <cellStyle name="_BOQ-IIT-SCPL-REVISED-R2-FOR BLDG-as per various lvls_ARCH OR'S (G+1) -3 QTR_" xfId="835"/>
    <cellStyle name="_BOQ-IIT-SCPL-REVISED-R2-FOR BLDG-as per various lvls_BOQ" xfId="836"/>
    <cellStyle name="_BOQ-IIT-SCPL-REVISED-R2-FOR BLDG-as per various lvls_BOQ OF FINISHES FOR residentialL- 21.05.11" xfId="837"/>
    <cellStyle name="_BOQ-IIT-SCPL-REVISED-R2-FOR BLDG-as per various lvls_Copy of Copy of MEAS SHEET OF- ARCH-SHIKHA" xfId="838"/>
    <cellStyle name="_BOQ-IIT-SCPL-REVISED-R2-FOR BLDG-as per various lvls_Copy of MEAS SHEET OF- ARCH-kajal.." xfId="839"/>
    <cellStyle name="_BOQ-IIT-SCPL-REVISED-R2-FOR BLDG-as per various lvls_Copy of MEAS SHEET OF- ARCH-SK" xfId="840"/>
    <cellStyle name="_BOQ-IIT-SCPL-REVISED-R2-FOR BLDG-as per various lvls_ESTIMATE-15.03.11-OPTION-2" xfId="841"/>
    <cellStyle name="_BOQ-IIT-SCPL-REVISED-R2-FOR BLDG-as per various lvls_Final BOQ-SEMINAR HALL" xfId="842"/>
    <cellStyle name="_BOQ-IIT-SCPL-REVISED-R2-FOR BLDG-as per various lvls_FINAL MEAS SHEET OF-ARCHI-MDP HOSTEL -BL -" xfId="843"/>
    <cellStyle name="_BOQ-IIT-SCPL-REVISED-R2-FOR BLDG-as per various lvls_JCO's (G+1) - 3 QUARTES" xfId="844"/>
    <cellStyle name="_BOQ-IIT-SCPL-REVISED-R2-FOR BLDG-as per various lvls_JCO's (G+1) - 3 QUARTES - FINAL ARCH &amp; STRU" xfId="845"/>
    <cellStyle name="_BOQ-IIT-SCPL-REVISED-R2-FOR BLDG-as per various lvls_JCO's (G+1) - 4 QUARTES" xfId="846"/>
    <cellStyle name="_BOQ-IIT-SCPL-REVISED-R2-FOR BLDG-as per various lvls_JCO's (G+2) - 6 QUARTES" xfId="847"/>
    <cellStyle name="_BOQ-IIT-SCPL-REVISED-R2-FOR BLDG-as per various lvls_MBA COLLAGE-CCBA ARCH" xfId="848"/>
    <cellStyle name="_BOQ-IIT-SCPL-REVISED-R2-FOR BLDG-as per various lvls_MEAS SHEET OF- ARCH - Lower Ground floor" xfId="849"/>
    <cellStyle name="_BOQ-IIT-SCPL-REVISED-R2-FOR BLDG-as per various lvls_MEAS SHEET OF- ARCH- Chaitali" xfId="850"/>
    <cellStyle name="_BOQ-IIT-SCPL-REVISED-R2-FOR BLDG-as per various lvls_MEAS SHEET OF- ARCH-25-12-2010-heena...." xfId="851"/>
    <cellStyle name="_BOQ-IIT-SCPL-REVISED-R2-FOR BLDG-as per various lvls_MEAS SHEET OF- ARCH-ANKITA " xfId="852"/>
    <cellStyle name="_BOQ-IIT-SCPL-REVISED-R2-FOR BLDG-as per various lvls_MEAS SHEET OF- ARCH-kajal.." xfId="853"/>
    <cellStyle name="_BOQ-IIT-SCPL-REVISED-R2-FOR BLDG-as per various lvls_MEAS SHEET OF- ARCH-MP" xfId="854"/>
    <cellStyle name="_BOQ-IIT-SCPL-REVISED-R2-FOR BLDG-as per various lvls_MEAS SHEET OF- ARCH-priyanka." xfId="855"/>
    <cellStyle name="_BOQ-IIT-SCPL-REVISED-R2-FOR BLDG-as per various lvls_MEAS SHEET OF- Mitali" xfId="856"/>
    <cellStyle name="_BOQ-IIT-SCPL-REVISED-R2-FOR BLDG-as per various lvls_MEAS SHEET OF RCC FOR MDP HOSTEL - 06.06.11-JRP" xfId="857"/>
    <cellStyle name="_BOQ-IIT-SCPL-REVISED-R2-FOR BLDG-as per various lvls_Meas Sheet of-stru-STAFF QUARTER-kajal" xfId="858"/>
    <cellStyle name="_BOQ-IIT-SCPL-REVISED-R2-FOR BLDG-as per various lvls_MEAS.-OR'S (G+1) (3 QTRS.)" xfId="859"/>
    <cellStyle name="_BOQ-IIT-SCPL-REVISED-R2-FOR BLDG-as per various lvls_MEAS.-OR'S (G+2) (6 QTRS.)" xfId="860"/>
    <cellStyle name="_BOQ-IIT-SCPL-REVISED-R2-FOR BLDG-as per various lvls_MEAS-FACULTY HOUSE-16.04.10-A" xfId="861"/>
    <cellStyle name="_BOQ-IIT-SCPL-REVISED-R2-FOR BLDG-as per various lvls_MEAS-FACULTY HOUSE-16.04.10-A_00 REV COMBINED EST-03.04.12---" xfId="862"/>
    <cellStyle name="_BOQ-IIT-SCPL-REVISED-R2-FOR BLDG-as per various lvls_MEAS-FACULTY HOUSE-16.04.10-A_00-REV-ESTIMATE-04.04.12" xfId="863"/>
    <cellStyle name="_BOQ-IIT-SCPL-REVISED-R2-FOR BLDG-as per various lvls_MEAS-FACULTY HOUSE-16.04.10-A_BOQ" xfId="864"/>
    <cellStyle name="_BOQ-IIT-SCPL-REVISED-R2-FOR BLDG-as per various lvls_MEAS-FACULTY HOUSE-16.04.10-A_Meas. Sheet Of R.C.C. (07-06-12)(M.)(Tower - 2)" xfId="865"/>
    <cellStyle name="_BOQ-IIT-SCPL-REVISED-R2-FOR BLDG-as per various lvls_MEAS-FACULTY HOUSE-16.04.10-A_Meas. Sheet Of R.C.C. (07-06-12)(M.)(Tower - 2)_BOQ" xfId="866"/>
    <cellStyle name="_BOQ-IIT-SCPL-REVISED-R2-FOR BLDG-as per various lvls_MEAS-FACULTY HOUSE-16.04.10-A_Meas. Sheet Of R.C.C. (07-06-12)(M.)(Tower - 2)_Meas. Sheet Of R.C.C-22.06.12-Tower 3" xfId="867"/>
    <cellStyle name="_BOQ-IIT-SCPL-REVISED-R2-FOR BLDG-as per various lvls_MEAS-FACULTY HOUSE-16.04.10-A_Meas. Sheet Of R.C.C. (07-06-12)(M.)(Tower- 1)" xfId="868"/>
    <cellStyle name="_BOQ-IIT-SCPL-REVISED-R2-FOR BLDG-as per various lvls_MEAS-FACULTY HOUSE-16.04.10-A_Meas. Sheet Of R.C.C. (07-06-12)(M.)(Tower- 1)_BOQ" xfId="869"/>
    <cellStyle name="_BOQ-IIT-SCPL-REVISED-R2-FOR BLDG-as per various lvls_MEAS-FACULTY HOUSE-16.04.10-A_Meas. Sheet Of R.C.C. (07-06-12)(M.)(Tower- 1)_Meas. Sheet Of R.C.C-22.06.12-Tower 3" xfId="870"/>
    <cellStyle name="_BOQ-IIT-SCPL-REVISED-R2-FOR BLDG-as per various lvls_MEAS-FACULTY HOUSE-16.04.10-A_Meas. Sheet Of R.C.C. (13-06-12)(M)(basement)" xfId="871"/>
    <cellStyle name="_BOQ-IIT-SCPL-REVISED-R2-FOR BLDG-as per various lvls_MEAS-FACULTY HOUSE-16.04.10-A_Meas. Sheet Of R.C.C. (13-06-12)(M)(basement)_BOQ" xfId="872"/>
    <cellStyle name="_BOQ-IIT-SCPL-REVISED-R2-FOR BLDG-as per various lvls_MEAS-FACULTY HOUSE-16.04.10-A_Meas. Sheet Of R.C.C. (13-06-12)(M)(basement)_Meas. Sheet Of R.C.C-22.06.12-Tower 3" xfId="873"/>
    <cellStyle name="_BOQ-IIT-SCPL-REVISED-R2-FOR BLDG-as per various lvls_MEAS-FACULTY HOUSE-16.04.10-A_Meas. Sheet Of R.C.C.Tower 3-(9.06.12)-N" xfId="874"/>
    <cellStyle name="_BOQ-IIT-SCPL-REVISED-R2-FOR BLDG-as per various lvls_MEAS-FACULTY HOUSE-16.04.10-A_Meas. Sheet Of R.C.C.Tower 3-(9.06.12)-N_BOQ" xfId="875"/>
    <cellStyle name="_BOQ-IIT-SCPL-REVISED-R2-FOR BLDG-as per various lvls_MEAS-FACULTY HOUSE-16.04.10-A_Meas. Sheet Of R.C.C.Tower 3-(9.06.12)-N_Meas. Sheet Of R.C.C-22.06.12-Tower 3" xfId="876"/>
    <cellStyle name="_BOQ-IIT-SCPL-REVISED-R2-FOR BLDG-as per various lvls_MEAS-SHEET- FINISHING-BL" xfId="877"/>
    <cellStyle name="_BOQ-IIT-SCPL-REVISED-R2-FOR BLDG-as per various lvls_Measurement" xfId="878"/>
    <cellStyle name="_BOQ-IIT-SCPL-REVISED-R2-FOR BLDG-as per various lvls_MEASUREMENT SHEET -Plaster At Guest House- Chaitali" xfId="879"/>
    <cellStyle name="_BOQ-IIT-SCPL-REVISED-R2-FOR BLDG-as per various lvls_MEASUREMENT-MAJOR(G+1)-BLOCK-4- 10-08-10-ARVA" xfId="880"/>
    <cellStyle name="_BOQ-IIT-SCPL-REVISED-R2-FOR BLDG-as per various lvls_MEASUREMENT-MAJOR(G+1)-BLOCK-4- 10-08-10-NILAM" xfId="881"/>
    <cellStyle name="_BOQ-IIT-SCPL-REVISED-R2-FOR BLDG-as per various lvls_Miscellaneous work" xfId="882"/>
    <cellStyle name="_BOQ-IIT-SCPL-REVISED-R2-FOR BLDG-as per various lvls_PAINTING" xfId="883"/>
    <cellStyle name="_BOQ-IIT-SCPL-REVISED-R2-FOR BLDG-as per various lvls_RCC OR'S (G+2) -6 QTR_" xfId="884"/>
    <cellStyle name="_BOQ-IIT-SCPL-REVISED-R2-FOR BLDG-as per various lvls_Sez_Boq_Superstructure part-FORMATED" xfId="885"/>
    <cellStyle name="_BOQ-IIT-SCPL-REVISED-R2-FOR BLDG-as per various lvls_Steel truss-Dharmendra" xfId="886"/>
    <cellStyle name="_BOQ-IIT-SCPL-REVISED-R3-FOR BLDG-2-as per various lvls" xfId="887"/>
    <cellStyle name="_BOQ-IIT-SCPL-REVISED-R3-FOR BLDG-2-as per various lvls_5th FLOOR" xfId="888"/>
    <cellStyle name="_BOQ-IIT-SCPL-REVISED-R3-FOR BLDG-2-as per various lvls_ARCH MAJORs (G)" xfId="889"/>
    <cellStyle name="_BOQ-IIT-SCPL-REVISED-R3-FOR BLDG-2-as per various lvls_ARCH MAJORs (G+1)-4 QTR" xfId="890"/>
    <cellStyle name="_BOQ-IIT-SCPL-REVISED-R3-FOR BLDG-2-as per various lvls_ARCH OR'S (G+1) -3 QTR_" xfId="891"/>
    <cellStyle name="_BOQ-IIT-SCPL-REVISED-R3-FOR BLDG-2-as per various lvls_BOQ" xfId="892"/>
    <cellStyle name="_BOQ-IIT-SCPL-REVISED-R3-FOR BLDG-2-as per various lvls_Copy of Copy of MEAS SHEET OF- ARCH-SHIKHA" xfId="893"/>
    <cellStyle name="_BOQ-IIT-SCPL-REVISED-R3-FOR BLDG-2-as per various lvls_Copy of MEAS SHEET OF- ARCH-kajal.." xfId="894"/>
    <cellStyle name="_BOQ-IIT-SCPL-REVISED-R3-FOR BLDG-2-as per various lvls_Copy of MEAS SHEET OF- ARCH-SK" xfId="895"/>
    <cellStyle name="_BOQ-IIT-SCPL-REVISED-R3-FOR BLDG-2-as per various lvls_ESTIMATE-15.03.11-OPTION-2" xfId="896"/>
    <cellStyle name="_BOQ-IIT-SCPL-REVISED-R3-FOR BLDG-2-as per various lvls_Final BOQ-SEMINAR HALL" xfId="897"/>
    <cellStyle name="_BOQ-IIT-SCPL-REVISED-R3-FOR BLDG-2-as per various lvls_FINAL MEAS SHEET OF-ARCHI-MDP HOSTEL -BL -" xfId="898"/>
    <cellStyle name="_BOQ-IIT-SCPL-REVISED-R3-FOR BLDG-2-as per various lvls_JCO's (G+1) - 3 QUARTES" xfId="899"/>
    <cellStyle name="_BOQ-IIT-SCPL-REVISED-R3-FOR BLDG-2-as per various lvls_JCO's (G+1) - 3 QUARTES - FINAL ARCH &amp; STRU" xfId="900"/>
    <cellStyle name="_BOQ-IIT-SCPL-REVISED-R3-FOR BLDG-2-as per various lvls_JCO's (G+1) - 4 QUARTES" xfId="901"/>
    <cellStyle name="_BOQ-IIT-SCPL-REVISED-R3-FOR BLDG-2-as per various lvls_JCO's (G+2) - 6 QUARTES" xfId="902"/>
    <cellStyle name="_BOQ-IIT-SCPL-REVISED-R3-FOR BLDG-2-as per various lvls_MBA COLLAGE-CCBA ARCH" xfId="903"/>
    <cellStyle name="_BOQ-IIT-SCPL-REVISED-R3-FOR BLDG-2-as per various lvls_MEAS SHEET OF- ARCH - Lower Ground floor" xfId="904"/>
    <cellStyle name="_BOQ-IIT-SCPL-REVISED-R3-FOR BLDG-2-as per various lvls_MEAS SHEET OF- ARCH- Chaitali" xfId="905"/>
    <cellStyle name="_BOQ-IIT-SCPL-REVISED-R3-FOR BLDG-2-as per various lvls_MEAS SHEET OF- ARCH-25-12-2010-heena...." xfId="906"/>
    <cellStyle name="_BOQ-IIT-SCPL-REVISED-R3-FOR BLDG-2-as per various lvls_MEAS SHEET OF- ARCH-ANKITA " xfId="907"/>
    <cellStyle name="_BOQ-IIT-SCPL-REVISED-R3-FOR BLDG-2-as per various lvls_MEAS SHEET OF- ARCH-kajal.." xfId="908"/>
    <cellStyle name="_BOQ-IIT-SCPL-REVISED-R3-FOR BLDG-2-as per various lvls_MEAS SHEET OF- ARCH-MP" xfId="909"/>
    <cellStyle name="_BOQ-IIT-SCPL-REVISED-R3-FOR BLDG-2-as per various lvls_MEAS SHEET OF- ARCH-priyanka." xfId="910"/>
    <cellStyle name="_BOQ-IIT-SCPL-REVISED-R3-FOR BLDG-2-as per various lvls_MEAS SHEET OF- Mitali" xfId="911"/>
    <cellStyle name="_BOQ-IIT-SCPL-REVISED-R3-FOR BLDG-2-as per various lvls_MEAS SHEET OF RCC FOR MDP HOSTEL - 06.06.11-JRP" xfId="912"/>
    <cellStyle name="_BOQ-IIT-SCPL-REVISED-R3-FOR BLDG-2-as per various lvls_Meas Sheet of-stru-STAFF QUARTER-kajal" xfId="913"/>
    <cellStyle name="_BOQ-IIT-SCPL-REVISED-R3-FOR BLDG-2-as per various lvls_MEAS.-OR'S (G+1) (3 QTRS.)" xfId="914"/>
    <cellStyle name="_BOQ-IIT-SCPL-REVISED-R3-FOR BLDG-2-as per various lvls_MEAS.-OR'S (G+2) (6 QTRS.)" xfId="915"/>
    <cellStyle name="_BOQ-IIT-SCPL-REVISED-R3-FOR BLDG-2-as per various lvls_MEAS-FACULTY HOUSE-16.04.10-A" xfId="916"/>
    <cellStyle name="_BOQ-IIT-SCPL-REVISED-R3-FOR BLDG-2-as per various lvls_MEAS-FACULTY HOUSE-16.04.10-A_00 REV COMBINED EST-03.04.12---" xfId="917"/>
    <cellStyle name="_BOQ-IIT-SCPL-REVISED-R3-FOR BLDG-2-as per various lvls_MEAS-FACULTY HOUSE-16.04.10-A_00-REV-ESTIMATE-04.04.12" xfId="918"/>
    <cellStyle name="_BOQ-IIT-SCPL-REVISED-R3-FOR BLDG-2-as per various lvls_MEAS-FACULTY HOUSE-16.04.10-A_BOQ" xfId="919"/>
    <cellStyle name="_BOQ-IIT-SCPL-REVISED-R3-FOR BLDG-2-as per various lvls_MEAS-FACULTY HOUSE-16.04.10-A_Meas. Sheet Of R.C.C. (07-06-12)(M.)(Tower - 2)" xfId="920"/>
    <cellStyle name="_BOQ-IIT-SCPL-REVISED-R3-FOR BLDG-2-as per various lvls_MEAS-FACULTY HOUSE-16.04.10-A_Meas. Sheet Of R.C.C. (07-06-12)(M.)(Tower - 2)_BOQ" xfId="921"/>
    <cellStyle name="_BOQ-IIT-SCPL-REVISED-R3-FOR BLDG-2-as per various lvls_MEAS-FACULTY HOUSE-16.04.10-A_Meas. Sheet Of R.C.C. (07-06-12)(M.)(Tower - 2)_Meas. Sheet Of R.C.C-22.06.12-Tower 3" xfId="922"/>
    <cellStyle name="_BOQ-IIT-SCPL-REVISED-R3-FOR BLDG-2-as per various lvls_MEAS-FACULTY HOUSE-16.04.10-A_Meas. Sheet Of R.C.C. (07-06-12)(M.)(Tower- 1)" xfId="923"/>
    <cellStyle name="_BOQ-IIT-SCPL-REVISED-R3-FOR BLDG-2-as per various lvls_MEAS-FACULTY HOUSE-16.04.10-A_Meas. Sheet Of R.C.C. (07-06-12)(M.)(Tower- 1)_BOQ" xfId="924"/>
    <cellStyle name="_BOQ-IIT-SCPL-REVISED-R3-FOR BLDG-2-as per various lvls_MEAS-FACULTY HOUSE-16.04.10-A_Meas. Sheet Of R.C.C. (07-06-12)(M.)(Tower- 1)_Meas. Sheet Of R.C.C-22.06.12-Tower 3" xfId="925"/>
    <cellStyle name="_BOQ-IIT-SCPL-REVISED-R3-FOR BLDG-2-as per various lvls_MEAS-FACULTY HOUSE-16.04.10-A_Meas. Sheet Of R.C.C. (13-06-12)(M)(basement)" xfId="926"/>
    <cellStyle name="_BOQ-IIT-SCPL-REVISED-R3-FOR BLDG-2-as per various lvls_MEAS-FACULTY HOUSE-16.04.10-A_Meas. Sheet Of R.C.C. (13-06-12)(M)(basement)_BOQ" xfId="927"/>
    <cellStyle name="_BOQ-IIT-SCPL-REVISED-R3-FOR BLDG-2-as per various lvls_MEAS-FACULTY HOUSE-16.04.10-A_Meas. Sheet Of R.C.C. (13-06-12)(M)(basement)_Meas. Sheet Of R.C.C-22.06.12-Tower 3" xfId="928"/>
    <cellStyle name="_BOQ-IIT-SCPL-REVISED-R3-FOR BLDG-2-as per various lvls_MEAS-FACULTY HOUSE-16.04.10-A_Meas. Sheet Of R.C.C.Tower 3-(9.06.12)-N" xfId="929"/>
    <cellStyle name="_BOQ-IIT-SCPL-REVISED-R3-FOR BLDG-2-as per various lvls_MEAS-FACULTY HOUSE-16.04.10-A_Meas. Sheet Of R.C.C.Tower 3-(9.06.12)-N_BOQ" xfId="930"/>
    <cellStyle name="_BOQ-IIT-SCPL-REVISED-R3-FOR BLDG-2-as per various lvls_MEAS-FACULTY HOUSE-16.04.10-A_Meas. Sheet Of R.C.C.Tower 3-(9.06.12)-N_Meas. Sheet Of R.C.C-22.06.12-Tower 3" xfId="931"/>
    <cellStyle name="_BOQ-IIT-SCPL-REVISED-R3-FOR BLDG-2-as per various lvls_Measurement" xfId="932"/>
    <cellStyle name="_BOQ-IIT-SCPL-REVISED-R3-FOR BLDG-2-as per various lvls_MEASUREMENT SHEET -Plaster At Guest House- Chaitali" xfId="933"/>
    <cellStyle name="_BOQ-IIT-SCPL-REVISED-R3-FOR BLDG-2-as per various lvls_MEASUREMENT-MAJOR(G+1)-BLOCK-4- 10-08-10-ARVA" xfId="934"/>
    <cellStyle name="_BOQ-IIT-SCPL-REVISED-R3-FOR BLDG-2-as per various lvls_MEASUREMENT-MAJOR(G+1)-BLOCK-4- 10-08-10-NILAM" xfId="935"/>
    <cellStyle name="_BOQ-IIT-SCPL-REVISED-R3-FOR BLDG-2-as per various lvls_Miscellaneous work" xfId="936"/>
    <cellStyle name="_BOQ-IIT-SCPL-REVISED-R3-FOR BLDG-2-as per various lvls_RCC OR'S (G+2) -6 QTR_" xfId="937"/>
    <cellStyle name="_BOQ-IIT-SCPL-REVISED-R3-FOR BLDG-2-as per various lvls_Sez_Boq_Superstructure part-FORMATED" xfId="938"/>
    <cellStyle name="_BOQ-IIT-SCPL-REVISED-R3-FOR BLDG-2-as per various lvls_Steel truss-Dharmendra" xfId="939"/>
    <cellStyle name="_BOQ-IIT-SCPL-REVISED-R5-FOR BLDG-2-as per various lvls-26.06.09" xfId="940"/>
    <cellStyle name="_BOQ-IIT-SCPL-REVISED-R5-FOR BLDG-2-as per various lvls-26.06.09_MEAS-FACULTY HOUSE-16.04.10-A" xfId="941"/>
    <cellStyle name="_BOQ-IIT-SCPL-REVISED-R5-FOR BLDG-2-as per various lvls-26.06.09_MEAS-FACULTY HOUSE-16.04.10-A_00 REV COMBINED EST-03.04.12---" xfId="942"/>
    <cellStyle name="_BOQ-IIT-SCPL-REVISED-R5-FOR BLDG-2-as per various lvls-26.06.09_MEAS-FACULTY HOUSE-16.04.10-A_00-REV-ESTIMATE-04.04.12" xfId="943"/>
    <cellStyle name="_BOQ-IIT-SCPL-REVISED-R5-FOR BLDG-2-as per various lvls-26.06.09_MEAS-FACULTY HOUSE-16.04.10-A_BOQ" xfId="944"/>
    <cellStyle name="_BOQ-IIT-SCPL-REVISED-R5-FOR BLDG-2-as per various lvls-26.06.09_MEAS-FACULTY HOUSE-16.04.10-A_Meas. Sheet Of R.C.C. (07-06-12)(M.)(Tower - 2)" xfId="945"/>
    <cellStyle name="_BOQ-IIT-SCPL-REVISED-R5-FOR BLDG-2-as per various lvls-26.06.09_MEAS-FACULTY HOUSE-16.04.10-A_Meas. Sheet Of R.C.C. (07-06-12)(M.)(Tower - 2)_BOQ" xfId="946"/>
    <cellStyle name="_BOQ-IIT-SCPL-REVISED-R5-FOR BLDG-2-as per various lvls-26.06.09_MEAS-FACULTY HOUSE-16.04.10-A_Meas. Sheet Of R.C.C. (07-06-12)(M.)(Tower - 2)_Meas. Sheet Of R.C.C-22.06.12-Tower 3" xfId="947"/>
    <cellStyle name="_BOQ-IIT-SCPL-REVISED-R5-FOR BLDG-2-as per various lvls-26.06.09_MEAS-FACULTY HOUSE-16.04.10-A_Meas. Sheet Of R.C.C. (07-06-12)(M.)(Tower- 1)" xfId="948"/>
    <cellStyle name="_BOQ-IIT-SCPL-REVISED-R5-FOR BLDG-2-as per various lvls-26.06.09_MEAS-FACULTY HOUSE-16.04.10-A_Meas. Sheet Of R.C.C. (07-06-12)(M.)(Tower- 1)_BOQ" xfId="949"/>
    <cellStyle name="_BOQ-IIT-SCPL-REVISED-R5-FOR BLDG-2-as per various lvls-26.06.09_MEAS-FACULTY HOUSE-16.04.10-A_Meas. Sheet Of R.C.C. (07-06-12)(M.)(Tower- 1)_Meas. Sheet Of R.C.C-22.06.12-Tower 3" xfId="950"/>
    <cellStyle name="_BOQ-IIT-SCPL-REVISED-R5-FOR BLDG-2-as per various lvls-26.06.09_MEAS-FACULTY HOUSE-16.04.10-A_Meas. Sheet Of R.C.C. (13-06-12)(M)(basement)" xfId="951"/>
    <cellStyle name="_BOQ-IIT-SCPL-REVISED-R5-FOR BLDG-2-as per various lvls-26.06.09_MEAS-FACULTY HOUSE-16.04.10-A_Meas. Sheet Of R.C.C. (13-06-12)(M)(basement)_BOQ" xfId="952"/>
    <cellStyle name="_BOQ-IIT-SCPL-REVISED-R5-FOR BLDG-2-as per various lvls-26.06.09_MEAS-FACULTY HOUSE-16.04.10-A_Meas. Sheet Of R.C.C. (13-06-12)(M)(basement)_Meas. Sheet Of R.C.C-22.06.12-Tower 3" xfId="953"/>
    <cellStyle name="_BOQ-IIT-SCPL-REVISED-R5-FOR BLDG-2-as per various lvls-26.06.09_MEAS-FACULTY HOUSE-16.04.10-A_Meas. Sheet Of R.C.C.Tower 3-(9.06.12)-N" xfId="954"/>
    <cellStyle name="_BOQ-IIT-SCPL-REVISED-R5-FOR BLDG-2-as per various lvls-26.06.09_MEAS-FACULTY HOUSE-16.04.10-A_Meas. Sheet Of R.C.C.Tower 3-(9.06.12)-N_BOQ" xfId="955"/>
    <cellStyle name="_BOQ-IIT-SCPL-REVISED-R5-FOR BLDG-2-as per various lvls-26.06.09_MEAS-FACULTY HOUSE-16.04.10-A_Meas. Sheet Of R.C.C.Tower 3-(9.06.12)-N_Meas. Sheet Of R.C.C-22.06.12-Tower 3" xfId="956"/>
    <cellStyle name="_BOQ-IIT-SCPL-REVISED-R5-FOR BLDG-2-as per various lvls-26.06.09_Sez_Boq_Superstructure part-FORMATED" xfId="957"/>
    <cellStyle name="_BOQ-MAHINDRA EMINENTE M30(19.05.09)" xfId="958"/>
    <cellStyle name="_BOQ-STRL CIVIL-SAMPLE HOUSEL-14-02-12" xfId="959"/>
    <cellStyle name="_BUILTUP AREA-16-12-08 PD" xfId="960"/>
    <cellStyle name="_CA Campus" xfId="961"/>
    <cellStyle name="_CA Campus_MEAS-FACULTY HOUSE-16.04.10-A" xfId="962"/>
    <cellStyle name="_CA Campus_MEAS-FACULTY HOUSE-16.04.10-A_00 REV COMBINED EST-03.04.12---" xfId="963"/>
    <cellStyle name="_CA Campus_MEAS-FACULTY HOUSE-16.04.10-A_00-REV-ESTIMATE-04.04.12" xfId="964"/>
    <cellStyle name="_CA Campus_MEAS-FACULTY HOUSE-16.04.10-A_BOQ" xfId="965"/>
    <cellStyle name="_CA Campus_MEAS-FACULTY HOUSE-16.04.10-A_Meas. Sheet Of R.C.C. (07-06-12)(M.)(Tower - 2)" xfId="966"/>
    <cellStyle name="_CA Campus_MEAS-FACULTY HOUSE-16.04.10-A_Meas. Sheet Of R.C.C. (07-06-12)(M.)(Tower - 2)_BOQ" xfId="967"/>
    <cellStyle name="_CA Campus_MEAS-FACULTY HOUSE-16.04.10-A_Meas. Sheet Of R.C.C. (07-06-12)(M.)(Tower - 2)_Meas. Sheet Of R.C.C-22.06.12-Tower 3" xfId="968"/>
    <cellStyle name="_CA Campus_MEAS-FACULTY HOUSE-16.04.10-A_Meas. Sheet Of R.C.C. (07-06-12)(M.)(Tower- 1)" xfId="969"/>
    <cellStyle name="_CA Campus_MEAS-FACULTY HOUSE-16.04.10-A_Meas. Sheet Of R.C.C. (07-06-12)(M.)(Tower- 1)_BOQ" xfId="970"/>
    <cellStyle name="_CA Campus_MEAS-FACULTY HOUSE-16.04.10-A_Meas. Sheet Of R.C.C. (07-06-12)(M.)(Tower- 1)_Meas. Sheet Of R.C.C-22.06.12-Tower 3" xfId="971"/>
    <cellStyle name="_CA Campus_MEAS-FACULTY HOUSE-16.04.10-A_Meas. Sheet Of R.C.C. (13-06-12)(M)(basement)" xfId="972"/>
    <cellStyle name="_CA Campus_MEAS-FACULTY HOUSE-16.04.10-A_Meas. Sheet Of R.C.C. (13-06-12)(M)(basement)_BOQ" xfId="973"/>
    <cellStyle name="_CA Campus_MEAS-FACULTY HOUSE-16.04.10-A_Meas. Sheet Of R.C.C. (13-06-12)(M)(basement)_Meas. Sheet Of R.C.C-22.06.12-Tower 3" xfId="974"/>
    <cellStyle name="_CA Campus_MEAS-FACULTY HOUSE-16.04.10-A_Meas. Sheet Of R.C.C.Tower 3-(9.06.12)-N" xfId="975"/>
    <cellStyle name="_CA Campus_MEAS-FACULTY HOUSE-16.04.10-A_Meas. Sheet Of R.C.C.Tower 3-(9.06.12)-N_BOQ" xfId="976"/>
    <cellStyle name="_CA Campus_MEAS-FACULTY HOUSE-16.04.10-A_Meas. Sheet Of R.C.C.Tower 3-(9.06.12)-N_Meas. Sheet Of R.C.C-22.06.12-Tower 3" xfId="977"/>
    <cellStyle name="_CA Campus_Sez_Boq_Superstructure part-FORMATED" xfId="978"/>
    <cellStyle name="_civil  BOQ 8-04-09" xfId="979"/>
    <cellStyle name="_Client sales -Hq review 16th Feb-06" xfId="980"/>
    <cellStyle name="_Col.steel cal.-14.07.09" xfId="981"/>
    <cellStyle name="_Col.steel cal.-14.07.09_MEAS-FACULTY HOUSE-16.04.10-A" xfId="982"/>
    <cellStyle name="_Col.steel cal.-14.07.09_MEAS-HEALTH CARE-A" xfId="983"/>
    <cellStyle name="_Col.steel cal.-14.07.09_MEAS-RAJIV GANDHI PLAZA-12.04.10-ssu" xfId="984"/>
    <cellStyle name="_Comma" xfId="985"/>
    <cellStyle name="_Comp &amp; mea. -22.12.09" xfId="986"/>
    <cellStyle name="_Convergys India Service Ltd. , Hyderabad ( Working )" xfId="987"/>
    <cellStyle name="_Copy of BLDG. A STRC &amp; CIVIL WORKS- SUPER-STRUCTURE" xfId="988"/>
    <cellStyle name="_Copy of MEAS SHEET OF- ARCH-SK" xfId="989"/>
    <cellStyle name="_Copy of MEAS SHEET OF-MAS &amp; PLAS" xfId="990"/>
    <cellStyle name="_Copy of PRELIMINARY ESTIMATE - 26.08.11" xfId="991"/>
    <cellStyle name="_Crest workshop plan- MASONRY-Zone 3" xfId="992"/>
    <cellStyle name="_Crest workshop plan- MASONRY-Zone 3_Sez_Boq_Superstructure part-FORMATED" xfId="993"/>
    <cellStyle name="_Currency" xfId="994"/>
    <cellStyle name="_CurrencySpace" xfId="995"/>
    <cellStyle name="_DIAL-Costworkings 4th Dec 2006" xfId="996"/>
    <cellStyle name="_DRAFT BOQ" xfId="997"/>
    <cellStyle name="_DRAFT BOQ - ENTRANCE GATE - 19-10-2010" xfId="998"/>
    <cellStyle name="_DRAFT BOQ OF GIRLS HOSTEL - 21.12.09" xfId="999"/>
    <cellStyle name="_DRAFT BOQ-10.11.11" xfId="1000"/>
    <cellStyle name="_DRAFT BOQ-GLAZING-STAGE WISE-05.07.08-DVJ" xfId="1001"/>
    <cellStyle name="_E - 201 TCS , Gandhinagar ( Working )" xfId="1002"/>
    <cellStyle name="_E-161 Albany Molecular, Hyd ( Working ) 140806" xfId="1003"/>
    <cellStyle name="_Elevated Ramp" xfId="1004"/>
    <cellStyle name="_Eminente Clubhouse Budget R0-10th July 09." xfId="1005"/>
    <cellStyle name="_ESTIMATE" xfId="1006"/>
    <cellStyle name="_ESTIMATE - 25.07.08" xfId="1007"/>
    <cellStyle name="_ESTIMATE - 25.07.08_Sez_Boq_Superstructure part-FORMATED" xfId="1008"/>
    <cellStyle name="_ESTIMATE FOR GIRL'S HOSTEL BLOCK-25.12.09" xfId="1009"/>
    <cellStyle name="_ESTIMATE WITH MEASUREMENT SHEET - ARCH.-18.11.08-" xfId="1010"/>
    <cellStyle name="_ESTIMATE-15.03.11-OPTION-2" xfId="1011"/>
    <cellStyle name="_ESTIMATE-15.10.09" xfId="1012"/>
    <cellStyle name="_ESTIMATE-15.10.09_Sez_Boq_Superstructure part-FORMATED" xfId="1013"/>
    <cellStyle name="_ESTIMATE-29.08.08-CENTRAL PURCHASE STORE" xfId="1014"/>
    <cellStyle name="_ESTIMATE-CANTEEN" xfId="1015"/>
    <cellStyle name="_ESTIMATE-CANTEEN_ESTIMATE- RTC CREST ANNEX-20-02-10-SSA" xfId="1016"/>
    <cellStyle name="_ESTIMATE-CANTEEN_RA_MKT_INTERIOR" xfId="1017"/>
    <cellStyle name="_ESTIMATE-CANTEEN_RA-MKT" xfId="1018"/>
    <cellStyle name="_ESTIMATE-CANTEEN_REV.EST" xfId="1019"/>
    <cellStyle name="_ESTIMATE-CANTEEN_REV.ESTIMATE" xfId="1020"/>
    <cellStyle name="_ESTIMATE-CLUB HOUSE PUNE-NIRMAL-15-07-10-R2" xfId="1021"/>
    <cellStyle name="_ESTIMATE-ESG-I-09.09.08" xfId="1022"/>
    <cellStyle name="_ESTIMATE-ESG-I-09.09.08_ESTIMATE- RTC CREST ANNEX-20-02-10-SSA" xfId="1023"/>
    <cellStyle name="_ESTIMATE-ESG-I-09.09.08_RA_MKT_INTERIOR" xfId="1024"/>
    <cellStyle name="_ESTIMATE-ESG-I-09.09.08_RA-MKT" xfId="1025"/>
    <cellStyle name="_ESTIMATE-ESG-I-09.09.08_REV.EST" xfId="1026"/>
    <cellStyle name="_ESTIMATE-ESG-I-09.09.08_REV.ESTIMATE" xfId="1027"/>
    <cellStyle name="_ESTIMATE-INTERIOR CLUB HOUSE-29-11-10-To AHC" xfId="1028"/>
    <cellStyle name="_ESTIMATE-LIBRARY" xfId="1029"/>
    <cellStyle name="_ESTIMATE-LIBRARY_ESTIMATE- RTC CREST ANNEX-20-02-10-SSA" xfId="1030"/>
    <cellStyle name="_ESTIMATE-LIBRARY_RA_MKT_INTERIOR" xfId="1031"/>
    <cellStyle name="_ESTIMATE-LIBRARY_RA-MKT" xfId="1032"/>
    <cellStyle name="_ESTIMATE-LIBRARY_REV.EST" xfId="1033"/>
    <cellStyle name="_ESTIMATE-LIBRARY_REV.ESTIMATE" xfId="1034"/>
    <cellStyle name="_ESTIMATE-RTC AND CRES ANNEX" xfId="1035"/>
    <cellStyle name="_ESTIMATE-RTC AND CRES ANNEX_ESTIMATE- RTC CREST ANNEX-20-02-10-SSA" xfId="1036"/>
    <cellStyle name="_ESTIMATE-RTC AND CRES ANNEX_RA_MKT_INTERIOR" xfId="1037"/>
    <cellStyle name="_ESTIMATE-RTC AND CRES ANNEX_RA-MKT" xfId="1038"/>
    <cellStyle name="_ESTIMATE-RTC AND CRES ANNEX_REV.EST" xfId="1039"/>
    <cellStyle name="_ESTIMATE-RTC AND CRES ANNEX_REV.ESTIMATE" xfId="1040"/>
    <cellStyle name="_EST-SAMPLE FLAT" xfId="1041"/>
    <cellStyle name="_ETISALAT-FINISHING BOQ" xfId="1042"/>
    <cellStyle name="_ETISALAT-FINISHING BOQ_Sez_Boq_Superstructure part-FORMATED" xfId="1043"/>
    <cellStyle name="_Euro" xfId="1044"/>
    <cellStyle name="_External Works BOQ's" xfId="1045"/>
    <cellStyle name="_FEES-CAL-AREA STATEMENT" xfId="1046"/>
    <cellStyle name="_Final BOQ-SEMINAR HALL" xfId="1047"/>
    <cellStyle name="_FINAL MEAS SHEET OF-ARCHI-MDP HOSTEL -BL -" xfId="1048"/>
    <cellStyle name="_Flooring , Ramp" xfId="1049"/>
    <cellStyle name="_Heading" xfId="1050"/>
    <cellStyle name="_Health care" xfId="1051"/>
    <cellStyle name="_Highlight" xfId="1052"/>
    <cellStyle name="_HYD AIRPORT -R2 - 08-09-05 - SOFT" xfId="1053"/>
    <cellStyle name="_Investment schedule" xfId="1054"/>
    <cellStyle name="_Investment schedule 2" xfId="1055"/>
    <cellStyle name="_Jipmer workings - Revised 15.06.06" xfId="1056"/>
    <cellStyle name="_Landscape preliminary budget" xfId="1057"/>
    <cellStyle name="_Mahindra Eminente sub final boqTower A" xfId="1058"/>
    <cellStyle name="_Mahindra Eminente Tower A" xfId="1059"/>
    <cellStyle name="_MBA COLLAGE-CCBA ARCH" xfId="1060"/>
    <cellStyle name="_MEAS - 17-8-2010-infosys mangalore" xfId="1061"/>
    <cellStyle name="_MEAS - ARCH - 3+3 BHK -26-08-2011" xfId="1062"/>
    <cellStyle name="_MEAS OF FACADE - 20-07-11-h-chk" xfId="1063"/>
    <cellStyle name="_Meas of flooring-07-10-11-NV" xfId="1064"/>
    <cellStyle name="_Meas of glazing &amp; cladding -h-25.07.11-h-CHK" xfId="1065"/>
    <cellStyle name="_MEAS SHEET - MASONRY-MBP" xfId="1066"/>
    <cellStyle name="_MEAS SHEET - MASONRY-MBP_Sez_Boq_Superstructure part-FORMATED" xfId="1067"/>
    <cellStyle name="_MEAS SHEET - miscellaneous item (Landscape)-heena-8.12.2011" xfId="1068"/>
    <cellStyle name="_MEAS SHEET -20-12-08- MASONRY-chk-FINAL" xfId="1069"/>
    <cellStyle name="_MEAS SHEET -20-12-08- MASONRY-chk-FINAL_Sez_Boq_Superstructure part-FORMATED" xfId="1070"/>
    <cellStyle name="_MEAS SHEET -25-12-08- Joinery-chk-P" xfId="1071"/>
    <cellStyle name="_MEAS SHEET -25-12-08- Joinery-chk-P_Sez_Boq_Superstructure part-FORMATED" xfId="1072"/>
    <cellStyle name="_MEAS SHEET OF -ARCH -PLASTER WORK (M) (01-06-2010)" xfId="1073"/>
    <cellStyle name="_MEAS SHEET OF- ARCH-kajal.." xfId="1074"/>
    <cellStyle name="_MEAS SHEET OF- ARCH-MP" xfId="1075"/>
    <cellStyle name="_MEAS SHEET OF- ARCH-Staff Quaters-Priyanka- chek" xfId="1076"/>
    <cellStyle name="_MEAS SHEET OF- Mitali" xfId="1077"/>
    <cellStyle name="_MEAS SHEET OF-- preksha- 23.2.2012-CHK-BL" xfId="1078"/>
    <cellStyle name="_MEAS SHEET OF RCC FOR MDP HOSTEL - 06.06.11-JRP" xfId="1079"/>
    <cellStyle name="_MEAS SHEET OF- STILT FLOOR- 09-01-12" xfId="1080"/>
    <cellStyle name="_MEAS SHEET OF TOWER-2 - ARCH-Residental-(24-05-12)(N)" xfId="1081"/>
    <cellStyle name="_MEAS SHEET OF TOWER-3 - ARCH-Residental- 7-6-2012-MP" xfId="1082"/>
    <cellStyle name="_Meas Sheet of-stru-STAFF QUARTER-kajal" xfId="1083"/>
    <cellStyle name="_MEAS SHEET OF-T-1-07-06-2012" xfId="1084"/>
    <cellStyle name="_MEAS SHEET-(Utility Bldg.) Chamber (M)" xfId="1085"/>
    <cellStyle name="_MEAS SHEET-BUILT-UP AREA- (TCS - ARRIVAL TERMAINAL &amp; FOOD COURT)(M)(07-10-11)" xfId="1086"/>
    <cellStyle name="_MEAS. SHEET -26.04.08-JKP" xfId="1087"/>
    <cellStyle name="_MEAS. SHEET -26.04.08-JKP_5th FLOOR" xfId="1088"/>
    <cellStyle name="_MEAS. SHEET -26.04.08-JKP_BOQ" xfId="1089"/>
    <cellStyle name="_MEAS. SHEET -26.04.08-JKP_BOQ OF FINISHES FOR residentialL- 21.05.11" xfId="1090"/>
    <cellStyle name="_MEAS. SHEET -26.04.08-JKP_Copy of Copy of MEAS SHEET OF- ARCH-SHIKHA" xfId="1091"/>
    <cellStyle name="_MEAS. SHEET -26.04.08-JKP_Copy of MEAS SHEET OF- ARCH-kajal.." xfId="1092"/>
    <cellStyle name="_MEAS. SHEET -26.04.08-JKP_Copy of MEAS SHEET OF- ARCH-SK" xfId="1093"/>
    <cellStyle name="_MEAS. SHEET -26.04.08-JKP_ESTIMATE- RTC CREST ANNEX-20-02-10-SSA" xfId="1094"/>
    <cellStyle name="_MEAS. SHEET -26.04.08-JKP_ESTIMATE-15.03.11-OPTION-2" xfId="1095"/>
    <cellStyle name="_MEAS. SHEET -26.04.08-JKP_Final BOQ-SEMINAR HALL" xfId="1096"/>
    <cellStyle name="_MEAS. SHEET -26.04.08-JKP_FINAL MEAS SHEET OF-ARCHI-MDP HOSTEL -BL -" xfId="1097"/>
    <cellStyle name="_MEAS. SHEET -26.04.08-JKP_Health care" xfId="1098"/>
    <cellStyle name="_MEAS. SHEET -26.04.08-JKP_MBA COLLAGE-CCBA ARCH" xfId="1099"/>
    <cellStyle name="_MEAS. SHEET -26.04.08-JKP_MEAS SHEET OF- ARCH - Lower Ground floor" xfId="1100"/>
    <cellStyle name="_MEAS. SHEET -26.04.08-JKP_MEAS SHEET OF- ARCH- Chaitali" xfId="1101"/>
    <cellStyle name="_MEAS. SHEET -26.04.08-JKP_MEAS SHEET OF- ARCH-25-12-2010-heena...." xfId="1102"/>
    <cellStyle name="_MEAS. SHEET -26.04.08-JKP_MEAS SHEET OF- ARCH-ANKITA " xfId="1103"/>
    <cellStyle name="_MEAS. SHEET -26.04.08-JKP_MEAS SHEET OF- ARCH-kajal.." xfId="1104"/>
    <cellStyle name="_MEAS. SHEET -26.04.08-JKP_MEAS SHEET OF- ARCH-MP" xfId="1105"/>
    <cellStyle name="_MEAS. SHEET -26.04.08-JKP_MEAS SHEET OF- ARCH-priyanka." xfId="1106"/>
    <cellStyle name="_MEAS. SHEET -26.04.08-JKP_MEAS SHEET OF- Mitali" xfId="1107"/>
    <cellStyle name="_MEAS. SHEET -26.04.08-JKP_MEAS SHEET OF RCC FOR MDP HOSTEL - 06.06.11-JRP" xfId="1108"/>
    <cellStyle name="_MEAS. SHEET -26.04.08-JKP_Meas Sheet of-stru-STAFF QUARTER-kajal" xfId="1109"/>
    <cellStyle name="_MEAS. SHEET -26.04.08-JKP_MEAS.-OR'S (G+1) (3 QTRS.)" xfId="1110"/>
    <cellStyle name="_MEAS. SHEET -26.04.08-JKP_MEAS_FACULTY HOUSING" xfId="1111"/>
    <cellStyle name="_MEAS. SHEET -26.04.08-JKP_MEAS-FACULTY HOUSE-16.04.10-A" xfId="1112"/>
    <cellStyle name="_MEAS. SHEET -26.04.08-JKP_MEAS-SHEET- FINISHING-BL" xfId="1113"/>
    <cellStyle name="_MEAS. SHEET -26.04.08-JKP_Measurement" xfId="1114"/>
    <cellStyle name="_MEAS. SHEET -26.04.08-JKP_MEASUREMENT SHEET -Plaster At Guest House- Chaitali" xfId="1115"/>
    <cellStyle name="_MEAS. SHEET -26.04.08-JKP_Miscellaneous work" xfId="1116"/>
    <cellStyle name="_MEAS. SHEET -26.04.08-JKP_PAINTING" xfId="1117"/>
    <cellStyle name="_MEAS. SHEET -26.04.08-JKP_RA_MKT_INTERIOR" xfId="1118"/>
    <cellStyle name="_MEAS. SHEET -26.04.08-JKP_RA-MKT" xfId="1119"/>
    <cellStyle name="_MEAS. SHEET -26.04.08-JKP_REV. BOQ-KNOWLEDGE CENTERl-09-01-10-AP" xfId="1120"/>
    <cellStyle name="_MEAS. SHEET -26.04.08-JKP_REV.EST" xfId="1121"/>
    <cellStyle name="_MEAS. SHEET -26.04.08-JKP_REV.ESTIMATE" xfId="1122"/>
    <cellStyle name="_MEAS. SHEET -26.04.08-JKP_Steel truss-Dharmendra" xfId="1123"/>
    <cellStyle name="_MEAS. SHEET -29-05-08-SJN" xfId="1124"/>
    <cellStyle name="_MEAS. SHEET -29-05-08-SJN_5th FLOOR" xfId="1125"/>
    <cellStyle name="_MEAS. SHEET -29-05-08-SJN_BOQ" xfId="1126"/>
    <cellStyle name="_MEAS. SHEET -29-05-08-SJN_Copy of Copy of MEAS SHEET OF- ARCH-SHIKHA" xfId="1127"/>
    <cellStyle name="_MEAS. SHEET -29-05-08-SJN_Copy of MEAS SHEET OF- ARCH-kajal.." xfId="1128"/>
    <cellStyle name="_MEAS. SHEET -29-05-08-SJN_Copy of MEAS SHEET OF- ARCH-SK" xfId="1129"/>
    <cellStyle name="_MEAS. SHEET -29-05-08-SJN_DRAFT-EST-CIVIL-05.11.11" xfId="1130"/>
    <cellStyle name="_MEAS. SHEET -29-05-08-SJN_ESTIMATE-15.03.11-OPTION-2" xfId="1131"/>
    <cellStyle name="_MEAS. SHEET -29-05-08-SJN_Final BOQ-SEMINAR HALL" xfId="1132"/>
    <cellStyle name="_MEAS. SHEET -29-05-08-SJN_FINAL MEAS SHEET OF-ARCHI-MDP HOSTEL -BL -" xfId="1133"/>
    <cellStyle name="_MEAS. SHEET -29-05-08-SJN_Health care" xfId="1134"/>
    <cellStyle name="_MEAS. SHEET -29-05-08-SJN_JCO's (G+1) - 3 QUARTES" xfId="1135"/>
    <cellStyle name="_MEAS. SHEET -29-05-08-SJN_landscape - nsg" xfId="1136"/>
    <cellStyle name="_MEAS. SHEET -29-05-08-SJN_MBA COLLAGE-CCBA ARCH" xfId="1137"/>
    <cellStyle name="_MEAS. SHEET -29-05-08-SJN_MEAS SHEET OF- ARCH - Lower Ground floor" xfId="1138"/>
    <cellStyle name="_MEAS. SHEET -29-05-08-SJN_MEAS SHEET OF- ARCH- Chaitali" xfId="1139"/>
    <cellStyle name="_MEAS. SHEET -29-05-08-SJN_MEAS SHEET OF- ARCH-25-12-2010-heena...." xfId="1140"/>
    <cellStyle name="_MEAS. SHEET -29-05-08-SJN_MEAS SHEET OF- ARCH-ANKITA " xfId="1141"/>
    <cellStyle name="_MEAS. SHEET -29-05-08-SJN_MEAS SHEET OF- ARCH-kajal.." xfId="1142"/>
    <cellStyle name="_MEAS. SHEET -29-05-08-SJN_MEAS SHEET OF- ARCH-MP" xfId="1143"/>
    <cellStyle name="_MEAS. SHEET -29-05-08-SJN_MEAS SHEET OF- ARCH-priyanka." xfId="1144"/>
    <cellStyle name="_MEAS. SHEET -29-05-08-SJN_MEAS SHEET OF- Mitali" xfId="1145"/>
    <cellStyle name="_MEAS. SHEET -29-05-08-SJN_MEAS SHEET OF RCC FOR MDP HOSTEL - 06.06.11-JRP" xfId="1146"/>
    <cellStyle name="_MEAS. SHEET -29-05-08-SJN_MEAS SHEET OF-R.C.C. (M) (28-01-12)(Foundation) - chk" xfId="1147"/>
    <cellStyle name="_MEAS. SHEET -29-05-08-SJN_Meas Sheet of-stru-STAFF QUARTER-kajal" xfId="1148"/>
    <cellStyle name="_MEAS. SHEET -29-05-08-SJN_MEAS.-OR'S (G+2) (6 QTRS.)" xfId="1149"/>
    <cellStyle name="_MEAS. SHEET -29-05-08-SJN_MEAS_FACULTY HOUSING" xfId="1150"/>
    <cellStyle name="_MEAS. SHEET -29-05-08-SJN_MEAS-FACULTY HOUSE-16.04.10-A" xfId="1151"/>
    <cellStyle name="_MEAS. SHEET -29-05-08-SJN_Measurement" xfId="1152"/>
    <cellStyle name="_MEAS. SHEET -29-05-08-SJN_MEASUREMENT SHEET -Plaster At Guest House- Chaitali" xfId="1153"/>
    <cellStyle name="_MEAS. SHEET -29-05-08-SJN_Miscellaneous work" xfId="1154"/>
    <cellStyle name="_MEAS. SHEET -29-05-08-SJN_Steel truss-Dharmendra" xfId="1155"/>
    <cellStyle name="_MEAS. SHEET EXT DEV -30.05.08-JKP" xfId="1156"/>
    <cellStyle name="_MEAS. SHEET EXT DEV -30.05.08-JKP_5th FLOOR" xfId="1157"/>
    <cellStyle name="_MEAS. SHEET EXT DEV -30.05.08-JKP_BOQ" xfId="1158"/>
    <cellStyle name="_MEAS. SHEET EXT DEV -30.05.08-JKP_BOQ OF FINISHES FOR residentialL- 21.05.11" xfId="1159"/>
    <cellStyle name="_MEAS. SHEET EXT DEV -30.05.08-JKP_Copy of Copy of MEAS SHEET OF- ARCH-SHIKHA" xfId="1160"/>
    <cellStyle name="_MEAS. SHEET EXT DEV -30.05.08-JKP_Copy of MEAS SHEET OF- ARCH-kajal.." xfId="1161"/>
    <cellStyle name="_MEAS. SHEET EXT DEV -30.05.08-JKP_Copy of MEAS SHEET OF- ARCH-SK" xfId="1162"/>
    <cellStyle name="_MEAS. SHEET EXT DEV -30.05.08-JKP_ESTIMATE- RTC CREST ANNEX-20-02-10-SSA" xfId="1163"/>
    <cellStyle name="_MEAS. SHEET EXT DEV -30.05.08-JKP_ESTIMATE-15.03.11-OPTION-2" xfId="1164"/>
    <cellStyle name="_MEAS. SHEET EXT DEV -30.05.08-JKP_Final BOQ-SEMINAR HALL" xfId="1165"/>
    <cellStyle name="_MEAS. SHEET EXT DEV -30.05.08-JKP_FINAL MEAS SHEET OF-ARCHI-MDP HOSTEL -BL -" xfId="1166"/>
    <cellStyle name="_MEAS. SHEET EXT DEV -30.05.08-JKP_Health care" xfId="1167"/>
    <cellStyle name="_MEAS. SHEET EXT DEV -30.05.08-JKP_JCO's (G+1) - 3 QUARTES - FINAL ARCH &amp; STRU" xfId="1168"/>
    <cellStyle name="_MEAS. SHEET EXT DEV -30.05.08-JKP_MBA COLLAGE-CCBA ARCH" xfId="1169"/>
    <cellStyle name="_MEAS. SHEET EXT DEV -30.05.08-JKP_MEAS SHEET OF- ARCH - Lower Ground floor" xfId="1170"/>
    <cellStyle name="_MEAS. SHEET EXT DEV -30.05.08-JKP_MEAS SHEET OF- ARCH- Chaitali" xfId="1171"/>
    <cellStyle name="_MEAS. SHEET EXT DEV -30.05.08-JKP_MEAS SHEET OF- ARCH-25-12-2010-heena...." xfId="1172"/>
    <cellStyle name="_MEAS. SHEET EXT DEV -30.05.08-JKP_MEAS SHEET OF- ARCH-ANKITA " xfId="1173"/>
    <cellStyle name="_MEAS. SHEET EXT DEV -30.05.08-JKP_MEAS SHEET OF- ARCH-kajal.." xfId="1174"/>
    <cellStyle name="_MEAS. SHEET EXT DEV -30.05.08-JKP_MEAS SHEET OF- ARCH-MP" xfId="1175"/>
    <cellStyle name="_MEAS. SHEET EXT DEV -30.05.08-JKP_MEAS SHEET OF- ARCH-priyanka." xfId="1176"/>
    <cellStyle name="_MEAS. SHEET EXT DEV -30.05.08-JKP_MEAS SHEET OF- Mitali" xfId="1177"/>
    <cellStyle name="_MEAS. SHEET EXT DEV -30.05.08-JKP_MEAS SHEET OF RCC FOR MDP HOSTEL - 06.06.11-JRP" xfId="1178"/>
    <cellStyle name="_MEAS. SHEET EXT DEV -30.05.08-JKP_Meas Sheet of-stru-STAFF QUARTER-kajal" xfId="1179"/>
    <cellStyle name="_MEAS. SHEET EXT DEV -30.05.08-JKP_MEAS-FACULTY HOUSE-16.04.10-A" xfId="1180"/>
    <cellStyle name="_MEAS. SHEET EXT DEV -30.05.08-JKP_MEAS-SHEET- FINISHING-BL" xfId="1181"/>
    <cellStyle name="_MEAS. SHEET EXT DEV -30.05.08-JKP_Measurement" xfId="1182"/>
    <cellStyle name="_MEAS. SHEET EXT DEV -30.05.08-JKP_MEASUREMENT SHEET -Plaster At Guest House- Chaitali" xfId="1183"/>
    <cellStyle name="_MEAS. SHEET EXT DEV -30.05.08-JKP_Miscellaneous work" xfId="1184"/>
    <cellStyle name="_MEAS. SHEET EXT DEV -30.05.08-JKP_PAINTING" xfId="1185"/>
    <cellStyle name="_MEAS. SHEET EXT DEV -30.05.08-JKP_RA_MKT_INTERIOR" xfId="1186"/>
    <cellStyle name="_MEAS. SHEET EXT DEV -30.05.08-JKP_RA-MKT" xfId="1187"/>
    <cellStyle name="_MEAS. SHEET EXT DEV -30.05.08-JKP_REV. BOQ-KNOWLEDGE CENTERl-09-01-10-AP" xfId="1188"/>
    <cellStyle name="_MEAS. SHEET EXT DEV -30.05.08-JKP_REV.EST" xfId="1189"/>
    <cellStyle name="_MEAS. SHEET EXT DEV -30.05.08-JKP_REV.ESTIMATE" xfId="1190"/>
    <cellStyle name="_MEAS. SHEET EXT DEV -30.05.08-JKP_Steel truss-Dharmendra" xfId="1191"/>
    <cellStyle name="_MEAS. SHEET EXT DEV FOR PHASE I-II-09.05.08-JKP" xfId="1192"/>
    <cellStyle name="_MEAS. SHEET EXT DEV FOR PHASE I-II-09.05.08-JKP_5th FLOOR" xfId="1193"/>
    <cellStyle name="_MEAS. SHEET EXT DEV FOR PHASE I-II-09.05.08-JKP_BOQ" xfId="1194"/>
    <cellStyle name="_MEAS. SHEET EXT DEV FOR PHASE I-II-09.05.08-JKP_Copy of Copy of MEAS SHEET OF- ARCH-SHIKHA" xfId="1195"/>
    <cellStyle name="_MEAS. SHEET EXT DEV FOR PHASE I-II-09.05.08-JKP_Copy of MEAS SHEET OF- ARCH-kajal.." xfId="1196"/>
    <cellStyle name="_MEAS. SHEET EXT DEV FOR PHASE I-II-09.05.08-JKP_Copy of MEAS SHEET OF- ARCH-SK" xfId="1197"/>
    <cellStyle name="_MEAS. SHEET EXT DEV FOR PHASE I-II-09.05.08-JKP_DRAFT-EST-CIVIL-05.11.11" xfId="1198"/>
    <cellStyle name="_MEAS. SHEET EXT DEV FOR PHASE I-II-09.05.08-JKP_ESTIMATE-15.03.11-OPTION-2" xfId="1199"/>
    <cellStyle name="_MEAS. SHEET EXT DEV FOR PHASE I-II-09.05.08-JKP_Final BOQ-SEMINAR HALL" xfId="1200"/>
    <cellStyle name="_MEAS. SHEET EXT DEV FOR PHASE I-II-09.05.08-JKP_FINAL MEAS SHEET OF-ARCHI-MDP HOSTEL -BL -" xfId="1201"/>
    <cellStyle name="_MEAS. SHEET EXT DEV FOR PHASE I-II-09.05.08-JKP_Health care" xfId="1202"/>
    <cellStyle name="_MEAS. SHEET EXT DEV FOR PHASE I-II-09.05.08-JKP_JCO's (G+1) - 3 QUARTES" xfId="1203"/>
    <cellStyle name="_MEAS. SHEET EXT DEV FOR PHASE I-II-09.05.08-JKP_JCO's (G+1) - 3 QUARTES - FINAL ARCH &amp; STRU" xfId="1204"/>
    <cellStyle name="_MEAS. SHEET EXT DEV FOR PHASE I-II-09.05.08-JKP_landscape - nsg" xfId="1205"/>
    <cellStyle name="_MEAS. SHEET EXT DEV FOR PHASE I-II-09.05.08-JKP_MBA COLLAGE-CCBA ARCH" xfId="1206"/>
    <cellStyle name="_MEAS. SHEET EXT DEV FOR PHASE I-II-09.05.08-JKP_MEAS SHEET OF- ARCH - Lower Ground floor" xfId="1207"/>
    <cellStyle name="_MEAS. SHEET EXT DEV FOR PHASE I-II-09.05.08-JKP_MEAS SHEET OF- ARCH- Chaitali" xfId="1208"/>
    <cellStyle name="_MEAS. SHEET EXT DEV FOR PHASE I-II-09.05.08-JKP_MEAS SHEET OF- ARCH-25-12-2010-heena...." xfId="1209"/>
    <cellStyle name="_MEAS. SHEET EXT DEV FOR PHASE I-II-09.05.08-JKP_MEAS SHEET OF- ARCH-ANKITA " xfId="1210"/>
    <cellStyle name="_MEAS. SHEET EXT DEV FOR PHASE I-II-09.05.08-JKP_MEAS SHEET OF- ARCH-kajal.." xfId="1211"/>
    <cellStyle name="_MEAS. SHEET EXT DEV FOR PHASE I-II-09.05.08-JKP_MEAS SHEET OF- ARCH-MP" xfId="1212"/>
    <cellStyle name="_MEAS. SHEET EXT DEV FOR PHASE I-II-09.05.08-JKP_MEAS SHEET OF- ARCH-priyanka." xfId="1213"/>
    <cellStyle name="_MEAS. SHEET EXT DEV FOR PHASE I-II-09.05.08-JKP_MEAS SHEET OF- Mitali" xfId="1214"/>
    <cellStyle name="_MEAS. SHEET EXT DEV FOR PHASE I-II-09.05.08-JKP_MEAS SHEET OF RCC FOR MDP HOSTEL - 06.06.11-JRP" xfId="1215"/>
    <cellStyle name="_MEAS. SHEET EXT DEV FOR PHASE I-II-09.05.08-JKP_MEAS SHEET OF-R.C.C. (M) (28-01-12)(Foundation) - chk" xfId="1216"/>
    <cellStyle name="_MEAS. SHEET EXT DEV FOR PHASE I-II-09.05.08-JKP_Meas Sheet of-stru-STAFF QUARTER-kajal" xfId="1217"/>
    <cellStyle name="_MEAS. SHEET EXT DEV FOR PHASE I-II-09.05.08-JKP_MEAS_FACULTY HOUSING" xfId="1218"/>
    <cellStyle name="_MEAS. SHEET EXT DEV FOR PHASE I-II-09.05.08-JKP_MEAS-FACULTY HOUSE-16.04.10-A" xfId="1219"/>
    <cellStyle name="_MEAS. SHEET EXT DEV FOR PHASE I-II-09.05.08-JKP_Measurement" xfId="1220"/>
    <cellStyle name="_MEAS. SHEET EXT DEV FOR PHASE I-II-09.05.08-JKP_MEASUREMENT SHEET -Plaster At Guest House- Chaitali" xfId="1221"/>
    <cellStyle name="_MEAS. SHEET EXT DEV FOR PHASE I-II-09.05.08-JKP_Miscellaneous work" xfId="1222"/>
    <cellStyle name="_MEAS. SHEET EXT DEV FOR PHASE I-II-09.05.08-JKP_Steel truss-Dharmendra" xfId="1223"/>
    <cellStyle name="_MEAS. SHEET of 09.05.08-JKP" xfId="1224"/>
    <cellStyle name="_MEAS. SHEET of PHASE I-07.05.08" xfId="1225"/>
    <cellStyle name="_MEAS. SHEET of PHASE I-07.05.08_5th FLOOR" xfId="1226"/>
    <cellStyle name="_MEAS. SHEET of PHASE I-07.05.08_BOQ" xfId="1227"/>
    <cellStyle name="_MEAS. SHEET of PHASE I-07.05.08_Copy of Copy of MEAS SHEET OF- ARCH-SHIKHA" xfId="1228"/>
    <cellStyle name="_MEAS. SHEET of PHASE I-07.05.08_Copy of MEAS SHEET OF- ARCH-kajal.." xfId="1229"/>
    <cellStyle name="_MEAS. SHEET of PHASE I-07.05.08_Copy of MEAS SHEET OF- ARCH-SK" xfId="1230"/>
    <cellStyle name="_MEAS. SHEET of PHASE I-07.05.08_DRAFT-EST-CIVIL-05.11.11" xfId="1231"/>
    <cellStyle name="_MEAS. SHEET of PHASE I-07.05.08_ESTIMATE-15.03.11-OPTION-2" xfId="1232"/>
    <cellStyle name="_MEAS. SHEET of PHASE I-07.05.08_Final BOQ-SEMINAR HALL" xfId="1233"/>
    <cellStyle name="_MEAS. SHEET of PHASE I-07.05.08_FINAL MEAS SHEET OF-ARCHI-MDP HOSTEL -BL -" xfId="1234"/>
    <cellStyle name="_MEAS. SHEET of PHASE I-07.05.08_Health care" xfId="1235"/>
    <cellStyle name="_MEAS. SHEET of PHASE I-07.05.08_JCO's (G+1) - 3 QUARTES" xfId="1236"/>
    <cellStyle name="_MEAS. SHEET of PHASE I-07.05.08_JCO's (G+1) - 3 QUARTES - FINAL ARCH &amp; STRU" xfId="1237"/>
    <cellStyle name="_MEAS. SHEET of PHASE I-07.05.08_landscape - nsg" xfId="1238"/>
    <cellStyle name="_MEAS. SHEET of PHASE I-07.05.08_MBA COLLAGE-CCBA ARCH" xfId="1239"/>
    <cellStyle name="_MEAS. SHEET of PHASE I-07.05.08_MEAS SHEET OF- ARCH - Lower Ground floor" xfId="1240"/>
    <cellStyle name="_MEAS. SHEET of PHASE I-07.05.08_MEAS SHEET OF- ARCH- Chaitali" xfId="1241"/>
    <cellStyle name="_MEAS. SHEET of PHASE I-07.05.08_MEAS SHEET OF- ARCH-25-12-2010-heena...." xfId="1242"/>
    <cellStyle name="_MEAS. SHEET of PHASE I-07.05.08_MEAS SHEET OF- ARCH-ANKITA " xfId="1243"/>
    <cellStyle name="_MEAS. SHEET of PHASE I-07.05.08_MEAS SHEET OF- ARCH-kajal.." xfId="1244"/>
    <cellStyle name="_MEAS. SHEET of PHASE I-07.05.08_MEAS SHEET OF- ARCH-MP" xfId="1245"/>
    <cellStyle name="_MEAS. SHEET of PHASE I-07.05.08_MEAS SHEET OF- ARCH-priyanka." xfId="1246"/>
    <cellStyle name="_MEAS. SHEET of PHASE I-07.05.08_MEAS SHEET OF- Mitali" xfId="1247"/>
    <cellStyle name="_MEAS. SHEET of PHASE I-07.05.08_MEAS SHEET OF RCC FOR MDP HOSTEL - 06.06.11-JRP" xfId="1248"/>
    <cellStyle name="_MEAS. SHEET of PHASE I-07.05.08_MEAS SHEET OF-R.C.C. (M) (28-01-12)(Foundation) - chk" xfId="1249"/>
    <cellStyle name="_MEAS. SHEET of PHASE I-07.05.08_Meas Sheet of-stru-STAFF QUARTER-kajal" xfId="1250"/>
    <cellStyle name="_MEAS. SHEET of PHASE I-07.05.08_MEAS_FACULTY HOUSING" xfId="1251"/>
    <cellStyle name="_MEAS. SHEET of PHASE I-07.05.08_MEAS-FACULTY HOUSE-16.04.10-A" xfId="1252"/>
    <cellStyle name="_MEAS. SHEET of PHASE I-07.05.08_Measurement" xfId="1253"/>
    <cellStyle name="_MEAS. SHEET of PHASE I-07.05.08_MEASUREMENT SHEET -Plaster At Guest House- Chaitali" xfId="1254"/>
    <cellStyle name="_MEAS. SHEET of PHASE I-07.05.08_Miscellaneous work" xfId="1255"/>
    <cellStyle name="_MEAS. SHEET of PHASE I-07.05.08_Steel truss-Dharmendra" xfId="1256"/>
    <cellStyle name="_MEAS. SHEET of PHASE II-07.05.08-JKP" xfId="1257"/>
    <cellStyle name="_MEAS. SHEET of PHASE II-07.05.08-JKP_5th FLOOR" xfId="1258"/>
    <cellStyle name="_MEAS. SHEET of PHASE II-07.05.08-JKP_BOQ" xfId="1259"/>
    <cellStyle name="_MEAS. SHEET of PHASE II-07.05.08-JKP_BOQ OF FINISHES FOR residentialL- 21.05.11" xfId="1260"/>
    <cellStyle name="_MEAS. SHEET of PHASE II-07.05.08-JKP_Copy of Copy of MEAS SHEET OF- ARCH-SHIKHA" xfId="1261"/>
    <cellStyle name="_MEAS. SHEET of PHASE II-07.05.08-JKP_Copy of MEAS SHEET OF- ARCH-kajal.." xfId="1262"/>
    <cellStyle name="_MEAS. SHEET of PHASE II-07.05.08-JKP_Copy of MEAS SHEET OF- ARCH-SK" xfId="1263"/>
    <cellStyle name="_MEAS. SHEET of PHASE II-07.05.08-JKP_ESTIMATE- RTC CREST ANNEX-20-02-10-SSA" xfId="1264"/>
    <cellStyle name="_MEAS. SHEET of PHASE II-07.05.08-JKP_ESTIMATE-15.03.11-OPTION-2" xfId="1265"/>
    <cellStyle name="_MEAS. SHEET of PHASE II-07.05.08-JKP_Final BOQ-SEMINAR HALL" xfId="1266"/>
    <cellStyle name="_MEAS. SHEET of PHASE II-07.05.08-JKP_FINAL MEAS SHEET OF-ARCHI-MDP HOSTEL -BL -" xfId="1267"/>
    <cellStyle name="_MEAS. SHEET of PHASE II-07.05.08-JKP_Health care" xfId="1268"/>
    <cellStyle name="_MEAS. SHEET of PHASE II-07.05.08-JKP_JCO's (G+1) - 3 QUARTES" xfId="1269"/>
    <cellStyle name="_MEAS. SHEET of PHASE II-07.05.08-JKP_JCO's (G+1) - 3 QUARTES - FINAL ARCH &amp; STRU" xfId="1270"/>
    <cellStyle name="_MEAS. SHEET of PHASE II-07.05.08-JKP_JCO's (G+1) - 3 QUARTES - FINAL ARCH &amp; STRU 2" xfId="1271"/>
    <cellStyle name="_MEAS. SHEET of PHASE II-07.05.08-JKP_JCO's (G+1) - 3 QUARTES - FINAL ARCH &amp; STRU_ESTIMATE-07.11.11" xfId="1272"/>
    <cellStyle name="_MEAS. SHEET of PHASE II-07.05.08-JKP_JCO's (G+1) - 3 QUARTES - FINAL ARCH &amp; STRU_ESTIMATE-07.11.11 2" xfId="1273"/>
    <cellStyle name="_MEAS. SHEET of PHASE II-07.05.08-JKP_JCO's (G+1) - 3 QUARTES - FINAL ARCH &amp; STRU_EST-ROAD WORK-02.09.11-TO PROZONE" xfId="1274"/>
    <cellStyle name="_MEAS. SHEET of PHASE II-07.05.08-JKP_JCO's (G+1) - 3 QUARTES - FINAL ARCH &amp; STRU_EST-ROAD WORK-02.09.11-TO PROZONE 2" xfId="1275"/>
    <cellStyle name="_MEAS. SHEET of PHASE II-07.05.08-JKP_JCO's (G+1) - 3 QUARTES 2" xfId="1276"/>
    <cellStyle name="_MEAS. SHEET of PHASE II-07.05.08-JKP_JCO's (G+1) - 3 QUARTES 3" xfId="1277"/>
    <cellStyle name="_MEAS. SHEET of PHASE II-07.05.08-JKP_JCO's (G+1) - 3 QUARTES 4" xfId="1278"/>
    <cellStyle name="_MEAS. SHEET of PHASE II-07.05.08-JKP_JCO's (G+1) - 3 QUARTES 5" xfId="1279"/>
    <cellStyle name="_MEAS. SHEET of PHASE II-07.05.08-JKP_JCO's (G+1) - 3 QUARTES_ESTIMATE-07.11.11" xfId="1280"/>
    <cellStyle name="_MEAS. SHEET of PHASE II-07.05.08-JKP_JCO's (G+1) - 3 QUARTES_ESTIMATE-07.11.11 2" xfId="1281"/>
    <cellStyle name="_MEAS. SHEET of PHASE II-07.05.08-JKP_JCO's (G+1) - 3 QUARTES_EST-ROAD WORK-02.09.11-TO PROZONE" xfId="1282"/>
    <cellStyle name="_MEAS. SHEET of PHASE II-07.05.08-JKP_JCO's (G+1) - 3 QUARTES_EST-ROAD WORK-02.09.11-TO PROZONE 2" xfId="1283"/>
    <cellStyle name="_MEAS. SHEET of PHASE II-07.05.08-JKP_JCO's (G+1) - 4 QUARTES" xfId="1284"/>
    <cellStyle name="_MEAS. SHEET of PHASE II-07.05.08-JKP_JCO's (G+1) - 4 QUARTES 2" xfId="1285"/>
    <cellStyle name="_MEAS. SHEET of PHASE II-07.05.08-JKP_JCO's (G+1) - 4 QUARTES_TCS-BUDGET format (Spectral)29 12 11 (2)" xfId="1286"/>
    <cellStyle name="_MEAS. SHEET of PHASE II-07.05.08-JKP_JCO's (G+1) - 4 QUARTES_TCS-BUDGET format (Spectral)29 12 11 (2) 2" xfId="1287"/>
    <cellStyle name="_MEAS. SHEET of PHASE II-07.05.08-JKP_MBA COLLAGE-CCBA ARCH" xfId="1288"/>
    <cellStyle name="_MEAS. SHEET of PHASE II-07.05.08-JKP_MEAS SHEET OF- ARCH - Lower Ground floor" xfId="1289"/>
    <cellStyle name="_MEAS. SHEET of PHASE II-07.05.08-JKP_MEAS SHEET OF- ARCH- Chaitali" xfId="1290"/>
    <cellStyle name="_MEAS. SHEET of PHASE II-07.05.08-JKP_MEAS SHEET OF- ARCH-25-12-2010-heena...." xfId="1291"/>
    <cellStyle name="_MEAS. SHEET of PHASE II-07.05.08-JKP_MEAS SHEET OF- ARCH-ANKITA " xfId="1292"/>
    <cellStyle name="_MEAS. SHEET of PHASE II-07.05.08-JKP_MEAS SHEET OF- ARCH-kajal.." xfId="1293"/>
    <cellStyle name="_MEAS. SHEET of PHASE II-07.05.08-JKP_MEAS SHEET OF- ARCH-MP" xfId="1294"/>
    <cellStyle name="_MEAS. SHEET of PHASE II-07.05.08-JKP_MEAS SHEET OF- ARCH-priyanka." xfId="1295"/>
    <cellStyle name="_MEAS. SHEET of PHASE II-07.05.08-JKP_MEAS SHEET OF- Mitali" xfId="1296"/>
    <cellStyle name="_MEAS. SHEET of PHASE II-07.05.08-JKP_MEAS SHEET OF RCC FOR MDP HOSTEL - 06.06.11-JRP" xfId="1297"/>
    <cellStyle name="_MEAS. SHEET of PHASE II-07.05.08-JKP_Meas Sheet of-stru-STAFF QUARTER-kajal" xfId="1298"/>
    <cellStyle name="_MEAS. SHEET of PHASE II-07.05.08-JKP_MEAS_FACULTY HOUSING" xfId="1299"/>
    <cellStyle name="_MEAS. SHEET of PHASE II-07.05.08-JKP_MEAS-FACULTY HOUSE-16.04.10-A" xfId="1300"/>
    <cellStyle name="_MEAS. SHEET of PHASE II-07.05.08-JKP_MEAS-SHEET- FINISHING-BL" xfId="1301"/>
    <cellStyle name="_MEAS. SHEET of PHASE II-07.05.08-JKP_Measurement" xfId="1302"/>
    <cellStyle name="_MEAS. SHEET of PHASE II-07.05.08-JKP_MEASUREMENT SHEET -Plaster At Guest House- Chaitali" xfId="1303"/>
    <cellStyle name="_MEAS. SHEET of PHASE II-07.05.08-JKP_Miscellaneous work" xfId="1304"/>
    <cellStyle name="_MEAS. SHEET of PHASE II-07.05.08-JKP_PAINTING" xfId="1305"/>
    <cellStyle name="_MEAS. SHEET of PHASE II-07.05.08-JKP_RA_MKT_INTERIOR" xfId="1306"/>
    <cellStyle name="_MEAS. SHEET of PHASE II-07.05.08-JKP_RA-MKT" xfId="1307"/>
    <cellStyle name="_MEAS. SHEET of PHASE II-07.05.08-JKP_REV. BOQ-KNOWLEDGE CENTERl-09-01-10-AP" xfId="1308"/>
    <cellStyle name="_MEAS. SHEET of PHASE II-07.05.08-JKP_REV.EST" xfId="1309"/>
    <cellStyle name="_MEAS. SHEET of PHASE II-07.05.08-JKP_REV.ESTIMATE" xfId="1310"/>
    <cellStyle name="_MEAS. SHEET of PHASE II-07.05.08-JKP_Steel truss-Dharmendra" xfId="1311"/>
    <cellStyle name="_MEAS. SHEET of Plot-2 Campus -2  5-07-08 P" xfId="1312"/>
    <cellStyle name="_MEAS. SHEET of Plot-2 Campus -2  5-07-08 P_Health care" xfId="1313"/>
    <cellStyle name="_MEAS. SHEET of Plot-2 Campus -2  5-07-08 P_MEAS_FACULTY HOUSING" xfId="1314"/>
    <cellStyle name="_MEAS. SHEET of Plot-2 Campus -2  5-07-08 P_MEAS-FACULTY HOUSE-16.04.10-A" xfId="1315"/>
    <cellStyle name="_MEAS. SHEET of Plot-2 CAMPUS- I-5.07.08- B" xfId="1316"/>
    <cellStyle name="_MEAS. SHEET of Plot-2 CAMPUS- I-5.07.08- B_Health care" xfId="1317"/>
    <cellStyle name="_MEAS. SHEET of Plot-2 CAMPUS- I-5.07.08- B_MEAS_FACULTY HOUSING" xfId="1318"/>
    <cellStyle name="_MEAS. SHEET of Plot-2 CAMPUS- I-5.07.08- B_MEAS-FACULTY HOUSE-16.04.10-A" xfId="1319"/>
    <cellStyle name="_MEAS.-Fasade-25-04-11-h" xfId="1320"/>
    <cellStyle name="_MEAS-FINISHING WORK.-18.01.2010-PD" xfId="1321"/>
    <cellStyle name="_MEAS-FINISHING WORK.-18.01.2010-PD_Sez_Boq_Superstructure part-FORMATED" xfId="1322"/>
    <cellStyle name="_MEAS-masonry-Ankita" xfId="1323"/>
    <cellStyle name="_MEAS-RCC...25-5-11-CSR" xfId="1324"/>
    <cellStyle name="_MEAS-RCC-03.09.11-B" xfId="1325"/>
    <cellStyle name="_MEAS-RCC-5-7-11" xfId="1326"/>
    <cellStyle name="_MEAS-SHEET- FINISHING-BL" xfId="1327"/>
    <cellStyle name="_MEASUREMENT SHEET - 09-09-08  PD" xfId="1328"/>
    <cellStyle name="_MEASUREMENT SHEET - 09-09-08  PD-Area Wise" xfId="1329"/>
    <cellStyle name="_MEASUREMENT SHEET - BUA-16-12-2010-MP" xfId="1330"/>
    <cellStyle name="_MEASUREMENT SHEET - LIBRARY-CHECKED" xfId="1331"/>
    <cellStyle name="_MEASUREMENT SHEET - LIBRARY-CHECKED_ESTIMATE- RTC CREST ANNEX-20-02-10-SSA" xfId="1332"/>
    <cellStyle name="_MEASUREMENT SHEET - LIBRARY-CHECKED_ESTIMATE- RTC CREST ANNEX-20-02-10-SSA_Sez_Boq_Superstructure part-FORMATED" xfId="1333"/>
    <cellStyle name="_MEASUREMENT SHEET - LIBRARY-CHECKED_RA_MKT_INTERIOR" xfId="1334"/>
    <cellStyle name="_MEASUREMENT SHEET - LIBRARY-CHECKED_RA_MKT_INTERIOR_Sez_Boq_Superstructure part-FORMATED" xfId="1335"/>
    <cellStyle name="_MEASUREMENT SHEET - LIBRARY-CHECKED_RA-MKT" xfId="1336"/>
    <cellStyle name="_MEASUREMENT SHEET - LIBRARY-CHECKED_RA-MKT_Sez_Boq_Superstructure part-FORMATED" xfId="1337"/>
    <cellStyle name="_MEASUREMENT SHEET - LIBRARY-CHECKED_REV.EST" xfId="1338"/>
    <cellStyle name="_MEASUREMENT SHEET - LIBRARY-CHECKED_REV.EST_Sez_Boq_Superstructure part-FORMATED" xfId="1339"/>
    <cellStyle name="_MEASUREMENT SHEET - LIBRARY-CHECKED_REV.ESTIMATE" xfId="1340"/>
    <cellStyle name="_MEASUREMENT SHEET - LIBRARY-CHECKED_REV.ESTIMATE_Sez_Boq_Superstructure part-FORMATED" xfId="1341"/>
    <cellStyle name="_MEASUREMENT SHEET - LIBRARY-CHECKED_Sez_Boq_Superstructure part-FORMATED" xfId="1342"/>
    <cellStyle name="_MEASUREMENT SHEET - MASONRY-S" xfId="1343"/>
    <cellStyle name="_MEASUREMENT SHEET - MASONRY-S_Sez_Boq_Superstructure part-FORMATED" xfId="1344"/>
    <cellStyle name="_MEASUREMENT SHEET - RCC-  (14-5-11) -P" xfId="1345"/>
    <cellStyle name="_MEASUREMENT SHEET - RCC- Chaitali - CHK" xfId="1346"/>
    <cellStyle name="_MEASUREMENT SHEET - RCC- Neha (14-5-11)" xfId="1347"/>
    <cellStyle name="_MEASUREMENT SHEET - Revised FINISHING - 6-8-2011 FINAL" xfId="1348"/>
    <cellStyle name="_Measurement sheet CH" xfId="1349"/>
    <cellStyle name="_MEASUREMENT SHEET -Plaster At Guest House- Chaitali" xfId="1350"/>
    <cellStyle name="_MEASUREMENT SHEET -ZONAL CANTEEN" xfId="1351"/>
    <cellStyle name="_MEASUREMENT SHEET -ZONAL CANTEEN_ESTIMATE- RTC CREST ANNEX-20-02-10-SSA" xfId="1352"/>
    <cellStyle name="_MEASUREMENT SHEET -ZONAL CANTEEN_ESTIMATE- RTC CREST ANNEX-20-02-10-SSA_Sez_Boq_Superstructure part-FORMATED" xfId="1353"/>
    <cellStyle name="_MEASUREMENT SHEET -ZONAL CANTEEN_RA_MKT_INTERIOR" xfId="1354"/>
    <cellStyle name="_MEASUREMENT SHEET -ZONAL CANTEEN_RA_MKT_INTERIOR_Sez_Boq_Superstructure part-FORMATED" xfId="1355"/>
    <cellStyle name="_MEASUREMENT SHEET -ZONAL CANTEEN_RA-MKT" xfId="1356"/>
    <cellStyle name="_MEASUREMENT SHEET -ZONAL CANTEEN_RA-MKT_Sez_Boq_Superstructure part-FORMATED" xfId="1357"/>
    <cellStyle name="_MEASUREMENT SHEET -ZONAL CANTEEN_REV.EST" xfId="1358"/>
    <cellStyle name="_MEASUREMENT SHEET -ZONAL CANTEEN_REV.EST_Sez_Boq_Superstructure part-FORMATED" xfId="1359"/>
    <cellStyle name="_MEASUREMENT SHEET -ZONAL CANTEEN_REV.ESTIMATE" xfId="1360"/>
    <cellStyle name="_MEASUREMENT SHEET -ZONAL CANTEEN_REV.ESTIMATE_Sez_Boq_Superstructure part-FORMATED" xfId="1361"/>
    <cellStyle name="_MEASUREMENT SHEET -ZONAL CANTEEN_Sez_Boq_Superstructure part-FORMATED" xfId="1362"/>
    <cellStyle name="_MEASUREMENT SHEET -ZONAL CANTEEN-Zone IV" xfId="1363"/>
    <cellStyle name="_MEASUREMENT SHEET -ZONAL CANTEEN-Zone IV_ESTIMATE- RTC CREST ANNEX-20-02-10-SSA" xfId="1364"/>
    <cellStyle name="_MEASUREMENT SHEET -ZONAL CANTEEN-Zone IV_ESTIMATE- RTC CREST ANNEX-20-02-10-SSA_Sez_Boq_Superstructure part-FORMATED" xfId="1365"/>
    <cellStyle name="_MEASUREMENT SHEET -ZONAL CANTEEN-Zone IV_RA_MKT_INTERIOR" xfId="1366"/>
    <cellStyle name="_MEASUREMENT SHEET -ZONAL CANTEEN-Zone IV_RA_MKT_INTERIOR_Sez_Boq_Superstructure part-FORMATED" xfId="1367"/>
    <cellStyle name="_MEASUREMENT SHEET -ZONAL CANTEEN-Zone IV_RA-MKT" xfId="1368"/>
    <cellStyle name="_MEASUREMENT SHEET -ZONAL CANTEEN-Zone IV_RA-MKT_Sez_Boq_Superstructure part-FORMATED" xfId="1369"/>
    <cellStyle name="_MEASUREMENT SHEET -ZONAL CANTEEN-Zone IV_REV.EST" xfId="1370"/>
    <cellStyle name="_MEASUREMENT SHEET -ZONAL CANTEEN-Zone IV_REV.EST_Sez_Boq_Superstructure part-FORMATED" xfId="1371"/>
    <cellStyle name="_MEASUREMENT SHEET -ZONAL CANTEEN-Zone IV_REV.ESTIMATE" xfId="1372"/>
    <cellStyle name="_MEASUREMENT SHEET -ZONAL CANTEEN-Zone IV_REV.ESTIMATE_Sez_Boq_Superstructure part-FORMATED" xfId="1373"/>
    <cellStyle name="_MEASUREMENT SHEET -ZONAL CANTEEN-Zone IV_Sez_Boq_Superstructure part-FORMATED" xfId="1374"/>
    <cellStyle name="_MEASUREMENT SHEET-26-11-09-PD" xfId="1375"/>
    <cellStyle name="_MEASUREMENT-EXTERNAL DEVL" xfId="1376"/>
    <cellStyle name="_measurment of arch-3+3 bhk-sk &amp; avdhi-26-08-2011" xfId="1377"/>
    <cellStyle name="_MES SHEET OF BUA-(neha)-22-9-11" xfId="1378"/>
    <cellStyle name="_Mobilisation Advance and advance to vendors_January 2009" xfId="1379"/>
    <cellStyle name="_Multiple" xfId="1380"/>
    <cellStyle name="_MultipleSpace" xfId="1381"/>
    <cellStyle name="_NF rate bifercation ME - Copy" xfId="1382"/>
    <cellStyle name="_ONGC-KOLKATA-PRELIM-EST-06.01.09-AHC" xfId="1383"/>
    <cellStyle name="_OPD BOQ &amp; meas -04.05.09" xfId="1384"/>
    <cellStyle name="_Package 3 - Analysis 26th Sep-05" xfId="1385"/>
    <cellStyle name="_PAINTING" xfId="1386"/>
    <cellStyle name="_Percent" xfId="1387"/>
    <cellStyle name="_PercentSpace" xfId="1388"/>
    <cellStyle name="_PLASTER-ATRECO-ADANI-11-06-10" xfId="1389"/>
    <cellStyle name="_PMV load calcns" xfId="1390"/>
    <cellStyle name="_POWER" xfId="1391"/>
    <cellStyle name="_POWER_Cost" xfId="1392"/>
    <cellStyle name="_PRELIMINARY TOTAL ESTIMATE - R2-11.01.11" xfId="1393"/>
    <cellStyle name="_RA-MKT" xfId="1394"/>
    <cellStyle name="_RA-MKT_ARCH-GATE" xfId="1395"/>
    <cellStyle name="_RA-MKT_DRAFT BOQ - ENTRANCE GATE - 19-10-2010" xfId="1396"/>
    <cellStyle name="_RA-MKT_DRAFT-EST-CIVIL-05.11.11" xfId="1397"/>
    <cellStyle name="_RA-MKT_MEA SHEET OF  MASONARY &amp; PLASTER-REV ON 4-05-11" xfId="1398"/>
    <cellStyle name="_RA-MKT_MEAS-RCC...25-5-11-CSR" xfId="1399"/>
    <cellStyle name="_RA-MKT_MEAS-RCC-5-7-11" xfId="1400"/>
    <cellStyle name="_Ranchi Package 2 - Workings" xfId="1401"/>
    <cellStyle name="_RCC-ROW HOUSE-17.05.08" xfId="1402"/>
    <cellStyle name="_RCC-ROW HOUSE-17.05.08_5th FLOOR" xfId="1403"/>
    <cellStyle name="_RCC-ROW HOUSE-17.05.08_ARCH MAJORs (G)" xfId="1404"/>
    <cellStyle name="_RCC-ROW HOUSE-17.05.08_ARCH MAJORs (G+1)-4 QTR" xfId="1405"/>
    <cellStyle name="_RCC-ROW HOUSE-17.05.08_ARCH OR'S (G+1) -3 QTR_" xfId="1406"/>
    <cellStyle name="_RCC-ROW HOUSE-17.05.08_BOQ" xfId="1407"/>
    <cellStyle name="_RCC-ROW HOUSE-17.05.08_BOQ OF FINISHES FOR residentialL- 21.05.11" xfId="1408"/>
    <cellStyle name="_RCC-ROW HOUSE-17.05.08_Copy of Copy of MEAS SHEET OF- ARCH-SHIKHA" xfId="1409"/>
    <cellStyle name="_RCC-ROW HOUSE-17.05.08_Copy of MEAS SHEET OF- ARCH-kajal.." xfId="1410"/>
    <cellStyle name="_RCC-ROW HOUSE-17.05.08_Copy of MEAS SHEET OF- ARCH-SK" xfId="1411"/>
    <cellStyle name="_RCC-ROW HOUSE-17.05.08_ESTIMATE- RTC CREST ANNEX-20-02-10-SSA" xfId="1412"/>
    <cellStyle name="_RCC-ROW HOUSE-17.05.08_ESTIMATE- RTC CREST ANNEX-20-02-10-SSA_Sez_Boq_Superstructure part-FORMATED" xfId="1413"/>
    <cellStyle name="_RCC-ROW HOUSE-17.05.08_ESTIMATE-15.03.11-OPTION-2" xfId="1414"/>
    <cellStyle name="_RCC-ROW HOUSE-17.05.08_Final BOQ-SEMINAR HALL" xfId="1415"/>
    <cellStyle name="_RCC-ROW HOUSE-17.05.08_FINAL MEAS SHEET OF-ARCHI-MDP HOSTEL -BL -" xfId="1416"/>
    <cellStyle name="_RCC-ROW HOUSE-17.05.08_JCO's (G+1) - 3 QUARTES" xfId="1417"/>
    <cellStyle name="_RCC-ROW HOUSE-17.05.08_JCO's (G+1) - 3 QUARTES - FINAL ARCH &amp; STRU" xfId="1418"/>
    <cellStyle name="_RCC-ROW HOUSE-17.05.08_JCO's (G+1) - 4 QUARTES" xfId="1419"/>
    <cellStyle name="_RCC-ROW HOUSE-17.05.08_JCO's (G+2) - 6 QUARTES" xfId="1420"/>
    <cellStyle name="_RCC-ROW HOUSE-17.05.08_MBA COLLAGE-CCBA ARCH" xfId="1421"/>
    <cellStyle name="_RCC-ROW HOUSE-17.05.08_MEAS SHEET OF- ARCH - Lower Ground floor" xfId="1422"/>
    <cellStyle name="_RCC-ROW HOUSE-17.05.08_MEAS SHEET OF- ARCH- Chaitali" xfId="1423"/>
    <cellStyle name="_RCC-ROW HOUSE-17.05.08_MEAS SHEET OF- ARCH-25-12-2010-heena...." xfId="1424"/>
    <cellStyle name="_RCC-ROW HOUSE-17.05.08_MEAS SHEET OF- ARCH-ANKITA " xfId="1425"/>
    <cellStyle name="_RCC-ROW HOUSE-17.05.08_MEAS SHEET OF- ARCH-kajal.." xfId="1426"/>
    <cellStyle name="_RCC-ROW HOUSE-17.05.08_MEAS SHEET OF- ARCH-MP" xfId="1427"/>
    <cellStyle name="_RCC-ROW HOUSE-17.05.08_MEAS SHEET OF- ARCH-priyanka." xfId="1428"/>
    <cellStyle name="_RCC-ROW HOUSE-17.05.08_MEAS SHEET OF- Mitali" xfId="1429"/>
    <cellStyle name="_RCC-ROW HOUSE-17.05.08_MEAS SHEET OF RCC FOR MDP HOSTEL - 06.06.11-JRP" xfId="1430"/>
    <cellStyle name="_RCC-ROW HOUSE-17.05.08_Meas Sheet of-stru-STAFF QUARTER-kajal" xfId="1431"/>
    <cellStyle name="_RCC-ROW HOUSE-17.05.08_MEAS.-OR'S (G+1) (3 QTRS.)" xfId="1432"/>
    <cellStyle name="_RCC-ROW HOUSE-17.05.08_MEAS.-OR'S (G+2) (6 QTRS.)" xfId="1433"/>
    <cellStyle name="_RCC-ROW HOUSE-17.05.08_MEAS-FACULTY HOUSE-16.04.10-A" xfId="1434"/>
    <cellStyle name="_RCC-ROW HOUSE-17.05.08_MEAS-FACULTY HOUSE-16.04.10-A_00 REV COMBINED EST-03.04.12---" xfId="1435"/>
    <cellStyle name="_RCC-ROW HOUSE-17.05.08_MEAS-FACULTY HOUSE-16.04.10-A_00-REV-ESTIMATE-04.04.12" xfId="1436"/>
    <cellStyle name="_RCC-ROW HOUSE-17.05.08_MEAS-FACULTY HOUSE-16.04.10-A_BOQ" xfId="1437"/>
    <cellStyle name="_RCC-ROW HOUSE-17.05.08_MEAS-FACULTY HOUSE-16.04.10-A_Meas. Sheet Of R.C.C. (07-06-12)(M.)(Tower - 2)" xfId="1438"/>
    <cellStyle name="_RCC-ROW HOUSE-17.05.08_MEAS-FACULTY HOUSE-16.04.10-A_Meas. Sheet Of R.C.C. (07-06-12)(M.)(Tower - 2)_BOQ" xfId="1439"/>
    <cellStyle name="_RCC-ROW HOUSE-17.05.08_MEAS-FACULTY HOUSE-16.04.10-A_Meas. Sheet Of R.C.C. (07-06-12)(M.)(Tower - 2)_Meas. Sheet Of R.C.C-22.06.12-Tower 3" xfId="1440"/>
    <cellStyle name="_RCC-ROW HOUSE-17.05.08_MEAS-FACULTY HOUSE-16.04.10-A_Meas. Sheet Of R.C.C. (07-06-12)(M.)(Tower- 1)" xfId="1441"/>
    <cellStyle name="_RCC-ROW HOUSE-17.05.08_MEAS-FACULTY HOUSE-16.04.10-A_Meas. Sheet Of R.C.C. (07-06-12)(M.)(Tower- 1)_BOQ" xfId="1442"/>
    <cellStyle name="_RCC-ROW HOUSE-17.05.08_MEAS-FACULTY HOUSE-16.04.10-A_Meas. Sheet Of R.C.C. (07-06-12)(M.)(Tower- 1)_Meas. Sheet Of R.C.C-22.06.12-Tower 3" xfId="1443"/>
    <cellStyle name="_RCC-ROW HOUSE-17.05.08_MEAS-FACULTY HOUSE-16.04.10-A_Meas. Sheet Of R.C.C. (13-06-12)(M)(basement)" xfId="1444"/>
    <cellStyle name="_RCC-ROW HOUSE-17.05.08_MEAS-FACULTY HOUSE-16.04.10-A_Meas. Sheet Of R.C.C. (13-06-12)(M)(basement)_BOQ" xfId="1445"/>
    <cellStyle name="_RCC-ROW HOUSE-17.05.08_MEAS-FACULTY HOUSE-16.04.10-A_Meas. Sheet Of R.C.C. (13-06-12)(M)(basement)_Meas. Sheet Of R.C.C-22.06.12-Tower 3" xfId="1446"/>
    <cellStyle name="_RCC-ROW HOUSE-17.05.08_MEAS-FACULTY HOUSE-16.04.10-A_Meas. Sheet Of R.C.C.Tower 3-(9.06.12)-N" xfId="1447"/>
    <cellStyle name="_RCC-ROW HOUSE-17.05.08_MEAS-FACULTY HOUSE-16.04.10-A_Meas. Sheet Of R.C.C.Tower 3-(9.06.12)-N_BOQ" xfId="1448"/>
    <cellStyle name="_RCC-ROW HOUSE-17.05.08_MEAS-FACULTY HOUSE-16.04.10-A_Meas. Sheet Of R.C.C.Tower 3-(9.06.12)-N_Meas. Sheet Of R.C.C-22.06.12-Tower 3" xfId="1449"/>
    <cellStyle name="_RCC-ROW HOUSE-17.05.08_MEAS-SHEET- FINISHING-BL" xfId="1450"/>
    <cellStyle name="_RCC-ROW HOUSE-17.05.08_Measurement" xfId="1451"/>
    <cellStyle name="_RCC-ROW HOUSE-17.05.08_MEASUREMENT SHEET -Plaster At Guest House- Chaitali" xfId="1452"/>
    <cellStyle name="_RCC-ROW HOUSE-17.05.08_MEASUREMENT-MAJOR(G+1)-BLOCK-4- 10-08-10-ARVA" xfId="1453"/>
    <cellStyle name="_RCC-ROW HOUSE-17.05.08_MEASUREMENT-MAJOR(G+1)-BLOCK-4- 10-08-10-NILAM" xfId="1454"/>
    <cellStyle name="_RCC-ROW HOUSE-17.05.08_Miscellaneous work" xfId="1455"/>
    <cellStyle name="_RCC-ROW HOUSE-17.05.08_PAINTING" xfId="1456"/>
    <cellStyle name="_RCC-ROW HOUSE-17.05.08_RA_MKT_INTERIOR" xfId="1457"/>
    <cellStyle name="_RCC-ROW HOUSE-17.05.08_RA_MKT_INTERIOR_Sez_Boq_Superstructure part-FORMATED" xfId="1458"/>
    <cellStyle name="_RCC-ROW HOUSE-17.05.08_RA-MKT" xfId="1459"/>
    <cellStyle name="_RCC-ROW HOUSE-17.05.08_RA-MKT_Sez_Boq_Superstructure part-FORMATED" xfId="1460"/>
    <cellStyle name="_RCC-ROW HOUSE-17.05.08_RCC OR'S (G+2) -6 QTR_" xfId="1461"/>
    <cellStyle name="_RCC-ROW HOUSE-17.05.08_REV. BOQ-KNOWLEDGE CENTERl-09-01-10-AP" xfId="1462"/>
    <cellStyle name="_RCC-ROW HOUSE-17.05.08_REV. BOQ-KNOWLEDGE CENTERl-09-01-10-AP_Sez_Boq_Superstructure part-FORMATED" xfId="1463"/>
    <cellStyle name="_RCC-ROW HOUSE-17.05.08_REV.EST" xfId="1464"/>
    <cellStyle name="_RCC-ROW HOUSE-17.05.08_REV.EST_Sez_Boq_Superstructure part-FORMATED" xfId="1465"/>
    <cellStyle name="_RCC-ROW HOUSE-17.05.08_REV.ESTIMATE" xfId="1466"/>
    <cellStyle name="_RCC-ROW HOUSE-17.05.08_REV.ESTIMATE_Sez_Boq_Superstructure part-FORMATED" xfId="1467"/>
    <cellStyle name="_RCC-ROW HOUSE-17.05.08_Sez_Boq_Superstructure part-FORMATED" xfId="1468"/>
    <cellStyle name="_RCC-ROW HOUSE-17.05.08_Steel truss-Dharmendra" xfId="1469"/>
    <cellStyle name="_Restructuring Path" xfId="1470"/>
    <cellStyle name="_REV DRAFT FINISHING BOQ WITH MEAS-2-12-09" xfId="1471"/>
    <cellStyle name="_REV PRELIMINARY ESTIMATE-FIRE STATION-07-07-11" xfId="1472"/>
    <cellStyle name="_REV-BOQ-BLDG-23-16.09.09" xfId="1473"/>
    <cellStyle name="_REV-BOQ-BLDG-23-16.09.09_Health care" xfId="1474"/>
    <cellStyle name="_REV-BOQ-BLDG-23-16.09.09_MEAS-FACULTY HOUSE-16.04.10-A" xfId="1475"/>
    <cellStyle name="_REV-ESTIMATE-BLDG-2-10.04.09" xfId="1476"/>
    <cellStyle name="_REV-ESTIMATE-BLDG-2-10.04.09_ESTIMATE- RTC CREST ANNEX-20-02-10-SSA" xfId="1477"/>
    <cellStyle name="_REV-ESTIMATE-BLDG-2-10.04.09_RA_MKT_INTERIOR" xfId="1478"/>
    <cellStyle name="_REV-ESTIMATE-BLDG-2-10.04.09_RA-MKT" xfId="1479"/>
    <cellStyle name="_REV-ESTIMATE-BLDG-2-10.04.09_REV.EST" xfId="1480"/>
    <cellStyle name="_REV-ESTIMATE-BLDG-2-10.04.09_REV.EST 2" xfId="1481"/>
    <cellStyle name="_REV-ESTIMATE-BLDG-2-10.04.09_REV.ESTIMATE" xfId="1482"/>
    <cellStyle name="_REV-ESTIMATE-BLDG-3-10.04.09" xfId="1483"/>
    <cellStyle name="_REV-ESTIMATE-BLDG-3-10.04.09_ESTIMATE- RTC CREST ANNEX-20-02-10-SSA" xfId="1484"/>
    <cellStyle name="_REV-ESTIMATE-BLDG-3-10.04.09_RA_MKT_INTERIOR" xfId="1485"/>
    <cellStyle name="_REV-ESTIMATE-BLDG-3-10.04.09_RA-MKT" xfId="1486"/>
    <cellStyle name="_REV-ESTIMATE-BLDG-3-10.04.09_REV.EST" xfId="1487"/>
    <cellStyle name="_REV-ESTIMATE-BLDG-3-10.04.09_REV.ESTIMATE" xfId="1488"/>
    <cellStyle name="_REV-ESTIMATE-BLDG-3-10.04.09-formated" xfId="1489"/>
    <cellStyle name="_REV-ESTIMATE-BLDG-3-10.04.09-formated_5th FLOOR" xfId="1490"/>
    <cellStyle name="_REV-ESTIMATE-BLDG-3-10.04.09-formated_BOQ" xfId="1491"/>
    <cellStyle name="_REV-ESTIMATE-BLDG-3-10.04.09-formated_Copy of Copy of MEAS SHEET OF- ARCH-SHIKHA" xfId="1492"/>
    <cellStyle name="_REV-ESTIMATE-BLDG-3-10.04.09-formated_Copy of MEAS SHEET OF- ARCH-kajal.." xfId="1493"/>
    <cellStyle name="_REV-ESTIMATE-BLDG-3-10.04.09-formated_Copy of MEAS SHEET OF- ARCH-SK" xfId="1494"/>
    <cellStyle name="_REV-ESTIMATE-BLDG-3-10.04.09-formated_DRAFT-EST-CIVIL-05.11.11" xfId="1495"/>
    <cellStyle name="_REV-ESTIMATE-BLDG-3-10.04.09-formated_ESTIMATE-15.03.11-OPTION-2" xfId="1496"/>
    <cellStyle name="_REV-ESTIMATE-BLDG-3-10.04.09-formated_Final BOQ-SEMINAR HALL" xfId="1497"/>
    <cellStyle name="_REV-ESTIMATE-BLDG-3-10.04.09-formated_FINAL MEAS SHEET OF-ARCHI-MDP HOSTEL -BL -" xfId="1498"/>
    <cellStyle name="_REV-ESTIMATE-BLDG-3-10.04.09-formated_Health care" xfId="1499"/>
    <cellStyle name="_REV-ESTIMATE-BLDG-3-10.04.09-formated_JCO's (G+1) - 3 QUARTES" xfId="1500"/>
    <cellStyle name="_REV-ESTIMATE-BLDG-3-10.04.09-formated_landscape - nsg" xfId="1501"/>
    <cellStyle name="_REV-ESTIMATE-BLDG-3-10.04.09-formated_MBA COLLAGE-CCBA ARCH" xfId="1502"/>
    <cellStyle name="_REV-ESTIMATE-BLDG-3-10.04.09-formated_MEAS SHEET OF- ARCH - Lower Ground floor" xfId="1503"/>
    <cellStyle name="_REV-ESTIMATE-BLDG-3-10.04.09-formated_MEAS SHEET OF- ARCH- Chaitali" xfId="1504"/>
    <cellStyle name="_REV-ESTIMATE-BLDG-3-10.04.09-formated_MEAS SHEET OF- ARCH-25-12-2010-heena...." xfId="1505"/>
    <cellStyle name="_REV-ESTIMATE-BLDG-3-10.04.09-formated_MEAS SHEET OF- ARCH-ANKITA " xfId="1506"/>
    <cellStyle name="_REV-ESTIMATE-BLDG-3-10.04.09-formated_MEAS SHEET OF- ARCH-kajal.." xfId="1507"/>
    <cellStyle name="_REV-ESTIMATE-BLDG-3-10.04.09-formated_MEAS SHEET OF- ARCH-MP" xfId="1508"/>
    <cellStyle name="_REV-ESTIMATE-BLDG-3-10.04.09-formated_MEAS SHEET OF- ARCH-priyanka." xfId="1509"/>
    <cellStyle name="_REV-ESTIMATE-BLDG-3-10.04.09-formated_MEAS SHEET OF- Mitali" xfId="1510"/>
    <cellStyle name="_REV-ESTIMATE-BLDG-3-10.04.09-formated_MEAS SHEET OF RCC FOR MDP HOSTEL - 06.06.11-JRP" xfId="1511"/>
    <cellStyle name="_REV-ESTIMATE-BLDG-3-10.04.09-formated_MEAS SHEET OF-R.C.C. (M) (28-01-12)(Foundation) - chk" xfId="1512"/>
    <cellStyle name="_REV-ESTIMATE-BLDG-3-10.04.09-formated_Meas Sheet of-stru-STAFF QUARTER-kajal" xfId="1513"/>
    <cellStyle name="_REV-ESTIMATE-BLDG-3-10.04.09-formated_MEAS.-OR'S (G+1) (3 QTRS.)" xfId="1514"/>
    <cellStyle name="_REV-ESTIMATE-BLDG-3-10.04.09-formated_MEAS-FACULTY HOUSE-16.04.10-A" xfId="1515"/>
    <cellStyle name="_REV-ESTIMATE-BLDG-3-10.04.09-formated_Measurement" xfId="1516"/>
    <cellStyle name="_REV-ESTIMATE-BLDG-3-10.04.09-formated_MEASUREMENT SHEET -Plaster At Guest House- Chaitali" xfId="1517"/>
    <cellStyle name="_REV-ESTIMATE-BLDG-3-10.04.09-formated_Miscellaneous work" xfId="1518"/>
    <cellStyle name="_REV-ESTIMATE-BLDG-3-10.04.09-formated_Steel truss-Dharmendra" xfId="1519"/>
    <cellStyle name="_REVISED DRAFT BOQ-STRU-CIVIL FOR BUILDING A-06.10.08" xfId="1520"/>
    <cellStyle name="_REVISED DRAFT-BOQ-EST-19.03.08" xfId="1521"/>
    <cellStyle name="_REVISED DRAFT-BOQ-EST-19.03.08_Sez_Boq_Superstructure part-FORMATED" xfId="1522"/>
    <cellStyle name="_Revised EST-30.08.08 as per all reduction old-ref" xfId="1523"/>
    <cellStyle name="_Revised EST-30.08.08 as per all reduction old-ref_5th FLOOR" xfId="1524"/>
    <cellStyle name="_Revised EST-30.08.08 as per all reduction old-ref_ARCH MAJORs (G)" xfId="1525"/>
    <cellStyle name="_Revised EST-30.08.08 as per all reduction old-ref_ARCH MAJORs (G+1)-4 QTR" xfId="1526"/>
    <cellStyle name="_Revised EST-30.08.08 as per all reduction old-ref_ARCH OR'S (G+1) -3 QTR_" xfId="1527"/>
    <cellStyle name="_Revised EST-30.08.08 as per all reduction old-ref_BOQ" xfId="1528"/>
    <cellStyle name="_Revised EST-30.08.08 as per all reduction old-ref_BOQ OF FINISHES FOR residentialL- 21.05.11" xfId="1529"/>
    <cellStyle name="_Revised EST-30.08.08 as per all reduction old-ref_Copy of Copy of MEAS SHEET OF- ARCH-SHIKHA" xfId="1530"/>
    <cellStyle name="_Revised EST-30.08.08 as per all reduction old-ref_Copy of MEAS SHEET OF- ARCH-kajal.." xfId="1531"/>
    <cellStyle name="_Revised EST-30.08.08 as per all reduction old-ref_Copy of MEAS SHEET OF- ARCH-SK" xfId="1532"/>
    <cellStyle name="_Revised EST-30.08.08 as per all reduction old-ref_ESTIMATE- RTC CREST ANNEX-20-02-10-SSA" xfId="1533"/>
    <cellStyle name="_Revised EST-30.08.08 as per all reduction old-ref_ESTIMATE- RTC CREST ANNEX-20-02-10-SSA_Sez_Boq_Superstructure part-FORMATED" xfId="1534"/>
    <cellStyle name="_Revised EST-30.08.08 as per all reduction old-ref_ESTIMATE-15.03.11-OPTION-2" xfId="1535"/>
    <cellStyle name="_Revised EST-30.08.08 as per all reduction old-ref_Final BOQ-SEMINAR HALL" xfId="1536"/>
    <cellStyle name="_Revised EST-30.08.08 as per all reduction old-ref_FINAL MEAS SHEET OF-ARCHI-MDP HOSTEL -BL -" xfId="1537"/>
    <cellStyle name="_Revised EST-30.08.08 as per all reduction old-ref_JCO's (G+1) - 3 QUARTES" xfId="1538"/>
    <cellStyle name="_Revised EST-30.08.08 as per all reduction old-ref_JCO's (G+1) - 3 QUARTES - FINAL ARCH &amp; STRU" xfId="1539"/>
    <cellStyle name="_Revised EST-30.08.08 as per all reduction old-ref_JCO's (G+1) - 4 QUARTES" xfId="1540"/>
    <cellStyle name="_Revised EST-30.08.08 as per all reduction old-ref_JCO's (G+2) - 6 QUARTES" xfId="1541"/>
    <cellStyle name="_Revised EST-30.08.08 as per all reduction old-ref_MBA COLLAGE-CCBA ARCH" xfId="1542"/>
    <cellStyle name="_Revised EST-30.08.08 as per all reduction old-ref_MEAS SHEET OF- ARCH - Lower Ground floor" xfId="1543"/>
    <cellStyle name="_Revised EST-30.08.08 as per all reduction old-ref_MEAS SHEET OF- ARCH- Chaitali" xfId="1544"/>
    <cellStyle name="_Revised EST-30.08.08 as per all reduction old-ref_MEAS SHEET OF- ARCH-25-12-2010-heena...." xfId="1545"/>
    <cellStyle name="_Revised EST-30.08.08 as per all reduction old-ref_MEAS SHEET OF- ARCH-ANKITA " xfId="1546"/>
    <cellStyle name="_Revised EST-30.08.08 as per all reduction old-ref_MEAS SHEET OF- ARCH-kajal.." xfId="1547"/>
    <cellStyle name="_Revised EST-30.08.08 as per all reduction old-ref_MEAS SHEET OF- ARCH-MP" xfId="1548"/>
    <cellStyle name="_Revised EST-30.08.08 as per all reduction old-ref_MEAS SHEET OF- ARCH-priyanka." xfId="1549"/>
    <cellStyle name="_Revised EST-30.08.08 as per all reduction old-ref_MEAS SHEET OF- Mitali" xfId="1550"/>
    <cellStyle name="_Revised EST-30.08.08 as per all reduction old-ref_MEAS SHEET OF RCC FOR MDP HOSTEL - 06.06.11-JRP" xfId="1551"/>
    <cellStyle name="_Revised EST-30.08.08 as per all reduction old-ref_Meas Sheet of-stru-STAFF QUARTER-kajal" xfId="1552"/>
    <cellStyle name="_Revised EST-30.08.08 as per all reduction old-ref_MEAS.-OR'S (G+1) (3 QTRS.)" xfId="1553"/>
    <cellStyle name="_Revised EST-30.08.08 as per all reduction old-ref_MEAS.-OR'S (G+2) (6 QTRS.)" xfId="1554"/>
    <cellStyle name="_Revised EST-30.08.08 as per all reduction old-ref_MEAS-FACULTY HOUSE-16.04.10-A" xfId="1555"/>
    <cellStyle name="_Revised EST-30.08.08 as per all reduction old-ref_MEAS-FACULTY HOUSE-16.04.10-A_00 REV COMBINED EST-03.04.12---" xfId="1556"/>
    <cellStyle name="_Revised EST-30.08.08 as per all reduction old-ref_MEAS-FACULTY HOUSE-16.04.10-A_00-REV-ESTIMATE-04.04.12" xfId="1557"/>
    <cellStyle name="_Revised EST-30.08.08 as per all reduction old-ref_MEAS-FACULTY HOUSE-16.04.10-A_BOQ" xfId="1558"/>
    <cellStyle name="_Revised EST-30.08.08 as per all reduction old-ref_MEAS-FACULTY HOUSE-16.04.10-A_Meas. Sheet Of R.C.C. (07-06-12)(M.)(Tower - 2)" xfId="1559"/>
    <cellStyle name="_Revised EST-30.08.08 as per all reduction old-ref_MEAS-FACULTY HOUSE-16.04.10-A_Meas. Sheet Of R.C.C. (07-06-12)(M.)(Tower - 2)_BOQ" xfId="1560"/>
    <cellStyle name="_Revised EST-30.08.08 as per all reduction old-ref_MEAS-FACULTY HOUSE-16.04.10-A_Meas. Sheet Of R.C.C. (07-06-12)(M.)(Tower - 2)_Meas. Sheet Of R.C.C-22.06.12-Tower 3" xfId="1561"/>
    <cellStyle name="_Revised EST-30.08.08 as per all reduction old-ref_MEAS-FACULTY HOUSE-16.04.10-A_Meas. Sheet Of R.C.C. (07-06-12)(M.)(Tower- 1)" xfId="1562"/>
    <cellStyle name="_Revised EST-30.08.08 as per all reduction old-ref_MEAS-FACULTY HOUSE-16.04.10-A_Meas. Sheet Of R.C.C. (07-06-12)(M.)(Tower- 1)_BOQ" xfId="1563"/>
    <cellStyle name="_Revised EST-30.08.08 as per all reduction old-ref_MEAS-FACULTY HOUSE-16.04.10-A_Meas. Sheet Of R.C.C. (07-06-12)(M.)(Tower- 1)_Meas. Sheet Of R.C.C-22.06.12-Tower 3" xfId="1564"/>
    <cellStyle name="_Revised EST-30.08.08 as per all reduction old-ref_MEAS-FACULTY HOUSE-16.04.10-A_Meas. Sheet Of R.C.C. (13-06-12)(M)(basement)" xfId="1565"/>
    <cellStyle name="_Revised EST-30.08.08 as per all reduction old-ref_MEAS-FACULTY HOUSE-16.04.10-A_Meas. Sheet Of R.C.C. (13-06-12)(M)(basement)_BOQ" xfId="1566"/>
    <cellStyle name="_Revised EST-30.08.08 as per all reduction old-ref_MEAS-FACULTY HOUSE-16.04.10-A_Meas. Sheet Of R.C.C. (13-06-12)(M)(basement)_Meas. Sheet Of R.C.C-22.06.12-Tower 3" xfId="1567"/>
    <cellStyle name="_Revised EST-30.08.08 as per all reduction old-ref_MEAS-FACULTY HOUSE-16.04.10-A_Meas. Sheet Of R.C.C.Tower 3-(9.06.12)-N" xfId="1568"/>
    <cellStyle name="_Revised EST-30.08.08 as per all reduction old-ref_MEAS-FACULTY HOUSE-16.04.10-A_Meas. Sheet Of R.C.C.Tower 3-(9.06.12)-N_BOQ" xfId="1569"/>
    <cellStyle name="_Revised EST-30.08.08 as per all reduction old-ref_MEAS-FACULTY HOUSE-16.04.10-A_Meas. Sheet Of R.C.C.Tower 3-(9.06.12)-N_Meas. Sheet Of R.C.C-22.06.12-Tower 3" xfId="1570"/>
    <cellStyle name="_Revised EST-30.08.08 as per all reduction old-ref_MEAS-SHEET- FINISHING-BL" xfId="1571"/>
    <cellStyle name="_Revised EST-30.08.08 as per all reduction old-ref_Measurement" xfId="1572"/>
    <cellStyle name="_Revised EST-30.08.08 as per all reduction old-ref_MEASUREMENT SHEET -Plaster At Guest House- Chaitali" xfId="1573"/>
    <cellStyle name="_Revised EST-30.08.08 as per all reduction old-ref_MEASUREMENT-MAJOR(G+1)-BLOCK-4- 10-08-10-ARVA" xfId="1574"/>
    <cellStyle name="_Revised EST-30.08.08 as per all reduction old-ref_MEASUREMENT-MAJOR(G+1)-BLOCK-4- 10-08-10-NILAM" xfId="1575"/>
    <cellStyle name="_Revised EST-30.08.08 as per all reduction old-ref_Miscellaneous work" xfId="1576"/>
    <cellStyle name="_Revised EST-30.08.08 as per all reduction old-ref_PAINTING" xfId="1577"/>
    <cellStyle name="_Revised EST-30.08.08 as per all reduction old-ref_RA_MKT_INTERIOR" xfId="1578"/>
    <cellStyle name="_Revised EST-30.08.08 as per all reduction old-ref_RA_MKT_INTERIOR_Sez_Boq_Superstructure part-FORMATED" xfId="1579"/>
    <cellStyle name="_Revised EST-30.08.08 as per all reduction old-ref_RA-MKT" xfId="1580"/>
    <cellStyle name="_Revised EST-30.08.08 as per all reduction old-ref_RA-MKT_Sez_Boq_Superstructure part-FORMATED" xfId="1581"/>
    <cellStyle name="_Revised EST-30.08.08 as per all reduction old-ref_RCC OR'S (G+2) -6 QTR_" xfId="1582"/>
    <cellStyle name="_Revised EST-30.08.08 as per all reduction old-ref_REV. BOQ-KNOWLEDGE CENTERl-09-01-10-AP" xfId="1583"/>
    <cellStyle name="_Revised EST-30.08.08 as per all reduction old-ref_REV. BOQ-KNOWLEDGE CENTERl-09-01-10-AP_Sez_Boq_Superstructure part-FORMATED" xfId="1584"/>
    <cellStyle name="_Revised EST-30.08.08 as per all reduction old-ref_REV.EST" xfId="1585"/>
    <cellStyle name="_Revised EST-30.08.08 as per all reduction old-ref_REV.EST_Sez_Boq_Superstructure part-FORMATED" xfId="1586"/>
    <cellStyle name="_Revised EST-30.08.08 as per all reduction old-ref_REV.ESTIMATE" xfId="1587"/>
    <cellStyle name="_Revised EST-30.08.08 as per all reduction old-ref_REV.ESTIMATE_Sez_Boq_Superstructure part-FORMATED" xfId="1588"/>
    <cellStyle name="_Revised EST-30.08.08 as per all reduction old-ref_Sez_Boq_Superstructure part-FORMATED" xfId="1589"/>
    <cellStyle name="_Revised EST-30.08.08 as per all reduction old-ref_Steel truss-Dharmendra" xfId="1590"/>
    <cellStyle name="_REVISED ESTIMATE CLUB HOUSE INTERIOR FINISHES-14.04.09" xfId="1591"/>
    <cellStyle name="_RTC Annex - MASONRY-Zone 3" xfId="1592"/>
    <cellStyle name="_RTC Annex - MASONRY-Zone 3_ESTIMATE- RTC CREST ANNEX-20-02-10-SSA" xfId="1593"/>
    <cellStyle name="_RTC Annex - MASONRY-Zone 3_ESTIMATE- RTC CREST ANNEX-20-02-10-SSA_Sez_Boq_Superstructure part-FORMATED" xfId="1594"/>
    <cellStyle name="_RTC Annex - MASONRY-Zone 3_RA_MKT_INTERIOR" xfId="1595"/>
    <cellStyle name="_RTC Annex - MASONRY-Zone 3_RA_MKT_INTERIOR_Sez_Boq_Superstructure part-FORMATED" xfId="1596"/>
    <cellStyle name="_RTC Annex - MASONRY-Zone 3_RA-MKT" xfId="1597"/>
    <cellStyle name="_RTC Annex - MASONRY-Zone 3_RA-MKT_Sez_Boq_Superstructure part-FORMATED" xfId="1598"/>
    <cellStyle name="_RTC Annex - MASONRY-Zone 3_REV.EST" xfId="1599"/>
    <cellStyle name="_RTC Annex - MASONRY-Zone 3_REV.EST_Sez_Boq_Superstructure part-FORMATED" xfId="1600"/>
    <cellStyle name="_RTC Annex - MASONRY-Zone 3_REV.ESTIMATE" xfId="1601"/>
    <cellStyle name="_RTC Annex - MASONRY-Zone 3_REV.ESTIMATE_Sez_Boq_Superstructure part-FORMATED" xfId="1602"/>
    <cellStyle name="_RTC Annex - MASONRY-Zone 3_Sez_Boq_Superstructure part-FORMATED" xfId="1603"/>
    <cellStyle name="_RTC Engg. Hall - MASONRY-Zone 3" xfId="1604"/>
    <cellStyle name="_RTC Engg. Hall - MASONRY-Zone 3_ESTIMATE- RTC CREST ANNEX-20-02-10-SSA" xfId="1605"/>
    <cellStyle name="_RTC Engg. Hall - MASONRY-Zone 3_ESTIMATE- RTC CREST ANNEX-20-02-10-SSA_Sez_Boq_Superstructure part-FORMATED" xfId="1606"/>
    <cellStyle name="_RTC Engg. Hall - MASONRY-Zone 3_RA_MKT_INTERIOR" xfId="1607"/>
    <cellStyle name="_RTC Engg. Hall - MASONRY-Zone 3_RA_MKT_INTERIOR_Sez_Boq_Superstructure part-FORMATED" xfId="1608"/>
    <cellStyle name="_RTC Engg. Hall - MASONRY-Zone 3_RA-MKT" xfId="1609"/>
    <cellStyle name="_RTC Engg. Hall - MASONRY-Zone 3_RA-MKT_Sez_Boq_Superstructure part-FORMATED" xfId="1610"/>
    <cellStyle name="_RTC Engg. Hall - MASONRY-Zone 3_REV.EST" xfId="1611"/>
    <cellStyle name="_RTC Engg. Hall - MASONRY-Zone 3_REV.EST_Sez_Boq_Superstructure part-FORMATED" xfId="1612"/>
    <cellStyle name="_RTC Engg. Hall - MASONRY-Zone 3_REV.ESTIMATE" xfId="1613"/>
    <cellStyle name="_RTC Engg. Hall - MASONRY-Zone 3_REV.ESTIMATE_Sez_Boq_Superstructure part-FORMATED" xfId="1614"/>
    <cellStyle name="_RTC Engg. Hall - MASONRY-Zone 3_Sez_Boq_Superstructure part-FORMATED" xfId="1615"/>
    <cellStyle name="_Savoy (27 Oct 04)f Final" xfId="1616"/>
    <cellStyle name="_Schedule of finishes updated as per discussion June 1,09" xfId="1617"/>
    <cellStyle name="_Statutory Compliance Report" xfId="1618"/>
    <cellStyle name="_Statutory Compliance Report 2" xfId="1619"/>
    <cellStyle name="_Steel truss-Dharmendra" xfId="1620"/>
    <cellStyle name="_STP_VENDOR_COMPARATIVE 22-09-09" xfId="1621"/>
    <cellStyle name="_SubHeading" xfId="1622"/>
    <cellStyle name="_SUMMARY OF REINFORCEMENT" xfId="1623"/>
    <cellStyle name="_SUMMARY OF ZONE-IV - 17.09.08" xfId="1624"/>
    <cellStyle name="_SUMMARY OF ZONE-IV - 17.09.08_ESTIMATE- RTC CREST ANNEX-20-02-10-SSA" xfId="1625"/>
    <cellStyle name="_SUMMARY OF ZONE-IV - 17.09.08_RA_MKT_INTERIOR" xfId="1626"/>
    <cellStyle name="_SUMMARY OF ZONE-IV - 17.09.08_RA-MKT" xfId="1627"/>
    <cellStyle name="_SUMMARY OF ZONE-IV - 17.09.08_REV.EST" xfId="1628"/>
    <cellStyle name="_SUMMARY OF ZONE-IV - 17.09.08_REV.ESTIMATE" xfId="1629"/>
    <cellStyle name="_SUMMARY-ZONE-I" xfId="1630"/>
    <cellStyle name="_SUMMARY-ZONE-I_ESTIMATE- RTC CREST ANNEX-20-02-10-SSA" xfId="1631"/>
    <cellStyle name="_SUMMARY-ZONE-I_ESTIMATE- RTC CREST ANNEX-20-02-10-SSA_Sez_Boq_Superstructure part-FORMATED" xfId="1632"/>
    <cellStyle name="_SUMMARY-ZONE-I_RA_MKT_INTERIOR" xfId="1633"/>
    <cellStyle name="_SUMMARY-ZONE-I_RA_MKT_INTERIOR_Sez_Boq_Superstructure part-FORMATED" xfId="1634"/>
    <cellStyle name="_SUMMARY-ZONE-I_RA-MKT" xfId="1635"/>
    <cellStyle name="_SUMMARY-ZONE-I_RA-MKT_Sez_Boq_Superstructure part-FORMATED" xfId="1636"/>
    <cellStyle name="_SUMMARY-ZONE-I_REV.EST" xfId="1637"/>
    <cellStyle name="_SUMMARY-ZONE-I_REV.EST_Sez_Boq_Superstructure part-FORMATED" xfId="1638"/>
    <cellStyle name="_SUMMARY-ZONE-I_REV.ESTIMATE" xfId="1639"/>
    <cellStyle name="_SUMMARY-ZONE-I_REV.ESTIMATE_Sez_Boq_Superstructure part-FORMATED" xfId="1640"/>
    <cellStyle name="_SUMMARY-ZONE-I_Sez_Boq_Superstructure part-FORMATED" xfId="1641"/>
    <cellStyle name="_SUMMARY-ZONE-IV" xfId="1642"/>
    <cellStyle name="_SUMMARY-ZONE-IV_ESTIMATE- RTC CREST ANNEX-20-02-10-SSA" xfId="1643"/>
    <cellStyle name="_SUMMARY-ZONE-IV_ESTIMATE- RTC CREST ANNEX-20-02-10-SSA_Sez_Boq_Superstructure part-FORMATED" xfId="1644"/>
    <cellStyle name="_SUMMARY-ZONE-IV_RA_MKT_INTERIOR" xfId="1645"/>
    <cellStyle name="_SUMMARY-ZONE-IV_RA_MKT_INTERIOR_Sez_Boq_Superstructure part-FORMATED" xfId="1646"/>
    <cellStyle name="_SUMMARY-ZONE-IV_RA-MKT" xfId="1647"/>
    <cellStyle name="_SUMMARY-ZONE-IV_RA-MKT_Sez_Boq_Superstructure part-FORMATED" xfId="1648"/>
    <cellStyle name="_SUMMARY-ZONE-IV_REV.EST" xfId="1649"/>
    <cellStyle name="_SUMMARY-ZONE-IV_REV.EST_Sez_Boq_Superstructure part-FORMATED" xfId="1650"/>
    <cellStyle name="_SUMMARY-ZONE-IV_REV.ESTIMATE" xfId="1651"/>
    <cellStyle name="_SUMMARY-ZONE-IV_REV.ESTIMATE_Sez_Boq_Superstructure part-FORMATED" xfId="1652"/>
    <cellStyle name="_SUMMARY-ZONE-IV_Sez_Boq_Superstructure part-FORMATED" xfId="1653"/>
    <cellStyle name="_Table" xfId="1654"/>
    <cellStyle name="_TableHead" xfId="1655"/>
    <cellStyle name="_TableRowHead" xfId="1656"/>
    <cellStyle name="_TableSuperHead" xfId="1657"/>
    <cellStyle name="_TCS Analysis -Revised 25th Aug-06-R1- Final Submitted" xfId="1658"/>
    <cellStyle name="_Tender Workings" xfId="1659"/>
    <cellStyle name="_Tender Workings - By HQ" xfId="1660"/>
    <cellStyle name="_Tower A FINISHING WORK" xfId="1661"/>
    <cellStyle name="_Typical Analysis Data" xfId="1662"/>
    <cellStyle name="_Typical Analysis Data1" xfId="1663"/>
    <cellStyle name="£ BP" xfId="1664"/>
    <cellStyle name="¥ JY" xfId="1665"/>
    <cellStyle name="=C:\WINNT35\SYSTEM32\COMMAND.COM" xfId="1666"/>
    <cellStyle name="=C:\WINNT35\SYSTEM32\COMMAND.COM 2" xfId="1667"/>
    <cellStyle name="=C:\WINNT35\SYSTEM32\COMMAND.COM 2 2" xfId="1668"/>
    <cellStyle name="=C:\WINNT35\SYSTEM32\COMMAND.COM 3" xfId="1669"/>
    <cellStyle name="=C:\WINNT35\SYSTEM32\COMMAND.COM 3 2" xfId="1670"/>
    <cellStyle name="=C:\WINNT35\SYSTEM32\COMMAND.COM 4" xfId="1671"/>
    <cellStyle name="•W€_Electrical" xfId="1672"/>
    <cellStyle name="•W_Electrical" xfId="1673"/>
    <cellStyle name="0%" xfId="1674"/>
    <cellStyle name="0,0_x000d__x000a_NA_x000d__x000a_" xfId="1675"/>
    <cellStyle name="0,0_x000d__x000a_NA_x000d__x000a_ 2" xfId="1676"/>
    <cellStyle name="0.0%" xfId="1677"/>
    <cellStyle name="0.00%" xfId="1678"/>
    <cellStyle name="1" xfId="1679"/>
    <cellStyle name="1 2" xfId="1680"/>
    <cellStyle name="1_German betas" xfId="1681"/>
    <cellStyle name="1_German betas 2" xfId="1682"/>
    <cellStyle name="20% - Accent1 2" xfId="1683"/>
    <cellStyle name="20% - Accent1 2 2" xfId="1684"/>
    <cellStyle name="20% - Accent1 2_00-REV-ESTIMATE-04.04.12" xfId="1685"/>
    <cellStyle name="20% - Accent1 3" xfId="1686"/>
    <cellStyle name="20% - Accent1 3 2" xfId="1687"/>
    <cellStyle name="20% - Accent1 3_00-REV-ESTIMATE-04.04.12" xfId="1688"/>
    <cellStyle name="20% - Accent1 4" xfId="1689"/>
    <cellStyle name="20% - Accent1 5" xfId="1690"/>
    <cellStyle name="20% - Accent1 6" xfId="1691"/>
    <cellStyle name="20% - Accent1 7" xfId="1692"/>
    <cellStyle name="20% - Accent1 8" xfId="1693"/>
    <cellStyle name="20% - Accent2 2" xfId="1694"/>
    <cellStyle name="20% - Accent2 2 2" xfId="1695"/>
    <cellStyle name="20% - Accent2 2_00-REV-ESTIMATE-04.04.12" xfId="1696"/>
    <cellStyle name="20% - Accent2 3" xfId="1697"/>
    <cellStyle name="20% - Accent2 3 2" xfId="1698"/>
    <cellStyle name="20% - Accent2 3_00-REV-ESTIMATE-04.04.12" xfId="1699"/>
    <cellStyle name="20% - Accent2 4" xfId="1700"/>
    <cellStyle name="20% - Accent2 5" xfId="1701"/>
    <cellStyle name="20% - Accent2 6" xfId="1702"/>
    <cellStyle name="20% - Accent2 7" xfId="1703"/>
    <cellStyle name="20% - Accent2 8" xfId="1704"/>
    <cellStyle name="20% - Accent3 2" xfId="1705"/>
    <cellStyle name="20% - Accent3 2 2" xfId="1706"/>
    <cellStyle name="20% - Accent3 2_00-REV-ESTIMATE-04.04.12" xfId="1707"/>
    <cellStyle name="20% - Accent3 3" xfId="1708"/>
    <cellStyle name="20% - Accent3 3 2" xfId="1709"/>
    <cellStyle name="20% - Accent3 3_00-REV-ESTIMATE-04.04.12" xfId="1710"/>
    <cellStyle name="20% - Accent3 4" xfId="1711"/>
    <cellStyle name="20% - Accent3 5" xfId="1712"/>
    <cellStyle name="20% - Accent3 6" xfId="1713"/>
    <cellStyle name="20% - Accent3 7" xfId="1714"/>
    <cellStyle name="20% - Accent3 8" xfId="1715"/>
    <cellStyle name="20% - Accent4 2" xfId="1716"/>
    <cellStyle name="20% - Accent4 2 2" xfId="1717"/>
    <cellStyle name="20% - Accent4 2_00-REV-ESTIMATE-04.04.12" xfId="1718"/>
    <cellStyle name="20% - Accent4 3" xfId="1719"/>
    <cellStyle name="20% - Accent4 3 2" xfId="1720"/>
    <cellStyle name="20% - Accent4 3_00-REV-ESTIMATE-04.04.12" xfId="1721"/>
    <cellStyle name="20% - Accent4 4" xfId="1722"/>
    <cellStyle name="20% - Accent4 5" xfId="1723"/>
    <cellStyle name="20% - Accent4 6" xfId="1724"/>
    <cellStyle name="20% - Accent4 7" xfId="1725"/>
    <cellStyle name="20% - Accent4 8" xfId="1726"/>
    <cellStyle name="20% - Accent5 2" xfId="1727"/>
    <cellStyle name="20% - Accent5 2 2" xfId="1728"/>
    <cellStyle name="20% - Accent5 2_00-REV-ESTIMATE-04.04.12" xfId="1729"/>
    <cellStyle name="20% - Accent5 3" xfId="1730"/>
    <cellStyle name="20% - Accent5 3 2" xfId="1731"/>
    <cellStyle name="20% - Accent5 3_00-REV-ESTIMATE-04.04.12" xfId="1732"/>
    <cellStyle name="20% - Accent5 4" xfId="1733"/>
    <cellStyle name="20% - Accent5 5" xfId="1734"/>
    <cellStyle name="20% - Accent5 6" xfId="1735"/>
    <cellStyle name="20% - Accent5 7" xfId="1736"/>
    <cellStyle name="20% - Accent5 8" xfId="1737"/>
    <cellStyle name="20% - Accent6 2" xfId="1738"/>
    <cellStyle name="20% - Accent6 2 2" xfId="1739"/>
    <cellStyle name="20% - Accent6 2_00-REV-ESTIMATE-04.04.12" xfId="1740"/>
    <cellStyle name="20% - Accent6 3" xfId="1741"/>
    <cellStyle name="20% - Accent6 3 2" xfId="1742"/>
    <cellStyle name="20% - Accent6 3_00-REV-ESTIMATE-04.04.12" xfId="1743"/>
    <cellStyle name="20% - Accent6 4" xfId="1744"/>
    <cellStyle name="20% - Accent6 5" xfId="1745"/>
    <cellStyle name="20% - Accent6 6" xfId="1746"/>
    <cellStyle name="20% - Accent6 7" xfId="1747"/>
    <cellStyle name="20% - Accent6 8" xfId="1748"/>
    <cellStyle name="3D 1" xfId="1749"/>
    <cellStyle name="3D 1 2" xfId="1750"/>
    <cellStyle name="3D 2" xfId="1751"/>
    <cellStyle name="3D 2 2" xfId="1752"/>
    <cellStyle name="3D 3" xfId="1753"/>
    <cellStyle name="3D 3 2" xfId="1754"/>
    <cellStyle name="3D 4" xfId="1755"/>
    <cellStyle name="3D 4 2" xfId="1756"/>
    <cellStyle name="40% - Accent1 2" xfId="1757"/>
    <cellStyle name="40% - Accent1 2 2" xfId="1758"/>
    <cellStyle name="40% - Accent1 2_00-REV-ESTIMATE-04.04.12" xfId="1759"/>
    <cellStyle name="40% - Accent1 3" xfId="1760"/>
    <cellStyle name="40% - Accent1 3 2" xfId="1761"/>
    <cellStyle name="40% - Accent1 3_00-REV-ESTIMATE-04.04.12" xfId="1762"/>
    <cellStyle name="40% - Accent1 4" xfId="1763"/>
    <cellStyle name="40% - Accent1 5" xfId="1764"/>
    <cellStyle name="40% - Accent1 6" xfId="1765"/>
    <cellStyle name="40% - Accent1 7" xfId="1766"/>
    <cellStyle name="40% - Accent1 8" xfId="1767"/>
    <cellStyle name="40% - Accent2 2" xfId="1768"/>
    <cellStyle name="40% - Accent2 2 2" xfId="1769"/>
    <cellStyle name="40% - Accent2 2_00-REV-ESTIMATE-04.04.12" xfId="1770"/>
    <cellStyle name="40% - Accent2 3" xfId="1771"/>
    <cellStyle name="40% - Accent2 3 2" xfId="1772"/>
    <cellStyle name="40% - Accent2 3_00-REV-ESTIMATE-04.04.12" xfId="1773"/>
    <cellStyle name="40% - Accent2 4" xfId="1774"/>
    <cellStyle name="40% - Accent2 5" xfId="1775"/>
    <cellStyle name="40% - Accent2 6" xfId="1776"/>
    <cellStyle name="40% - Accent2 7" xfId="1777"/>
    <cellStyle name="40% - Accent2 8" xfId="1778"/>
    <cellStyle name="40% - Accent3 2" xfId="1779"/>
    <cellStyle name="40% - Accent3 2 2" xfId="1780"/>
    <cellStyle name="40% - Accent3 2_00-REV-ESTIMATE-04.04.12" xfId="1781"/>
    <cellStyle name="40% - Accent3 3" xfId="1782"/>
    <cellStyle name="40% - Accent3 3 2" xfId="1783"/>
    <cellStyle name="40% - Accent3 3_00-REV-ESTIMATE-04.04.12" xfId="1784"/>
    <cellStyle name="40% - Accent3 4" xfId="1785"/>
    <cellStyle name="40% - Accent3 5" xfId="1786"/>
    <cellStyle name="40% - Accent3 6" xfId="1787"/>
    <cellStyle name="40% - Accent3 7" xfId="1788"/>
    <cellStyle name="40% - Accent3 8" xfId="1789"/>
    <cellStyle name="40% - Accent4 2" xfId="1790"/>
    <cellStyle name="40% - Accent4 2 2" xfId="1791"/>
    <cellStyle name="40% - Accent4 2_00-REV-ESTIMATE-04.04.12" xfId="1792"/>
    <cellStyle name="40% - Accent4 3" xfId="1793"/>
    <cellStyle name="40% - Accent4 3 2" xfId="1794"/>
    <cellStyle name="40% - Accent4 3_00-REV-ESTIMATE-04.04.12" xfId="1795"/>
    <cellStyle name="40% - Accent4 4" xfId="1796"/>
    <cellStyle name="40% - Accent4 5" xfId="1797"/>
    <cellStyle name="40% - Accent4 6" xfId="1798"/>
    <cellStyle name="40% - Accent4 7" xfId="1799"/>
    <cellStyle name="40% - Accent4 8" xfId="1800"/>
    <cellStyle name="40% - Accent5 2" xfId="1801"/>
    <cellStyle name="40% - Accent5 2 2" xfId="1802"/>
    <cellStyle name="40% - Accent5 2_00-REV-ESTIMATE-04.04.12" xfId="1803"/>
    <cellStyle name="40% - Accent5 3" xfId="1804"/>
    <cellStyle name="40% - Accent5 3 2" xfId="1805"/>
    <cellStyle name="40% - Accent5 3_00-REV-ESTIMATE-04.04.12" xfId="1806"/>
    <cellStyle name="40% - Accent5 4" xfId="1807"/>
    <cellStyle name="40% - Accent5 5" xfId="1808"/>
    <cellStyle name="40% - Accent5 6" xfId="1809"/>
    <cellStyle name="40% - Accent5 7" xfId="1810"/>
    <cellStyle name="40% - Accent5 8" xfId="1811"/>
    <cellStyle name="40% - Accent6 2" xfId="1812"/>
    <cellStyle name="40% - Accent6 2 2" xfId="1813"/>
    <cellStyle name="40% - Accent6 2_00-REV-ESTIMATE-04.04.12" xfId="1814"/>
    <cellStyle name="40% - Accent6 3" xfId="1815"/>
    <cellStyle name="40% - Accent6 3 2" xfId="1816"/>
    <cellStyle name="40% - Accent6 3_00-REV-ESTIMATE-04.04.12" xfId="1817"/>
    <cellStyle name="40% - Accent6 4" xfId="1818"/>
    <cellStyle name="40% - Accent6 5" xfId="1819"/>
    <cellStyle name="40% - Accent6 6" xfId="1820"/>
    <cellStyle name="40% - Accent6 7" xfId="1821"/>
    <cellStyle name="40% - Accent6 8" xfId="1822"/>
    <cellStyle name="44" xfId="1823"/>
    <cellStyle name="60% - Accent1 2" xfId="1824"/>
    <cellStyle name="60% - Accent1 2 2" xfId="1825"/>
    <cellStyle name="60% - Accent1 2_Sez_Boq_Superstructure part-FORMATED" xfId="1826"/>
    <cellStyle name="60% - Accent1 3" xfId="1827"/>
    <cellStyle name="60% - Accent1 3 2" xfId="1828"/>
    <cellStyle name="60% - Accent1 3_Sez_Boq_Superstructure part-FORMATED" xfId="1829"/>
    <cellStyle name="60% - Accent1 4" xfId="1830"/>
    <cellStyle name="60% - Accent1 5" xfId="1831"/>
    <cellStyle name="60% - Accent1 6" xfId="1832"/>
    <cellStyle name="60% - Accent1 7" xfId="1833"/>
    <cellStyle name="60% - Accent1 8" xfId="1834"/>
    <cellStyle name="60% - Accent2 2" xfId="1835"/>
    <cellStyle name="60% - Accent2 2 2" xfId="1836"/>
    <cellStyle name="60% - Accent2 2_Sez_Boq_Superstructure part-FORMATED" xfId="1837"/>
    <cellStyle name="60% - Accent2 3" xfId="1838"/>
    <cellStyle name="60% - Accent2 3 2" xfId="1839"/>
    <cellStyle name="60% - Accent2 3_Sez_Boq_Superstructure part-FORMATED" xfId="1840"/>
    <cellStyle name="60% - Accent2 4" xfId="1841"/>
    <cellStyle name="60% - Accent2 5" xfId="1842"/>
    <cellStyle name="60% - Accent2 6" xfId="1843"/>
    <cellStyle name="60% - Accent2 7" xfId="1844"/>
    <cellStyle name="60% - Accent2 8" xfId="1845"/>
    <cellStyle name="60% - Accent3 2" xfId="1846"/>
    <cellStyle name="60% - Accent3 2 2" xfId="1847"/>
    <cellStyle name="60% - Accent3 2_Sez_Boq_Superstructure part-FORMATED" xfId="1848"/>
    <cellStyle name="60% - Accent3 3" xfId="1849"/>
    <cellStyle name="60% - Accent3 3 2" xfId="1850"/>
    <cellStyle name="60% - Accent3 3_Sez_Boq_Superstructure part-FORMATED" xfId="1851"/>
    <cellStyle name="60% - Accent3 4" xfId="1852"/>
    <cellStyle name="60% - Accent3 5" xfId="1853"/>
    <cellStyle name="60% - Accent3 6" xfId="1854"/>
    <cellStyle name="60% - Accent3 7" xfId="1855"/>
    <cellStyle name="60% - Accent3 8" xfId="1856"/>
    <cellStyle name="60% - Accent4 2" xfId="1857"/>
    <cellStyle name="60% - Accent4 2 2" xfId="1858"/>
    <cellStyle name="60% - Accent4 2_Sez_Boq_Superstructure part-FORMATED" xfId="1859"/>
    <cellStyle name="60% - Accent4 3" xfId="1860"/>
    <cellStyle name="60% - Accent4 3 2" xfId="1861"/>
    <cellStyle name="60% - Accent4 3_Sez_Boq_Superstructure part-FORMATED" xfId="1862"/>
    <cellStyle name="60% - Accent4 4" xfId="1863"/>
    <cellStyle name="60% - Accent4 5" xfId="1864"/>
    <cellStyle name="60% - Accent4 6" xfId="1865"/>
    <cellStyle name="60% - Accent4 7" xfId="1866"/>
    <cellStyle name="60% - Accent4 8" xfId="1867"/>
    <cellStyle name="60% - Accent5 2" xfId="1868"/>
    <cellStyle name="60% - Accent5 2 2" xfId="1869"/>
    <cellStyle name="60% - Accent5 2_Sez_Boq_Superstructure part-FORMATED" xfId="1870"/>
    <cellStyle name="60% - Accent5 3" xfId="1871"/>
    <cellStyle name="60% - Accent5 3 2" xfId="1872"/>
    <cellStyle name="60% - Accent5 3_Sez_Boq_Superstructure part-FORMATED" xfId="1873"/>
    <cellStyle name="60% - Accent5 4" xfId="1874"/>
    <cellStyle name="60% - Accent5 5" xfId="1875"/>
    <cellStyle name="60% - Accent5 6" xfId="1876"/>
    <cellStyle name="60% - Accent5 7" xfId="1877"/>
    <cellStyle name="60% - Accent5 8" xfId="1878"/>
    <cellStyle name="60% - Accent6 2" xfId="1879"/>
    <cellStyle name="60% - Accent6 2 2" xfId="1880"/>
    <cellStyle name="60% - Accent6 2_Sez_Boq_Superstructure part-FORMATED" xfId="1881"/>
    <cellStyle name="60% - Accent6 3" xfId="1882"/>
    <cellStyle name="60% - Accent6 3 2" xfId="1883"/>
    <cellStyle name="60% - Accent6 3_Sez_Boq_Superstructure part-FORMATED" xfId="1884"/>
    <cellStyle name="60% - Accent6 4" xfId="1885"/>
    <cellStyle name="60% - Accent6 5" xfId="1886"/>
    <cellStyle name="60% - Accent6 6" xfId="1887"/>
    <cellStyle name="60% - Accent6 7" xfId="1888"/>
    <cellStyle name="60% - Accent6 8" xfId="1889"/>
    <cellStyle name="75" xfId="1890"/>
    <cellStyle name="A" xfId="1891"/>
    <cellStyle name="A4 Small 210 x 297 mm" xfId="1892"/>
    <cellStyle name="A4 Small 210 x 297 mm 2" xfId="1893"/>
    <cellStyle name="abc" xfId="1894"/>
    <cellStyle name="Absoloute" xfId="1895"/>
    <cellStyle name="Absoloute;0" xfId="1896"/>
    <cellStyle name="Absoloute_artek98" xfId="1897"/>
    <cellStyle name="Accent1 2" xfId="1898"/>
    <cellStyle name="Accent1 2 2" xfId="1899"/>
    <cellStyle name="Accent1 2_Sez_Boq_Superstructure part-FORMATED" xfId="1900"/>
    <cellStyle name="Accent1 3" xfId="1901"/>
    <cellStyle name="Accent1 3 2" xfId="1902"/>
    <cellStyle name="Accent1 3_Sez_Boq_Superstructure part-FORMATED" xfId="1903"/>
    <cellStyle name="Accent1 4" xfId="1904"/>
    <cellStyle name="Accent1 5" xfId="1905"/>
    <cellStyle name="Accent1 6" xfId="1906"/>
    <cellStyle name="Accent1 7" xfId="1907"/>
    <cellStyle name="Accent1 8" xfId="1908"/>
    <cellStyle name="Accent2 2" xfId="1909"/>
    <cellStyle name="Accent2 2 2" xfId="1910"/>
    <cellStyle name="Accent2 2_Sez_Boq_Superstructure part-FORMATED" xfId="1911"/>
    <cellStyle name="Accent2 3" xfId="1912"/>
    <cellStyle name="Accent2 3 2" xfId="1913"/>
    <cellStyle name="Accent2 3_Sez_Boq_Superstructure part-FORMATED" xfId="1914"/>
    <cellStyle name="Accent2 4" xfId="1915"/>
    <cellStyle name="Accent2 5" xfId="1916"/>
    <cellStyle name="Accent2 6" xfId="1917"/>
    <cellStyle name="Accent2 7" xfId="1918"/>
    <cellStyle name="Accent2 8" xfId="1919"/>
    <cellStyle name="Accent3 2" xfId="1920"/>
    <cellStyle name="Accent3 2 2" xfId="1921"/>
    <cellStyle name="Accent3 2_Sez_Boq_Superstructure part-FORMATED" xfId="1922"/>
    <cellStyle name="Accent3 3" xfId="1923"/>
    <cellStyle name="Accent3 3 2" xfId="1924"/>
    <cellStyle name="Accent3 3_Sez_Boq_Superstructure part-FORMATED" xfId="1925"/>
    <cellStyle name="Accent3 4" xfId="1926"/>
    <cellStyle name="Accent3 5" xfId="1927"/>
    <cellStyle name="Accent3 6" xfId="1928"/>
    <cellStyle name="Accent3 7" xfId="1929"/>
    <cellStyle name="Accent3 8" xfId="1930"/>
    <cellStyle name="Accent4 2" xfId="1931"/>
    <cellStyle name="Accent4 2 2" xfId="1932"/>
    <cellStyle name="Accent4 2_Sez_Boq_Superstructure part-FORMATED" xfId="1933"/>
    <cellStyle name="Accent4 3" xfId="1934"/>
    <cellStyle name="Accent4 3 2" xfId="1935"/>
    <cellStyle name="Accent4 3_Sez_Boq_Superstructure part-FORMATED" xfId="1936"/>
    <cellStyle name="Accent4 4" xfId="1937"/>
    <cellStyle name="Accent4 5" xfId="1938"/>
    <cellStyle name="Accent4 6" xfId="1939"/>
    <cellStyle name="Accent4 7" xfId="1940"/>
    <cellStyle name="Accent4 8" xfId="1941"/>
    <cellStyle name="Accent5 2" xfId="1942"/>
    <cellStyle name="Accent5 2 2" xfId="1943"/>
    <cellStyle name="Accent5 2_Sez_Boq_Superstructure part-FORMATED" xfId="1944"/>
    <cellStyle name="Accent5 3" xfId="1945"/>
    <cellStyle name="Accent5 3 2" xfId="1946"/>
    <cellStyle name="Accent5 3_Sez_Boq_Superstructure part-FORMATED" xfId="1947"/>
    <cellStyle name="Accent5 4" xfId="1948"/>
    <cellStyle name="Accent5 5" xfId="1949"/>
    <cellStyle name="Accent5 6" xfId="1950"/>
    <cellStyle name="Accent5 7" xfId="1951"/>
    <cellStyle name="Accent5 8" xfId="1952"/>
    <cellStyle name="Accent6 2" xfId="1953"/>
    <cellStyle name="Accent6 2 2" xfId="1954"/>
    <cellStyle name="Accent6 2_Sez_Boq_Superstructure part-FORMATED" xfId="1955"/>
    <cellStyle name="Accent6 3" xfId="1956"/>
    <cellStyle name="Accent6 3 2" xfId="1957"/>
    <cellStyle name="Accent6 3_Sez_Boq_Superstructure part-FORMATED" xfId="1958"/>
    <cellStyle name="Accent6 4" xfId="1959"/>
    <cellStyle name="Accent6 5" xfId="1960"/>
    <cellStyle name="Accent6 6" xfId="1961"/>
    <cellStyle name="Accent6 7" xfId="1962"/>
    <cellStyle name="Accent6 8" xfId="1963"/>
    <cellStyle name="adj_share" xfId="1964"/>
    <cellStyle name="ÅëÈ­ [0]_±âÅ¸" xfId="1965"/>
    <cellStyle name="ÅëÈ­_±âÅ¸" xfId="1966"/>
    <cellStyle name="Afjusted" xfId="1967"/>
    <cellStyle name="AMAR1" xfId="1968"/>
    <cellStyle name="amount" xfId="1969"/>
    <cellStyle name="amount 2" xfId="1970"/>
    <cellStyle name="Arial" xfId="1971"/>
    <cellStyle name="Arial1 - Style1" xfId="1972"/>
    <cellStyle name="Arial1 - Style2" xfId="1973"/>
    <cellStyle name="Arial10" xfId="1974"/>
    <cellStyle name="Arial10 2" xfId="1975"/>
    <cellStyle name="Arial10 3" xfId="1976"/>
    <cellStyle name="Arial10 4" xfId="1977"/>
    <cellStyle name="Arial10 5" xfId="1978"/>
    <cellStyle name="Arial10 6" xfId="1979"/>
    <cellStyle name="Array" xfId="1980"/>
    <cellStyle name="Array Enter" xfId="1981"/>
    <cellStyle name="ÄÞ¸¶ [0]_±âÅ¸" xfId="1982"/>
    <cellStyle name="ÄÞ¸¶_±âÅ¸" xfId="1983"/>
    <cellStyle name="AvantTotal" xfId="1984"/>
    <cellStyle name="b" xfId="1985"/>
    <cellStyle name="b_Cinderella Model v1" xfId="1986"/>
    <cellStyle name="b_Cinderella Model v1May 29" xfId="1987"/>
    <cellStyle name="b_Cinderella Model v8" xfId="1988"/>
    <cellStyle name="b_Cinderella Model v9_ML number" xfId="1989"/>
    <cellStyle name="b_Gazelle DDM May-15-2003" xfId="1990"/>
    <cellStyle name="b0" xfId="1991"/>
    <cellStyle name="b1x" xfId="1992"/>
    <cellStyle name="Bad 2" xfId="1993"/>
    <cellStyle name="Bad 2 2" xfId="1994"/>
    <cellStyle name="Bad 2_Sez_Boq_Superstructure part-FORMATED" xfId="1995"/>
    <cellStyle name="Bad 3" xfId="1996"/>
    <cellStyle name="Bad 3 2" xfId="1997"/>
    <cellStyle name="Bad 3_Sez_Boq_Superstructure part-FORMATED" xfId="1998"/>
    <cellStyle name="Bad 4" xfId="1999"/>
    <cellStyle name="Bad 5" xfId="2000"/>
    <cellStyle name="Bad 6" xfId="2001"/>
    <cellStyle name="Bad 7" xfId="2002"/>
    <cellStyle name="Bad 8" xfId="2003"/>
    <cellStyle name="Basis points" xfId="2004"/>
    <cellStyle name="Basis points 2" xfId="2005"/>
    <cellStyle name="Black" xfId="2006"/>
    <cellStyle name="Black 2" xfId="2007"/>
    <cellStyle name="Blank" xfId="2008"/>
    <cellStyle name="Blank [$]" xfId="2009"/>
    <cellStyle name="Blank [%]" xfId="2010"/>
    <cellStyle name="Blank [,]" xfId="2011"/>
    <cellStyle name="Blank [1$]" xfId="2012"/>
    <cellStyle name="Blank [1%]" xfId="2013"/>
    <cellStyle name="Blank [1,]" xfId="2014"/>
    <cellStyle name="Blank [2$]" xfId="2015"/>
    <cellStyle name="Blank [2%]" xfId="2016"/>
    <cellStyle name="Blank [2,]" xfId="2017"/>
    <cellStyle name="Blank [3$]" xfId="2018"/>
    <cellStyle name="Blank [3$] 2" xfId="2019"/>
    <cellStyle name="Blank [3%]" xfId="2020"/>
    <cellStyle name="Blank [3%] 2" xfId="2021"/>
    <cellStyle name="Blank [3,]" xfId="2022"/>
    <cellStyle name="Blank [3,] 2" xfId="2023"/>
    <cellStyle name="Blank [D-M-Y]" xfId="2024"/>
    <cellStyle name="Blank [D-M-Y] 2" xfId="2025"/>
    <cellStyle name="Blank [K,]" xfId="2026"/>
    <cellStyle name="Blank [K,] 2" xfId="2027"/>
    <cellStyle name="BldUnd - Style3" xfId="2028"/>
    <cellStyle name="blue" xfId="2029"/>
    <cellStyle name="Body" xfId="2030"/>
    <cellStyle name="Body text" xfId="2031"/>
    <cellStyle name="Bold - Style2" xfId="2032"/>
    <cellStyle name="Bold 10" xfId="2033"/>
    <cellStyle name="Bold 12" xfId="2034"/>
    <cellStyle name="Bold 8" xfId="2035"/>
    <cellStyle name="Bold Italic 10" xfId="2036"/>
    <cellStyle name="Bold Italic 12" xfId="2037"/>
    <cellStyle name="Bold Italic 8" xfId="2038"/>
    <cellStyle name="Bold/Border" xfId="2039"/>
    <cellStyle name="Border" xfId="2040"/>
    <cellStyle name="Border Heavy" xfId="2041"/>
    <cellStyle name="Border Thin" xfId="2042"/>
    <cellStyle name="bp--" xfId="2043"/>
    <cellStyle name="bt" xfId="2044"/>
    <cellStyle name="Bullet" xfId="2045"/>
    <cellStyle name="c" xfId="2046"/>
    <cellStyle name="C                      " xfId="2047"/>
    <cellStyle name="C?AØ_¿?¾÷CoE² " xfId="2048"/>
    <cellStyle name="c_Cinderella Model v1" xfId="2049"/>
    <cellStyle name="c_Cinderella Model v1May 29" xfId="2050"/>
    <cellStyle name="c_Cinderella Model v8" xfId="2051"/>
    <cellStyle name="c_Cinderella Model v9_ML number" xfId="2052"/>
    <cellStyle name="c_Gazelle DDM May-15-2003" xfId="2053"/>
    <cellStyle name="Ç¥ÁØ_¿¬°£´©°è¿¹»ó" xfId="2054"/>
    <cellStyle name="C￥AØ_¿μ¾÷CoE² " xfId="2055"/>
    <cellStyle name="Calc Currency (0)" xfId="2056"/>
    <cellStyle name="Calc Currency (2)" xfId="2057"/>
    <cellStyle name="Calc Percent (0)" xfId="2058"/>
    <cellStyle name="Calc Percent (1)" xfId="2059"/>
    <cellStyle name="Calc Percent (2)" xfId="2060"/>
    <cellStyle name="Calc Units (0)" xfId="2061"/>
    <cellStyle name="Calc Units (0) 2" xfId="2062"/>
    <cellStyle name="Calc Units (0) 2 2" xfId="2063"/>
    <cellStyle name="Calc Units (0) 3" xfId="2064"/>
    <cellStyle name="Calc Units (1)" xfId="2065"/>
    <cellStyle name="Calc Units (1) 2" xfId="2066"/>
    <cellStyle name="Calc Units (1) 2 2" xfId="2067"/>
    <cellStyle name="Calc Units (1) 3" xfId="2068"/>
    <cellStyle name="Calc Units (2)" xfId="2069"/>
    <cellStyle name="Calcul" xfId="2070"/>
    <cellStyle name="Calculation 2" xfId="2071"/>
    <cellStyle name="Calculation 2 2" xfId="2072"/>
    <cellStyle name="Calculation 2 2 2" xfId="2073"/>
    <cellStyle name="Calculation 2 3" xfId="2074"/>
    <cellStyle name="Calculation 2_Sez_Boq_Superstructure part-FORMATED" xfId="2075"/>
    <cellStyle name="Calculation 3" xfId="2076"/>
    <cellStyle name="Calculation 3 2" xfId="2077"/>
    <cellStyle name="Calculation 3 2 2" xfId="2078"/>
    <cellStyle name="Calculation 3 3" xfId="2079"/>
    <cellStyle name="Calculation 3_Sez_Boq_Superstructure part-FORMATED" xfId="2080"/>
    <cellStyle name="Calculation 4" xfId="2081"/>
    <cellStyle name="Calculation 4 2" xfId="2082"/>
    <cellStyle name="Calculation 5" xfId="2083"/>
    <cellStyle name="Calculation 5 2" xfId="2084"/>
    <cellStyle name="Calculation 6" xfId="2085"/>
    <cellStyle name="Calculation 7" xfId="2086"/>
    <cellStyle name="Calculation 8" xfId="2087"/>
    <cellStyle name="category" xfId="2088"/>
    <cellStyle name="Cell Label" xfId="2089"/>
    <cellStyle name="Center - Style5" xfId="2090"/>
    <cellStyle name="Changeable" xfId="2091"/>
    <cellStyle name="Check Cell 2" xfId="2092"/>
    <cellStyle name="Check Cell 2 2" xfId="2093"/>
    <cellStyle name="Check Cell 2_Sez_Boq_Superstructure part-FORMATED" xfId="2094"/>
    <cellStyle name="Check Cell 3" xfId="2095"/>
    <cellStyle name="Check Cell 3 2" xfId="2096"/>
    <cellStyle name="Check Cell 3_Sez_Boq_Superstructure part-FORMATED" xfId="2097"/>
    <cellStyle name="Check Cell 4" xfId="2098"/>
    <cellStyle name="Check Cell 5" xfId="2099"/>
    <cellStyle name="Check Cell 6" xfId="2100"/>
    <cellStyle name="Check Cell 7" xfId="2101"/>
    <cellStyle name="Check Cell 8" xfId="2102"/>
    <cellStyle name="Chiffre0" xfId="2103"/>
    <cellStyle name="Chiffre2" xfId="2104"/>
    <cellStyle name="Chiffre2 2" xfId="2105"/>
    <cellStyle name="Code" xfId="2106"/>
    <cellStyle name="Code Section" xfId="2107"/>
    <cellStyle name="Col Heads" xfId="2108"/>
    <cellStyle name="Column centered" xfId="2109"/>
    <cellStyle name="Column text left" xfId="2110"/>
    <cellStyle name="Comma" xfId="1" builtinId="3"/>
    <cellStyle name="Comma  - Style1" xfId="2111"/>
    <cellStyle name="Comma  - Style1 2" xfId="2112"/>
    <cellStyle name="Comma  - Style1 3" xfId="2113"/>
    <cellStyle name="Comma  - Style1 4" xfId="2114"/>
    <cellStyle name="Comma  - Style1 5" xfId="2115"/>
    <cellStyle name="Comma  - Style1 6" xfId="2116"/>
    <cellStyle name="Comma  - Style1_Cost_appraisal_Aliens_FPS" xfId="2117"/>
    <cellStyle name="Comma  - Style2" xfId="2118"/>
    <cellStyle name="Comma  - Style2 2" xfId="2119"/>
    <cellStyle name="Comma  - Style2 3" xfId="2120"/>
    <cellStyle name="Comma  - Style2 4" xfId="2121"/>
    <cellStyle name="Comma  - Style2 5" xfId="2122"/>
    <cellStyle name="Comma  - Style2 6" xfId="2123"/>
    <cellStyle name="Comma  - Style2_Cost_appraisal_Aliens_FPS" xfId="2124"/>
    <cellStyle name="Comma  - Style3" xfId="2125"/>
    <cellStyle name="Comma  - Style3 2" xfId="2126"/>
    <cellStyle name="Comma  - Style3 3" xfId="2127"/>
    <cellStyle name="Comma  - Style3 4" xfId="2128"/>
    <cellStyle name="Comma  - Style3 5" xfId="2129"/>
    <cellStyle name="Comma  - Style3 6" xfId="2130"/>
    <cellStyle name="Comma  - Style3_Cost_appraisal_Aliens_FPS" xfId="2131"/>
    <cellStyle name="Comma  - Style4" xfId="2132"/>
    <cellStyle name="Comma  - Style4 2" xfId="2133"/>
    <cellStyle name="Comma  - Style4 3" xfId="2134"/>
    <cellStyle name="Comma  - Style4 4" xfId="2135"/>
    <cellStyle name="Comma  - Style4 5" xfId="2136"/>
    <cellStyle name="Comma  - Style4 6" xfId="2137"/>
    <cellStyle name="Comma  - Style4_Cost_appraisal_Aliens_FPS" xfId="2138"/>
    <cellStyle name="Comma  - Style5" xfId="2139"/>
    <cellStyle name="Comma  - Style5 2" xfId="2140"/>
    <cellStyle name="Comma  - Style5 3" xfId="2141"/>
    <cellStyle name="Comma  - Style5 4" xfId="2142"/>
    <cellStyle name="Comma  - Style5 5" xfId="2143"/>
    <cellStyle name="Comma  - Style5 6" xfId="2144"/>
    <cellStyle name="Comma  - Style5_Cost_appraisal_Aliens_FPS" xfId="2145"/>
    <cellStyle name="Comma  - Style6" xfId="2146"/>
    <cellStyle name="Comma  - Style6 2" xfId="2147"/>
    <cellStyle name="Comma  - Style6 3" xfId="2148"/>
    <cellStyle name="Comma  - Style6 4" xfId="2149"/>
    <cellStyle name="Comma  - Style6 5" xfId="2150"/>
    <cellStyle name="Comma  - Style6 6" xfId="2151"/>
    <cellStyle name="Comma  - Style6_Cost_appraisal_Aliens_FPS" xfId="2152"/>
    <cellStyle name="Comma  - Style7" xfId="2153"/>
    <cellStyle name="Comma  - Style7 2" xfId="2154"/>
    <cellStyle name="Comma  - Style7 3" xfId="2155"/>
    <cellStyle name="Comma  - Style7 4" xfId="2156"/>
    <cellStyle name="Comma  - Style7 5" xfId="2157"/>
    <cellStyle name="Comma  - Style7 6" xfId="2158"/>
    <cellStyle name="Comma  - Style7_Cost_appraisal_Aliens_FPS" xfId="2159"/>
    <cellStyle name="Comma  - Style8" xfId="2160"/>
    <cellStyle name="Comma  - Style8 2" xfId="2161"/>
    <cellStyle name="Comma  - Style8 3" xfId="2162"/>
    <cellStyle name="Comma  - Style8 4" xfId="2163"/>
    <cellStyle name="Comma  - Style8 5" xfId="2164"/>
    <cellStyle name="Comma  - Style8 6" xfId="2165"/>
    <cellStyle name="Comma  - Style8_Cost_appraisal_Aliens_FPS" xfId="2166"/>
    <cellStyle name="Comma (1)" xfId="2167"/>
    <cellStyle name="Comma [0] 2" xfId="2168"/>
    <cellStyle name="Comma [00]" xfId="2169"/>
    <cellStyle name="Comma [00] 2" xfId="2170"/>
    <cellStyle name="Comma [00] 2 2" xfId="2171"/>
    <cellStyle name="Comma [00] 3" xfId="2172"/>
    <cellStyle name="Comma [1]" xfId="2173"/>
    <cellStyle name="Comma [2]" xfId="2174"/>
    <cellStyle name="Comma [3]" xfId="2175"/>
    <cellStyle name="Comma 10" xfId="2176"/>
    <cellStyle name="Comma 10 2" xfId="2177"/>
    <cellStyle name="Comma 10 2 2" xfId="2178"/>
    <cellStyle name="Comma 10 3" xfId="2179"/>
    <cellStyle name="Comma 11" xfId="2180"/>
    <cellStyle name="Comma 11 2" xfId="2181"/>
    <cellStyle name="Comma 12" xfId="2182"/>
    <cellStyle name="Comma 12 2" xfId="2183"/>
    <cellStyle name="Comma 13" xfId="2184"/>
    <cellStyle name="Comma 13 2" xfId="2185"/>
    <cellStyle name="Comma 13 2 2" xfId="2186"/>
    <cellStyle name="Comma 13 3" xfId="2187"/>
    <cellStyle name="Comma 13 4" xfId="2188"/>
    <cellStyle name="Comma 14" xfId="2189"/>
    <cellStyle name="Comma 14 2" xfId="2190"/>
    <cellStyle name="Comma 14 3" xfId="2191"/>
    <cellStyle name="Comma 15" xfId="2192"/>
    <cellStyle name="Comma 15 2" xfId="2193"/>
    <cellStyle name="Comma 15 2 2" xfId="2194"/>
    <cellStyle name="Comma 15 3" xfId="2195"/>
    <cellStyle name="Comma 16" xfId="2196"/>
    <cellStyle name="Comma 16 2" xfId="2197"/>
    <cellStyle name="Comma 16 2 2" xfId="2198"/>
    <cellStyle name="Comma 16 3" xfId="2199"/>
    <cellStyle name="Comma 17" xfId="2200"/>
    <cellStyle name="Comma 17 2" xfId="2201"/>
    <cellStyle name="Comma 18" xfId="2202"/>
    <cellStyle name="Comma 18 2" xfId="2203"/>
    <cellStyle name="Comma 19" xfId="2204"/>
    <cellStyle name="Comma 19 2" xfId="2205"/>
    <cellStyle name="Comma 2" xfId="10"/>
    <cellStyle name="Comma 2 10" xfId="2206"/>
    <cellStyle name="Comma 2 11" xfId="2207"/>
    <cellStyle name="Comma 2 12" xfId="2208"/>
    <cellStyle name="Comma 2 13" xfId="2209"/>
    <cellStyle name="Comma 2 14" xfId="2210"/>
    <cellStyle name="Comma 2 15" xfId="2211"/>
    <cellStyle name="Comma 2 16" xfId="2212"/>
    <cellStyle name="Comma 2 16 2" xfId="2213"/>
    <cellStyle name="Comma 2 17" xfId="2214"/>
    <cellStyle name="Comma 2 18" xfId="2215"/>
    <cellStyle name="Comma 2 19" xfId="3654"/>
    <cellStyle name="Comma 2 2" xfId="11"/>
    <cellStyle name="Comma 2 2 2" xfId="2216"/>
    <cellStyle name="Comma 2 2 2 2" xfId="2217"/>
    <cellStyle name="Comma 2 2 2 2 2" xfId="2218"/>
    <cellStyle name="Comma 2 2 2 3" xfId="2219"/>
    <cellStyle name="Comma 2 2 2 4" xfId="2220"/>
    <cellStyle name="Comma 2 2 3" xfId="2221"/>
    <cellStyle name="Comma 2 2 3 2" xfId="2222"/>
    <cellStyle name="Comma 2 2 4" xfId="2223"/>
    <cellStyle name="Comma 2 2 4 2" xfId="2224"/>
    <cellStyle name="Comma 2 2 5" xfId="2225"/>
    <cellStyle name="Comma 2 2 5 2" xfId="2226"/>
    <cellStyle name="Comma 2 2 6" xfId="2227"/>
    <cellStyle name="Comma 2 2 6 2" xfId="2228"/>
    <cellStyle name="Comma 2 2 7" xfId="2229"/>
    <cellStyle name="Comma 2 3" xfId="41"/>
    <cellStyle name="Comma 2 3 2" xfId="2230"/>
    <cellStyle name="Comma 2 3 2 2" xfId="2231"/>
    <cellStyle name="Comma 2 3 2 2 2" xfId="2232"/>
    <cellStyle name="Comma 2 3 2 3" xfId="2233"/>
    <cellStyle name="Comma 2 3 3" xfId="2234"/>
    <cellStyle name="Comma 2 3 4" xfId="2235"/>
    <cellStyle name="Comma 2 4" xfId="2236"/>
    <cellStyle name="Comma 2 4 2" xfId="2237"/>
    <cellStyle name="Comma 2 4 3" xfId="2238"/>
    <cellStyle name="Comma 2 5" xfId="2239"/>
    <cellStyle name="Comma 2 5 2" xfId="2240"/>
    <cellStyle name="Comma 2 6" xfId="2241"/>
    <cellStyle name="Comma 2 6 2" xfId="2242"/>
    <cellStyle name="Comma 2 7" xfId="2243"/>
    <cellStyle name="Comma 2 8" xfId="2244"/>
    <cellStyle name="Comma 2 9" xfId="2245"/>
    <cellStyle name="Comma 2_5th FLOOR" xfId="2246"/>
    <cellStyle name="Comma 20" xfId="2247"/>
    <cellStyle name="Comma 20 2" xfId="2248"/>
    <cellStyle name="Comma 21" xfId="2249"/>
    <cellStyle name="Comma 21 2" xfId="2250"/>
    <cellStyle name="Comma 22" xfId="2251"/>
    <cellStyle name="Comma 22 2" xfId="2252"/>
    <cellStyle name="Comma 22 3" xfId="2253"/>
    <cellStyle name="Comma 23" xfId="2254"/>
    <cellStyle name="Comma 23 2" xfId="2255"/>
    <cellStyle name="Comma 24" xfId="2256"/>
    <cellStyle name="Comma 24 2" xfId="2257"/>
    <cellStyle name="Comma 25" xfId="2258"/>
    <cellStyle name="Comma 25 2" xfId="2259"/>
    <cellStyle name="Comma 26" xfId="2260"/>
    <cellStyle name="Comma 26 2" xfId="2261"/>
    <cellStyle name="Comma 27" xfId="2262"/>
    <cellStyle name="Comma 27 2" xfId="2263"/>
    <cellStyle name="Comma 28" xfId="2264"/>
    <cellStyle name="Comma 29" xfId="2265"/>
    <cellStyle name="Comma 3" xfId="4"/>
    <cellStyle name="Comma 3 2" xfId="12"/>
    <cellStyle name="Comma 3 2 2" xfId="2266"/>
    <cellStyle name="Comma 3 2 2 2" xfId="2267"/>
    <cellStyle name="Comma 3 2 3" xfId="2268"/>
    <cellStyle name="Comma 3 2 3 2" xfId="2269"/>
    <cellStyle name="Comma 3 2 4" xfId="2270"/>
    <cellStyle name="Comma 3 3" xfId="2271"/>
    <cellStyle name="Comma 3 3 2" xfId="2272"/>
    <cellStyle name="Comma 3 4" xfId="2273"/>
    <cellStyle name="Comma 3 5" xfId="2274"/>
    <cellStyle name="Comma 3 6" xfId="2275"/>
    <cellStyle name="Comma 3 6 2" xfId="2276"/>
    <cellStyle name="Comma 3 7" xfId="2277"/>
    <cellStyle name="Comma 3 8" xfId="2278"/>
    <cellStyle name="Comma 3_ARCH-GATE" xfId="2279"/>
    <cellStyle name="Comma 30" xfId="2280"/>
    <cellStyle name="Comma 31" xfId="2281"/>
    <cellStyle name="Comma 31 2" xfId="2282"/>
    <cellStyle name="Comma 32" xfId="2283"/>
    <cellStyle name="Comma 32 2" xfId="2284"/>
    <cellStyle name="Comma 33" xfId="2285"/>
    <cellStyle name="Comma 33 2" xfId="2286"/>
    <cellStyle name="Comma 34" xfId="2287"/>
    <cellStyle name="Comma 35" xfId="2288"/>
    <cellStyle name="Comma 36" xfId="13"/>
    <cellStyle name="Comma 37" xfId="2289"/>
    <cellStyle name="Comma 38" xfId="2290"/>
    <cellStyle name="Comma 38 2" xfId="2291"/>
    <cellStyle name="Comma 39" xfId="2292"/>
    <cellStyle name="Comma 39 2" xfId="2293"/>
    <cellStyle name="Comma 4" xfId="14"/>
    <cellStyle name="Comma 4 2" xfId="2294"/>
    <cellStyle name="Comma 4 2 2" xfId="2295"/>
    <cellStyle name="Comma 4 2 2 2" xfId="2296"/>
    <cellStyle name="Comma 4 2 3" xfId="2297"/>
    <cellStyle name="Comma 4 3" xfId="2298"/>
    <cellStyle name="Comma 4 3 2" xfId="2299"/>
    <cellStyle name="Comma 4 3 2 2" xfId="2300"/>
    <cellStyle name="Comma 4 3 3" xfId="2301"/>
    <cellStyle name="Comma 4 4" xfId="2302"/>
    <cellStyle name="Comma 4 4 2" xfId="2303"/>
    <cellStyle name="Comma 4_BOQ" xfId="2304"/>
    <cellStyle name="Comma 40" xfId="2305"/>
    <cellStyle name="Comma 40 2" xfId="2306"/>
    <cellStyle name="Comma 41" xfId="2307"/>
    <cellStyle name="Comma 41 2" xfId="2308"/>
    <cellStyle name="Comma 42" xfId="2309"/>
    <cellStyle name="Comma 42 2" xfId="2310"/>
    <cellStyle name="Comma 43" xfId="2311"/>
    <cellStyle name="Comma 43 2" xfId="2312"/>
    <cellStyle name="Comma 44" xfId="2313"/>
    <cellStyle name="Comma 44 2" xfId="2314"/>
    <cellStyle name="Comma 45" xfId="2315"/>
    <cellStyle name="Comma 45 2" xfId="2316"/>
    <cellStyle name="Comma 5" xfId="15"/>
    <cellStyle name="Comma 5 10" xfId="2317"/>
    <cellStyle name="Comma 5 11" xfId="2318"/>
    <cellStyle name="Comma 5 12" xfId="2319"/>
    <cellStyle name="Comma 5 13" xfId="2320"/>
    <cellStyle name="Comma 5 14" xfId="2321"/>
    <cellStyle name="Comma 5 15" xfId="2322"/>
    <cellStyle name="Comma 5 16" xfId="2323"/>
    <cellStyle name="Comma 5 2" xfId="2324"/>
    <cellStyle name="Comma 5 2 2" xfId="2325"/>
    <cellStyle name="Comma 5 3" xfId="2326"/>
    <cellStyle name="Comma 5 4" xfId="2327"/>
    <cellStyle name="Comma 5 5" xfId="2328"/>
    <cellStyle name="Comma 5 6" xfId="2329"/>
    <cellStyle name="Comma 5 7" xfId="2330"/>
    <cellStyle name="Comma 5 8" xfId="2331"/>
    <cellStyle name="Comma 5 9" xfId="2332"/>
    <cellStyle name="Comma 6" xfId="2333"/>
    <cellStyle name="Comma 6 2" xfId="2334"/>
    <cellStyle name="Comma 6 2 2" xfId="2335"/>
    <cellStyle name="Comma 6 3" xfId="2336"/>
    <cellStyle name="Comma 7" xfId="2337"/>
    <cellStyle name="Comma 7 2" xfId="2338"/>
    <cellStyle name="Comma 7 2 2" xfId="2339"/>
    <cellStyle name="Comma 7 3" xfId="2340"/>
    <cellStyle name="Comma 8" xfId="2341"/>
    <cellStyle name="Comma 8 2" xfId="2342"/>
    <cellStyle name="Comma 8 2 2" xfId="2343"/>
    <cellStyle name="Comma 8 3" xfId="2344"/>
    <cellStyle name="Comma 9" xfId="2345"/>
    <cellStyle name="Comma 9 2" xfId="2346"/>
    <cellStyle name="Comma 9 3" xfId="2347"/>
    <cellStyle name="comma zerodec" xfId="2348"/>
    <cellStyle name="comma zerodec 2" xfId="2349"/>
    <cellStyle name="Comma,0" xfId="2350"/>
    <cellStyle name="Comma,1" xfId="2351"/>
    <cellStyle name="Comma,2" xfId="2352"/>
    <cellStyle name="Comma0" xfId="16"/>
    <cellStyle name="Comŭa" xfId="2353"/>
    <cellStyle name="Comŭa 2" xfId="2354"/>
    <cellStyle name="Copied" xfId="2355"/>
    <cellStyle name="COURIER" xfId="2356"/>
    <cellStyle name="Cover Date" xfId="2357"/>
    <cellStyle name="Cover Subtitle" xfId="2358"/>
    <cellStyle name="Cover Title" xfId="2359"/>
    <cellStyle name="COVERAGE" xfId="2360"/>
    <cellStyle name="COVERAGE 2" xfId="2361"/>
    <cellStyle name="CSI" xfId="2362"/>
    <cellStyle name="Currency--" xfId="2363"/>
    <cellStyle name="Currency $" xfId="2364"/>
    <cellStyle name="Currency $ 2" xfId="2365"/>
    <cellStyle name="Currency $ 3" xfId="2366"/>
    <cellStyle name="Currency $ 4" xfId="2367"/>
    <cellStyle name="Currency $ 5" xfId="2368"/>
    <cellStyle name="Currency $ 6" xfId="2369"/>
    <cellStyle name="Currency $ 7" xfId="2370"/>
    <cellStyle name="Currency $_Cost_appraisal_Aliens_FPS" xfId="2371"/>
    <cellStyle name="Currency (0.00)" xfId="2372"/>
    <cellStyle name="Currency (0.00) 2" xfId="2373"/>
    <cellStyle name="Currency [00]" xfId="2374"/>
    <cellStyle name="Currency [1]" xfId="2375"/>
    <cellStyle name="Currency [2]" xfId="2376"/>
    <cellStyle name="Currency [3]" xfId="2377"/>
    <cellStyle name="Currency 2" xfId="2378"/>
    <cellStyle name="Currency 2 2" xfId="2379"/>
    <cellStyle name="Currency 3" xfId="2380"/>
    <cellStyle name="Currency 3 2" xfId="2381"/>
    <cellStyle name="Currency w/o $" xfId="2382"/>
    <cellStyle name="Currency w/o $ 2" xfId="2383"/>
    <cellStyle name="Currency,0" xfId="2384"/>
    <cellStyle name="Currency,2" xfId="2385"/>
    <cellStyle name="Currency--_Midland v40 (with HPI's projection)" xfId="2386"/>
    <cellStyle name="Currency0" xfId="17"/>
    <cellStyle name="Currency1" xfId="2387"/>
    <cellStyle name="Currency1 2" xfId="2388"/>
    <cellStyle name="Custom - Style8" xfId="2389"/>
    <cellStyle name="d" xfId="2390"/>
    <cellStyle name="d mmm yy" xfId="2391"/>
    <cellStyle name="d mmm yy 2" xfId="2392"/>
    <cellStyle name="da" xfId="2393"/>
    <cellStyle name="DarkBlueOutline" xfId="2394"/>
    <cellStyle name="DarkBlueOutlineYellow" xfId="2395"/>
    <cellStyle name="Dash" xfId="2396"/>
    <cellStyle name="Data   - Style2" xfId="2397"/>
    <cellStyle name="Data   - Style2 2" xfId="2398"/>
    <cellStyle name="Date" xfId="2399"/>
    <cellStyle name="Date [d-mmm-yy]" xfId="2400"/>
    <cellStyle name="Date [D-M-Y]" xfId="2401"/>
    <cellStyle name="Date [M/D/Y]" xfId="2402"/>
    <cellStyle name="Date [M/Y]" xfId="2403"/>
    <cellStyle name="Date [mm-d-yy]" xfId="2404"/>
    <cellStyle name="Date [mm-d-yyyy]" xfId="2405"/>
    <cellStyle name="Date [mmm-d-yyyy]" xfId="2406"/>
    <cellStyle name="Date [mmm-yy]" xfId="2407"/>
    <cellStyle name="Date [mmm-yyyy]" xfId="2408"/>
    <cellStyle name="Date [M-Y]" xfId="2409"/>
    <cellStyle name="Date [M-Y] 2" xfId="2410"/>
    <cellStyle name="Date 2" xfId="2411"/>
    <cellStyle name="Date 3" xfId="2412"/>
    <cellStyle name="Date 4" xfId="2413"/>
    <cellStyle name="Date 5" xfId="2414"/>
    <cellStyle name="Date 6" xfId="2415"/>
    <cellStyle name="Date Short" xfId="2416"/>
    <cellStyle name="DATE_66.Metroplex Model (with data input)-1" xfId="2417"/>
    <cellStyle name="date2" xfId="2418"/>
    <cellStyle name="date2 2" xfId="2419"/>
    <cellStyle name="Date2h" xfId="2420"/>
    <cellStyle name="DateTime" xfId="2421"/>
    <cellStyle name="DateTime 2" xfId="2422"/>
    <cellStyle name="DB Model Standard" xfId="2423"/>
    <cellStyle name="dd" xfId="2424"/>
    <cellStyle name="ddd" xfId="2425"/>
    <cellStyle name="Default 1" xfId="2426"/>
    <cellStyle name="DELTA" xfId="2427"/>
    <cellStyle name="DELTA 2" xfId="2428"/>
    <cellStyle name="DELTA 2 2" xfId="2429"/>
    <cellStyle name="DELTA 3" xfId="2430"/>
    <cellStyle name="Description" xfId="2431"/>
    <cellStyle name="Dezimal [0]_Compiling Utility Macros" xfId="2432"/>
    <cellStyle name="Dezimal_ Magirus " xfId="2433"/>
    <cellStyle name="Dollar (zero dec)" xfId="2434"/>
    <cellStyle name="Dollar (zero dec) 2" xfId="2435"/>
    <cellStyle name="dollars" xfId="2436"/>
    <cellStyle name="dr" xfId="2437"/>
    <cellStyle name="ds" xfId="2438"/>
    <cellStyle name="ds 2" xfId="2439"/>
    <cellStyle name="Editable" xfId="2440"/>
    <cellStyle name="Emphasis 1" xfId="2441"/>
    <cellStyle name="Emphasis 2" xfId="2442"/>
    <cellStyle name="Emphasis 3" xfId="2443"/>
    <cellStyle name="Enter Currency (0)" xfId="2444"/>
    <cellStyle name="Enter Currency (0) 2" xfId="2445"/>
    <cellStyle name="Enter Currency (0) 2 2" xfId="2446"/>
    <cellStyle name="Enter Currency (0) 3" xfId="2447"/>
    <cellStyle name="Enter Currency (2)" xfId="2448"/>
    <cellStyle name="Enter Units (0)" xfId="2449"/>
    <cellStyle name="Enter Units (0) 2" xfId="2450"/>
    <cellStyle name="Enter Units (0) 2 2" xfId="2451"/>
    <cellStyle name="Enter Units (0) 3" xfId="2452"/>
    <cellStyle name="Enter Units (1)" xfId="2453"/>
    <cellStyle name="Enter Units (1) 2" xfId="2454"/>
    <cellStyle name="Enter Units (1) 2 2" xfId="2455"/>
    <cellStyle name="Enter Units (1) 3" xfId="2456"/>
    <cellStyle name="Enter Units (2)" xfId="2457"/>
    <cellStyle name="Entered" xfId="2458"/>
    <cellStyle name="EPS" xfId="2459"/>
    <cellStyle name="EPS 2" xfId="2460"/>
    <cellStyle name="Ett" xfId="2461"/>
    <cellStyle name="Euro" xfId="2462"/>
    <cellStyle name="Euro 2" xfId="2463"/>
    <cellStyle name="Excel Built-in Comma" xfId="2464"/>
    <cellStyle name="Excel Built-in Explanatory Text" xfId="2465"/>
    <cellStyle name="Excel Built-in Normal" xfId="18"/>
    <cellStyle name="Excel Built-in Normal 2" xfId="2466"/>
    <cellStyle name="Excel Built-in Normal 3" xfId="2467"/>
    <cellStyle name="Excel_BuiltIn_Comma" xfId="2468"/>
    <cellStyle name="Explanatory Text 2" xfId="2469"/>
    <cellStyle name="Explanatory Text 2 2" xfId="2470"/>
    <cellStyle name="Explanatory Text 3" xfId="2471"/>
    <cellStyle name="Explanatory Text 3 2" xfId="2472"/>
    <cellStyle name="Explanatory Text 4" xfId="2473"/>
    <cellStyle name="Explanatory Text 5" xfId="2474"/>
    <cellStyle name="Explanatory Text 6" xfId="2475"/>
    <cellStyle name="Explanatory Text 7" xfId="2476"/>
    <cellStyle name="Explanatory Text 8" xfId="2477"/>
    <cellStyle name="EY House" xfId="2478"/>
    <cellStyle name="EY Narrative text" xfId="2479"/>
    <cellStyle name="ey%calc" xfId="2480"/>
    <cellStyle name="EY%colcalc" xfId="2481"/>
    <cellStyle name="EY%input" xfId="2482"/>
    <cellStyle name="EY%rowcalc" xfId="2483"/>
    <cellStyle name="EY0]" xfId="2484"/>
    <cellStyle name="EY0dp" xfId="2485"/>
    <cellStyle name="EY0dp 2" xfId="2486"/>
    <cellStyle name="EY0dp 2 2" xfId="2487"/>
    <cellStyle name="EY0dp 2 2 2" xfId="2488"/>
    <cellStyle name="EY0dp 3" xfId="2489"/>
    <cellStyle name="EY1dp" xfId="2490"/>
    <cellStyle name="EY2dp" xfId="2491"/>
    <cellStyle name="EY3dp" xfId="2492"/>
    <cellStyle name="EYChartTitle" xfId="2493"/>
    <cellStyle name="EYColumnHeading" xfId="2494"/>
    <cellStyle name="EYColumnHeading 2" xfId="2495"/>
    <cellStyle name="EYColumnHeadingItalic" xfId="2496"/>
    <cellStyle name="EYColumnHeadingItalic 2" xfId="2497"/>
    <cellStyle name="EYCoverDatabookName" xfId="2498"/>
    <cellStyle name="EYCoverDate" xfId="2499"/>
    <cellStyle name="EYCoverDraft" xfId="2500"/>
    <cellStyle name="EYCoverProjectName" xfId="2501"/>
    <cellStyle name="EYCurrency" xfId="2502"/>
    <cellStyle name="EYCurrency 2" xfId="2503"/>
    <cellStyle name="EYHeading1" xfId="2504"/>
    <cellStyle name="EYheading2" xfId="2505"/>
    <cellStyle name="EYheading3" xfId="2506"/>
    <cellStyle name="EYNotes" xfId="2507"/>
    <cellStyle name="EYNotesHeading" xfId="2508"/>
    <cellStyle name="EYNotesHeading 2" xfId="2509"/>
    <cellStyle name="EYnumber" xfId="2510"/>
    <cellStyle name="EYnumber 2" xfId="2511"/>
    <cellStyle name="EYRelianceRestricted" xfId="2512"/>
    <cellStyle name="EYSectionHeading" xfId="2513"/>
    <cellStyle name="EYSheetHeader1" xfId="2514"/>
    <cellStyle name="EYSheetHeading" xfId="2515"/>
    <cellStyle name="EYsmallheading" xfId="2516"/>
    <cellStyle name="EYsmallheading 2" xfId="2517"/>
    <cellStyle name="EYSource" xfId="2518"/>
    <cellStyle name="EYtext" xfId="2519"/>
    <cellStyle name="EYtextbold" xfId="2520"/>
    <cellStyle name="EYtextbolditalic" xfId="2521"/>
    <cellStyle name="EYtextitalic" xfId="2522"/>
    <cellStyle name="f" xfId="2523"/>
    <cellStyle name="f_Cinderella Model v1" xfId="2524"/>
    <cellStyle name="f_Cinderella Model v1May 29" xfId="2525"/>
    <cellStyle name="f_Cinderella Model v8" xfId="2526"/>
    <cellStyle name="f_Cinderella Model v9_ML number" xfId="2527"/>
    <cellStyle name="f_Gazelle DDM May-15-2003" xfId="2528"/>
    <cellStyle name="F2" xfId="2529"/>
    <cellStyle name="F2 2" xfId="2530"/>
    <cellStyle name="F2 3" xfId="2531"/>
    <cellStyle name="F2 4" xfId="2532"/>
    <cellStyle name="F2 5" xfId="2533"/>
    <cellStyle name="F2 6" xfId="2534"/>
    <cellStyle name="F2 7" xfId="2535"/>
    <cellStyle name="F3" xfId="2536"/>
    <cellStyle name="F3 2" xfId="2537"/>
    <cellStyle name="F3 3" xfId="2538"/>
    <cellStyle name="F3 4" xfId="2539"/>
    <cellStyle name="F3 5" xfId="2540"/>
    <cellStyle name="F3 6" xfId="2541"/>
    <cellStyle name="F3 7" xfId="2542"/>
    <cellStyle name="F4" xfId="2543"/>
    <cellStyle name="F4 2" xfId="2544"/>
    <cellStyle name="F4 3" xfId="2545"/>
    <cellStyle name="F4 4" xfId="2546"/>
    <cellStyle name="F4 5" xfId="2547"/>
    <cellStyle name="F4 6" xfId="2548"/>
    <cellStyle name="F4 7" xfId="2549"/>
    <cellStyle name="F5" xfId="2550"/>
    <cellStyle name="F5 2" xfId="2551"/>
    <cellStyle name="F5 3" xfId="2552"/>
    <cellStyle name="F5 4" xfId="2553"/>
    <cellStyle name="F5 5" xfId="2554"/>
    <cellStyle name="F5 6" xfId="2555"/>
    <cellStyle name="F5 7" xfId="2556"/>
    <cellStyle name="F6" xfId="2557"/>
    <cellStyle name="F6 2" xfId="2558"/>
    <cellStyle name="F6 3" xfId="2559"/>
    <cellStyle name="F6 4" xfId="2560"/>
    <cellStyle name="F6 5" xfId="2561"/>
    <cellStyle name="F6 6" xfId="2562"/>
    <cellStyle name="F6 7" xfId="2563"/>
    <cellStyle name="F7" xfId="2564"/>
    <cellStyle name="F7 2" xfId="2565"/>
    <cellStyle name="F7 3" xfId="2566"/>
    <cellStyle name="F7 4" xfId="2567"/>
    <cellStyle name="F7 5" xfId="2568"/>
    <cellStyle name="F7 6" xfId="2569"/>
    <cellStyle name="F7 7" xfId="2570"/>
    <cellStyle name="F8" xfId="2571"/>
    <cellStyle name="F8 2" xfId="2572"/>
    <cellStyle name="F8 3" xfId="2573"/>
    <cellStyle name="F8 4" xfId="2574"/>
    <cellStyle name="F8 5" xfId="2575"/>
    <cellStyle name="F8 6" xfId="2576"/>
    <cellStyle name="F8 7" xfId="2577"/>
    <cellStyle name="fact" xfId="2578"/>
    <cellStyle name="ff" xfId="2579"/>
    <cellStyle name="fff" xfId="2580"/>
    <cellStyle name="Fixed" xfId="2581"/>
    <cellStyle name="Fixed [0]" xfId="2582"/>
    <cellStyle name="Fixed [0] 2" xfId="2583"/>
    <cellStyle name="Fixed 2" xfId="2584"/>
    <cellStyle name="Fixed 3" xfId="2585"/>
    <cellStyle name="Fixed 4" xfId="2586"/>
    <cellStyle name="Fixed 5" xfId="2587"/>
    <cellStyle name="Fixed 6" xfId="2588"/>
    <cellStyle name="Fixed_exclusio-list" xfId="2589"/>
    <cellStyle name="Float" xfId="2590"/>
    <cellStyle name="Float 2" xfId="2591"/>
    <cellStyle name="fn" xfId="2592"/>
    <cellStyle name="ƒnƒCƒp[ƒŠƒ“ƒN" xfId="2593"/>
    <cellStyle name="Footer SBILogo1" xfId="2594"/>
    <cellStyle name="Footer SBILogo2" xfId="2595"/>
    <cellStyle name="Footnote" xfId="2596"/>
    <cellStyle name="Footnote Reference" xfId="2597"/>
    <cellStyle name="Foottitle" xfId="2598"/>
    <cellStyle name="FORM" xfId="2599"/>
    <cellStyle name="FORM 2" xfId="2600"/>
    <cellStyle name="FORM 3" xfId="2601"/>
    <cellStyle name="FORM 4" xfId="2602"/>
    <cellStyle name="FORM 5" xfId="2603"/>
    <cellStyle name="FORM 6" xfId="2604"/>
    <cellStyle name="FORM_Cost_appraisal_Aliens_FPS" xfId="2605"/>
    <cellStyle name="Formula" xfId="2606"/>
    <cellStyle name="Formula 2" xfId="2607"/>
    <cellStyle name="Formula 3" xfId="2608"/>
    <cellStyle name="Formula 4" xfId="2609"/>
    <cellStyle name="Formula 5" xfId="2610"/>
    <cellStyle name="Formula 6" xfId="2611"/>
    <cellStyle name="Formula_Cost_appraisal_Aliens_FPS" xfId="2612"/>
    <cellStyle name="Fraction" xfId="2613"/>
    <cellStyle name="Fraction [8]" xfId="2614"/>
    <cellStyle name="Fraction [Bl]" xfId="2615"/>
    <cellStyle name="fy" xfId="2616"/>
    <cellStyle name="General" xfId="2617"/>
    <cellStyle name="Good 2" xfId="2618"/>
    <cellStyle name="Good 2 2" xfId="2619"/>
    <cellStyle name="Good 2_Sez_Boq_Superstructure part-FORMATED" xfId="2620"/>
    <cellStyle name="Good 3" xfId="2621"/>
    <cellStyle name="Good 3 2" xfId="2622"/>
    <cellStyle name="Good 3_Sez_Boq_Superstructure part-FORMATED" xfId="2623"/>
    <cellStyle name="Good 4" xfId="2624"/>
    <cellStyle name="Good 5" xfId="2625"/>
    <cellStyle name="Good 6" xfId="2626"/>
    <cellStyle name="Good 7" xfId="2627"/>
    <cellStyle name="Good 8" xfId="2628"/>
    <cellStyle name="GRAY" xfId="2629"/>
    <cellStyle name="Grey" xfId="2630"/>
    <cellStyle name="GreyOrWhite" xfId="2631"/>
    <cellStyle name="GreyOrWhite 2" xfId="2632"/>
    <cellStyle name="Gross Margin" xfId="2633"/>
    <cellStyle name="GWh" xfId="2634"/>
    <cellStyle name="h" xfId="2635"/>
    <cellStyle name="h1" xfId="2636"/>
    <cellStyle name="h2" xfId="2637"/>
    <cellStyle name="header" xfId="2638"/>
    <cellStyle name="Header Draft Stamp" xfId="2639"/>
    <cellStyle name="Header Total" xfId="2640"/>
    <cellStyle name="Header1" xfId="2641"/>
    <cellStyle name="Header2" xfId="2642"/>
    <cellStyle name="Header2 2" xfId="2643"/>
    <cellStyle name="Header2 2 2" xfId="2644"/>
    <cellStyle name="Header2 3" xfId="2645"/>
    <cellStyle name="Header3" xfId="2646"/>
    <cellStyle name="Heading" xfId="2647"/>
    <cellStyle name="Heading 1 2" xfId="2648"/>
    <cellStyle name="Heading 1 2 2" xfId="2649"/>
    <cellStyle name="Heading 1 2_TCS-BUDGET format (Spectral)29 12 11 (2)" xfId="2650"/>
    <cellStyle name="Heading 1 3" xfId="2651"/>
    <cellStyle name="Heading 1 3 2" xfId="2652"/>
    <cellStyle name="Heading 1 3_TCS-BUDGET format (Spectral)29 12 11 (2)" xfId="2653"/>
    <cellStyle name="Heading 1 4" xfId="2654"/>
    <cellStyle name="Heading 1 5" xfId="2655"/>
    <cellStyle name="Heading 1 6" xfId="2656"/>
    <cellStyle name="Heading 1 7" xfId="2657"/>
    <cellStyle name="Heading 1 8" xfId="2658"/>
    <cellStyle name="Heading 1 Above" xfId="2659"/>
    <cellStyle name="Heading 1+" xfId="2660"/>
    <cellStyle name="Heading 2 2" xfId="2661"/>
    <cellStyle name="Heading 2 2 2" xfId="2662"/>
    <cellStyle name="Heading 2 2_TCS-BUDGET format (Spectral)29 12 11 (2)" xfId="2663"/>
    <cellStyle name="Heading 2 3" xfId="2664"/>
    <cellStyle name="Heading 2 3 2" xfId="2665"/>
    <cellStyle name="Heading 2 3_TCS-BUDGET format (Spectral)29 12 11 (2)" xfId="2666"/>
    <cellStyle name="Heading 2 4" xfId="2667"/>
    <cellStyle name="Heading 2 5" xfId="2668"/>
    <cellStyle name="Heading 2 6" xfId="2669"/>
    <cellStyle name="Heading 2 7" xfId="2670"/>
    <cellStyle name="Heading 2 8" xfId="2671"/>
    <cellStyle name="Heading 2 Below" xfId="2672"/>
    <cellStyle name="Heading 2+" xfId="2673"/>
    <cellStyle name="Heading 3 2" xfId="2674"/>
    <cellStyle name="Heading 3 2 2" xfId="2675"/>
    <cellStyle name="Heading 3 2_TCS-BUDGET format (Spectral)29 12 11 (2)" xfId="2676"/>
    <cellStyle name="Heading 3 3" xfId="2677"/>
    <cellStyle name="Heading 3 3 2" xfId="2678"/>
    <cellStyle name="Heading 3 3_TCS-BUDGET format (Spectral)29 12 11 (2)" xfId="2679"/>
    <cellStyle name="Heading 3 4" xfId="2680"/>
    <cellStyle name="Heading 3 5" xfId="2681"/>
    <cellStyle name="Heading 3 6" xfId="2682"/>
    <cellStyle name="Heading 3 7" xfId="2683"/>
    <cellStyle name="Heading 3 8" xfId="2684"/>
    <cellStyle name="Heading 3+" xfId="2685"/>
    <cellStyle name="Heading 4 2" xfId="2686"/>
    <cellStyle name="Heading 4 2 2" xfId="2687"/>
    <cellStyle name="Heading 4 3" xfId="2688"/>
    <cellStyle name="Heading 4 3 2" xfId="2689"/>
    <cellStyle name="Heading 4 4" xfId="2690"/>
    <cellStyle name="Heading 4 5" xfId="2691"/>
    <cellStyle name="Heading 4 6" xfId="2692"/>
    <cellStyle name="Heading 4 7" xfId="2693"/>
    <cellStyle name="Heading 4 8" xfId="2694"/>
    <cellStyle name="HEADING1" xfId="2695"/>
    <cellStyle name="Heading1 1" xfId="2696"/>
    <cellStyle name="Heading1 2" xfId="2697"/>
    <cellStyle name="Heading1 3" xfId="2698"/>
    <cellStyle name="Heading1 4" xfId="2699"/>
    <cellStyle name="Heading1 5" xfId="2700"/>
    <cellStyle name="Heading1 6" xfId="2701"/>
    <cellStyle name="Heading1_exclusio-list" xfId="2702"/>
    <cellStyle name="HEADING2" xfId="2703"/>
    <cellStyle name="Heading2 2" xfId="2704"/>
    <cellStyle name="Heading2 3" xfId="2705"/>
    <cellStyle name="Heading2 4" xfId="2706"/>
    <cellStyle name="Heading2 5" xfId="2707"/>
    <cellStyle name="Heading2 6" xfId="2708"/>
    <cellStyle name="HeadRow" xfId="2709"/>
    <cellStyle name="HeadRowCol" xfId="2710"/>
    <cellStyle name="hh" xfId="2711"/>
    <cellStyle name="Hidden" xfId="2712"/>
    <cellStyle name="Hide" xfId="2713"/>
    <cellStyle name="Hide'" xfId="2714"/>
    <cellStyle name="Hide 2" xfId="2715"/>
    <cellStyle name="Hide 3" xfId="2716"/>
    <cellStyle name="Hide 4" xfId="2717"/>
    <cellStyle name="Hide 5" xfId="2718"/>
    <cellStyle name="Hide_Financings v5" xfId="2719"/>
    <cellStyle name="hj" xfId="2720"/>
    <cellStyle name="Hyperlink 10" xfId="2721"/>
    <cellStyle name="Hyperlink 11" xfId="2722"/>
    <cellStyle name="Hyperlink 2" xfId="2723"/>
    <cellStyle name="Hyperlink 3" xfId="2724"/>
    <cellStyle name="Hyperlink 4" xfId="2725"/>
    <cellStyle name="Hyperlink 5" xfId="2726"/>
    <cellStyle name="Hyperlink 6" xfId="2727"/>
    <cellStyle name="Hyperlink 7" xfId="2728"/>
    <cellStyle name="Hyperlink 8" xfId="2729"/>
    <cellStyle name="Hyperlink 9" xfId="2730"/>
    <cellStyle name="Hypertextový odkaz" xfId="2731"/>
    <cellStyle name="Hypertextový odkaz 2" xfId="2732"/>
    <cellStyle name="Hypertextový odkaz 3" xfId="2733"/>
    <cellStyle name="Hypertextový odkaz 4" xfId="2734"/>
    <cellStyle name="Hypertextový odkaz 5" xfId="2735"/>
    <cellStyle name="Hypertextový odkaz 6" xfId="2736"/>
    <cellStyle name="Hypertextový odkaz_Cost_appraisal_Aliens_FPS" xfId="2737"/>
    <cellStyle name="i" xfId="2738"/>
    <cellStyle name="i_BEA Merger Analysis Nov 20" xfId="2739"/>
    <cellStyle name="i_BEA Merger Analysis Nov 20 2" xfId="2740"/>
    <cellStyle name="i_Cinderella Model v22a" xfId="2741"/>
    <cellStyle name="i_Mars Model v28" xfId="2742"/>
    <cellStyle name="Í¢" xfId="2743"/>
    <cellStyle name="Í¢ 2" xfId="2744"/>
    <cellStyle name="ii" xfId="2745"/>
    <cellStyle name="iii" xfId="2746"/>
    <cellStyle name="INCHES" xfId="2747"/>
    <cellStyle name="INCHES 2" xfId="2748"/>
    <cellStyle name="INCHES 3" xfId="2749"/>
    <cellStyle name="INCHES 4" xfId="2750"/>
    <cellStyle name="INCHES 5" xfId="2751"/>
    <cellStyle name="INCHES 6" xfId="2752"/>
    <cellStyle name="INCHES 7" xfId="2753"/>
    <cellStyle name="Indent" xfId="2754"/>
    <cellStyle name="Input [yellow]" xfId="2755"/>
    <cellStyle name="Input [yellow] 2" xfId="2756"/>
    <cellStyle name="Input 2" xfId="2757"/>
    <cellStyle name="Input 2 2" xfId="2758"/>
    <cellStyle name="Input 2 2 2" xfId="2759"/>
    <cellStyle name="Input 2 3" xfId="2760"/>
    <cellStyle name="Input 2_Sez_Boq_Superstructure part-FORMATED" xfId="2761"/>
    <cellStyle name="Input 3" xfId="2762"/>
    <cellStyle name="Input 3 2" xfId="2763"/>
    <cellStyle name="Input 3 2 2" xfId="2764"/>
    <cellStyle name="Input 3 3" xfId="2765"/>
    <cellStyle name="Input 3_Sez_Boq_Superstructure part-FORMATED" xfId="2766"/>
    <cellStyle name="Input 4" xfId="2767"/>
    <cellStyle name="Input 4 2" xfId="2768"/>
    <cellStyle name="Input 5" xfId="2769"/>
    <cellStyle name="Input 5 2" xfId="2770"/>
    <cellStyle name="Input 6" xfId="2771"/>
    <cellStyle name="Input 7" xfId="2772"/>
    <cellStyle name="Input 8" xfId="2773"/>
    <cellStyle name="Input Currency" xfId="2774"/>
    <cellStyle name="Input Date" xfId="2775"/>
    <cellStyle name="Input Fixed [0]" xfId="2776"/>
    <cellStyle name="Input Normal" xfId="2777"/>
    <cellStyle name="Input Percent" xfId="2778"/>
    <cellStyle name="Input Percent [2]" xfId="2779"/>
    <cellStyle name="Input Percent_NAV Template 北岸" xfId="2780"/>
    <cellStyle name="Input Titles" xfId="2781"/>
    <cellStyle name="input value" xfId="2782"/>
    <cellStyle name="InputBlueFont" xfId="2783"/>
    <cellStyle name="InputCurrency" xfId="2784"/>
    <cellStyle name="InputCurrency 2" xfId="2785"/>
    <cellStyle name="InputNormal" xfId="2786"/>
    <cellStyle name="InputNormal 2" xfId="2787"/>
    <cellStyle name="iu" xfId="2788"/>
    <cellStyle name="k" xfId="2789"/>
    <cellStyle name="L" xfId="2790"/>
    <cellStyle name="Labels - Style3" xfId="2791"/>
    <cellStyle name="Labels - Style3 2" xfId="2792"/>
    <cellStyle name="Length" xfId="2793"/>
    <cellStyle name="Length 2" xfId="2794"/>
    <cellStyle name="Length 3" xfId="2795"/>
    <cellStyle name="Length 4" xfId="2796"/>
    <cellStyle name="Length 5" xfId="2797"/>
    <cellStyle name="Length 6" xfId="2798"/>
    <cellStyle name="Level 2 Total" xfId="2799"/>
    <cellStyle name="Level 2 Total 2" xfId="2800"/>
    <cellStyle name="level 3" xfId="2801"/>
    <cellStyle name="level3" xfId="2802"/>
    <cellStyle name="ligne_detail" xfId="2803"/>
    <cellStyle name="Link Currency (0)" xfId="2804"/>
    <cellStyle name="Link Currency (0) 2" xfId="2805"/>
    <cellStyle name="Link Currency (0) 2 2" xfId="2806"/>
    <cellStyle name="Link Currency (0) 3" xfId="2807"/>
    <cellStyle name="Link Currency (2)" xfId="2808"/>
    <cellStyle name="Link Units (0)" xfId="2809"/>
    <cellStyle name="Link Units (0) 2" xfId="2810"/>
    <cellStyle name="Link Units (0) 2 2" xfId="2811"/>
    <cellStyle name="Link Units (0) 3" xfId="2812"/>
    <cellStyle name="Link Units (1)" xfId="2813"/>
    <cellStyle name="Link Units (1) 2" xfId="2814"/>
    <cellStyle name="Link Units (1) 2 2" xfId="2815"/>
    <cellStyle name="Link Units (1) 3" xfId="2816"/>
    <cellStyle name="Link Units (2)" xfId="2817"/>
    <cellStyle name="Linked Cell 2" xfId="2818"/>
    <cellStyle name="Linked Cell 2 2" xfId="2819"/>
    <cellStyle name="Linked Cell 2_TCS-BUDGET format (Spectral)29 12 11 (2)" xfId="2820"/>
    <cellStyle name="Linked Cell 3" xfId="2821"/>
    <cellStyle name="Linked Cell 3 2" xfId="2822"/>
    <cellStyle name="Linked Cell 3_TCS-BUDGET format (Spectral)29 12 11 (2)" xfId="2823"/>
    <cellStyle name="Linked Cell 4" xfId="2824"/>
    <cellStyle name="Linked Cell 5" xfId="2825"/>
    <cellStyle name="Linked Cell 6" xfId="2826"/>
    <cellStyle name="Linked Cell 7" xfId="2827"/>
    <cellStyle name="Linked Cell 8" xfId="2828"/>
    <cellStyle name="M" xfId="2829"/>
    <cellStyle name="m/d/yy" xfId="2830"/>
    <cellStyle name="m_Macros" xfId="2831"/>
    <cellStyle name="m_Manager" xfId="2832"/>
    <cellStyle name="M-0" xfId="2833"/>
    <cellStyle name="MacroCode" xfId="2834"/>
    <cellStyle name="MainDescription" xfId="2835"/>
    <cellStyle name="Major Total" xfId="2836"/>
    <cellStyle name="Marge" xfId="2837"/>
    <cellStyle name="Measure" xfId="2838"/>
    <cellStyle name="Measure 2" xfId="2839"/>
    <cellStyle name="Measure 3" xfId="2840"/>
    <cellStyle name="Measure 4" xfId="2841"/>
    <cellStyle name="Measure 5" xfId="2842"/>
    <cellStyle name="Measure 6" xfId="2843"/>
    <cellStyle name="MidTotal" xfId="2844"/>
    <cellStyle name="MidTotal 2" xfId="2845"/>
    <cellStyle name="Migliaia (0)_Camera matrimoniale (3) megaros" xfId="2846"/>
    <cellStyle name="Migliaia_cross border" xfId="2847"/>
    <cellStyle name="Mike" xfId="2848"/>
    <cellStyle name="mil" xfId="2849"/>
    <cellStyle name="Millares [0]_2AV_M_M " xfId="2850"/>
    <cellStyle name="Millares_2AV_M_M " xfId="2851"/>
    <cellStyle name="Milliers [0]_AR1194" xfId="2852"/>
    <cellStyle name="Milliers_AR1194" xfId="2853"/>
    <cellStyle name="m-o" xfId="2854"/>
    <cellStyle name="Model" xfId="2855"/>
    <cellStyle name="Moneda [0]_2AV_M_M " xfId="2856"/>
    <cellStyle name="Moneda_2AV_M_M " xfId="2857"/>
    <cellStyle name="Monétaire [0]_AR1194" xfId="2858"/>
    <cellStyle name="Monétaire_AR1194" xfId="2859"/>
    <cellStyle name="Multiple" xfId="2860"/>
    <cellStyle name="n" xfId="2861"/>
    <cellStyle name="n2" xfId="2862"/>
    <cellStyle name="NA is zero" xfId="2863"/>
    <cellStyle name="Neutral 2" xfId="2864"/>
    <cellStyle name="Neutral 2 2" xfId="2865"/>
    <cellStyle name="Neutral 2_Sez_Boq_Superstructure part-FORMATED" xfId="2866"/>
    <cellStyle name="Neutral 3" xfId="2867"/>
    <cellStyle name="Neutral 3 2" xfId="2868"/>
    <cellStyle name="Neutral 3_Sez_Boq_Superstructure part-FORMATED" xfId="2869"/>
    <cellStyle name="Neutral 4" xfId="2870"/>
    <cellStyle name="Neutral 5" xfId="2871"/>
    <cellStyle name="Neutral 6" xfId="2872"/>
    <cellStyle name="Neutral 7" xfId="2873"/>
    <cellStyle name="Neutral 8" xfId="2874"/>
    <cellStyle name="NewPeso" xfId="2875"/>
    <cellStyle name="nf" xfId="2876"/>
    <cellStyle name="no dec" xfId="2877"/>
    <cellStyle name="no dec 2" xfId="2878"/>
    <cellStyle name="no dec 3" xfId="2879"/>
    <cellStyle name="no dec 4" xfId="2880"/>
    <cellStyle name="no dec 5" xfId="2881"/>
    <cellStyle name="no dec 6" xfId="2882"/>
    <cellStyle name="no dec_Cost_appraisal_Aliens_FPS" xfId="2883"/>
    <cellStyle name="Non défini" xfId="2884"/>
    <cellStyle name="NonPrint_TemTitle" xfId="2885"/>
    <cellStyle name="Nor}al" xfId="2886"/>
    <cellStyle name="Nor}al 2" xfId="2887"/>
    <cellStyle name="Normal" xfId="0" builtinId="0"/>
    <cellStyle name="Normal--" xfId="2888"/>
    <cellStyle name="Normal - Style1" xfId="2889"/>
    <cellStyle name="Normal [0]" xfId="2890"/>
    <cellStyle name="Normal [1]" xfId="2891"/>
    <cellStyle name="Normal [1] 2" xfId="2892"/>
    <cellStyle name="Normal [2]" xfId="2893"/>
    <cellStyle name="Normal [3]" xfId="2894"/>
    <cellStyle name="Normal 10" xfId="5"/>
    <cellStyle name="Normal 10 11" xfId="9"/>
    <cellStyle name="Normal 10 2" xfId="19"/>
    <cellStyle name="Normal 10 2 2" xfId="2895"/>
    <cellStyle name="Normal 10 2 2 2" xfId="2896"/>
    <cellStyle name="Normal 10 2 2 2 2" xfId="2897"/>
    <cellStyle name="Normal 10 3" xfId="20"/>
    <cellStyle name="Normal 10 3 2" xfId="2898"/>
    <cellStyle name="Normal 10 4" xfId="2899"/>
    <cellStyle name="Normal 11" xfId="21"/>
    <cellStyle name="Normal 11 2" xfId="2900"/>
    <cellStyle name="Normal 11 2 2" xfId="2901"/>
    <cellStyle name="Normal 11 3" xfId="2902"/>
    <cellStyle name="Normal 12" xfId="22"/>
    <cellStyle name="Normal 12 2" xfId="2"/>
    <cellStyle name="Normal 12 2 2" xfId="2903"/>
    <cellStyle name="Normal 12 3" xfId="2904"/>
    <cellStyle name="Normal 13" xfId="23"/>
    <cellStyle name="Normal 13 2" xfId="24"/>
    <cellStyle name="Normal 13 3" xfId="2905"/>
    <cellStyle name="Normal 13_00-REV-ESTIMATE-04.04.12" xfId="2906"/>
    <cellStyle name="Normal 14" xfId="25"/>
    <cellStyle name="Normal 14 2" xfId="2907"/>
    <cellStyle name="Normal 15" xfId="2908"/>
    <cellStyle name="Normal 15 2" xfId="2909"/>
    <cellStyle name="Normal 15 2 2" xfId="2910"/>
    <cellStyle name="Normal 15 3" xfId="2911"/>
    <cellStyle name="Normal 15 4" xfId="2912"/>
    <cellStyle name="Normal 16" xfId="26"/>
    <cellStyle name="Normal 16 10" xfId="2913"/>
    <cellStyle name="Normal 16 2" xfId="2914"/>
    <cellStyle name="Normal 16 2 2" xfId="2915"/>
    <cellStyle name="Normal 16 2 2 2" xfId="2916"/>
    <cellStyle name="Normal 16 2 2_00-REV-ESTIMATE-04.04.12" xfId="2917"/>
    <cellStyle name="Normal 16 2 3" xfId="2918"/>
    <cellStyle name="Normal 16 2_00-REV-ESTIMATE-04.04.12" xfId="2919"/>
    <cellStyle name="Normal 16 3" xfId="2920"/>
    <cellStyle name="Normal 16 3 2" xfId="2921"/>
    <cellStyle name="Normal 16 3_00-REV-ESTIMATE-04.04.12" xfId="2922"/>
    <cellStyle name="Normal 16 4" xfId="2923"/>
    <cellStyle name="Normal 16 4 2" xfId="2924"/>
    <cellStyle name="Normal 16 4_00-REV-ESTIMATE-04.04.12" xfId="2925"/>
    <cellStyle name="Normal 16 5" xfId="2926"/>
    <cellStyle name="Normal 16 6" xfId="2927"/>
    <cellStyle name="Normal 16 7" xfId="2928"/>
    <cellStyle name="Normal 16 8" xfId="2929"/>
    <cellStyle name="Normal 16 9" xfId="2930"/>
    <cellStyle name="Normal 16_00-REV-ESTIMATE-04.04.12" xfId="2931"/>
    <cellStyle name="Normal 17" xfId="27"/>
    <cellStyle name="Normal 17 2" xfId="2932"/>
    <cellStyle name="Normal 17 3" xfId="2933"/>
    <cellStyle name="Normal 18" xfId="2934"/>
    <cellStyle name="Normal 18 2" xfId="2935"/>
    <cellStyle name="Normal 18 2 2" xfId="2936"/>
    <cellStyle name="Normal 18 3" xfId="2937"/>
    <cellStyle name="Normal 19" xfId="2938"/>
    <cellStyle name="Normal 2" xfId="28"/>
    <cellStyle name="Normal 2 10" xfId="2939"/>
    <cellStyle name="Normal 2 10 2" xfId="2940"/>
    <cellStyle name="Normal 2 10 2 2" xfId="43"/>
    <cellStyle name="Normal 2 10 3" xfId="2941"/>
    <cellStyle name="Normal 2 11" xfId="2942"/>
    <cellStyle name="Normal 2 11 2" xfId="2943"/>
    <cellStyle name="Normal 2 12" xfId="2944"/>
    <cellStyle name="Normal 2 12 2" xfId="2945"/>
    <cellStyle name="Normal 2 13" xfId="2946"/>
    <cellStyle name="Normal 2 13 2" xfId="2947"/>
    <cellStyle name="Normal 2 14" xfId="2948"/>
    <cellStyle name="Normal 2 14 2" xfId="2949"/>
    <cellStyle name="Normal 2 15" xfId="2950"/>
    <cellStyle name="Normal 2 15 2" xfId="2951"/>
    <cellStyle name="Normal 2 16" xfId="2952"/>
    <cellStyle name="Normal 2 17" xfId="2953"/>
    <cellStyle name="Normal 2 2" xfId="29"/>
    <cellStyle name="Normal 2 2 10" xfId="2954"/>
    <cellStyle name="Normal 2 2 11" xfId="2955"/>
    <cellStyle name="Normal 2 2 12" xfId="2956"/>
    <cellStyle name="Normal 2 2 13" xfId="2957"/>
    <cellStyle name="Normal 2 2 2" xfId="3"/>
    <cellStyle name="Normal 2 2 2 10" xfId="2958"/>
    <cellStyle name="Normal 2 2 2 10 2" xfId="2959"/>
    <cellStyle name="Normal 2 2 2 2" xfId="2960"/>
    <cellStyle name="Normal 2 2 2 2 2" xfId="2961"/>
    <cellStyle name="Normal 2 2 2 2 2 2" xfId="2962"/>
    <cellStyle name="Normal 2 2 2 2 3" xfId="2963"/>
    <cellStyle name="Normal 2 2 2 2_arch-4th floor" xfId="2964"/>
    <cellStyle name="Normal 2 2 2 3" xfId="2965"/>
    <cellStyle name="Normal 2 2 2 3 2" xfId="2966"/>
    <cellStyle name="Normal 2 2 2 4" xfId="2967"/>
    <cellStyle name="Normal 2 2 2 4 2" xfId="2968"/>
    <cellStyle name="Normal 2 2 2 5" xfId="2969"/>
    <cellStyle name="Normal 2 2 2 5 2" xfId="2970"/>
    <cellStyle name="Normal 2 2 2 6" xfId="2971"/>
    <cellStyle name="Normal 2 2 2 6 2" xfId="2972"/>
    <cellStyle name="Normal 2 2 2 7" xfId="2973"/>
    <cellStyle name="Normal 2 2 2 7 2" xfId="2974"/>
    <cellStyle name="Normal 2 2 2 8" xfId="2975"/>
    <cellStyle name="Normal 2 2 2 8 2" xfId="2976"/>
    <cellStyle name="Normal 2 2 2 9" xfId="2977"/>
    <cellStyle name="Normal 2 2 2 9 2" xfId="2978"/>
    <cellStyle name="Normal 2 2 2_arch-4th floor" xfId="2979"/>
    <cellStyle name="Normal 2 2 3" xfId="2980"/>
    <cellStyle name="Normal 2 2 3 2" xfId="2981"/>
    <cellStyle name="Normal 2 2 3 2 2" xfId="2982"/>
    <cellStyle name="Normal 2 2 3 3" xfId="2983"/>
    <cellStyle name="Normal 2 2 4" xfId="2984"/>
    <cellStyle name="Normal 2 2 4 2" xfId="2985"/>
    <cellStyle name="Normal 2 2 5" xfId="2986"/>
    <cellStyle name="Normal 2 2 5 2" xfId="2987"/>
    <cellStyle name="Normal 2 2 6" xfId="2988"/>
    <cellStyle name="Normal 2 2 7" xfId="2989"/>
    <cellStyle name="Normal 2 2 8" xfId="2990"/>
    <cellStyle name="Normal 2 2 9" xfId="2991"/>
    <cellStyle name="Normal 2 2_00-REV-ESTIMATE-04.04.12" xfId="2992"/>
    <cellStyle name="Normal 2 23" xfId="2993"/>
    <cellStyle name="Normal 2 23 2" xfId="2994"/>
    <cellStyle name="Normal 2 3" xfId="2995"/>
    <cellStyle name="Normal 2 3 2" xfId="2996"/>
    <cellStyle name="Normal 2 3 2 2" xfId="2997"/>
    <cellStyle name="Normal 2 3 3" xfId="2998"/>
    <cellStyle name="Normal 2 4" xfId="2999"/>
    <cellStyle name="Normal 2 4 10" xfId="3000"/>
    <cellStyle name="Normal 2 4 11" xfId="3001"/>
    <cellStyle name="Normal 2 4 2" xfId="3002"/>
    <cellStyle name="Normal 2 4 3" xfId="3003"/>
    <cellStyle name="Normal 2 4 4" xfId="3004"/>
    <cellStyle name="Normal 2 4 5" xfId="3005"/>
    <cellStyle name="Normal 2 4 6" xfId="3006"/>
    <cellStyle name="Normal 2 4 7" xfId="3007"/>
    <cellStyle name="Normal 2 4 8" xfId="3008"/>
    <cellStyle name="Normal 2 4 9" xfId="3009"/>
    <cellStyle name="Normal 2 4_arch-4th floor" xfId="3010"/>
    <cellStyle name="Normal 2 5" xfId="3011"/>
    <cellStyle name="Normal 2 5 2" xfId="3012"/>
    <cellStyle name="Normal 2 6" xfId="3013"/>
    <cellStyle name="Normal 2 6 2" xfId="3014"/>
    <cellStyle name="Normal 2 6 2 2" xfId="3015"/>
    <cellStyle name="Normal 2 7" xfId="3016"/>
    <cellStyle name="Normal 2 7 2" xfId="3017"/>
    <cellStyle name="Normal 2 7 3" xfId="3018"/>
    <cellStyle name="Normal 2 8" xfId="3019"/>
    <cellStyle name="Normal 2 8 2" xfId="3020"/>
    <cellStyle name="Normal 2 9" xfId="3021"/>
    <cellStyle name="Normal 2 9 2" xfId="3022"/>
    <cellStyle name="Normal 2_01 ESTIMATE Plumbing,fire (towers)." xfId="3023"/>
    <cellStyle name="Normal 20" xfId="3024"/>
    <cellStyle name="Normal 20 2" xfId="3025"/>
    <cellStyle name="Normal 21" xfId="3026"/>
    <cellStyle name="Normal 21 2" xfId="3027"/>
    <cellStyle name="Normal 22" xfId="3028"/>
    <cellStyle name="Normal 22 2" xfId="3029"/>
    <cellStyle name="Normal 23" xfId="3030"/>
    <cellStyle name="Normal 24" xfId="3031"/>
    <cellStyle name="Normal 24 2" xfId="3032"/>
    <cellStyle name="Normal 25" xfId="3033"/>
    <cellStyle name="Normal 25 2" xfId="3034"/>
    <cellStyle name="Normal 26" xfId="3035"/>
    <cellStyle name="Normal 27" xfId="3036"/>
    <cellStyle name="Normal 28" xfId="3037"/>
    <cellStyle name="Normal 29" xfId="3038"/>
    <cellStyle name="Normal 3" xfId="7"/>
    <cellStyle name="Normal 3 2" xfId="3039"/>
    <cellStyle name="Normal 3 2 2" xfId="3040"/>
    <cellStyle name="Normal 3 2 2 2" xfId="3041"/>
    <cellStyle name="Normal 3 2 2 2 2" xfId="3042"/>
    <cellStyle name="Normal 3 2 3" xfId="3043"/>
    <cellStyle name="Normal 3 2 3 2" xfId="3044"/>
    <cellStyle name="Normal 3 3" xfId="3045"/>
    <cellStyle name="Normal 3 3 2" xfId="3046"/>
    <cellStyle name="Normal 3 3 2 2" xfId="3047"/>
    <cellStyle name="Normal 3 3 2 2 2" xfId="3048"/>
    <cellStyle name="Normal 3 3 2 3" xfId="3049"/>
    <cellStyle name="Normal 3 3 3" xfId="3050"/>
    <cellStyle name="Normal 3 3 3 2" xfId="3051"/>
    <cellStyle name="Normal 3 3 4" xfId="3052"/>
    <cellStyle name="Normal 3 3 4 2" xfId="3053"/>
    <cellStyle name="Normal 3 3 5" xfId="3054"/>
    <cellStyle name="Normal 3 3 5 2" xfId="3055"/>
    <cellStyle name="Normal 3 3 6" xfId="3056"/>
    <cellStyle name="Normal 3 3 6 2" xfId="3057"/>
    <cellStyle name="Normal 3 4" xfId="3058"/>
    <cellStyle name="Normal 3 4 2" xfId="3059"/>
    <cellStyle name="Normal 3 4 2 2" xfId="3060"/>
    <cellStyle name="Normal 3 4 3" xfId="3061"/>
    <cellStyle name="Normal 3 5" xfId="3062"/>
    <cellStyle name="Normal 3 5 2" xfId="3063"/>
    <cellStyle name="Normal 3 6" xfId="3064"/>
    <cellStyle name="Normal 3 7" xfId="3065"/>
    <cellStyle name="Normal 3_ARCH-GATE" xfId="3066"/>
    <cellStyle name="Normal 30" xfId="3067"/>
    <cellStyle name="Normal 30 2" xfId="3068"/>
    <cellStyle name="Normal 30 2 2" xfId="3069"/>
    <cellStyle name="Normal 30 3" xfId="3070"/>
    <cellStyle name="Normal 30 4" xfId="3071"/>
    <cellStyle name="Normal 31" xfId="3072"/>
    <cellStyle name="Normal 31 2" xfId="3073"/>
    <cellStyle name="Normal 32" xfId="3074"/>
    <cellStyle name="Normal 32 2" xfId="3075"/>
    <cellStyle name="Normal 33" xfId="3076"/>
    <cellStyle name="Normal 33 2" xfId="3077"/>
    <cellStyle name="Normal 34" xfId="3078"/>
    <cellStyle name="Normal 34 2" xfId="3079"/>
    <cellStyle name="Normal 35" xfId="3080"/>
    <cellStyle name="Normal 35 2" xfId="3081"/>
    <cellStyle name="Normal 36" xfId="3082"/>
    <cellStyle name="Normal 36 2" xfId="3083"/>
    <cellStyle name="Normal 37" xfId="3084"/>
    <cellStyle name="Normal 37 2" xfId="3085"/>
    <cellStyle name="Normal 38" xfId="3086"/>
    <cellStyle name="Normal 38 2" xfId="3087"/>
    <cellStyle name="Normal 39" xfId="3088"/>
    <cellStyle name="Normal 39 2" xfId="3089"/>
    <cellStyle name="Normal 4" xfId="30"/>
    <cellStyle name="Normal 4 10" xfId="3090"/>
    <cellStyle name="Normal 4 11" xfId="3091"/>
    <cellStyle name="Normal 4 12" xfId="3092"/>
    <cellStyle name="Normal 4 2" xfId="31"/>
    <cellStyle name="Normal 4 2 2" xfId="3093"/>
    <cellStyle name="Normal 4 3" xfId="3094"/>
    <cellStyle name="Normal 4 3 2" xfId="3095"/>
    <cellStyle name="Normal 4 4" xfId="3096"/>
    <cellStyle name="Normal 4 5" xfId="3097"/>
    <cellStyle name="Normal 4 6" xfId="3098"/>
    <cellStyle name="Normal 4 7" xfId="3099"/>
    <cellStyle name="Normal 4 8" xfId="3100"/>
    <cellStyle name="Normal 4 9" xfId="3101"/>
    <cellStyle name="Normal 4_BOQ" xfId="3102"/>
    <cellStyle name="Normal 40" xfId="3103"/>
    <cellStyle name="Normal 40 2" xfId="3104"/>
    <cellStyle name="Normal 41" xfId="3105"/>
    <cellStyle name="Normal 42" xfId="3106"/>
    <cellStyle name="Normal 43" xfId="3107"/>
    <cellStyle name="Normal 44" xfId="3652"/>
    <cellStyle name="Normal 45" xfId="3653"/>
    <cellStyle name="Normal 46" xfId="3655"/>
    <cellStyle name="Normal 5" xfId="32"/>
    <cellStyle name="Normal 5 10" xfId="3108"/>
    <cellStyle name="Normal 5 10 2" xfId="3109"/>
    <cellStyle name="Normal 5 10 2 2" xfId="3110"/>
    <cellStyle name="Normal 5 10 2 2 2" xfId="3111"/>
    <cellStyle name="Normal 5 2" xfId="33"/>
    <cellStyle name="Normal 5 2 2" xfId="3112"/>
    <cellStyle name="Normal 5 3" xfId="3113"/>
    <cellStyle name="Normal 5_MEAS-RCC (BPO BUILDING) (M)(23-02-12)" xfId="3114"/>
    <cellStyle name="Normal 57" xfId="34"/>
    <cellStyle name="Normal 6" xfId="35"/>
    <cellStyle name="Normal 6 2" xfId="3115"/>
    <cellStyle name="Normal 6 2 3" xfId="3116"/>
    <cellStyle name="Normal 6 2 3 2" xfId="3117"/>
    <cellStyle name="Normal 6 2 3_00-REV-ESTIMATE-04.04.12" xfId="3118"/>
    <cellStyle name="Normal 6 3" xfId="3119"/>
    <cellStyle name="Normal 6 4" xfId="3120"/>
    <cellStyle name="Normal 6 5" xfId="3121"/>
    <cellStyle name="Normal 6 6" xfId="3122"/>
    <cellStyle name="Normal 6 7" xfId="3123"/>
    <cellStyle name="Normal 6_TCS-BUDGET format (Spectral)29 12 11 (2)" xfId="3124"/>
    <cellStyle name="Normal 7" xfId="36"/>
    <cellStyle name="Normal 7 2" xfId="3125"/>
    <cellStyle name="Normal 7 3" xfId="3126"/>
    <cellStyle name="Normal 7 3 2" xfId="3127"/>
    <cellStyle name="Normal 7 4" xfId="3128"/>
    <cellStyle name="Normal 7 6" xfId="3129"/>
    <cellStyle name="Normal 8" xfId="37"/>
    <cellStyle name="Normal 8 2" xfId="3130"/>
    <cellStyle name="Normal 8 2 2" xfId="3131"/>
    <cellStyle name="Normal 8 3" xfId="3132"/>
    <cellStyle name="Normal 9" xfId="38"/>
    <cellStyle name="Normal 9 2" xfId="3133"/>
    <cellStyle name="Normal 9 2 2" xfId="3134"/>
    <cellStyle name="Normal 9 2 2 2" xfId="3135"/>
    <cellStyle name="Normal 9 2 3" xfId="3136"/>
    <cellStyle name="Normal 9 2 3 2" xfId="3137"/>
    <cellStyle name="Normal 9 2 4" xfId="3138"/>
    <cellStyle name="Normal 9 2 4 2" xfId="3139"/>
    <cellStyle name="Normal 9 2 5" xfId="3140"/>
    <cellStyle name="Normal 9 2_2.BOQ-Civil &amp; Structural Works" xfId="3141"/>
    <cellStyle name="Normal 9 3" xfId="3142"/>
    <cellStyle name="Normal 9 4" xfId="3143"/>
    <cellStyle name="Normal 9 5" xfId="3144"/>
    <cellStyle name="Normal 9 6" xfId="3145"/>
    <cellStyle name="Normal 9 7" xfId="3146"/>
    <cellStyle name="Normal 9_2.BOQ-Civil &amp; Structural Works" xfId="3147"/>
    <cellStyle name="Normal a" xfId="3148"/>
    <cellStyle name="Normal a 2" xfId="3149"/>
    <cellStyle name="Normal Bold" xfId="3150"/>
    <cellStyle name="Normal Pct" xfId="3151"/>
    <cellStyle name="Normal Tiger" xfId="3152"/>
    <cellStyle name="Normal$" xfId="3153"/>
    <cellStyle name="Normal$ 2" xfId="3154"/>
    <cellStyle name="Normal_boq" xfId="6"/>
    <cellStyle name="Normal_RA 01 23-12-13" xfId="3155"/>
    <cellStyle name="normal0" xfId="3156"/>
    <cellStyle name="Normal1" xfId="3157"/>
    <cellStyle name="Normal1 2" xfId="3158"/>
    <cellStyle name="normal1$" xfId="3159"/>
    <cellStyle name="normal1$ 2" xfId="3160"/>
    <cellStyle name="normal12" xfId="3161"/>
    <cellStyle name="normal1R" xfId="3162"/>
    <cellStyle name="normal1R 2" xfId="3163"/>
    <cellStyle name="normal2" xfId="3164"/>
    <cellStyle name="Normale_Astelit bp fix" xfId="3165"/>
    <cellStyle name="NormalMultiple" xfId="3166"/>
    <cellStyle name="NormalR" xfId="3167"/>
    <cellStyle name="NormalR 2" xfId="3168"/>
    <cellStyle name="NormalRed" xfId="3169"/>
    <cellStyle name="Normalx" xfId="3170"/>
    <cellStyle name="NormalxShadow" xfId="3171"/>
    <cellStyle name="Note 2" xfId="3172"/>
    <cellStyle name="Note 2 2" xfId="3173"/>
    <cellStyle name="Note 2 2 2" xfId="3174"/>
    <cellStyle name="Note 2 3" xfId="3175"/>
    <cellStyle name="Note 2_Sez_Boq_Superstructure part-FORMATED" xfId="3176"/>
    <cellStyle name="Note 3" xfId="3177"/>
    <cellStyle name="Note 3 2" xfId="3178"/>
    <cellStyle name="Note 3 2 2" xfId="3179"/>
    <cellStyle name="Note 3 3" xfId="3180"/>
    <cellStyle name="Note 3_Sez_Boq_Superstructure part-FORMATED" xfId="3181"/>
    <cellStyle name="Note 4" xfId="3182"/>
    <cellStyle name="Note 4 2" xfId="3183"/>
    <cellStyle name="Note 5" xfId="3184"/>
    <cellStyle name="Note 5 2" xfId="3185"/>
    <cellStyle name="Note 6" xfId="3186"/>
    <cellStyle name="Note 7" xfId="3187"/>
    <cellStyle name="Note 8" xfId="3188"/>
    <cellStyle name="NPPESalesPct" xfId="3189"/>
    <cellStyle name="Nr" xfId="3190"/>
    <cellStyle name="Nr 2" xfId="3191"/>
    <cellStyle name="Nr 3" xfId="3192"/>
    <cellStyle name="Nr 4" xfId="3193"/>
    <cellStyle name="Nr 5" xfId="3194"/>
    <cellStyle name="Nr 6" xfId="3195"/>
    <cellStyle name="NWI%S" xfId="3196"/>
    <cellStyle name="o" xfId="3197"/>
    <cellStyle name="o 2" xfId="3198"/>
    <cellStyle name="o_Assumption sheet Elegance (2)" xfId="3199"/>
    <cellStyle name="o_Assumption sheet Elegance (2) 2" xfId="3200"/>
    <cellStyle name="o_Assumption sheet Elegance (9 May 05)" xfId="3201"/>
    <cellStyle name="o_Assumption sheet Elegance (9 May 05) 2" xfId="3202"/>
    <cellStyle name="o_BEA Merger Analysis Nov 20" xfId="3203"/>
    <cellStyle name="o_BEA Merger Analysis Nov 20_Cinderella Model v1" xfId="3204"/>
    <cellStyle name="o_BEA Merger Analysis Nov 20_Cinderella Model v1May 29" xfId="3205"/>
    <cellStyle name="o_BEA Merger Analysis Nov 20_Cinderella Model v8" xfId="3206"/>
    <cellStyle name="o_BEA Merger Analysis Nov 20_Cinderella Model v9_ML number" xfId="3207"/>
    <cellStyle name="o_BEA Merger Analysis Nov 20_Gazelle DDM May-15-2003" xfId="3208"/>
    <cellStyle name="o_Elegance Valuation Model (Aug 25 05) v7JM" xfId="3209"/>
    <cellStyle name="o_Elegance Valuation Model (Aug 25 05) v7JM 2" xfId="3210"/>
    <cellStyle name="o_Elegance Valuation Model (July 12 05) v4" xfId="3211"/>
    <cellStyle name="o_Elegance Valuation Model (July 12 05) v4 2" xfId="3212"/>
    <cellStyle name="o_Elegance Valuation Model (July 4 05) v3b" xfId="3213"/>
    <cellStyle name="o_Elegance Valuation Model (July 4 05) v3b 2" xfId="3214"/>
    <cellStyle name="o_Elegance Valuation Model (July 5 05) v3ee" xfId="3215"/>
    <cellStyle name="o_Elegance Valuation Model (July 5 05) v3ee 2" xfId="3216"/>
    <cellStyle name="o_Project Forecast - 2005-06-01 (With LAT)" xfId="3217"/>
    <cellStyle name="o_Project Forecast - 2005-06-01 (With LAT) 2" xfId="3218"/>
    <cellStyle name="o_Project Forecast - 2005-06-25 (With LAT)" xfId="3219"/>
    <cellStyle name="o_Project Forecast - 2005-06-25 (With LAT) 2" xfId="3220"/>
    <cellStyle name="Œ…‹æØ‚è [0.00]_CF(5yrs)" xfId="3221"/>
    <cellStyle name="oo" xfId="3222"/>
    <cellStyle name="OrdinaryNo" xfId="3223"/>
    <cellStyle name="Output 2" xfId="3224"/>
    <cellStyle name="Output 2 2" xfId="3225"/>
    <cellStyle name="Output 2 2 2" xfId="3226"/>
    <cellStyle name="Output 2 3" xfId="3227"/>
    <cellStyle name="Output 2_Sez_Boq_Superstructure part-FORMATED" xfId="3228"/>
    <cellStyle name="Output 3" xfId="3229"/>
    <cellStyle name="Output 3 2" xfId="3230"/>
    <cellStyle name="Output 3 2 2" xfId="3231"/>
    <cellStyle name="Output 3 3" xfId="3232"/>
    <cellStyle name="Output 3_Sez_Boq_Superstructure part-FORMATED" xfId="3233"/>
    <cellStyle name="Output 4" xfId="3234"/>
    <cellStyle name="Output 4 2" xfId="3235"/>
    <cellStyle name="Output 5" xfId="3236"/>
    <cellStyle name="Output 5 2" xfId="3237"/>
    <cellStyle name="Output 6" xfId="3238"/>
    <cellStyle name="Output 7" xfId="3239"/>
    <cellStyle name="Output 8" xfId="3240"/>
    <cellStyle name="p" xfId="3241"/>
    <cellStyle name="Page Number" xfId="3242"/>
    <cellStyle name="paint" xfId="3243"/>
    <cellStyle name="Patterna" xfId="3244"/>
    <cellStyle name="Patterna 2" xfId="3245"/>
    <cellStyle name="pd" xfId="3246"/>
    <cellStyle name="Percent [0]" xfId="3247"/>
    <cellStyle name="Percent [00]" xfId="3248"/>
    <cellStyle name="Percent [00] 2" xfId="3249"/>
    <cellStyle name="Percent [00] 2 2" xfId="3250"/>
    <cellStyle name="Percent [00] 3" xfId="3251"/>
    <cellStyle name="Percent [1]" xfId="3252"/>
    <cellStyle name="Percent [1] --" xfId="3253"/>
    <cellStyle name="Percent [1]_GoldenAutumn 0830" xfId="3254"/>
    <cellStyle name="Percent [2]" xfId="3255"/>
    <cellStyle name="Percent [2] 2" xfId="3256"/>
    <cellStyle name="Percent [2] 2 2" xfId="3257"/>
    <cellStyle name="Percent [2] 3" xfId="3258"/>
    <cellStyle name="Percent [2] 4" xfId="3259"/>
    <cellStyle name="Percent [2] 5" xfId="3260"/>
    <cellStyle name="Percent [2] 6" xfId="3261"/>
    <cellStyle name="Percent [2]_FINAL-DE-RGIPT-12.02.2010-WITH RA MKT-1 April-A-Dt.27-01-11" xfId="3262"/>
    <cellStyle name="Percent [3]" xfId="3263"/>
    <cellStyle name="Percent [3]--" xfId="3264"/>
    <cellStyle name="Percent [3] 2" xfId="3265"/>
    <cellStyle name="Percent [3] 3" xfId="3266"/>
    <cellStyle name="Percent [3] 4" xfId="3267"/>
    <cellStyle name="Percent [3] 5" xfId="3268"/>
    <cellStyle name="Percent [3]_Airport Road 24 July 2006 V4.0" xfId="3269"/>
    <cellStyle name="Percent 10" xfId="3270"/>
    <cellStyle name="Percent 10 2" xfId="3271"/>
    <cellStyle name="Percent 11" xfId="3272"/>
    <cellStyle name="Percent 11 2" xfId="3273"/>
    <cellStyle name="Percent 12" xfId="3274"/>
    <cellStyle name="Percent 12 2" xfId="3275"/>
    <cellStyle name="Percent 13" xfId="3276"/>
    <cellStyle name="Percent 13 2" xfId="3277"/>
    <cellStyle name="Percent 14" xfId="3278"/>
    <cellStyle name="Percent 15" xfId="3279"/>
    <cellStyle name="Percent 16" xfId="3280"/>
    <cellStyle name="Percent 17" xfId="3281"/>
    <cellStyle name="Percent 18" xfId="3282"/>
    <cellStyle name="Percent 19" xfId="3283"/>
    <cellStyle name="Percent 2" xfId="39"/>
    <cellStyle name="Percent 2 2" xfId="40"/>
    <cellStyle name="Percent 2 2 2" xfId="3284"/>
    <cellStyle name="Percent 2 2 2 2" xfId="3285"/>
    <cellStyle name="Percent 2 2 2 2 2" xfId="3286"/>
    <cellStyle name="Percent 2 2 2 3" xfId="3287"/>
    <cellStyle name="Percent 2 2 3" xfId="3288"/>
    <cellStyle name="Percent 2 2 3 2" xfId="3289"/>
    <cellStyle name="Percent 2 3" xfId="42"/>
    <cellStyle name="Percent 2 3 2" xfId="3290"/>
    <cellStyle name="Percent 2 3 2 2" xfId="3291"/>
    <cellStyle name="Percent 2 3 2 2 2" xfId="3292"/>
    <cellStyle name="Percent 2 3 2 3" xfId="3293"/>
    <cellStyle name="Percent 2 3 3" xfId="3294"/>
    <cellStyle name="Percent 2 3 3 2" xfId="3295"/>
    <cellStyle name="Percent 2 3 4" xfId="3296"/>
    <cellStyle name="Percent 2 4" xfId="3297"/>
    <cellStyle name="Percent 2 4 2" xfId="3298"/>
    <cellStyle name="Percent 2 4 2 2" xfId="3299"/>
    <cellStyle name="Percent 2 4 3" xfId="3300"/>
    <cellStyle name="Percent 2 5" xfId="3301"/>
    <cellStyle name="Percent 2 5 2" xfId="3302"/>
    <cellStyle name="Percent 2 6" xfId="3303"/>
    <cellStyle name="Percent 2 6 2" xfId="3304"/>
    <cellStyle name="Percent 2 7" xfId="3305"/>
    <cellStyle name="Percent 20" xfId="3306"/>
    <cellStyle name="Percent 21" xfId="3307"/>
    <cellStyle name="Percent 22" xfId="3308"/>
    <cellStyle name="Percent 23" xfId="3309"/>
    <cellStyle name="Percent 24" xfId="3310"/>
    <cellStyle name="Percent 25" xfId="3311"/>
    <cellStyle name="Percent 26" xfId="3312"/>
    <cellStyle name="Percent 27" xfId="3313"/>
    <cellStyle name="Percent 28" xfId="3314"/>
    <cellStyle name="Percent 29" xfId="3315"/>
    <cellStyle name="Percent 3" xfId="3316"/>
    <cellStyle name="Percent 3 2" xfId="3317"/>
    <cellStyle name="Percent 3 2 2" xfId="3318"/>
    <cellStyle name="Percent 3 3" xfId="3319"/>
    <cellStyle name="Percent 30" xfId="3320"/>
    <cellStyle name="Percent 31" xfId="3321"/>
    <cellStyle name="Percent 32" xfId="3322"/>
    <cellStyle name="Percent 33" xfId="3323"/>
    <cellStyle name="Percent 34" xfId="3324"/>
    <cellStyle name="Percent 35" xfId="3325"/>
    <cellStyle name="Percent 36" xfId="3326"/>
    <cellStyle name="Percent 37" xfId="3327"/>
    <cellStyle name="Percent 4" xfId="3328"/>
    <cellStyle name="Percent 4 2" xfId="3329"/>
    <cellStyle name="Percent 4 2 2" xfId="3330"/>
    <cellStyle name="Percent 4 3" xfId="3331"/>
    <cellStyle name="Percent 5" xfId="3332"/>
    <cellStyle name="Percent 5 2" xfId="3333"/>
    <cellStyle name="Percent 5 2 2" xfId="3334"/>
    <cellStyle name="Percent 6" xfId="3335"/>
    <cellStyle name="Percent 6 2" xfId="3336"/>
    <cellStyle name="Percent 7" xfId="3337"/>
    <cellStyle name="Percent 7 2" xfId="3338"/>
    <cellStyle name="Percent 8" xfId="3339"/>
    <cellStyle name="Percent 8 2" xfId="3340"/>
    <cellStyle name="Percent 8 2 2" xfId="3341"/>
    <cellStyle name="Percent 8 3" xfId="3342"/>
    <cellStyle name="Percent 9" xfId="3343"/>
    <cellStyle name="Percent 9 2" xfId="3344"/>
    <cellStyle name="Percent.0" xfId="3345"/>
    <cellStyle name="Percent.0 2" xfId="3346"/>
    <cellStyle name="Percent.00" xfId="3347"/>
    <cellStyle name="Percent.00 2" xfId="3348"/>
    <cellStyle name="Percent1" xfId="3349"/>
    <cellStyle name="PERCENTAGE" xfId="3350"/>
    <cellStyle name="percentr" xfId="3351"/>
    <cellStyle name="PercentSales" xfId="3352"/>
    <cellStyle name="percnet" xfId="3353"/>
    <cellStyle name="pf" xfId="3354"/>
    <cellStyle name="Pf / kWh" xfId="3355"/>
    <cellStyle name="Poneet Standard" xfId="3356"/>
    <cellStyle name="Popis" xfId="3357"/>
    <cellStyle name="pound" xfId="3358"/>
    <cellStyle name="pound 2" xfId="3359"/>
    <cellStyle name="Pourcentage_PLDT" xfId="3360"/>
    <cellStyle name="pp" xfId="3361"/>
    <cellStyle name="ppp" xfId="3362"/>
    <cellStyle name="PrePop Currency (0)" xfId="3363"/>
    <cellStyle name="PrePop Currency (0) 2" xfId="3364"/>
    <cellStyle name="PrePop Currency (0) 2 2" xfId="3365"/>
    <cellStyle name="PrePop Currency (0) 3" xfId="3366"/>
    <cellStyle name="PrePop Currency (2)" xfId="3367"/>
    <cellStyle name="PrePop Units (0)" xfId="3368"/>
    <cellStyle name="PrePop Units (0) 2" xfId="3369"/>
    <cellStyle name="PrePop Units (0) 2 2" xfId="3370"/>
    <cellStyle name="PrePop Units (0) 3" xfId="3371"/>
    <cellStyle name="PrePop Units (1)" xfId="3372"/>
    <cellStyle name="PrePop Units (1) 2" xfId="3373"/>
    <cellStyle name="PrePop Units (1) 2 2" xfId="3374"/>
    <cellStyle name="PrePop Units (1) 3" xfId="3375"/>
    <cellStyle name="PrePop Units (2)" xfId="3376"/>
    <cellStyle name="Proj" xfId="3377"/>
    <cellStyle name="PROJECT" xfId="3378"/>
    <cellStyle name="PROJECT R" xfId="3379"/>
    <cellStyle name="Projections" xfId="3380"/>
    <cellStyle name="Projections;0" xfId="3381"/>
    <cellStyle name="Projections;C" xfId="3382"/>
    <cellStyle name="Projections_artek98" xfId="3383"/>
    <cellStyle name="ProjRevenue" xfId="3384"/>
    <cellStyle name="ProjRevenue 2" xfId="3385"/>
    <cellStyle name="ProjRevenue.total" xfId="3386"/>
    <cellStyle name="ProjRevenue.total 2" xfId="3387"/>
    <cellStyle name="PSChar" xfId="3388"/>
    <cellStyle name="PSDate" xfId="3389"/>
    <cellStyle name="PSDec" xfId="3390"/>
    <cellStyle name="PSHeading" xfId="3391"/>
    <cellStyle name="PSInt" xfId="3392"/>
    <cellStyle name="PSSpacer" xfId="3393"/>
    <cellStyle name="r" xfId="3394"/>
    <cellStyle name="Rate" xfId="3395"/>
    <cellStyle name="RateBold" xfId="3396"/>
    <cellStyle name="Ratios" xfId="3397"/>
    <cellStyle name="Red" xfId="3398"/>
    <cellStyle name="Red font" xfId="3399"/>
    <cellStyle name="RED POSTED" xfId="3400"/>
    <cellStyle name="Red Text" xfId="3401"/>
    <cellStyle name="Red Text 2" xfId="3402"/>
    <cellStyle name="Reset  - Style7" xfId="3403"/>
    <cellStyle name="Result" xfId="3404"/>
    <cellStyle name="Result2" xfId="3405"/>
    <cellStyle name="RevList" xfId="3406"/>
    <cellStyle name="s" xfId="3407"/>
    <cellStyle name="s 2" xfId="3408"/>
    <cellStyle name="s_Cinderella Model v1" xfId="3409"/>
    <cellStyle name="s_Cinderella Model v1 2" xfId="3410"/>
    <cellStyle name="s_Cinderella Model v1May 29" xfId="3411"/>
    <cellStyle name="s_Cinderella Model v1May 29 2" xfId="3412"/>
    <cellStyle name="s_Cinderella Model v8" xfId="3413"/>
    <cellStyle name="s_Cinderella Model v8 2" xfId="3414"/>
    <cellStyle name="s_Cinderella Model v9_ML number" xfId="3415"/>
    <cellStyle name="s_Cinderella Model v9_ML number 2" xfId="3416"/>
    <cellStyle name="s_Gazelle DDM May-15-2003" xfId="3417"/>
    <cellStyle name="s_Gazelle DDM May-15-2003 2" xfId="3418"/>
    <cellStyle name="SAPBEXHLevel1" xfId="3419"/>
    <cellStyle name="SAPBEXHLevel1 2" xfId="3420"/>
    <cellStyle name="SAPBEXstdData" xfId="3421"/>
    <cellStyle name="SAPBEXstdData 2" xfId="3422"/>
    <cellStyle name="sbt2" xfId="3423"/>
    <cellStyle name="sbt2 2" xfId="3424"/>
    <cellStyle name="sd" xfId="3425"/>
    <cellStyle name="sebi" xfId="3426"/>
    <cellStyle name="Section Title" xfId="3427"/>
    <cellStyle name="sf" xfId="3428"/>
    <cellStyle name="sff" xfId="3429"/>
    <cellStyle name="Shares" xfId="3430"/>
    <cellStyle name="Sheet Title" xfId="3431"/>
    <cellStyle name="Sledovaný hypertextový odkaz" xfId="3432"/>
    <cellStyle name="Sledovaný hypertextový odkaz 2" xfId="3433"/>
    <cellStyle name="Sledovaný hypertextový odkaz 3" xfId="3434"/>
    <cellStyle name="Sledovaný hypertextový odkaz 4" xfId="3435"/>
    <cellStyle name="Sledovaný hypertextový odkaz 5" xfId="3436"/>
    <cellStyle name="Sledovaný hypertextový odkaz 6" xfId="3437"/>
    <cellStyle name="Sledovaný hypertextový odkaz_Cost_appraisal_Aliens_FPS" xfId="3438"/>
    <cellStyle name="Special%" xfId="3439"/>
    <cellStyle name="Special% 2" xfId="3440"/>
    <cellStyle name="ss" xfId="3441"/>
    <cellStyle name="st" xfId="3442"/>
    <cellStyle name="Standard_aktuell" xfId="3443"/>
    <cellStyle name="Static Cell" xfId="3444"/>
    <cellStyle name="Style 1" xfId="8"/>
    <cellStyle name="Style 1 2" xfId="3445"/>
    <cellStyle name="Style 1_DRAFT-EST-CIVIL-10.12.09" xfId="3446"/>
    <cellStyle name="Style 2" xfId="3447"/>
    <cellStyle name="Style 21" xfId="3448"/>
    <cellStyle name="Style 21 2" xfId="3449"/>
    <cellStyle name="Style 22" xfId="3450"/>
    <cellStyle name="Style 22 2" xfId="3451"/>
    <cellStyle name="Style 23" xfId="3452"/>
    <cellStyle name="Style 23 2" xfId="3453"/>
    <cellStyle name="Style 24" xfId="3454"/>
    <cellStyle name="Style 25" xfId="3455"/>
    <cellStyle name="Style 26" xfId="3456"/>
    <cellStyle name="Style 27" xfId="3457"/>
    <cellStyle name="Style 28" xfId="3458"/>
    <cellStyle name="Style 28 2" xfId="3459"/>
    <cellStyle name="Style 29" xfId="3460"/>
    <cellStyle name="Style 29 2" xfId="3461"/>
    <cellStyle name="Style 3" xfId="3462"/>
    <cellStyle name="Style 30" xfId="3463"/>
    <cellStyle name="Style 31" xfId="3464"/>
    <cellStyle name="Style 4" xfId="3465"/>
    <cellStyle name="Style 5" xfId="3466"/>
    <cellStyle name="Style 6" xfId="3467"/>
    <cellStyle name="SubDescription" xfId="3468"/>
    <cellStyle name="subhead" xfId="3469"/>
    <cellStyle name="subt1" xfId="3470"/>
    <cellStyle name="Subtitle" xfId="3471"/>
    <cellStyle name="Subtotal" xfId="3472"/>
    <cellStyle name="sum" xfId="3473"/>
    <cellStyle name="sum8" xfId="3474"/>
    <cellStyle name="Summary_back" xfId="3475"/>
    <cellStyle name="t" xfId="3476"/>
    <cellStyle name="t_Cinderella Model v1" xfId="3477"/>
    <cellStyle name="t_Cinderella Model v1May 29" xfId="3478"/>
    <cellStyle name="t_Cinderella Model v8" xfId="3479"/>
    <cellStyle name="t_Cinderella Model v9_ML number" xfId="3480"/>
    <cellStyle name="t_Gazelle DDM May-15-2003" xfId="3481"/>
    <cellStyle name="t1" xfId="3482"/>
    <cellStyle name="Table  - Style6" xfId="3483"/>
    <cellStyle name="Table  - Style6 2" xfId="3484"/>
    <cellStyle name="Table Head" xfId="3485"/>
    <cellStyle name="Table Head 2" xfId="3486"/>
    <cellStyle name="Table Source" xfId="3487"/>
    <cellStyle name="Table Sub Head" xfId="3488"/>
    <cellStyle name="Table Text" xfId="3489"/>
    <cellStyle name="Table Title" xfId="3490"/>
    <cellStyle name="Table Units" xfId="3491"/>
    <cellStyle name="TableStyleLight1" xfId="3492"/>
    <cellStyle name="TableStyleLight1 2" xfId="3493"/>
    <cellStyle name="TableStyleLight1 2 2" xfId="3494"/>
    <cellStyle name="TableStyleLight1 3" xfId="3495"/>
    <cellStyle name="tear" xfId="3496"/>
    <cellStyle name="tear 2" xfId="3497"/>
    <cellStyle name="Text" xfId="3498"/>
    <cellStyle name="Text [Bullet]" xfId="3499"/>
    <cellStyle name="Text [Dash]" xfId="3500"/>
    <cellStyle name="Text [Em-Dash]" xfId="3501"/>
    <cellStyle name="Text 1" xfId="3502"/>
    <cellStyle name="Text 1 2" xfId="3503"/>
    <cellStyle name="Text 2" xfId="3504"/>
    <cellStyle name="Text 2 2" xfId="3505"/>
    <cellStyle name="Text bold" xfId="3506"/>
    <cellStyle name="Text Head 1" xfId="3507"/>
    <cellStyle name="Text Head 1 2" xfId="3508"/>
    <cellStyle name="Text Head 2" xfId="3509"/>
    <cellStyle name="Text Head 2 2" xfId="3510"/>
    <cellStyle name="Text Indent 1" xfId="3511"/>
    <cellStyle name="Text Indent 1 2" xfId="3512"/>
    <cellStyle name="Text Indent 2" xfId="3513"/>
    <cellStyle name="Text Indent 2 2" xfId="3514"/>
    <cellStyle name="Text Indent A" xfId="3515"/>
    <cellStyle name="Text Indent B" xfId="3516"/>
    <cellStyle name="Text Indent B 2" xfId="3517"/>
    <cellStyle name="Text Indent B 2 2" xfId="3518"/>
    <cellStyle name="Text Indent B 3" xfId="3519"/>
    <cellStyle name="Text Indent C" xfId="3520"/>
    <cellStyle name="Text Indent C 2" xfId="3521"/>
    <cellStyle name="Text Indent C 2 2" xfId="3522"/>
    <cellStyle name="Text Indent C 3" xfId="3523"/>
    <cellStyle name="Text_ESTIMATE-29.03.12" xfId="3524"/>
    <cellStyle name="TFCF" xfId="3525"/>
    <cellStyle name="thousands" xfId="3526"/>
    <cellStyle name="threedec" xfId="3527"/>
    <cellStyle name="Times" xfId="3528"/>
    <cellStyle name="Times [1]" xfId="3529"/>
    <cellStyle name="Times [2]" xfId="3530"/>
    <cellStyle name="Times New Roman" xfId="3531"/>
    <cellStyle name="Title  - Style1" xfId="3532"/>
    <cellStyle name="Title - Style4" xfId="3533"/>
    <cellStyle name="Title 2" xfId="3534"/>
    <cellStyle name="Title 2 2" xfId="3535"/>
    <cellStyle name="Title 3" xfId="3536"/>
    <cellStyle name="Title 3 2" xfId="3537"/>
    <cellStyle name="Title 4" xfId="3538"/>
    <cellStyle name="Title 5" xfId="3539"/>
    <cellStyle name="Title 6" xfId="3540"/>
    <cellStyle name="Title 7" xfId="3541"/>
    <cellStyle name="Title 8" xfId="3542"/>
    <cellStyle name="Title Row" xfId="3543"/>
    <cellStyle name="Title1" xfId="3544"/>
    <cellStyle name="Title2" xfId="3545"/>
    <cellStyle name="Title3" xfId="3546"/>
    <cellStyle name="Titre 1" xfId="3547"/>
    <cellStyle name="titre_col" xfId="3548"/>
    <cellStyle name="TmsRmn10BlueItalic" xfId="3549"/>
    <cellStyle name="TmsRmn10Bold" xfId="3550"/>
    <cellStyle name="TOC 1" xfId="3551"/>
    <cellStyle name="TOC 1 2" xfId="3552"/>
    <cellStyle name="TOC 2" xfId="3553"/>
    <cellStyle name="TOC 2 2" xfId="3554"/>
    <cellStyle name="TopGrey" xfId="3555"/>
    <cellStyle name="Total 2" xfId="3556"/>
    <cellStyle name="Total 2 2" xfId="3557"/>
    <cellStyle name="Total 2 2 2" xfId="3558"/>
    <cellStyle name="Total 2 3" xfId="3559"/>
    <cellStyle name="Total 2_TCS-BUDGET format (Spectral)29 12 11 (2)" xfId="3560"/>
    <cellStyle name="Total 3" xfId="3561"/>
    <cellStyle name="Total 3 2" xfId="3562"/>
    <cellStyle name="Total 3 2 2" xfId="3563"/>
    <cellStyle name="Total 3 3" xfId="3564"/>
    <cellStyle name="Total 3_TCS-BUDGET format (Spectral)29 12 11 (2)" xfId="3565"/>
    <cellStyle name="Total 4" xfId="3566"/>
    <cellStyle name="Total 4 2" xfId="3567"/>
    <cellStyle name="Total 5" xfId="3568"/>
    <cellStyle name="Total 5 2" xfId="3569"/>
    <cellStyle name="Total 6" xfId="3570"/>
    <cellStyle name="Total 7" xfId="3571"/>
    <cellStyle name="Total 8" xfId="3572"/>
    <cellStyle name="totalbold" xfId="3573"/>
    <cellStyle name="Totals" xfId="3574"/>
    <cellStyle name="TotCol - Style5" xfId="3575"/>
    <cellStyle name="TotRow - Style4" xfId="3576"/>
    <cellStyle name="TotRow - Style4 2" xfId="3577"/>
    <cellStyle name="tt" xfId="3578"/>
    <cellStyle name="Tusental (0)_pldt" xfId="3579"/>
    <cellStyle name="Tusental_pldt" xfId="3580"/>
    <cellStyle name="u" xfId="3581"/>
    <cellStyle name="ultant" xfId="3582"/>
    <cellStyle name="ultant 2" xfId="3583"/>
    <cellStyle name="Underl - Style1" xfId="3584"/>
    <cellStyle name="uni" xfId="3585"/>
    <cellStyle name="Unit" xfId="3586"/>
    <cellStyle name="v" xfId="3587"/>
    <cellStyle name="v 2" xfId="3588"/>
    <cellStyle name="v 2 2" xfId="3589"/>
    <cellStyle name="v 3" xfId="3590"/>
    <cellStyle name="v_APPENDIX-1-29-04-09" xfId="3591"/>
    <cellStyle name="v_exclusio-list" xfId="3592"/>
    <cellStyle name="Valuta (0)_Customer" xfId="3593"/>
    <cellStyle name="Valuta_cross border" xfId="3594"/>
    <cellStyle name="vil" xfId="3595"/>
    <cellStyle name="vil 2" xfId="3596"/>
    <cellStyle name="w" xfId="3597"/>
    <cellStyle name="Währung [0]_Compiling Utility Macros" xfId="3598"/>
    <cellStyle name="Währung_Compiling Utility Macros" xfId="3599"/>
    <cellStyle name="Warning Text 2" xfId="3600"/>
    <cellStyle name="Warning Text 2 2" xfId="3601"/>
    <cellStyle name="Warning Text 3" xfId="3602"/>
    <cellStyle name="Warning Text 3 2" xfId="3603"/>
    <cellStyle name="Warning Text 4" xfId="3604"/>
    <cellStyle name="Warning Text 5" xfId="3605"/>
    <cellStyle name="Warning Text 6" xfId="3606"/>
    <cellStyle name="Warning Text 7" xfId="3607"/>
    <cellStyle name="Warning Text 8" xfId="3608"/>
    <cellStyle name="WP" xfId="3609"/>
    <cellStyle name="x Men" xfId="3610"/>
    <cellStyle name="YEAR" xfId="3611"/>
    <cellStyle name="YEAR 2" xfId="3612"/>
    <cellStyle name="Yellow" xfId="3613"/>
    <cellStyle name="Yellow 2" xfId="3614"/>
    <cellStyle name="Yera" xfId="3615"/>
    <cellStyle name="YesNo" xfId="3616"/>
    <cellStyle name="YesNo 2" xfId="3617"/>
    <cellStyle name="yh" xfId="3618"/>
    <cellStyle name="yt" xfId="3619"/>
    <cellStyle name="z" xfId="3620"/>
    <cellStyle name="z_Cinderella Model v1" xfId="3621"/>
    <cellStyle name="z_Cinderella Model v1May 29" xfId="3622"/>
    <cellStyle name="z_Cinderella Model v8" xfId="3623"/>
    <cellStyle name="z_Cinderella Model v9_ML number" xfId="3624"/>
    <cellStyle name="z_Gazelle DDM May-15-2003" xfId="3625"/>
    <cellStyle name="ハイパーリンク_勘定科目明細書" xfId="3626"/>
    <cellStyle name="똿뗦먛귟 [0.00]_PRODUCT DETAIL Q1" xfId="3627"/>
    <cellStyle name="똿뗦먛귟_PRODUCT DETAIL Q1" xfId="3628"/>
    <cellStyle name="믅됞 [0.00]_PRODUCT DETAIL Q1" xfId="3629"/>
    <cellStyle name="믅됞_PRODUCT DETAIL Q1" xfId="3630"/>
    <cellStyle name="백분율_HOBONG" xfId="3631"/>
    <cellStyle name="뷭?_BOOKSHIP" xfId="3632"/>
    <cellStyle name="쉼표 [0]_ML_Maintenance_Quo_060628" xfId="3633"/>
    <cellStyle name="콤마 [0]_1202" xfId="3634"/>
    <cellStyle name="콤마_1202" xfId="3635"/>
    <cellStyle name="통화 [0]_1202" xfId="3636"/>
    <cellStyle name="통화_1202" xfId="3637"/>
    <cellStyle name="표준_(정보부문)월별인원계획" xfId="3638"/>
    <cellStyle name="一般_2005銷售預測-財務預測" xfId="3639"/>
    <cellStyle name="千位[0]_财务费 " xfId="3640"/>
    <cellStyle name="千位_财务费 " xfId="3641"/>
    <cellStyle name="千位分隔_GZCCD_AppexB_PUD报出2003上半年在建项目(update)" xfId="3642"/>
    <cellStyle name="千分位[0]_Sheet2 (2)" xfId="3643"/>
    <cellStyle name="千分位_2005銷售預測-財務預測" xfId="3644"/>
    <cellStyle name="常规_geotextile cost" xfId="3645"/>
    <cellStyle name="普通_BHBGT-96" xfId="3646"/>
    <cellStyle name="桁区切り [0.00]_0098 China Embassy AQ Summary" xfId="3647"/>
    <cellStyle name="桁区切り_0098 China Embassy AQ Summary" xfId="3648"/>
    <cellStyle name="標準_0098 China Embassy AQ Summary" xfId="3649"/>
    <cellStyle name="通貨 [0.00]_0098 China Embassy AQ Summary" xfId="3650"/>
    <cellStyle name="通貨_0098 China Embassy AQ Summary" xfId="3651"/>
  </cellStyles>
  <dxfs count="14">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84" Type="http://schemas.openxmlformats.org/officeDocument/2006/relationships/externalLink" Target="externalLinks/externalLink73.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6" Type="http://schemas.openxmlformats.org/officeDocument/2006/relationships/externalLink" Target="externalLinks/externalLink5.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56" Type="http://schemas.openxmlformats.org/officeDocument/2006/relationships/externalLink" Target="externalLinks/externalLink45.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13" Type="http://schemas.openxmlformats.org/officeDocument/2006/relationships/externalLink" Target="externalLinks/externalLink102.xml"/><Relationship Id="rId118" Type="http://schemas.openxmlformats.org/officeDocument/2006/relationships/externalLink" Target="externalLinks/externalLink107.xml"/><Relationship Id="rId126" Type="http://schemas.openxmlformats.org/officeDocument/2006/relationships/externalLink" Target="externalLinks/externalLink115.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59" Type="http://schemas.openxmlformats.org/officeDocument/2006/relationships/externalLink" Target="externalLinks/externalLink48.xml"/><Relationship Id="rId67" Type="http://schemas.openxmlformats.org/officeDocument/2006/relationships/externalLink" Target="externalLinks/externalLink56.xml"/><Relationship Id="rId103" Type="http://schemas.openxmlformats.org/officeDocument/2006/relationships/externalLink" Target="externalLinks/externalLink92.xml"/><Relationship Id="rId108" Type="http://schemas.openxmlformats.org/officeDocument/2006/relationships/externalLink" Target="externalLinks/externalLink97.xml"/><Relationship Id="rId116" Type="http://schemas.openxmlformats.org/officeDocument/2006/relationships/externalLink" Target="externalLinks/externalLink105.xml"/><Relationship Id="rId124" Type="http://schemas.openxmlformats.org/officeDocument/2006/relationships/externalLink" Target="externalLinks/externalLink113.xml"/><Relationship Id="rId129" Type="http://schemas.openxmlformats.org/officeDocument/2006/relationships/sharedStrings" Target="sharedStrings.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54" Type="http://schemas.openxmlformats.org/officeDocument/2006/relationships/externalLink" Target="externalLinks/externalLink43.xml"/><Relationship Id="rId62" Type="http://schemas.openxmlformats.org/officeDocument/2006/relationships/externalLink" Target="externalLinks/externalLink51.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11" Type="http://schemas.openxmlformats.org/officeDocument/2006/relationships/externalLink" Target="externalLinks/externalLink10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14" Type="http://schemas.openxmlformats.org/officeDocument/2006/relationships/externalLink" Target="externalLinks/externalLink103.xml"/><Relationship Id="rId119" Type="http://schemas.openxmlformats.org/officeDocument/2006/relationships/externalLink" Target="externalLinks/externalLink108.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3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10583</xdr:colOff>
      <xdr:row>0</xdr:row>
      <xdr:rowOff>10583</xdr:rowOff>
    </xdr:from>
    <xdr:to>
      <xdr:col>1</xdr:col>
      <xdr:colOff>0</xdr:colOff>
      <xdr:row>2</xdr:row>
      <xdr:rowOff>10583</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10583" y="10583"/>
          <a:ext cx="1026584" cy="8572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40821</xdr:rowOff>
    </xdr:from>
    <xdr:to>
      <xdr:col>0</xdr:col>
      <xdr:colOff>1115786</xdr:colOff>
      <xdr:row>2</xdr:row>
      <xdr:rowOff>0</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0" y="40821"/>
          <a:ext cx="1115786" cy="74839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147411</xdr:colOff>
      <xdr:row>0</xdr:row>
      <xdr:rowOff>49893</xdr:rowOff>
    </xdr:from>
    <xdr:to>
      <xdr:col>0</xdr:col>
      <xdr:colOff>556986</xdr:colOff>
      <xdr:row>1</xdr:row>
      <xdr:rowOff>187779</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147411" y="49893"/>
          <a:ext cx="409575" cy="410029"/>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27214</xdr:colOff>
      <xdr:row>0</xdr:row>
      <xdr:rowOff>5669</xdr:rowOff>
    </xdr:from>
    <xdr:to>
      <xdr:col>0</xdr:col>
      <xdr:colOff>1143000</xdr:colOff>
      <xdr:row>1</xdr:row>
      <xdr:rowOff>721178</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27214" y="5669"/>
          <a:ext cx="1115786" cy="987652"/>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176326</xdr:colOff>
      <xdr:row>0</xdr:row>
      <xdr:rowOff>5670</xdr:rowOff>
    </xdr:from>
    <xdr:to>
      <xdr:col>0</xdr:col>
      <xdr:colOff>707571</xdr:colOff>
      <xdr:row>1</xdr:row>
      <xdr:rowOff>216477</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176326" y="5670"/>
          <a:ext cx="531245" cy="4829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2559846</xdr:colOff>
      <xdr:row>0</xdr:row>
      <xdr:rowOff>33617</xdr:rowOff>
    </xdr:from>
    <xdr:to>
      <xdr:col>1</xdr:col>
      <xdr:colOff>3155157</xdr:colOff>
      <xdr:row>2</xdr:row>
      <xdr:rowOff>4349</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3143252" y="33617"/>
          <a:ext cx="595311" cy="411263"/>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2798670</xdr:colOff>
      <xdr:row>0</xdr:row>
      <xdr:rowOff>33617</xdr:rowOff>
    </xdr:from>
    <xdr:to>
      <xdr:col>2</xdr:col>
      <xdr:colOff>227480</xdr:colOff>
      <xdr:row>1</xdr:row>
      <xdr:rowOff>4349</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3382076" y="33617"/>
          <a:ext cx="405373" cy="411263"/>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214312</xdr:colOff>
      <xdr:row>0</xdr:row>
      <xdr:rowOff>0</xdr:rowOff>
    </xdr:from>
    <xdr:to>
      <xdr:col>6</xdr:col>
      <xdr:colOff>262497</xdr:colOff>
      <xdr:row>0</xdr:row>
      <xdr:rowOff>411263</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4548187" y="0"/>
          <a:ext cx="405373" cy="411263"/>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107156</xdr:colOff>
      <xdr:row>0</xdr:row>
      <xdr:rowOff>23812</xdr:rowOff>
    </xdr:from>
    <xdr:to>
      <xdr:col>6</xdr:col>
      <xdr:colOff>71998</xdr:colOff>
      <xdr:row>0</xdr:row>
      <xdr:rowOff>435075</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4345781" y="23812"/>
          <a:ext cx="405373" cy="41126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SL\&#38609;&#24037;&#20107;\&#19977;&#20117;&#20303;&#21451;&#35211;&#31309;&#20181;&#20107;\&#20013;&#22269;&#27193;&#33026;&#12467;&#12531;&#12497;&#12454;&#12531;&#12489;&#24037;&#22580;&#26032;&#31689;&#24037;&#20107;&#65288;2003.11.3)\Documents%20and%20Settings\user\Local%20Settings\Temporary%20Internet%20Files\Content.IE5\GHIJKLMN\&#20303;&#21451;&#38651;&#35013;&#65298;&#26399;&#35373;&#20633;&#21407;&#20385;07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DCL/Billing/RA/RA-04/BH%20&amp;%20GH/sachin/BOQ/Pentahouse/B.O.Q%2004-05-0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K:\Documents%20and%20Settings\amit.goel\Local%20Settings\Temporary%20Internet%20Files\OLK62\Site%20Status%20Report_Chennai_10%2010%202009%20(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GDCL/Billing/RA/RA-04/BH%20&amp;%20GH/SAKAL%20CHARITY/Comaparative%20statement/Comparative-3-05-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H:\&#160;\Lon\CM\QS12772\Risk\BurlDanes_NewRiskRegister09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ailesh\C\sp_RO\Banglore\barc_kalpakkam\Final_appd_PSE.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ttrmtlon.turntown.com/Documents%20and%20Settings/ead/Local%20Settings/Temporary%20Internet%20Files/OLK22F/LON/QS/I46001/REPORT/COST/CASHFL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ELECT\Calculation\Battery%20&amp;%20Battery%20charger\REV%20R1\potablwater.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H:\&#160;\MAHINDRA-WORLD-SCHOOL-CHENNAI\MEASUREMENT%20SHEET\measurements%20as%20per%20revised%20drawings\03.03.07-revised%20measurements\SAKAL%20CHARITY\Comaparative%20statement\Comparative-3-05-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YSL\&#38609;&#24037;&#20107;\&#19977;&#20117;&#20303;&#21451;&#35211;&#31309;&#20181;&#20107;\&#20013;&#22269;&#27193;&#33026;&#12467;&#12531;&#12497;&#12454;&#12531;&#12489;&#24037;&#22580;&#26032;&#31689;&#24037;&#20107;&#65288;2003.11.3)\WINDOWS\TEMP\&#35211;&#31309;.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ordelia\Documents%20and%20Settings\kevinh\My%20Documents\V2%20PMP5FY0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LONSRV01\Data\LON\QS\I46001\REPORT\COST\CASHFL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GDCL/Billing/RA/RA-04/BH%20&amp;%20GH/sachin/BOQ/DOCUME~1/Ravi/LOCALS~1/Temp/notes6030C8/BookingForm%20jc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Edrcserver1\design\user\Cement\KVPgroup\E-Kvp\KVP-Engrs\PPRM-Housing\Namakkal%20Housing\School\T1037%20Entire%20Schoo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160;\Users\suman.majumder.GPL\AppData\Local\Microsoft\Windows\Temporary%20Internet%20Files\Content.Outlook\0JY5LUH7\I1204-AGHA-KHAN\WORKING\RATE-ANALYSIS-05-05-0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Win2kserver\e\WINDOWS\Temporary%20Internet%20Files\Content.IE5\01EVKTEN\Hewitt%20-unitechworld-%20PE.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EDSRV01\Data\LEE\QS\LCC\MODEL%2025.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KAIGAIWS17\kaigai\&#19977;&#20117;&#20303;&#21451;&#35211;&#31309;&#20181;&#20107;\M&#19977;&#20117;&#21270;&#23398;&#20013;&#23665;&#12467;&#12531;&#12497;&#12454;&#12531;&#12489;&#24037;&#22580;&#65288;2004.04.08)\&#26481;&#33437;&#27231;&#26800;&#39135;&#22530;&#26847;\WINDOWS\Temporary%20Internet%20Files\Content.IE5\E1B6EGHI\030526_itikou_&#38651;&#27671;&#35211;&#31309;V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Users/Hi/Desktop/RA%20Bill%20Thapar/Boys%20Hostel%20RA%20Bill/Prepared%20Bill/RA-02-April-2017-TU-%20(%20Hardscape%20BH)-%20Submitte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enkat\e\SOR%20Narmada%202004-05\final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ahalakshmi\mahalakshmi\Mahalakshmi\2000\2000-2001%20Enquiry\Akash\Taegue_Semac_ME_Rev%200704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CRONPDC\Doc\New%20Documents\2001-2002\2001-2002%20Enquiry\Micron\Surya%20IT%20Park_ME_Revised_0110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CRONPDC\Doc\New%20Documents\2001-2002\2001-2002%20Enquiry\Micron\Milliania%20Tower_529_Potential_M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ICRONPDC\Doc\Old%20Documents\2002-2003\2002-2003%20Enquiry\04.%20Elins\EXCEL_AMF%20Panel_180%20kV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halakshmi\mahalakshmi\Mahalakshmi\2000\2000-2001%20Enquiry\Akash\Tata%20Housing%20Development_M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asavaraj\c\Raja%20Meenakshi%20Residency_Servelec_Uma%20Shanke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SDFS1\ROOT\1999\SEPTM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160;\Users\PShinde.GPL.000\AppData\Local\Microsoft\Windows\Temporary%20Internet%20Files\Content.Outlook\FQ5BH3JQ\Users\santosh.vedante\AppData\Local\Microsoft\Windows\Temporary%20Internet%20Files\Content.Outlook\UE1OB0KK\Type-B-%20Type%20-1%205BHK.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ICRONPDC\Doc\New%20Documents\2001-2002\Major%20Tenders\Intel_Direct_New\Intel_Potential_0112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26481;&#12450;&#12472;&#12450;\CHINA\&#12381;&#12398;&#20182;IA&#29289;&#20214;\&#12477;&#12491;&#12540;&#19978;&#28023;&#12509;&#12522;&#12510;&#12540;\OSB2403-00A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160;\Users\PShinde.GPL.000\AppData\Local\Microsoft\Windows\Temporary%20Internet%20Files\Content.Outlook\FQ5BH3JQ\Documents%20and%20Settings\ajit.sondur\Local%20Settings\Temporary%20Internet%20Files\Content.Outlook\AIPOZIN0\T1%20-2BHK%20tentative%20Budge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YSL\&#38609;&#24037;&#20107;\&#19977;&#20117;&#20303;&#21451;&#35211;&#31309;&#20181;&#20107;\&#20013;&#22269;&#27193;&#33026;&#12467;&#12531;&#12497;&#12454;&#12531;&#12489;&#24037;&#22580;&#26032;&#31689;&#24037;&#20107;&#65288;2003.11.3)\WINDOWS\TEMP\OBYYASHI%20BREAKDOW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halakshmi\mahalakshmi\mahalakshmi\1999-2000%20enquiry\Micron\Watchtowe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drcserver1\DESIGN\Infra\Geotech\Crep\Soil-inv\O1097\DJB-0509\Spt-BH.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eserver\design\USER\HOUSING\SIRISH\tem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KNOWLEDGE-PARK-CHANDIGRH-AHC\BLOCK%20EST\BLOCK%20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160;\FABS\Mantri%20Espana\BOQ\BandF\Housing\kkp\KKP-ISO\KKP-ISO-9001-1994\stds\GN-ST-06(2)(Design%20Sheet-Rul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giserver\08306%20-%20taj%20dwaraka\Implementation\Cost%20plan\Finishes%20-Taj%20Dwarka%20-%20Ani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60;\LON\QS\QS11228\COST\OPCO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IN3KSERVER\STUPDATA\EMAAR\Specifications%20Ests\07.05.07\Copy%20Est%20HUDA%20Sports%20complex.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160;\Users\suman.majumder.GPL\AppData\Local\Microsoft\Windows\Temporary%20Internet%20Files\Content.Outlook\0JY5LUH7\BHOOMESH\Tech%20Zone\Lt%20panels%20Quotes\PRASAD\Est%20HUDA%20Sports%20complex.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ICRONPDC\Doc\New%20Documents\2001-2002\2001-2002%20Enquiry\ELINS\PESL_AMF%20Panel_1625%20kVA_0112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imanshu\SHERATON@CHANDIGARH\DOCUME~1\MAMTA~1.SPE\LOCALS~1\Temp\Rar$DI02.312\GOA_ARPT_SUBSTNDG_JUSTIFIED%20EST_160709(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drcserver3\Design\WINNT\Profiles\vvk\Temporary%20Internet%20Files\OLK3\BOQ.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160;\2005\05117%20-%20Mindspace%20Hyderabad\Implementation\CP%20A\CP%20A%20-%20Stage%202\05117%20CP%20-%20Estimate%20sheet%20-%20Stage%20B%20-%20R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160;\Users\suman.majumder.GPL\AppData\Local\Microsoft\Windows\Temporary%20Internet%20Files\Content.Outlook\0JY5LUH7\Documents%20and%20Settings\HIGHWAY6\Desktop\BOQ_Bhopal%20Bypass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AIGAIWS17\kaigai\&#19977;&#20117;&#20303;&#21451;&#35211;&#31309;&#20181;&#20107;\M&#19977;&#20117;&#21270;&#23398;&#20013;&#23665;&#12467;&#12531;&#12497;&#12454;&#12531;&#12489;&#24037;&#22580;&#65288;2004.04.08)\&#26481;&#33437;&#27231;&#26800;&#39135;&#22530;&#26847;\&#21463;&#20449;&#65420;&#65383;&#65394;&#65433;\&#26085;&#26032;2&#26399;&#12288;&#35373;&#20633;&#35211;&#31309;&#12487;&#12540;&#12479;\&#26085;&#26032;&#38651;&#27231;2&#26399;&#36000;&#33655;&#35336;&#31639;&#2636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Vijay\d\Offers\GRUNDFOSS\Grundfoss%20Offer%204A12\Final%20Offer%20-%204C16\IO%20List%204C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drcserver1\design\user\Housing\Binod\saihous\saihous.el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OSHI\MY%20DOCUMENTS\WINDOWS\Desktop\Manoj%20Gandhi\FINDRDEC.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160;\Users\STidke.GODREJINDS\AppData\Local\Microsoft\Windows\Temporary%20Internet%20Files\Content.Outlook\QKAE2IPE\IFM%205%200%20-%20Mahalaxmi%20Soc,%20Veera%20desai%20roa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tup-c09\D\JOBS\7078-MADURAVOYAL\ALAPAKKAM%20MAIN%20ROAD%20-%20APR05\ANNEX-2\ANN2-MADURAVOYAL%20DATA-APRIL-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RADHA\RADHA\radha\mis9899\consoli\sept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RADHA\RADHA\mis9798\MAR9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160;\SAKAL%20CHARITY\Comaparative%20statement\Comparative-3-05-0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160;\D\My%20Documents\Excel\Godrej\Sector%20-79\Measurement%20Template%20R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160;\Users\suman.majumder.GPL\AppData\Local\Microsoft\Windows\Temporary%20Internet%20Files\Content.Outlook\0JY5LUH7\I1204-AGHA-KHAN\WORKING\interface\DOI\12.BLOCK%20MASONRY\12.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H:\&#160;\Users\suman.majumder.GPL\AppData\Local\Microsoft\Windows\Temporary%20Internet%20Files\Content.Outlook\0JY5LUH7\GOA_ARPT_ELECT_INTERNAL_ES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asant\projects\PROJECTS\Projects%20A%20-%20G\DMRC%20Headquarters\DMRC%20TENDER%20DOCU%20SAMPLE\RATE%20ANALYSIS%20HYDRAULIC%2017-03-200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LONSRV01\Data\DOCUME~1\wanwai\LOCALS~1\Temp\C.Lotus.Notes.Data\Financial%20Report%2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30-COST%20MANAGEMENT\Construction%20Budgets%20-%20Cost%20Mgmt\Goregaon%20Fiorenza\Goregaon%20Aspiratinal%20Tower%20B-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Micronpdc\Doc\Old%20Documents\2002-2003\2002-2003%20Enquiry\06.%20Micron\M.S.R.I.T._Essbe_ME202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160;\Users\suman.majumder.GPL\AppData\Local\Microsoft\Windows\Temporary%20Internet%20Files\Content.Outlook\0JY5LUH7\FreqPlanmar'0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Vijay\d\Documents%20and%20Settings\Srinivasa%20Ramanujam\Local%20Settings\Temporary%20Internet%20Files\OLK38\Offe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ahalakshmi\mahalakshmi\mahalakshmi\1999-2000%20enquiry\ACE%20Consultants\Digital_ACE.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DLA%20Standard%20Cost%20Report1"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160;\Users\PShinde.GPL.000\AppData\Local\Microsoft\Windows\Temporary%20Internet%20Files\Content.Outlook\FQ5BH3JQ\AGRA-TAYAL-PGP\MEASUREMENT%20SHEET\BOQ%20WITH%20Meas.%20-%20FINAL%20-%2024.11.20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CRONPDC\Doc\Old%20Document\2001-2002\2001-2002%20Enquiry\ELINS\PESL_AMF%20Panel_1625%20kVA_01120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160;\f\anvita\anvita\Assignments-KHK\GPL%20Serenity%20-%20Tender-%20080812\R5%20-%20Addendum%203\Addendum-3%20Tender-Complete.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GDCL/Billing/RA/RA-04/BH%20&amp;%20GH/Users/planng2/AppData/Local/Temp/D/SIL_YRS/Weekly-Monthly%20planning/Monthly%20plan/fnl.%20plan/Combined/smb:/Ws3/c/Nh5%20qs/Chennai%20Nellor%20NH5/Package%20B/Program%20Files/Microsoft%20Office/Templates/BILLS1A.xlt"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H:\&#160;\Users\PShinde.GPL.000\AppData\Local\Microsoft\Windows\Temporary%20Internet%20Files\Content.Outlook\FQ5BH3JQ\DOCUME~1\JJS~1.PUN\LOCALS~1\Temp\notesC9812B\MIS-March07%20Pune%20unaudit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160;\Lee\CM\PROJ\TIC\Alex%20Hargreaves\13.08.09\Meeting%20in%20London\New%20Template%20WIP\Example\New%20Template%20WIP\cashflow%20TEST%20Ver%203.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Purchase%20Order1"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LONSRV01\Data\Lon\CM\QS12770\COST\Change%20Control\Change%20Control-DS\Reports\Documents%20and%20Settings\peke.WTRUST\Local%20Settings\Temporary%20Internet%20Files\OLK45\LON\QS\I46001\REPORT\COST\CASHFL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ICRONPDC\Doc\New%20Documents\2001-2002\2001-2002%20Enquiry\ELINS\Diesel%20Power%20Aid_AMF%20Panel_820%20kVA_01112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160;\JP\BOQ\BOQ\BandF\Housing\kkp\KKP-ISO\KKP-ISO-9001-1994\stds\GN-ST-06(2)(Design%20Sheet-Rul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92.168.0.220\planning\Documents%20and%20Settings\pradeep.singh\My%20Documents\Excel%20Training\Excel%20function%20lis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Himanshu\SHERATON@CHANDIGARH\Mamta\NCPA\DG\GOA_ARPT_SUBSTNDG_EST_090609(fina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GDCL/Billing/RA/RA-04/BH%20&amp;%20GH/Users/planng2/AppData/Local/Temp/Users/Gurav1/Desktop/GCW/DPR_GCW/Oct,%2009/CONCRETE%20PROGRAMME/August,%2009/DCP%2015-09-0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GDCL/Billing/RA/RA-04/LB/Users/planng2/AppData/Local/Temp/Users/Gurav1/Desktop/GCW/DPR_GCW/Oct,%2009/CONCRETE%20PROGRAMME/August,%2009/DCP%2015-09-0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H:\&#160;\f\anvita\anvita\Assignments-KHK\GPL%20Serenity%20-%20Tender-%20080812\R4\submission-01-02-2013\Addendum-2-BOQ-Civil-Cost%20Plu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as\ene\TEC\Electrical%20Contract%20Division\Design%20And%20Estimation\2012-13\Godrej%20Prop%20Serenity\01%20Estimation\01E%20Working%20Boq\Working%20Sheet%20Format.07.06.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160;\Users\suman.majumder.GPL\AppData\Local\Microsoft\Windows\Temporary%20Internet%20Files\Content.Outlook\0JY5LUH7\sarath\Indore-Ujjian(BSCPL)\Final_BOQ_020708\Details%20of%20Quantity\BOQ\BOQ_Indore-ujjain.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GDCL/Billing/RA/RA-04/BH%20&amp;%20GH/Pentahouse/B.O.Q%2004-05-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OKUSAI_NW1\public\Documents%20and%20Settings\All%20Users\Documents\&#12491;&#12481;&#12450;&#12473;&#34311;&#24030;\&#26989;&#32773;&#35211;&#31309;0120&#22793;&#26356;\SNI_BQ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halakshmi\mahalakshmi\1999\1999-2000%20enquiry\Micron\Hospital_ME_Akash_L&amp;T_Rev..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SDFS1\ROOT\Documents%20and%20Settings\pconill\Desktop\JPM%20Macr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192.168.0.220\planning\pradeep%20singh\Simtools\SIMTOOLS\Podium%20Simtool\Podium%20PD-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N:\ELECT\Calculation\Battery%20&amp;%20Battery%20charger\REV%20R1\lvsizing.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YSL\&#38609;&#24037;&#20107;\&#19977;&#20117;&#20303;&#21451;&#35211;&#31309;&#20181;&#20107;\&#20013;&#22269;&#27193;&#33026;&#12467;&#12531;&#12497;&#12454;&#12531;&#12489;&#24037;&#22580;&#26032;&#31689;&#24037;&#20107;&#65288;2003.11.3)\Documents%20and%20Settings\user\Local%20Settings\Temporary%20Internet%20Files\Content.IE5\L1234567\&#20303;&#21451;&#38651;&#35013;&#65298;&#26399;&#35373;&#20633;&#21407;&#20385;0716.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drcserver3\design\Elec-Mech\EandI\Krv\T1399-E-SY-CPCL\Battery\BATR0003a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GDCL/Billing/RA/RA-04/BH%20&amp;%20GH/DOCUME~1/Ravi/LOCALS~1/Temp/notes6030C8/BookingForm%20jc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160;\Users\suman.majumder.GPL\AppData\Local\Microsoft\Windows\Temporary%20Internet%20Files\Content.Outlook\0JY5LUH7\Documents%20and%20Settings\hiamashu%20ojha\Local%20Settings\Temporary%20Internet%20Files\OLK17\ELECT_INTERNAL_(Final)090609_E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30-COST%20MANAGEMENT\Construction%20Budgets%20-%20Cost%20Mgmt\Goregaon%20Fiorenza\King%20Tower%20Budg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LONSRV01\Data\LON\QS\QS11228\COST\OPCOS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KOKUSAI_NW1\public\&#25991;&#20214;\&#33258;&#24314;&#34920;&#26684;&#27169;&#26495;\&#39044;&#31639;&#34920;&#26684;&#32473;&#28909;&#25490;&#27700;99-22.xlt"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H:\&#160;\LON\QS\I46001\REPORT\COST\CASHFL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ls_india\c\DLSI\CostplanInfo\Template-Design%20Devt%20Estimate.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Vijay\d\Documents%20and%20Settings\Srinivasa%20Ramanujam\Local%20Settings\Temporary%20Internet%20Files\OLK38\Elnet-IBMS-IOlistBOQ-51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ELECT\Calculation\Battery%20&amp;%20Battery%20charger\REV%20R1\REF_CALCS\CWpump.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Documents%20and%20Settings\user\Local%20Settings\Temporary%20Internet%20Files\Content.IE5\GHIJKLMN\&#20303;&#21451;&#38651;&#35013;&#65298;&#26399;&#35373;&#20633;&#21407;&#20385;0714.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is\current\Morgan%20Stanley\Project%20Budget\030625_GKC%20Bluebook%20(A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lanning\C\WINDOWS\TEMP\FORM6&amp;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Qaqc\d\WINDOWS\TEMP\FORM6&amp;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160;\Users\PShinde.GPL.000\AppData\Local\Microsoft\Windows\Temporary%20Internet%20Files\Content.Outlook\FQ5BH3JQ\SAHARA-CITY-HOMES\GWALIOR\OTH-AMEN\BLOCK%20ESTIMATE\MAS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ICRONPDC\Doc\New%20Documents\2001-2002\2001-2002%20Enquiry\Servelec\LSG%20Sky%20Chef_Servel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Himanshu\SHERATON@CHANDIGARH\Documents%20and%20Settings\mamta.SPECTRAL\Desktop\GOA_ARPT_ELECT_INTERNAL_EST.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KGT\YR98-99\DPR_9697\PLAN1697.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Zameer\c\APUSP\WATERSUPPLYDATA\NZB%20Data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H:\&#160;\Users\PShinde.GPL.000\AppData\Local\Microsoft\Windows\Temporary%20Internet%20Files\Content.Outlook\FQ5BH3JQ\GAUHATI-PROJECT\Measurments\NRL-BOQ-%20ESTIMATE-17.01.08-Final.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160;\Mum\1000%20Projects\CM\Live%20Projects\MU%2010061%20-%20DLF%20WEH%20Begur\1100%20-%20Drawings\Measure\A-structure%20201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H:\&#160;\D\My%20Documents\Excel\Arcop\JP%20B-9\BOQ%20&amp;%20ESTIMATE\Budget\Cost%20Estimate%2002.03.2013\02%20C-IN\03%20from%20Plumbing%20MKG\20%202013-01-11%20Tender%20Estimate%20rev\9_KRISTAL%20COURT%20(B9)%20-%20BILL%20OF%20QUANTITI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K:\Backup\T\C\T&amp;T1162\F\Lee\Users\Mccafmik\Usr\Home\Keep\Cdrom\Model_A\Model_A1\A1-mod-w.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H:\&#160;\Users\PShinde.GPL.000\AppData\Local\Microsoft\Windows\Temporary%20Internet%20Files\Content.Outlook\FQ5BH3JQ\SAKAL%20CHARITY\Comaparative%20statement\Comparative-3-05-0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Planning\C\WINDOWS\Desktop\JUNE%202003%20bills\2B_JUNE%202K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概要書"/>
      <sheetName val="電気設備表"/>
      <sheetName val="ﾒｰｶｰﾘｽﾄ"/>
      <sheetName val="建築依頼事項"/>
      <sheetName val="別途工事"/>
      <sheetName val="030710"/>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GINEOUS ITEMS "/>
      <sheetName val="MN T.B."/>
      <sheetName val="Summary"/>
      <sheetName val="Flooring"/>
      <sheetName val="ELEC_BOQ"/>
      <sheetName val="GBW"/>
      <sheetName val="final abstract"/>
      <sheetName val="currency"/>
      <sheetName val="Switch costs lookup"/>
      <sheetName val="jobhist"/>
      <sheetName val="Fill this out first..."/>
      <sheetName val="p&amp;m"/>
      <sheetName val="PRELIM5"/>
      <sheetName val="Budget"/>
      <sheetName val="Measurements"/>
      <sheetName val="Tables"/>
      <sheetName val="Ceilings"/>
      <sheetName val="ACAD Finishes"/>
      <sheetName val="Site Details"/>
      <sheetName val="Chair"/>
      <sheetName val="Site Area Statement"/>
      <sheetName val="Doors"/>
      <sheetName val="Estimate"/>
      <sheetName val="F1a-Pile"/>
      <sheetName val="SUMMARY OPTION"/>
      <sheetName val="IMPORTED EQUIPMENTS"/>
      <sheetName val="VRV"/>
      <sheetName val="VRV Install"/>
      <sheetName val="Cu Tube with insulation "/>
      <sheetName val="Fan"/>
      <sheetName val="PVC PIPE"/>
      <sheetName val="Nitrile Ins for CHW Pipe &amp; Duct"/>
      <sheetName val="Fire Damper"/>
      <sheetName val="COSMOS"/>
      <sheetName val="Grill, Diffuser Revised"/>
      <sheetName val="DUCT INSULATION"/>
      <sheetName val="Lock Former Ducting"/>
      <sheetName val="Insulated Flexible Ducts"/>
      <sheetName val=" B1"/>
      <sheetName val="Cost summary"/>
      <sheetName val="RA-markate"/>
      <sheetName val="Data sheet"/>
      <sheetName val="Per Unit"/>
      <sheetName val="1-Internal electrical"/>
      <sheetName val="3. Elemental Summary"/>
      <sheetName val="12a. CFTable"/>
      <sheetName val="Meas.-Hotel Part"/>
      <sheetName val="Lintel"/>
      <sheetName val="Cod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Report"/>
      <sheetName val="Project Snapshot"/>
      <sheetName val="Budget"/>
      <sheetName val="Revenue projection"/>
      <sheetName val="Financial Data"/>
      <sheetName val="Legend"/>
      <sheetName val="RCC,Ret. Wall"/>
    </sheetNames>
    <sheetDataSet>
      <sheetData sheetId="0"/>
      <sheetData sheetId="1"/>
      <sheetData sheetId="2"/>
      <sheetData sheetId="3"/>
      <sheetData sheetId="4"/>
      <sheetData sheetId="5" refreshError="1">
        <row r="2">
          <cell r="A2" t="str">
            <v>Critical</v>
          </cell>
        </row>
        <row r="3">
          <cell r="A3" t="str">
            <v>High</v>
          </cell>
        </row>
        <row r="4">
          <cell r="A4" t="str">
            <v>Medium</v>
          </cell>
        </row>
        <row r="5">
          <cell r="A5" t="str">
            <v>Low</v>
          </cell>
        </row>
        <row r="8">
          <cell r="A8" t="str">
            <v>Green</v>
          </cell>
        </row>
        <row r="9">
          <cell r="A9" t="str">
            <v>Orange</v>
          </cell>
        </row>
        <row r="10">
          <cell r="A10" t="str">
            <v>Red</v>
          </cell>
        </row>
      </sheetData>
      <sheetData sheetId="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tatement"/>
      <sheetName val="RA-markate"/>
      <sheetName val="RA_markate"/>
      <sheetName val="MASTER_RATE ANALYSIS"/>
      <sheetName val="RCC,Ret. Wall"/>
      <sheetName val="BOQ_Direct_selling cost"/>
      <sheetName val="MM"/>
      <sheetName val="Headings"/>
      <sheetName val="BLOCK-A (MEA.SHEET)"/>
      <sheetName val="COST"/>
      <sheetName val="TBAL9697 -group wise  sdpl"/>
      <sheetName val="Names&amp;Cases"/>
      <sheetName val="Sheet3 (2)"/>
      <sheetName val="Portfolio Summary"/>
      <sheetName val="Builtup Area"/>
      <sheetName val="Inc.St.-Link"/>
      <sheetName val="Meas.-Hotel Part"/>
      <sheetName val="TBAL9697 _group wise  sdpl"/>
      <sheetName val="A-General"/>
      <sheetName val="10. &amp; 11. Rate Code &amp; BQ"/>
      <sheetName val="9. Package split - Cost "/>
      <sheetName val="Break up Sheet"/>
      <sheetName val="Field Values"/>
      <sheetName val="horizontal"/>
      <sheetName val="Main-Material"/>
      <sheetName val="Footings"/>
      <sheetName val="sept-plan"/>
      <sheetName val="P&amp;L-BDMC"/>
      <sheetName val="WWR"/>
      <sheetName val="MA"/>
      <sheetName val="영업소실적"/>
      <sheetName val="ACE-OUT"/>
      <sheetName val="BS-Cem"/>
      <sheetName val="concrete"/>
      <sheetName val="Sheet1"/>
      <sheetName val="Sheet2"/>
      <sheetName val="Main Sheet"/>
      <sheetName val="oresreqsum"/>
      <sheetName val="Staff Acco."/>
      <sheetName val="Data"/>
      <sheetName val="Cashflow"/>
      <sheetName val="Project Budget Worksheet"/>
      <sheetName val="Results"/>
      <sheetName val="PLGroupings"/>
      <sheetName val="MainSheet"/>
      <sheetName val="Legend"/>
    </sheetNames>
    <sheetDataSet>
      <sheetData sheetId="0"/>
      <sheetData sheetId="1" refreshError="1">
        <row r="389">
          <cell r="A389" t="str">
            <v>SECTION</v>
          </cell>
          <cell r="B389" t="str">
            <v>PART</v>
          </cell>
        </row>
        <row r="391">
          <cell r="A391">
            <v>1</v>
          </cell>
        </row>
        <row r="392">
          <cell r="A392" t="str">
            <v>1.</v>
          </cell>
          <cell r="B392">
            <v>1</v>
          </cell>
        </row>
        <row r="394">
          <cell r="A394" t="str">
            <v>1.</v>
          </cell>
          <cell r="B394">
            <v>1.1000000000000001</v>
          </cell>
        </row>
        <row r="396">
          <cell r="A396" t="str">
            <v>A</v>
          </cell>
        </row>
        <row r="401">
          <cell r="A401" t="str">
            <v>B</v>
          </cell>
        </row>
        <row r="403">
          <cell r="A403" t="str">
            <v>C</v>
          </cell>
        </row>
        <row r="406">
          <cell r="A406" t="str">
            <v>D</v>
          </cell>
        </row>
        <row r="414">
          <cell r="A414" t="str">
            <v>1.</v>
          </cell>
          <cell r="B414">
            <v>1.2000000000000002</v>
          </cell>
        </row>
        <row r="418">
          <cell r="A418" t="str">
            <v>A</v>
          </cell>
        </row>
        <row r="423">
          <cell r="A423" t="str">
            <v>B</v>
          </cell>
        </row>
        <row r="425">
          <cell r="A425" t="str">
            <v>C</v>
          </cell>
        </row>
        <row r="427">
          <cell r="A427" t="str">
            <v>D</v>
          </cell>
        </row>
        <row r="430">
          <cell r="A430" t="str">
            <v>E</v>
          </cell>
        </row>
        <row r="438">
          <cell r="A438" t="str">
            <v>1.</v>
          </cell>
          <cell r="B438">
            <v>1.3000000000000003</v>
          </cell>
        </row>
        <row r="442">
          <cell r="A442" t="str">
            <v>A</v>
          </cell>
        </row>
        <row r="447">
          <cell r="A447" t="str">
            <v>B</v>
          </cell>
        </row>
        <row r="449">
          <cell r="A449" t="str">
            <v>C</v>
          </cell>
        </row>
        <row r="451">
          <cell r="A451" t="str">
            <v>D</v>
          </cell>
        </row>
        <row r="454">
          <cell r="A454" t="str">
            <v>E</v>
          </cell>
        </row>
        <row r="462">
          <cell r="A462" t="str">
            <v>1.</v>
          </cell>
          <cell r="B462">
            <v>2</v>
          </cell>
        </row>
        <row r="464">
          <cell r="A464" t="str">
            <v>1.</v>
          </cell>
          <cell r="B464">
            <v>2.1</v>
          </cell>
        </row>
        <row r="466">
          <cell r="A466" t="str">
            <v>A</v>
          </cell>
        </row>
        <row r="471">
          <cell r="A471" t="str">
            <v>B</v>
          </cell>
        </row>
        <row r="473">
          <cell r="A473" t="str">
            <v>C</v>
          </cell>
        </row>
        <row r="476">
          <cell r="A476" t="str">
            <v>D</v>
          </cell>
        </row>
        <row r="486">
          <cell r="A486" t="str">
            <v>1.2.2</v>
          </cell>
        </row>
        <row r="488">
          <cell r="A488" t="str">
            <v>A</v>
          </cell>
        </row>
        <row r="494">
          <cell r="A494" t="str">
            <v>B</v>
          </cell>
        </row>
        <row r="496">
          <cell r="A496" t="str">
            <v>C</v>
          </cell>
        </row>
        <row r="498">
          <cell r="A498" t="str">
            <v>D</v>
          </cell>
        </row>
        <row r="501">
          <cell r="A501" t="str">
            <v>E</v>
          </cell>
        </row>
        <row r="511">
          <cell r="A511" t="str">
            <v>1.2.3</v>
          </cell>
        </row>
        <row r="513">
          <cell r="A513" t="str">
            <v>A</v>
          </cell>
        </row>
        <row r="519">
          <cell r="A519" t="str">
            <v>B</v>
          </cell>
        </row>
        <row r="521">
          <cell r="A521" t="str">
            <v>C</v>
          </cell>
        </row>
        <row r="523">
          <cell r="A523" t="str">
            <v>D</v>
          </cell>
        </row>
        <row r="526">
          <cell r="A526" t="str">
            <v>E</v>
          </cell>
        </row>
        <row r="534">
          <cell r="A534">
            <v>1.3</v>
          </cell>
        </row>
        <row r="536">
          <cell r="A536" t="str">
            <v>1.3.1</v>
          </cell>
        </row>
        <row r="538">
          <cell r="A538" t="str">
            <v>A</v>
          </cell>
        </row>
        <row r="544">
          <cell r="A544" t="str">
            <v>B</v>
          </cell>
        </row>
        <row r="546">
          <cell r="A546" t="str">
            <v>C</v>
          </cell>
        </row>
        <row r="549">
          <cell r="A549" t="str">
            <v>D</v>
          </cell>
        </row>
        <row r="559">
          <cell r="A559" t="str">
            <v>1.3.2</v>
          </cell>
        </row>
        <row r="561">
          <cell r="A561" t="str">
            <v>A</v>
          </cell>
        </row>
        <row r="566">
          <cell r="A566" t="str">
            <v>B</v>
          </cell>
        </row>
        <row r="568">
          <cell r="A568" t="str">
            <v>C</v>
          </cell>
        </row>
        <row r="570">
          <cell r="A570" t="str">
            <v>D</v>
          </cell>
        </row>
        <row r="573">
          <cell r="A573" t="str">
            <v>E</v>
          </cell>
        </row>
        <row r="583">
          <cell r="A583" t="str">
            <v>1.3.3</v>
          </cell>
        </row>
        <row r="585">
          <cell r="A585" t="str">
            <v>A</v>
          </cell>
        </row>
        <row r="590">
          <cell r="A590" t="str">
            <v>B</v>
          </cell>
        </row>
        <row r="592">
          <cell r="A592" t="str">
            <v>C</v>
          </cell>
        </row>
        <row r="594">
          <cell r="A594" t="str">
            <v>D</v>
          </cell>
        </row>
        <row r="597">
          <cell r="A597" t="str">
            <v>E</v>
          </cell>
        </row>
        <row r="605">
          <cell r="A605">
            <v>1.4</v>
          </cell>
        </row>
        <row r="607">
          <cell r="A607" t="str">
            <v>1.4.1</v>
          </cell>
        </row>
        <row r="609">
          <cell r="A609" t="str">
            <v>A</v>
          </cell>
        </row>
        <row r="617">
          <cell r="A617" t="str">
            <v>B</v>
          </cell>
        </row>
        <row r="619">
          <cell r="A619" t="str">
            <v>C</v>
          </cell>
        </row>
        <row r="622">
          <cell r="A622" t="str">
            <v>D</v>
          </cell>
        </row>
        <row r="632">
          <cell r="A632" t="str">
            <v>1.4.2</v>
          </cell>
        </row>
        <row r="634">
          <cell r="A634" t="str">
            <v>A</v>
          </cell>
        </row>
        <row r="642">
          <cell r="A642" t="str">
            <v>B</v>
          </cell>
        </row>
        <row r="644">
          <cell r="A644" t="str">
            <v>C</v>
          </cell>
        </row>
        <row r="646">
          <cell r="A646" t="str">
            <v>D</v>
          </cell>
        </row>
        <row r="649">
          <cell r="A649" t="str">
            <v>E</v>
          </cell>
        </row>
        <row r="659">
          <cell r="A659" t="str">
            <v>1.4.3</v>
          </cell>
        </row>
        <row r="661">
          <cell r="A661" t="str">
            <v>A</v>
          </cell>
        </row>
        <row r="669">
          <cell r="A669" t="str">
            <v>B</v>
          </cell>
        </row>
        <row r="671">
          <cell r="A671" t="str">
            <v>C</v>
          </cell>
        </row>
        <row r="673">
          <cell r="A673" t="str">
            <v>D</v>
          </cell>
        </row>
        <row r="676">
          <cell r="A676" t="str">
            <v>E</v>
          </cell>
        </row>
        <row r="684">
          <cell r="A684">
            <v>1.5</v>
          </cell>
        </row>
        <row r="686">
          <cell r="A686" t="str">
            <v>1.5.1</v>
          </cell>
        </row>
        <row r="688">
          <cell r="A688" t="str">
            <v>A</v>
          </cell>
        </row>
        <row r="699">
          <cell r="A699" t="str">
            <v>B</v>
          </cell>
        </row>
        <row r="701">
          <cell r="A701" t="str">
            <v>C</v>
          </cell>
        </row>
        <row r="704">
          <cell r="A704" t="str">
            <v>D</v>
          </cell>
        </row>
        <row r="714">
          <cell r="A714" t="str">
            <v>1.5.2</v>
          </cell>
        </row>
        <row r="716">
          <cell r="A716" t="str">
            <v>A</v>
          </cell>
        </row>
        <row r="727">
          <cell r="A727" t="str">
            <v>B</v>
          </cell>
        </row>
        <row r="729">
          <cell r="A729" t="str">
            <v>C</v>
          </cell>
        </row>
        <row r="731">
          <cell r="A731" t="str">
            <v>D</v>
          </cell>
        </row>
        <row r="734">
          <cell r="A734" t="str">
            <v>E</v>
          </cell>
        </row>
        <row r="744">
          <cell r="A744" t="str">
            <v>1.5.3</v>
          </cell>
        </row>
        <row r="746">
          <cell r="A746" t="str">
            <v>A</v>
          </cell>
        </row>
        <row r="754">
          <cell r="A754" t="str">
            <v>B</v>
          </cell>
        </row>
        <row r="756">
          <cell r="A756" t="str">
            <v>C</v>
          </cell>
        </row>
        <row r="758">
          <cell r="A758" t="str">
            <v>D</v>
          </cell>
        </row>
        <row r="761">
          <cell r="A761" t="str">
            <v>E</v>
          </cell>
        </row>
        <row r="769">
          <cell r="A769">
            <v>1.6</v>
          </cell>
        </row>
        <row r="771">
          <cell r="A771" t="str">
            <v>1.6.1</v>
          </cell>
        </row>
        <row r="773">
          <cell r="A773" t="str">
            <v>A</v>
          </cell>
        </row>
        <row r="782">
          <cell r="A782" t="str">
            <v>B</v>
          </cell>
        </row>
        <row r="784">
          <cell r="A784" t="str">
            <v>C</v>
          </cell>
        </row>
        <row r="787">
          <cell r="A787" t="str">
            <v>D</v>
          </cell>
        </row>
        <row r="795">
          <cell r="A795">
            <v>1.6</v>
          </cell>
        </row>
        <row r="797">
          <cell r="A797" t="str">
            <v>1.6.2</v>
          </cell>
        </row>
        <row r="799">
          <cell r="A799" t="str">
            <v>A</v>
          </cell>
        </row>
        <row r="808">
          <cell r="A808" t="str">
            <v>B</v>
          </cell>
        </row>
        <row r="810">
          <cell r="A810" t="str">
            <v>C</v>
          </cell>
        </row>
        <row r="812">
          <cell r="A812" t="str">
            <v>D</v>
          </cell>
        </row>
        <row r="815">
          <cell r="A815" t="str">
            <v>E</v>
          </cell>
        </row>
        <row r="823">
          <cell r="A823">
            <v>1.6</v>
          </cell>
        </row>
        <row r="825">
          <cell r="A825" t="str">
            <v>1.6.3</v>
          </cell>
        </row>
        <row r="827">
          <cell r="A827" t="str">
            <v>A</v>
          </cell>
        </row>
        <row r="836">
          <cell r="A836" t="str">
            <v>B</v>
          </cell>
        </row>
        <row r="838">
          <cell r="A838" t="str">
            <v>C</v>
          </cell>
        </row>
        <row r="840">
          <cell r="A840" t="str">
            <v>D</v>
          </cell>
        </row>
        <row r="843">
          <cell r="A843" t="str">
            <v>E</v>
          </cell>
        </row>
        <row r="851">
          <cell r="A851">
            <v>1.7</v>
          </cell>
        </row>
        <row r="852">
          <cell r="A852" t="str">
            <v>1.7.1</v>
          </cell>
        </row>
        <row r="854">
          <cell r="A854" t="str">
            <v>1.7.1.1</v>
          </cell>
        </row>
        <row r="856">
          <cell r="A856" t="str">
            <v>A</v>
          </cell>
        </row>
        <row r="864">
          <cell r="A864" t="str">
            <v>B</v>
          </cell>
        </row>
        <row r="866">
          <cell r="A866" t="str">
            <v>C</v>
          </cell>
        </row>
        <row r="869">
          <cell r="A869" t="str">
            <v>D</v>
          </cell>
        </row>
        <row r="877">
          <cell r="A877" t="str">
            <v>1.7.1.2</v>
          </cell>
        </row>
        <row r="881">
          <cell r="A881" t="str">
            <v>A</v>
          </cell>
        </row>
        <row r="889">
          <cell r="A889" t="str">
            <v>B</v>
          </cell>
        </row>
        <row r="891">
          <cell r="A891" t="str">
            <v>C</v>
          </cell>
        </row>
        <row r="893">
          <cell r="A893" t="str">
            <v>D</v>
          </cell>
        </row>
        <row r="896">
          <cell r="A896" t="str">
            <v>E</v>
          </cell>
        </row>
        <row r="904">
          <cell r="A904" t="str">
            <v>1.7.1.3</v>
          </cell>
        </row>
        <row r="908">
          <cell r="A908" t="str">
            <v>A</v>
          </cell>
        </row>
        <row r="916">
          <cell r="A916" t="str">
            <v>B</v>
          </cell>
        </row>
        <row r="918">
          <cell r="A918" t="str">
            <v>C</v>
          </cell>
        </row>
        <row r="920">
          <cell r="A920" t="str">
            <v>D</v>
          </cell>
        </row>
        <row r="923">
          <cell r="A923" t="str">
            <v>E</v>
          </cell>
        </row>
        <row r="931">
          <cell r="A931" t="str">
            <v>1.7.2</v>
          </cell>
        </row>
        <row r="933">
          <cell r="A933" t="str">
            <v>1.7.2.1</v>
          </cell>
        </row>
        <row r="935">
          <cell r="A935" t="str">
            <v>A</v>
          </cell>
        </row>
        <row r="943">
          <cell r="A943" t="str">
            <v>B</v>
          </cell>
        </row>
        <row r="945">
          <cell r="A945" t="str">
            <v>C</v>
          </cell>
        </row>
        <row r="948">
          <cell r="A948" t="str">
            <v>D</v>
          </cell>
        </row>
        <row r="956">
          <cell r="A956" t="str">
            <v>1.7.2.2</v>
          </cell>
        </row>
        <row r="960">
          <cell r="A960" t="str">
            <v>A</v>
          </cell>
        </row>
        <row r="968">
          <cell r="A968" t="str">
            <v>B</v>
          </cell>
        </row>
        <row r="970">
          <cell r="A970" t="str">
            <v>C</v>
          </cell>
        </row>
        <row r="972">
          <cell r="A972" t="str">
            <v>D</v>
          </cell>
        </row>
        <row r="975">
          <cell r="A975" t="str">
            <v>E</v>
          </cell>
        </row>
        <row r="983">
          <cell r="A983" t="str">
            <v>1.7.2.3</v>
          </cell>
        </row>
        <row r="987">
          <cell r="A987" t="str">
            <v>A</v>
          </cell>
        </row>
        <row r="995">
          <cell r="A995" t="str">
            <v>B</v>
          </cell>
        </row>
        <row r="997">
          <cell r="A997" t="str">
            <v>C</v>
          </cell>
        </row>
        <row r="999">
          <cell r="A999" t="str">
            <v>D</v>
          </cell>
        </row>
        <row r="1002">
          <cell r="A1002" t="str">
            <v>E</v>
          </cell>
        </row>
        <row r="1010">
          <cell r="A1010" t="str">
            <v>1.7.3</v>
          </cell>
        </row>
        <row r="1012">
          <cell r="A1012" t="str">
            <v>1.7.3.1</v>
          </cell>
        </row>
        <row r="1014">
          <cell r="A1014" t="str">
            <v>A</v>
          </cell>
        </row>
        <row r="1022">
          <cell r="A1022" t="str">
            <v>B</v>
          </cell>
        </row>
        <row r="1024">
          <cell r="A1024" t="str">
            <v>C</v>
          </cell>
        </row>
        <row r="1027">
          <cell r="A1027" t="str">
            <v>D</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er"/>
      <sheetName val="Risk Levels"/>
      <sheetName val="Sheet2"/>
      <sheetName val="RCC,Ret. Wall"/>
      <sheetName val="RA-markate"/>
    </sheetNames>
    <sheetDataSet>
      <sheetData sheetId="0" refreshError="1"/>
      <sheetData sheetId="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
      <sheetName val="Indirect cost"/>
      <sheetName val="BOQ_Direct_selling cost"/>
      <sheetName val="quality_obj"/>
      <sheetName val="Register"/>
      <sheetName val="Main-Material"/>
      <sheetName val="Plant Cost"/>
      <sheetName val="Labour productivity"/>
      <sheetName val="dummy"/>
      <sheetName val="FORM7"/>
      <sheetName val="cubes_M20"/>
      <sheetName val="Footings"/>
      <sheetName val="Database"/>
      <sheetName val="SCHEDULE"/>
      <sheetName val="schedule nos"/>
      <sheetName val="monitoring-breakup"/>
      <sheetName val="boq"/>
      <sheetName val="SPT vs PHI"/>
      <sheetName val="RCC,Ret. Wall"/>
      <sheetName val="04"/>
      <sheetName val="BOQ- A-Civil Works"/>
      <sheetName val="Sheet2"/>
      <sheetName val="WWR"/>
      <sheetName val="Aseet1998"/>
      <sheetName val="Fill this out first..."/>
      <sheetName val="abstract"/>
      <sheetName val="GBW"/>
      <sheetName val="RA-markate"/>
      <sheetName val="horizontal"/>
      <sheetName val="Supplier"/>
      <sheetName val="Design"/>
      <sheetName val="Project Budget Worksheet"/>
      <sheetName val="Legend"/>
      <sheetName val="sept-plan"/>
      <sheetName val="final abstract"/>
      <sheetName val="strand"/>
      <sheetName val="PC Master List"/>
      <sheetName val="Tender Summary"/>
      <sheetName val="10. &amp; 11. Rate Code &amp; BQ"/>
      <sheetName val="Desgn(zone I)"/>
      <sheetName val="girder"/>
      <sheetName val="WORK TABLE"/>
      <sheetName val="Lead"/>
      <sheetName val="Break up Sheet"/>
      <sheetName val="MenuData"/>
      <sheetName val="目录"/>
      <sheetName val="SUMMARY"/>
      <sheetName val="LOCAL RATES"/>
      <sheetName val="SUmmary-RMZ"/>
      <sheetName val="RMZ Summary"/>
      <sheetName val="Fin Sum"/>
      <sheetName val="Rate analysis"/>
      <sheetName val="Rate Analysis "/>
      <sheetName val="Cd"/>
      <sheetName val="Cs"/>
      <sheetName val="CPIPE"/>
      <sheetName val="THK"/>
      <sheetName val="CPIPE 1"/>
      <sheetName val="RECAPITULATION"/>
      <sheetName val="TBAL9697 -group wise  sdpl"/>
      <sheetName val="CABLE DATA"/>
      <sheetName val="tie beam"/>
      <sheetName val="Civil Boq"/>
      <sheetName val="Field Values"/>
      <sheetName val="x-items"/>
      <sheetName val="Final_appd_PSE"/>
      <sheetName val="MA"/>
      <sheetName val="Abstract Sheet"/>
      <sheetName val="INDEX"/>
      <sheetName val="AREAS"/>
      <sheetName val="환율"/>
      <sheetName val="Sheet3"/>
      <sheetName val="BOQ_SERENO"/>
      <sheetName val="Labour"/>
      <sheetName val="INPUT-DATA1"/>
      <sheetName val="Conditions"/>
      <sheetName val="P&amp;L-BDMC"/>
      <sheetName val="Inc.St.-Link"/>
      <sheetName val="Basement Budget"/>
      <sheetName val="ELEC_BOQ"/>
      <sheetName val="p&amp;m"/>
      <sheetName val="Extern Plaster2 cote  ODC-5"/>
      <sheetName val="COLUMN"/>
      <sheetName val="8200AOC"/>
      <sheetName val="labour coeff"/>
      <sheetName val="Non-Factory"/>
      <sheetName val="PART-A"/>
      <sheetName val="PART-B"/>
      <sheetName val="PART-C"/>
      <sheetName val="Part D"/>
      <sheetName val="PART- E"/>
      <sheetName val="PART - F"/>
      <sheetName val="Costing"/>
      <sheetName val="Fill this out first___"/>
      <sheetName val="FORM-W3"/>
      <sheetName val="Sheet1"/>
      <sheetName val="Delhi"/>
      <sheetName val="RA"/>
      <sheetName val="AK-Offertstammblatt"/>
      <sheetName val="공장별판관비배부"/>
      <sheetName val="Deduction of assets"/>
      <sheetName val="DP"/>
      <sheetName val="INDORAMA Group June 02"/>
      <sheetName val="M B-QtyRecn"/>
      <sheetName val="PARTY DETAILS"/>
      <sheetName val="Branch Power"/>
      <sheetName val="Distrib"/>
      <sheetName val="Emergency"/>
      <sheetName val="Equipment"/>
      <sheetName val="Lighting"/>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BOQ_Direct_selling cost"/>
      <sheetName val="Register"/>
      <sheetName val="Data"/>
      <sheetName val="RA-markate"/>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p-motor"/>
      <sheetName val="FT-06-02"/>
      <sheetName val="FT-06-04"/>
      <sheetName val="FT-001 R0"/>
      <sheetName val="E-EI-FT-003R"/>
      <sheetName val="EDRC-HQ"/>
      <sheetName val="E-EI-FT-005"/>
      <sheetName val="FT-05-02 R0"/>
      <sheetName val="Busm"/>
      <sheetName val="e220-66kV "/>
      <sheetName val="ligh"/>
      <sheetName val="FT-05-02IsoBOM"/>
      <sheetName val="Ccab"/>
      <sheetName val="Sizing-Calculation"/>
      <sheetName val="110Vdc"/>
      <sheetName val="48Vdc"/>
      <sheetName val="issue_summary "/>
      <sheetName val="iso-forms "/>
      <sheetName val="purpose&amp;input"/>
      <sheetName val="CAL_SUMMARY"/>
      <sheetName val="PIPESIZING_C120"/>
      <sheetName val="Thickness-C120"/>
      <sheetName val="Prdro_C120"/>
      <sheetName val="resis. coeffC120"/>
      <sheetName val="SCHEMATIC SKETCH"/>
      <sheetName val="estimate"/>
      <sheetName val="BOQ_Direct_selling cost"/>
      <sheetName val="Desig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tatement"/>
      <sheetName val="RA-markate"/>
      <sheetName val="RA_markate"/>
      <sheetName val="Occ, Other Rev, Exp, Dispo"/>
      <sheetName val="目录"/>
      <sheetName val="BOQ_Direct_selling cost"/>
      <sheetName val="Main-Material"/>
      <sheetName val="final abstract"/>
      <sheetName val="Rate analysis"/>
      <sheetName val="cubes_M20"/>
      <sheetName val="10. &amp; 11. Rate Code &amp; BQ"/>
      <sheetName val="Sheet2"/>
      <sheetName val="RECAPITULATION"/>
      <sheetName val="Headings"/>
      <sheetName val="DESIGN"/>
      <sheetName val="purpose&amp;input"/>
      <sheetName val="Data"/>
      <sheetName val="Register"/>
    </sheetNames>
    <sheetDataSet>
      <sheetData sheetId="0"/>
      <sheetData sheetId="1" refreshError="1">
        <row r="389">
          <cell r="A389" t="str">
            <v>SECTION</v>
          </cell>
          <cell r="B389" t="str">
            <v>PART</v>
          </cell>
        </row>
        <row r="391">
          <cell r="A391">
            <v>1</v>
          </cell>
        </row>
        <row r="392">
          <cell r="A392" t="str">
            <v>1.</v>
          </cell>
          <cell r="B392">
            <v>1</v>
          </cell>
        </row>
        <row r="394">
          <cell r="A394" t="str">
            <v>1.</v>
          </cell>
          <cell r="B394">
            <v>1.1000000000000001</v>
          </cell>
        </row>
        <row r="396">
          <cell r="A396" t="str">
            <v>A</v>
          </cell>
        </row>
        <row r="401">
          <cell r="A401" t="str">
            <v>B</v>
          </cell>
        </row>
        <row r="403">
          <cell r="A403" t="str">
            <v>C</v>
          </cell>
        </row>
        <row r="406">
          <cell r="A406" t="str">
            <v>D</v>
          </cell>
        </row>
        <row r="414">
          <cell r="A414" t="str">
            <v>1.</v>
          </cell>
          <cell r="B414">
            <v>1.2000000000000002</v>
          </cell>
        </row>
        <row r="418">
          <cell r="A418" t="str">
            <v>A</v>
          </cell>
        </row>
        <row r="423">
          <cell r="A423" t="str">
            <v>B</v>
          </cell>
        </row>
        <row r="425">
          <cell r="A425" t="str">
            <v>C</v>
          </cell>
        </row>
        <row r="427">
          <cell r="A427" t="str">
            <v>D</v>
          </cell>
        </row>
        <row r="430">
          <cell r="A430" t="str">
            <v>E</v>
          </cell>
        </row>
        <row r="438">
          <cell r="A438" t="str">
            <v>1.</v>
          </cell>
          <cell r="B438">
            <v>1.3000000000000003</v>
          </cell>
        </row>
        <row r="442">
          <cell r="A442" t="str">
            <v>A</v>
          </cell>
        </row>
        <row r="447">
          <cell r="A447" t="str">
            <v>B</v>
          </cell>
        </row>
        <row r="449">
          <cell r="A449" t="str">
            <v>C</v>
          </cell>
        </row>
        <row r="451">
          <cell r="A451" t="str">
            <v>D</v>
          </cell>
        </row>
        <row r="454">
          <cell r="A454" t="str">
            <v>E</v>
          </cell>
        </row>
        <row r="462">
          <cell r="A462" t="str">
            <v>1.</v>
          </cell>
          <cell r="B462">
            <v>2</v>
          </cell>
        </row>
        <row r="464">
          <cell r="A464" t="str">
            <v>1.</v>
          </cell>
          <cell r="B464">
            <v>2.1</v>
          </cell>
        </row>
        <row r="466">
          <cell r="A466" t="str">
            <v>A</v>
          </cell>
        </row>
        <row r="471">
          <cell r="A471" t="str">
            <v>B</v>
          </cell>
        </row>
        <row r="473">
          <cell r="A473" t="str">
            <v>C</v>
          </cell>
        </row>
        <row r="476">
          <cell r="A476" t="str">
            <v>D</v>
          </cell>
        </row>
        <row r="486">
          <cell r="A486" t="str">
            <v>1.2.2</v>
          </cell>
        </row>
        <row r="488">
          <cell r="A488" t="str">
            <v>A</v>
          </cell>
        </row>
        <row r="494">
          <cell r="A494" t="str">
            <v>B</v>
          </cell>
        </row>
        <row r="496">
          <cell r="A496" t="str">
            <v>C</v>
          </cell>
        </row>
        <row r="498">
          <cell r="A498" t="str">
            <v>D</v>
          </cell>
        </row>
        <row r="501">
          <cell r="A501" t="str">
            <v>E</v>
          </cell>
        </row>
        <row r="511">
          <cell r="A511" t="str">
            <v>1.2.3</v>
          </cell>
        </row>
        <row r="513">
          <cell r="A513" t="str">
            <v>A</v>
          </cell>
        </row>
        <row r="519">
          <cell r="A519" t="str">
            <v>B</v>
          </cell>
        </row>
        <row r="521">
          <cell r="A521" t="str">
            <v>C</v>
          </cell>
        </row>
        <row r="523">
          <cell r="A523" t="str">
            <v>D</v>
          </cell>
        </row>
        <row r="526">
          <cell r="A526" t="str">
            <v>E</v>
          </cell>
        </row>
        <row r="534">
          <cell r="A534">
            <v>1.3</v>
          </cell>
        </row>
        <row r="536">
          <cell r="A536" t="str">
            <v>1.3.1</v>
          </cell>
        </row>
        <row r="538">
          <cell r="A538" t="str">
            <v>A</v>
          </cell>
        </row>
        <row r="544">
          <cell r="A544" t="str">
            <v>B</v>
          </cell>
        </row>
        <row r="546">
          <cell r="A546" t="str">
            <v>C</v>
          </cell>
        </row>
        <row r="549">
          <cell r="A549" t="str">
            <v>D</v>
          </cell>
        </row>
        <row r="559">
          <cell r="A559" t="str">
            <v>1.3.2</v>
          </cell>
        </row>
        <row r="561">
          <cell r="A561" t="str">
            <v>A</v>
          </cell>
        </row>
        <row r="566">
          <cell r="A566" t="str">
            <v>B</v>
          </cell>
        </row>
        <row r="568">
          <cell r="A568" t="str">
            <v>C</v>
          </cell>
        </row>
        <row r="570">
          <cell r="A570" t="str">
            <v>D</v>
          </cell>
        </row>
        <row r="573">
          <cell r="A573" t="str">
            <v>E</v>
          </cell>
        </row>
        <row r="583">
          <cell r="A583" t="str">
            <v>1.3.3</v>
          </cell>
        </row>
        <row r="585">
          <cell r="A585" t="str">
            <v>A</v>
          </cell>
        </row>
        <row r="590">
          <cell r="A590" t="str">
            <v>B</v>
          </cell>
        </row>
        <row r="592">
          <cell r="A592" t="str">
            <v>C</v>
          </cell>
        </row>
        <row r="594">
          <cell r="A594" t="str">
            <v>D</v>
          </cell>
        </row>
        <row r="597">
          <cell r="A597" t="str">
            <v>E</v>
          </cell>
        </row>
        <row r="605">
          <cell r="A605">
            <v>1.4</v>
          </cell>
        </row>
        <row r="607">
          <cell r="A607" t="str">
            <v>1.4.1</v>
          </cell>
        </row>
        <row r="609">
          <cell r="A609" t="str">
            <v>A</v>
          </cell>
        </row>
        <row r="617">
          <cell r="A617" t="str">
            <v>B</v>
          </cell>
        </row>
        <row r="619">
          <cell r="A619" t="str">
            <v>C</v>
          </cell>
        </row>
        <row r="622">
          <cell r="A622" t="str">
            <v>D</v>
          </cell>
        </row>
        <row r="632">
          <cell r="A632" t="str">
            <v>1.4.2</v>
          </cell>
        </row>
        <row r="634">
          <cell r="A634" t="str">
            <v>A</v>
          </cell>
        </row>
        <row r="642">
          <cell r="A642" t="str">
            <v>B</v>
          </cell>
        </row>
        <row r="644">
          <cell r="A644" t="str">
            <v>C</v>
          </cell>
        </row>
        <row r="646">
          <cell r="A646" t="str">
            <v>D</v>
          </cell>
        </row>
        <row r="649">
          <cell r="A649" t="str">
            <v>E</v>
          </cell>
        </row>
        <row r="659">
          <cell r="A659" t="str">
            <v>1.4.3</v>
          </cell>
        </row>
        <row r="661">
          <cell r="A661" t="str">
            <v>A</v>
          </cell>
        </row>
        <row r="669">
          <cell r="A669" t="str">
            <v>B</v>
          </cell>
        </row>
        <row r="671">
          <cell r="A671" t="str">
            <v>C</v>
          </cell>
        </row>
        <row r="673">
          <cell r="A673" t="str">
            <v>D</v>
          </cell>
        </row>
        <row r="676">
          <cell r="A676" t="str">
            <v>E</v>
          </cell>
        </row>
        <row r="684">
          <cell r="A684">
            <v>1.5</v>
          </cell>
        </row>
        <row r="686">
          <cell r="A686" t="str">
            <v>1.5.1</v>
          </cell>
        </row>
        <row r="688">
          <cell r="A688" t="str">
            <v>A</v>
          </cell>
        </row>
        <row r="699">
          <cell r="A699" t="str">
            <v>B</v>
          </cell>
        </row>
        <row r="701">
          <cell r="A701" t="str">
            <v>C</v>
          </cell>
        </row>
        <row r="704">
          <cell r="A704" t="str">
            <v>D</v>
          </cell>
        </row>
        <row r="714">
          <cell r="A714" t="str">
            <v>1.5.2</v>
          </cell>
        </row>
        <row r="716">
          <cell r="A716" t="str">
            <v>A</v>
          </cell>
        </row>
        <row r="727">
          <cell r="A727" t="str">
            <v>B</v>
          </cell>
        </row>
        <row r="729">
          <cell r="A729" t="str">
            <v>C</v>
          </cell>
        </row>
        <row r="731">
          <cell r="A731" t="str">
            <v>D</v>
          </cell>
        </row>
        <row r="734">
          <cell r="A734" t="str">
            <v>E</v>
          </cell>
        </row>
        <row r="744">
          <cell r="A744" t="str">
            <v>1.5.3</v>
          </cell>
        </row>
        <row r="746">
          <cell r="A746" t="str">
            <v>A</v>
          </cell>
        </row>
        <row r="754">
          <cell r="A754" t="str">
            <v>B</v>
          </cell>
        </row>
        <row r="756">
          <cell r="A756" t="str">
            <v>C</v>
          </cell>
        </row>
        <row r="758">
          <cell r="A758" t="str">
            <v>D</v>
          </cell>
        </row>
        <row r="761">
          <cell r="A761" t="str">
            <v>E</v>
          </cell>
        </row>
        <row r="769">
          <cell r="A769">
            <v>1.6</v>
          </cell>
        </row>
        <row r="771">
          <cell r="A771" t="str">
            <v>1.6.1</v>
          </cell>
        </row>
        <row r="773">
          <cell r="A773" t="str">
            <v>A</v>
          </cell>
        </row>
        <row r="782">
          <cell r="A782" t="str">
            <v>B</v>
          </cell>
        </row>
        <row r="784">
          <cell r="A784" t="str">
            <v>C</v>
          </cell>
        </row>
        <row r="787">
          <cell r="A787" t="str">
            <v>D</v>
          </cell>
        </row>
        <row r="795">
          <cell r="A795">
            <v>1.6</v>
          </cell>
        </row>
        <row r="797">
          <cell r="A797" t="str">
            <v>1.6.2</v>
          </cell>
        </row>
        <row r="799">
          <cell r="A799" t="str">
            <v>A</v>
          </cell>
        </row>
        <row r="808">
          <cell r="A808" t="str">
            <v>B</v>
          </cell>
        </row>
        <row r="810">
          <cell r="A810" t="str">
            <v>C</v>
          </cell>
        </row>
        <row r="812">
          <cell r="A812" t="str">
            <v>D</v>
          </cell>
        </row>
        <row r="815">
          <cell r="A815" t="str">
            <v>E</v>
          </cell>
        </row>
        <row r="823">
          <cell r="A823">
            <v>1.6</v>
          </cell>
        </row>
        <row r="825">
          <cell r="A825" t="str">
            <v>1.6.3</v>
          </cell>
        </row>
        <row r="827">
          <cell r="A827" t="str">
            <v>A</v>
          </cell>
        </row>
        <row r="836">
          <cell r="A836" t="str">
            <v>B</v>
          </cell>
        </row>
        <row r="838">
          <cell r="A838" t="str">
            <v>C</v>
          </cell>
        </row>
        <row r="840">
          <cell r="A840" t="str">
            <v>D</v>
          </cell>
        </row>
        <row r="843">
          <cell r="A843" t="str">
            <v>E</v>
          </cell>
        </row>
        <row r="851">
          <cell r="A851">
            <v>1.7</v>
          </cell>
        </row>
        <row r="852">
          <cell r="A852" t="str">
            <v>1.7.1</v>
          </cell>
        </row>
        <row r="854">
          <cell r="A854" t="str">
            <v>1.7.1.1</v>
          </cell>
        </row>
        <row r="856">
          <cell r="A856" t="str">
            <v>A</v>
          </cell>
        </row>
        <row r="864">
          <cell r="A864" t="str">
            <v>B</v>
          </cell>
        </row>
        <row r="866">
          <cell r="A866" t="str">
            <v>C</v>
          </cell>
        </row>
        <row r="869">
          <cell r="A869" t="str">
            <v>D</v>
          </cell>
        </row>
        <row r="877">
          <cell r="A877" t="str">
            <v>1.7.1.2</v>
          </cell>
        </row>
        <row r="881">
          <cell r="A881" t="str">
            <v>A</v>
          </cell>
        </row>
        <row r="889">
          <cell r="A889" t="str">
            <v>B</v>
          </cell>
        </row>
        <row r="891">
          <cell r="A891" t="str">
            <v>C</v>
          </cell>
        </row>
        <row r="893">
          <cell r="A893" t="str">
            <v>D</v>
          </cell>
        </row>
        <row r="896">
          <cell r="A896" t="str">
            <v>E</v>
          </cell>
        </row>
        <row r="904">
          <cell r="A904" t="str">
            <v>1.7.1.3</v>
          </cell>
        </row>
        <row r="908">
          <cell r="A908" t="str">
            <v>A</v>
          </cell>
        </row>
        <row r="916">
          <cell r="A916" t="str">
            <v>B</v>
          </cell>
        </row>
        <row r="918">
          <cell r="A918" t="str">
            <v>C</v>
          </cell>
        </row>
        <row r="920">
          <cell r="A920" t="str">
            <v>D</v>
          </cell>
        </row>
        <row r="923">
          <cell r="A923" t="str">
            <v>E</v>
          </cell>
        </row>
        <row r="931">
          <cell r="A931" t="str">
            <v>1.7.2</v>
          </cell>
        </row>
        <row r="933">
          <cell r="A933" t="str">
            <v>1.7.2.1</v>
          </cell>
        </row>
        <row r="935">
          <cell r="A935" t="str">
            <v>A</v>
          </cell>
        </row>
        <row r="943">
          <cell r="A943" t="str">
            <v>B</v>
          </cell>
        </row>
        <row r="945">
          <cell r="A945" t="str">
            <v>C</v>
          </cell>
        </row>
        <row r="948">
          <cell r="A948" t="str">
            <v>D</v>
          </cell>
        </row>
        <row r="956">
          <cell r="A956" t="str">
            <v>1.7.2.2</v>
          </cell>
        </row>
        <row r="960">
          <cell r="A960" t="str">
            <v>A</v>
          </cell>
        </row>
        <row r="968">
          <cell r="A968" t="str">
            <v>B</v>
          </cell>
        </row>
        <row r="970">
          <cell r="A970" t="str">
            <v>C</v>
          </cell>
        </row>
        <row r="972">
          <cell r="A972" t="str">
            <v>D</v>
          </cell>
        </row>
        <row r="975">
          <cell r="A975" t="str">
            <v>E</v>
          </cell>
        </row>
        <row r="983">
          <cell r="A983" t="str">
            <v>1.7.2.3</v>
          </cell>
        </row>
        <row r="987">
          <cell r="A987" t="str">
            <v>A</v>
          </cell>
        </row>
        <row r="995">
          <cell r="A995" t="str">
            <v>B</v>
          </cell>
        </row>
        <row r="997">
          <cell r="A997" t="str">
            <v>C</v>
          </cell>
        </row>
        <row r="999">
          <cell r="A999" t="str">
            <v>D</v>
          </cell>
        </row>
        <row r="1002">
          <cell r="A1002" t="str">
            <v>E</v>
          </cell>
        </row>
        <row r="1010">
          <cell r="A1010" t="str">
            <v>1.7.3</v>
          </cell>
        </row>
        <row r="1012">
          <cell r="A1012" t="str">
            <v>1.7.3.1</v>
          </cell>
        </row>
        <row r="1014">
          <cell r="A1014" t="str">
            <v>A</v>
          </cell>
        </row>
        <row r="1022">
          <cell r="A1022" t="str">
            <v>B</v>
          </cell>
        </row>
        <row r="1024">
          <cell r="A1024" t="str">
            <v>C</v>
          </cell>
        </row>
        <row r="1027">
          <cell r="A1027" t="str">
            <v>D</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レート"/>
      <sheetName val="甲号用紙"/>
      <sheetName val="Summary (Eng)"/>
      <sheetName val="条件書"/>
      <sheetName val="CM条件書"/>
      <sheetName val="CM条件書 (2)"/>
      <sheetName val="参考単価"/>
      <sheetName val="1. 建築工事"/>
      <sheetName val="Backup"/>
      <sheetName val="1.1 地業工事"/>
      <sheetName val="1.2 土工事"/>
      <sheetName val="1.3 躯体工事"/>
      <sheetName val="1.4 鉄骨工事"/>
      <sheetName val="1.5 組積工事"/>
      <sheetName val="1.6 屋根工事"/>
      <sheetName val="1.7 外装工事"/>
      <sheetName val="1.8　建具工事"/>
      <sheetName val="1.9 内装工事"/>
      <sheetName val="10. 雑工事"/>
      <sheetName val="1.11 設備依頼工事"/>
      <sheetName val="BOQ No.2"/>
      <sheetName val="2. 付属建屋建築工事"/>
      <sheetName val="2.1 受電設備棟"/>
      <sheetName val="2.2 受・防火水槽"/>
      <sheetName val="2.3 排水処理設備棟"/>
      <sheetName val="2.4 倉庫棟"/>
      <sheetName val="2.5 守衛棟"/>
      <sheetName val="4. 生産関連工事"/>
      <sheetName val="5. 外構工事"/>
      <sheetName val="6. 仮設工事"/>
      <sheetName val="RA-mark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2">
          <cell r="F42">
            <v>218929.45533333332</v>
          </cell>
        </row>
      </sheetData>
      <sheetData sheetId="23">
        <row r="28">
          <cell r="F28">
            <v>162992.7225</v>
          </cell>
        </row>
      </sheetData>
      <sheetData sheetId="24">
        <row r="43">
          <cell r="F43">
            <v>776441.50099999993</v>
          </cell>
        </row>
      </sheetData>
      <sheetData sheetId="25">
        <row r="44">
          <cell r="F44">
            <v>192450.96366666668</v>
          </cell>
        </row>
      </sheetData>
      <sheetData sheetId="26">
        <row r="49">
          <cell r="G49">
            <v>46587.481</v>
          </cell>
        </row>
      </sheetData>
      <sheetData sheetId="27"/>
      <sheetData sheetId="28"/>
      <sheetData sheetId="29"/>
      <sheetData sheetId="3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wap lease"/>
      <sheetName val="DCT"/>
      <sheetName val="Quote Sheet"/>
      <sheetName val="ST_Loan_Variables"/>
      <sheetName val="ST_Loan_Output"/>
      <sheetName val="US DD"/>
      <sheetName val="LOOKUP"/>
      <sheetName val="Compilation"/>
      <sheetName val="Internal Asset Report(LPK)"/>
      <sheetName val="New C PM"/>
      <sheetName val="C Streams"/>
      <sheetName val="Controls"/>
      <sheetName val="Database Fields"/>
      <sheetName val="Pricing Controls"/>
      <sheetName val="CSA Pricing"/>
      <sheetName val="Sales Template"/>
      <sheetName val="Tier"/>
      <sheetName val="Look"/>
      <sheetName val="Residuals"/>
      <sheetName val="P Model"/>
      <sheetName val="P Streams"/>
      <sheetName val="Spreads"/>
      <sheetName val="TM"/>
      <sheetName val="Capital"/>
      <sheetName val="C2"/>
      <sheetName val="Credit"/>
      <sheetName val="Acctg"/>
      <sheetName val="Targets"/>
      <sheetName val="2.1 受電設備棟"/>
      <sheetName val="2.2 受・防火水槽"/>
      <sheetName val="2.3 排水処理設備棟"/>
      <sheetName val="2.4 倉庫棟"/>
      <sheetName val="2.5 守衛棟"/>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K3" t="str">
            <v>AMERICAS</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Modified Store"/>
      <sheetName val="Boq"/>
      <sheetName val="RA-markate"/>
      <sheetName val="Civil Boq"/>
      <sheetName val="Controls"/>
      <sheetName val="Basement Budget"/>
      <sheetName val="BOQ_Direct_selling cost"/>
      <sheetName val="Assump_Input"/>
      <sheetName val="Economics"/>
      <sheetName val="TI"/>
      <sheetName val="Other_Costs"/>
      <sheetName val="procurement_contingency"/>
      <sheetName val="(1)_Construction"/>
      <sheetName val="(2)_Furniture"/>
      <sheetName val="(3)_AV"/>
      <sheetName val="(4)_Fees"/>
      <sheetName val="(5)_On_Costs"/>
      <sheetName val="(6)_Cont"/>
      <sheetName val="(7)_Retail_Contribution"/>
      <sheetName val="(8)_VAT"/>
      <sheetName val="(9)_IT"/>
      <sheetName val="(10)_VAT"/>
      <sheetName val="Commitment_Schedule"/>
      <sheetName val="Other_Costs1"/>
      <sheetName val="procurement_contingency1"/>
      <sheetName val="(1)_Construction1"/>
      <sheetName val="(2)_Furniture1"/>
      <sheetName val="(3)_AV1"/>
      <sheetName val="(4)_Fees1"/>
      <sheetName val="(5)_On_Costs1"/>
      <sheetName val="(6)_Cont1"/>
      <sheetName val="(7)_Retail_Contribution1"/>
      <sheetName val="(8)_VAT1"/>
      <sheetName val="(9)_IT1"/>
      <sheetName val="(10)_VAT1"/>
      <sheetName val="Commitment_Schedule1"/>
      <sheetName val="Site Dev BOQ"/>
      <sheetName val="Model"/>
      <sheetName val="CONSTRUCTION COMPONENT"/>
      <sheetName val="Fill this out first..."/>
      <sheetName val="Register"/>
      <sheetName val="Arch"/>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INDIGINEOUS ITEMS "/>
      <sheetName val="Outgoing"/>
      <sheetName val="Incoming"/>
      <sheetName val="RA"/>
      <sheetName val="Site Dev BOQ"/>
      <sheetName val="RA-markate"/>
      <sheetName val="HEAD"/>
      <sheetName val="GBW"/>
      <sheetName val="Set"/>
      <sheetName val="Macro1"/>
      <sheetName val="MASTER_RATE ANALYSIS"/>
      <sheetName val="BOQ"/>
      <sheetName val="Booking Form"/>
      <sheetName val="Cal"/>
      <sheetName val="Data"/>
      <sheetName val="Voucher"/>
      <sheetName val="loadcal"/>
      <sheetName val="Material "/>
      <sheetName val="Intro"/>
      <sheetName val="Labour &amp; Plant"/>
      <sheetName val="Balustrade"/>
      <sheetName val="Detail"/>
      <sheetName val="EST-CIVIL"/>
      <sheetName val="CFForecast detail"/>
      <sheetName val="Basement Budget"/>
      <sheetName val="analysis"/>
      <sheetName val="fco"/>
      <sheetName val="Erection grider"/>
      <sheetName val="LOCAL RATES"/>
      <sheetName val="concrete"/>
      <sheetName val="Break up Sheet"/>
      <sheetName val="재1"/>
      <sheetName val="Report"/>
      <sheetName val="Design"/>
      <sheetName val="beam-reinft"/>
      <sheetName val="horizontal"/>
      <sheetName val="Staircase-All Floors"/>
      <sheetName val="IO LIST"/>
      <sheetName val="INPUT SHEET"/>
      <sheetName val="Extra Item"/>
      <sheetName val="RES-PLANNING"/>
    </sheetNames>
    <sheetDataSet>
      <sheetData sheetId="0">
        <row r="2">
          <cell r="A2" t="str">
            <v>FormTitle</v>
          </cell>
          <cell r="B2" t="str">
            <v>Booking Form</v>
          </cell>
          <cell r="C2" t="str">
            <v>Registro de Proyecto</v>
          </cell>
          <cell r="D2" t="str">
            <v>Booking Form</v>
          </cell>
          <cell r="E2" t="str">
            <v>Booking Form</v>
          </cell>
          <cell r="F2" t="str">
            <v>Booking Form</v>
          </cell>
          <cell r="G2" t="str">
            <v>Booking Form</v>
          </cell>
          <cell r="H2" t="str">
            <v>Booking Form</v>
          </cell>
          <cell r="I2" t="str">
            <v>Booking Form</v>
          </cell>
          <cell r="J2" t="str">
            <v>Booking Form</v>
          </cell>
          <cell r="K2" t="str">
            <v>Booking Form</v>
          </cell>
        </row>
        <row r="3">
          <cell r="A3" t="str">
            <v>LoadData</v>
          </cell>
          <cell r="B3" t="str">
            <v>Load SMIS Data</v>
          </cell>
          <cell r="C3" t="str">
            <v>Cargar datos de SMIS</v>
          </cell>
          <cell r="D3" t="str">
            <v>Load SMIS Data</v>
          </cell>
          <cell r="E3" t="str">
            <v>Load SMIS Data</v>
          </cell>
          <cell r="F3" t="str">
            <v>Load SMIS Data</v>
          </cell>
          <cell r="G3" t="str">
            <v>Load SMIS Data</v>
          </cell>
          <cell r="H3" t="str">
            <v>Load SMIS Data</v>
          </cell>
          <cell r="I3" t="str">
            <v>Load SMIS Data</v>
          </cell>
          <cell r="J3" t="str">
            <v>Load SMIS Data</v>
          </cell>
          <cell r="K3" t="str">
            <v>Load SMIS Data</v>
          </cell>
        </row>
        <row r="5">
          <cell r="A5" t="str">
            <v>ProjInfo</v>
          </cell>
          <cell r="B5" t="str">
            <v>Project Information</v>
          </cell>
          <cell r="C5" t="str">
            <v>Información del Proyecto</v>
          </cell>
          <cell r="D5" t="str">
            <v>Project Information</v>
          </cell>
          <cell r="E5" t="str">
            <v>Project Information</v>
          </cell>
          <cell r="F5" t="str">
            <v>Project Information</v>
          </cell>
          <cell r="G5" t="str">
            <v>Project Information</v>
          </cell>
          <cell r="H5" t="str">
            <v>Project Information</v>
          </cell>
          <cell r="I5" t="str">
            <v>Project Information</v>
          </cell>
          <cell r="J5" t="str">
            <v>Project Information</v>
          </cell>
          <cell r="K5" t="str">
            <v>Project Information</v>
          </cell>
        </row>
        <row r="6">
          <cell r="A6" t="str">
            <v>ProjName</v>
          </cell>
          <cell r="B6" t="str">
            <v>Project Name</v>
          </cell>
          <cell r="C6" t="str">
            <v>Nombre del Proyecto</v>
          </cell>
          <cell r="D6" t="str">
            <v>Project Name</v>
          </cell>
          <cell r="E6" t="str">
            <v>Project Name</v>
          </cell>
          <cell r="F6" t="str">
            <v>Project Name</v>
          </cell>
          <cell r="G6" t="str">
            <v>Project Name</v>
          </cell>
          <cell r="H6" t="str">
            <v>Project Name</v>
          </cell>
          <cell r="I6" t="str">
            <v>Project Name</v>
          </cell>
          <cell r="J6" t="str">
            <v>Project Name</v>
          </cell>
          <cell r="K6" t="str">
            <v>Project Name</v>
          </cell>
        </row>
        <row r="7">
          <cell r="A7" t="str">
            <v>ProjNum</v>
          </cell>
          <cell r="B7" t="str">
            <v>Project Number</v>
          </cell>
          <cell r="C7" t="str">
            <v>Número del Proyecto</v>
          </cell>
          <cell r="D7" t="str">
            <v>Project Number</v>
          </cell>
          <cell r="E7" t="str">
            <v>Project Number</v>
          </cell>
          <cell r="F7" t="str">
            <v>Project Number</v>
          </cell>
          <cell r="G7" t="str">
            <v>Project Number</v>
          </cell>
          <cell r="H7" t="str">
            <v>Project Number</v>
          </cell>
          <cell r="I7" t="str">
            <v>Project Number</v>
          </cell>
          <cell r="J7" t="str">
            <v>Project Number</v>
          </cell>
          <cell r="K7" t="str">
            <v>Project Number</v>
          </cell>
        </row>
        <row r="8">
          <cell r="A8" t="str">
            <v>CONum</v>
          </cell>
          <cell r="B8" t="str">
            <v>Change Order Number</v>
          </cell>
          <cell r="C8" t="str">
            <v>Número de orden de cambio</v>
          </cell>
          <cell r="D8" t="str">
            <v>Extension</v>
          </cell>
          <cell r="E8" t="str">
            <v>Extension</v>
          </cell>
          <cell r="F8" t="str">
            <v>Extension</v>
          </cell>
          <cell r="G8" t="str">
            <v>Variation Order  Number</v>
          </cell>
          <cell r="H8" t="str">
            <v>Variation Order  Number</v>
          </cell>
          <cell r="I8" t="str">
            <v>Extension</v>
          </cell>
          <cell r="J8" t="str">
            <v>Variation Order  Number</v>
          </cell>
          <cell r="K8" t="str">
            <v>Variation Order Number</v>
          </cell>
        </row>
        <row r="9">
          <cell r="A9" t="str">
            <v>StartDate</v>
          </cell>
          <cell r="B9" t="str">
            <v>Start Date</v>
          </cell>
          <cell r="C9" t="str">
            <v>Fecha de Inicio</v>
          </cell>
          <cell r="D9" t="str">
            <v>Start Date</v>
          </cell>
          <cell r="E9" t="str">
            <v>Start Date</v>
          </cell>
          <cell r="F9" t="str">
            <v>Start Date</v>
          </cell>
          <cell r="G9" t="str">
            <v>Start Date</v>
          </cell>
          <cell r="H9" t="str">
            <v>Start Date</v>
          </cell>
          <cell r="I9" t="str">
            <v>Start Date</v>
          </cell>
          <cell r="J9" t="str">
            <v>Start Date</v>
          </cell>
          <cell r="K9" t="str">
            <v>Start Date</v>
          </cell>
        </row>
        <row r="10">
          <cell r="A10" t="str">
            <v>CompDate</v>
          </cell>
          <cell r="B10" t="str">
            <v>Complete Date</v>
          </cell>
          <cell r="C10" t="str">
            <v>Fecha de Término</v>
          </cell>
          <cell r="D10" t="str">
            <v>Complete Date</v>
          </cell>
          <cell r="E10" t="str">
            <v>Complete Date</v>
          </cell>
          <cell r="F10" t="str">
            <v>Complete Date</v>
          </cell>
          <cell r="G10" t="str">
            <v>Complete Date</v>
          </cell>
          <cell r="H10" t="str">
            <v>Complete Date</v>
          </cell>
          <cell r="I10" t="str">
            <v>Complete Date</v>
          </cell>
          <cell r="J10" t="str">
            <v>Complete Date</v>
          </cell>
          <cell r="K10" t="str">
            <v>Complete Date</v>
          </cell>
        </row>
        <row r="11">
          <cell r="A11" t="str">
            <v>BusType</v>
          </cell>
          <cell r="B11" t="str">
            <v>Business Type</v>
          </cell>
          <cell r="C11" t="str">
            <v>Tipo de Negocio</v>
          </cell>
          <cell r="D11" t="str">
            <v>Business Type</v>
          </cell>
          <cell r="E11" t="str">
            <v>Business Type</v>
          </cell>
          <cell r="F11" t="str">
            <v>Business Type</v>
          </cell>
          <cell r="G11" t="str">
            <v>Business Type</v>
          </cell>
          <cell r="H11" t="str">
            <v>Business Type</v>
          </cell>
          <cell r="I11" t="str">
            <v>Business Type</v>
          </cell>
          <cell r="J11" t="str">
            <v>Business Type</v>
          </cell>
          <cell r="K11" t="str">
            <v>Business Type</v>
          </cell>
        </row>
        <row r="12">
          <cell r="A12" t="str">
            <v>MarketType</v>
          </cell>
          <cell r="B12" t="str">
            <v>Market Type</v>
          </cell>
          <cell r="C12" t="str">
            <v>Tipo de Mercado</v>
          </cell>
          <cell r="D12" t="str">
            <v>Market Type</v>
          </cell>
          <cell r="E12" t="str">
            <v>Market Type</v>
          </cell>
          <cell r="F12" t="str">
            <v>Market Type</v>
          </cell>
          <cell r="G12" t="str">
            <v>Market Type</v>
          </cell>
          <cell r="H12" t="str">
            <v>Market Type</v>
          </cell>
          <cell r="I12" t="str">
            <v>Market Type</v>
          </cell>
          <cell r="J12" t="str">
            <v>Market Type</v>
          </cell>
          <cell r="K12" t="str">
            <v>Market Type</v>
          </cell>
        </row>
        <row r="13">
          <cell r="A13" t="str">
            <v>BidClass</v>
          </cell>
          <cell r="B13" t="str">
            <v>Bid Class</v>
          </cell>
          <cell r="C13" t="str">
            <v>Tipo de Oferta</v>
          </cell>
          <cell r="D13" t="str">
            <v>Bid Class</v>
          </cell>
          <cell r="E13" t="str">
            <v>Bid Class</v>
          </cell>
          <cell r="F13" t="str">
            <v>Bid Class</v>
          </cell>
          <cell r="G13" t="str">
            <v>Bid Class</v>
          </cell>
          <cell r="H13" t="str">
            <v>Bid Class</v>
          </cell>
          <cell r="I13" t="str">
            <v>Bid Class</v>
          </cell>
          <cell r="J13" t="str">
            <v>Bid Class</v>
          </cell>
          <cell r="K13" t="str">
            <v>Bid Class</v>
          </cell>
        </row>
        <row r="14">
          <cell r="A14" t="str">
            <v>SpecClass</v>
          </cell>
          <cell r="B14" t="str">
            <v>Specification Class</v>
          </cell>
          <cell r="C14" t="str">
            <v>Tipo de Especificación</v>
          </cell>
          <cell r="D14" t="str">
            <v>Specification Class</v>
          </cell>
          <cell r="E14" t="str">
            <v>Specification Class</v>
          </cell>
          <cell r="F14" t="str">
            <v>Specification Class</v>
          </cell>
          <cell r="G14" t="str">
            <v>Specification Class</v>
          </cell>
          <cell r="H14" t="str">
            <v>Specification Class</v>
          </cell>
          <cell r="I14" t="str">
            <v>Specification Class</v>
          </cell>
          <cell r="J14" t="str">
            <v>Specification Class</v>
          </cell>
          <cell r="K14" t="str">
            <v>Specification Class</v>
          </cell>
        </row>
        <row r="15">
          <cell r="A15" t="str">
            <v>CorpClient</v>
          </cell>
          <cell r="B15" t="str">
            <v>Corporate Client</v>
          </cell>
          <cell r="C15" t="str">
            <v>Cliente Corporativo</v>
          </cell>
          <cell r="D15" t="str">
            <v>Corporate Client</v>
          </cell>
          <cell r="E15" t="str">
            <v>Corporate Client</v>
          </cell>
          <cell r="F15" t="str">
            <v>Corporate Client</v>
          </cell>
          <cell r="G15" t="str">
            <v>Corporate Client</v>
          </cell>
          <cell r="H15" t="str">
            <v>Corporate Client</v>
          </cell>
          <cell r="I15" t="str">
            <v>Corporate Client</v>
          </cell>
          <cell r="J15" t="str">
            <v>Corporate Client</v>
          </cell>
          <cell r="K15" t="str">
            <v>Corporate Client</v>
          </cell>
        </row>
        <row r="16">
          <cell r="A16" t="str">
            <v>TierCode</v>
          </cell>
          <cell r="B16" t="str">
            <v>Tier Code</v>
          </cell>
          <cell r="C16" t="str">
            <v>Relacion con cliente final</v>
          </cell>
          <cell r="D16" t="str">
            <v>Contract Tier Code</v>
          </cell>
          <cell r="E16" t="str">
            <v>Contract Tier Code</v>
          </cell>
          <cell r="F16" t="str">
            <v>Contract Tier Code</v>
          </cell>
          <cell r="G16" t="str">
            <v>Contract Tier Code</v>
          </cell>
          <cell r="H16" t="str">
            <v>Contract Tier Code</v>
          </cell>
          <cell r="I16" t="str">
            <v>Contract Tier Code</v>
          </cell>
          <cell r="J16" t="str">
            <v>Contract Tier Code</v>
          </cell>
          <cell r="K16" t="str">
            <v>Contract Tier Code</v>
          </cell>
        </row>
        <row r="17">
          <cell r="A17" t="str">
            <v>SalesMgr</v>
          </cell>
          <cell r="B17" t="str">
            <v>Sales Manager</v>
          </cell>
          <cell r="C17" t="str">
            <v>Gerente de Ventas</v>
          </cell>
          <cell r="D17" t="str">
            <v>Sales Manager</v>
          </cell>
          <cell r="E17" t="str">
            <v>Sales Manager</v>
          </cell>
          <cell r="F17" t="str">
            <v>Sales Manager</v>
          </cell>
          <cell r="G17" t="str">
            <v>Sales Manager</v>
          </cell>
          <cell r="H17" t="str">
            <v>Sales Manager</v>
          </cell>
          <cell r="I17" t="str">
            <v>Sales Manager</v>
          </cell>
          <cell r="J17" t="str">
            <v>Sales Manager</v>
          </cell>
          <cell r="K17" t="str">
            <v>Sales Manager</v>
          </cell>
        </row>
        <row r="18">
          <cell r="A18" t="str">
            <v>SmallProj</v>
          </cell>
          <cell r="B18" t="str">
            <v>Small Project</v>
          </cell>
          <cell r="C18" t="str">
            <v>Proyecto Pequeño</v>
          </cell>
          <cell r="D18" t="str">
            <v>Small Project</v>
          </cell>
          <cell r="E18" t="str">
            <v>Small Project</v>
          </cell>
          <cell r="F18" t="str">
            <v>Small Project</v>
          </cell>
          <cell r="G18" t="str">
            <v>Small Project</v>
          </cell>
          <cell r="H18" t="str">
            <v>Small Project</v>
          </cell>
          <cell r="I18" t="str">
            <v>Small Project</v>
          </cell>
          <cell r="J18" t="str">
            <v>Small Project</v>
          </cell>
          <cell r="K18" t="str">
            <v>Small Project</v>
          </cell>
        </row>
        <row r="19">
          <cell r="A19" t="str">
            <v>OwnAcctNum</v>
          </cell>
          <cell r="B19" t="str">
            <v>Owner Account Number</v>
          </cell>
          <cell r="C19" t="str">
            <v>Número de Cuenta de Cliente Directo / Cte. Principal</v>
          </cell>
          <cell r="D19" t="str">
            <v>Owner Account # (if available)</v>
          </cell>
          <cell r="E19" t="str">
            <v>Owner Account # (if available)</v>
          </cell>
          <cell r="F19" t="str">
            <v>Owner Account # (if available)</v>
          </cell>
          <cell r="G19" t="str">
            <v>Owner Account # (not available)</v>
          </cell>
          <cell r="H19" t="str">
            <v>Owner Account # (not available)</v>
          </cell>
          <cell r="I19" t="str">
            <v>Owner Account # (if available)</v>
          </cell>
          <cell r="J19" t="str">
            <v>Owner Account # (not available)</v>
          </cell>
          <cell r="K19" t="str">
            <v>Owner Account # (if available)</v>
          </cell>
        </row>
        <row r="20">
          <cell r="A20" t="str">
            <v>ChangeDate</v>
          </cell>
          <cell r="B20" t="str">
            <v>Last Change Date</v>
          </cell>
          <cell r="C20" t="str">
            <v>Fecha de último cambio</v>
          </cell>
          <cell r="D20" t="str">
            <v>Last Change Date</v>
          </cell>
          <cell r="E20" t="str">
            <v>Last Change Date</v>
          </cell>
          <cell r="F20" t="str">
            <v>Last Change Date</v>
          </cell>
          <cell r="G20" t="str">
            <v>Last Change Date</v>
          </cell>
          <cell r="H20" t="str">
            <v>Last Change Date</v>
          </cell>
          <cell r="I20" t="str">
            <v>Last Change Date</v>
          </cell>
          <cell r="J20" t="str">
            <v>Last Change Date</v>
          </cell>
          <cell r="K20" t="str">
            <v>Last Change Date</v>
          </cell>
        </row>
        <row r="21">
          <cell r="A21" t="str">
            <v>ChangeBy</v>
          </cell>
          <cell r="B21" t="str">
            <v>Last Change By</v>
          </cell>
          <cell r="C21" t="str">
            <v>Último cambio hecho por</v>
          </cell>
          <cell r="D21" t="str">
            <v>Last Change By</v>
          </cell>
          <cell r="E21" t="str">
            <v>Last Change By</v>
          </cell>
          <cell r="F21" t="str">
            <v>Last Change By</v>
          </cell>
          <cell r="G21" t="str">
            <v>Last Change By</v>
          </cell>
          <cell r="H21" t="str">
            <v>Last Change By</v>
          </cell>
          <cell r="I21" t="str">
            <v>Last Change By</v>
          </cell>
          <cell r="J21" t="str">
            <v>Last Change By</v>
          </cell>
          <cell r="K21" t="str">
            <v>Last Change By</v>
          </cell>
        </row>
        <row r="22">
          <cell r="A22" t="str">
            <v>ContAmt</v>
          </cell>
          <cell r="B22" t="str">
            <v>Contract Amount - USD, USD</v>
          </cell>
          <cell r="C22" t="str">
            <v>Monto del Contrato - USD, Pesos</v>
          </cell>
          <cell r="D22" t="str">
            <v>Contract Amount - HK$, USD</v>
          </cell>
          <cell r="E22" t="str">
            <v>Contract Amount - RM$, USD</v>
          </cell>
          <cell r="F22" t="str">
            <v>Contract Amount - SGD, USD</v>
          </cell>
          <cell r="G22" t="str">
            <v>Contract Amount - Rps, USD</v>
          </cell>
          <cell r="H22" t="str">
            <v>Contract Amount - SGD$, USD</v>
          </cell>
          <cell r="I22" t="str">
            <v>Contract Amount - THB$, USD</v>
          </cell>
          <cell r="J22" t="str">
            <v>Contract Amount - AUD, USD</v>
          </cell>
          <cell r="K22" t="str">
            <v>Contract Amount - local currency, USD</v>
          </cell>
        </row>
        <row r="23">
          <cell r="A23" t="str">
            <v>EstCost</v>
          </cell>
          <cell r="B23" t="str">
            <v>Estimated Cost - USD, USD</v>
          </cell>
          <cell r="C23" t="str">
            <v>Costo Estimado - USD, Pesos</v>
          </cell>
          <cell r="D23" t="str">
            <v>Estimated Cost - HK$, USD</v>
          </cell>
          <cell r="E23" t="str">
            <v>Estimated Cost - RM$, USD</v>
          </cell>
          <cell r="F23" t="str">
            <v>Estimated Cost - SGD, USD</v>
          </cell>
          <cell r="G23" t="str">
            <v>Estimated Cost - Rps, USD</v>
          </cell>
          <cell r="H23" t="str">
            <v>Estimated Cost - SGD$, USD</v>
          </cell>
          <cell r="I23" t="str">
            <v>Estimated Cost - THB$, USD</v>
          </cell>
          <cell r="J23" t="str">
            <v>Estimated Cost - AUD, USD</v>
          </cell>
          <cell r="K23" t="str">
            <v>Estimated Cost - local currency, USD</v>
          </cell>
        </row>
        <row r="24">
          <cell r="A24" t="str">
            <v>GMAmount</v>
          </cell>
          <cell r="B24" t="str">
            <v>Gross Margin Amount - USD, USD</v>
          </cell>
          <cell r="C24" t="str">
            <v>Margen Bruto - USD, Pesos</v>
          </cell>
          <cell r="D24" t="str">
            <v>Gross Margin Amount - HK$, USD</v>
          </cell>
          <cell r="E24" t="str">
            <v>Gross Margin Amount - RM$, USD</v>
          </cell>
          <cell r="F24" t="str">
            <v>Gross Margin Amount - SGD, USD</v>
          </cell>
          <cell r="G24" t="str">
            <v>Gross Margin Amount - Rps, USD</v>
          </cell>
          <cell r="H24" t="str">
            <v>Gross Margin Amount - SGD$, USD</v>
          </cell>
          <cell r="I24" t="str">
            <v>Gross Margin Amount - THB$, USD</v>
          </cell>
          <cell r="J24" t="str">
            <v>Gross Margin Amount - AUD, USD</v>
          </cell>
          <cell r="K24" t="str">
            <v>Gross Margin Amount - local currency, USD</v>
          </cell>
        </row>
        <row r="25">
          <cell r="A25" t="str">
            <v>GMPercent</v>
          </cell>
          <cell r="B25" t="str">
            <v>Gross Margin Percent</v>
          </cell>
          <cell r="C25" t="str">
            <v>Porcentaje de Margen Bruto</v>
          </cell>
          <cell r="D25" t="str">
            <v>Gross Margin Percent</v>
          </cell>
          <cell r="E25" t="str">
            <v>Gross Margin Percent</v>
          </cell>
          <cell r="F25" t="str">
            <v>Gross Margin Percent</v>
          </cell>
          <cell r="G25" t="str">
            <v>Gross Margin Percent</v>
          </cell>
          <cell r="H25" t="str">
            <v>Gross Margin Percent</v>
          </cell>
          <cell r="I25" t="str">
            <v>Gross Margin Percent</v>
          </cell>
          <cell r="J25" t="str">
            <v>Gross Margin Percent</v>
          </cell>
          <cell r="K25" t="str">
            <v>Gross Margin Percent</v>
          </cell>
        </row>
        <row r="27">
          <cell r="A27" t="str">
            <v>ProjLocation</v>
          </cell>
          <cell r="B27" t="str">
            <v>Project Location</v>
          </cell>
          <cell r="C27" t="str">
            <v>Ubicación del Proyecto</v>
          </cell>
          <cell r="D27" t="str">
            <v>Project Location</v>
          </cell>
          <cell r="E27" t="str">
            <v>Project Location</v>
          </cell>
          <cell r="F27" t="str">
            <v>Project Location</v>
          </cell>
          <cell r="G27" t="str">
            <v>Project Location</v>
          </cell>
          <cell r="H27" t="str">
            <v>Project Location</v>
          </cell>
          <cell r="I27" t="str">
            <v>Project Location</v>
          </cell>
          <cell r="J27" t="str">
            <v>Project Location</v>
          </cell>
          <cell r="K27" t="str">
            <v>Project Location</v>
          </cell>
        </row>
        <row r="28">
          <cell r="A28" t="str">
            <v>ProjAddress1</v>
          </cell>
          <cell r="B28" t="str">
            <v>Address 1</v>
          </cell>
          <cell r="C28" t="str">
            <v>Dirección 1</v>
          </cell>
          <cell r="D28" t="str">
            <v>Address 1</v>
          </cell>
          <cell r="E28" t="str">
            <v>Address 1</v>
          </cell>
          <cell r="F28" t="str">
            <v>Address 1</v>
          </cell>
          <cell r="G28" t="str">
            <v>Address 1</v>
          </cell>
          <cell r="H28" t="str">
            <v>Address 1</v>
          </cell>
          <cell r="I28" t="str">
            <v>Address 1</v>
          </cell>
          <cell r="J28" t="str">
            <v>Address 1</v>
          </cell>
          <cell r="K28" t="str">
            <v>Address 1</v>
          </cell>
        </row>
        <row r="29">
          <cell r="A29" t="str">
            <v>ProjAddress2</v>
          </cell>
          <cell r="B29" t="str">
            <v>Address 2</v>
          </cell>
          <cell r="C29" t="str">
            <v>Dirección 2</v>
          </cell>
          <cell r="D29" t="str">
            <v>Address 2</v>
          </cell>
          <cell r="E29" t="str">
            <v>Address 2</v>
          </cell>
          <cell r="F29" t="str">
            <v>Address 2</v>
          </cell>
          <cell r="G29" t="str">
            <v>Address 2</v>
          </cell>
          <cell r="H29" t="str">
            <v>Address 2</v>
          </cell>
          <cell r="I29" t="str">
            <v>Address 2</v>
          </cell>
          <cell r="J29" t="str">
            <v>Address 2</v>
          </cell>
          <cell r="K29" t="str">
            <v>Address 2</v>
          </cell>
        </row>
        <row r="30">
          <cell r="A30" t="str">
            <v>ProjCity</v>
          </cell>
          <cell r="B30" t="str">
            <v>City</v>
          </cell>
          <cell r="C30" t="str">
            <v>Ciudad</v>
          </cell>
          <cell r="D30" t="str">
            <v>City</v>
          </cell>
          <cell r="E30" t="str">
            <v>City</v>
          </cell>
          <cell r="F30" t="str">
            <v>City</v>
          </cell>
          <cell r="G30" t="str">
            <v>City</v>
          </cell>
          <cell r="H30" t="str">
            <v>City</v>
          </cell>
          <cell r="I30" t="str">
            <v>City</v>
          </cell>
          <cell r="J30" t="str">
            <v>City</v>
          </cell>
          <cell r="K30" t="str">
            <v>City</v>
          </cell>
        </row>
        <row r="31">
          <cell r="A31" t="str">
            <v>ProjCounty</v>
          </cell>
          <cell r="B31" t="str">
            <v>County</v>
          </cell>
          <cell r="C31" t="str">
            <v>Delegacion o Municipio</v>
          </cell>
          <cell r="D31" t="str">
            <v>County (not applicable)</v>
          </cell>
          <cell r="E31" t="str">
            <v>County (not applicable)</v>
          </cell>
          <cell r="F31" t="str">
            <v>County (not applicable)</v>
          </cell>
          <cell r="G31" t="str">
            <v>County (not applicable)</v>
          </cell>
          <cell r="H31" t="str">
            <v>County (not applicable)</v>
          </cell>
          <cell r="I31" t="str">
            <v>County (not applicable)</v>
          </cell>
          <cell r="J31" t="str">
            <v>County (not applicable)</v>
          </cell>
          <cell r="K31" t="str">
            <v>County (if applicable)</v>
          </cell>
        </row>
        <row r="32">
          <cell r="A32" t="str">
            <v>ProjState</v>
          </cell>
          <cell r="B32" t="str">
            <v>State</v>
          </cell>
          <cell r="C32" t="str">
            <v>Estado</v>
          </cell>
          <cell r="D32" t="str">
            <v>State (N.A.)</v>
          </cell>
          <cell r="E32" t="str">
            <v>State (N.A.)</v>
          </cell>
          <cell r="F32" t="str">
            <v>State (N.A.)</v>
          </cell>
          <cell r="G32" t="str">
            <v>State (N.A.)</v>
          </cell>
          <cell r="H32" t="str">
            <v>State (N.A.)</v>
          </cell>
          <cell r="I32" t="str">
            <v>State (N.A.)</v>
          </cell>
          <cell r="J32" t="str">
            <v>State (N.A.)</v>
          </cell>
          <cell r="K32" t="str">
            <v>State (if applicable)</v>
          </cell>
        </row>
        <row r="33">
          <cell r="A33" t="str">
            <v>ProjPostal</v>
          </cell>
          <cell r="B33" t="str">
            <v>Zip Code</v>
          </cell>
          <cell r="C33" t="str">
            <v>Código Postal</v>
          </cell>
          <cell r="D33" t="str">
            <v>Postal Code</v>
          </cell>
          <cell r="E33" t="str">
            <v>Postal Code</v>
          </cell>
          <cell r="F33" t="str">
            <v>Postal Code</v>
          </cell>
          <cell r="G33" t="str">
            <v>Postal Code</v>
          </cell>
          <cell r="H33" t="str">
            <v>Postal Code</v>
          </cell>
          <cell r="I33" t="str">
            <v>Postal Code</v>
          </cell>
          <cell r="J33" t="str">
            <v>Postal Code</v>
          </cell>
          <cell r="K33" t="str">
            <v>Postal Code</v>
          </cell>
        </row>
        <row r="34">
          <cell r="A34" t="str">
            <v>ProjCountry</v>
          </cell>
          <cell r="B34" t="str">
            <v>Country</v>
          </cell>
          <cell r="C34" t="str">
            <v>País</v>
          </cell>
          <cell r="D34" t="str">
            <v>Country</v>
          </cell>
          <cell r="E34" t="str">
            <v>Country</v>
          </cell>
          <cell r="F34" t="str">
            <v>Country</v>
          </cell>
          <cell r="G34" t="str">
            <v>Country</v>
          </cell>
          <cell r="H34" t="str">
            <v>Country</v>
          </cell>
          <cell r="I34" t="str">
            <v>Country</v>
          </cell>
          <cell r="J34" t="str">
            <v>Country</v>
          </cell>
          <cell r="K34" t="str">
            <v>Country</v>
          </cell>
        </row>
        <row r="36">
          <cell r="A36" t="str">
            <v>Salespersons</v>
          </cell>
          <cell r="B36" t="str">
            <v>Salespersons</v>
          </cell>
          <cell r="C36" t="str">
            <v>Vendedores</v>
          </cell>
          <cell r="D36" t="str">
            <v>Salespersons</v>
          </cell>
          <cell r="E36" t="str">
            <v>Salespersons</v>
          </cell>
          <cell r="F36" t="str">
            <v>Salespersons</v>
          </cell>
          <cell r="G36" t="str">
            <v>Salespersons</v>
          </cell>
          <cell r="H36" t="str">
            <v>Salespersons</v>
          </cell>
          <cell r="I36" t="str">
            <v>Salespersons</v>
          </cell>
          <cell r="J36" t="str">
            <v>Salespersons</v>
          </cell>
          <cell r="K36" t="str">
            <v>Salespersons</v>
          </cell>
        </row>
        <row r="37">
          <cell r="A37" t="str">
            <v>SP1Name</v>
          </cell>
          <cell r="B37" t="str">
            <v>Lead Name</v>
          </cell>
          <cell r="C37" t="str">
            <v>Nombre de Líder de Cta. O Proyecto</v>
          </cell>
          <cell r="D37" t="str">
            <v>Lead Name</v>
          </cell>
          <cell r="E37" t="str">
            <v>Lead Name</v>
          </cell>
          <cell r="F37" t="str">
            <v>Lead Name</v>
          </cell>
          <cell r="G37" t="str">
            <v>Lead Name</v>
          </cell>
          <cell r="H37" t="str">
            <v>Lead Name</v>
          </cell>
          <cell r="I37" t="str">
            <v>Lead Name</v>
          </cell>
          <cell r="J37" t="str">
            <v>Lead Name</v>
          </cell>
          <cell r="K37" t="str">
            <v>Lead Name</v>
          </cell>
        </row>
        <row r="38">
          <cell r="A38" t="str">
            <v>SP1Number</v>
          </cell>
          <cell r="B38" t="str">
            <v>Number</v>
          </cell>
          <cell r="C38" t="str">
            <v>Número</v>
          </cell>
          <cell r="D38" t="str">
            <v>Number</v>
          </cell>
          <cell r="E38" t="str">
            <v>Number</v>
          </cell>
          <cell r="F38" t="str">
            <v>Number</v>
          </cell>
          <cell r="G38" t="str">
            <v>Number</v>
          </cell>
          <cell r="H38" t="str">
            <v>Number</v>
          </cell>
          <cell r="I38" t="str">
            <v>Number</v>
          </cell>
          <cell r="J38" t="str">
            <v>Number</v>
          </cell>
          <cell r="K38" t="str">
            <v>Number</v>
          </cell>
        </row>
        <row r="39">
          <cell r="A39" t="str">
            <v>SP1Branch</v>
          </cell>
          <cell r="B39" t="str">
            <v>Branch</v>
          </cell>
          <cell r="C39" t="str">
            <v>Sucursal</v>
          </cell>
          <cell r="D39" t="str">
            <v>Branch</v>
          </cell>
          <cell r="E39" t="str">
            <v>Branch</v>
          </cell>
          <cell r="F39" t="str">
            <v>Branch</v>
          </cell>
          <cell r="G39" t="str">
            <v>Branch</v>
          </cell>
          <cell r="H39" t="str">
            <v>Branch</v>
          </cell>
          <cell r="I39" t="str">
            <v>Branch</v>
          </cell>
          <cell r="J39" t="str">
            <v>Branch</v>
          </cell>
          <cell r="K39" t="str">
            <v>Branch</v>
          </cell>
        </row>
        <row r="40">
          <cell r="A40" t="str">
            <v>SP1Credit</v>
          </cell>
          <cell r="B40" t="str">
            <v>Credit Percent</v>
          </cell>
          <cell r="C40" t="str">
            <v>Porcentaje de Crédito</v>
          </cell>
          <cell r="D40" t="str">
            <v>Credit Percent</v>
          </cell>
          <cell r="E40" t="str">
            <v>Credit Percent</v>
          </cell>
          <cell r="F40" t="str">
            <v>Credit Percent</v>
          </cell>
          <cell r="G40" t="str">
            <v>Credit Percent</v>
          </cell>
          <cell r="H40" t="str">
            <v>Credit Percent</v>
          </cell>
          <cell r="I40" t="str">
            <v>Credit Percent</v>
          </cell>
          <cell r="J40" t="str">
            <v>Credit Percent</v>
          </cell>
          <cell r="K40" t="str">
            <v>Credit Percent</v>
          </cell>
        </row>
        <row r="41">
          <cell r="A41" t="str">
            <v>SP2Name</v>
          </cell>
          <cell r="B41" t="str">
            <v>Name</v>
          </cell>
          <cell r="C41" t="str">
            <v>Nombre</v>
          </cell>
          <cell r="D41" t="str">
            <v>Name</v>
          </cell>
          <cell r="E41" t="str">
            <v>Name</v>
          </cell>
          <cell r="F41" t="str">
            <v>Name</v>
          </cell>
          <cell r="G41" t="str">
            <v>Name</v>
          </cell>
          <cell r="H41" t="str">
            <v>Name</v>
          </cell>
          <cell r="I41" t="str">
            <v>Name</v>
          </cell>
          <cell r="J41" t="str">
            <v>Name</v>
          </cell>
          <cell r="K41" t="str">
            <v>Name</v>
          </cell>
        </row>
        <row r="42">
          <cell r="A42" t="str">
            <v>SP2Number</v>
          </cell>
          <cell r="B42" t="str">
            <v>Number</v>
          </cell>
          <cell r="C42" t="str">
            <v>Número</v>
          </cell>
          <cell r="D42" t="str">
            <v>Number</v>
          </cell>
          <cell r="E42" t="str">
            <v>Number</v>
          </cell>
          <cell r="F42" t="str">
            <v>Number</v>
          </cell>
          <cell r="G42" t="str">
            <v>Number</v>
          </cell>
          <cell r="H42" t="str">
            <v>Number</v>
          </cell>
          <cell r="I42" t="str">
            <v>Number</v>
          </cell>
          <cell r="J42" t="str">
            <v>Number</v>
          </cell>
          <cell r="K42" t="str">
            <v>Number</v>
          </cell>
        </row>
        <row r="43">
          <cell r="A43" t="str">
            <v>SP2Branch</v>
          </cell>
          <cell r="B43" t="str">
            <v>Branch</v>
          </cell>
          <cell r="C43" t="str">
            <v>Sucursal</v>
          </cell>
          <cell r="D43" t="str">
            <v>Branch</v>
          </cell>
          <cell r="E43" t="str">
            <v>Branch</v>
          </cell>
          <cell r="F43" t="str">
            <v>Branch</v>
          </cell>
          <cell r="G43" t="str">
            <v>Branch</v>
          </cell>
          <cell r="H43" t="str">
            <v>Branch</v>
          </cell>
          <cell r="I43" t="str">
            <v>Branch</v>
          </cell>
          <cell r="J43" t="str">
            <v>Branch</v>
          </cell>
          <cell r="K43" t="str">
            <v>Branch</v>
          </cell>
        </row>
        <row r="44">
          <cell r="A44" t="str">
            <v>SP2Credit</v>
          </cell>
          <cell r="B44" t="str">
            <v>Credit Percent</v>
          </cell>
          <cell r="C44" t="str">
            <v>Porcentaje de Crédito</v>
          </cell>
          <cell r="D44" t="str">
            <v>Credit Percent</v>
          </cell>
          <cell r="E44" t="str">
            <v>Credit Percent</v>
          </cell>
          <cell r="F44" t="str">
            <v>Credit Percent</v>
          </cell>
          <cell r="G44" t="str">
            <v>Credit Percent</v>
          </cell>
          <cell r="H44" t="str">
            <v>Credit Percent</v>
          </cell>
          <cell r="I44" t="str">
            <v>Credit Percent</v>
          </cell>
          <cell r="J44" t="str">
            <v>Credit Percent</v>
          </cell>
          <cell r="K44" t="str">
            <v>Credit Percent</v>
          </cell>
        </row>
        <row r="45">
          <cell r="A45" t="str">
            <v>SP3Name</v>
          </cell>
          <cell r="B45" t="str">
            <v>Name</v>
          </cell>
          <cell r="C45" t="str">
            <v>Nombre</v>
          </cell>
          <cell r="D45" t="str">
            <v>Name</v>
          </cell>
          <cell r="E45" t="str">
            <v>Name</v>
          </cell>
          <cell r="F45" t="str">
            <v>Name</v>
          </cell>
          <cell r="G45" t="str">
            <v>Name</v>
          </cell>
          <cell r="H45" t="str">
            <v>Name</v>
          </cell>
          <cell r="I45" t="str">
            <v>Name</v>
          </cell>
          <cell r="J45" t="str">
            <v>Name</v>
          </cell>
          <cell r="K45" t="str">
            <v>Name</v>
          </cell>
        </row>
        <row r="46">
          <cell r="A46" t="str">
            <v>SP3Number</v>
          </cell>
          <cell r="B46" t="str">
            <v>Number</v>
          </cell>
          <cell r="C46" t="str">
            <v>Número</v>
          </cell>
          <cell r="D46" t="str">
            <v>Number</v>
          </cell>
          <cell r="E46" t="str">
            <v>Number</v>
          </cell>
          <cell r="F46" t="str">
            <v>Number</v>
          </cell>
          <cell r="G46" t="str">
            <v>Number</v>
          </cell>
          <cell r="H46" t="str">
            <v>Number</v>
          </cell>
          <cell r="I46" t="str">
            <v>Number</v>
          </cell>
          <cell r="J46" t="str">
            <v>Number</v>
          </cell>
          <cell r="K46" t="str">
            <v>Number</v>
          </cell>
        </row>
        <row r="47">
          <cell r="A47" t="str">
            <v>SP3Branch</v>
          </cell>
          <cell r="B47" t="str">
            <v>Branch</v>
          </cell>
          <cell r="C47" t="str">
            <v>Sucursal</v>
          </cell>
          <cell r="D47" t="str">
            <v>Branch</v>
          </cell>
          <cell r="E47" t="str">
            <v>Branch</v>
          </cell>
          <cell r="F47" t="str">
            <v>Branch</v>
          </cell>
          <cell r="G47" t="str">
            <v>Branch</v>
          </cell>
          <cell r="H47" t="str">
            <v>Branch</v>
          </cell>
          <cell r="I47" t="str">
            <v>Branch</v>
          </cell>
          <cell r="J47" t="str">
            <v>Branch</v>
          </cell>
          <cell r="K47" t="str">
            <v>Branch</v>
          </cell>
        </row>
        <row r="48">
          <cell r="A48" t="str">
            <v>SP3Credit</v>
          </cell>
          <cell r="B48" t="str">
            <v>Credit Percent</v>
          </cell>
          <cell r="C48" t="str">
            <v>Porcentaje de Crédito</v>
          </cell>
          <cell r="D48" t="str">
            <v>Credit Percent</v>
          </cell>
          <cell r="E48" t="str">
            <v>Credit Percent</v>
          </cell>
          <cell r="F48" t="str">
            <v>Credit Percent</v>
          </cell>
          <cell r="G48" t="str">
            <v>Credit Percent</v>
          </cell>
          <cell r="H48" t="str">
            <v>Credit Percent</v>
          </cell>
          <cell r="I48" t="str">
            <v>Credit Percent</v>
          </cell>
          <cell r="J48" t="str">
            <v>Credit Percent</v>
          </cell>
          <cell r="K48" t="str">
            <v>Credit Percent</v>
          </cell>
        </row>
        <row r="49">
          <cell r="A49" t="str">
            <v>SP4Name</v>
          </cell>
          <cell r="B49" t="str">
            <v>Name</v>
          </cell>
          <cell r="C49" t="str">
            <v>Nombre</v>
          </cell>
          <cell r="D49" t="str">
            <v>Name</v>
          </cell>
          <cell r="E49" t="str">
            <v>Name</v>
          </cell>
          <cell r="F49" t="str">
            <v>Name</v>
          </cell>
          <cell r="G49" t="str">
            <v>Name</v>
          </cell>
          <cell r="H49" t="str">
            <v>Name</v>
          </cell>
          <cell r="I49" t="str">
            <v>Name</v>
          </cell>
          <cell r="J49" t="str">
            <v>Name</v>
          </cell>
          <cell r="K49" t="str">
            <v>Name</v>
          </cell>
        </row>
        <row r="50">
          <cell r="A50" t="str">
            <v>SP4Number</v>
          </cell>
          <cell r="B50" t="str">
            <v>Number</v>
          </cell>
          <cell r="C50" t="str">
            <v>Número</v>
          </cell>
          <cell r="D50" t="str">
            <v>Number</v>
          </cell>
          <cell r="E50" t="str">
            <v>Number</v>
          </cell>
          <cell r="F50" t="str">
            <v>Number</v>
          </cell>
          <cell r="G50" t="str">
            <v>Number</v>
          </cell>
          <cell r="H50" t="str">
            <v>Number</v>
          </cell>
          <cell r="I50" t="str">
            <v>Number</v>
          </cell>
          <cell r="J50" t="str">
            <v>Number</v>
          </cell>
          <cell r="K50" t="str">
            <v>Number</v>
          </cell>
        </row>
        <row r="51">
          <cell r="A51" t="str">
            <v>SP4Branch</v>
          </cell>
          <cell r="B51" t="str">
            <v>Branch</v>
          </cell>
          <cell r="C51" t="str">
            <v>Sucursal</v>
          </cell>
          <cell r="D51" t="str">
            <v>Branch</v>
          </cell>
          <cell r="E51" t="str">
            <v>Branch</v>
          </cell>
          <cell r="F51" t="str">
            <v>Branch</v>
          </cell>
          <cell r="G51" t="str">
            <v>Branch</v>
          </cell>
          <cell r="H51" t="str">
            <v>Branch</v>
          </cell>
          <cell r="I51" t="str">
            <v>Branch</v>
          </cell>
          <cell r="J51" t="str">
            <v>Branch</v>
          </cell>
          <cell r="K51" t="str">
            <v>Branch</v>
          </cell>
        </row>
        <row r="52">
          <cell r="A52" t="str">
            <v>SP4Credit</v>
          </cell>
          <cell r="B52" t="str">
            <v>Credit Percent</v>
          </cell>
          <cell r="C52" t="str">
            <v>Porcentaje de Crédito</v>
          </cell>
          <cell r="D52" t="str">
            <v>Credit Percent</v>
          </cell>
          <cell r="E52" t="str">
            <v>Credit Percent</v>
          </cell>
          <cell r="F52" t="str">
            <v>Credit Percent</v>
          </cell>
          <cell r="G52" t="str">
            <v>Credit Percent</v>
          </cell>
          <cell r="H52" t="str">
            <v>Credit Percent</v>
          </cell>
          <cell r="I52" t="str">
            <v>Credit Percent</v>
          </cell>
          <cell r="J52" t="str">
            <v>Credit Percent</v>
          </cell>
          <cell r="K52" t="str">
            <v>Credit Percent</v>
          </cell>
        </row>
        <row r="53">
          <cell r="A53" t="str">
            <v>SP5Name</v>
          </cell>
          <cell r="B53" t="str">
            <v>Name</v>
          </cell>
          <cell r="C53" t="str">
            <v>Nombre</v>
          </cell>
          <cell r="D53" t="str">
            <v>Name</v>
          </cell>
          <cell r="E53" t="str">
            <v>Name</v>
          </cell>
          <cell r="F53" t="str">
            <v>Name</v>
          </cell>
          <cell r="G53" t="str">
            <v>Name</v>
          </cell>
          <cell r="H53" t="str">
            <v>Name</v>
          </cell>
          <cell r="I53" t="str">
            <v>Name</v>
          </cell>
          <cell r="J53" t="str">
            <v>Name</v>
          </cell>
          <cell r="K53" t="str">
            <v>Name</v>
          </cell>
        </row>
        <row r="54">
          <cell r="A54" t="str">
            <v>SP5Number</v>
          </cell>
          <cell r="B54" t="str">
            <v>Number</v>
          </cell>
          <cell r="C54" t="str">
            <v>Número</v>
          </cell>
          <cell r="D54" t="str">
            <v>Number</v>
          </cell>
          <cell r="E54" t="str">
            <v>Number</v>
          </cell>
          <cell r="F54" t="str">
            <v>Number</v>
          </cell>
          <cell r="G54" t="str">
            <v>Number</v>
          </cell>
          <cell r="H54" t="str">
            <v>Number</v>
          </cell>
          <cell r="I54" t="str">
            <v>Number</v>
          </cell>
          <cell r="J54" t="str">
            <v>Number</v>
          </cell>
          <cell r="K54" t="str">
            <v>Number</v>
          </cell>
        </row>
        <row r="55">
          <cell r="A55" t="str">
            <v>SP5Branch</v>
          </cell>
          <cell r="B55" t="str">
            <v>Branch</v>
          </cell>
          <cell r="C55" t="str">
            <v>Sucursal</v>
          </cell>
          <cell r="D55" t="str">
            <v>Branch</v>
          </cell>
          <cell r="E55" t="str">
            <v>Branch</v>
          </cell>
          <cell r="F55" t="str">
            <v>Branch</v>
          </cell>
          <cell r="G55" t="str">
            <v>Branch</v>
          </cell>
          <cell r="H55" t="str">
            <v>Branch</v>
          </cell>
          <cell r="I55" t="str">
            <v>Branch</v>
          </cell>
          <cell r="J55" t="str">
            <v>Branch</v>
          </cell>
          <cell r="K55" t="str">
            <v>Branch</v>
          </cell>
        </row>
        <row r="56">
          <cell r="A56" t="str">
            <v>SP5Credit</v>
          </cell>
          <cell r="B56" t="str">
            <v>Credit Percent</v>
          </cell>
          <cell r="C56" t="str">
            <v>Porcentaje de Crédito</v>
          </cell>
          <cell r="D56" t="str">
            <v>Credit Percent</v>
          </cell>
          <cell r="E56" t="str">
            <v>Credit Percent</v>
          </cell>
          <cell r="F56" t="str">
            <v>Credit Percent</v>
          </cell>
          <cell r="G56" t="str">
            <v>Credit Percent</v>
          </cell>
          <cell r="H56" t="str">
            <v>Credit Percent</v>
          </cell>
          <cell r="I56" t="str">
            <v>Credit Percent</v>
          </cell>
          <cell r="J56" t="str">
            <v>Credit Percent</v>
          </cell>
          <cell r="K56" t="str">
            <v>Credit Percent</v>
          </cell>
        </row>
        <row r="58">
          <cell r="A58" t="str">
            <v>ContWith</v>
          </cell>
          <cell r="B58" t="str">
            <v>Our Contract Is With</v>
          </cell>
          <cell r="C58" t="str">
            <v>Nuestro contrato es con:</v>
          </cell>
          <cell r="D58" t="str">
            <v>Our Contract Is With</v>
          </cell>
          <cell r="E58" t="str">
            <v>Our Contract Is With</v>
          </cell>
          <cell r="F58" t="str">
            <v>Our Contract Is With</v>
          </cell>
          <cell r="G58" t="str">
            <v>Our Contract Is With</v>
          </cell>
          <cell r="H58" t="str">
            <v>Our Contract Is With</v>
          </cell>
          <cell r="I58" t="str">
            <v>Our Contract Is With</v>
          </cell>
          <cell r="J58" t="str">
            <v>Our Contract Is With</v>
          </cell>
          <cell r="K58" t="str">
            <v>Our Contract Is With</v>
          </cell>
        </row>
        <row r="59">
          <cell r="A59" t="str">
            <v>ContWithName</v>
          </cell>
          <cell r="B59" t="str">
            <v>Name</v>
          </cell>
          <cell r="C59" t="str">
            <v>Nombre</v>
          </cell>
          <cell r="D59" t="str">
            <v>Name</v>
          </cell>
          <cell r="E59" t="str">
            <v>Name</v>
          </cell>
          <cell r="F59" t="str">
            <v>Name</v>
          </cell>
          <cell r="G59" t="str">
            <v>Name</v>
          </cell>
          <cell r="H59" t="str">
            <v>Name</v>
          </cell>
          <cell r="I59" t="str">
            <v>Name</v>
          </cell>
          <cell r="J59" t="str">
            <v>Name</v>
          </cell>
          <cell r="K59" t="str">
            <v>Name</v>
          </cell>
        </row>
        <row r="60">
          <cell r="A60" t="str">
            <v>ContWithAcct</v>
          </cell>
          <cell r="B60" t="str">
            <v>Account Number</v>
          </cell>
          <cell r="C60" t="str">
            <v>Número de Cuenta</v>
          </cell>
          <cell r="D60" t="str">
            <v>Account Number (if available)</v>
          </cell>
          <cell r="E60" t="str">
            <v>Account Number (if available)</v>
          </cell>
          <cell r="F60" t="str">
            <v>Account Number (if available)</v>
          </cell>
          <cell r="G60" t="str">
            <v>Account Number (not available)</v>
          </cell>
          <cell r="H60" t="str">
            <v>Account Number (not available)</v>
          </cell>
          <cell r="I60" t="str">
            <v>Account Number (if available)</v>
          </cell>
          <cell r="J60" t="str">
            <v>Account Number (not available)</v>
          </cell>
          <cell r="K60" t="str">
            <v>Account Number (if available)</v>
          </cell>
        </row>
        <row r="61">
          <cell r="A61" t="str">
            <v>FiscalIDNum</v>
          </cell>
          <cell r="B61" t="str">
            <v>Fiscal ID Number</v>
          </cell>
          <cell r="C61" t="str">
            <v>RFC</v>
          </cell>
          <cell r="D61" t="str">
            <v>Fiscal ID Number (if available)</v>
          </cell>
          <cell r="E61" t="str">
            <v>Fiscal ID Number (if available)</v>
          </cell>
          <cell r="F61" t="str">
            <v>Fiscal ID Number (if available)</v>
          </cell>
          <cell r="G61" t="str">
            <v>Fiscal ID Number (not available)</v>
          </cell>
          <cell r="H61" t="str">
            <v>Fiscal ID Number (not available)</v>
          </cell>
          <cell r="I61" t="str">
            <v>Fiscal ID Number (if available)</v>
          </cell>
          <cell r="J61" t="str">
            <v>Fiscal ID Number (not available)</v>
          </cell>
          <cell r="K61" t="str">
            <v>Fiscal ID Number (if available)</v>
          </cell>
        </row>
        <row r="62">
          <cell r="A62" t="str">
            <v>ContWithPrio</v>
          </cell>
          <cell r="B62" t="str">
            <v>Priority</v>
          </cell>
          <cell r="C62" t="str">
            <v>Prioridad</v>
          </cell>
          <cell r="D62" t="str">
            <v>Priority</v>
          </cell>
          <cell r="E62" t="str">
            <v>Priority</v>
          </cell>
          <cell r="F62" t="str">
            <v>Priority</v>
          </cell>
          <cell r="G62" t="str">
            <v>Priority</v>
          </cell>
          <cell r="H62" t="str">
            <v>Priority</v>
          </cell>
          <cell r="I62" t="str">
            <v>Priority</v>
          </cell>
          <cell r="J62" t="str">
            <v>Priority</v>
          </cell>
          <cell r="K62" t="str">
            <v>Priority</v>
          </cell>
        </row>
        <row r="64">
          <cell r="A64" t="str">
            <v>EngFirm</v>
          </cell>
          <cell r="B64" t="str">
            <v>Engineering Firm</v>
          </cell>
          <cell r="C64" t="str">
            <v>Despacho de Ingeniería/Arquitectura</v>
          </cell>
          <cell r="D64" t="str">
            <v>Consulting Firm</v>
          </cell>
          <cell r="E64" t="str">
            <v>Consulting Firm</v>
          </cell>
          <cell r="F64" t="str">
            <v>Consulting Firm</v>
          </cell>
          <cell r="G64" t="str">
            <v>Consulting Firm</v>
          </cell>
          <cell r="H64" t="str">
            <v>Consulting Firm</v>
          </cell>
          <cell r="I64" t="str">
            <v>Consulting Firm</v>
          </cell>
          <cell r="J64" t="str">
            <v>Consulting Firm</v>
          </cell>
          <cell r="K64" t="str">
            <v>Consulting Firm</v>
          </cell>
        </row>
        <row r="65">
          <cell r="A65" t="str">
            <v>EngName</v>
          </cell>
          <cell r="B65" t="str">
            <v>Name</v>
          </cell>
          <cell r="C65" t="str">
            <v>Nombre</v>
          </cell>
          <cell r="D65" t="str">
            <v>Name</v>
          </cell>
          <cell r="E65" t="str">
            <v>Name</v>
          </cell>
          <cell r="F65" t="str">
            <v>Name</v>
          </cell>
          <cell r="G65" t="str">
            <v>Name</v>
          </cell>
          <cell r="H65" t="str">
            <v>Name</v>
          </cell>
          <cell r="I65" t="str">
            <v>Name</v>
          </cell>
          <cell r="J65" t="str">
            <v>Name</v>
          </cell>
          <cell r="K65" t="str">
            <v>Name</v>
          </cell>
        </row>
        <row r="66">
          <cell r="A66" t="str">
            <v>EngAddress</v>
          </cell>
          <cell r="B66" t="str">
            <v>Address</v>
          </cell>
          <cell r="C66" t="str">
            <v>Dirección</v>
          </cell>
          <cell r="D66" t="str">
            <v>Address</v>
          </cell>
          <cell r="E66" t="str">
            <v>Address</v>
          </cell>
          <cell r="F66" t="str">
            <v>Address</v>
          </cell>
          <cell r="G66" t="str">
            <v>Address</v>
          </cell>
          <cell r="H66" t="str">
            <v>Address</v>
          </cell>
          <cell r="I66" t="str">
            <v>Address</v>
          </cell>
          <cell r="J66" t="str">
            <v>Address</v>
          </cell>
          <cell r="K66" t="str">
            <v>Address</v>
          </cell>
        </row>
        <row r="67">
          <cell r="A67" t="str">
            <v>EngCity</v>
          </cell>
          <cell r="B67" t="str">
            <v>City</v>
          </cell>
          <cell r="C67" t="str">
            <v>Ciudad</v>
          </cell>
          <cell r="D67" t="str">
            <v>City</v>
          </cell>
          <cell r="E67" t="str">
            <v>City</v>
          </cell>
          <cell r="F67" t="str">
            <v>City</v>
          </cell>
          <cell r="G67" t="str">
            <v>City</v>
          </cell>
          <cell r="H67" t="str">
            <v>City</v>
          </cell>
          <cell r="I67" t="str">
            <v>City</v>
          </cell>
          <cell r="J67" t="str">
            <v>City</v>
          </cell>
          <cell r="K67" t="str">
            <v>City</v>
          </cell>
        </row>
        <row r="68">
          <cell r="A68" t="str">
            <v>EngState</v>
          </cell>
          <cell r="B68" t="str">
            <v>State</v>
          </cell>
          <cell r="C68" t="str">
            <v>Estado</v>
          </cell>
          <cell r="D68" t="str">
            <v>State (N.A.)</v>
          </cell>
          <cell r="E68" t="str">
            <v>State (N.A.)</v>
          </cell>
          <cell r="F68" t="str">
            <v>State (N.A.)</v>
          </cell>
          <cell r="G68" t="str">
            <v>State (N.A.)</v>
          </cell>
          <cell r="H68" t="str">
            <v>State (N.A.)</v>
          </cell>
          <cell r="I68" t="str">
            <v>State (N.A.)</v>
          </cell>
          <cell r="J68" t="str">
            <v>State (N.A.)</v>
          </cell>
          <cell r="K68" t="str">
            <v>State (if applicable)</v>
          </cell>
        </row>
        <row r="69">
          <cell r="A69" t="str">
            <v>EngPostal</v>
          </cell>
          <cell r="B69" t="str">
            <v>Zip Code</v>
          </cell>
          <cell r="C69" t="str">
            <v>Código Postal</v>
          </cell>
          <cell r="D69" t="str">
            <v>Postal Code</v>
          </cell>
          <cell r="E69" t="str">
            <v>Postal Code</v>
          </cell>
          <cell r="F69" t="str">
            <v>Postal Code</v>
          </cell>
          <cell r="G69" t="str">
            <v>Postal Code</v>
          </cell>
          <cell r="H69" t="str">
            <v>Postal Code</v>
          </cell>
          <cell r="I69" t="str">
            <v>Postal Code</v>
          </cell>
          <cell r="J69" t="str">
            <v>Postal Code</v>
          </cell>
          <cell r="K69" t="str">
            <v>Postal Code</v>
          </cell>
        </row>
        <row r="70">
          <cell r="A70" t="str">
            <v>EngPrio</v>
          </cell>
          <cell r="B70" t="str">
            <v>Priority</v>
          </cell>
          <cell r="C70" t="str">
            <v>Prioridad</v>
          </cell>
          <cell r="D70" t="str">
            <v>Priority</v>
          </cell>
          <cell r="E70" t="str">
            <v>Priority</v>
          </cell>
          <cell r="F70" t="str">
            <v>Priority</v>
          </cell>
          <cell r="G70" t="str">
            <v>Priority</v>
          </cell>
          <cell r="H70" t="str">
            <v>Priority</v>
          </cell>
          <cell r="I70" t="str">
            <v>Priority</v>
          </cell>
          <cell r="J70" t="str">
            <v>Priority</v>
          </cell>
          <cell r="K70" t="str">
            <v>Priority</v>
          </cell>
        </row>
        <row r="72">
          <cell r="A72" t="str">
            <v>PrimeCont</v>
          </cell>
          <cell r="B72" t="str">
            <v>Prime Contractor</v>
          </cell>
          <cell r="C72" t="str">
            <v>Contratista Principal</v>
          </cell>
          <cell r="D72" t="str">
            <v>Main Contractor</v>
          </cell>
          <cell r="E72" t="str">
            <v>Main Contractor</v>
          </cell>
          <cell r="F72" t="str">
            <v>Main Contractor</v>
          </cell>
          <cell r="G72" t="str">
            <v>General Contractor</v>
          </cell>
          <cell r="H72" t="str">
            <v>General Contractor</v>
          </cell>
          <cell r="I72" t="str">
            <v>Main Contractor</v>
          </cell>
          <cell r="J72" t="str">
            <v>General Contractor</v>
          </cell>
          <cell r="K72" t="str">
            <v>Main Contractor</v>
          </cell>
        </row>
        <row r="73">
          <cell r="A73" t="str">
            <v>PrimeName</v>
          </cell>
          <cell r="B73" t="str">
            <v>Name</v>
          </cell>
          <cell r="C73" t="str">
            <v>Nombre</v>
          </cell>
          <cell r="D73" t="str">
            <v>Name</v>
          </cell>
          <cell r="E73" t="str">
            <v>Name</v>
          </cell>
          <cell r="F73" t="str">
            <v>Name</v>
          </cell>
          <cell r="G73" t="str">
            <v>Name</v>
          </cell>
          <cell r="H73" t="str">
            <v>Name</v>
          </cell>
          <cell r="I73" t="str">
            <v>Name</v>
          </cell>
          <cell r="J73" t="str">
            <v>Name</v>
          </cell>
          <cell r="K73" t="str">
            <v>Name</v>
          </cell>
        </row>
        <row r="74">
          <cell r="A74" t="str">
            <v>PrimeAddress</v>
          </cell>
          <cell r="B74" t="str">
            <v>Address</v>
          </cell>
          <cell r="C74" t="str">
            <v xml:space="preserve">Dirección </v>
          </cell>
          <cell r="D74" t="str">
            <v>Address</v>
          </cell>
          <cell r="E74" t="str">
            <v>Address</v>
          </cell>
          <cell r="F74" t="str">
            <v>Address</v>
          </cell>
          <cell r="G74" t="str">
            <v>Address</v>
          </cell>
          <cell r="H74" t="str">
            <v>Address</v>
          </cell>
          <cell r="I74" t="str">
            <v>Address</v>
          </cell>
          <cell r="J74" t="str">
            <v>Address</v>
          </cell>
          <cell r="K74" t="str">
            <v>Address</v>
          </cell>
        </row>
        <row r="75">
          <cell r="A75" t="str">
            <v>PrimeCity</v>
          </cell>
          <cell r="B75" t="str">
            <v>City</v>
          </cell>
          <cell r="C75" t="str">
            <v>Ciudad</v>
          </cell>
          <cell r="D75" t="str">
            <v>City</v>
          </cell>
          <cell r="E75" t="str">
            <v>City</v>
          </cell>
          <cell r="F75" t="str">
            <v>City</v>
          </cell>
          <cell r="G75" t="str">
            <v>City</v>
          </cell>
          <cell r="H75" t="str">
            <v>City</v>
          </cell>
          <cell r="I75" t="str">
            <v>City</v>
          </cell>
          <cell r="J75" t="str">
            <v>City</v>
          </cell>
          <cell r="K75" t="str">
            <v>City</v>
          </cell>
        </row>
        <row r="76">
          <cell r="A76" t="str">
            <v>PrimeState</v>
          </cell>
          <cell r="B76" t="str">
            <v>State</v>
          </cell>
          <cell r="C76" t="str">
            <v>Estado</v>
          </cell>
          <cell r="D76" t="str">
            <v>State (N.A.)</v>
          </cell>
          <cell r="E76" t="str">
            <v>State (N.A.)</v>
          </cell>
          <cell r="F76" t="str">
            <v>State (N.A.)</v>
          </cell>
          <cell r="G76" t="str">
            <v>State (N.A.)</v>
          </cell>
          <cell r="H76" t="str">
            <v>State (N.A.)</v>
          </cell>
          <cell r="I76" t="str">
            <v>State (N.A.)</v>
          </cell>
          <cell r="J76" t="str">
            <v>State (N.A.)</v>
          </cell>
          <cell r="K76" t="str">
            <v>State (if applicable)</v>
          </cell>
        </row>
        <row r="77">
          <cell r="A77" t="str">
            <v>PrimePostal</v>
          </cell>
          <cell r="B77" t="str">
            <v>Zip Code</v>
          </cell>
          <cell r="C77" t="str">
            <v>Código Postal</v>
          </cell>
          <cell r="D77" t="str">
            <v>Postal Code</v>
          </cell>
          <cell r="E77" t="str">
            <v>Postal Code</v>
          </cell>
          <cell r="F77" t="str">
            <v>Postal Code</v>
          </cell>
          <cell r="G77" t="str">
            <v>Postal Code</v>
          </cell>
          <cell r="H77" t="str">
            <v>Postal Code</v>
          </cell>
          <cell r="I77" t="str">
            <v>Postal Code</v>
          </cell>
          <cell r="J77" t="str">
            <v>Postal Code</v>
          </cell>
          <cell r="K77" t="str">
            <v>Postal Code</v>
          </cell>
        </row>
        <row r="78">
          <cell r="A78" t="str">
            <v>PrimePrio</v>
          </cell>
          <cell r="B78" t="str">
            <v>Priority</v>
          </cell>
          <cell r="C78" t="str">
            <v>Prioridad</v>
          </cell>
          <cell r="D78" t="str">
            <v>Priority</v>
          </cell>
          <cell r="E78" t="str">
            <v>Priority</v>
          </cell>
          <cell r="F78" t="str">
            <v>Priority</v>
          </cell>
          <cell r="G78" t="str">
            <v>Priority</v>
          </cell>
          <cell r="H78" t="str">
            <v>Priority</v>
          </cell>
          <cell r="I78" t="str">
            <v>Priority</v>
          </cell>
          <cell r="J78" t="str">
            <v>Priority</v>
          </cell>
          <cell r="K78" t="str">
            <v>Priority</v>
          </cell>
        </row>
        <row r="80">
          <cell r="A80" t="str">
            <v>ProdInfo</v>
          </cell>
          <cell r="B80" t="str">
            <v>Product Information</v>
          </cell>
          <cell r="C80" t="str">
            <v>Información del Producto</v>
          </cell>
          <cell r="D80" t="str">
            <v>Product Information</v>
          </cell>
          <cell r="E80" t="str">
            <v>Product Information</v>
          </cell>
          <cell r="F80" t="str">
            <v>Product Information</v>
          </cell>
          <cell r="G80" t="str">
            <v>Product Information</v>
          </cell>
          <cell r="H80" t="str">
            <v>Product Information</v>
          </cell>
          <cell r="I80" t="str">
            <v>Product Information</v>
          </cell>
          <cell r="J80" t="str">
            <v>Product Information</v>
          </cell>
          <cell r="K80" t="str">
            <v>Product Information</v>
          </cell>
        </row>
        <row r="81">
          <cell r="A81" t="str">
            <v>ProdCode1</v>
          </cell>
          <cell r="B81" t="str">
            <v>Product Code 1</v>
          </cell>
          <cell r="C81" t="str">
            <v>Código del Producto 1</v>
          </cell>
          <cell r="D81" t="str">
            <v>Product Code 1</v>
          </cell>
          <cell r="E81" t="str">
            <v>Product Code 1</v>
          </cell>
          <cell r="F81" t="str">
            <v>Product Code 1</v>
          </cell>
          <cell r="G81" t="str">
            <v>Product Code 1</v>
          </cell>
          <cell r="H81" t="str">
            <v>Product Code 1</v>
          </cell>
          <cell r="I81" t="str">
            <v>Product Code 1</v>
          </cell>
          <cell r="J81" t="str">
            <v>Product Code 1</v>
          </cell>
          <cell r="K81" t="str">
            <v>Product Code 1</v>
          </cell>
        </row>
        <row r="82">
          <cell r="A82" t="str">
            <v>ProdPct1</v>
          </cell>
          <cell r="B82" t="str">
            <v>Product Percent 1</v>
          </cell>
          <cell r="C82" t="str">
            <v>Porcentaje del Producto 1</v>
          </cell>
          <cell r="D82" t="str">
            <v>Product Percent 1</v>
          </cell>
          <cell r="E82" t="str">
            <v>Product Percent 1</v>
          </cell>
          <cell r="F82" t="str">
            <v>Product Percent 1</v>
          </cell>
          <cell r="G82" t="str">
            <v>Product Percent 1</v>
          </cell>
          <cell r="H82" t="str">
            <v>Product Percent 1</v>
          </cell>
          <cell r="I82" t="str">
            <v>Product Percent 1</v>
          </cell>
          <cell r="J82" t="str">
            <v>Product Percent 1</v>
          </cell>
          <cell r="K82" t="str">
            <v>Product Percent 1</v>
          </cell>
        </row>
        <row r="83">
          <cell r="A83" t="str">
            <v>SrvcCode1</v>
          </cell>
          <cell r="B83" t="str">
            <v>Service Code 1</v>
          </cell>
          <cell r="C83" t="str">
            <v>Código del Servicio 1</v>
          </cell>
          <cell r="D83" t="str">
            <v>Service Code 1</v>
          </cell>
          <cell r="E83" t="str">
            <v>Service Code 1</v>
          </cell>
          <cell r="F83" t="str">
            <v>Service Code 1</v>
          </cell>
          <cell r="G83" t="str">
            <v>Service Code 1</v>
          </cell>
          <cell r="H83" t="str">
            <v>Service Code 1</v>
          </cell>
          <cell r="I83" t="str">
            <v>Service Code 1</v>
          </cell>
          <cell r="J83" t="str">
            <v>Service Code 1</v>
          </cell>
          <cell r="K83" t="str">
            <v>Service Code 1</v>
          </cell>
        </row>
        <row r="84">
          <cell r="A84" t="str">
            <v>ProdCode2</v>
          </cell>
          <cell r="B84" t="str">
            <v>Product Code 2</v>
          </cell>
          <cell r="C84" t="str">
            <v>Código del Producto 2</v>
          </cell>
          <cell r="D84" t="str">
            <v>Product Code 2</v>
          </cell>
          <cell r="E84" t="str">
            <v>Product Code 2</v>
          </cell>
          <cell r="F84" t="str">
            <v>Product Code 2</v>
          </cell>
          <cell r="G84" t="str">
            <v>Product Code 2</v>
          </cell>
          <cell r="H84" t="str">
            <v>Product Code 2</v>
          </cell>
          <cell r="I84" t="str">
            <v>Product Code 2</v>
          </cell>
          <cell r="J84" t="str">
            <v>Product Code 2</v>
          </cell>
          <cell r="K84" t="str">
            <v>Product Code 2</v>
          </cell>
        </row>
        <row r="85">
          <cell r="A85" t="str">
            <v>ProdPct2</v>
          </cell>
          <cell r="B85" t="str">
            <v>Product Percent 2</v>
          </cell>
          <cell r="C85" t="str">
            <v>Porcentaje del Producto 2</v>
          </cell>
          <cell r="D85" t="str">
            <v>Product Percent 2</v>
          </cell>
          <cell r="E85" t="str">
            <v>Product Percent 2</v>
          </cell>
          <cell r="F85" t="str">
            <v>Product Percent 2</v>
          </cell>
          <cell r="G85" t="str">
            <v>Product Percent 2</v>
          </cell>
          <cell r="H85" t="str">
            <v>Product Percent 2</v>
          </cell>
          <cell r="I85" t="str">
            <v>Product Percent 2</v>
          </cell>
          <cell r="J85" t="str">
            <v>Product Percent 2</v>
          </cell>
          <cell r="K85" t="str">
            <v>Product Percent 2</v>
          </cell>
        </row>
        <row r="86">
          <cell r="A86" t="str">
            <v>SrvcCode2</v>
          </cell>
          <cell r="B86" t="str">
            <v>Service Code 2</v>
          </cell>
          <cell r="C86" t="str">
            <v>Código del Servicio 2</v>
          </cell>
          <cell r="D86" t="str">
            <v>Service Code 2</v>
          </cell>
          <cell r="E86" t="str">
            <v>Service Code 2</v>
          </cell>
          <cell r="F86" t="str">
            <v>Service Code 2</v>
          </cell>
          <cell r="G86" t="str">
            <v>Service Code 2</v>
          </cell>
          <cell r="H86" t="str">
            <v>Service Code 2</v>
          </cell>
          <cell r="I86" t="str">
            <v>Service Code 2</v>
          </cell>
          <cell r="J86" t="str">
            <v>Service Code 2</v>
          </cell>
          <cell r="K86" t="str">
            <v>Service Code 2</v>
          </cell>
        </row>
        <row r="87">
          <cell r="A87" t="str">
            <v>ProdCode3</v>
          </cell>
          <cell r="B87" t="str">
            <v>Product Code 3</v>
          </cell>
          <cell r="C87" t="str">
            <v>Código del Producto 3</v>
          </cell>
          <cell r="D87" t="str">
            <v>Product Code 3</v>
          </cell>
          <cell r="E87" t="str">
            <v>Product Code 3</v>
          </cell>
          <cell r="F87" t="str">
            <v>Product Code 3</v>
          </cell>
          <cell r="G87" t="str">
            <v>Product Code 3</v>
          </cell>
          <cell r="H87" t="str">
            <v>Product Code 3</v>
          </cell>
          <cell r="I87" t="str">
            <v>Product Code 3</v>
          </cell>
          <cell r="J87" t="str">
            <v>Product Code 3</v>
          </cell>
          <cell r="K87" t="str">
            <v>Product Code 3</v>
          </cell>
        </row>
        <row r="88">
          <cell r="A88" t="str">
            <v>ProdPct3</v>
          </cell>
          <cell r="B88" t="str">
            <v>Product Percent 3</v>
          </cell>
          <cell r="C88" t="str">
            <v>Porcentaje del Producto 3</v>
          </cell>
          <cell r="D88" t="str">
            <v>Product Percent 3</v>
          </cell>
          <cell r="E88" t="str">
            <v>Product Percent 3</v>
          </cell>
          <cell r="F88" t="str">
            <v>Product Percent 3</v>
          </cell>
          <cell r="G88" t="str">
            <v>Product Percent 3</v>
          </cell>
          <cell r="H88" t="str">
            <v>Product Percent 3</v>
          </cell>
          <cell r="I88" t="str">
            <v>Product Percent 3</v>
          </cell>
          <cell r="J88" t="str">
            <v>Product Percent 3</v>
          </cell>
          <cell r="K88" t="str">
            <v>Product Percent 3</v>
          </cell>
        </row>
        <row r="89">
          <cell r="A89" t="str">
            <v>SrvcCode3</v>
          </cell>
          <cell r="B89" t="str">
            <v>Service Code 3</v>
          </cell>
          <cell r="C89" t="str">
            <v>Código del Servicio 3</v>
          </cell>
          <cell r="D89" t="str">
            <v>Service Code 3</v>
          </cell>
          <cell r="E89" t="str">
            <v>Service Code 3</v>
          </cell>
          <cell r="F89" t="str">
            <v>Service Code 3</v>
          </cell>
          <cell r="G89" t="str">
            <v>Service Code 3</v>
          </cell>
          <cell r="H89" t="str">
            <v>Service Code 3</v>
          </cell>
          <cell r="I89" t="str">
            <v>Service Code 3</v>
          </cell>
          <cell r="J89" t="str">
            <v>Service Code 3</v>
          </cell>
          <cell r="K89" t="str">
            <v>Service Code 3</v>
          </cell>
        </row>
        <row r="90">
          <cell r="A90" t="str">
            <v>ProdCode4</v>
          </cell>
          <cell r="B90" t="str">
            <v>Product Code 4</v>
          </cell>
          <cell r="C90" t="str">
            <v>Código del Producto 4</v>
          </cell>
          <cell r="D90" t="str">
            <v>Product Code 4</v>
          </cell>
          <cell r="E90" t="str">
            <v>Product Code 4</v>
          </cell>
          <cell r="F90" t="str">
            <v>Product Code 4</v>
          </cell>
          <cell r="G90" t="str">
            <v>Product Code 4</v>
          </cell>
          <cell r="H90" t="str">
            <v>Product Code 4</v>
          </cell>
          <cell r="I90" t="str">
            <v>Product Code 4</v>
          </cell>
          <cell r="J90" t="str">
            <v>Product Code 4</v>
          </cell>
          <cell r="K90" t="str">
            <v>Product Code 4</v>
          </cell>
        </row>
        <row r="91">
          <cell r="A91" t="str">
            <v>ProdPct4</v>
          </cell>
          <cell r="B91" t="str">
            <v>Product Percent 4</v>
          </cell>
          <cell r="C91" t="str">
            <v>Porcentaje del Producto 4</v>
          </cell>
          <cell r="D91" t="str">
            <v>Product Percent 4</v>
          </cell>
          <cell r="E91" t="str">
            <v>Product Percent 4</v>
          </cell>
          <cell r="F91" t="str">
            <v>Product Percent 4</v>
          </cell>
          <cell r="G91" t="str">
            <v>Product Percent 4</v>
          </cell>
          <cell r="H91" t="str">
            <v>Product Percent 4</v>
          </cell>
          <cell r="I91" t="str">
            <v>Product Percent 4</v>
          </cell>
          <cell r="J91" t="str">
            <v>Product Percent 4</v>
          </cell>
          <cell r="K91" t="str">
            <v>Product Percent 4</v>
          </cell>
        </row>
        <row r="92">
          <cell r="A92" t="str">
            <v>SrvcCode4</v>
          </cell>
          <cell r="B92" t="str">
            <v>Service Code 4</v>
          </cell>
          <cell r="C92" t="str">
            <v>Código del Servicio 4</v>
          </cell>
          <cell r="D92" t="str">
            <v>Service Code 4</v>
          </cell>
          <cell r="E92" t="str">
            <v>Service Code 4</v>
          </cell>
          <cell r="F92" t="str">
            <v>Service Code 4</v>
          </cell>
          <cell r="G92" t="str">
            <v>Service Code 4</v>
          </cell>
          <cell r="H92" t="str">
            <v>Service Code 4</v>
          </cell>
          <cell r="I92" t="str">
            <v>Service Code 4</v>
          </cell>
          <cell r="J92" t="str">
            <v>Service Code 4</v>
          </cell>
          <cell r="K92" t="str">
            <v>Service Code 4</v>
          </cell>
        </row>
        <row r="93">
          <cell r="A93" t="str">
            <v>ProdCode5</v>
          </cell>
          <cell r="B93" t="str">
            <v>Product Code 5</v>
          </cell>
          <cell r="C93" t="str">
            <v>Código del Producto 5</v>
          </cell>
          <cell r="D93" t="str">
            <v>Product Code 5</v>
          </cell>
          <cell r="E93" t="str">
            <v>Product Code 5</v>
          </cell>
          <cell r="F93" t="str">
            <v>Product Code 5</v>
          </cell>
          <cell r="G93" t="str">
            <v>Product Code 5</v>
          </cell>
          <cell r="H93" t="str">
            <v>Product Code 5</v>
          </cell>
          <cell r="I93" t="str">
            <v>Product Code 5</v>
          </cell>
          <cell r="J93" t="str">
            <v>Product Code 5</v>
          </cell>
          <cell r="K93" t="str">
            <v>Product Code 5</v>
          </cell>
        </row>
        <row r="94">
          <cell r="A94" t="str">
            <v>ProdPct5</v>
          </cell>
          <cell r="B94" t="str">
            <v>Product Percent 5</v>
          </cell>
          <cell r="C94" t="str">
            <v>Porcentaje del Producto 5</v>
          </cell>
          <cell r="D94" t="str">
            <v>Product Percent 5</v>
          </cell>
          <cell r="E94" t="str">
            <v>Product Percent 5</v>
          </cell>
          <cell r="F94" t="str">
            <v>Product Percent 5</v>
          </cell>
          <cell r="G94" t="str">
            <v>Product Percent 5</v>
          </cell>
          <cell r="H94" t="str">
            <v>Product Percent 5</v>
          </cell>
          <cell r="I94" t="str">
            <v>Product Percent 5</v>
          </cell>
          <cell r="J94" t="str">
            <v>Product Percent 5</v>
          </cell>
          <cell r="K94" t="str">
            <v>Product Percent 5</v>
          </cell>
        </row>
        <row r="95">
          <cell r="A95" t="str">
            <v>SrvcCode5</v>
          </cell>
          <cell r="B95" t="str">
            <v>Service Code 5</v>
          </cell>
          <cell r="C95" t="str">
            <v>Código del Servicio 5</v>
          </cell>
          <cell r="D95" t="str">
            <v>Service Code 5</v>
          </cell>
          <cell r="E95" t="str">
            <v>Service Code 5</v>
          </cell>
          <cell r="F95" t="str">
            <v>Service Code 5</v>
          </cell>
          <cell r="G95" t="str">
            <v>Service Code 5</v>
          </cell>
          <cell r="H95" t="str">
            <v>Service Code 5</v>
          </cell>
          <cell r="I95" t="str">
            <v>Service Code 5</v>
          </cell>
          <cell r="J95" t="str">
            <v>Service Code 5</v>
          </cell>
          <cell r="K95" t="str">
            <v>Service Code 5</v>
          </cell>
        </row>
        <row r="97">
          <cell r="A97" t="str">
            <v>AcctInfo</v>
          </cell>
          <cell r="B97" t="str">
            <v>Account Information</v>
          </cell>
          <cell r="C97" t="str">
            <v>Información de la Cuenta</v>
          </cell>
          <cell r="D97" t="str">
            <v>Account Information</v>
          </cell>
          <cell r="E97" t="str">
            <v>Account Information</v>
          </cell>
          <cell r="F97" t="str">
            <v>Account Information</v>
          </cell>
          <cell r="G97" t="str">
            <v>Account Information</v>
          </cell>
          <cell r="H97" t="str">
            <v>Account Information</v>
          </cell>
          <cell r="I97" t="str">
            <v>Account Information</v>
          </cell>
          <cell r="J97" t="str">
            <v>Account Information</v>
          </cell>
          <cell r="K97" t="str">
            <v>Account Information</v>
          </cell>
        </row>
        <row r="98">
          <cell r="A98" t="str">
            <v>AcctName</v>
          </cell>
          <cell r="B98" t="str">
            <v>Account Name</v>
          </cell>
          <cell r="C98" t="str">
            <v>Nombre de la Cuenta</v>
          </cell>
          <cell r="D98" t="str">
            <v>Account Name</v>
          </cell>
          <cell r="E98" t="str">
            <v>Account Name</v>
          </cell>
          <cell r="F98" t="str">
            <v>Account Name</v>
          </cell>
          <cell r="G98" t="str">
            <v>Account Name</v>
          </cell>
          <cell r="H98" t="str">
            <v>Account Name</v>
          </cell>
          <cell r="I98" t="str">
            <v>Account Name</v>
          </cell>
          <cell r="J98" t="str">
            <v>Account Name</v>
          </cell>
          <cell r="K98" t="str">
            <v>Account Name</v>
          </cell>
        </row>
        <row r="99">
          <cell r="A99" t="str">
            <v>SiteType</v>
          </cell>
          <cell r="B99" t="str">
            <v>Site Type</v>
          </cell>
          <cell r="C99" t="str">
            <v>Tipo de Obra / Site</v>
          </cell>
          <cell r="D99" t="str">
            <v>Site Type</v>
          </cell>
          <cell r="E99" t="str">
            <v>Site Type</v>
          </cell>
          <cell r="F99" t="str">
            <v>Site Type</v>
          </cell>
          <cell r="G99" t="str">
            <v>Site Type</v>
          </cell>
          <cell r="H99" t="str">
            <v>Site Type</v>
          </cell>
          <cell r="I99" t="str">
            <v>Site Type</v>
          </cell>
          <cell r="J99" t="str">
            <v>Site Type</v>
          </cell>
          <cell r="K99" t="str">
            <v>Site Type</v>
          </cell>
        </row>
        <row r="100">
          <cell r="A100" t="str">
            <v>SiteID</v>
          </cell>
          <cell r="B100" t="str">
            <v>Site ID</v>
          </cell>
          <cell r="C100" t="str">
            <v>ID / Clave de Obra / Site</v>
          </cell>
          <cell r="D100" t="str">
            <v>Site ID</v>
          </cell>
          <cell r="E100" t="str">
            <v>Site ID</v>
          </cell>
          <cell r="F100" t="str">
            <v>Site ID</v>
          </cell>
          <cell r="G100" t="str">
            <v>Site ID</v>
          </cell>
          <cell r="H100" t="str">
            <v>Site ID</v>
          </cell>
          <cell r="I100" t="str">
            <v>Site ID</v>
          </cell>
          <cell r="J100" t="str">
            <v>Site ID</v>
          </cell>
          <cell r="K100" t="str">
            <v>Site ID</v>
          </cell>
        </row>
        <row r="101">
          <cell r="A101" t="str">
            <v>AcctPrio</v>
          </cell>
          <cell r="B101" t="str">
            <v>Priority</v>
          </cell>
          <cell r="C101" t="str">
            <v>Prioridad</v>
          </cell>
          <cell r="D101" t="str">
            <v>Priority</v>
          </cell>
          <cell r="E101" t="str">
            <v>Priority</v>
          </cell>
          <cell r="F101" t="str">
            <v>Priority</v>
          </cell>
          <cell r="G101" t="str">
            <v>Priority</v>
          </cell>
          <cell r="H101" t="str">
            <v>Priority</v>
          </cell>
          <cell r="I101" t="str">
            <v>Priority</v>
          </cell>
          <cell r="J101" t="str">
            <v>Priority</v>
          </cell>
          <cell r="K101" t="str">
            <v>Priority</v>
          </cell>
        </row>
        <row r="103">
          <cell r="A103" t="str">
            <v>Comments</v>
          </cell>
          <cell r="B103" t="str">
            <v>Comments</v>
          </cell>
          <cell r="C103" t="str">
            <v>Condiciones de Pago / Comentarios</v>
          </cell>
          <cell r="D103" t="str">
            <v>Billing, Shipping, Contact Information / Other Comments</v>
          </cell>
          <cell r="E103" t="str">
            <v>Billing, Shipping, Contact Information / Other Comments</v>
          </cell>
          <cell r="F103" t="str">
            <v>Billing, Shipping, Contact Information / Other Comments</v>
          </cell>
          <cell r="G103" t="str">
            <v>Billing, Shipping, Contact Information / Other Comments</v>
          </cell>
          <cell r="H103" t="str">
            <v>Billing, Shipping, Contact Information / Other Comments</v>
          </cell>
          <cell r="I103" t="str">
            <v>Billing, Shipping, Contact Information / Other Comments</v>
          </cell>
          <cell r="J103" t="str">
            <v>Billing, Shipping, Contact Information / Other Comments</v>
          </cell>
          <cell r="K103" t="str">
            <v>Billing, Shipping, Contact Information / Other Comments</v>
          </cell>
        </row>
        <row r="105">
          <cell r="A105" t="str">
            <v>Approvals</v>
          </cell>
          <cell r="B105" t="str">
            <v>Approvals</v>
          </cell>
          <cell r="C105" t="str">
            <v>Aprobado por</v>
          </cell>
          <cell r="D105" t="str">
            <v>Approvals</v>
          </cell>
          <cell r="E105" t="str">
            <v>Approvals</v>
          </cell>
          <cell r="F105" t="str">
            <v>Approvals</v>
          </cell>
          <cell r="G105" t="str">
            <v>Approvals</v>
          </cell>
          <cell r="H105" t="str">
            <v>Approvals</v>
          </cell>
          <cell r="I105" t="str">
            <v>Approvals</v>
          </cell>
          <cell r="J105" t="str">
            <v>Approvals</v>
          </cell>
          <cell r="K105" t="str">
            <v>Approvals</v>
          </cell>
        </row>
        <row r="106">
          <cell r="A106" t="str">
            <v>AccountExec</v>
          </cell>
          <cell r="B106" t="str">
            <v>Account Executive (Initials / Name)</v>
          </cell>
          <cell r="C106" t="str">
            <v>Ejecutivo de Cuenta (Iniciales / Nombre)</v>
          </cell>
          <cell r="D106" t="str">
            <v>Salesperson (Initials / Name)</v>
          </cell>
          <cell r="E106" t="str">
            <v>Salesperson (Initials / Name)</v>
          </cell>
          <cell r="F106" t="str">
            <v>Salesperson (Initials / Name)</v>
          </cell>
          <cell r="G106" t="str">
            <v>Salesperson (Initials / Name)</v>
          </cell>
          <cell r="H106" t="str">
            <v>Salesperson (Initials / Name)</v>
          </cell>
          <cell r="I106" t="str">
            <v>Salesperson (Initials / Name)</v>
          </cell>
          <cell r="J106" t="str">
            <v>Salesperson (Initials / Name)</v>
          </cell>
          <cell r="K106" t="str">
            <v>Salesperson (Initials / Name)</v>
          </cell>
        </row>
        <row r="107">
          <cell r="A107" t="str">
            <v>ProjectMgr</v>
          </cell>
          <cell r="B107" t="str">
            <v>Project Manager (Initials / Name)</v>
          </cell>
          <cell r="C107" t="str">
            <v>Gerente de Proyecto (Iniciales / Nombre)</v>
          </cell>
          <cell r="D107" t="str">
            <v>Project Manager (Initials / Name)</v>
          </cell>
          <cell r="E107" t="str">
            <v>Project Manager (Initials / Name)</v>
          </cell>
          <cell r="F107" t="str">
            <v>Project Manager (Initials / Name)</v>
          </cell>
          <cell r="G107" t="str">
            <v>Project Manager (Initials / Name)</v>
          </cell>
          <cell r="H107" t="str">
            <v>Project Manager (Initials / Name)</v>
          </cell>
          <cell r="I107" t="str">
            <v>Project Manager (Initials / Name)</v>
          </cell>
          <cell r="J107" t="str">
            <v>Project Manager (Initials / Name)</v>
          </cell>
          <cell r="K107" t="str">
            <v>Project Manager (Initials / Name)</v>
          </cell>
        </row>
        <row r="108">
          <cell r="A108" t="str">
            <v>ASMApproval</v>
          </cell>
          <cell r="B108" t="str">
            <v>ASM</v>
          </cell>
          <cell r="C108" t="str">
            <v>ASM</v>
          </cell>
          <cell r="D108" t="str">
            <v>Sales Manager</v>
          </cell>
          <cell r="E108" t="str">
            <v>Sales Manager</v>
          </cell>
          <cell r="F108" t="str">
            <v>Sales Manager</v>
          </cell>
          <cell r="G108" t="str">
            <v>Sales Manager</v>
          </cell>
          <cell r="H108" t="str">
            <v>Sales Manager</v>
          </cell>
          <cell r="I108" t="str">
            <v>Sales Manager</v>
          </cell>
          <cell r="J108" t="str">
            <v>Sales Manager</v>
          </cell>
          <cell r="K108" t="str">
            <v>Sales Manager</v>
          </cell>
        </row>
        <row r="109">
          <cell r="A109" t="str">
            <v>AIMApproval</v>
          </cell>
          <cell r="B109" t="str">
            <v>AIM</v>
          </cell>
          <cell r="C109" t="str">
            <v>AIM</v>
          </cell>
          <cell r="D109" t="str">
            <v>Installation / Service Manager</v>
          </cell>
          <cell r="E109" t="str">
            <v>Installation / Service Manager</v>
          </cell>
          <cell r="F109" t="str">
            <v>Installation / Service Manager</v>
          </cell>
          <cell r="G109" t="str">
            <v>Installation / Service Manager</v>
          </cell>
          <cell r="H109" t="str">
            <v>Installation / Service Manager</v>
          </cell>
          <cell r="I109" t="str">
            <v>Installation / Service Manager</v>
          </cell>
          <cell r="J109" t="str">
            <v>Installation / Service Manager</v>
          </cell>
          <cell r="K109" t="str">
            <v>Installation Manager</v>
          </cell>
        </row>
        <row r="110">
          <cell r="A110" t="str">
            <v>AGMApproval</v>
          </cell>
          <cell r="B110" t="str">
            <v>AGM</v>
          </cell>
          <cell r="C110" t="str">
            <v>AGM</v>
          </cell>
          <cell r="D110" t="str">
            <v>General Manager / Fin. Controller</v>
          </cell>
          <cell r="E110" t="str">
            <v>General Manager / Fin. Controller</v>
          </cell>
          <cell r="F110" t="str">
            <v>General Manager / Fin. Controller</v>
          </cell>
          <cell r="G110" t="str">
            <v>General Manager / Fin. Controller</v>
          </cell>
          <cell r="H110" t="str">
            <v>General Manager / Fin. Controller</v>
          </cell>
          <cell r="I110" t="str">
            <v>General Manager / Fin. Controller</v>
          </cell>
          <cell r="J110" t="str">
            <v>General Manager / Fin. Controller</v>
          </cell>
          <cell r="K110" t="str">
            <v>General Manager</v>
          </cell>
        </row>
        <row r="112">
          <cell r="A112" t="str">
            <v>MultiYrPSA</v>
          </cell>
          <cell r="B112" t="str">
            <v>Multi Year PSA</v>
          </cell>
          <cell r="C112" t="str">
            <v>Año Multiple PSA</v>
          </cell>
          <cell r="D112" t="str">
            <v>Multi Year PSA</v>
          </cell>
          <cell r="E112" t="str">
            <v>Multi Year PSA</v>
          </cell>
          <cell r="F112" t="str">
            <v>Multi Year PSA</v>
          </cell>
          <cell r="G112" t="str">
            <v>Multi Year PSA</v>
          </cell>
          <cell r="H112" t="str">
            <v>Multi Year PSA</v>
          </cell>
          <cell r="I112" t="str">
            <v>Multi Year PSA</v>
          </cell>
          <cell r="J112" t="str">
            <v>Multi Year PSA</v>
          </cell>
          <cell r="K112" t="str">
            <v>Multi Year PSA</v>
          </cell>
        </row>
        <row r="113">
          <cell r="A113" t="str">
            <v>TotalSecured</v>
          </cell>
          <cell r="B113" t="str">
            <v>Total Amount Secured</v>
          </cell>
          <cell r="C113" t="str">
            <v>Cantidad Total Asegurada</v>
          </cell>
          <cell r="D113" t="str">
            <v>Total Amount Secured</v>
          </cell>
          <cell r="E113" t="str">
            <v>Total Amount Secured</v>
          </cell>
          <cell r="F113" t="str">
            <v>Total Amount Secured</v>
          </cell>
          <cell r="G113" t="str">
            <v>Total Amount Secured</v>
          </cell>
          <cell r="H113" t="str">
            <v>Total Amount Secured</v>
          </cell>
          <cell r="I113" t="str">
            <v>Total Amount Secured</v>
          </cell>
          <cell r="J113" t="str">
            <v>Total Amount Secured</v>
          </cell>
          <cell r="K113" t="str">
            <v>Total Amount Secured</v>
          </cell>
        </row>
        <row r="114">
          <cell r="A114" t="str">
            <v>TotalGrossMargin</v>
          </cell>
          <cell r="B114" t="str">
            <v>Total Gross Margin</v>
          </cell>
          <cell r="C114" t="str">
            <v>Margen Total Bruto</v>
          </cell>
          <cell r="D114" t="str">
            <v>Total Gross Margin</v>
          </cell>
          <cell r="E114" t="str">
            <v>Total Gross Margin</v>
          </cell>
          <cell r="F114" t="str">
            <v>Total Gross Margin</v>
          </cell>
          <cell r="G114" t="str">
            <v>Total Gross Margin</v>
          </cell>
          <cell r="H114" t="str">
            <v>Total Gross Margin</v>
          </cell>
          <cell r="I114" t="str">
            <v>Total Gross Margin</v>
          </cell>
          <cell r="J114" t="str">
            <v>Total Gross Margin</v>
          </cell>
          <cell r="K114" t="str">
            <v>Total Gross Margin</v>
          </cell>
        </row>
        <row r="115">
          <cell r="A115" t="str">
            <v>Duration</v>
          </cell>
          <cell r="B115" t="str">
            <v>Duration</v>
          </cell>
          <cell r="C115" t="str">
            <v>Duración</v>
          </cell>
          <cell r="D115" t="str">
            <v>Duration</v>
          </cell>
          <cell r="E115" t="str">
            <v>Duration</v>
          </cell>
          <cell r="F115" t="str">
            <v>Duration</v>
          </cell>
          <cell r="G115" t="str">
            <v>Duration</v>
          </cell>
          <cell r="H115" t="str">
            <v>Duration</v>
          </cell>
          <cell r="I115" t="str">
            <v>Duration</v>
          </cell>
          <cell r="J115" t="str">
            <v>Duration</v>
          </cell>
          <cell r="K115" t="str">
            <v>Duration</v>
          </cell>
        </row>
        <row r="117">
          <cell r="A117" t="str">
            <v>Misc</v>
          </cell>
          <cell r="B117" t="str">
            <v>Miscellaneous</v>
          </cell>
          <cell r="C117" t="str">
            <v>Misceláneo</v>
          </cell>
          <cell r="D117" t="str">
            <v>Miscellaneous</v>
          </cell>
          <cell r="E117" t="str">
            <v>Miscellaneous</v>
          </cell>
          <cell r="F117" t="str">
            <v>Miscellaneous</v>
          </cell>
          <cell r="G117" t="str">
            <v>Miscellaneous</v>
          </cell>
          <cell r="H117" t="str">
            <v>Miscellaneous</v>
          </cell>
          <cell r="I117" t="str">
            <v>Miscellaneous</v>
          </cell>
          <cell r="J117" t="str">
            <v>Miscellaneous</v>
          </cell>
          <cell r="K117" t="str">
            <v>Miscellaneous</v>
          </cell>
        </row>
        <row r="118">
          <cell r="A118" t="str">
            <v>BillingFreq</v>
          </cell>
          <cell r="B118" t="str">
            <v>PSA Billing Frequency</v>
          </cell>
          <cell r="C118" t="str">
            <v>PSA Frecuencia de Facturacion</v>
          </cell>
          <cell r="D118" t="str">
            <v>PSA Billing Frequency</v>
          </cell>
          <cell r="E118" t="str">
            <v>PSA Billing Frequency</v>
          </cell>
          <cell r="F118" t="str">
            <v>PSA Billing Frequency</v>
          </cell>
          <cell r="G118" t="str">
            <v>PSA Billing Frequency</v>
          </cell>
          <cell r="H118" t="str">
            <v>PSA Billing Frequency</v>
          </cell>
          <cell r="I118" t="str">
            <v>PSA Billing Frequency</v>
          </cell>
          <cell r="J118" t="str">
            <v>PSA Billing Frequency</v>
          </cell>
          <cell r="K118" t="str">
            <v>PSA Billing Frequency</v>
          </cell>
        </row>
        <row r="119">
          <cell r="A119" t="str">
            <v>BillingTiming</v>
          </cell>
          <cell r="B119" t="str">
            <v>PSA Billing Timing</v>
          </cell>
          <cell r="C119" t="str">
            <v>PSA Momento de Facturacion</v>
          </cell>
          <cell r="D119" t="str">
            <v>PSA Billing Timing</v>
          </cell>
          <cell r="E119" t="str">
            <v>PSA Billing Timing</v>
          </cell>
          <cell r="F119" t="str">
            <v>PSA Billing Timing</v>
          </cell>
          <cell r="G119" t="str">
            <v>PSA Billing Timing</v>
          </cell>
          <cell r="H119" t="str">
            <v>PSA Billing Timing</v>
          </cell>
          <cell r="I119" t="str">
            <v>PSA Billing Timing</v>
          </cell>
          <cell r="J119" t="str">
            <v>PSA Billing Timing</v>
          </cell>
          <cell r="K119" t="str">
            <v>PSA Billing Timing</v>
          </cell>
        </row>
        <row r="120">
          <cell r="A120" t="str">
            <v>PSABillingMethod</v>
          </cell>
          <cell r="B120" t="str">
            <v>PSA Billing Method</v>
          </cell>
          <cell r="C120" t="str">
            <v>PSA Metodo de Facturacion</v>
          </cell>
          <cell r="D120" t="str">
            <v>PSA Billing Method</v>
          </cell>
          <cell r="E120" t="str">
            <v>PSA Billing Method</v>
          </cell>
          <cell r="F120" t="str">
            <v>PSA Billing Method</v>
          </cell>
          <cell r="G120" t="str">
            <v>PSA Billing Method</v>
          </cell>
          <cell r="H120" t="str">
            <v>PSA Billing Method</v>
          </cell>
          <cell r="I120" t="str">
            <v>PSA Billing Method</v>
          </cell>
          <cell r="J120" t="str">
            <v>PSA Billing Method</v>
          </cell>
          <cell r="K120" t="str">
            <v>PSA Billing Method</v>
          </cell>
        </row>
        <row r="121">
          <cell r="A121" t="str">
            <v>InstBillingMethod</v>
          </cell>
          <cell r="B121" t="str">
            <v>Installation Billing Method</v>
          </cell>
          <cell r="C121" t="str">
            <v>Metodo de Fact. de Instalacion</v>
          </cell>
          <cell r="D121" t="str">
            <v>Installation Billing Method</v>
          </cell>
          <cell r="E121" t="str">
            <v>Installation Billing Method</v>
          </cell>
          <cell r="F121" t="str">
            <v>Installation Billing Method</v>
          </cell>
          <cell r="G121" t="str">
            <v>Installation Billing Method</v>
          </cell>
          <cell r="H121" t="str">
            <v>Installation Billing Method</v>
          </cell>
          <cell r="I121" t="str">
            <v>Installation Billing Method</v>
          </cell>
          <cell r="J121" t="str">
            <v>Installation Billing Method</v>
          </cell>
          <cell r="K121" t="str">
            <v>Installation Billing Method</v>
          </cell>
        </row>
        <row r="122">
          <cell r="A122" t="str">
            <v>PreBidApproval</v>
          </cell>
          <cell r="B122" t="str">
            <v>Pre-Bid Approval</v>
          </cell>
          <cell r="C122" t="str">
            <v>Pre-Oferta Aprovada</v>
          </cell>
          <cell r="D122" t="str">
            <v>Pre-Bid Approval</v>
          </cell>
          <cell r="E122" t="str">
            <v>Pre-Bid Approval</v>
          </cell>
          <cell r="F122" t="str">
            <v>Pre-Bid Approval</v>
          </cell>
          <cell r="G122" t="str">
            <v>Pre-Bid Approval</v>
          </cell>
          <cell r="H122" t="str">
            <v>Pre-Bid Approval</v>
          </cell>
          <cell r="I122" t="str">
            <v>Pre-Bid Approval</v>
          </cell>
          <cell r="J122" t="str">
            <v>Pre-Bid Approval</v>
          </cell>
          <cell r="K122" t="str">
            <v>Pre-Bid Approval</v>
          </cell>
        </row>
        <row r="123">
          <cell r="A123" t="str">
            <v>CurrencyRate</v>
          </cell>
          <cell r="B123" t="str">
            <v>Exchange Rate (not applicable, use 1.0)</v>
          </cell>
          <cell r="C123" t="str">
            <v>Tipo de cambio - pesos por USD</v>
          </cell>
          <cell r="D123" t="str">
            <v>Exchange Rate - USD per HK$</v>
          </cell>
          <cell r="E123" t="str">
            <v>Exchange Rate - USD per RM$</v>
          </cell>
          <cell r="F123" t="str">
            <v>Exchange Rate - USD per SGD</v>
          </cell>
          <cell r="G123" t="str">
            <v>Exchange Rate - USD per Rp</v>
          </cell>
          <cell r="H123" t="str">
            <v>Exchange Rate - USD per SGD$</v>
          </cell>
          <cell r="I123" t="str">
            <v>Exchange Rate - USD per THB$</v>
          </cell>
          <cell r="J123" t="str">
            <v>Exchange Rate - USD per AUD</v>
          </cell>
          <cell r="K123" t="str">
            <v>Exchange Rate - USD per local currency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il Boq"/>
      <sheetName val="Calculations"/>
      <sheetName val="List"/>
      <sheetName val="Pre-cast"/>
      <sheetName val="ANALYSIS"/>
      <sheetName val="SPT vs PHI"/>
      <sheetName val="std.wt."/>
      <sheetName val="RA-markate"/>
      <sheetName val="Material "/>
      <sheetName val="Pur"/>
      <sheetName val="Summary"/>
      <sheetName val="Chandrawal -1"/>
      <sheetName val="policies"/>
      <sheetName val="BOQ"/>
      <sheetName val="HDD"/>
      <sheetName val="Works"/>
      <sheetName val="FUSION"/>
      <sheetName val="OFC-Design"/>
      <sheetName val="PCS"/>
      <sheetName val="ETC"/>
      <sheetName val="Guide VAT_ED_Credit"/>
      <sheetName val="JTS"/>
      <sheetName val="AMC &amp; O&amp;M"/>
      <sheetName val="JTS Costing"/>
      <sheetName val="Instructions"/>
      <sheetName val="Pile cap"/>
      <sheetName val="moments-table(tri)"/>
      <sheetName val="Design"/>
      <sheetName val="floor slab-RS2"/>
      <sheetName val="THK"/>
      <sheetName val="General Summary"/>
      <sheetName val="switch"/>
      <sheetName val="BOQ_Direct_selling cost"/>
      <sheetName val="dummy"/>
      <sheetName val="149"/>
      <sheetName val="+X &amp; -X DIR PRE"/>
      <sheetName val="Staff Forecast spread"/>
      <sheetName val="conc-foot-gradeslab"/>
      <sheetName val="E1"/>
      <sheetName val="Civil_Boq"/>
      <sheetName val="Civil_Boq1"/>
      <sheetName val="SPT_vs_PHI"/>
      <sheetName val="std_wt_"/>
      <sheetName val="Pile_cap"/>
      <sheetName val="Material_"/>
      <sheetName val="Chandrawal_-1"/>
      <sheetName val="Guide_VAT_ED_Credit"/>
      <sheetName val="AMC_&amp;_O&amp;M"/>
      <sheetName val="JTS_Costing"/>
      <sheetName val="PRECAST lightconc-II"/>
      <sheetName val="PIpe Pushing"/>
      <sheetName val="Break up Sheet"/>
      <sheetName val="sept-plan"/>
      <sheetName val="d-safe specs"/>
      <sheetName val="RES-PLANNING"/>
      <sheetName val="Pay_Sep06"/>
      <sheetName val="1.01 (a)"/>
      <sheetName val="Sheet4"/>
      <sheetName val="Main-Material"/>
      <sheetName val="girder"/>
      <sheetName val="13. Steel - Ratio"/>
      <sheetName val="Footings"/>
      <sheetName val="WPR-IV"/>
      <sheetName val="Labour productivity"/>
      <sheetName val="Legal Risk Analysis"/>
      <sheetName val="Balance sheet"/>
      <sheetName val="TASKRSRC (2)"/>
      <sheetName val="TARGET"/>
      <sheetName val="BASELINE"/>
      <sheetName val="GBW"/>
      <sheetName val="COLUMN"/>
      <sheetName val="Abstract Sheet"/>
      <sheetName val="shuttering"/>
      <sheetName val="FORM7"/>
      <sheetName val="2.1 受電設備棟"/>
      <sheetName val="2.2 受・防火水槽"/>
      <sheetName val="2.3 排水処理設備棟"/>
      <sheetName val="2.4 倉庫棟"/>
      <sheetName val="2.5 守衛棟"/>
      <sheetName val="MainSheet"/>
      <sheetName val="DETAIL SHEET"/>
      <sheetName val="spool"/>
      <sheetName val="Supplier"/>
      <sheetName val="CABLE DATA"/>
      <sheetName val="INPUT SHEET"/>
      <sheetName val="Extra Item"/>
      <sheetName val="Fill this out first..."/>
      <sheetName val="Lead"/>
      <sheetName val="Labour &amp; Plant"/>
      <sheetName val="Project Budget Worksheet"/>
      <sheetName val="organi synthesis lab"/>
      <sheetName val="UNIT2"/>
      <sheetName val="Notes"/>
      <sheetName val="V.O.4 - PCC Qty"/>
      <sheetName val="Field Values"/>
      <sheetName val="TBAL9697 -group wise  sdpl"/>
      <sheetName val="BOQ -II ph 2"/>
      <sheetName val="BOQ fire proofing"/>
      <sheetName val="RCC,Ret. Wall"/>
      <sheetName val="Fin Sum"/>
      <sheetName val="PointNo.5"/>
      <sheetName val="Detail"/>
      <sheetName val="Sheet1"/>
      <sheetName val="T1037 Entire School"/>
      <sheetName val="d-safe DELUXE"/>
      <sheetName val="RMZ Summary"/>
      <sheetName val="Employee List"/>
      <sheetName val="Construction"/>
      <sheetName val="Cover sheet"/>
      <sheetName val="Vehicles"/>
      <sheetName val="except wiring"/>
      <sheetName val="VCH-SLC"/>
      <sheetName val="3cd Annexure"/>
      <sheetName val="cubes_M20"/>
      <sheetName val="P&amp;L-BDMC"/>
      <sheetName val="RECAPITULATION"/>
      <sheetName val="COST"/>
      <sheetName val="Plant Cost"/>
      <sheetName val="Site wise NADs"/>
      <sheetName val="Sheet3"/>
      <sheetName val="Sheet2"/>
      <sheetName val="LANGUAGE"/>
      <sheetName val="Aseet1998"/>
      <sheetName val="Input"/>
      <sheetName val="p&amp;m"/>
      <sheetName val="LABOUR"/>
      <sheetName val="STAFFSCHED "/>
      <sheetName val="dBase"/>
      <sheetName val="PRECAST lightconc_II"/>
      <sheetName val="Voucher"/>
      <sheetName val="Basement Budget"/>
      <sheetName val="IO LIST"/>
      <sheetName val="foot"/>
      <sheetName val="3-3(750)"/>
      <sheetName val="Storage"/>
      <sheetName val="PC Master List"/>
      <sheetName val="WWR"/>
      <sheetName val="Calc1"/>
      <sheetName val="Equipment"/>
      <sheetName val="AOR"/>
      <sheetName val="Costing"/>
      <sheetName val="ORDER BOOKING"/>
      <sheetName val="Macro1"/>
      <sheetName val="labour coeff"/>
      <sheetName val="Cal"/>
      <sheetName val="Data"/>
      <sheetName val="Boiler&amp;TG"/>
      <sheetName val="Names&amp;Cases"/>
      <sheetName val="10. &amp; 11. Rate Code &amp; BQ"/>
      <sheetName val="Scope Reconciliation"/>
      <sheetName val=" "/>
      <sheetName val="tower"/>
      <sheetName val="x-items"/>
      <sheetName val="BOQ_Direct_selling_cost"/>
      <sheetName val="Staff_Forecast_spread"/>
      <sheetName val="floor_slab-RS2"/>
      <sheetName val="PRECAST_lightconc-II"/>
      <sheetName val="PIpe_Pushing"/>
      <sheetName val="d-safe_specs"/>
      <sheetName val="Labour_productivity"/>
      <sheetName val="BOQ (2)"/>
      <sheetName val="main"/>
      <sheetName val="Site Dev BOQ"/>
      <sheetName val="analysis-superstructure"/>
      <sheetName val="Current Bill MB ref"/>
      <sheetName val="Summary_Bank"/>
      <sheetName val="Non-Factory"/>
      <sheetName val="loadcal"/>
      <sheetName val="NT LBH"/>
      <sheetName val="1st and 4th flight"/>
      <sheetName val="AK-Offertstammblatt"/>
      <sheetName val="M.S."/>
      <sheetName val="INPUT_SHEET"/>
      <sheetName val="Desgn(zone I)"/>
      <sheetName val="Electrical"/>
      <sheetName val="Build-up"/>
      <sheetName val="Calc_ISC"/>
      <sheetName val="Tender Summary"/>
      <sheetName val="BOQ_SERENO"/>
      <sheetName val="T&amp;M"/>
      <sheetName val="radar"/>
      <sheetName val="E &amp; R"/>
      <sheetName val="Fee Rate Summary"/>
      <sheetName val="beam-reinft"/>
      <sheetName val="Rate analysis"/>
      <sheetName val="Depreciation Calc"/>
      <sheetName val="b.s.-p.l.-sch."/>
      <sheetName val="Factors"/>
      <sheetName val="purpose&amp;input"/>
      <sheetName val="BS Schdl- 1 &amp; 2"/>
      <sheetName val="BOQ Distribution"/>
      <sheetName val="Wire"/>
      <sheetName val="Abstract - Single Line"/>
      <sheetName val="lookups"/>
      <sheetName val="Project Details.."/>
      <sheetName val="Top Line - WWW"/>
      <sheetName val="Chandrawal_-11"/>
      <sheetName val="Guide_VAT_ED_Credit1"/>
      <sheetName val="AMC_&amp;_O&amp;M1"/>
      <sheetName val="JTS_Costing1"/>
      <sheetName val="SPT_vs_PHI1"/>
      <sheetName val="std_wt_1"/>
      <sheetName val="Material_1"/>
      <sheetName val="Pile_cap1"/>
      <sheetName val="d-safe_specs1"/>
      <sheetName val="CABLE_DATA"/>
      <sheetName val="@Risk Inputs"/>
      <sheetName val="L3"/>
      <sheetName val="st"/>
      <sheetName val="Calc"/>
      <sheetName val="master"/>
    </sheetNames>
    <sheetDataSet>
      <sheetData sheetId="0" refreshError="1">
        <row r="3">
          <cell r="D3" t="str">
            <v>Gujarat rehabilitation work of Mathak village for TWRI</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 Lists"/>
      <sheetName val="MATERIAL"/>
      <sheetName val="COFFICIENTS"/>
      <sheetName val="PRECAST"/>
      <sheetName val="EXCAV"/>
      <sheetName val="BACK-FILL"/>
      <sheetName val="ANTI-TERMITE"/>
      <sheetName val="PCC"/>
      <sheetName val="RCC"/>
      <sheetName val="DMC"/>
      <sheetName val="SHUTTERING"/>
      <sheetName val="REINF"/>
      <sheetName val="CM"/>
      <sheetName val="BLOCK MASONARY"/>
      <sheetName val="BRICK MASONRY"/>
      <sheetName val="STONE MAS."/>
      <sheetName val="PLASTERING"/>
      <sheetName val="MORTAR BANDS"/>
      <sheetName val="POINTING"/>
      <sheetName val="DPC"/>
      <sheetName val="FLOORING"/>
      <sheetName val="CLADING"/>
      <sheetName val="EXPN-JOINT"/>
      <sheetName val="WATER PROOF."/>
      <sheetName val="LC"/>
      <sheetName val="LM"/>
      <sheetName val="STEEL WORK"/>
      <sheetName val="WOOD WORK"/>
      <sheetName val="PAIN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heetName val="sum"/>
      <sheetName val="Sheet5"/>
      <sheetName val="Sheet6"/>
      <sheetName val="Sheet7"/>
      <sheetName val="Sheet8"/>
      <sheetName val="Sheet9"/>
      <sheetName val="Sheet10"/>
      <sheetName val="Sheet11"/>
      <sheetName val="Sheet12"/>
      <sheetName val="Sheet13"/>
      <sheetName val="Sheet14"/>
      <sheetName val="Sheet15"/>
      <sheetName val="Sheet16"/>
      <sheetName val="Name Lists"/>
    </sheetNames>
    <sheetDataSet>
      <sheetData sheetId="0" refreshError="1">
        <row r="341">
          <cell r="H341">
            <v>172690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ly"/>
      <sheetName val="Doc details"/>
      <sheetName val="Contents"/>
      <sheetName val="Fly (2)"/>
      <sheetName val="Summary"/>
      <sheetName val="Fly (3)"/>
      <sheetName val="Methodology"/>
      <sheetName val="Fly (4)"/>
      <sheetName val="Exclusions"/>
      <sheetName val="Fly (5)"/>
      <sheetName val="0 Capital Cost"/>
      <sheetName val="1 Asset Renewal"/>
      <sheetName val="Asset Expenditure"/>
      <sheetName val="2 Maintenance"/>
      <sheetName val="3 EnergyUtilities"/>
      <sheetName val="4 OperationAdmin"/>
      <sheetName val="5 Overheads"/>
      <sheetName val="6 Modernisation"/>
      <sheetName val="7 Residual"/>
      <sheetName val="8 Disposal"/>
      <sheetName val="Fly (6)"/>
      <sheetName val="Expenditure"/>
      <sheetName val="Profile"/>
      <sheetName val="Pie-Chart"/>
      <sheetName val="Profile-Chart"/>
      <sheetName val="Fly (7)"/>
      <sheetName val="Benchmarking"/>
      <sheetName val="Calculator"/>
      <sheetName val="Data"/>
      <sheetName val="Fin Sum"/>
      <sheetName val="TBAL9697 -group wise  sdpl"/>
      <sheetName val="Supplier"/>
      <sheetName val="VCH-SLC"/>
      <sheetName val="RA-markate"/>
      <sheetName val="est"/>
      <sheetName val="DOOR-WI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row r="5">
          <cell r="C5">
            <v>25</v>
          </cell>
        </row>
      </sheetData>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受変電所・受変電設備工事"/>
      <sheetName val="率"/>
      <sheetName val="電気目次"/>
      <sheetName val="事務棟・目次"/>
      <sheetName val="事務棟・幹線工事"/>
      <sheetName val="事務棟・動力工事"/>
      <sheetName val="事務棟・照明工事"/>
      <sheetName val="事務棟・コンセント工事"/>
      <sheetName val="事務棟・電話LAN設備工事"/>
      <sheetName val="事務棟・自火報設備工事"/>
      <sheetName val="事務棟・放送設備工事"/>
      <sheetName val="事務棟・テレビ設備工事"/>
      <sheetName val="事務棟・避雷接地設備工事"/>
      <sheetName val="工場棟・目次"/>
      <sheetName val="工場棟・生産系受変電設備及び幹線工事"/>
      <sheetName val="工場棟・幹線工事"/>
      <sheetName val="工場棟・動力工事"/>
      <sheetName val="工場棟・照明工事"/>
      <sheetName val="工場棟・コンセント工事"/>
      <sheetName val="工場棟・電話LAN設備工事"/>
      <sheetName val="工場棟・自火報設備工事"/>
      <sheetName val="工場棟・放送設備工事"/>
      <sheetName val="工場棟・避雷接地設備工事"/>
      <sheetName val="危険物倉庫・目次"/>
      <sheetName val="危険物倉庫・幹線工事"/>
      <sheetName val="危険物倉庫・動力工事"/>
      <sheetName val="危険物倉庫・照明コンセント工事"/>
      <sheetName val="危険物倉庫・避雷工事"/>
      <sheetName val="受変電所・目次"/>
      <sheetName val="受変電所・幹線工事"/>
      <sheetName val="受変電所・照明工事"/>
      <sheetName val="受変電所・避雷工事"/>
      <sheetName val="ポンプ室・目次"/>
      <sheetName val="ポンプ室・幹線工事"/>
      <sheetName val="ポンプ室・動力工事"/>
      <sheetName val="ポンプ室・照明工事"/>
      <sheetName val="ポンプ室・自火報工事"/>
      <sheetName val="ポンプ室・避雷工事"/>
      <sheetName val="守衛所・目次"/>
      <sheetName val="守衛所・幹線工事"/>
      <sheetName val="守衛所・照明工事"/>
      <sheetName val="守衛所・電話工事"/>
      <sheetName val="守衛所・自火報設備工事"/>
      <sheetName val="外構・目次"/>
      <sheetName val="外構・外灯工事"/>
      <sheetName val="外構・幹線工事"/>
      <sheetName val="外構・生産幹線工事"/>
      <sheetName val="外構・自火報、電話LAN、放送幹線工事"/>
      <sheetName val="Fin Sum"/>
    </sheetNames>
    <sheetDataSet>
      <sheetData sheetId="0"/>
      <sheetData sheetId="1"/>
      <sheetData sheetId="2"/>
      <sheetData sheetId="3">
        <row r="17">
          <cell r="G17">
            <v>448</v>
          </cell>
        </row>
      </sheetData>
      <sheetData sheetId="4"/>
      <sheetData sheetId="5"/>
      <sheetData sheetId="6"/>
      <sheetData sheetId="7"/>
      <sheetData sheetId="8"/>
      <sheetData sheetId="9"/>
      <sheetData sheetId="10"/>
      <sheetData sheetId="11"/>
      <sheetData sheetId="12"/>
      <sheetData sheetId="13">
        <row r="17">
          <cell r="G17">
            <v>4200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4">
          <cell r="G14">
            <v>19140</v>
          </cell>
        </row>
      </sheetData>
      <sheetData sheetId="44"/>
      <sheetData sheetId="45"/>
      <sheetData sheetId="46"/>
      <sheetData sheetId="47"/>
      <sheetData sheetId="4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sheetName val="SUMMARY"/>
      <sheetName val=" ABS BH"/>
      <sheetName val="MB BH"/>
      <sheetName val="BBS-LANDSCAPE-BH"/>
      <sheetName val="BBS SUMMARY"/>
    </sheetNames>
    <sheetDataSet>
      <sheetData sheetId="0"/>
      <sheetData sheetId="1">
        <row r="1">
          <cell r="B1" t="str">
            <v>THAPAR UNIVERSITY EXTENSION PROJECT, PATIALA</v>
          </cell>
        </row>
      </sheetData>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ate"/>
      <sheetName val="SOR"/>
      <sheetName val="EW"/>
      <sheetName val="STR1"/>
      <sheetName val="STR2"/>
      <sheetName val="STR3"/>
      <sheetName val="LIN1"/>
      <sheetName val="LIN2"/>
      <sheetName val="typical subminor"/>
      <sheetName val="Road"/>
      <sheetName val="S&amp;I"/>
      <sheetName val="machi"/>
      <sheetName val="TRANS1"/>
      <sheetName val="trans"/>
      <sheetName val="mes-fb"/>
      <sheetName val="mes-pl"/>
      <sheetName val="XL4Test5"/>
      <sheetName val="02"/>
      <sheetName val="03"/>
      <sheetName val="04"/>
      <sheetName val="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_Cost"/>
      <sheetName val="Cost_Any."/>
      <sheetName val="Price_any"/>
      <sheetName val="Price_sche"/>
      <sheetName val="Cost_Any_"/>
    </sheetNames>
    <sheetDataSet>
      <sheetData sheetId="0">
        <row r="30">
          <cell r="G30">
            <v>763895</v>
          </cell>
        </row>
        <row r="53">
          <cell r="G53">
            <v>395250</v>
          </cell>
        </row>
      </sheetData>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Cost"/>
      <sheetName val="BOM"/>
      <sheetName val="Price Schedule"/>
      <sheetName val="Costing"/>
      <sheetName val="Mat_Cost"/>
    </sheetNames>
    <sheetDataSet>
      <sheetData sheetId="0">
        <row r="52">
          <cell r="B52" t="str">
            <v>Main Panel</v>
          </cell>
        </row>
        <row r="163">
          <cell r="G163">
            <v>3156000</v>
          </cell>
        </row>
      </sheetData>
      <sheetData sheetId="1" refreshError="1"/>
      <sheetData sheetId="2" refreshError="1"/>
      <sheetData sheetId="3">
        <row r="52">
          <cell r="B52" t="str">
            <v>Main Panel</v>
          </cell>
        </row>
      </sheetData>
      <sheetData sheetId="4">
        <row r="52">
          <cell r="B52" t="str">
            <v>Main Panel</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wer-A"/>
      <sheetName val="Tower-B"/>
      <sheetName val="GE"/>
      <sheetName val="ABB"/>
      <sheetName val="Price_Sch"/>
      <sheetName val="Price_Comp"/>
    </sheetNames>
    <sheetDataSet>
      <sheetData sheetId="0"/>
      <sheetData sheetId="1"/>
      <sheetData sheetId="2"/>
      <sheetData sheetId="3"/>
      <sheetData sheetId="4"/>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80 kVA AMF Panel"/>
      <sheetName val="Cost_any"/>
      <sheetName val="Name List"/>
    </sheetNames>
    <sheetDataSet>
      <sheetData sheetId="0">
        <row r="14">
          <cell r="B14">
            <v>6820</v>
          </cell>
        </row>
      </sheetData>
      <sheetData sheetId="1">
        <row r="14">
          <cell r="B14">
            <v>6820</v>
          </cell>
        </row>
        <row r="31">
          <cell r="B31">
            <v>33075</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_Cost"/>
      <sheetName val="Costing"/>
      <sheetName val="Price_sche_ME"/>
      <sheetName val="Comp"/>
    </sheetNames>
    <sheetDataSet>
      <sheetData sheetId="0"/>
      <sheetData sheetId="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cost"/>
      <sheetName val="Costing"/>
      <sheetName val="MFG"/>
    </sheetNames>
    <sheetDataSet>
      <sheetData sheetId="0">
        <row r="13">
          <cell r="B13">
            <v>15410</v>
          </cell>
        </row>
      </sheetData>
      <sheetData sheetId="1">
        <row r="13">
          <cell r="B13">
            <v>15410</v>
          </cell>
        </row>
        <row r="39">
          <cell r="B39">
            <v>29020</v>
          </cell>
          <cell r="D39">
            <v>4135</v>
          </cell>
        </row>
      </sheetData>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 T.B."/>
      <sheetName val="717 L&amp;E"/>
      <sheetName val="717 A"/>
      <sheetName val="717 IS"/>
      <sheetName val="Names&amp;Cases"/>
      <sheetName val="MASTER_RATE ANALYSIS"/>
      <sheetName val="sheet6"/>
      <sheetName val="Measurements"/>
      <sheetName val="Tables"/>
      <sheetName val="Flooring"/>
      <sheetName val="Ceilings"/>
      <sheetName val="ACAD Finishes"/>
      <sheetName val="Site Details"/>
      <sheetName val="Chair"/>
      <sheetName val="Site Area Statement"/>
      <sheetName val="Doors"/>
      <sheetName val="Estimate"/>
      <sheetName val="Fee Rate Summary"/>
      <sheetName val="Debits as on 12.04.08"/>
      <sheetName val="Coalmine"/>
      <sheetName val="Code"/>
      <sheetName val="CASHFLOWS"/>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
      <sheetName val="Type-B-1.5 BHK budget"/>
      <sheetName val="Annexture 1 consultant"/>
      <sheetName val="Annexure 2 Civil Work "/>
      <sheetName val="Annexure 3 Finishing Work "/>
      <sheetName val="Annexture 4 services"/>
      <sheetName val="services working"/>
      <sheetName val="Electrical"/>
      <sheetName val="Plumbing quantity."/>
      <sheetName val="CP Fittings 2 BHK "/>
      <sheetName val="FA PA"/>
      <sheetName val="Material List "/>
      <sheetName val="Labour Rate "/>
      <sheetName val="(M+L)"/>
      <sheetName val="Summary"/>
      <sheetName val="Sum-Flats"/>
      <sheetName val="Flooring,DADO"/>
      <sheetName val="Carpentry work"/>
      <sheetName val="B.W"/>
      <sheetName val="Single coat plas"/>
      <sheetName val="External plaster"/>
      <sheetName val="Water proof"/>
      <sheetName val="Fabrication "/>
      <sheetName val="Skirting"/>
      <sheetName val="Gypsum"/>
      <sheetName val="Alumi.win"/>
      <sheetName val="Sills"/>
      <sheetName val="Putty"/>
      <sheetName val="False ceiling"/>
      <sheetName val="Guidelines"/>
      <sheetName val="Auto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C4" t="str">
            <v>Ready Mix Concrete M - 15</v>
          </cell>
          <cell r="M4" t="str">
            <v>L</v>
          </cell>
        </row>
        <row r="5">
          <cell r="C5" t="str">
            <v>Ready Mix Concrete M - 20</v>
          </cell>
          <cell r="M5" t="str">
            <v>M+L</v>
          </cell>
        </row>
        <row r="6">
          <cell r="C6" t="str">
            <v>Ready Mix Concrete M - 25</v>
          </cell>
        </row>
        <row r="7">
          <cell r="C7" t="str">
            <v>Ready Mix Concrete M - 30</v>
          </cell>
        </row>
        <row r="8">
          <cell r="C8" t="str">
            <v>Ready Mix Concrete M - 35</v>
          </cell>
        </row>
        <row r="9">
          <cell r="C9" t="str">
            <v>Ready Mix Concrete M - 40</v>
          </cell>
        </row>
        <row r="10">
          <cell r="C10" t="str">
            <v>Ready Mix Concrete M - 50</v>
          </cell>
        </row>
        <row r="11">
          <cell r="C11" t="str">
            <v>Cement OPC</v>
          </cell>
        </row>
        <row r="12">
          <cell r="C12" t="str">
            <v>Cement PPC</v>
          </cell>
        </row>
        <row r="13">
          <cell r="C13" t="str">
            <v>Cement Slag</v>
          </cell>
        </row>
        <row r="14">
          <cell r="C14" t="str">
            <v>Cement White</v>
          </cell>
        </row>
        <row r="15">
          <cell r="C15" t="str">
            <v>River sand</v>
          </cell>
        </row>
        <row r="16">
          <cell r="C16" t="str">
            <v>Silpoz (with fly ash)</v>
          </cell>
        </row>
        <row r="17">
          <cell r="C17" t="str">
            <v>Silpoz (without fly ash)</v>
          </cell>
        </row>
        <row r="18">
          <cell r="C18" t="str">
            <v>Miscllaneous viz mesh, etc</v>
          </cell>
        </row>
        <row r="19">
          <cell r="C19" t="str">
            <v>Red Soil</v>
          </cell>
        </row>
        <row r="20">
          <cell r="C20" t="str">
            <v>Murrum</v>
          </cell>
        </row>
        <row r="21">
          <cell r="C21" t="str">
            <v>Rubble</v>
          </cell>
        </row>
        <row r="22">
          <cell r="C22" t="str">
            <v>Metal I</v>
          </cell>
        </row>
        <row r="23">
          <cell r="C23" t="str">
            <v>Metal ii</v>
          </cell>
        </row>
        <row r="24">
          <cell r="C24" t="str">
            <v>Metal Iii (Kapchi)</v>
          </cell>
        </row>
        <row r="25">
          <cell r="C25" t="str">
            <v>Metal Iv (Kapchi)</v>
          </cell>
        </row>
        <row r="26">
          <cell r="C26" t="str">
            <v>Fly Ash</v>
          </cell>
        </row>
        <row r="27">
          <cell r="C27" t="str">
            <v>Fly Ash Superpozz</v>
          </cell>
        </row>
        <row r="28">
          <cell r="C28" t="str">
            <v>Steel Fe-415: 16Mm</v>
          </cell>
        </row>
        <row r="29">
          <cell r="C29" t="str">
            <v>Steel Fe-500: 16Mm</v>
          </cell>
        </row>
        <row r="30">
          <cell r="C30" t="str">
            <v>Binding Wire Gi 18 Swg</v>
          </cell>
        </row>
        <row r="31">
          <cell r="C31" t="str">
            <v>Binding Wire Ms 18 Swg</v>
          </cell>
        </row>
        <row r="32">
          <cell r="C32" t="str">
            <v>Cover Block Column 40Mm</v>
          </cell>
        </row>
        <row r="33">
          <cell r="C33" t="str">
            <v>Cover Block Column 30Mm</v>
          </cell>
        </row>
        <row r="34">
          <cell r="C34" t="str">
            <v>Cover Block Beam Bottom 40Mm</v>
          </cell>
        </row>
        <row r="35">
          <cell r="C35" t="str">
            <v>Cover Block Beam Side 25Mm</v>
          </cell>
        </row>
        <row r="36">
          <cell r="C36" t="str">
            <v>Cover Block Slab 25Mm</v>
          </cell>
        </row>
        <row r="37">
          <cell r="C37" t="str">
            <v>Stone Primer</v>
          </cell>
        </row>
        <row r="38">
          <cell r="C38" t="str">
            <v>Bricks 4 Inch</v>
          </cell>
        </row>
        <row r="39">
          <cell r="C39" t="str">
            <v>Bricks 6 Inch</v>
          </cell>
        </row>
        <row r="40">
          <cell r="C40" t="str">
            <v>Bricks Bats</v>
          </cell>
        </row>
        <row r="41">
          <cell r="C41" t="str">
            <v>Block Broken</v>
          </cell>
        </row>
        <row r="42">
          <cell r="C42" t="str">
            <v>Block Hollow 4 Inch (390X190X90)</v>
          </cell>
        </row>
        <row r="43">
          <cell r="C43" t="str">
            <v>Block Hollow 5 Inch (390X190X110)</v>
          </cell>
        </row>
        <row r="44">
          <cell r="C44" t="str">
            <v>Block Hollow 6 Inch (390X190X140)</v>
          </cell>
        </row>
        <row r="45">
          <cell r="C45" t="str">
            <v>Block Hollow 8 Inch (390X190X190)</v>
          </cell>
        </row>
        <row r="46">
          <cell r="C46" t="str">
            <v>Block Hollow 9 inch</v>
          </cell>
        </row>
        <row r="47">
          <cell r="C47" t="str">
            <v>Block Light Weight 625X240X150</v>
          </cell>
        </row>
        <row r="48">
          <cell r="C48" t="str">
            <v>Block Light Weight 625X240X100</v>
          </cell>
        </row>
        <row r="49">
          <cell r="C49" t="str">
            <v>Block Light Weight 625X240X230</v>
          </cell>
        </row>
        <row r="50">
          <cell r="C50" t="str">
            <v>Block Light Weight 600X250X150</v>
          </cell>
        </row>
        <row r="51">
          <cell r="C51" t="str">
            <v>Block Light Weight 600X250X225</v>
          </cell>
        </row>
        <row r="52">
          <cell r="C52" t="str">
            <v>Block Light Weight 600X300X125</v>
          </cell>
        </row>
        <row r="53">
          <cell r="C53" t="str">
            <v>Block Light Weight 600X300X150</v>
          </cell>
        </row>
        <row r="54">
          <cell r="C54" t="str">
            <v>Block Solid 4 Inch (390X190X90)</v>
          </cell>
        </row>
        <row r="55">
          <cell r="C55" t="str">
            <v>Block Solid 5 Inch (390X190X110)</v>
          </cell>
        </row>
        <row r="56">
          <cell r="C56" t="str">
            <v>Block Solid 6 Inch (390X190X140)</v>
          </cell>
        </row>
        <row r="57">
          <cell r="C57" t="str">
            <v>Block Solid 8 Inch (390X190X190)</v>
          </cell>
        </row>
        <row r="58">
          <cell r="C58" t="str">
            <v xml:space="preserve">Pediproof LW </v>
          </cell>
        </row>
        <row r="59">
          <cell r="C59" t="str">
            <v>India Gypsum Elite</v>
          </cell>
        </row>
        <row r="60">
          <cell r="C60" t="str">
            <v>Bonding agent for Gypsum work</v>
          </cell>
        </row>
        <row r="61">
          <cell r="C61" t="str">
            <v xml:space="preserve">Vitrified; 600 mm x 600 mm </v>
          </cell>
        </row>
        <row r="62">
          <cell r="C62" t="str">
            <v>Anti skid Matt Finish</v>
          </cell>
        </row>
        <row r="63">
          <cell r="C63" t="str">
            <v>Wooden effect Vitrified tile</v>
          </cell>
        </row>
        <row r="64">
          <cell r="C64" t="str">
            <v>Ceramic; Kajaria; 200 mm x 200 mm</v>
          </cell>
        </row>
        <row r="65">
          <cell r="C65" t="str">
            <v>Ceramic Tiles low quality</v>
          </cell>
        </row>
        <row r="66">
          <cell r="C66" t="str">
            <v>Chequered Tiles; 300 mm x 300 mm x 30mm (Grey)</v>
          </cell>
        </row>
        <row r="67">
          <cell r="C67" t="str">
            <v>Chequered Tiles; 300 mm x 300 mm x 30mm (Yellow)</v>
          </cell>
        </row>
        <row r="68">
          <cell r="C68" t="str">
            <v>Chequered Tiles; 250 mm x 250 mm x 25mm (Grey)</v>
          </cell>
        </row>
        <row r="69">
          <cell r="C69" t="str">
            <v>Chequered Tiles; 250 mm x 250 mm x 25mm (Yellow)</v>
          </cell>
        </row>
        <row r="70">
          <cell r="C70" t="str">
            <v>Pavit; 100mm x 100 mm x 12 mm (Code: X191)</v>
          </cell>
        </row>
        <row r="71">
          <cell r="C71" t="str">
            <v>Swimming Pool Tiles; Palladio; Brillante Series</v>
          </cell>
        </row>
        <row r="72">
          <cell r="C72" t="str">
            <v>Paver Blocks; Steel Grey 6" x 6" x 60mm</v>
          </cell>
        </row>
        <row r="73">
          <cell r="C73" t="str">
            <v>Paver Blocks; Light Grey 6" x 6" x 60mm</v>
          </cell>
        </row>
        <row r="74">
          <cell r="C74" t="str">
            <v>Italian Marble; Black Marquinia; 8 feet x 4 feet</v>
          </cell>
        </row>
        <row r="75">
          <cell r="C75" t="str">
            <v>Italian Marble; Florentine Beige; 8 feet x 4 feet</v>
          </cell>
        </row>
        <row r="76">
          <cell r="C76" t="str">
            <v>Italian Marble; Ita Gold; 8 feet x 4 feet</v>
          </cell>
        </row>
        <row r="77">
          <cell r="C77" t="str">
            <v>Italian Marble; Italian  French Brown; 8 feet x 4 feet</v>
          </cell>
        </row>
        <row r="78">
          <cell r="C78" t="str">
            <v>Italian Marble; Italian Bottochino; 8 feet x 4 feet</v>
          </cell>
        </row>
        <row r="79">
          <cell r="C79" t="str">
            <v>Italian Marble; Italian Classic Beige; 8 feet x 4 feet, 18mm thick</v>
          </cell>
        </row>
        <row r="80">
          <cell r="C80" t="str">
            <v>Italian Marble; Italian Light Impredor; 8 feet x 4 feet</v>
          </cell>
        </row>
        <row r="81">
          <cell r="C81" t="str">
            <v>Italian Marble; Italian Silver Travertino; 8 feet x 4 feet</v>
          </cell>
        </row>
        <row r="82">
          <cell r="C82" t="str">
            <v>Italian Marble; Italian Venetino; 8 feet x 4 feet</v>
          </cell>
        </row>
        <row r="83">
          <cell r="C83" t="str">
            <v>Italian Marble; Dark Empredor (Slab); 8 feet x 4 feet</v>
          </cell>
        </row>
        <row r="84">
          <cell r="C84" t="str">
            <v>Italian Marble; Grey William (Slab); 8 feet x 4 feet</v>
          </cell>
        </row>
        <row r="85">
          <cell r="C85" t="str">
            <v>Italian Marble; Italian  Serpejente; 8 feet x 4 feet</v>
          </cell>
        </row>
        <row r="86">
          <cell r="C86" t="str">
            <v>Italian Marble; Noche Travertino; 8 feet x 4 feet</v>
          </cell>
        </row>
        <row r="87">
          <cell r="C87" t="str">
            <v>Italian Marble; Satavario; 8 feet x 4 feet</v>
          </cell>
        </row>
        <row r="88">
          <cell r="C88" t="str">
            <v>Italian Marble; Cream Travertino; 8 feet x 4 feet</v>
          </cell>
        </row>
        <row r="89">
          <cell r="C89" t="str">
            <v>Italian Marble; Irish Brown Italian Marble; 8 feet x 4 feet</v>
          </cell>
        </row>
        <row r="90">
          <cell r="C90" t="str">
            <v>Italian Marble; Beige Travertino With Filling; 8 feet x 4 feet</v>
          </cell>
        </row>
        <row r="91">
          <cell r="C91" t="str">
            <v>Italian Marble; Red Travertine; 8 feet x 4 feet</v>
          </cell>
        </row>
        <row r="92">
          <cell r="C92" t="str">
            <v>Italian Marble; Sicilia; 8 feet x 4 feet</v>
          </cell>
        </row>
        <row r="93">
          <cell r="C93" t="str">
            <v>Italian Marble; Silver Travertino; 8 feet x 4 feet</v>
          </cell>
        </row>
        <row r="94">
          <cell r="C94" t="str">
            <v>Italian Marble; Antique Beige; 8 feet x 4 feet</v>
          </cell>
        </row>
        <row r="95">
          <cell r="C95" t="str">
            <v>Italian Marble; Venatino; 8 feet x 4 feet</v>
          </cell>
        </row>
        <row r="96">
          <cell r="C96" t="str">
            <v>Italian Marble; Bianco Cristello-S-128; 10 feet x 4 feet, 12mm</v>
          </cell>
        </row>
        <row r="97">
          <cell r="C97" t="str">
            <v>Italian Marble; Bianco Cristello-S-128; 10 feet x 4 feet, 14mm</v>
          </cell>
        </row>
        <row r="98">
          <cell r="C98" t="str">
            <v xml:space="preserve">Aggelomerated Marble </v>
          </cell>
        </row>
        <row r="99">
          <cell r="C99" t="str">
            <v>Marbital flooring</v>
          </cell>
        </row>
        <row r="100">
          <cell r="C100" t="str">
            <v>Design Marble (combination of Italian/Agglomerate/stone)</v>
          </cell>
        </row>
        <row r="101">
          <cell r="C101" t="str">
            <v>Italian Marble; Agglomerated Lilly; 10 feet x 4 feet - 14mm</v>
          </cell>
        </row>
        <row r="102">
          <cell r="C102" t="str">
            <v>Italian Marble; Agglomerated Lilly; 10 feet x 4 feet - 12mm</v>
          </cell>
        </row>
        <row r="103">
          <cell r="C103" t="str">
            <v>Italian Marble; Agglomerated Tyna ; 10 feet x 4 feet - 12mm</v>
          </cell>
        </row>
        <row r="104">
          <cell r="C104" t="str">
            <v>Italian Marble; Agglomerated Tyna ; 10 feet x 4 feet - 16mm</v>
          </cell>
        </row>
        <row r="105">
          <cell r="C105" t="str">
            <v>Italian Marble; Artificial - Blue Sapphire; 10 feet x 4 feet - 12mm</v>
          </cell>
        </row>
        <row r="106">
          <cell r="C106" t="str">
            <v>Italian Marble; Artificial - Essel Brown; 10 feet x 4 feet - 12mm</v>
          </cell>
        </row>
        <row r="107">
          <cell r="C107" t="str">
            <v>Italian Marble; Artificial - Rover Nymphea; 10 feet x 4 feet, 12mm</v>
          </cell>
        </row>
        <row r="108">
          <cell r="C108" t="str">
            <v>Italian Marble; Artificial - Rover Nymphea; 10 feet x 4 feet, 16mm</v>
          </cell>
        </row>
        <row r="109">
          <cell r="C109" t="str">
            <v>Italian Marble; Artificial - Rover White Cliff.; 10 feet x 4 feet, 12mm</v>
          </cell>
        </row>
        <row r="110">
          <cell r="C110" t="str">
            <v>Italian Marble; Artificial - Rover White Cliff.; 10 feet x 4 feet, 16mm</v>
          </cell>
        </row>
        <row r="111">
          <cell r="C111" t="str">
            <v>Italian Marble; Agglomerate Braga; 10 feet x 4 feet - 12mm</v>
          </cell>
        </row>
        <row r="112">
          <cell r="C112" t="str">
            <v>Italian Marble; Agglomerate Braga; 10 feet x 4 feet - 16mm</v>
          </cell>
        </row>
        <row r="113">
          <cell r="C113" t="str">
            <v>Italian Marble; Aglomerate Porto; 10 feet x 4 feet - 12mm</v>
          </cell>
        </row>
        <row r="114">
          <cell r="C114" t="str">
            <v>Italian Marble; Aglomerate Porto; 10 feet x 4 feet - 16mm</v>
          </cell>
        </row>
        <row r="115">
          <cell r="C115" t="str">
            <v>Italian Marble; Crystal Marble; 10 feet x 4 feet</v>
          </cell>
        </row>
        <row r="116">
          <cell r="C116" t="str">
            <v>Indian Marble; White Marble (As per cut size)</v>
          </cell>
        </row>
        <row r="117">
          <cell r="C117" t="str">
            <v>Indian Marble; Green Baroda (As per cut size)</v>
          </cell>
        </row>
        <row r="118">
          <cell r="C118" t="str">
            <v>Indian Marble; Granite Ikon Brown (As per cut size)</v>
          </cell>
        </row>
        <row r="119">
          <cell r="C119" t="str">
            <v>Indian Marble; Jet Black Granite (As per cut size)</v>
          </cell>
        </row>
        <row r="120">
          <cell r="C120" t="str">
            <v>Indian Marble; Telephone Black (As per cut size)</v>
          </cell>
        </row>
        <row r="121">
          <cell r="C121" t="str">
            <v>Indian Marble; Flamed Black Granite (As per cut size)</v>
          </cell>
        </row>
        <row r="122">
          <cell r="C122" t="str">
            <v>Indian Marble; Raw Silk Granite (As per cut size)</v>
          </cell>
        </row>
        <row r="123">
          <cell r="C123" t="str">
            <v>Indian Marble; Cuddappa Stone (polished) (As per cut size)</v>
          </cell>
        </row>
        <row r="124">
          <cell r="C124" t="str">
            <v>Indian Marble; Cuddappa Stone (unpolished) (As per cut size)</v>
          </cell>
        </row>
        <row r="125">
          <cell r="C125" t="str">
            <v>Cement tiles</v>
          </cell>
        </row>
        <row r="126">
          <cell r="C126" t="str">
            <v>Kota Stone 2' x 2'</v>
          </cell>
        </row>
        <row r="127">
          <cell r="C127" t="str">
            <v>Indian Marble; Kota Stone for 5' &amp; above</v>
          </cell>
        </row>
        <row r="128">
          <cell r="C128" t="str">
            <v>China Mosaic Chips</v>
          </cell>
        </row>
        <row r="129">
          <cell r="C129" t="str">
            <v>Enginnered wood Flooring</v>
          </cell>
        </row>
        <row r="130">
          <cell r="C130" t="str">
            <v>Laminated Wooden Flooring</v>
          </cell>
        </row>
        <row r="131">
          <cell r="C131" t="str">
            <v>Teak Wood; Section 5" x 2.1/2"</v>
          </cell>
        </row>
        <row r="134">
          <cell r="C134" t="str">
            <v>5" x 3" x 3mm; Hinges -- Magnum</v>
          </cell>
        </row>
        <row r="135">
          <cell r="C135" t="str">
            <v>4" x 3" x 3mm; Hinges -- Magnum</v>
          </cell>
        </row>
        <row r="136">
          <cell r="C136" t="str">
            <v xml:space="preserve">D Handle - 12" -- Magnum </v>
          </cell>
        </row>
        <row r="137">
          <cell r="C137" t="str">
            <v>Night Latch -- Magnum</v>
          </cell>
        </row>
        <row r="138">
          <cell r="C138" t="str">
            <v>Mortise handle -- Magnum</v>
          </cell>
        </row>
        <row r="139">
          <cell r="C139" t="str">
            <v>Mortise Lock -- Magnum</v>
          </cell>
        </row>
        <row r="140">
          <cell r="C140" t="str">
            <v>Door Stopper - Magnum</v>
          </cell>
        </row>
        <row r="141">
          <cell r="C141" t="str">
            <v>Peep Hole - magnum</v>
          </cell>
        </row>
        <row r="142">
          <cell r="C142" t="str">
            <v>Tower Bolt 8" - Magnum</v>
          </cell>
        </row>
        <row r="143">
          <cell r="C143" t="str">
            <v>Safety Chain</v>
          </cell>
        </row>
        <row r="144">
          <cell r="C144" t="str">
            <v>Door Closer - Dorset</v>
          </cell>
        </row>
        <row r="145">
          <cell r="C145" t="str">
            <v>Dead Lock</v>
          </cell>
        </row>
        <row r="146">
          <cell r="C146" t="str">
            <v>100 KVA</v>
          </cell>
        </row>
        <row r="147">
          <cell r="C147" t="str">
            <v>180 KVA</v>
          </cell>
        </row>
        <row r="148">
          <cell r="C148" t="str">
            <v>250 KVA</v>
          </cell>
        </row>
        <row r="149">
          <cell r="C149" t="str">
            <v>320 KVA</v>
          </cell>
        </row>
        <row r="150">
          <cell r="C150" t="str">
            <v>400 KVA</v>
          </cell>
        </row>
        <row r="151">
          <cell r="C151" t="str">
            <v>500 KVA</v>
          </cell>
        </row>
        <row r="152">
          <cell r="C152" t="str">
            <v>1000 KVA</v>
          </cell>
        </row>
        <row r="153">
          <cell r="C153" t="str">
            <v>1 Ton</v>
          </cell>
        </row>
        <row r="154">
          <cell r="C154" t="str">
            <v>1.5 Ton</v>
          </cell>
        </row>
        <row r="155">
          <cell r="C155" t="str">
            <v>2 Ton</v>
          </cell>
        </row>
        <row r="156">
          <cell r="C156" t="str">
            <v>1.5 ton</v>
          </cell>
        </row>
        <row r="157">
          <cell r="C157" t="str">
            <v>Mitsubishi: No. of Stops: 13, Speed: 1 Metre/Sec; Load: 10</v>
          </cell>
        </row>
        <row r="158">
          <cell r="C158" t="str">
            <v>Mitsubishi: No. of Stops: 17, Speed: 1 Metre/Sec; Load: 10</v>
          </cell>
        </row>
        <row r="159">
          <cell r="C159" t="str">
            <v>Mitsubishi: No. of Stops: 27, Speed: 1.5 Metre/Sec; Load: 13</v>
          </cell>
        </row>
        <row r="160">
          <cell r="C160" t="str">
            <v>Mitsubishi: No. of Stops: 40, Speed: 2.5 Metre/Sec; Load: 20</v>
          </cell>
        </row>
        <row r="161">
          <cell r="C161" t="str">
            <v>Passenger Lift 13 passenger load @ 2.5 MPS, 22 Stops</v>
          </cell>
        </row>
        <row r="162">
          <cell r="C162" t="str">
            <v>Stretcher Lift 15 Passenger Load @ 2.5 MPS, 22 Stops</v>
          </cell>
        </row>
      </sheetData>
      <sheetData sheetId="12" refreshError="1">
        <row r="4">
          <cell r="B4" t="str">
            <v>Labour For Civil Work</v>
          </cell>
        </row>
        <row r="5">
          <cell r="B5" t="str">
            <v>Excavation in Soft Soil</v>
          </cell>
        </row>
        <row r="6">
          <cell r="B6" t="str">
            <v>Excavation in Hard rock</v>
          </cell>
        </row>
        <row r="7">
          <cell r="B7" t="str">
            <v>Core Cutting</v>
          </cell>
        </row>
        <row r="10">
          <cell r="B10" t="str">
            <v>Labour for IPS</v>
          </cell>
        </row>
        <row r="11">
          <cell r="B11" t="str">
            <v>Labour for Marble Flooring</v>
          </cell>
        </row>
        <row r="12">
          <cell r="B12" t="str">
            <v>Labour for Marble Polishing</v>
          </cell>
        </row>
        <row r="13">
          <cell r="B13" t="str">
            <v>Labour for Agglomerate Flooring</v>
          </cell>
        </row>
        <row r="14">
          <cell r="B14" t="str">
            <v>Labour for Vitrified Tile Flooring</v>
          </cell>
        </row>
        <row r="15">
          <cell r="B15" t="str">
            <v>Labour for Marbital Tile Flooring</v>
          </cell>
        </row>
        <row r="16">
          <cell r="B16" t="str">
            <v>Labour for Cement tile Flooring</v>
          </cell>
        </row>
        <row r="17">
          <cell r="B17" t="str">
            <v>Labour for Stone Flooring</v>
          </cell>
        </row>
        <row r="18">
          <cell r="B18" t="str">
            <v>Labour for Marble Skirting</v>
          </cell>
        </row>
        <row r="19">
          <cell r="B19" t="str">
            <v>Labour for Vitrified Tile Skirting</v>
          </cell>
        </row>
        <row r="20">
          <cell r="B20" t="str">
            <v>Labour for Marbital Tile Skirting</v>
          </cell>
        </row>
        <row r="21">
          <cell r="B21" t="str">
            <v>Labour for Stone Skirting</v>
          </cell>
        </row>
        <row r="22">
          <cell r="B22" t="str">
            <v>Labour for Marble Dado</v>
          </cell>
        </row>
        <row r="23">
          <cell r="B23" t="str">
            <v>Labour for Agglomerate Dado</v>
          </cell>
        </row>
        <row r="24">
          <cell r="B24" t="str">
            <v>Labour for Vitrified Tile Dado</v>
          </cell>
        </row>
        <row r="25">
          <cell r="B25" t="str">
            <v>Labour for Stone dado</v>
          </cell>
        </row>
        <row r="26">
          <cell r="B26" t="str">
            <v>Labour for Window Cill</v>
          </cell>
        </row>
        <row r="27">
          <cell r="B27" t="str">
            <v>Labour for Threshold</v>
          </cell>
        </row>
        <row r="28">
          <cell r="B28" t="str">
            <v>Labour for Champher</v>
          </cell>
        </row>
        <row r="29">
          <cell r="B29" t="str">
            <v>Labour for Rounding</v>
          </cell>
        </row>
        <row r="30">
          <cell r="B30" t="str">
            <v>Labour for China Mosaic Flooring</v>
          </cell>
        </row>
        <row r="31">
          <cell r="B31" t="str">
            <v>Labour for Counter Platform</v>
          </cell>
        </row>
        <row r="32">
          <cell r="B32" t="str">
            <v>Labour for Fixing accessories to main Door</v>
          </cell>
        </row>
        <row r="33">
          <cell r="B33" t="str">
            <v>Labour for Fixing accessories to other Door</v>
          </cell>
        </row>
        <row r="34">
          <cell r="B34" t="str">
            <v>Labour for Wooden false Ceiling</v>
          </cell>
        </row>
        <row r="35">
          <cell r="B35" t="str">
            <v>Labour for Ceramic Flooring</v>
          </cell>
        </row>
        <row r="36">
          <cell r="B36" t="str">
            <v>Labour for stone polishing</v>
          </cell>
        </row>
        <row r="37">
          <cell r="B37" t="str">
            <v>Labour for Gypsum work</v>
          </cell>
        </row>
        <row r="38">
          <cell r="B38" t="str">
            <v>L36</v>
          </cell>
        </row>
        <row r="39">
          <cell r="B39" t="str">
            <v>L37</v>
          </cell>
        </row>
        <row r="40">
          <cell r="B40" t="str">
            <v>L38</v>
          </cell>
        </row>
        <row r="41">
          <cell r="B41" t="str">
            <v>L39</v>
          </cell>
        </row>
        <row r="42">
          <cell r="B42" t="str">
            <v>L40</v>
          </cell>
        </row>
        <row r="43">
          <cell r="B43" t="str">
            <v>L41</v>
          </cell>
        </row>
        <row r="44">
          <cell r="B44" t="str">
            <v>L42</v>
          </cell>
        </row>
        <row r="45">
          <cell r="B45" t="str">
            <v>L43</v>
          </cell>
        </row>
        <row r="46">
          <cell r="B46" t="str">
            <v>L44</v>
          </cell>
        </row>
        <row r="47">
          <cell r="B47" t="str">
            <v>L45</v>
          </cell>
        </row>
        <row r="48">
          <cell r="B48" t="str">
            <v>L46</v>
          </cell>
        </row>
      </sheetData>
      <sheetData sheetId="13" refreshError="1">
        <row r="4">
          <cell r="B4" t="str">
            <v>Engineered wood Deck Flooring</v>
          </cell>
        </row>
        <row r="5">
          <cell r="B5" t="str">
            <v xml:space="preserve">Laminated Wooden Flooring; </v>
          </cell>
        </row>
        <row r="6">
          <cell r="B6" t="str">
            <v>Chemical Waterproofing</v>
          </cell>
        </row>
        <row r="7">
          <cell r="B7" t="str">
            <v>Carpet</v>
          </cell>
        </row>
        <row r="8">
          <cell r="B8" t="str">
            <v>Gymnsium Flooring</v>
          </cell>
        </row>
        <row r="9">
          <cell r="B9" t="str">
            <v>Gypsum work</v>
          </cell>
        </row>
        <row r="10">
          <cell r="B10" t="str">
            <v xml:space="preserve">Glass Mosaic </v>
          </cell>
        </row>
        <row r="11">
          <cell r="B11" t="str">
            <v>Toilet Waterproofing including waterproofing Compound</v>
          </cell>
        </row>
        <row r="12">
          <cell r="B12" t="str">
            <v>Canopy</v>
          </cell>
        </row>
        <row r="13">
          <cell r="B13" t="str">
            <v>China Chip fixing</v>
          </cell>
        </row>
        <row r="14">
          <cell r="B14" t="str">
            <v>Gypsum False Ceiling</v>
          </cell>
        </row>
        <row r="15">
          <cell r="B15" t="str">
            <v>Bison board false ceiling with trap door</v>
          </cell>
        </row>
        <row r="16">
          <cell r="B16" t="str">
            <v>Composite False ceiling</v>
          </cell>
        </row>
        <row r="17">
          <cell r="B17" t="str">
            <v>Wooden False Ceiling</v>
          </cell>
        </row>
        <row r="18">
          <cell r="B18" t="str">
            <v>Tremix</v>
          </cell>
        </row>
        <row r="19">
          <cell r="B19" t="str">
            <v>Plastic Emulsion Paint</v>
          </cell>
        </row>
        <row r="20">
          <cell r="B20" t="str">
            <v>Lustre Paint</v>
          </cell>
        </row>
        <row r="21">
          <cell r="B21" t="str">
            <v>Semi Acrylic paint</v>
          </cell>
        </row>
        <row r="22">
          <cell r="B22" t="str">
            <v>Enamel Paint</v>
          </cell>
        </row>
        <row r="23">
          <cell r="B23" t="str">
            <v>OBD</v>
          </cell>
        </row>
        <row r="24">
          <cell r="B24" t="str">
            <v>White Wash</v>
          </cell>
        </row>
        <row r="25">
          <cell r="B25" t="str">
            <v>Cement paint</v>
          </cell>
        </row>
        <row r="26">
          <cell r="B26" t="str">
            <v>Renova Textured coating</v>
          </cell>
        </row>
        <row r="27">
          <cell r="B27" t="str">
            <v>M.S Hand Railing for Staircase</v>
          </cell>
        </row>
        <row r="28">
          <cell r="B28" t="str">
            <v>M.S railing for Utility Area</v>
          </cell>
        </row>
        <row r="29">
          <cell r="B29" t="str">
            <v xml:space="preserve">S.S. Railing for Deck </v>
          </cell>
        </row>
        <row r="30">
          <cell r="B30" t="str">
            <v>S.S. Railing for Windows</v>
          </cell>
        </row>
        <row r="31">
          <cell r="B31" t="str">
            <v>Aluminium Windows</v>
          </cell>
        </row>
        <row r="32">
          <cell r="B32" t="str">
            <v>Aluminium Structural Glazing</v>
          </cell>
        </row>
        <row r="33">
          <cell r="B33" t="str">
            <v>Glass Main Doors with patch Fittings</v>
          </cell>
        </row>
        <row r="34">
          <cell r="B34" t="str">
            <v>ACP Cladding</v>
          </cell>
        </row>
        <row r="35">
          <cell r="B35" t="str">
            <v>Glazed partitions</v>
          </cell>
        </row>
        <row r="36">
          <cell r="B36" t="str">
            <v>Toilet partitions</v>
          </cell>
        </row>
        <row r="37">
          <cell r="B37" t="str">
            <v>Aluminium Sloping Roof</v>
          </cell>
        </row>
        <row r="38">
          <cell r="B38" t="str">
            <v>Aluminium louvers</v>
          </cell>
        </row>
        <row r="39">
          <cell r="B39" t="str">
            <v>Aluminium Features to Elevation</v>
          </cell>
        </row>
        <row r="40">
          <cell r="B40" t="str">
            <v>POP layer for tile protection</v>
          </cell>
        </row>
        <row r="41">
          <cell r="B41" t="str">
            <v>Light wt concrete</v>
          </cell>
        </row>
        <row r="42">
          <cell r="B42" t="str">
            <v>Flute board for tile protection</v>
          </cell>
        </row>
        <row r="43">
          <cell r="B43" t="str">
            <v>Birla Putty for ceiling</v>
          </cell>
        </row>
        <row r="44">
          <cell r="B44" t="str">
            <v>Wooden panelling</v>
          </cell>
        </row>
        <row r="45">
          <cell r="B45" t="str">
            <v>Accustic Panelling</v>
          </cell>
        </row>
        <row r="46">
          <cell r="B46" t="str">
            <v>Mirror</v>
          </cell>
        </row>
        <row r="47">
          <cell r="B47" t="str">
            <v>Shutter D 1 - 1.1m x 2.25m</v>
          </cell>
        </row>
        <row r="48">
          <cell r="B48" t="str">
            <v>Shutter D 1 - 1.1m x 2.25m.</v>
          </cell>
        </row>
        <row r="49">
          <cell r="B49" t="str">
            <v>Shutter D 2 - 0.9m x 2.25m</v>
          </cell>
        </row>
        <row r="50">
          <cell r="B50" t="str">
            <v>Shutter D 3 - 0.9 x 2.25 m</v>
          </cell>
        </row>
        <row r="51">
          <cell r="B51" t="str">
            <v>Sliding Shutter D 4 - 0.9 x 2.25 m</v>
          </cell>
        </row>
        <row r="52">
          <cell r="B52" t="str">
            <v>Shutter D 5 - 0.9m x 2.25 m</v>
          </cell>
        </row>
        <row r="53">
          <cell r="B53" t="str">
            <v>Shutter D 6 - 0.8m x 2.25 m</v>
          </cell>
        </row>
        <row r="54">
          <cell r="B54" t="str">
            <v>Shutter D 6A - 0.6m x 1.95 m</v>
          </cell>
        </row>
        <row r="55">
          <cell r="B55" t="str">
            <v>Shutter D 7 - 1.5m x 2.25 m</v>
          </cell>
        </row>
        <row r="56">
          <cell r="B56" t="str">
            <v>Shutter D 8 - 1.2m x 2.25 m</v>
          </cell>
        </row>
        <row r="57">
          <cell r="B57" t="str">
            <v>Shutter D 9 - 0.8m x 2.0 m</v>
          </cell>
        </row>
        <row r="58">
          <cell r="B58" t="str">
            <v>Shutter D 10 - 0.8m x 2.0 m</v>
          </cell>
        </row>
        <row r="59">
          <cell r="B59" t="str">
            <v>Shutter D 11 - 1.1m x 2.25 m</v>
          </cell>
        </row>
        <row r="60">
          <cell r="B60" t="str">
            <v>Shutter D 12 - 1.2m x 2.25 m</v>
          </cell>
        </row>
        <row r="61">
          <cell r="B61" t="str">
            <v>Shutter D 13 - 0.9m x 2.25 m</v>
          </cell>
        </row>
        <row r="63">
          <cell r="B63" t="str">
            <v>Frame D 1 - 1.1m x 2.25m</v>
          </cell>
        </row>
        <row r="64">
          <cell r="B64" t="str">
            <v>Frame D 2 - 0.99m x 2.25m</v>
          </cell>
        </row>
        <row r="65">
          <cell r="B65" t="str">
            <v>Frame D 3 - 0.9 x 2.25 m</v>
          </cell>
        </row>
        <row r="66">
          <cell r="B66" t="str">
            <v>Frame D 4 - 0.9 x 2.25 m</v>
          </cell>
        </row>
        <row r="67">
          <cell r="B67" t="str">
            <v>Frame D 5 - 0.9m x 2.25 m</v>
          </cell>
        </row>
        <row r="68">
          <cell r="B68" t="str">
            <v>Frame D 6 - 0.8m x 2.25 m</v>
          </cell>
        </row>
        <row r="69">
          <cell r="B69" t="str">
            <v>Frame D 6A - 0.6m x 1.95 m</v>
          </cell>
        </row>
        <row r="70">
          <cell r="B70" t="str">
            <v>Frame D 7 - 1.5m x 2.25 m</v>
          </cell>
        </row>
        <row r="71">
          <cell r="B71" t="str">
            <v>Frame D 8 - 1.2m x 2.25 m</v>
          </cell>
        </row>
        <row r="72">
          <cell r="B72" t="str">
            <v>Frame D 9 - 0.8m x 2.0 m</v>
          </cell>
        </row>
        <row r="73">
          <cell r="B73" t="str">
            <v>Frame D 10 - 0.8m x 2.0 m</v>
          </cell>
        </row>
        <row r="74">
          <cell r="B74" t="str">
            <v>Frame D 11 - 1.1m x 2.25 m</v>
          </cell>
        </row>
        <row r="75">
          <cell r="B75" t="str">
            <v>Frame D 12 - 1.2m x 2.25 m</v>
          </cell>
        </row>
        <row r="76">
          <cell r="B76" t="str">
            <v>Frame D 13 - 0.9m x 2.25 m</v>
          </cell>
        </row>
        <row r="78">
          <cell r="B78" t="str">
            <v>Sub-Frame D 1 - 1.1m x 2.4m</v>
          </cell>
        </row>
        <row r="79">
          <cell r="B79" t="str">
            <v>Sub-Frame D 2 - 0.99m x 2.4m</v>
          </cell>
        </row>
        <row r="80">
          <cell r="B80" t="str">
            <v>Sub-Frame D 3 - 0.9 x 2.4 m</v>
          </cell>
        </row>
        <row r="81">
          <cell r="B81" t="str">
            <v>Sub-Frame D 4 - 0.9 x 2.4 m</v>
          </cell>
        </row>
        <row r="82">
          <cell r="B82" t="str">
            <v>Sub-Frame D 5 - 0.9m x 2.4 m</v>
          </cell>
        </row>
        <row r="83">
          <cell r="B83" t="str">
            <v>Sub-Frame D 6 - 0.8m x 2.4 m</v>
          </cell>
        </row>
        <row r="84">
          <cell r="B84" t="str">
            <v>Sub-Frame D 6A - 0.8m x 2.4 m</v>
          </cell>
        </row>
        <row r="85">
          <cell r="B85" t="str">
            <v>Sub-Frame D 7 - 1.5m x 2.4 m</v>
          </cell>
        </row>
        <row r="86">
          <cell r="B86" t="str">
            <v>Sub-Frame D 8 - 1.2m x 2.4 m</v>
          </cell>
        </row>
        <row r="87">
          <cell r="B87" t="str">
            <v>Sub-Frame D 9 - 0.8m x 2.0 m</v>
          </cell>
        </row>
        <row r="88">
          <cell r="B88" t="str">
            <v>Sub-Frame D 10 - 0.8m x 2.0 m</v>
          </cell>
        </row>
        <row r="89">
          <cell r="B89" t="str">
            <v>Sub-Frame D 11 - 1.1m x 2.4 m</v>
          </cell>
        </row>
        <row r="90">
          <cell r="B90" t="str">
            <v>Sub-Frame D 12 - 1.2m x 2.4 m</v>
          </cell>
        </row>
        <row r="91">
          <cell r="B91" t="str">
            <v>Sub-Frame D 13 - 0.9m x 2.4 m</v>
          </cell>
        </row>
        <row r="93">
          <cell r="B93" t="str">
            <v>UPVC Fins</v>
          </cell>
        </row>
        <row r="94">
          <cell r="B94" t="str">
            <v>ACP Cladding</v>
          </cell>
        </row>
        <row r="95">
          <cell r="B95" t="str">
            <v>Signages</v>
          </cell>
        </row>
        <row r="96">
          <cell r="B96" t="str">
            <v>Structural Glazing</v>
          </cell>
        </row>
        <row r="98">
          <cell r="B98" t="str">
            <v>Civil works</v>
          </cell>
        </row>
        <row r="99">
          <cell r="B99" t="str">
            <v>Anti - Termite Treatment</v>
          </cell>
        </row>
        <row r="100">
          <cell r="B100" t="str">
            <v>Sub Structure Waterproofing</v>
          </cell>
        </row>
        <row r="101">
          <cell r="B101" t="str">
            <v>Structural Work</v>
          </cell>
        </row>
        <row r="102">
          <cell r="B102" t="str">
            <v>Elevational Treatment</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Cost"/>
      <sheetName val="PLC"/>
      <sheetName val="Costing"/>
      <sheetName val="ABB_Alt1"/>
      <sheetName val="Price Schedule_ME"/>
      <sheetName val="Price Schedule_ME (2)"/>
      <sheetName val="DetEst"/>
      <sheetName val="labour"/>
    </sheetNames>
    <sheetDataSet>
      <sheetData sheetId="0"/>
      <sheetData sheetId="1">
        <row r="179">
          <cell r="H179">
            <v>540</v>
          </cell>
        </row>
      </sheetData>
      <sheetData sheetId="2">
        <row r="179">
          <cell r="H179">
            <v>540</v>
          </cell>
          <cell r="I179">
            <v>280</v>
          </cell>
        </row>
      </sheetData>
      <sheetData sheetId="3"/>
      <sheetData sheetId="4"/>
      <sheetData sheetId="5"/>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書"/>
    </sheetNames>
    <sheetDataSet>
      <sheetData sheetId="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s"/>
      <sheetName val="Type 1 2BHK budget"/>
      <sheetName val="Annexture 1 consultant"/>
      <sheetName val="Annexure 2 Civil Work "/>
      <sheetName val="Annexure 3 Finishing Work "/>
      <sheetName val="Annexture 4 services"/>
      <sheetName val="Material List "/>
      <sheetName val="Labour Rate "/>
      <sheetName val="(M+L)"/>
      <sheetName val="Guidelines"/>
      <sheetName val="Consumption of Materials"/>
      <sheetName val="Summary"/>
      <sheetName val="Details"/>
      <sheetName val="B.W."/>
      <sheetName val="Finishing"/>
      <sheetName val="W.P."/>
      <sheetName val="Internal Plaster"/>
      <sheetName val="BW BK up"/>
      <sheetName val="Elect (2)"/>
      <sheetName val="Automation"/>
    </sheetNames>
    <sheetDataSet>
      <sheetData sheetId="0" refreshError="1"/>
      <sheetData sheetId="1" refreshError="1"/>
      <sheetData sheetId="2" refreshError="1"/>
      <sheetData sheetId="3" refreshError="1"/>
      <sheetData sheetId="4" refreshError="1"/>
      <sheetData sheetId="5" refreshError="1"/>
      <sheetData sheetId="6" refreshError="1">
        <row r="4">
          <cell r="M4" t="str">
            <v>M</v>
          </cell>
        </row>
        <row r="5">
          <cell r="M5" t="str">
            <v>L</v>
          </cell>
        </row>
        <row r="6">
          <cell r="M6" t="str">
            <v>M+L</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OBYYASHI BREAKDOWN"/>
    </sheetNames>
    <sheetDataSet>
      <sheetData sheetId="0">
        <row r="7">
          <cell r="E7">
            <v>5600</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_Cost"/>
      <sheetName val="MG"/>
      <sheetName val="Pri_any"/>
      <sheetName val="Price_Comp"/>
      <sheetName val="DG C&amp;R Pnl"/>
      <sheetName val="Panel_Details"/>
      <sheetName val="Comments"/>
      <sheetName val="Comments (2)"/>
      <sheetName val="DG Pnl ind"/>
      <sheetName val="PLC Panel"/>
      <sheetName val="PLC Pumps"/>
    </sheetNames>
    <sheetDataSet>
      <sheetData sheetId="0" refreshError="1"/>
      <sheetData sheetId="1" refreshError="1">
        <row r="15">
          <cell r="C15">
            <v>170375</v>
          </cell>
        </row>
        <row r="83">
          <cell r="H83">
            <v>14190</v>
          </cell>
        </row>
        <row r="86">
          <cell r="C86">
            <v>53890</v>
          </cell>
        </row>
        <row r="101">
          <cell r="D101">
            <v>30590</v>
          </cell>
        </row>
        <row r="214">
          <cell r="B214">
            <v>58000</v>
          </cell>
          <cell r="C214">
            <v>95390</v>
          </cell>
          <cell r="D214">
            <v>178350</v>
          </cell>
          <cell r="E214">
            <v>18125</v>
          </cell>
          <cell r="F214">
            <v>4300</v>
          </cell>
          <cell r="G214">
            <v>62140</v>
          </cell>
          <cell r="H214">
            <v>2800</v>
          </cell>
          <cell r="I214">
            <v>88035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I"/>
      <sheetName val="Corr-spt"/>
      <sheetName val="Obs-spt"/>
      <sheetName val="SPT vs PHI"/>
      <sheetName val="Indices"/>
      <sheetName val="Concrete"/>
      <sheetName val="reinft"/>
      <sheetName val="glass project concrete"/>
      <sheetName val="glass project reift"/>
      <sheetName val="glass project indices"/>
      <sheetName val="Lab"/>
      <sheetName val="office"/>
      <sheetName val="Material&amp;equipment"/>
      <sheetName val="Boq"/>
      <sheetName val="SBC-BH-1"/>
      <sheetName val="gen"/>
      <sheetName val="SBC-BH 19"/>
      <sheetName val="SBC-BH-16"/>
      <sheetName val="BH-20"/>
      <sheetName val="BH-15"/>
      <sheetName val="BH-14"/>
      <sheetName val="BH-16"/>
      <sheetName val="BH-17"/>
      <sheetName val="sbc-ABH-1"/>
      <sheetName val="ABH-1"/>
      <sheetName val="BH-19"/>
      <sheetName val="BH-1"/>
      <sheetName val="SBC-BH-3"/>
      <sheetName val="BH-3"/>
      <sheetName val="Sheet4"/>
      <sheetName val="Rate Analysis"/>
      <sheetName val="sept-plan"/>
      <sheetName val="Table10"/>
      <sheetName val="Table11"/>
      <sheetName val="Table12"/>
      <sheetName val="Table9"/>
      <sheetName val="Mix Design"/>
      <sheetName val="std-rates"/>
      <sheetName val="Spt-BH"/>
      <sheetName val="Summary 0506"/>
      <sheetName val="Summary 0607- 31.MAR"/>
      <sheetName val="Civil Boq"/>
      <sheetName val="FitOutConfCentre"/>
      <sheetName val="Other"/>
      <sheetName val="Summary"/>
      <sheetName val="#REF!"/>
      <sheetName val="Qty"/>
      <sheetName val="SPT_vs_PHI"/>
      <sheetName val="glass_project_concrete"/>
      <sheetName val="glass_project_reift"/>
      <sheetName val="glass_project_indices"/>
      <sheetName val="Pile cap"/>
      <sheetName val="Sheet1"/>
      <sheetName val="BH 12-11-10-13"/>
      <sheetName val="BH 12-11-10-9"/>
      <sheetName val="BH 36-15-37"/>
      <sheetName val="BH 16-35-25-17"/>
      <sheetName val="BH 35-25-17"/>
      <sheetName val="Sheet1 (2)"/>
      <sheetName val="Sheet2"/>
      <sheetName val="PRECAST lightconc-II"/>
      <sheetName val="SPT_vs_PHI1"/>
      <sheetName val="glass_project_concrete1"/>
      <sheetName val="glass_project_reift1"/>
      <sheetName val="glass_project_indices1"/>
      <sheetName val="SBC-BH_19"/>
      <sheetName val="Rate_Analysis"/>
      <sheetName val="BH_12-11-10-13"/>
      <sheetName val="BH_12-11-10-9"/>
      <sheetName val="BH_36-15-37"/>
      <sheetName val="BH_16-35-25-17"/>
      <sheetName val="BH_35-25-17"/>
      <sheetName val="Sheet1_(2)"/>
      <sheetName val="d-safe DELUXE"/>
      <sheetName val="RCC,Ret. Wall"/>
      <sheetName val="Form 6"/>
      <sheetName val="PointNo.5"/>
      <sheetName val="Design"/>
      <sheetName val="Fill this out first..."/>
      <sheetName val="LABOUR"/>
      <sheetName val="REVISED4A PROG PERF-SITE 1"/>
      <sheetName val="Legal Risk Analysis"/>
      <sheetName val="BLK2"/>
      <sheetName val="BLK3"/>
      <sheetName val="E &amp; R"/>
      <sheetName val="radar"/>
      <sheetName val="UG"/>
      <sheetName val="Break up Sheet"/>
      <sheetName val="TBAL9697 -group wise  sdpl"/>
      <sheetName val="Abstract Sheet"/>
      <sheetName val="V.O.4 - PCC Qty"/>
      <sheetName val="BOQ (2)"/>
      <sheetName val="Input"/>
      <sheetName val="Activity"/>
      <sheetName val="Staff Acco."/>
      <sheetName val="Crew"/>
      <sheetName val="Piping"/>
      <sheetName val="Pipe Supports"/>
      <sheetName val="BOQ_Direct_selling cost"/>
      <sheetName val="WWR"/>
      <sheetName val="GBW"/>
      <sheetName val="8"/>
      <sheetName val="Load Details-220kV"/>
      <sheetName val="SANJAY PAL"/>
      <sheetName val="P A SELVAM"/>
      <sheetName val="ANSARI "/>
      <sheetName val="abdesh pal"/>
      <sheetName val="sujay bagchi"/>
      <sheetName val="S.K.SINHA BASU"/>
      <sheetName val="NEDUNCHEZHIYAN"/>
      <sheetName val="RAJARAM"/>
      <sheetName val="KRISHNA PRASAD"/>
      <sheetName val="BARATH &amp; CO"/>
      <sheetName val="L B YADAV"/>
      <sheetName val="DEEPAK KUMAR"/>
      <sheetName val="MUKLAL YADAV"/>
      <sheetName val="MADHU SUDHAN"/>
      <sheetName val="SAUD ALAM "/>
      <sheetName val="RAMESH BABU"/>
      <sheetName val="SUKHENDUPAL"/>
      <sheetName val="SAILEN SARKAR"/>
      <sheetName val="elongovan"/>
      <sheetName val="SANJAY JENA1"/>
      <sheetName val="upendra saw "/>
      <sheetName val="ALLOK KUMAR "/>
      <sheetName val="analysis"/>
      <sheetName val="except wiring"/>
      <sheetName val="CABLE DATA"/>
      <sheetName val="Stock-II"/>
      <sheetName val="R20_R30_work"/>
      <sheetName val="Flight-1"/>
      <sheetName val="Publicbuilding"/>
      <sheetName val="FT-05-02IsoBOM"/>
      <sheetName val="final abstract"/>
      <sheetName val="B@[_x0000__x0004_@_x0000__x0000__x0000_:/$_x0000__x0000_"/>
      <sheetName val=""/>
      <sheetName val="Rev S1 Abstract"/>
      <sheetName val="Quantity Abstract"/>
      <sheetName val="Abstract"/>
      <sheetName val="M-Book for Conc"/>
      <sheetName val="M-Book for FW"/>
      <sheetName val="BS1"/>
      <sheetName val="#REF"/>
      <sheetName val="RA"/>
      <sheetName val="11-hsd"/>
      <sheetName val="13-septic"/>
      <sheetName val="7-ug"/>
      <sheetName val="2-utility"/>
      <sheetName val="18-misc"/>
      <sheetName val="5-pipe"/>
      <sheetName val="VCH-SLC"/>
      <sheetName val="Supplier"/>
      <sheetName val="Parapet"/>
      <sheetName val="sheet6"/>
      <sheetName val="RA-markate"/>
      <sheetName val="B@[?_x0004_@???:/$??"/>
      <sheetName val="B@__x005f_x0000__x005f_x0004_@_x005f_x0000__x0000"/>
      <sheetName val="Project Budget Worksheet"/>
      <sheetName val="beam-reinft-IIInd floor"/>
      <sheetName val="INPUT SHEET"/>
      <sheetName val="RES-PLANNING"/>
      <sheetName val="Footings"/>
      <sheetName val="Sump"/>
      <sheetName val="COLUMN"/>
      <sheetName val="Summary_0506"/>
      <sheetName val="Summary_0607-_31_MAR"/>
      <sheetName val="Form_6"/>
      <sheetName val="B@_"/>
      <sheetName val="cubes_M20"/>
      <sheetName val="BOQ -II ph 2"/>
      <sheetName val="A-General"/>
      <sheetName val="switch"/>
      <sheetName val="B@___x0004_@_____$__"/>
      <sheetName val="Sheet3"/>
      <sheetName val="Macro1"/>
      <sheetName val="Fee Rate Summary"/>
      <sheetName val="STAFFSCHED "/>
      <sheetName val="SUMM"/>
      <sheetName val="DADAN-1"/>
      <sheetName val="dummy"/>
      <sheetName val="d-safe specs"/>
      <sheetName val="class &amp; category"/>
      <sheetName val="Rein-Final (Ph 1+Ph2)"/>
      <sheetName val="Cost_any"/>
      <sheetName val="Process"/>
      <sheetName val="pt_cw"/>
      <sheetName val="Metso - Forth &amp; Slurry 11.02.10"/>
      <sheetName val="AOR"/>
      <sheetName val="1"/>
      <sheetName val="Lead"/>
      <sheetName val="India F&amp;S Template"/>
      <sheetName val="Site wise NADs"/>
      <sheetName val="col-reinft1"/>
      <sheetName val="FUNDFLOW"/>
      <sheetName val="220 11  BS "/>
      <sheetName val="Build-up"/>
      <sheetName val="TBAL9697_-group_wise__sdpl"/>
      <sheetName val="Headings"/>
      <sheetName val="Formulas"/>
      <sheetName val="SBC-BH_191"/>
      <sheetName val="2gii"/>
      <sheetName val="HPL"/>
      <sheetName val="Costing"/>
      <sheetName val="T&amp;M"/>
      <sheetName val="SOR"/>
      <sheetName val="PriceSummary"/>
      <sheetName val="SPT_vs_PHI2"/>
      <sheetName val="glass_project_concrete2"/>
      <sheetName val="glass_project_reift2"/>
      <sheetName val="glass_project_indices2"/>
      <sheetName val="BH_12-11-10-131"/>
      <sheetName val="BH_12-11-10-91"/>
      <sheetName val="BH_36-15-371"/>
      <sheetName val="BH_16-35-25-171"/>
      <sheetName val="BH_35-25-171"/>
      <sheetName val="Sheet1_(2)1"/>
      <sheetName val="Rate_Analysis1"/>
      <sheetName val="Civil_Boq"/>
      <sheetName val="Pile_cap"/>
      <sheetName val="PRECAST_lightconc-II"/>
      <sheetName val="d-safe_DELUXE"/>
      <sheetName val="Mix_Design"/>
      <sheetName val="RCC,Ret__Wall"/>
      <sheetName val="PointNo_5"/>
      <sheetName val="Abstract_Sheet"/>
      <sheetName val="E_&amp;_R"/>
      <sheetName val="Legal_Risk_Analysis"/>
      <sheetName val="Break_up_Sheet"/>
      <sheetName val="V_O_4_-_PCC_Qty"/>
      <sheetName val="maingirder"/>
      <sheetName val="basic-data"/>
      <sheetName val="Title"/>
      <sheetName val="Summary_05061"/>
      <sheetName val="Summary_0607-_31_MAR1"/>
      <sheetName val="Form_61"/>
      <sheetName val="Fill_this_out_first___"/>
      <sheetName val="REVISED4A_PROG_PERF-SITE_1"/>
      <sheetName val="BOQ_Direct_selling_cost"/>
      <sheetName val="Load_Details-220kV"/>
      <sheetName val="beam-reinft-IIInd_floor"/>
      <sheetName val="BOQ_(2)"/>
      <sheetName val="CABLE_DATA"/>
      <sheetName val="final_abstract"/>
      <sheetName val="Rev_S1_Abstract"/>
      <sheetName val="Quantity_Abstract"/>
      <sheetName val="B@[@:/$"/>
      <sheetName val="Staff_Acco_"/>
      <sheetName val="Pipe_Supports"/>
      <sheetName val="M-Book_for_Conc"/>
      <sheetName val="M-Book_for_FW"/>
      <sheetName val="B@[?@???:/$??"/>
      <sheetName val="INPUT_SHEET"/>
      <sheetName val="SANJAY_PAL"/>
      <sheetName val="P_A_SELVAM"/>
      <sheetName val="ANSARI_"/>
      <sheetName val="abdesh_pal"/>
      <sheetName val="sujay_bagchi"/>
      <sheetName val="S_K_SINHA_BASU"/>
      <sheetName val="KRISHNA_PRASAD"/>
      <sheetName val="BARATH_&amp;_CO"/>
      <sheetName val="L_B_YADAV"/>
      <sheetName val="DEEPAK_KUMAR"/>
      <sheetName val="MUKLAL_YADAV"/>
      <sheetName val="MADHU_SUDHAN"/>
      <sheetName val="SAUD_ALAM_"/>
      <sheetName val="RAMESH_BABU"/>
      <sheetName val="SAILEN_SARKAR"/>
      <sheetName val="SANJAY_JENA1"/>
      <sheetName val="upendra_saw_"/>
      <sheetName val="ALLOK_KUMAR_"/>
      <sheetName val="except_wiring"/>
      <sheetName val="B@__@_____$__"/>
      <sheetName val="Project_Budget_Worksheet"/>
      <sheetName val="BOQ_-II_ph_2"/>
      <sheetName val="C"/>
      <sheetName val="B"/>
      <sheetName val="Mx1012a"/>
    </sheetNames>
    <sheetDataSet>
      <sheetData sheetId="0">
        <row r="1">
          <cell r="J1">
            <v>1.7453292519943295E-2</v>
          </cell>
        </row>
      </sheetData>
      <sheetData sheetId="1">
        <row r="2">
          <cell r="B2">
            <v>1</v>
          </cell>
        </row>
      </sheetData>
      <sheetData sheetId="2">
        <row r="2">
          <cell r="B2">
            <v>1</v>
          </cell>
        </row>
      </sheetData>
      <sheetData sheetId="3" refreshError="1">
        <row r="1">
          <cell r="J1">
            <v>1.7453292519943295E-2</v>
          </cell>
        </row>
        <row r="2">
          <cell r="B2">
            <v>1</v>
          </cell>
          <cell r="C2">
            <v>25</v>
          </cell>
          <cell r="E2">
            <v>1</v>
          </cell>
          <cell r="F2">
            <v>1.72</v>
          </cell>
        </row>
        <row r="3">
          <cell r="B3">
            <v>2</v>
          </cell>
          <cell r="C3">
            <v>25</v>
          </cell>
          <cell r="E3">
            <v>2</v>
          </cell>
          <cell r="F3">
            <v>1.55</v>
          </cell>
        </row>
        <row r="4">
          <cell r="B4">
            <v>3</v>
          </cell>
          <cell r="C4">
            <v>25</v>
          </cell>
          <cell r="E4">
            <v>3</v>
          </cell>
          <cell r="F4">
            <v>1.4</v>
          </cell>
        </row>
        <row r="5">
          <cell r="B5">
            <v>4</v>
          </cell>
          <cell r="C5">
            <v>25</v>
          </cell>
          <cell r="E5">
            <v>4</v>
          </cell>
          <cell r="F5">
            <v>1.28</v>
          </cell>
        </row>
        <row r="6">
          <cell r="B6">
            <v>5</v>
          </cell>
          <cell r="C6">
            <v>28</v>
          </cell>
          <cell r="E6">
            <v>5</v>
          </cell>
          <cell r="F6">
            <v>1.2</v>
          </cell>
        </row>
        <row r="7">
          <cell r="B7">
            <v>6</v>
          </cell>
          <cell r="C7">
            <v>28.5</v>
          </cell>
          <cell r="E7">
            <v>6</v>
          </cell>
          <cell r="F7">
            <v>1.1200000000000001</v>
          </cell>
        </row>
        <row r="8">
          <cell r="B8">
            <v>7</v>
          </cell>
          <cell r="C8">
            <v>29</v>
          </cell>
          <cell r="E8">
            <v>7</v>
          </cell>
          <cell r="F8">
            <v>1.0900000000000001</v>
          </cell>
        </row>
        <row r="9">
          <cell r="B9">
            <v>8</v>
          </cell>
          <cell r="C9">
            <v>29</v>
          </cell>
          <cell r="E9">
            <v>8</v>
          </cell>
          <cell r="F9">
            <v>1.05</v>
          </cell>
        </row>
        <row r="10">
          <cell r="B10">
            <v>9</v>
          </cell>
          <cell r="C10">
            <v>30</v>
          </cell>
          <cell r="E10">
            <v>9</v>
          </cell>
          <cell r="F10">
            <v>1.02</v>
          </cell>
        </row>
        <row r="11">
          <cell r="B11">
            <v>10</v>
          </cell>
          <cell r="C11">
            <v>30</v>
          </cell>
          <cell r="E11">
            <v>10</v>
          </cell>
          <cell r="F11">
            <v>1</v>
          </cell>
        </row>
        <row r="12">
          <cell r="B12">
            <v>11</v>
          </cell>
          <cell r="C12">
            <v>30</v>
          </cell>
          <cell r="E12">
            <v>11</v>
          </cell>
          <cell r="F12">
            <v>0.98</v>
          </cell>
        </row>
        <row r="13">
          <cell r="B13">
            <v>12</v>
          </cell>
          <cell r="C13">
            <v>31</v>
          </cell>
          <cell r="E13">
            <v>12</v>
          </cell>
          <cell r="F13">
            <v>0.95</v>
          </cell>
        </row>
        <row r="14">
          <cell r="B14">
            <v>13</v>
          </cell>
          <cell r="C14">
            <v>31</v>
          </cell>
          <cell r="E14">
            <v>13</v>
          </cell>
          <cell r="F14">
            <v>0.91</v>
          </cell>
        </row>
        <row r="15">
          <cell r="B15">
            <v>14</v>
          </cell>
          <cell r="C15">
            <v>31</v>
          </cell>
          <cell r="E15">
            <v>14</v>
          </cell>
          <cell r="F15">
            <v>0.9</v>
          </cell>
        </row>
        <row r="16">
          <cell r="B16">
            <v>15</v>
          </cell>
          <cell r="C16">
            <v>32</v>
          </cell>
          <cell r="E16">
            <v>15</v>
          </cell>
          <cell r="F16">
            <v>0.88</v>
          </cell>
        </row>
        <row r="17">
          <cell r="B17">
            <v>16</v>
          </cell>
          <cell r="C17">
            <v>32</v>
          </cell>
          <cell r="E17">
            <v>16</v>
          </cell>
          <cell r="F17">
            <v>0.85</v>
          </cell>
        </row>
        <row r="18">
          <cell r="B18">
            <v>17</v>
          </cell>
          <cell r="C18">
            <v>32</v>
          </cell>
          <cell r="E18">
            <v>17</v>
          </cell>
          <cell r="F18">
            <v>0.83</v>
          </cell>
        </row>
        <row r="19">
          <cell r="B19">
            <v>18</v>
          </cell>
          <cell r="C19">
            <v>33</v>
          </cell>
          <cell r="E19">
            <v>18</v>
          </cell>
          <cell r="F19">
            <v>0.81</v>
          </cell>
        </row>
        <row r="20">
          <cell r="B20">
            <v>19</v>
          </cell>
          <cell r="C20">
            <v>33</v>
          </cell>
          <cell r="E20">
            <v>19</v>
          </cell>
          <cell r="F20">
            <v>0.8</v>
          </cell>
        </row>
        <row r="21">
          <cell r="B21">
            <v>20</v>
          </cell>
          <cell r="C21">
            <v>33</v>
          </cell>
          <cell r="E21">
            <v>20</v>
          </cell>
          <cell r="F21">
            <v>0.78</v>
          </cell>
        </row>
        <row r="22">
          <cell r="B22">
            <v>21</v>
          </cell>
          <cell r="C22">
            <v>33</v>
          </cell>
          <cell r="E22">
            <v>21</v>
          </cell>
          <cell r="F22">
            <v>0.76</v>
          </cell>
        </row>
        <row r="23">
          <cell r="B23">
            <v>22</v>
          </cell>
          <cell r="C23">
            <v>34</v>
          </cell>
          <cell r="E23">
            <v>22</v>
          </cell>
          <cell r="F23">
            <v>0.75</v>
          </cell>
        </row>
        <row r="24">
          <cell r="B24">
            <v>23</v>
          </cell>
          <cell r="C24">
            <v>34</v>
          </cell>
          <cell r="E24">
            <v>23</v>
          </cell>
          <cell r="F24">
            <v>0.73</v>
          </cell>
        </row>
        <row r="25">
          <cell r="B25">
            <v>24</v>
          </cell>
          <cell r="C25">
            <v>35</v>
          </cell>
          <cell r="E25">
            <v>24</v>
          </cell>
          <cell r="F25">
            <v>0.72</v>
          </cell>
        </row>
        <row r="26">
          <cell r="B26">
            <v>25</v>
          </cell>
          <cell r="C26">
            <v>35</v>
          </cell>
          <cell r="E26">
            <v>25</v>
          </cell>
          <cell r="F26">
            <v>0.71</v>
          </cell>
        </row>
        <row r="27">
          <cell r="B27">
            <v>26</v>
          </cell>
          <cell r="C27">
            <v>35</v>
          </cell>
          <cell r="E27">
            <v>26</v>
          </cell>
          <cell r="F27">
            <v>0.69799999999999995</v>
          </cell>
        </row>
        <row r="28">
          <cell r="B28">
            <v>27</v>
          </cell>
          <cell r="C28">
            <v>35</v>
          </cell>
          <cell r="E28">
            <v>27</v>
          </cell>
          <cell r="F28">
            <v>0.68600000000000005</v>
          </cell>
        </row>
        <row r="29">
          <cell r="B29">
            <v>28</v>
          </cell>
          <cell r="C29">
            <v>36</v>
          </cell>
          <cell r="E29">
            <v>28</v>
          </cell>
          <cell r="F29">
            <v>0.67400000000000004</v>
          </cell>
        </row>
        <row r="30">
          <cell r="B30">
            <v>29</v>
          </cell>
          <cell r="C30">
            <v>36</v>
          </cell>
          <cell r="E30">
            <v>29</v>
          </cell>
          <cell r="F30">
            <v>0.66200000000000003</v>
          </cell>
        </row>
        <row r="31">
          <cell r="B31">
            <v>30</v>
          </cell>
          <cell r="C31">
            <v>36</v>
          </cell>
          <cell r="E31">
            <v>30</v>
          </cell>
          <cell r="F31">
            <v>0.65</v>
          </cell>
        </row>
        <row r="32">
          <cell r="B32">
            <v>31</v>
          </cell>
          <cell r="C32">
            <v>36</v>
          </cell>
          <cell r="E32">
            <v>31</v>
          </cell>
          <cell r="F32">
            <v>0.64</v>
          </cell>
        </row>
        <row r="33">
          <cell r="B33">
            <v>32</v>
          </cell>
          <cell r="C33">
            <v>37</v>
          </cell>
          <cell r="E33">
            <v>32</v>
          </cell>
          <cell r="F33">
            <v>0.63</v>
          </cell>
        </row>
        <row r="34">
          <cell r="B34">
            <v>33</v>
          </cell>
          <cell r="C34">
            <v>36</v>
          </cell>
          <cell r="E34">
            <v>33</v>
          </cell>
          <cell r="F34">
            <v>0.62</v>
          </cell>
        </row>
        <row r="35">
          <cell r="B35">
            <v>34</v>
          </cell>
          <cell r="C35">
            <v>37</v>
          </cell>
          <cell r="E35">
            <v>34</v>
          </cell>
          <cell r="F35">
            <v>0.61</v>
          </cell>
        </row>
        <row r="36">
          <cell r="B36">
            <v>35</v>
          </cell>
          <cell r="C36">
            <v>37</v>
          </cell>
          <cell r="E36">
            <v>35</v>
          </cell>
          <cell r="F36">
            <v>0.6</v>
          </cell>
        </row>
        <row r="37">
          <cell r="B37">
            <v>36</v>
          </cell>
          <cell r="C37">
            <v>38</v>
          </cell>
          <cell r="E37">
            <v>36</v>
          </cell>
          <cell r="F37">
            <v>0.59</v>
          </cell>
        </row>
        <row r="38">
          <cell r="B38">
            <v>37</v>
          </cell>
          <cell r="C38">
            <v>38</v>
          </cell>
          <cell r="E38">
            <v>37</v>
          </cell>
          <cell r="F38">
            <v>0.57999999999999996</v>
          </cell>
        </row>
        <row r="39">
          <cell r="B39">
            <v>38</v>
          </cell>
          <cell r="C39">
            <v>38</v>
          </cell>
          <cell r="E39">
            <v>38</v>
          </cell>
          <cell r="F39">
            <v>0.56999999999999995</v>
          </cell>
        </row>
        <row r="40">
          <cell r="B40">
            <v>39</v>
          </cell>
          <cell r="C40">
            <v>38</v>
          </cell>
          <cell r="E40">
            <v>39</v>
          </cell>
          <cell r="F40">
            <v>0.56000000000000005</v>
          </cell>
        </row>
        <row r="41">
          <cell r="B41">
            <v>40</v>
          </cell>
          <cell r="C41">
            <v>39</v>
          </cell>
          <cell r="E41">
            <v>40</v>
          </cell>
          <cell r="F41">
            <v>0.55000000000000004</v>
          </cell>
        </row>
        <row r="42">
          <cell r="B42">
            <v>41</v>
          </cell>
          <cell r="C42">
            <v>39</v>
          </cell>
          <cell r="E42">
            <v>41</v>
          </cell>
          <cell r="F42">
            <v>0.54</v>
          </cell>
        </row>
        <row r="43">
          <cell r="B43">
            <v>42</v>
          </cell>
          <cell r="C43">
            <v>39</v>
          </cell>
          <cell r="E43">
            <v>42</v>
          </cell>
          <cell r="F43">
            <v>0.53</v>
          </cell>
        </row>
        <row r="44">
          <cell r="B44">
            <v>43</v>
          </cell>
          <cell r="C44">
            <v>39</v>
          </cell>
          <cell r="E44">
            <v>43</v>
          </cell>
          <cell r="F44">
            <v>0.52</v>
          </cell>
        </row>
        <row r="45">
          <cell r="B45">
            <v>44</v>
          </cell>
          <cell r="C45">
            <v>39</v>
          </cell>
          <cell r="E45">
            <v>44</v>
          </cell>
          <cell r="F45">
            <v>0.51</v>
          </cell>
        </row>
        <row r="46">
          <cell r="B46">
            <v>45</v>
          </cell>
          <cell r="C46">
            <v>39</v>
          </cell>
          <cell r="E46">
            <v>45</v>
          </cell>
          <cell r="F46">
            <v>0.5</v>
          </cell>
        </row>
        <row r="47">
          <cell r="B47">
            <v>46</v>
          </cell>
          <cell r="C47">
            <v>39</v>
          </cell>
          <cell r="E47">
            <v>50</v>
          </cell>
          <cell r="F47">
            <v>0.46</v>
          </cell>
        </row>
        <row r="48">
          <cell r="B48">
            <v>47</v>
          </cell>
          <cell r="C48">
            <v>40</v>
          </cell>
        </row>
        <row r="49">
          <cell r="B49">
            <v>48</v>
          </cell>
          <cell r="C49">
            <v>40</v>
          </cell>
        </row>
        <row r="50">
          <cell r="B50">
            <v>49</v>
          </cell>
          <cell r="C50">
            <v>40</v>
          </cell>
        </row>
        <row r="51">
          <cell r="B51">
            <v>50</v>
          </cell>
          <cell r="C51">
            <v>40</v>
          </cell>
        </row>
        <row r="52">
          <cell r="B52">
            <v>51</v>
          </cell>
          <cell r="C52">
            <v>41</v>
          </cell>
        </row>
        <row r="53">
          <cell r="B53">
            <v>52</v>
          </cell>
          <cell r="C53">
            <v>41</v>
          </cell>
        </row>
        <row r="54">
          <cell r="B54">
            <v>53</v>
          </cell>
          <cell r="C54">
            <v>41</v>
          </cell>
        </row>
        <row r="55">
          <cell r="B55">
            <v>54</v>
          </cell>
          <cell r="C55">
            <v>41</v>
          </cell>
        </row>
        <row r="56">
          <cell r="B56">
            <v>55</v>
          </cell>
          <cell r="C56">
            <v>42</v>
          </cell>
        </row>
        <row r="57">
          <cell r="B57">
            <v>56</v>
          </cell>
          <cell r="C57">
            <v>42</v>
          </cell>
        </row>
        <row r="58">
          <cell r="B58">
            <v>57</v>
          </cell>
          <cell r="C58">
            <v>42</v>
          </cell>
        </row>
        <row r="59">
          <cell r="B59">
            <v>58</v>
          </cell>
          <cell r="C59">
            <v>42</v>
          </cell>
        </row>
        <row r="60">
          <cell r="B60">
            <v>59</v>
          </cell>
          <cell r="C60">
            <v>42</v>
          </cell>
        </row>
        <row r="61">
          <cell r="B61">
            <v>60</v>
          </cell>
          <cell r="C61">
            <v>42</v>
          </cell>
        </row>
        <row r="62">
          <cell r="B62">
            <v>61</v>
          </cell>
          <cell r="C62">
            <v>42</v>
          </cell>
        </row>
        <row r="63">
          <cell r="B63">
            <v>62</v>
          </cell>
          <cell r="C63">
            <v>43</v>
          </cell>
        </row>
        <row r="64">
          <cell r="B64">
            <v>63</v>
          </cell>
          <cell r="C64">
            <v>43</v>
          </cell>
        </row>
        <row r="65">
          <cell r="B65">
            <v>64</v>
          </cell>
          <cell r="C65">
            <v>43</v>
          </cell>
        </row>
      </sheetData>
      <sheetData sheetId="4"/>
      <sheetData sheetId="5"/>
      <sheetData sheetId="6"/>
      <sheetData sheetId="7"/>
      <sheetData sheetId="8">
        <row r="2">
          <cell r="C2" t="str">
            <v>LARSEN &amp; TOUBRO LIMITED</v>
          </cell>
        </row>
      </sheetData>
      <sheetData sheetId="9"/>
      <sheetData sheetId="10" refreshError="1"/>
      <sheetData sheetId="11" refreshError="1"/>
      <sheetData sheetId="12" refreshError="1"/>
      <sheetData sheetId="13" refreshError="1"/>
      <sheetData sheetId="14">
        <row r="2">
          <cell r="B2">
            <v>1</v>
          </cell>
        </row>
      </sheetData>
      <sheetData sheetId="15">
        <row r="2">
          <cell r="B2">
            <v>1</v>
          </cell>
        </row>
      </sheetData>
      <sheetData sheetId="16">
        <row r="2">
          <cell r="B2">
            <v>1</v>
          </cell>
        </row>
      </sheetData>
      <sheetData sheetId="17">
        <row r="2">
          <cell r="B2">
            <v>1</v>
          </cell>
        </row>
      </sheetData>
      <sheetData sheetId="18">
        <row r="2">
          <cell r="B2">
            <v>1</v>
          </cell>
        </row>
      </sheetData>
      <sheetData sheetId="19">
        <row r="2">
          <cell r="B2">
            <v>1</v>
          </cell>
        </row>
      </sheetData>
      <sheetData sheetId="20">
        <row r="2">
          <cell r="B2">
            <v>1</v>
          </cell>
        </row>
      </sheetData>
      <sheetData sheetId="21">
        <row r="2">
          <cell r="B2">
            <v>1</v>
          </cell>
        </row>
      </sheetData>
      <sheetData sheetId="22">
        <row r="2">
          <cell r="B2">
            <v>1</v>
          </cell>
        </row>
      </sheetData>
      <sheetData sheetId="23">
        <row r="2">
          <cell r="B2">
            <v>1</v>
          </cell>
        </row>
      </sheetData>
      <sheetData sheetId="24">
        <row r="2">
          <cell r="B2">
            <v>1</v>
          </cell>
        </row>
      </sheetData>
      <sheetData sheetId="25">
        <row r="2">
          <cell r="B2">
            <v>1</v>
          </cell>
        </row>
      </sheetData>
      <sheetData sheetId="26">
        <row r="2">
          <cell r="B2">
            <v>1</v>
          </cell>
        </row>
      </sheetData>
      <sheetData sheetId="27">
        <row r="2">
          <cell r="B2">
            <v>1</v>
          </cell>
        </row>
      </sheetData>
      <sheetData sheetId="28">
        <row r="2">
          <cell r="B2">
            <v>1</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ow r="2">
          <cell r="B2">
            <v>1</v>
          </cell>
        </row>
      </sheetData>
      <sheetData sheetId="40">
        <row r="2">
          <cell r="B2">
            <v>1</v>
          </cell>
        </row>
      </sheetData>
      <sheetData sheetId="41">
        <row r="2">
          <cell r="B2">
            <v>1</v>
          </cell>
        </row>
      </sheetData>
      <sheetData sheetId="42" refreshError="1"/>
      <sheetData sheetId="43">
        <row r="2">
          <cell r="C2" t="str">
            <v>LARSEN &amp; TOUBRO LIMITED</v>
          </cell>
        </row>
      </sheetData>
      <sheetData sheetId="44">
        <row r="2">
          <cell r="C2" t="str">
            <v>LARSEN &amp; TOUBRO LIMITED</v>
          </cell>
        </row>
      </sheetData>
      <sheetData sheetId="45" refreshError="1"/>
      <sheetData sheetId="46">
        <row r="2">
          <cell r="B2">
            <v>1</v>
          </cell>
        </row>
      </sheetData>
      <sheetData sheetId="47" refreshError="1"/>
      <sheetData sheetId="48" refreshError="1"/>
      <sheetData sheetId="49" refreshError="1"/>
      <sheetData sheetId="50" refreshError="1"/>
      <sheetData sheetId="51">
        <row r="2">
          <cell r="B2">
            <v>1</v>
          </cell>
        </row>
      </sheetData>
      <sheetData sheetId="52"/>
      <sheetData sheetId="53">
        <row r="2">
          <cell r="B2">
            <v>1</v>
          </cell>
        </row>
      </sheetData>
      <sheetData sheetId="54">
        <row r="2">
          <cell r="B2">
            <v>1</v>
          </cell>
        </row>
      </sheetData>
      <sheetData sheetId="55">
        <row r="2">
          <cell r="B2">
            <v>1</v>
          </cell>
        </row>
      </sheetData>
      <sheetData sheetId="56">
        <row r="2">
          <cell r="B2">
            <v>1</v>
          </cell>
        </row>
      </sheetData>
      <sheetData sheetId="57" refreshError="1"/>
      <sheetData sheetId="58">
        <row r="2">
          <cell r="B2">
            <v>1</v>
          </cell>
        </row>
      </sheetData>
      <sheetData sheetId="59">
        <row r="2">
          <cell r="B2">
            <v>1</v>
          </cell>
        </row>
      </sheetData>
      <sheetData sheetId="60" refreshError="1"/>
      <sheetData sheetId="61">
        <row r="2">
          <cell r="B2">
            <v>1</v>
          </cell>
        </row>
      </sheetData>
      <sheetData sheetId="62">
        <row r="2">
          <cell r="B2">
            <v>1</v>
          </cell>
        </row>
      </sheetData>
      <sheetData sheetId="63">
        <row r="2">
          <cell r="B2">
            <v>1</v>
          </cell>
        </row>
      </sheetData>
      <sheetData sheetId="64">
        <row r="2">
          <cell r="B2">
            <v>1</v>
          </cell>
        </row>
      </sheetData>
      <sheetData sheetId="65">
        <row r="2">
          <cell r="B2">
            <v>1</v>
          </cell>
        </row>
      </sheetData>
      <sheetData sheetId="66">
        <row r="2">
          <cell r="B2">
            <v>1</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refreshError="1"/>
      <sheetData sheetId="176"/>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refreshError="1"/>
      <sheetData sheetId="275" refreshError="1"/>
      <sheetData sheetId="27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AST lightconc-II"/>
      <sheetName val="PRECAST-conc-II"/>
      <sheetName val="Miscellaneous-civil"/>
      <sheetName val="PRECAST lightconc_II"/>
      <sheetName val="basic"/>
      <sheetName val="GN-ST-10"/>
      <sheetName val="Friends"/>
      <sheetName val="College Details"/>
      <sheetName val="Personal "/>
      <sheetName val="Office"/>
      <sheetName val="CF-det"/>
      <sheetName val="Cleaning &amp; Grubbing"/>
      <sheetName val="GN_ST_10"/>
      <sheetName val="IHC"/>
      <sheetName val="bhilai"/>
      <sheetName val="jidal dam"/>
      <sheetName val="delo"/>
      <sheetName val="fran temp"/>
      <sheetName val="gagan"/>
      <sheetName val="hsbc"/>
      <sheetName val="jeedi"/>
      <sheetName val="kona swit"/>
      <sheetName val="template (8)"/>
      <sheetName val="template (9)"/>
      <sheetName val="八幡"/>
      <sheetName val="OVER HEADS"/>
      <sheetName val="Cover Sheet"/>
      <sheetName val="BOQ REV A"/>
      <sheetName val="BOQ"/>
      <sheetName val="PTB (IO)"/>
      <sheetName val="BMS "/>
      <sheetName val="SPT vs PHI"/>
      <sheetName val="TBAL9697 -group wise  sdpl"/>
      <sheetName val="PIPING"/>
      <sheetName val="A"/>
      <sheetName val="Sheet1"/>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300x500"/>
      <sheetName val="Summary"/>
      <sheetName val="Quantity Schedule"/>
      <sheetName val="Revenue  Schedule "/>
      <sheetName val="Balance works - Direct Cost"/>
      <sheetName val="Balance works - Indirect Cost"/>
      <sheetName val="Cashflows"/>
      <sheetName val="Fund Plan"/>
      <sheetName val="Bill of Resources"/>
      <sheetName val="DC"/>
      <sheetName val="concrete"/>
      <sheetName val="beam-reinft-IIInd floor"/>
      <sheetName val="PRECAST_lightconc-II"/>
      <sheetName val="PRECAST_lightconc_II"/>
      <sheetName val="College_Details"/>
      <sheetName val="Personal_"/>
      <sheetName val="Cleaning_&amp;_Grubbing"/>
      <sheetName val="jidal_dam"/>
      <sheetName val="fran_temp"/>
      <sheetName val="kona_swit"/>
      <sheetName val="template_(8)"/>
      <sheetName val="template_(9)"/>
      <sheetName val="OVER_HEADS"/>
      <sheetName val="Cover_Sheet"/>
      <sheetName val="BOQ_REV_A"/>
      <sheetName val="PTB_(IO)"/>
      <sheetName val="BMS_"/>
      <sheetName val="SPT_vs_PHI"/>
      <sheetName val="TBAL9697_-group_wise__sdpl"/>
      <sheetName val="#REF!"/>
      <sheetName val="Expenditure plan"/>
      <sheetName val="ORDER BOOKING"/>
      <sheetName val="zone-8"/>
      <sheetName val="MHNO_LEV"/>
      <sheetName val="M-Book for Conc"/>
      <sheetName val="M-Book for FW"/>
      <sheetName val="Site Dev BOQ"/>
      <sheetName val="labour coeff"/>
      <sheetName val="Sheet3"/>
      <sheetName val="SITE OVERHEADS"/>
      <sheetName val="VCH-SLC"/>
      <sheetName val="Supplier"/>
      <sheetName val="SILICATE"/>
      <sheetName val="Costing Upto Mar'11 (2)"/>
      <sheetName val="Tender Summary"/>
      <sheetName val="p&amp;m"/>
      <sheetName val="Headings"/>
      <sheetName val="upa"/>
      <sheetName val="Design"/>
      <sheetName val="Boq Block A"/>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Meas.-Hotel Part"/>
      <sheetName val="factors"/>
      <sheetName val="Meas__Hotel Part"/>
      <sheetName val="List"/>
      <sheetName val="22.12.2011"/>
      <sheetName val="BOQ (2)"/>
      <sheetName val="2gii"/>
      <sheetName val="공장별판관비배부"/>
      <sheetName val="BOQ_Direct_selling cost"/>
      <sheetName val="Build-up"/>
      <sheetName val="scurve calc (2)"/>
      <sheetName val="Direct cost shed A-2 "/>
      <sheetName val="dBase"/>
      <sheetName val="Contract Night Staff"/>
      <sheetName val="Contract Day Staff"/>
      <sheetName val="Day Shift"/>
      <sheetName val="Night Shift"/>
      <sheetName val="final abstract"/>
      <sheetName val="Detail"/>
      <sheetName val="Data"/>
      <sheetName val="Lead"/>
      <sheetName val="Sheet2"/>
      <sheetName val="INPUT SHEET"/>
      <sheetName val="Fee Rate Summary"/>
      <sheetName val="Civil Boq"/>
      <sheetName val="Fill this out first..."/>
      <sheetName val="temp"/>
      <sheetName val="GBW"/>
      <sheetName val="MN T.B."/>
      <sheetName val=" 09.07.10 M顅ᎆ뤀ᨇ԰_x0000_缀_x0000_"/>
      <sheetName val="beam-reinft"/>
      <sheetName val="master"/>
      <sheetName val="DataInput"/>
      <sheetName val="DataInput-1"/>
      <sheetName val="DI Rate Analysis"/>
      <sheetName val="Economic RisingMain  Ph-I"/>
      <sheetName val="inWords"/>
      <sheetName val=" 09.07.10 M顅ᎆ뤀ᨇ԰?缀?"/>
      <sheetName val="St.co.91.5lvl"/>
      <sheetName val="Sales &amp; Prod"/>
      <sheetName val="Staff Acco."/>
      <sheetName val="IO List"/>
      <sheetName val="Ave.wtd.rates"/>
      <sheetName val="Material "/>
      <sheetName val="Labour &amp; Plant"/>
      <sheetName val="Assumptions"/>
      <sheetName val="BS8007"/>
      <sheetName val="08.07.10헾】_x0005__x0000__x0000__x0000__x0000_ꎋ"/>
      <sheetName val="Cashflow projection"/>
      <sheetName val="Item- Compact"/>
      <sheetName val="PA- Consutant "/>
      <sheetName val="3cd Annexure"/>
      <sheetName val="08.07.10헾】_x0005_????ꎋ"/>
      <sheetName val="INDIGINEOUS ITEMS "/>
      <sheetName val="Civil Works"/>
      <sheetName val="SP Break Up"/>
      <sheetName val="Costing"/>
      <sheetName val="Analy_7-10"/>
      <sheetName val="HEAD"/>
      <sheetName val="PRECAST_lightconc-II2"/>
      <sheetName val="PRECAST_lightconc_II2"/>
      <sheetName val="College_Details2"/>
      <sheetName val="Personal_2"/>
      <sheetName val="Cleaning_&amp;_Grubbing2"/>
      <sheetName val="jidal_dam2"/>
      <sheetName val="fran_temp2"/>
      <sheetName val="kona_swit2"/>
      <sheetName val="template_(8)2"/>
      <sheetName val="template_(9)2"/>
      <sheetName val="OVER_HEADS2"/>
      <sheetName val="Cover_Sheet2"/>
      <sheetName val="BOQ_REV_A2"/>
      <sheetName val="PTB_(IO)2"/>
      <sheetName val="BMS_2"/>
      <sheetName val="TBAL9697_-group_wise__sdpl2"/>
      <sheetName val="SPT_vs_PHI2"/>
      <sheetName val="Quantity_Schedule1"/>
      <sheetName val="Revenue__Schedule_1"/>
      <sheetName val="Balance_works_-_Direct_Cost1"/>
      <sheetName val="Balance_works_-_Indirect_Cost1"/>
      <sheetName val="Fund_Plan1"/>
      <sheetName val="Bill_of_Resources1"/>
      <sheetName val="Site_Dev_BOQ"/>
      <sheetName val="labour_coeff"/>
      <sheetName val="SITE_OVERHEADS"/>
      <sheetName val="Costing_Upto_Mar'11_(2)"/>
      <sheetName val="Tender_Summary"/>
      <sheetName val="Meas_-Hotel_Part"/>
      <sheetName val="beam-reinft-IIInd_floor"/>
      <sheetName val="TAX_BILLS"/>
      <sheetName val="CASH_BILLS"/>
      <sheetName val="LABOUR_BILLS"/>
      <sheetName val="puch_order"/>
      <sheetName val="Sheet1_(2)"/>
      <sheetName val="Expenditure_plan"/>
      <sheetName val="ORDER_BOOKING"/>
      <sheetName val="M-Book_for_Conc"/>
      <sheetName val="M-Book_for_FW"/>
      <sheetName val="22_12_2011"/>
      <sheetName val="BOQ_(2)"/>
      <sheetName val="Boq_Block_A"/>
      <sheetName val="_24_07_10_RS_&amp;_SECURITY"/>
      <sheetName val="24_07_10_CIVIL_WET"/>
      <sheetName val="_24_07_10_CIVIL"/>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_23_07_10_MECH-TANK"/>
      <sheetName val="_22_07_10_N_SHIFT_MECH-FAB"/>
      <sheetName val="_22_07_10_N_SHIFT_MECH-TANK"/>
      <sheetName val="_22_07_10_RS_&amp;_SECURITY"/>
      <sheetName val="22_07_10_CIVIL_WET"/>
      <sheetName val="_22_07_10_CIVIL"/>
      <sheetName val="_22_07_10_MECH-FAB"/>
      <sheetName val="_22_07_10_MECH-TANK"/>
      <sheetName val="_21_07_10_N_SHIFT_MECH-FAB"/>
      <sheetName val="_21_07_10_N_SHIFT_MECH-TANK"/>
      <sheetName val="_21_07_10_RS_&amp;_SECURITY"/>
      <sheetName val="21_07_10_CIVIL_WET"/>
      <sheetName val="_21_07_10_CIVIL"/>
      <sheetName val="_21_07_10_MECH-FAB"/>
      <sheetName val="_21_07_10_MECH-TANK"/>
      <sheetName val="_20_07_10_N_SHIFT_MECH-FAB"/>
      <sheetName val="_20_07_10_N_SHIFT_MECH-TANK"/>
      <sheetName val="_20_07_10_RS_&amp;_SECURITY"/>
      <sheetName val="20_07_10_CIVIL_WET"/>
      <sheetName val="_20_07_10_CIVIL"/>
      <sheetName val="_20_07_10_MECH-FAB"/>
      <sheetName val="_20_07_10_MECH-TANK"/>
      <sheetName val="_19_07_10_N_SHIFT_MECH-FAB"/>
      <sheetName val="_19_07_10_N_SHIFT_MECH-TANK"/>
      <sheetName val="_19_07_10_RS_&amp;_SECURITY"/>
      <sheetName val="19_07_10_CIVIL_WET"/>
      <sheetName val="_19_07_10_CIVIL"/>
      <sheetName val="_19_07_10_MECH-FAB"/>
      <sheetName val="_19_07_10_MECH-TANK"/>
      <sheetName val="_18_07_10_N_SHIFT_MECH-FAB"/>
      <sheetName val="TBAL9697 _group wise  sdpl"/>
      <sheetName val="Intake"/>
      <sheetName val="HVAC"/>
      <sheetName val="_18_07_10_N_SHIFT_MECH-TANK"/>
      <sheetName val="_18_07_10_RS_&amp;_SECURITY"/>
      <sheetName val="18_07_10_CIVIL_WET"/>
      <sheetName val="_18_07_10_CIVIL"/>
      <sheetName val="_18_07_10_MECH-FAB"/>
      <sheetName val="_18_07_10_MECH-TANK"/>
      <sheetName val="_17_07_10_N_SHIFT_MECH-FAB"/>
      <sheetName val="Rate analysis- BOQ 1 "/>
      <sheetName val="Driveway Beams"/>
      <sheetName val="Cost Index"/>
      <sheetName val="cash in flow Summary JV "/>
      <sheetName val="water prop."/>
      <sheetName val="GR.slab-reinft"/>
      <sheetName val="gen"/>
      <sheetName val="Fin. Assumpt. - Sensitivities"/>
      <sheetName val="Bill 1"/>
      <sheetName val="Bill 2"/>
      <sheetName val="Bill 3"/>
      <sheetName val="Bill 4"/>
      <sheetName val="Bill 5"/>
      <sheetName val="Bill 6"/>
      <sheetName val="Bill 7"/>
      <sheetName val="Labour productivity"/>
      <sheetName val=" 09.07.10 M顅ᎆ뤀ᨇ԰"/>
      <sheetName val=" 09.07.10 M顅ᎆ뤀ᨇ԰_缀_"/>
      <sheetName val="COST"/>
      <sheetName val="MASTER_RATE ANALYSIS"/>
      <sheetName val="Inputs"/>
      <sheetName val="Labour"/>
      <sheetName val="Prelims Breakup"/>
      <sheetName val="section"/>
      <sheetName val="Voucher"/>
      <sheetName val="col-reinft1"/>
      <sheetName val="Project Details.."/>
      <sheetName val="Prelims_Breakup"/>
      <sheetName val="box-12"/>
      <sheetName val=" _x000a_¢_x0002_&amp;_x0000__x0000__x0000_ú5#_x0000__x0000__x0000__x0000__x0000__x0000__x0000_"/>
      <sheetName val=""/>
      <sheetName val="AOR"/>
      <sheetName val="F20 Risk Analysis"/>
      <sheetName val="Change Order Log"/>
      <sheetName val="lookups"/>
      <sheetName val="ref"/>
      <sheetName val="Bin"/>
      <sheetName val="2000 MOR"/>
      <sheetName val="sheeet7"/>
      <sheetName val="Admin"/>
      <sheetName val="Rate Analysis"/>
      <sheetName val="L+M"/>
      <sheetName val="1.Civil-RA"/>
      <sheetName val="estm_mech"/>
      <sheetName val="T-P1, FINISHES WORKING "/>
      <sheetName val="Assumption &amp; Exclusion"/>
      <sheetName val="querries"/>
      <sheetName val="SUMMARY(E)"/>
      <sheetName val="wordsdata"/>
      <sheetName val="Structure Bills Qty"/>
      <sheetName val="dlvoid"/>
      <sheetName val="RA-markate"/>
      <sheetName val="External Doors"/>
      <sheetName val="T&amp;M"/>
      <sheetName val="DI_Rate_Analysis"/>
      <sheetName val="Economic_RisingMain__Ph-I"/>
      <sheetName val="Phase 1"/>
      <sheetName val="PRELIM5"/>
      <sheetName val="Background"/>
      <sheetName val=" _x000a_¢_x0002_&amp;???ú5#???????"/>
      <sheetName val="B3-B4-B5-B6"/>
      <sheetName val="Pacakges split"/>
      <sheetName val="DEINKING(ANNEX 1)"/>
      <sheetName val="Variables"/>
      <sheetName val="COLUMN"/>
      <sheetName val="AutoOpen Stub Data"/>
      <sheetName val="Cat A Change Control"/>
      <sheetName val="run"/>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_x0000_"/>
      <sheetName val="_17_07_10_N_SHIFT_MECH-TANK"/>
      <sheetName val="_17_07_10_RS_&amp;_SECURITY"/>
      <sheetName val="17_07_10_CIVIL_WET"/>
      <sheetName val="_17_07_10_CIVIL"/>
      <sheetName val="_17_07_10_MECH-FAB"/>
      <sheetName val="_17_07_10_MECH-TANK"/>
      <sheetName val="Makro1"/>
      <sheetName val="Eqpmnt Plng"/>
      <sheetName val="LABOUR RATE"/>
      <sheetName val="Material Rate"/>
      <sheetName val="Assumption Inputs"/>
      <sheetName val="Final"/>
      <sheetName val="Summary-Price_New"/>
      <sheetName val="AN-2K"/>
      <sheetName val="Switch V16"/>
      <sheetName val="Theo Cons-June'10"/>
      <sheetName val="x-items"/>
      <sheetName val="_16_07_10_N_SHIFT_MECH-FAB"/>
      <sheetName val="_16_07_10_N_SHIFT_MECH-TANK"/>
      <sheetName val="_16_07_10_RS_&amp;_SECURITY"/>
      <sheetName val="16_07_10_CIVIL_WET"/>
      <sheetName val="_16_07_10_CIVIL"/>
      <sheetName val="_16_07_10_MECH-FAB"/>
      <sheetName val="_16_07_10_MECH-TANK"/>
      <sheetName val="_15_07_10_N_SHIFT_MECH-FAB"/>
      <sheetName val="_15_07_10_N_SHIFT_MECH-TANK"/>
      <sheetName val="CABLERET"/>
      <sheetName val="ACS(1)"/>
      <sheetName val="FAS-C(4)"/>
      <sheetName val="CCTV(old)"/>
      <sheetName val="Code"/>
      <sheetName val="Summary WG"/>
      <sheetName val="Wire"/>
      <sheetName val="Debits as on 12.04.08"/>
      <sheetName val="Cover"/>
      <sheetName val="Data Sheet"/>
      <sheetName val="analysis"/>
      <sheetName val="pol-60"/>
      <sheetName val="Cal"/>
      <sheetName val="STAFFSCHED "/>
      <sheetName val="Main-Material"/>
      <sheetName val="Form-B"/>
      <sheetName val="BOQ_Direct_selling_cost"/>
      <sheetName val="InputPO_Del"/>
      <sheetName val="India F&amp;S Template"/>
      <sheetName val="FitOutConfCentre"/>
      <sheetName val=" bus bay"/>
      <sheetName val="doq-10"/>
      <sheetName val="doq-I"/>
      <sheetName val="doq 4"/>
      <sheetName val="doq 2"/>
      <sheetName val="Grade Slab -1"/>
      <sheetName val="Grade Slab -2"/>
      <sheetName val="Grade slab-3"/>
      <sheetName val="Grade slab -4"/>
      <sheetName val="Grade slab -5"/>
      <sheetName val="Grade slab -6"/>
      <sheetName val="Factor Sheet"/>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Meas_-Hotel_Part1"/>
      <sheetName val="scurve_calc_(2)"/>
      <sheetName val="Contract_Night_Staff"/>
      <sheetName val="Contract_Day_Staff"/>
      <sheetName val="Day_Shift"/>
      <sheetName val="Night_Shift"/>
      <sheetName val="Direct_cost_shed_A-2_"/>
      <sheetName val="Fee_Rate_Summary"/>
      <sheetName val="Civil_Boq"/>
      <sheetName val="22_12_20111"/>
      <sheetName val="BOQ_(2)1"/>
      <sheetName val="INPUT_SHEET"/>
      <sheetName val="final_abstract"/>
      <sheetName val="Meas__Hotel_Part"/>
      <sheetName val="Ave_wtd_rates"/>
      <sheetName val="Material_"/>
      <sheetName val="Labour_&amp;_Plant"/>
      <sheetName val="Cashflow_projection"/>
      <sheetName val="_09_07_10_M顅ᎆ뤀ᨇ԰缀"/>
      <sheetName val="Item-_Compact"/>
      <sheetName val="St_co_91_5lvl"/>
      <sheetName val="Fill_this_out_first___"/>
      <sheetName val="cash_in_flow_Summary_JV_"/>
      <sheetName val="water_prop_"/>
      <sheetName val="GR_slab-reinft"/>
      <sheetName val="Cost_Index"/>
      <sheetName val="Sales_&amp;_Prod"/>
      <sheetName val="IO_List"/>
      <sheetName val="Staff_Acco_"/>
      <sheetName val="08_07_10헾】ꎋ"/>
      <sheetName val="PA-_Consutant_"/>
      <sheetName val="3cd_Annexure"/>
      <sheetName val="DI_Rate_Analysis1"/>
      <sheetName val="Economic_RisingMain__Ph-I1"/>
      <sheetName val="Civil_Works"/>
      <sheetName val="TBAL9697__group_wise__sdpl"/>
      <sheetName val="MN_T_B_"/>
      <sheetName val="SP_Break_Up"/>
      <sheetName val="Labour_productivity"/>
      <sheetName val="_09_07_10_M顅ᎆ뤀ᨇ԰?缀?"/>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Project_Details_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Blr hire"/>
      <sheetName val="d-safe specs"/>
      <sheetName val="  ¢_x0002_&amp;_x0000__x0000__x0000_ú5#_x0000__x0000__x0000__x0000__x0000__x0000__x0000_"/>
      <sheetName val="  ¢_x0002_&amp;???ú5#???????"/>
      <sheetName val="detail'02"/>
      <sheetName val="환율"/>
      <sheetName val="Deduction of assets"/>
      <sheetName val="AFAS "/>
      <sheetName val="RDS &amp; WLD"/>
      <sheetName val="PA System"/>
      <sheetName val="ACC"/>
      <sheetName val="CCTV"/>
      <sheetName val="Server &amp; PAC Room"/>
      <sheetName val="BMS"/>
      <sheetName val="HVAC BOQ"/>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Measurements"/>
      <sheetName val="Tables"/>
      <sheetName val="Flooring"/>
      <sheetName val="Ceilings"/>
      <sheetName val="ACAD Finishes"/>
      <sheetName val="Site Details"/>
      <sheetName val="Chair"/>
      <sheetName val="Site Area Statement"/>
      <sheetName val="Doors"/>
      <sheetName val="Estimate"/>
      <sheetName val="B'Sheet"/>
      <sheetName val="Asmp"/>
      <sheetName val="DP"/>
      <sheetName val="currency"/>
      <sheetName val="08.07.10헾】_x0005_"/>
      <sheetName val="PRECAST-conc-AI"/>
      <sheetName val="Miscellan%ous_x0008_civil"/>
      <sheetName val="b`sic"/>
      <sheetName val="PRECAST lig(tconc_II"/>
      <sheetName val="08.07.10헾】_x0005_????菈_x0013_"/>
      <sheetName val="08.07.10헾】_x0005__x0000__x0000"/>
      <sheetName val="08.07.10헾】_x0005_____ꎋ"/>
      <sheetName val="FT-05-02IsoBOM"/>
      <sheetName val="segment_topsheet"/>
      <sheetName val="Invoice Tracker"/>
      <sheetName val="Quote Sheet"/>
      <sheetName val="BLOCK-A (MEA.SHEET)"/>
      <sheetName val="Index"/>
      <sheetName val="BOQ LT"/>
      <sheetName val="14.07.10 CIVIL W ["/>
      <sheetName val="DSLP"/>
      <sheetName val="Load Details(B2)"/>
      <sheetName val="Works - Quote Sheet"/>
      <sheetName val="MG"/>
      <sheetName val="VALIDATIONS"/>
      <sheetName val="Mat_Cost"/>
      <sheetName val="Income Statement"/>
      <sheetName val="LMP"/>
      <sheetName val="sc-mar2000"/>
      <sheetName val="RCC,Ret. Wall"/>
      <sheetName val="CCTV_EST1"/>
      <sheetName val="KSt - Analysis "/>
      <sheetName val="est"/>
      <sheetName val="_21_07_10_N_SHIFT_MECH-FA"/>
      <sheetName val="Report"/>
      <sheetName val="14.07.10@^\_x0001_&amp;_x0000__x0000__x0000__x0012_8"/>
      <sheetName val="_x0000__x0000__x0000__x0000__x0000__x0000__x0000_Ü5)_x0000__x001e_bÝ/_x0012_8)_x0000__x0012_6)_x0000_&amp;_x0000__x0000__x0000_&amp;_x0000__x0000__x0000_"/>
      <sheetName val="_x0001__x0000__x0000__x0000_"/>
      <sheetName val="B3-B4-B5-_x0006__x0000_"/>
      <sheetName val="_x0000__x0017__x0000__x0012__x0000__x000f__x0000__x0012__x0000__x0013__x0000__x000a__x0000__x001a__x0000__x001b__x0000__x0017__x0000_"/>
      <sheetName val="ᬀᜀሀༀሀ_x0000__x0000__x0000__x0000__x0000__x0000__x0000__x0000__x0000__x0000__x0000__x0000__x0000_"/>
      <sheetName val="CON"/>
      <sheetName val="08.07.10헾】_x0005_??_x0005__x0000__x0000_"/>
      <sheetName val="08.07.10헾】_x0005_??壀&quot;夌&quot;"/>
      <sheetName val="girder"/>
      <sheetName val="Rocker"/>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Cost Basis"/>
    </sheetNames>
    <sheetDataSet>
      <sheetData sheetId="0" refreshError="1">
        <row r="19">
          <cell r="J19">
            <v>1.0499999999999999E-3</v>
          </cell>
          <cell r="K19">
            <v>1.3500000000000001E-3</v>
          </cell>
        </row>
        <row r="20">
          <cell r="J20">
            <v>0.15082999999999999</v>
          </cell>
          <cell r="K20">
            <v>0.10083</v>
          </cell>
        </row>
      </sheetData>
      <sheetData sheetId="1" refreshError="1"/>
      <sheetData sheetId="2">
        <row r="19">
          <cell r="J19">
            <v>1.0499999999999999E-3</v>
          </cell>
        </row>
      </sheetData>
      <sheetData sheetId="3">
        <row r="19">
          <cell r="J19">
            <v>1.0499999999999999E-3</v>
          </cell>
        </row>
      </sheetData>
      <sheetData sheetId="4">
        <row r="19">
          <cell r="J19">
            <v>1.0499999999999999E-3</v>
          </cell>
        </row>
      </sheetData>
      <sheetData sheetId="5">
        <row r="19">
          <cell r="J19">
            <v>1.0499999999999999E-3</v>
          </cell>
        </row>
      </sheetData>
      <sheetData sheetId="6" refreshError="1"/>
      <sheetData sheetId="7" refreshError="1"/>
      <sheetData sheetId="8" refreshError="1"/>
      <sheetData sheetId="9">
        <row r="19">
          <cell r="J19">
            <v>1.0499999999999999E-3</v>
          </cell>
        </row>
      </sheetData>
      <sheetData sheetId="10" refreshError="1"/>
      <sheetData sheetId="11">
        <row r="19">
          <cell r="J19">
            <v>1.0499999999999999E-3</v>
          </cell>
        </row>
      </sheetData>
      <sheetData sheetId="12">
        <row r="19">
          <cell r="J19">
            <v>1.0499999999999999E-3</v>
          </cell>
        </row>
      </sheetData>
      <sheetData sheetId="13">
        <row r="19">
          <cell r="J19">
            <v>1.0499999999999999E-3</v>
          </cell>
        </row>
      </sheetData>
      <sheetData sheetId="14">
        <row r="19">
          <cell r="J19">
            <v>1.0499999999999999E-3</v>
          </cell>
        </row>
      </sheetData>
      <sheetData sheetId="15">
        <row r="19">
          <cell r="J19">
            <v>1.0499999999999999E-3</v>
          </cell>
        </row>
      </sheetData>
      <sheetData sheetId="16">
        <row r="19">
          <cell r="J19">
            <v>1.0499999999999999E-3</v>
          </cell>
        </row>
      </sheetData>
      <sheetData sheetId="17">
        <row r="19">
          <cell r="J19">
            <v>1.0499999999999999E-3</v>
          </cell>
        </row>
      </sheetData>
      <sheetData sheetId="18">
        <row r="19">
          <cell r="J19">
            <v>1.0499999999999999E-3</v>
          </cell>
        </row>
      </sheetData>
      <sheetData sheetId="19">
        <row r="19">
          <cell r="J19">
            <v>1.0499999999999999E-3</v>
          </cell>
        </row>
      </sheetData>
      <sheetData sheetId="20">
        <row r="19">
          <cell r="J19">
            <v>1.0499999999999999E-3</v>
          </cell>
        </row>
      </sheetData>
      <sheetData sheetId="21">
        <row r="19">
          <cell r="J19">
            <v>1.0499999999999999E-3</v>
          </cell>
        </row>
      </sheetData>
      <sheetData sheetId="22">
        <row r="19">
          <cell r="J19">
            <v>1.0499999999999999E-3</v>
          </cell>
        </row>
      </sheetData>
      <sheetData sheetId="23">
        <row r="19">
          <cell r="J19">
            <v>1.0499999999999999E-3</v>
          </cell>
        </row>
      </sheetData>
      <sheetData sheetId="24" refreshError="1"/>
      <sheetData sheetId="25" refreshError="1"/>
      <sheetData sheetId="26" refreshError="1"/>
      <sheetData sheetId="27" refreshError="1"/>
      <sheetData sheetId="28"/>
      <sheetData sheetId="29"/>
      <sheetData sheetId="30"/>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9">
          <cell r="J19">
            <v>1.0499999999999999E-3</v>
          </cell>
        </row>
      </sheetData>
      <sheetData sheetId="63">
        <row r="19">
          <cell r="J19">
            <v>1.0499999999999999E-3</v>
          </cell>
        </row>
      </sheetData>
      <sheetData sheetId="64"/>
      <sheetData sheetId="65"/>
      <sheetData sheetId="66"/>
      <sheetData sheetId="67"/>
      <sheetData sheetId="68"/>
      <sheetData sheetId="69"/>
      <sheetData sheetId="70"/>
      <sheetData sheetId="71"/>
      <sheetData sheetId="72"/>
      <sheetData sheetId="73">
        <row r="19">
          <cell r="J19">
            <v>1.0499999999999999E-3</v>
          </cell>
        </row>
      </sheetData>
      <sheetData sheetId="74"/>
      <sheetData sheetId="75"/>
      <sheetData sheetId="76">
        <row r="19">
          <cell r="J19">
            <v>1.0499999999999999E-3</v>
          </cell>
        </row>
      </sheetData>
      <sheetData sheetId="77"/>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row r="19">
          <cell r="J19">
            <v>1.0499999999999999E-3</v>
          </cell>
        </row>
      </sheetData>
      <sheetData sheetId="89"/>
      <sheetData sheetId="90"/>
      <sheetData sheetId="91">
        <row r="19">
          <cell r="J19">
            <v>1.0499999999999999E-3</v>
          </cell>
        </row>
      </sheetData>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ow r="19">
          <cell r="J19">
            <v>1.0499999999999999E-3</v>
          </cell>
        </row>
      </sheetData>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OCK-A (MEA.SHEET)"/>
      <sheetName val="BLOCK_A _MEA_SHEET_"/>
      <sheetName val="C Sum"/>
      <sheetName val="A Sum"/>
      <sheetName val="Fin Sum"/>
      <sheetName val="India F&amp;S Template"/>
      <sheetName val="Rate analysis"/>
      <sheetName val="RA-markate"/>
      <sheetName val="seT"/>
      <sheetName val="PRECAST lightconc-II"/>
      <sheetName val="Detail"/>
      <sheetName val="Voucher"/>
      <sheetName val="Data"/>
      <sheetName val="boq"/>
      <sheetName val="Form 6"/>
      <sheetName val="Meas.-Hotel Part"/>
      <sheetName val="INDIGINEOUS ITEMS "/>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Design"/>
      <sheetName val="Guidelines"/>
      <sheetName val="BLOCK-A (MEA.SHEET)"/>
    </sheetNames>
    <sheetDataSet>
      <sheetData sheetId="0"/>
      <sheetData sheetId="1"/>
      <sheetData sheetId="2"/>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lemental Summary"/>
      <sheetName val="Sum"/>
      <sheetName val="Detail"/>
      <sheetName val="Assumption"/>
      <sheetName val="Areas"/>
      <sheetName val="horizontal"/>
      <sheetName val="B1"/>
      <sheetName val="Design"/>
      <sheetName val="CFForecast detail"/>
      <sheetName val="Site Dev BOQ"/>
      <sheetName val="Balustrade"/>
      <sheetName val="HEAD"/>
      <sheetName val="Supplier"/>
      <sheetName val="GBW"/>
      <sheetName val="Data"/>
      <sheetName val="TBAL9697 -group wise  sdpl"/>
      <sheetName val="WORK TABLE"/>
      <sheetName val="Voucher"/>
      <sheetName val="Break up Sheet"/>
      <sheetName val="switch"/>
      <sheetName val="concrete"/>
      <sheetName val="girder"/>
      <sheetName val="PHE"/>
      <sheetName val="IO LIST"/>
      <sheetName val="9. Package split - Cost "/>
      <sheetName val="sept-plan"/>
      <sheetName val="Civil Boq"/>
      <sheetName val="beam-reinft"/>
      <sheetName val="PRECAST lightconc-II"/>
      <sheetName val="Assumption Inputs"/>
      <sheetName val="WACC Calculation"/>
      <sheetName val="hyperstatic-3"/>
      <sheetName val="RES-PLANNING"/>
      <sheetName val="98Price"/>
      <sheetName val="Varthur 1"/>
      <sheetName val="경비공통"/>
      <sheetName val="Fin Sum"/>
      <sheetName val="template"/>
      <sheetName val="Sheet2"/>
      <sheetName val="Citrix"/>
      <sheetName val="Sheet1"/>
      <sheetName val="Builtup Area"/>
      <sheetName val="BASIS -DEC 08"/>
      <sheetName val="Pay_Sep06"/>
      <sheetName val="final abstract"/>
      <sheetName val="Main-Material"/>
      <sheetName val="Elemental_Summary"/>
      <sheetName val="Fin_Sum"/>
      <sheetName val="BLK2"/>
      <sheetName val="BLK3"/>
      <sheetName val="E &amp; R"/>
      <sheetName val="radar"/>
      <sheetName val="UG"/>
      <sheetName val="upa"/>
      <sheetName val="India F&amp;S Template"/>
      <sheetName val="Stress Calculation"/>
      <sheetName val="Detail In Door Stad"/>
      <sheetName val="Lead"/>
      <sheetName val="analysi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1"/>
      <sheetName val="Scope Notes"/>
      <sheetName val="Summary"/>
      <sheetName val="NPV"/>
      <sheetName val="Summary Data"/>
    </sheetNames>
    <sheetDataSet>
      <sheetData sheetId="0"/>
      <sheetData sheetId="1"/>
      <sheetData sheetId="2"/>
      <sheetData sheetId="3" refreshError="1">
        <row r="40">
          <cell r="B40">
            <v>7.2499999999999995E-2</v>
          </cell>
        </row>
      </sheetData>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In Door Stad"/>
      <sheetName val="Lead (SSR06-07)"/>
      <sheetName val="Datas(SSR06-07)"/>
      <sheetName val="Sheet1"/>
      <sheetName val="Gen Abstract"/>
      <sheetName val="Det of Lawn Develp (Det)"/>
      <sheetName val="Det of side drain (Det)"/>
      <sheetName val="Details of site Develp (Dets)"/>
      <sheetName val="Lawn Devlp (Abstr)"/>
      <sheetName val="Side drain (Abstr)"/>
      <sheetName val="Site Develp (Abstr)"/>
      <sheetName val="Electrical BOQ (Exter)"/>
      <sheetName val="Electrical BOQ (Inter)"/>
      <sheetName val="Roads (ABST)"/>
      <sheetName val="Roads(Dets)"/>
      <sheetName val="Compound wall (2nd final)"/>
      <sheetName val="Compound wall (Abstract)"/>
      <sheetName val="Det Est tank sump"/>
      <sheetName val="Tanks Abst Est"/>
      <sheetName val="Datas WS &amp; S"/>
      <sheetName val="Plumbing (External)"/>
      <sheetName val="Plumbing (Internal)"/>
      <sheetName val="leads Roads"/>
      <sheetName val="Date for roads"/>
      <sheetName val="Tennis courtDetailed Est"/>
      <sheetName val="Tennis court Abstract"/>
      <sheetName val="Detl Courts"/>
      <sheetName val="Abstract Courts"/>
      <sheetName val="Abstarct In door"/>
      <sheetName val="IO List"/>
      <sheetName val="Voucher"/>
      <sheetName val="Data"/>
      <sheetName val="Stress Calculation"/>
      <sheetName val="Copy Est HUDA Sports complex"/>
      <sheetName val="Boq"/>
      <sheetName val="BLOCK-A (MEA.SHEET)"/>
      <sheetName val="Design"/>
      <sheetName val="Detail"/>
      <sheetName val="BLK2"/>
      <sheetName val="BLK3"/>
      <sheetName val="E &amp; R"/>
      <sheetName val="radar"/>
      <sheetName val="UG"/>
      <sheetName val="Material Rates"/>
      <sheetName val="Sheet7"/>
      <sheetName val="B1"/>
      <sheetName val="PA- Consutant "/>
      <sheetName val="Cos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In Door Stad"/>
    </sheetNames>
    <sheetDataSet>
      <sheetData sheetId="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Cost"/>
      <sheetName val="Costing"/>
    </sheetNames>
    <sheetDataSet>
      <sheetData sheetId="0" refreshError="1"/>
      <sheetData sheetId="1" refreshError="1">
        <row r="13">
          <cell r="E13">
            <v>12950</v>
          </cell>
          <cell r="F13">
            <v>6215</v>
          </cell>
          <cell r="G13">
            <v>2070</v>
          </cell>
          <cell r="I13">
            <v>22790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G (Justified)"/>
      <sheetName val="DG"/>
      <sheetName val="C.T. Piping"/>
      <sheetName val="labour"/>
      <sheetName val="meas. sheet equip."/>
      <sheetName val="bus dUCT"/>
      <sheetName val="Earthing"/>
      <sheetName val="RATE-HV INST."/>
      <sheetName val="RATE-HV INST. (justified)"/>
      <sheetName val="BOQ"/>
      <sheetName val="HT CABLE"/>
      <sheetName val="battary charger"/>
      <sheetName val="Safety equipments"/>
      <sheetName val="HT Cable laying &amp; Termination"/>
      <sheetName val="control cables"/>
      <sheetName val="LAYING OF CABLE"/>
      <sheetName val="Control cable termination"/>
      <sheetName val="SUBSTATION panel"/>
      <sheetName val="Cos"/>
    </sheetNames>
    <sheetDataSet>
      <sheetData sheetId="0" refreshError="1"/>
      <sheetData sheetId="1" refreshError="1"/>
      <sheetData sheetId="2" refreshError="1"/>
      <sheetData sheetId="3" refreshError="1"/>
      <sheetData sheetId="4" refreshError="1">
        <row r="7">
          <cell r="C7">
            <v>206.25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Pier -AC"/>
      <sheetName val="Cargo-AC"/>
      <sheetName val="renovation "/>
      <sheetName val="new piloty"/>
      <sheetName val="Pier -VENT"/>
      <sheetName val="BMS -pier"/>
      <sheetName val="Cargo -Vent"/>
      <sheetName val="BMS -cargo"/>
      <sheetName val="IDCCALHYD-GOO"/>
      <sheetName val="concrete"/>
      <sheetName val="precast RC element"/>
      <sheetName val="Package 2"/>
      <sheetName val=" working Sheet"/>
      <sheetName val="FT-05-02IsoBOM"/>
      <sheetName val="CONC"/>
      <sheetName val="EARTH"/>
      <sheetName val="GBW"/>
      <sheetName val="WSRSS"/>
      <sheetName val=" Steel Work"/>
      <sheetName val="ROADS"/>
      <sheetName val="TOTOL OF SECTION"/>
      <sheetName val="Fee Rate Summary"/>
      <sheetName val="PRECAST lightconc-II"/>
      <sheetName val="INDEX"/>
      <sheetName val="AREAS"/>
      <sheetName val="SITE OVERHEADS"/>
      <sheetName val="WORK TABLE"/>
      <sheetName val="3. Elemental Summary"/>
      <sheetName val="9. Package split - Cost "/>
      <sheetName val="12a. CFTable"/>
      <sheetName val="10. &amp; 11. Rate Code &amp; BQ"/>
      <sheetName val="dlvoid"/>
      <sheetName val="Data"/>
      <sheetName val="Lead"/>
      <sheetName val="Fill this out first..."/>
      <sheetName val="Design"/>
      <sheetName val="BOQ"/>
      <sheetName val="환율"/>
      <sheetName val="girder"/>
      <sheetName val="TBAL9697 -group wise  sdpl"/>
      <sheetName val="Cost summary"/>
      <sheetName val="Reference Information"/>
      <sheetName val="Employee List"/>
      <sheetName val="Sales Office"/>
      <sheetName val="PCS DATA"/>
      <sheetName val="Names&amp;Cases"/>
      <sheetName val="labour coeff"/>
      <sheetName val="p&amp;m"/>
      <sheetName val="Fin Sum"/>
      <sheetName val="INTRO"/>
      <sheetName val="Codes"/>
      <sheetName val="DP"/>
      <sheetName val="Input"/>
      <sheetName val="Phasing"/>
      <sheetName val="Site Dev BOQ"/>
      <sheetName val="Sheet2"/>
      <sheetName val="BOQ -Lab"/>
      <sheetName val="Sheet3"/>
      <sheetName val="VCH-SLC"/>
      <sheetName val="Supplier"/>
      <sheetName val="Build-up"/>
      <sheetName val="Analysis"/>
      <sheetName val="Rate analysis"/>
      <sheetName val="Background"/>
      <sheetName val="RA-markate"/>
      <sheetName val="Base data Security Procedures"/>
      <sheetName val="SCurv (3)"/>
      <sheetName val="INDIGINEOUS ITEMS "/>
      <sheetName val="calcul"/>
      <sheetName val="07"/>
      <sheetName val="Civil Boq"/>
      <sheetName val="Legend"/>
      <sheetName val="Cost of O &amp; O"/>
      <sheetName val="Sqn_Abs"/>
      <sheetName val="m"/>
      <sheetName val="Costing"/>
      <sheetName val="BOQ "/>
      <sheetName val="Flooring"/>
      <sheetName val="ELEC_BOQ"/>
      <sheetName val="PHE"/>
      <sheetName val="#REF"/>
      <sheetName val="Headings"/>
      <sheetName val="IO LIST"/>
      <sheetName val="Conc-Site"/>
      <sheetName val="Shut"/>
      <sheetName val="T Crane"/>
      <sheetName val="OH"/>
      <sheetName val="TS"/>
      <sheetName val="SDF I"/>
      <sheetName val="FORM7"/>
      <sheetName val="Labour productivity"/>
      <sheetName val="Tender Summary"/>
      <sheetName val="BOQ (2)"/>
      <sheetName val="final abstract"/>
      <sheetName val="Data Input"/>
      <sheetName val="SGS ACQ"/>
      <sheetName val="BOQ_Direct_selling cost"/>
      <sheetName val="_Steel_Work"/>
      <sheetName val="TOTOL_OF_SECTION"/>
      <sheetName val="Fee_Rate_Summary"/>
      <sheetName val="PRECAST_lightconc-II"/>
      <sheetName val="SITE_OVERHEADS"/>
      <sheetName val="Fill_this_out_first___"/>
      <sheetName val="Meas.-Hotel Part"/>
      <sheetName val="DSLP"/>
      <sheetName val="factors"/>
      <sheetName val="Detail"/>
      <sheetName val="SPT vs PHI"/>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lemental Summary"/>
      <sheetName val="Detail"/>
      <sheetName val="Classif"/>
      <sheetName val="Assumption"/>
      <sheetName val="Areas"/>
      <sheetName val="Area cal"/>
      <sheetName val="Staircase"/>
      <sheetName val="Perimeter"/>
      <sheetName val="Sheet1"/>
      <sheetName val="CABLERET"/>
      <sheetName val="B1"/>
      <sheetName val="girder"/>
      <sheetName val="Rocker"/>
      <sheetName val="CFForecast detail"/>
      <sheetName val="key dates"/>
      <sheetName val="Actuals"/>
      <sheetName val="Summary"/>
      <sheetName val="SECPROP"/>
      <sheetName val="05117 CP - Estimate sheet - Sta"/>
      <sheetName val="Design"/>
      <sheetName val="DC details (2)"/>
      <sheetName val="factors"/>
      <sheetName val="A-Property"/>
      <sheetName val="BLOCK-A (MEA.SHEET)"/>
      <sheetName val="DSLP"/>
      <sheetName val="Rate analysis"/>
      <sheetName val="Assumption Inputs"/>
      <sheetName val="Load Details(B2)"/>
      <sheetName val="Fin Sum"/>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OC"/>
      <sheetName val="01"/>
      <sheetName val="02"/>
      <sheetName val="03"/>
      <sheetName val="04"/>
      <sheetName val="05"/>
      <sheetName val="06"/>
      <sheetName val="07"/>
      <sheetName val="08"/>
    </sheetNames>
    <sheetDataSet>
      <sheetData sheetId="0"/>
      <sheetData sheetId="1"/>
      <sheetData sheetId="2"/>
      <sheetData sheetId="3"/>
      <sheetData sheetId="4"/>
      <sheetData sheetId="5"/>
      <sheetData sheetId="6"/>
      <sheetData sheetId="7"/>
      <sheetData sheetId="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空調負荷"/>
      <sheetName val="外気負荷"/>
      <sheetName val="構造体負荷"/>
      <sheetName val="C・R計算"/>
    </sheetNames>
    <sheetDataSet>
      <sheetData sheetId="0" refreshError="1"/>
      <sheetData sheetId="1">
        <row r="12">
          <cell r="F12">
            <v>12.678953333333334</v>
          </cell>
        </row>
      </sheetData>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s"/>
      <sheetName val="IO list"/>
      <sheetName val="BMS-Pri"/>
      <sheetName val="refer"/>
      <sheetName val="p&amp;m"/>
      <sheetName val="Detail In Door Stad"/>
      <sheetName val="girder"/>
      <sheetName val="IO List 4C08"/>
      <sheetName val="Deprec."/>
      <sheetName val="Basis"/>
      <sheetName val="Legal Risk Analysis"/>
      <sheetName val="01"/>
      <sheetName val="Ave.wtd.rates"/>
      <sheetName val="Material "/>
      <sheetName val="Labour &amp; Plant"/>
      <sheetName val="Label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T"/>
      <sheetName val="Staff Acco."/>
      <sheetName val="Tel  "/>
      <sheetName val="Ext.light"/>
      <sheetName val="Staff Acco_"/>
      <sheetName val="Control"/>
      <sheetName val="Detail In Door Stad"/>
      <sheetName val="4 Annex 1 Basic rate"/>
      <sheetName val="DETAILED  BOQ"/>
      <sheetName val="strain"/>
      <sheetName val="Design"/>
      <sheetName val="FT-05-02IsoBOM"/>
      <sheetName val="factors"/>
      <sheetName val="Project Details.."/>
      <sheetName val="RCC,Ret. Wall"/>
      <sheetName val="TBAL9697 -group wise  sdpl"/>
      <sheetName val="Load Details(B2)"/>
      <sheetName val="p&amp;m"/>
      <sheetName val="Build-up"/>
      <sheetName val="refer"/>
      <sheetName val="Detail P&amp;L"/>
      <sheetName val="Assumption Sheet"/>
      <sheetName val="scurve calc (2)"/>
      <sheetName val="Legal Risk Analysis"/>
      <sheetName val="COLUMN"/>
      <sheetName val="PRECAST lightconc-II"/>
      <sheetName val="APPENDIX B-1"/>
      <sheetName val="Bill 3.1"/>
      <sheetName val="BOQ"/>
      <sheetName val="2gii"/>
      <sheetName val="analysis"/>
      <sheetName val="SCHEDULE OF RATES"/>
      <sheetName val="CFLOW"/>
      <sheetName val="Gujrat"/>
      <sheetName val="Fill this out first..."/>
      <sheetName val="IO List"/>
      <sheetName val="S1BOQ"/>
      <sheetName val="Input"/>
      <sheetName val="Activity"/>
      <sheetName val="Crew"/>
      <sheetName val="Piping"/>
      <sheetName val="Pipe Supports"/>
      <sheetName val="BOQ (2)"/>
      <sheetName val="#REF"/>
      <sheetName val="Sheet3"/>
      <sheetName val="Bill 3 - Site Works"/>
      <sheetName val="RA-markate"/>
      <sheetName val="GR.slab-reinft"/>
      <sheetName val="SPT vs PHI"/>
      <sheetName val="sumary"/>
      <sheetName val="Rate Analysis"/>
      <sheetName val="Xenon(R2)"/>
      <sheetName val="Precalculation"/>
      <sheetName val="Costing"/>
      <sheetName val="CABLE"/>
      <sheetName val="number"/>
      <sheetName val="ANAL"/>
      <sheetName val="Staff_Acco_"/>
      <sheetName val="Tel__"/>
      <sheetName val="Ext_light"/>
      <sheetName val="Staff_Acco_1"/>
      <sheetName val="Cable data"/>
      <sheetName val="Table"/>
      <sheetName val="4-Int- ele(RA)"/>
      <sheetName val="INDIGINEOUS ITEMS "/>
      <sheetName val="schedule1"/>
      <sheetName val="Material "/>
      <sheetName val="basic-data"/>
      <sheetName val="mem-property"/>
      <sheetName val="FORM7"/>
      <sheetName val="Civil Works"/>
      <sheetName val="3MLKQ"/>
      <sheetName val="Basement Budget"/>
      <sheetName val="SCHEDULE (3)"/>
      <sheetName val="Database"/>
      <sheetName val="schedule nos"/>
      <sheetName val="INPUT-DATA"/>
      <sheetName val="Boq Block A"/>
      <sheetName val="estimate"/>
      <sheetName val="Sqn_Abs_G_6_ "/>
      <sheetName val="WO_Abs _G_2_ 6 DUs"/>
      <sheetName val="Air_Abs_G_6_ 23 DUs"/>
      <sheetName val="4_Annex_1_Basic_rate"/>
      <sheetName val="DETAILED__BOQ"/>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Cable_data"/>
      <sheetName val="BLK2"/>
      <sheetName val="BLK3"/>
      <sheetName val="E &amp; R"/>
      <sheetName val="radar"/>
      <sheetName val="UG"/>
      <sheetName val="Box- Girder"/>
      <sheetName val="DLC lookups"/>
      <sheetName val="Parameter"/>
      <sheetName val="1_Project_Profile"/>
      <sheetName val="2004"/>
      <sheetName val="SITE OVERHEADS"/>
      <sheetName val="Detail 1A"/>
      <sheetName val="BLOCK-A (MEA.SHEET)"/>
      <sheetName val="Headings"/>
      <sheetName val="banilad"/>
      <sheetName val="Mactan"/>
      <sheetName val="Mandaue"/>
      <sheetName val="Asia Revised 10-1-07"/>
      <sheetName val="All Capital Plan P+L 10-1-07"/>
      <sheetName val="CP08 (2)"/>
      <sheetName val="Planning File 10-1-07"/>
      <sheetName val="std"/>
      <sheetName val="BTB"/>
      <sheetName val="cf"/>
      <sheetName val="orders"/>
      <sheetName val="Lease rents"/>
      <sheetName val="CCTV_EST1"/>
      <sheetName val="Quote Sheet"/>
      <sheetName val="labour coeff"/>
      <sheetName val="Works - Quote Sheet"/>
      <sheetName val="Gen Info"/>
      <sheetName val="Indirect expenses"/>
      <sheetName val="Mat_Cost"/>
      <sheetName val="Cost_Any."/>
      <sheetName val="LIST OF MAKES"/>
      <sheetName val="Detail"/>
      <sheetName val="Break up Sheet"/>
      <sheetName val="SPILL OVER"/>
      <sheetName val="s"/>
      <sheetName val="Loads"/>
      <sheetName val="Pile cap"/>
      <sheetName val="ABB"/>
      <sheetName val="GE"/>
      <sheetName val="Brand"/>
      <sheetName val="PackSize"/>
      <sheetName val="PackagingType"/>
      <sheetName val="Plant"/>
      <sheetName val="ProductHierarchy"/>
      <sheetName val="PurchGroup"/>
      <sheetName val="Sub-brand"/>
      <sheetName val="UOM"/>
      <sheetName val="Variant"/>
      <sheetName val="Bed Class"/>
      <sheetName val="Cd"/>
      <sheetName val="Rate"/>
      <sheetName val="UNP-NCW "/>
      <sheetName val="Codes"/>
      <sheetName val="BHANDUP"/>
      <sheetName val="macros"/>
      <sheetName val="Staff_Acco_2"/>
      <sheetName val="Tel__1"/>
      <sheetName val="Ext_light1"/>
      <sheetName val="Staff_Acco_3"/>
      <sheetName val="DETAILED__BOQ1"/>
      <sheetName val="4_Annex_1_Basic_rate1"/>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Cable_data1"/>
      <sheetName val="PRECAST_lightconc-II1"/>
      <sheetName val="APPENDIX_B-11"/>
      <sheetName val="Bill_3_11"/>
      <sheetName val="Bill_3_-_Site_Works"/>
      <sheetName val="SCHEDULE_OF_RATES1"/>
      <sheetName val="GR_slab-reinft"/>
      <sheetName val="Material_"/>
      <sheetName val="SPT_vs_PHI"/>
      <sheetName val="Civil_Works"/>
      <sheetName val="4-Int-_ele(RA)"/>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Elite 1 - MBCL"/>
      <sheetName val="DATA"/>
      <sheetName val="DTF Summary"/>
      <sheetName val="GF Columns"/>
      <sheetName val="Sheet2"/>
      <sheetName val="Mat.Cost"/>
      <sheetName val="Form 6"/>
      <sheetName val="BOQ_Direct_selling cost"/>
      <sheetName val="#REF!"/>
      <sheetName val="VCH-SLC"/>
      <sheetName val="Supplier"/>
      <sheetName val="WWR"/>
      <sheetName val="jobhist"/>
      <sheetName val="Cable-data"/>
      <sheetName val="Summary"/>
      <sheetName val="Material"/>
      <sheetName val="ACS(1)"/>
      <sheetName val="FAS-C(4)"/>
      <sheetName val="Cover"/>
      <sheetName val="Zone"/>
      <sheetName val="Vendor"/>
      <sheetName val="BULook"/>
      <sheetName val="Intro"/>
      <sheetName val="사진"/>
      <sheetName val="Intro."/>
      <sheetName val="A.O.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C"/>
      <sheetName val="Partic"/>
      <sheetName val="DKPL9811"/>
      <sheetName val="summ"/>
      <sheetName val="sheet1"/>
      <sheetName val="sheet2"/>
      <sheetName val="sheet4"/>
      <sheetName val="Sheet4a"/>
      <sheetName val="sheet5"/>
      <sheetName val="sheet7"/>
      <sheetName val="sheet8"/>
      <sheetName val="sheet9"/>
      <sheetName val="sheet10"/>
      <sheetName val="sheet11"/>
      <sheetName val="sheet12"/>
      <sheetName val="sheet13"/>
      <sheetName val="Sheet14"/>
      <sheetName val="Sheet15"/>
      <sheetName val="Sheet16"/>
      <sheetName val="Sheet3 (2)"/>
      <sheetName val="02"/>
      <sheetName val="03"/>
      <sheetName val="04"/>
      <sheetName val="01"/>
      <sheetName val="girder"/>
      <sheetName val="Rocker"/>
      <sheetName val="FitOutConfCentre"/>
      <sheetName val="FINDRDEC"/>
      <sheetName val="CASHFLOW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vestor IRR"/>
      <sheetName val="Summary"/>
      <sheetName val="Cash Flow Statement"/>
      <sheetName val="P&amp;L Statement"/>
      <sheetName val="Phase wise "/>
      <sheetName val="Input Sheet"/>
      <sheetName val="Area Statement"/>
      <sheetName val="Calculation Sheet"/>
      <sheetName val="Product Summary"/>
      <sheetName val="Construction Plan"/>
      <sheetName val="Costing - Sale Building"/>
      <sheetName val="Costing - Rehab"/>
      <sheetName val="Price Benchmarking"/>
      <sheetName val="Risk Analysis"/>
      <sheetName val="Cost 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Q4" t="str">
            <v>Social infrastructure</v>
          </cell>
        </row>
        <row r="8">
          <cell r="S8">
            <v>3</v>
          </cell>
        </row>
      </sheetData>
      <sheetData sheetId="1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sheetName val="factors"/>
      <sheetName val="Balance works - Direct Cost"/>
      <sheetName val="Staff Acco."/>
      <sheetName val="Expenditure plan"/>
      <sheetName val="from q2"/>
      <sheetName val="#REF!"/>
      <sheetName val="SOR"/>
      <sheetName val="Parameter"/>
      <sheetName val="1_Project_Profile"/>
      <sheetName val="Financials"/>
      <sheetName val="Operating Statistics"/>
      <sheetName val="Revenues assumptions "/>
      <sheetName val="gen"/>
      <sheetName val="SBC-BH 19"/>
      <sheetName val="SBC-BH-16"/>
      <sheetName val="BH-20"/>
      <sheetName val="BH-15"/>
      <sheetName val="BH-14"/>
      <sheetName val="BH-16"/>
      <sheetName val="BH-17"/>
      <sheetName val="sbc-ABH-1"/>
      <sheetName val="ABH-1"/>
      <sheetName val="BH-19"/>
      <sheetName val="SBC-BH-1"/>
      <sheetName val="BH-1"/>
      <sheetName val="SBC-BH-3"/>
      <sheetName val="BH-3"/>
      <sheetName val="Sheet4"/>
      <sheetName val="SPT vs PHI"/>
      <sheetName val="Annex"/>
      <sheetName val="SPILL OVER"/>
      <sheetName val="Staff Acco_"/>
      <sheetName val="basic-data"/>
      <sheetName val="mem-property"/>
      <sheetName val="Detail In Door Stad"/>
      <sheetName val="Intro"/>
      <sheetName val="Build-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man maint"/>
      <sheetName val="coimbatore"/>
      <sheetName val="PRASAD"/>
      <sheetName val="paipay"/>
      <sheetName val="MIS"/>
      <sheetName val="CRtbobpljuly"/>
      <sheetName val="TBOBPLJul98"/>
      <sheetName val="CORPN OCT"/>
      <sheetName val="inout consol-nov"/>
      <sheetName val="inout consol (2)"/>
      <sheetName val="AS ON DT EXPS Mar"/>
      <sheetName val="J_fix asst"/>
      <sheetName val="J_fix asst sdpl"/>
      <sheetName val="f a_obpl"/>
      <sheetName val="J_fix asst obpl"/>
      <sheetName val="J_fix asst scc"/>
      <sheetName val="J_fix asst ripl"/>
      <sheetName val="fa-pl &amp; mach-site"/>
      <sheetName val="fa-veh"/>
      <sheetName val="fa_off eqp"/>
      <sheetName val="fa_fur&amp; fix"/>
      <sheetName val="fa_comp"/>
      <sheetName val="omantopaz"/>
      <sheetName val="I_Con WIP (2)"/>
      <sheetName val="TBAL9596 -IIIIRUN"/>
      <sheetName val="TBCRSsdpl July98"/>
      <sheetName val="TBSDPLJuly98"/>
      <sheetName val="G-1"/>
      <sheetName val="Other Proj Schdl"/>
      <sheetName val="OT CLIENTS"/>
      <sheetName val="inout consol July 98"/>
      <sheetName val="consol flow"/>
      <sheetName val="A_EQUITY-OBPL"/>
      <sheetName val="B_Equity-sdpl INC"/>
      <sheetName val="inout consol wkg"/>
      <sheetName val="inout consol WKNG"/>
      <sheetName val="B_Sheet 97"/>
      <sheetName val="P&amp;L 97 "/>
      <sheetName val="B_Sheet 97-BEXP"/>
      <sheetName val="P&amp;L 97 -BEXP"/>
      <sheetName val="consol flows"/>
      <sheetName val="G-1_sdpl_work"/>
      <sheetName val="G_1_obpl_Work"/>
      <sheetName val="sdpl_oth Liab"/>
      <sheetName val="obpl-oth liab"/>
      <sheetName val="I-Wip-ot (2)"/>
      <sheetName val="I-Wip-ot"/>
      <sheetName val="detail WIP (2)"/>
      <sheetName val="detail G-1"/>
      <sheetName val="TBCRS"/>
      <sheetName val="sobha menon ac"/>
      <sheetName val="pnc ac"/>
      <sheetName val="FIXREG-VEH"/>
      <sheetName val="FIXREG-P&amp;M-SITE"/>
      <sheetName val="fix -p &amp; M -SCC"/>
      <sheetName val="C_fix asst"/>
      <sheetName val="D fix asst scdl "/>
      <sheetName val="creditors tb obpl"/>
      <sheetName val="TBAL9697 -group wise  sdpl"/>
      <sheetName val="TBAL9697 -group wise "/>
      <sheetName val="salestax9697-AR"/>
      <sheetName val="crs -G-1"/>
      <sheetName val="TBAL9697 -group wise  onpl"/>
      <sheetName val="B_Sheet 97-OBPL"/>
      <sheetName val="B_Sheet 97 sdpl"/>
      <sheetName val="TBAL9697 -group wise  sdpl2"/>
      <sheetName val="TBCRSSdplmar98"/>
      <sheetName val="TB9798OBPL07"/>
      <sheetName val="D_Loan  Prom"/>
      <sheetName val="E_Bank Loan"/>
      <sheetName val="F_Adv-Client"/>
      <sheetName val="G_work Cap "/>
      <sheetName val="H_land adv"/>
      <sheetName val="detai Wip 2"/>
      <sheetName val="detai Wip I "/>
      <sheetName val="WIP"/>
      <sheetName val="J_Con WIP"/>
      <sheetName val="K_L_Oth Co "/>
      <sheetName val="fix asst_Obpl"/>
      <sheetName val="fixass-scc-obpl"/>
      <sheetName val="TBAL9697 _group wise  sdpl"/>
      <sheetName val="[sept98.xlsUomantopaz"/>
      <sheetName val="TBS_x0004_PLJuly98"/>
      <sheetName val="[sept98.xls_x001d_B_Sheet 97"/>
      <sheetName val="_sept98.xlsUomantopaz"/>
      <sheetName val="_sept98.xls_x001d_B_Sheet 97"/>
      <sheetName val="TBS_x005f_x0004_PLJuly98"/>
      <sheetName val="_sept98.xls_x005f_x001d_B_Sheet 97"/>
      <sheetName val="Boq"/>
      <sheetName val="[sept98.xls_x005f_x001d_B_Sheet 97"/>
      <sheetName val="CODE"/>
      <sheetName val="Design"/>
      <sheetName val="PRECAST lightconc-II"/>
      <sheetName val="Staff Acco."/>
      <sheetName val="SITE OVERHEADS"/>
      <sheetName val="Data"/>
      <sheetName val="Precalculation"/>
      <sheetName val="TBS_x005f_x005f_x005f_x0004_PLJuly98"/>
      <sheetName val="_sept98.xls_x005f_x005f_x005f_x001d_B_Sheet"/>
      <sheetName val="[sept98.xls_x005f_x005f_x005f_x001d_B_Sheet"/>
      <sheetName val="RCC,Ret. Wall"/>
      <sheetName val="LIST OF MAKES"/>
      <sheetName val="Sheet1"/>
      <sheetName val="Project Details.."/>
      <sheetName val="scurve calc (2)"/>
      <sheetName val="PULSATOR"/>
      <sheetName val="Sheet3"/>
      <sheetName val="TOS-F"/>
      <sheetName val="Boq Block A"/>
      <sheetName val="#REF!"/>
      <sheetName val="key dates"/>
      <sheetName val="Actuals"/>
      <sheetName val="col-reinft1"/>
      <sheetName val="_sept98.xls_x005f_x001d_B_Sheet"/>
      <sheetName val="Costing"/>
      <sheetName val="Labels"/>
      <sheetName val="Cost_any"/>
      <sheetName val="IO LIST"/>
      <sheetName val="#REF"/>
      <sheetName val="Detail In Door Stad"/>
      <sheetName val="TBS_x005f_x005f_x005f_x0004_PLJ"/>
      <sheetName val="_sept98.xls_x001d_B_Sheet"/>
      <sheetName val="_sept98.xls_x005f_x005f_x"/>
      <sheetName val="ABB"/>
      <sheetName val="GE"/>
      <sheetName val="[sept98.xls࡝sdpl_oth Liab"/>
      <sheetName val="INPUT SHEET"/>
      <sheetName val="MASTER_RATE ANALYSIS"/>
      <sheetName val="BEAM INPUT"/>
      <sheetName val="STD"/>
      <sheetName val="LTG-STG"/>
      <sheetName val="Plinth beam"/>
      <sheetName val="salestax9697-t_x0000_"/>
      <sheetName val="crs -G-1_x001a__x0000__x0000_TBAL9697 -group wise"/>
      <sheetName val="salestax9697-t?"/>
      <sheetName val="crs -G-1_x001a_??TBAL9697 -group wise"/>
      <sheetName val="final abstract"/>
      <sheetName val="_sept98.xls࡝sdpl_oth Liab"/>
      <sheetName val="salestax9697-t"/>
      <sheetName val="crs -G-1_x001a_"/>
      <sheetName val="Labor abs-NMR"/>
      <sheetName val="oman_maint"/>
      <sheetName val="CORPN_OCT"/>
      <sheetName val="inout_consol-nov"/>
      <sheetName val="inout_consol_(2)"/>
      <sheetName val="AS_ON_DT_EXPS_Mar"/>
      <sheetName val="J_fix_asst"/>
      <sheetName val="J_fix_asst_sdpl"/>
      <sheetName val="f_a_obpl"/>
      <sheetName val="J_fix_asst_obpl"/>
      <sheetName val="J_fix_asst_scc"/>
      <sheetName val="J_fix_asst_ripl"/>
      <sheetName val="fa-pl_&amp;_mach-site"/>
      <sheetName val="fa_off_eqp"/>
      <sheetName val="fa_fur&amp;_fix"/>
      <sheetName val="I_Con_WIP_(2)"/>
      <sheetName val="TBAL9596_-IIIIRUN"/>
      <sheetName val="TBCRSsdpl_July98"/>
      <sheetName val="Other_Proj_Schdl"/>
      <sheetName val="OT_CLIENTS"/>
      <sheetName val="inout_consol_July_98"/>
      <sheetName val="consol_flow"/>
      <sheetName val="B_Equity-sdpl_INC"/>
      <sheetName val="inout_consol_wkg"/>
      <sheetName val="inout_consol_WKNG"/>
      <sheetName val="B_Sheet_97"/>
      <sheetName val="P&amp;L_97_"/>
      <sheetName val="B_Sheet_97-BEXP"/>
      <sheetName val="P&amp;L_97_-BEXP"/>
      <sheetName val="consol_flows"/>
      <sheetName val="sdpl_oth_Liab"/>
      <sheetName val="obpl-oth_liab"/>
      <sheetName val="I-Wip-ot_(2)"/>
      <sheetName val="detail_WIP_(2)"/>
      <sheetName val="detail_G-1"/>
      <sheetName val="sobha_menon_ac"/>
      <sheetName val="pnc_ac"/>
      <sheetName val="fix_-p_&amp;_M_-SCC"/>
      <sheetName val="C_fix_asst"/>
      <sheetName val="D_fix_asst_scdl_"/>
      <sheetName val="creditors_tb_obpl"/>
      <sheetName val="TBAL9697_-group_wise__sdpl"/>
      <sheetName val="TBAL9697_-group_wise_"/>
      <sheetName val="crs_-G-1"/>
      <sheetName val="TBAL9697_-group_wise__onpl"/>
      <sheetName val="B_Sheet_97-OBPL"/>
      <sheetName val="B_Sheet_97_sdpl"/>
      <sheetName val="TBAL9697_-group_wise__sdpl2"/>
      <sheetName val="D_Loan__Prom"/>
      <sheetName val="E_Bank_Loan"/>
      <sheetName val="G_work_Cap_"/>
      <sheetName val="H_land_adv"/>
      <sheetName val="detai_Wip_2"/>
      <sheetName val="detai_Wip_I_"/>
      <sheetName val="J_Con_WIP"/>
      <sheetName val="K_L_Oth_Co_"/>
      <sheetName val="fix_asst_Obpl"/>
      <sheetName val="TBAL9697__group_wise__sdpl"/>
      <sheetName val="[sept98_xlsUomantopaz"/>
      <sheetName val="TBSPLJuly98"/>
      <sheetName val="[sept98_xlsB_Sheet_97"/>
      <sheetName val="_sept98_xlsUomantopaz"/>
      <sheetName val="_sept98_xlsB_Sheet_97"/>
      <sheetName val="_sept98_xls_x005f_x001d_B_Sheet_97"/>
      <sheetName val="[sept98_xls_x005f_x001d_B_Sheet_97"/>
      <sheetName val="PRECAST_lightconc-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row r="214">
          <cell r="A214" t="str">
            <v>ADMINISTRATIVE &amp; MANAGEMENT EXPENSES</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
      <sheetName val="TBCRSsdpl"/>
      <sheetName val="TB9798OBPL03"/>
      <sheetName val="TBCRSobpl"/>
      <sheetName val="TB9798OBPL06 (2)"/>
      <sheetName val="TBL9798SDPL03"/>
      <sheetName val="CORPN OCT"/>
      <sheetName val="inout consol-nov"/>
      <sheetName val="inout consol (2)"/>
      <sheetName val="AS ON DT EXPS Mar"/>
      <sheetName val="fa-pl &amp; mach-site"/>
      <sheetName val="fa-veh"/>
      <sheetName val="fa_comp"/>
      <sheetName val="fa_off eqp"/>
      <sheetName val="fa_fur&amp; fix"/>
      <sheetName val="fa-pl &amp; mach-Off"/>
      <sheetName val="B_Equity-sdpl INC"/>
      <sheetName val="inout consol wkg"/>
      <sheetName val="inout consol WKNG"/>
      <sheetName val="B_Sheet 97"/>
      <sheetName val="P&amp;L 97 "/>
      <sheetName val="B_Sheet 97-BEXP"/>
      <sheetName val="P&amp;L 97 -BEXP"/>
      <sheetName val="consol flows"/>
      <sheetName val="A_EQUITY-OBPL"/>
      <sheetName val="G-1_sdpl_work"/>
      <sheetName val="G_1_obpl_Work"/>
      <sheetName val="sdpl_oth Liab"/>
      <sheetName val="obpl-oth liab"/>
      <sheetName val="G-1"/>
      <sheetName val="G_land advance"/>
      <sheetName val="I-Wip-ot (2)"/>
      <sheetName val="I-Wip-ot"/>
      <sheetName val="detail WIP (2)"/>
      <sheetName val="detail G-1"/>
      <sheetName val="TBCRS"/>
      <sheetName val="sobha menon ac"/>
      <sheetName val="pnc ac"/>
      <sheetName val="FIXREG-VEH"/>
      <sheetName val="FIXREG-P&amp;M-SITE"/>
      <sheetName val="fix -p &amp; M -SCC"/>
      <sheetName val="C_fix asst"/>
      <sheetName val="D fix asst scdl "/>
      <sheetName val="creditors tb obpl"/>
      <sheetName val="TBAL9697 -group wise  sdpl"/>
      <sheetName val="TBAL9697 -group wise "/>
      <sheetName val="salestax9697-AR"/>
      <sheetName val="crs -G-1"/>
      <sheetName val="TBAL9697 -group wise  onpl"/>
      <sheetName val="B_Sheet 97-OBPL"/>
      <sheetName val="B_Sheet 97 sdpl"/>
      <sheetName val="TBAL9697 -group wise  sdpl2"/>
      <sheetName val="inout consol jan"/>
      <sheetName val="consol flow"/>
      <sheetName val="D_Loan  Prom"/>
      <sheetName val="E_Bank Loan"/>
      <sheetName val="F_Adv-Client"/>
      <sheetName val="G_work Cap"/>
      <sheetName val="H_land adv-dec"/>
      <sheetName val="J_Con WIP"/>
      <sheetName val="detail J"/>
      <sheetName val="L_Oth Co"/>
      <sheetName val="K_fix asst  "/>
      <sheetName val="fixass-scc-obpl"/>
      <sheetName val="C_fix asst-SDPL "/>
      <sheetName val="TBAL9697 _group wise  sdpl"/>
      <sheetName val="inout consol okg"/>
      <sheetName val="detail OIP (2)"/>
      <sheetName val="FIXRE_-P&amp;M-SITE"/>
      <sheetName val="D fix ysst scdl "/>
      <sheetName val="G-±"/>
      <sheetName val="FIXREG-P&amp;M-QITE"/>
      <sheetName val="cre`itors tb obpl"/>
      <sheetName val="3AL9697 -group wise  onpl"/>
      <sheetName val="L_Oth Bo"/>
      <sheetName val="3‰AL9697 -group wise  onpl"/>
      <sheetName val=""/>
      <sheetName val="Boq"/>
      <sheetName val="Civil Boq"/>
      <sheetName val="p&amp;m"/>
      <sheetName val="Staff Acco."/>
      <sheetName val="STEEL"/>
      <sheetName val="Sheet3"/>
      <sheetName val="SITE OVERHEADS"/>
      <sheetName val="Boq Block A"/>
      <sheetName val="Sheet1"/>
      <sheetName val="analysis"/>
      <sheetName val="Headings"/>
      <sheetName val="Precalculation"/>
      <sheetName val="G-�"/>
      <sheetName val="3�AL9697 -group wise  onpl"/>
      <sheetName val="PRECAST lightconc-II"/>
      <sheetName val="sept-plan"/>
      <sheetName val="Project-Material "/>
      <sheetName val="Build-up"/>
      <sheetName val="1. PayRec"/>
      <sheetName val="PL"/>
      <sheetName val="PRW"/>
      <sheetName val="Cashflow projection"/>
      <sheetName val="SPT vs PHI"/>
      <sheetName val="factors"/>
      <sheetName val="key dates"/>
      <sheetName val="Actuals"/>
      <sheetName val="Main-Material"/>
      <sheetName val="Design"/>
      <sheetName val="TBL9798_x0010_DPL03"/>
      <sheetName val="CORPN O_x0000_T"/>
      <sheetName val="ino4t conso,-nov"/>
      <sheetName val="(nout co,sol (2)"/>
      <sheetName val="Blr hire"/>
      <sheetName val="INPUT SHEET"/>
      <sheetName val="A-General"/>
      <sheetName val="VCH-SLC"/>
      <sheetName val="Supplier"/>
      <sheetName val="G_1_obpl_x000b_Wori"/>
      <sheetName val="_x0003_dpl_oth Lia`"/>
      <sheetName val=".bpl,oth lia "/>
      <sheetName val="G_,and adv nce"/>
      <sheetName val="I,Wip-ot  2)"/>
      <sheetName val="I-Rip-Lt"/>
      <sheetName val="det!il WIP (2)"/>
      <sheetName val="de4ail G-1"/>
      <sheetName val="T@CRS"/>
      <sheetName val="sobha mennn ac"/>
      <sheetName val="FIPREG-P&amp;M-SITE"/>
      <sheetName val="C_&amp;ix asst"/>
      <sheetName val="TBAL9697 _x000d_grotp wise "/>
      <sheetName val="G_1_obpl_x005f_x000b_Wori"/>
      <sheetName val="_x005f_x0003_dpl_oth Lia`"/>
      <sheetName val="TBAL9697 _x005f_x000d_grotp wise "/>
      <sheetName val="St.co.91.5lvl"/>
      <sheetName val="目录"/>
      <sheetName val="Names&amp;Cases"/>
      <sheetName val="Stress Calculation"/>
      <sheetName val="3MLKQ"/>
      <sheetName val="TB9798OBPL06_(2)"/>
      <sheetName val="CORPN_OCT"/>
      <sheetName val="inout_consol-nov"/>
      <sheetName val="inout_consol_(2)"/>
      <sheetName val="AS_ON_DT_EXPS_Mar"/>
      <sheetName val="fa-pl_&amp;_mach-site"/>
      <sheetName val="fa_off_eqp"/>
      <sheetName val="fa_fur&amp;_fix"/>
      <sheetName val="fa-pl_&amp;_mach-Off"/>
      <sheetName val="B_Equity-sdpl_INC"/>
      <sheetName val="inout_consol_wkg"/>
      <sheetName val="inout_consol_WKNG"/>
      <sheetName val="B_Sheet_97"/>
      <sheetName val="P&amp;L_97_"/>
      <sheetName val="B_Sheet_97-BEXP"/>
      <sheetName val="P&amp;L_97_-BEXP"/>
      <sheetName val="consol_flows"/>
      <sheetName val="sdpl_oth_Liab"/>
      <sheetName val="obpl-oth_liab"/>
      <sheetName val="G_land_advance"/>
      <sheetName val="I-Wip-ot_(2)"/>
      <sheetName val="detail_WIP_(2)"/>
      <sheetName val="detail_G-1"/>
      <sheetName val="sobha_menon_ac"/>
      <sheetName val="pnc_ac"/>
      <sheetName val="fix_-p_&amp;_M_-SCC"/>
      <sheetName val="C_fix_asst"/>
      <sheetName val="D_fix_asst_scdl_"/>
      <sheetName val="creditors_tb_obpl"/>
      <sheetName val="TBAL9697_-group_wise__sdpl"/>
      <sheetName val="TBAL9697_-group_wise_"/>
      <sheetName val="crs_-G-1"/>
      <sheetName val="TBAL9697_-group_wise__onpl"/>
      <sheetName val="B_Sheet_97-OBPL"/>
      <sheetName val="B_Sheet_97_sdpl"/>
      <sheetName val="TBAL9697_-group_wise__sdpl2"/>
      <sheetName val="inout_consol_jan"/>
      <sheetName val="consol_flow"/>
      <sheetName val="D_Loan__Prom"/>
      <sheetName val="E_Bank_Loan"/>
      <sheetName val="G_work_Cap"/>
      <sheetName val="H_land_adv-dec"/>
      <sheetName val="J_Con_WIP"/>
      <sheetName val="detail_J"/>
      <sheetName val="L_Oth_Co"/>
      <sheetName val="K_fix_asst__"/>
      <sheetName val="C_fix_asst-SDPL_"/>
      <sheetName val="TBAL9697__group_wise__sdpl"/>
      <sheetName val="inout_consol_okg"/>
      <sheetName val="detail_OIP_(2)"/>
      <sheetName val="D_fix_ysst_scdl_"/>
      <sheetName val="cre`itors_tb_obpl"/>
      <sheetName val="3AL9697_-group_wise__onpl"/>
      <sheetName val="3‰AL9697_-group_wise__onpl"/>
      <sheetName val="L_Oth_Bo"/>
      <sheetName val="Civil_Boq"/>
      <sheetName val="Staff_Acco_"/>
      <sheetName val="SITE_OVERHEADS"/>
      <sheetName val="PRECAST_lightconc-II"/>
      <sheetName val="CORPN O"/>
      <sheetName val="template"/>
      <sheetName val="R2"/>
      <sheetName val="CORPN O_T"/>
      <sheetName val="BOQ (2)"/>
      <sheetName val="DG "/>
      <sheetName val="MAR98"/>
      <sheetName val="TBAL9697 _grotp wise "/>
      <sheetName val="CORPN O?T"/>
      <sheetName val="TBAL9697 _x000a_grotp wise "/>
      <sheetName val="FORM7"/>
      <sheetName val="data"/>
      <sheetName val="Sun E Type"/>
      <sheetName val="PCC"/>
      <sheetName val="Fin Sum"/>
      <sheetName val="Labor abs-NMR"/>
      <sheetName val="Control"/>
      <sheetName val="Inventory"/>
      <sheetName val="Costing"/>
      <sheetName val="Annex"/>
      <sheetName val="Input"/>
      <sheetName val="TBL9798_x005f_x0010_DPL03"/>
      <sheetName val="CORPN O_x005f_x0000_T"/>
      <sheetName val="External"/>
      <sheetName val="SUPPLY -Sanitary Fixtures"/>
      <sheetName val="ITEMS FOR CIVIL TENDER"/>
      <sheetName val="BS1"/>
      <sheetName val="CCTV_EST1"/>
      <sheetName val="환율"/>
      <sheetName val="gen"/>
      <sheetName val="Pay_Sep06"/>
      <sheetName val="labour coeff"/>
      <sheetName val="beam-reinft"/>
      <sheetName val="Shuttering Analysis"/>
      <sheetName val="General P+M"/>
      <sheetName val="Curing Analysis "/>
      <sheetName val="Concrete P+M ( RMC )"/>
      <sheetName val="P+M ( SMC )"/>
      <sheetName val="P+M -EW"/>
      <sheetName val="P&amp;L - AD"/>
      <sheetName val="1__PayRec"/>
      <sheetName val="Boq_Block_A"/>
      <sheetName val="Cashflow_projection"/>
      <sheetName val="G_1_obpl_x005f_x005f_x005f_x000b_Wori"/>
      <sheetName val="_x005f_x005f_x005f_x0003_dpl_oth Lia`"/>
      <sheetName val="TBAL9697 _x005f_x005f_x005f_x000d_grotp wis"/>
      <sheetName val="CASHFLOWS"/>
      <sheetName val="Fin. Assumpt. - Sensitivities"/>
      <sheetName val="LOAD SHEET "/>
      <sheetName val="Fill this out first..."/>
      <sheetName val="Labour productivity"/>
      <sheetName val="RCC,Ret. Wall"/>
      <sheetName val="Basic"/>
      <sheetName val="Labour"/>
      <sheetName val="Area &amp; Cate. Master"/>
      <sheetName val="SILICATE"/>
      <sheetName val="Driveway Beams"/>
      <sheetName val="DLC lookups"/>
      <sheetName val="RA-markate"/>
      <sheetName val="GBW"/>
      <sheetName val="Fee Rate Summary"/>
      <sheetName val="Name List"/>
      <sheetName val="nanjprofit"/>
      <sheetName val="Detail"/>
      <sheetName val="2A"/>
      <sheetName val="2B"/>
      <sheetName val="2C"/>
      <sheetName val="2D"/>
      <sheetName val="2E"/>
      <sheetName val="2F"/>
      <sheetName val="2G"/>
      <sheetName val="2H"/>
      <sheetName val="3A"/>
      <sheetName val="3B"/>
      <sheetName val="4"/>
      <sheetName val="8A"/>
      <sheetName val="8B"/>
      <sheetName val="9A"/>
      <sheetName val="9B"/>
      <sheetName val="9C"/>
      <sheetName val="9D"/>
      <sheetName val="9E"/>
      <sheetName val="9F"/>
      <sheetName val="9G"/>
      <sheetName val="9H"/>
      <sheetName val="9I"/>
      <sheetName val="9J"/>
      <sheetName val="9K"/>
      <sheetName val="細目"/>
      <sheetName val="2004"/>
      <sheetName val="Form 6"/>
      <sheetName val="acevsSp (ABC)"/>
      <sheetName val="A.O.R."/>
      <sheetName val="LIST OF MAKES"/>
      <sheetName val="TBAL9697  grotp wise "/>
      <sheetName val="Quote Sheet"/>
      <sheetName val="d-safe DELUXE"/>
      <sheetName val="Works - Quote Sheet"/>
      <sheetName val="IO LIST"/>
      <sheetName val="TBAL9697 _x005f_x000d_grotp wis"/>
      <sheetName val="#REF"/>
      <sheetName val="Bill No.5"/>
      <sheetName val="Config"/>
      <sheetName val="Break Dw"/>
      <sheetName val="basic-data"/>
      <sheetName val="mem-property"/>
      <sheetName val="Detail 1A"/>
      <sheetName val="Rate"/>
      <sheetName val="11B "/>
      <sheetName val="12A"/>
      <sheetName val="12B"/>
      <sheetName val="6B"/>
      <sheetName val="7A"/>
      <sheetName val="7B"/>
      <sheetName val="1"/>
      <sheetName val="Sheet2"/>
      <sheetName val="TBL9798_x005f_x005f_x005f_x0010_DPL03"/>
      <sheetName val="CORPN O_x005f_x005f_x005f_x0000_T"/>
      <sheetName val="BLOCK-A (MEA.SHEET)"/>
      <sheetName val="Structure Bills Qty"/>
      <sheetName val="220 11  BS "/>
      <sheetName val="dBase"/>
      <sheetName val="inWords"/>
      <sheetName val="Cat A Change Control"/>
      <sheetName val="#REF!"/>
      <sheetName val="concrete"/>
      <sheetName val="Boq-Con"/>
      <sheetName val="Break up Sheet"/>
      <sheetName val="Manmaster"/>
      <sheetName val="Summary of P &amp; M"/>
      <sheetName val="TBAL9697 _x005f_x000a_grotp wise "/>
      <sheetName val="ISO.Reconcilation Statment"/>
      <sheetName val="AVG pur rate"/>
      <sheetName val="Sheet 1"/>
      <sheetName val="3BPA00132-5-3 W plan HVPNL"/>
      <sheetName val="Mix Design"/>
      <sheetName val="std-rates"/>
      <sheetName val="keyword"/>
      <sheetName val="입력"/>
      <sheetName val="FITZ MORT 94"/>
    </sheetNames>
    <sheetDataSet>
      <sheetData sheetId="0">
        <row r="34">
          <cell r="A34" t="str">
            <v>Investments Govt Securities</v>
          </cell>
        </row>
      </sheetData>
      <sheetData sheetId="1">
        <row r="34">
          <cell r="A34" t="str">
            <v>Investments Govt Securities</v>
          </cell>
        </row>
      </sheetData>
      <sheetData sheetId="2">
        <row r="34">
          <cell r="A34" t="str">
            <v>Investments Govt Securities</v>
          </cell>
        </row>
      </sheetData>
      <sheetData sheetId="3">
        <row r="34">
          <cell r="A34" t="str">
            <v>Investments Govt Securities</v>
          </cell>
        </row>
      </sheetData>
      <sheetData sheetId="4">
        <row r="34">
          <cell r="A34" t="str">
            <v>Investments Govt Securities</v>
          </cell>
        </row>
      </sheetData>
      <sheetData sheetId="5">
        <row r="34">
          <cell r="A34" t="str">
            <v>Investments Govt Securities</v>
          </cell>
        </row>
      </sheetData>
      <sheetData sheetId="6">
        <row r="34">
          <cell r="A34" t="str">
            <v>Investments Govt Securities</v>
          </cell>
        </row>
      </sheetData>
      <sheetData sheetId="7">
        <row r="34">
          <cell r="A34" t="str">
            <v>Investments Govt Securities</v>
          </cell>
        </row>
      </sheetData>
      <sheetData sheetId="8">
        <row r="34">
          <cell r="A34" t="str">
            <v>Investments Govt Securities</v>
          </cell>
        </row>
      </sheetData>
      <sheetData sheetId="9">
        <row r="34">
          <cell r="A34" t="str">
            <v>Investments Govt Securities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4">
          <cell r="A34" t="str">
            <v>Investments Govt Securities</v>
          </cell>
        </row>
      </sheetData>
      <sheetData sheetId="44" refreshError="1">
        <row r="34">
          <cell r="A34" t="str">
            <v>Investments Govt Securities</v>
          </cell>
        </row>
      </sheetData>
      <sheetData sheetId="45">
        <row r="34">
          <cell r="A34" t="str">
            <v>Investments Govt Securities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tatement"/>
      <sheetName val="RA-markate"/>
      <sheetName val="RA_markate"/>
      <sheetName val="Sheet3 (2)"/>
      <sheetName val="Inc.St.-Link"/>
      <sheetName val="Portfolio Summary"/>
      <sheetName val="Builtup Area"/>
      <sheetName val="Project Budget Worksheet"/>
      <sheetName val="MASTER_RATE ANALYSIS"/>
      <sheetName val="BLOCK-A (MEA.SHEET)"/>
      <sheetName val="MM"/>
      <sheetName val="Headings"/>
      <sheetName val="TBAL9697 -group wise  sdpl"/>
      <sheetName val="Names&amp;Cases"/>
      <sheetName val="COST"/>
      <sheetName val="Meas.-Hotel Part"/>
      <sheetName val="Results"/>
      <sheetName val="PLGroupings"/>
      <sheetName val="BOQ_Direct_selling cost"/>
      <sheetName val="Desgn(zone I)"/>
      <sheetName val="Fill this out first..."/>
      <sheetName val="9. Package split - Cost "/>
      <sheetName val="10. &amp; 11. Rate Code &amp; BQ"/>
      <sheetName val="Pay_Sep06"/>
      <sheetName val="BASIS -DEC 08"/>
      <sheetName val="SCHEDULE"/>
      <sheetName val="VAL"/>
      <sheetName val="Labor abs-NMR"/>
      <sheetName val="BOQ"/>
      <sheetName val="Labour productivity"/>
      <sheetName val="nVision"/>
      <sheetName val="purpose&amp;input"/>
      <sheetName val="TBAL9697 _group wise  sdpl"/>
      <sheetName val="Staff Acco."/>
      <sheetName val="oresreqsum"/>
      <sheetName val="7 Other Costs"/>
      <sheetName val="RECAPITULATION"/>
    </sheetNames>
    <sheetDataSet>
      <sheetData sheetId="0"/>
      <sheetData sheetId="1" refreshError="1">
        <row r="389">
          <cell r="A389" t="str">
            <v>SECTION</v>
          </cell>
          <cell r="B389" t="str">
            <v>PART</v>
          </cell>
        </row>
        <row r="391">
          <cell r="A391">
            <v>1</v>
          </cell>
        </row>
        <row r="392">
          <cell r="A392" t="str">
            <v>1.</v>
          </cell>
          <cell r="B392">
            <v>1</v>
          </cell>
        </row>
        <row r="394">
          <cell r="A394" t="str">
            <v>1.</v>
          </cell>
          <cell r="B394">
            <v>1.1000000000000001</v>
          </cell>
        </row>
        <row r="396">
          <cell r="A396" t="str">
            <v>A</v>
          </cell>
        </row>
        <row r="401">
          <cell r="A401" t="str">
            <v>B</v>
          </cell>
        </row>
        <row r="403">
          <cell r="A403" t="str">
            <v>C</v>
          </cell>
        </row>
        <row r="406">
          <cell r="A406" t="str">
            <v>D</v>
          </cell>
        </row>
        <row r="414">
          <cell r="A414" t="str">
            <v>1.</v>
          </cell>
          <cell r="B414">
            <v>1.2000000000000002</v>
          </cell>
        </row>
        <row r="418">
          <cell r="A418" t="str">
            <v>A</v>
          </cell>
        </row>
        <row r="423">
          <cell r="A423" t="str">
            <v>B</v>
          </cell>
        </row>
        <row r="425">
          <cell r="A425" t="str">
            <v>C</v>
          </cell>
        </row>
        <row r="427">
          <cell r="A427" t="str">
            <v>D</v>
          </cell>
        </row>
        <row r="430">
          <cell r="A430" t="str">
            <v>E</v>
          </cell>
        </row>
        <row r="438">
          <cell r="A438" t="str">
            <v>1.</v>
          </cell>
          <cell r="B438">
            <v>1.3000000000000003</v>
          </cell>
        </row>
        <row r="442">
          <cell r="A442" t="str">
            <v>A</v>
          </cell>
        </row>
        <row r="447">
          <cell r="A447" t="str">
            <v>B</v>
          </cell>
        </row>
        <row r="449">
          <cell r="A449" t="str">
            <v>C</v>
          </cell>
        </row>
        <row r="451">
          <cell r="A451" t="str">
            <v>D</v>
          </cell>
        </row>
        <row r="454">
          <cell r="A454" t="str">
            <v>E</v>
          </cell>
        </row>
        <row r="462">
          <cell r="A462" t="str">
            <v>1.</v>
          </cell>
          <cell r="B462">
            <v>2</v>
          </cell>
        </row>
        <row r="464">
          <cell r="A464" t="str">
            <v>1.</v>
          </cell>
          <cell r="B464">
            <v>2.1</v>
          </cell>
        </row>
        <row r="466">
          <cell r="A466" t="str">
            <v>A</v>
          </cell>
        </row>
        <row r="471">
          <cell r="A471" t="str">
            <v>B</v>
          </cell>
        </row>
        <row r="473">
          <cell r="A473" t="str">
            <v>C</v>
          </cell>
        </row>
        <row r="476">
          <cell r="A476" t="str">
            <v>D</v>
          </cell>
        </row>
        <row r="486">
          <cell r="A486" t="str">
            <v>1.2.2</v>
          </cell>
        </row>
        <row r="488">
          <cell r="A488" t="str">
            <v>A</v>
          </cell>
        </row>
        <row r="494">
          <cell r="A494" t="str">
            <v>B</v>
          </cell>
        </row>
        <row r="496">
          <cell r="A496" t="str">
            <v>C</v>
          </cell>
        </row>
        <row r="498">
          <cell r="A498" t="str">
            <v>D</v>
          </cell>
        </row>
        <row r="501">
          <cell r="A501" t="str">
            <v>E</v>
          </cell>
        </row>
        <row r="511">
          <cell r="A511" t="str">
            <v>1.2.3</v>
          </cell>
        </row>
        <row r="513">
          <cell r="A513" t="str">
            <v>A</v>
          </cell>
        </row>
        <row r="519">
          <cell r="A519" t="str">
            <v>B</v>
          </cell>
        </row>
        <row r="521">
          <cell r="A521" t="str">
            <v>C</v>
          </cell>
        </row>
        <row r="523">
          <cell r="A523" t="str">
            <v>D</v>
          </cell>
        </row>
        <row r="526">
          <cell r="A526" t="str">
            <v>E</v>
          </cell>
        </row>
        <row r="534">
          <cell r="A534">
            <v>1.3</v>
          </cell>
        </row>
        <row r="536">
          <cell r="A536" t="str">
            <v>1.3.1</v>
          </cell>
        </row>
        <row r="538">
          <cell r="A538" t="str">
            <v>A</v>
          </cell>
        </row>
        <row r="544">
          <cell r="A544" t="str">
            <v>B</v>
          </cell>
        </row>
        <row r="546">
          <cell r="A546" t="str">
            <v>C</v>
          </cell>
        </row>
        <row r="549">
          <cell r="A549" t="str">
            <v>D</v>
          </cell>
        </row>
        <row r="559">
          <cell r="A559" t="str">
            <v>1.3.2</v>
          </cell>
        </row>
        <row r="561">
          <cell r="A561" t="str">
            <v>A</v>
          </cell>
        </row>
        <row r="566">
          <cell r="A566" t="str">
            <v>B</v>
          </cell>
        </row>
        <row r="568">
          <cell r="A568" t="str">
            <v>C</v>
          </cell>
        </row>
        <row r="570">
          <cell r="A570" t="str">
            <v>D</v>
          </cell>
        </row>
        <row r="573">
          <cell r="A573" t="str">
            <v>E</v>
          </cell>
        </row>
        <row r="583">
          <cell r="A583" t="str">
            <v>1.3.3</v>
          </cell>
        </row>
        <row r="585">
          <cell r="A585" t="str">
            <v>A</v>
          </cell>
        </row>
        <row r="590">
          <cell r="A590" t="str">
            <v>B</v>
          </cell>
        </row>
        <row r="592">
          <cell r="A592" t="str">
            <v>C</v>
          </cell>
        </row>
        <row r="594">
          <cell r="A594" t="str">
            <v>D</v>
          </cell>
        </row>
        <row r="597">
          <cell r="A597" t="str">
            <v>E</v>
          </cell>
        </row>
        <row r="605">
          <cell r="A605">
            <v>1.4</v>
          </cell>
        </row>
        <row r="607">
          <cell r="A607" t="str">
            <v>1.4.1</v>
          </cell>
        </row>
        <row r="609">
          <cell r="A609" t="str">
            <v>A</v>
          </cell>
        </row>
        <row r="617">
          <cell r="A617" t="str">
            <v>B</v>
          </cell>
        </row>
        <row r="619">
          <cell r="A619" t="str">
            <v>C</v>
          </cell>
        </row>
        <row r="622">
          <cell r="A622" t="str">
            <v>D</v>
          </cell>
        </row>
        <row r="632">
          <cell r="A632" t="str">
            <v>1.4.2</v>
          </cell>
        </row>
        <row r="634">
          <cell r="A634" t="str">
            <v>A</v>
          </cell>
        </row>
        <row r="642">
          <cell r="A642" t="str">
            <v>B</v>
          </cell>
        </row>
        <row r="644">
          <cell r="A644" t="str">
            <v>C</v>
          </cell>
        </row>
        <row r="646">
          <cell r="A646" t="str">
            <v>D</v>
          </cell>
        </row>
        <row r="649">
          <cell r="A649" t="str">
            <v>E</v>
          </cell>
        </row>
        <row r="659">
          <cell r="A659" t="str">
            <v>1.4.3</v>
          </cell>
        </row>
        <row r="661">
          <cell r="A661" t="str">
            <v>A</v>
          </cell>
        </row>
        <row r="669">
          <cell r="A669" t="str">
            <v>B</v>
          </cell>
        </row>
        <row r="671">
          <cell r="A671" t="str">
            <v>C</v>
          </cell>
        </row>
        <row r="673">
          <cell r="A673" t="str">
            <v>D</v>
          </cell>
        </row>
        <row r="676">
          <cell r="A676" t="str">
            <v>E</v>
          </cell>
        </row>
        <row r="684">
          <cell r="A684">
            <v>1.5</v>
          </cell>
        </row>
        <row r="686">
          <cell r="A686" t="str">
            <v>1.5.1</v>
          </cell>
        </row>
        <row r="688">
          <cell r="A688" t="str">
            <v>A</v>
          </cell>
        </row>
        <row r="699">
          <cell r="A699" t="str">
            <v>B</v>
          </cell>
        </row>
        <row r="701">
          <cell r="A701" t="str">
            <v>C</v>
          </cell>
        </row>
        <row r="704">
          <cell r="A704" t="str">
            <v>D</v>
          </cell>
        </row>
        <row r="714">
          <cell r="A714" t="str">
            <v>1.5.2</v>
          </cell>
        </row>
        <row r="716">
          <cell r="A716" t="str">
            <v>A</v>
          </cell>
        </row>
        <row r="727">
          <cell r="A727" t="str">
            <v>B</v>
          </cell>
        </row>
        <row r="729">
          <cell r="A729" t="str">
            <v>C</v>
          </cell>
        </row>
        <row r="731">
          <cell r="A731" t="str">
            <v>D</v>
          </cell>
        </row>
        <row r="734">
          <cell r="A734" t="str">
            <v>E</v>
          </cell>
        </row>
        <row r="744">
          <cell r="A744" t="str">
            <v>1.5.3</v>
          </cell>
        </row>
        <row r="746">
          <cell r="A746" t="str">
            <v>A</v>
          </cell>
        </row>
        <row r="754">
          <cell r="A754" t="str">
            <v>B</v>
          </cell>
        </row>
        <row r="756">
          <cell r="A756" t="str">
            <v>C</v>
          </cell>
        </row>
        <row r="758">
          <cell r="A758" t="str">
            <v>D</v>
          </cell>
        </row>
        <row r="761">
          <cell r="A761" t="str">
            <v>E</v>
          </cell>
        </row>
        <row r="769">
          <cell r="A769">
            <v>1.6</v>
          </cell>
        </row>
        <row r="771">
          <cell r="A771" t="str">
            <v>1.6.1</v>
          </cell>
        </row>
        <row r="773">
          <cell r="A773" t="str">
            <v>A</v>
          </cell>
        </row>
        <row r="782">
          <cell r="A782" t="str">
            <v>B</v>
          </cell>
        </row>
        <row r="784">
          <cell r="A784" t="str">
            <v>C</v>
          </cell>
        </row>
        <row r="787">
          <cell r="A787" t="str">
            <v>D</v>
          </cell>
        </row>
        <row r="795">
          <cell r="A795">
            <v>1.6</v>
          </cell>
        </row>
        <row r="797">
          <cell r="A797" t="str">
            <v>1.6.2</v>
          </cell>
        </row>
        <row r="799">
          <cell r="A799" t="str">
            <v>A</v>
          </cell>
        </row>
        <row r="808">
          <cell r="A808" t="str">
            <v>B</v>
          </cell>
        </row>
        <row r="810">
          <cell r="A810" t="str">
            <v>C</v>
          </cell>
        </row>
        <row r="812">
          <cell r="A812" t="str">
            <v>D</v>
          </cell>
        </row>
        <row r="815">
          <cell r="A815" t="str">
            <v>E</v>
          </cell>
        </row>
        <row r="823">
          <cell r="A823">
            <v>1.6</v>
          </cell>
        </row>
        <row r="825">
          <cell r="A825" t="str">
            <v>1.6.3</v>
          </cell>
        </row>
        <row r="827">
          <cell r="A827" t="str">
            <v>A</v>
          </cell>
        </row>
        <row r="836">
          <cell r="A836" t="str">
            <v>B</v>
          </cell>
        </row>
        <row r="838">
          <cell r="A838" t="str">
            <v>C</v>
          </cell>
        </row>
        <row r="840">
          <cell r="A840" t="str">
            <v>D</v>
          </cell>
        </row>
        <row r="843">
          <cell r="A843" t="str">
            <v>E</v>
          </cell>
        </row>
        <row r="851">
          <cell r="A851">
            <v>1.7</v>
          </cell>
        </row>
        <row r="852">
          <cell r="A852" t="str">
            <v>1.7.1</v>
          </cell>
        </row>
        <row r="854">
          <cell r="A854" t="str">
            <v>1.7.1.1</v>
          </cell>
        </row>
        <row r="856">
          <cell r="A856" t="str">
            <v>A</v>
          </cell>
        </row>
        <row r="864">
          <cell r="A864" t="str">
            <v>B</v>
          </cell>
        </row>
        <row r="866">
          <cell r="A866" t="str">
            <v>C</v>
          </cell>
        </row>
        <row r="869">
          <cell r="A869" t="str">
            <v>D</v>
          </cell>
        </row>
        <row r="877">
          <cell r="A877" t="str">
            <v>1.7.1.2</v>
          </cell>
        </row>
        <row r="881">
          <cell r="A881" t="str">
            <v>A</v>
          </cell>
        </row>
        <row r="889">
          <cell r="A889" t="str">
            <v>B</v>
          </cell>
        </row>
        <row r="891">
          <cell r="A891" t="str">
            <v>C</v>
          </cell>
        </row>
        <row r="893">
          <cell r="A893" t="str">
            <v>D</v>
          </cell>
        </row>
        <row r="896">
          <cell r="A896" t="str">
            <v>E</v>
          </cell>
        </row>
        <row r="904">
          <cell r="A904" t="str">
            <v>1.7.1.3</v>
          </cell>
        </row>
        <row r="908">
          <cell r="A908" t="str">
            <v>A</v>
          </cell>
        </row>
        <row r="916">
          <cell r="A916" t="str">
            <v>B</v>
          </cell>
        </row>
        <row r="918">
          <cell r="A918" t="str">
            <v>C</v>
          </cell>
        </row>
        <row r="920">
          <cell r="A920" t="str">
            <v>D</v>
          </cell>
        </row>
        <row r="923">
          <cell r="A923" t="str">
            <v>E</v>
          </cell>
        </row>
        <row r="931">
          <cell r="A931" t="str">
            <v>1.7.2</v>
          </cell>
        </row>
        <row r="933">
          <cell r="A933" t="str">
            <v>1.7.2.1</v>
          </cell>
        </row>
        <row r="935">
          <cell r="A935" t="str">
            <v>A</v>
          </cell>
        </row>
        <row r="943">
          <cell r="A943" t="str">
            <v>B</v>
          </cell>
        </row>
        <row r="945">
          <cell r="A945" t="str">
            <v>C</v>
          </cell>
        </row>
        <row r="948">
          <cell r="A948" t="str">
            <v>D</v>
          </cell>
        </row>
        <row r="956">
          <cell r="A956" t="str">
            <v>1.7.2.2</v>
          </cell>
        </row>
        <row r="960">
          <cell r="A960" t="str">
            <v>A</v>
          </cell>
        </row>
        <row r="968">
          <cell r="A968" t="str">
            <v>B</v>
          </cell>
        </row>
        <row r="970">
          <cell r="A970" t="str">
            <v>C</v>
          </cell>
        </row>
        <row r="972">
          <cell r="A972" t="str">
            <v>D</v>
          </cell>
        </row>
        <row r="975">
          <cell r="A975" t="str">
            <v>E</v>
          </cell>
        </row>
        <row r="983">
          <cell r="A983" t="str">
            <v>1.7.2.3</v>
          </cell>
        </row>
        <row r="987">
          <cell r="A987" t="str">
            <v>A</v>
          </cell>
        </row>
        <row r="995">
          <cell r="A995" t="str">
            <v>B</v>
          </cell>
        </row>
        <row r="997">
          <cell r="A997" t="str">
            <v>C</v>
          </cell>
        </row>
        <row r="999">
          <cell r="A999" t="str">
            <v>D</v>
          </cell>
        </row>
        <row r="1002">
          <cell r="A1002" t="str">
            <v>E</v>
          </cell>
        </row>
        <row r="1010">
          <cell r="A1010" t="str">
            <v>1.7.3</v>
          </cell>
        </row>
        <row r="1012">
          <cell r="A1012" t="str">
            <v>1.7.3.1</v>
          </cell>
        </row>
        <row r="1014">
          <cell r="A1014" t="str">
            <v>A</v>
          </cell>
        </row>
        <row r="1022">
          <cell r="A1022" t="str">
            <v>B</v>
          </cell>
        </row>
        <row r="1024">
          <cell r="A1024" t="str">
            <v>C</v>
          </cell>
        </row>
        <row r="1027">
          <cell r="A1027" t="str">
            <v>D</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emolition"/>
      <sheetName val="Ground Works"/>
      <sheetName val="Overall Excavation"/>
      <sheetName val="Footing"/>
      <sheetName val="Pile Cap"/>
      <sheetName val="Grade Beam"/>
      <sheetName val="RCC or STP Wall"/>
      <sheetName val="Retain wall"/>
      <sheetName val="Column"/>
      <sheetName val="Slab"/>
      <sheetName val="Drop panel"/>
      <sheetName val="RCC Beam"/>
      <sheetName val="Fin Sum"/>
      <sheetName val="Wall Sum"/>
      <sheetName val="Wall"/>
      <sheetName val="Finishes"/>
      <sheetName val="Staircase &amp; Ramp"/>
      <sheetName val="RA-mark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B1" t="str">
            <v>Floor Finishes</v>
          </cell>
          <cell r="E1" t="str">
            <v>Skirting</v>
          </cell>
          <cell r="H1" t="str">
            <v>Ceiling Finishes</v>
          </cell>
          <cell r="K1" t="str">
            <v>Wall Finishes</v>
          </cell>
        </row>
        <row r="2">
          <cell r="B2" t="str">
            <v>Carpet</v>
          </cell>
          <cell r="K2" t="str">
            <v>Paint</v>
          </cell>
        </row>
        <row r="3">
          <cell r="K3" t="str">
            <v>Tile</v>
          </cell>
        </row>
      </sheetData>
      <sheetData sheetId="14"/>
      <sheetData sheetId="15"/>
      <sheetData sheetId="16"/>
      <sheetData sheetId="17"/>
      <sheetData sheetId="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 List"/>
      <sheetName val="BLOCK MASONARY"/>
    </sheetNames>
    <sheetDataSet>
      <sheetData sheetId="0">
        <row r="2">
          <cell r="A2" t="str">
            <v>C.M. 1:1</v>
          </cell>
        </row>
        <row r="3">
          <cell r="A3" t="str">
            <v>C.M. 1:2</v>
          </cell>
        </row>
        <row r="4">
          <cell r="A4" t="str">
            <v>C.M. 1:3</v>
          </cell>
        </row>
        <row r="5">
          <cell r="A5" t="str">
            <v>C.M. 1:4</v>
          </cell>
        </row>
        <row r="6">
          <cell r="A6" t="str">
            <v>C.M. 1:5</v>
          </cell>
        </row>
        <row r="7">
          <cell r="A7" t="str">
            <v>C.M. 1:6</v>
          </cell>
        </row>
      </sheetData>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
      <sheetName val="RISING MAINS"/>
      <sheetName val="LAYING OF CABLE"/>
      <sheetName val="cable termination"/>
      <sheetName val="PT_WIRING &amp; raceway"/>
      <sheetName val="cable tray"/>
      <sheetName val="EST"/>
      <sheetName val="Summary"/>
      <sheetName val="labour rates"/>
      <sheetName val="LIGHTINING"/>
      <sheetName val="CAB-Cu"/>
      <sheetName val="cab-Al"/>
      <sheetName val="EXTERNAL &amp; HDPE Pipe"/>
      <sheetName val="LIGHT FIXTURE"/>
      <sheetName val="DB"/>
      <sheetName val="LT-PANEL"/>
      <sheetName val="Lift"/>
      <sheetName val="UPS"/>
    </sheetNames>
    <sheetDataSet>
      <sheetData sheetId="0"/>
      <sheetData sheetId="1"/>
      <sheetData sheetId="2"/>
      <sheetData sheetId="3"/>
      <sheetData sheetId="4"/>
      <sheetData sheetId="5"/>
      <sheetData sheetId="6"/>
      <sheetData sheetId="7" refreshError="1"/>
      <sheetData sheetId="8">
        <row r="7">
          <cell r="C7">
            <v>293.02999999999997</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1"/>
      <sheetName val="E22"/>
      <sheetName val="E23"/>
      <sheetName val="E24"/>
      <sheetName val="E25"/>
      <sheetName val="E26"/>
      <sheetName val="E27"/>
      <sheetName val="E28"/>
      <sheetName val="E29"/>
      <sheetName val="E30"/>
      <sheetName val="E31"/>
      <sheetName val="E32"/>
      <sheetName val="E33"/>
      <sheetName val="E35"/>
      <sheetName val="Civil Works"/>
      <sheetName val="basic-data"/>
      <sheetName val="mem-property"/>
      <sheetName val="환율"/>
      <sheetName val="TBAL9697 -group wise  sdpl"/>
      <sheetName val="zone-8"/>
      <sheetName val="MHNO_LEV"/>
      <sheetName val="Civil_Works"/>
      <sheetName val="pilecap"/>
      <sheetName val="concrete"/>
      <sheetName val="beam-reinft-IIInd floor"/>
      <sheetName val="gen"/>
      <sheetName val="Factors"/>
      <sheetName val="Config"/>
      <sheetName val="Break Dw"/>
      <sheetName val="RATE ANALYSIS HYDRAULIC 17-03-2"/>
      <sheetName val="refer"/>
      <sheetName val="cables - Warmshell"/>
      <sheetName val="Summary_Bank"/>
      <sheetName val="Fin Sum"/>
      <sheetName val="key dates"/>
      <sheetName val="Actuals"/>
      <sheetName val="CCTV_EST1"/>
      <sheetName val="Staff Acco."/>
      <sheetName val="GR.slab-reinft"/>
      <sheetName val="Name List"/>
      <sheetName val="Profile"/>
      <sheetName val="Sheet3"/>
      <sheetName val="co_5"/>
      <sheetName val="Cash Flow Input Data_ISC"/>
      <sheetName val="Interface_SC"/>
      <sheetName val="Calc_ISC"/>
      <sheetName val="Calc_SC"/>
      <sheetName val="Interface_ISC"/>
      <sheetName val="GD"/>
      <sheetName val="zone-2"/>
      <sheetName val="key info"/>
      <sheetName val="Res Sheet"/>
      <sheetName val="Civil BOQ"/>
      <sheetName val="Sheet1"/>
      <sheetName val="Cash Flow"/>
      <sheetName val="VCH-SLC"/>
      <sheetName val="Supplier"/>
      <sheetName val="labour rates"/>
      <sheetName val="Data sheet"/>
      <sheetName val="coa_ramco_168"/>
      <sheetName val="Mat.-Rates"/>
      <sheetName val="DESIGN"/>
      <sheetName val="Assumptions"/>
      <sheetName val="Assmpns"/>
      <sheetName val="FINOLEX"/>
      <sheetName val="Sheet 1"/>
      <sheetName val="Set"/>
      <sheetName val="Civil_Wor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K7">
            <v>150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ment Summary"/>
      <sheetName val="Fees"/>
      <sheetName val="Cash Flow"/>
      <sheetName val="BT Direct Works"/>
      <sheetName val="Cat A Exec Summary"/>
      <sheetName val="Cat A Supp Auth"/>
      <sheetName val="Cat A AI's"/>
      <sheetName val="CAT A Anticipated"/>
      <sheetName val="Cat A Change Control"/>
      <sheetName val="Developers Fees"/>
      <sheetName val="Cat A Contingency Schedule"/>
      <sheetName val="Cat B Exec Summary"/>
      <sheetName val="Cat B Supp Auth"/>
      <sheetName val="Cat B AI's"/>
      <sheetName val="Cat B Change Control"/>
      <sheetName val="Data"/>
      <sheetName val="Name List"/>
      <sheetName val="Sheet3"/>
      <sheetName val="gen"/>
      <sheetName val="Civil Works"/>
      <sheetName val="Fin Sum"/>
      <sheetName val="TBAL9697 -group wise  sdpl"/>
      <sheetName val="CBS"/>
      <sheetName val="Standard S-Curve Data"/>
      <sheetName val="4.03 Recommendations &amp; Cashflow"/>
      <sheetName val="Development_Summary"/>
      <sheetName val="Cash_Flow"/>
      <sheetName val="BT_Direct_Works"/>
      <sheetName val="Cat_A_Exec_Summary"/>
      <sheetName val="Cat_A_Supp_Auth"/>
      <sheetName val="Cat_A_AI's"/>
      <sheetName val="CAT_A_Anticipated"/>
      <sheetName val="Cat_A_Change_Control"/>
      <sheetName val="Developers_Fees"/>
      <sheetName val="Cat_A_Contingency_Schedule"/>
      <sheetName val="Cat_B_Exec_Summary"/>
      <sheetName val="Cat_B_Supp_Auth"/>
      <sheetName val="Cat_B_AI's"/>
      <sheetName val="Cat_B_Change_Control"/>
      <sheetName val="Development_Summary1"/>
      <sheetName val="Cash_Flow1"/>
      <sheetName val="BT_Direct_Works1"/>
      <sheetName val="Cat_A_Exec_Summary1"/>
      <sheetName val="Cat_A_Supp_Auth1"/>
      <sheetName val="Cat_A_AI's1"/>
      <sheetName val="CAT_A_Anticipated1"/>
      <sheetName val="Cat_A_Change_Control1"/>
      <sheetName val="Developers_Fees1"/>
      <sheetName val="Cat_A_Contingency_Schedule1"/>
      <sheetName val="Cat_B_Exec_Summary1"/>
      <sheetName val="Cat_B_Supp_Auth1"/>
      <sheetName val="Cat_B_AI's1"/>
      <sheetName val="Cat_B_Change_Control1"/>
      <sheetName val="Mat_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Comparison 1"/>
      <sheetName val="cover page (2)"/>
      <sheetName val="Cost to be shared with Yoo"/>
      <sheetName val="assumptions"/>
      <sheetName val="NON BUILT INFRA budget 1"/>
      <sheetName val="BUILT INFRA budget "/>
      <sheetName val="Parking Budget"/>
      <sheetName val="cover page"/>
      <sheetName val="Mivan"/>
      <sheetName val="Sale Area"/>
      <sheetName val="BUA"/>
      <sheetName val="Budget Tower B"/>
      <sheetName val="Tower B Budget"/>
      <sheetName val="Annexture 1 consultant"/>
      <sheetName val="Back up for Consultants"/>
      <sheetName val="Annexure 2 Civil Work "/>
      <sheetName val="Annexure 3 Finishing Work "/>
      <sheetName val="Annexture 4 services"/>
      <sheetName val="Material List "/>
      <sheetName val="Labour Rate "/>
      <sheetName val="(M+L)"/>
      <sheetName val="Guidelines"/>
      <sheetName val="Consumption of Materials"/>
      <sheetName val="services working"/>
      <sheetName val="Automation "/>
      <sheetName val="HVAC"/>
      <sheetName val="Electrical 2 bhk"/>
      <sheetName val="Electrical 3 BHK"/>
      <sheetName val="Civil &amp; Finish Summary"/>
      <sheetName val="Doors and Frame Assumption"/>
      <sheetName val="Finishing"/>
      <sheetName val="Details"/>
      <sheetName val="Fabrication"/>
      <sheetName val="Elect"/>
      <sheetName val="Automation"/>
      <sheetName val="B.W."/>
      <sheetName val="Quantities"/>
      <sheetName val="Escalation"/>
      <sheetName val="Contingencies"/>
      <sheetName val="Civil Labour"/>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Cost"/>
      <sheetName val="Costing"/>
      <sheetName val="PS_ME"/>
      <sheetName val="Data"/>
      <sheetName val="Cost_any"/>
      <sheetName val="Name List"/>
    </sheetNames>
    <sheetDataSet>
      <sheetData sheetId="0"/>
      <sheetData sheetId="1"/>
      <sheetData sheetId="2"/>
      <sheetData sheetId="3" refreshError="1"/>
      <sheetData sheetId="4" refreshError="1"/>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HPlanM2"/>
      <sheetName val="Sheet1"/>
      <sheetName val="Sheet2"/>
      <sheetName val="Sheet3"/>
    </sheetNames>
    <sheetDataSet>
      <sheetData sheetId="0"/>
      <sheetData sheetId="1"/>
      <sheetData sheetId="2"/>
      <sheetData sheetId="3" refreshError="1">
        <row r="1">
          <cell r="A1" t="str">
            <v>CelI_Id</v>
          </cell>
          <cell r="B1" t="str">
            <v>Planned</v>
          </cell>
        </row>
        <row r="2">
          <cell r="A2">
            <v>10011</v>
          </cell>
          <cell r="B2">
            <v>4</v>
          </cell>
        </row>
        <row r="3">
          <cell r="A3">
            <v>10012</v>
          </cell>
          <cell r="B3">
            <v>4</v>
          </cell>
        </row>
        <row r="4">
          <cell r="A4">
            <v>10013</v>
          </cell>
          <cell r="B4">
            <v>4</v>
          </cell>
        </row>
        <row r="5">
          <cell r="A5">
            <v>10051</v>
          </cell>
          <cell r="B5">
            <v>4</v>
          </cell>
        </row>
        <row r="6">
          <cell r="A6">
            <v>10052</v>
          </cell>
          <cell r="B6">
            <v>4</v>
          </cell>
        </row>
        <row r="7">
          <cell r="A7">
            <v>10053</v>
          </cell>
          <cell r="B7">
            <v>4</v>
          </cell>
        </row>
        <row r="8">
          <cell r="A8">
            <v>10071</v>
          </cell>
          <cell r="B8">
            <v>4</v>
          </cell>
        </row>
        <row r="9">
          <cell r="A9">
            <v>10072</v>
          </cell>
          <cell r="B9">
            <v>4</v>
          </cell>
        </row>
        <row r="10">
          <cell r="A10">
            <v>10073</v>
          </cell>
          <cell r="B10">
            <v>4</v>
          </cell>
        </row>
        <row r="11">
          <cell r="A11">
            <v>10091</v>
          </cell>
          <cell r="B11">
            <v>4</v>
          </cell>
        </row>
        <row r="12">
          <cell r="A12">
            <v>10092</v>
          </cell>
          <cell r="B12">
            <v>4</v>
          </cell>
        </row>
        <row r="13">
          <cell r="A13">
            <v>10093</v>
          </cell>
          <cell r="B13">
            <v>4</v>
          </cell>
        </row>
        <row r="14">
          <cell r="A14">
            <v>10101</v>
          </cell>
          <cell r="B14">
            <v>4</v>
          </cell>
        </row>
        <row r="15">
          <cell r="A15">
            <v>10102</v>
          </cell>
          <cell r="B15">
            <v>4</v>
          </cell>
        </row>
        <row r="16">
          <cell r="A16">
            <v>10103</v>
          </cell>
          <cell r="B16">
            <v>4</v>
          </cell>
        </row>
        <row r="17">
          <cell r="A17">
            <v>10111</v>
          </cell>
          <cell r="B17">
            <v>4</v>
          </cell>
        </row>
        <row r="18">
          <cell r="A18">
            <v>10112</v>
          </cell>
          <cell r="B18">
            <v>4</v>
          </cell>
        </row>
        <row r="19">
          <cell r="A19">
            <v>10113</v>
          </cell>
          <cell r="B19">
            <v>4</v>
          </cell>
        </row>
        <row r="20">
          <cell r="A20">
            <v>10121</v>
          </cell>
          <cell r="B20">
            <v>3</v>
          </cell>
        </row>
        <row r="21">
          <cell r="A21">
            <v>10122</v>
          </cell>
          <cell r="B21">
            <v>4</v>
          </cell>
        </row>
        <row r="22">
          <cell r="A22">
            <v>10123</v>
          </cell>
          <cell r="B22">
            <v>4</v>
          </cell>
        </row>
        <row r="23">
          <cell r="A23">
            <v>10131</v>
          </cell>
          <cell r="B23">
            <v>4</v>
          </cell>
        </row>
        <row r="24">
          <cell r="A24">
            <v>10132</v>
          </cell>
          <cell r="B24">
            <v>4</v>
          </cell>
        </row>
        <row r="25">
          <cell r="A25">
            <v>10133</v>
          </cell>
          <cell r="B25">
            <v>4</v>
          </cell>
        </row>
        <row r="26">
          <cell r="A26">
            <v>10141</v>
          </cell>
          <cell r="B26">
            <v>3</v>
          </cell>
        </row>
        <row r="27">
          <cell r="A27">
            <v>10142</v>
          </cell>
          <cell r="B27">
            <v>4</v>
          </cell>
        </row>
        <row r="28">
          <cell r="A28">
            <v>10143</v>
          </cell>
          <cell r="B28">
            <v>4</v>
          </cell>
        </row>
        <row r="29">
          <cell r="A29">
            <v>10151</v>
          </cell>
          <cell r="B29">
            <v>3</v>
          </cell>
        </row>
        <row r="30">
          <cell r="A30">
            <v>10152</v>
          </cell>
          <cell r="B30">
            <v>4</v>
          </cell>
        </row>
        <row r="31">
          <cell r="A31">
            <v>10153</v>
          </cell>
          <cell r="B31">
            <v>4</v>
          </cell>
        </row>
        <row r="32">
          <cell r="A32">
            <v>10161</v>
          </cell>
          <cell r="B32">
            <v>4</v>
          </cell>
        </row>
        <row r="33">
          <cell r="A33">
            <v>10162</v>
          </cell>
          <cell r="B33">
            <v>5</v>
          </cell>
        </row>
        <row r="34">
          <cell r="A34">
            <v>10163</v>
          </cell>
          <cell r="B34">
            <v>5</v>
          </cell>
        </row>
        <row r="35">
          <cell r="A35">
            <v>10171</v>
          </cell>
          <cell r="B35">
            <v>4</v>
          </cell>
        </row>
        <row r="36">
          <cell r="A36">
            <v>10172</v>
          </cell>
          <cell r="B36">
            <v>4</v>
          </cell>
        </row>
        <row r="37">
          <cell r="A37">
            <v>10173</v>
          </cell>
          <cell r="B37">
            <v>4</v>
          </cell>
        </row>
        <row r="38">
          <cell r="A38">
            <v>10181</v>
          </cell>
          <cell r="B38">
            <v>4</v>
          </cell>
        </row>
        <row r="39">
          <cell r="A39">
            <v>10182</v>
          </cell>
          <cell r="B39">
            <v>3</v>
          </cell>
        </row>
        <row r="40">
          <cell r="A40">
            <v>10183</v>
          </cell>
          <cell r="B40">
            <v>4</v>
          </cell>
        </row>
        <row r="41">
          <cell r="A41">
            <v>10191</v>
          </cell>
          <cell r="B41">
            <v>4</v>
          </cell>
        </row>
        <row r="42">
          <cell r="A42">
            <v>10192</v>
          </cell>
          <cell r="B42">
            <v>5</v>
          </cell>
        </row>
        <row r="43">
          <cell r="A43">
            <v>10193</v>
          </cell>
          <cell r="B43">
            <v>6</v>
          </cell>
        </row>
        <row r="44">
          <cell r="A44">
            <v>10271</v>
          </cell>
          <cell r="B44">
            <v>3</v>
          </cell>
        </row>
        <row r="45">
          <cell r="A45">
            <v>10272</v>
          </cell>
          <cell r="B45">
            <v>3</v>
          </cell>
        </row>
        <row r="46">
          <cell r="A46">
            <v>10273</v>
          </cell>
          <cell r="B46">
            <v>3</v>
          </cell>
        </row>
        <row r="47">
          <cell r="A47">
            <v>10281</v>
          </cell>
          <cell r="B47">
            <v>4</v>
          </cell>
        </row>
        <row r="48">
          <cell r="A48">
            <v>10282</v>
          </cell>
          <cell r="B48">
            <v>4</v>
          </cell>
        </row>
        <row r="49">
          <cell r="A49">
            <v>10283</v>
          </cell>
          <cell r="B49">
            <v>4</v>
          </cell>
        </row>
        <row r="50">
          <cell r="A50">
            <v>10291</v>
          </cell>
          <cell r="B50">
            <v>3</v>
          </cell>
        </row>
        <row r="51">
          <cell r="A51">
            <v>10292</v>
          </cell>
          <cell r="B51">
            <v>2</v>
          </cell>
        </row>
        <row r="52">
          <cell r="A52">
            <v>10293</v>
          </cell>
          <cell r="B52">
            <v>1</v>
          </cell>
        </row>
        <row r="53">
          <cell r="A53">
            <v>10294</v>
          </cell>
          <cell r="B53">
            <v>1</v>
          </cell>
        </row>
        <row r="54">
          <cell r="A54">
            <v>10301</v>
          </cell>
          <cell r="B54">
            <v>1</v>
          </cell>
        </row>
        <row r="55">
          <cell r="A55">
            <v>10302</v>
          </cell>
          <cell r="B55">
            <v>2</v>
          </cell>
        </row>
        <row r="56">
          <cell r="A56">
            <v>10303</v>
          </cell>
          <cell r="B56">
            <v>2</v>
          </cell>
        </row>
        <row r="57">
          <cell r="A57">
            <v>10311</v>
          </cell>
          <cell r="B57">
            <v>2</v>
          </cell>
        </row>
        <row r="58">
          <cell r="A58">
            <v>10312</v>
          </cell>
          <cell r="B58">
            <v>2</v>
          </cell>
        </row>
        <row r="59">
          <cell r="A59">
            <v>10313</v>
          </cell>
          <cell r="B59">
            <v>1</v>
          </cell>
        </row>
        <row r="60">
          <cell r="A60">
            <v>10321</v>
          </cell>
          <cell r="B60">
            <v>2</v>
          </cell>
        </row>
        <row r="61">
          <cell r="A61">
            <v>10322</v>
          </cell>
          <cell r="B61">
            <v>2</v>
          </cell>
        </row>
        <row r="62">
          <cell r="A62">
            <v>10323</v>
          </cell>
          <cell r="B62">
            <v>2</v>
          </cell>
        </row>
        <row r="63">
          <cell r="A63">
            <v>10324</v>
          </cell>
          <cell r="B63">
            <v>2</v>
          </cell>
        </row>
        <row r="64">
          <cell r="A64">
            <v>10331</v>
          </cell>
          <cell r="B64">
            <v>3</v>
          </cell>
        </row>
        <row r="65">
          <cell r="A65">
            <v>10332</v>
          </cell>
          <cell r="B65">
            <v>2</v>
          </cell>
        </row>
        <row r="66">
          <cell r="A66">
            <v>10333</v>
          </cell>
          <cell r="B66">
            <v>2</v>
          </cell>
        </row>
        <row r="67">
          <cell r="A67">
            <v>10334</v>
          </cell>
          <cell r="B67">
            <v>1</v>
          </cell>
        </row>
        <row r="68">
          <cell r="A68">
            <v>10341</v>
          </cell>
          <cell r="B68">
            <v>2</v>
          </cell>
        </row>
        <row r="69">
          <cell r="A69">
            <v>10342</v>
          </cell>
          <cell r="B69">
            <v>2</v>
          </cell>
        </row>
        <row r="70">
          <cell r="A70">
            <v>10343</v>
          </cell>
          <cell r="B70">
            <v>1</v>
          </cell>
        </row>
        <row r="71">
          <cell r="A71">
            <v>10344</v>
          </cell>
          <cell r="B71">
            <v>1</v>
          </cell>
        </row>
        <row r="72">
          <cell r="A72">
            <v>10351</v>
          </cell>
          <cell r="B72">
            <v>1</v>
          </cell>
        </row>
        <row r="73">
          <cell r="A73">
            <v>10352</v>
          </cell>
          <cell r="B73">
            <v>2</v>
          </cell>
        </row>
        <row r="74">
          <cell r="A74">
            <v>10353</v>
          </cell>
          <cell r="B74">
            <v>1</v>
          </cell>
        </row>
        <row r="75">
          <cell r="A75">
            <v>10354</v>
          </cell>
          <cell r="B75">
            <v>2</v>
          </cell>
        </row>
        <row r="76">
          <cell r="A76">
            <v>10361</v>
          </cell>
          <cell r="B76">
            <v>1</v>
          </cell>
        </row>
        <row r="77">
          <cell r="A77">
            <v>10362</v>
          </cell>
          <cell r="B77">
            <v>1</v>
          </cell>
        </row>
        <row r="78">
          <cell r="A78">
            <v>10363</v>
          </cell>
          <cell r="B78">
            <v>2</v>
          </cell>
        </row>
        <row r="79">
          <cell r="A79">
            <v>10364</v>
          </cell>
          <cell r="B79">
            <v>2</v>
          </cell>
        </row>
        <row r="80">
          <cell r="A80">
            <v>10381</v>
          </cell>
          <cell r="B80">
            <v>4</v>
          </cell>
        </row>
        <row r="81">
          <cell r="A81">
            <v>10382</v>
          </cell>
          <cell r="B81">
            <v>4</v>
          </cell>
        </row>
        <row r="82">
          <cell r="A82">
            <v>10383</v>
          </cell>
          <cell r="B82">
            <v>4</v>
          </cell>
        </row>
        <row r="83">
          <cell r="A83">
            <v>10401</v>
          </cell>
          <cell r="B83">
            <v>4</v>
          </cell>
        </row>
        <row r="84">
          <cell r="A84">
            <v>10402</v>
          </cell>
          <cell r="B84">
            <v>4</v>
          </cell>
        </row>
        <row r="85">
          <cell r="A85">
            <v>10403</v>
          </cell>
          <cell r="B85">
            <v>3</v>
          </cell>
        </row>
        <row r="86">
          <cell r="A86">
            <v>10421</v>
          </cell>
          <cell r="B86">
            <v>3</v>
          </cell>
        </row>
        <row r="87">
          <cell r="A87">
            <v>10422</v>
          </cell>
          <cell r="B87">
            <v>4</v>
          </cell>
        </row>
        <row r="88">
          <cell r="A88">
            <v>10423</v>
          </cell>
          <cell r="B88">
            <v>4</v>
          </cell>
        </row>
        <row r="89">
          <cell r="A89">
            <v>10431</v>
          </cell>
          <cell r="B89">
            <v>3</v>
          </cell>
        </row>
        <row r="90">
          <cell r="A90">
            <v>10432</v>
          </cell>
          <cell r="B90">
            <v>5</v>
          </cell>
        </row>
        <row r="91">
          <cell r="A91">
            <v>10433</v>
          </cell>
          <cell r="B91">
            <v>3</v>
          </cell>
        </row>
        <row r="92">
          <cell r="A92">
            <v>10441</v>
          </cell>
          <cell r="B92">
            <v>4</v>
          </cell>
        </row>
        <row r="93">
          <cell r="A93">
            <v>10442</v>
          </cell>
          <cell r="B93">
            <v>3</v>
          </cell>
        </row>
        <row r="94">
          <cell r="A94">
            <v>10443</v>
          </cell>
          <cell r="B94">
            <v>4</v>
          </cell>
        </row>
        <row r="95">
          <cell r="A95">
            <v>10451</v>
          </cell>
          <cell r="B95">
            <v>3</v>
          </cell>
        </row>
        <row r="96">
          <cell r="A96">
            <v>10452</v>
          </cell>
          <cell r="B96">
            <v>2</v>
          </cell>
        </row>
        <row r="97">
          <cell r="A97">
            <v>10453</v>
          </cell>
          <cell r="B97">
            <v>4</v>
          </cell>
        </row>
        <row r="98">
          <cell r="A98">
            <v>10481</v>
          </cell>
          <cell r="B98">
            <v>4</v>
          </cell>
        </row>
        <row r="99">
          <cell r="A99">
            <v>10482</v>
          </cell>
          <cell r="B99">
            <v>4</v>
          </cell>
        </row>
        <row r="100">
          <cell r="A100">
            <v>10483</v>
          </cell>
          <cell r="B100">
            <v>4</v>
          </cell>
        </row>
        <row r="101">
          <cell r="A101">
            <v>10491</v>
          </cell>
          <cell r="B101">
            <v>3</v>
          </cell>
        </row>
        <row r="102">
          <cell r="A102">
            <v>10492</v>
          </cell>
          <cell r="B102">
            <v>4</v>
          </cell>
        </row>
        <row r="103">
          <cell r="A103">
            <v>10493</v>
          </cell>
          <cell r="B103">
            <v>4</v>
          </cell>
        </row>
        <row r="104">
          <cell r="A104">
            <v>10501</v>
          </cell>
          <cell r="B104">
            <v>4</v>
          </cell>
        </row>
        <row r="105">
          <cell r="A105">
            <v>10502</v>
          </cell>
          <cell r="B105">
            <v>3</v>
          </cell>
        </row>
        <row r="106">
          <cell r="A106">
            <v>10503</v>
          </cell>
          <cell r="B106">
            <v>3</v>
          </cell>
        </row>
        <row r="107">
          <cell r="A107">
            <v>10511</v>
          </cell>
          <cell r="B107">
            <v>4</v>
          </cell>
        </row>
        <row r="108">
          <cell r="A108">
            <v>10512</v>
          </cell>
          <cell r="B108">
            <v>3</v>
          </cell>
        </row>
        <row r="109">
          <cell r="A109">
            <v>10513</v>
          </cell>
          <cell r="B109">
            <v>4</v>
          </cell>
        </row>
        <row r="110">
          <cell r="A110">
            <v>10521</v>
          </cell>
          <cell r="B110">
            <v>4</v>
          </cell>
        </row>
        <row r="111">
          <cell r="A111">
            <v>10522</v>
          </cell>
          <cell r="B111">
            <v>4</v>
          </cell>
        </row>
        <row r="112">
          <cell r="A112">
            <v>10523</v>
          </cell>
          <cell r="B112">
            <v>4</v>
          </cell>
        </row>
        <row r="113">
          <cell r="A113">
            <v>10531</v>
          </cell>
          <cell r="B113">
            <v>4</v>
          </cell>
        </row>
        <row r="114">
          <cell r="A114">
            <v>10532</v>
          </cell>
          <cell r="B114">
            <v>3</v>
          </cell>
        </row>
        <row r="115">
          <cell r="A115">
            <v>10533</v>
          </cell>
          <cell r="B115">
            <v>4</v>
          </cell>
        </row>
        <row r="116">
          <cell r="A116">
            <v>10541</v>
          </cell>
          <cell r="B116">
            <v>4</v>
          </cell>
        </row>
        <row r="117">
          <cell r="A117">
            <v>10542</v>
          </cell>
          <cell r="B117">
            <v>4</v>
          </cell>
        </row>
        <row r="118">
          <cell r="A118">
            <v>10543</v>
          </cell>
          <cell r="B118">
            <v>3</v>
          </cell>
        </row>
        <row r="119">
          <cell r="A119">
            <v>10561</v>
          </cell>
          <cell r="B119">
            <v>3</v>
          </cell>
        </row>
        <row r="120">
          <cell r="A120">
            <v>10562</v>
          </cell>
          <cell r="B120">
            <v>4</v>
          </cell>
        </row>
        <row r="121">
          <cell r="A121">
            <v>10563</v>
          </cell>
          <cell r="B121">
            <v>4</v>
          </cell>
        </row>
        <row r="122">
          <cell r="A122">
            <v>10571</v>
          </cell>
          <cell r="B122">
            <v>3</v>
          </cell>
        </row>
        <row r="123">
          <cell r="A123">
            <v>10572</v>
          </cell>
          <cell r="B123">
            <v>4</v>
          </cell>
        </row>
        <row r="124">
          <cell r="A124">
            <v>10573</v>
          </cell>
          <cell r="B124">
            <v>3</v>
          </cell>
        </row>
        <row r="125">
          <cell r="A125">
            <v>10581</v>
          </cell>
          <cell r="B125">
            <v>4</v>
          </cell>
        </row>
        <row r="126">
          <cell r="A126">
            <v>10582</v>
          </cell>
          <cell r="B126">
            <v>4</v>
          </cell>
        </row>
        <row r="127">
          <cell r="A127">
            <v>10583</v>
          </cell>
          <cell r="B127">
            <v>3</v>
          </cell>
        </row>
        <row r="128">
          <cell r="A128">
            <v>10591</v>
          </cell>
          <cell r="B128">
            <v>4</v>
          </cell>
        </row>
        <row r="129">
          <cell r="A129">
            <v>10592</v>
          </cell>
          <cell r="B129">
            <v>3</v>
          </cell>
        </row>
        <row r="130">
          <cell r="A130">
            <v>10593</v>
          </cell>
          <cell r="B130">
            <v>4</v>
          </cell>
        </row>
        <row r="131">
          <cell r="A131">
            <v>10601</v>
          </cell>
          <cell r="B131">
            <v>5</v>
          </cell>
        </row>
        <row r="132">
          <cell r="A132">
            <v>10602</v>
          </cell>
          <cell r="B132">
            <v>4</v>
          </cell>
        </row>
        <row r="133">
          <cell r="A133">
            <v>10603</v>
          </cell>
          <cell r="B133">
            <v>4</v>
          </cell>
        </row>
        <row r="134">
          <cell r="A134">
            <v>10611</v>
          </cell>
          <cell r="B134">
            <v>4</v>
          </cell>
        </row>
        <row r="135">
          <cell r="A135">
            <v>10612</v>
          </cell>
          <cell r="B135">
            <v>4</v>
          </cell>
        </row>
        <row r="136">
          <cell r="A136">
            <v>10613</v>
          </cell>
          <cell r="B136">
            <v>4</v>
          </cell>
        </row>
        <row r="137">
          <cell r="A137">
            <v>10621</v>
          </cell>
          <cell r="B137">
            <v>4</v>
          </cell>
        </row>
        <row r="138">
          <cell r="A138">
            <v>10622</v>
          </cell>
          <cell r="B138">
            <v>4</v>
          </cell>
        </row>
        <row r="139">
          <cell r="A139">
            <v>10623</v>
          </cell>
          <cell r="B139">
            <v>3</v>
          </cell>
        </row>
        <row r="140">
          <cell r="A140">
            <v>10641</v>
          </cell>
          <cell r="B140">
            <v>3</v>
          </cell>
        </row>
        <row r="141">
          <cell r="A141">
            <v>10642</v>
          </cell>
          <cell r="B141">
            <v>4</v>
          </cell>
        </row>
        <row r="142">
          <cell r="A142">
            <v>10643</v>
          </cell>
          <cell r="B142">
            <v>3</v>
          </cell>
        </row>
        <row r="143">
          <cell r="A143">
            <v>10651</v>
          </cell>
          <cell r="B143">
            <v>4</v>
          </cell>
        </row>
        <row r="144">
          <cell r="A144">
            <v>10652</v>
          </cell>
          <cell r="B144">
            <v>4</v>
          </cell>
        </row>
        <row r="145">
          <cell r="A145">
            <v>10653</v>
          </cell>
          <cell r="B145">
            <v>4</v>
          </cell>
        </row>
        <row r="146">
          <cell r="A146">
            <v>10661</v>
          </cell>
          <cell r="B146">
            <v>6</v>
          </cell>
        </row>
        <row r="147">
          <cell r="A147">
            <v>10662</v>
          </cell>
          <cell r="B147">
            <v>3</v>
          </cell>
        </row>
        <row r="148">
          <cell r="A148">
            <v>10663</v>
          </cell>
          <cell r="B148">
            <v>3</v>
          </cell>
        </row>
        <row r="149">
          <cell r="A149">
            <v>10664</v>
          </cell>
          <cell r="B149">
            <v>6</v>
          </cell>
        </row>
        <row r="150">
          <cell r="A150">
            <v>10671</v>
          </cell>
          <cell r="B150">
            <v>4</v>
          </cell>
        </row>
        <row r="151">
          <cell r="A151">
            <v>10672</v>
          </cell>
          <cell r="B151">
            <v>4</v>
          </cell>
        </row>
        <row r="152">
          <cell r="A152">
            <v>10673</v>
          </cell>
          <cell r="B152">
            <v>4</v>
          </cell>
        </row>
        <row r="153">
          <cell r="A153">
            <v>10681</v>
          </cell>
          <cell r="B153">
            <v>3</v>
          </cell>
        </row>
        <row r="154">
          <cell r="A154">
            <v>10682</v>
          </cell>
          <cell r="B154">
            <v>3</v>
          </cell>
        </row>
        <row r="155">
          <cell r="A155">
            <v>10683</v>
          </cell>
          <cell r="B155">
            <v>4</v>
          </cell>
        </row>
        <row r="156">
          <cell r="A156">
            <v>10691</v>
          </cell>
          <cell r="B156">
            <v>3</v>
          </cell>
        </row>
        <row r="157">
          <cell r="A157">
            <v>10692</v>
          </cell>
          <cell r="B157">
            <v>4</v>
          </cell>
        </row>
        <row r="158">
          <cell r="A158">
            <v>10693</v>
          </cell>
          <cell r="B158">
            <v>4</v>
          </cell>
        </row>
        <row r="159">
          <cell r="A159">
            <v>10701</v>
          </cell>
          <cell r="B159">
            <v>4</v>
          </cell>
        </row>
        <row r="160">
          <cell r="A160">
            <v>10702</v>
          </cell>
          <cell r="B160">
            <v>4</v>
          </cell>
        </row>
        <row r="161">
          <cell r="A161">
            <v>10703</v>
          </cell>
          <cell r="B161">
            <v>4</v>
          </cell>
        </row>
        <row r="162">
          <cell r="A162">
            <v>10711</v>
          </cell>
          <cell r="B162">
            <v>3</v>
          </cell>
        </row>
        <row r="163">
          <cell r="A163">
            <v>10712</v>
          </cell>
          <cell r="B163">
            <v>3</v>
          </cell>
        </row>
        <row r="164">
          <cell r="A164">
            <v>10713</v>
          </cell>
          <cell r="B164">
            <v>3</v>
          </cell>
        </row>
        <row r="165">
          <cell r="A165">
            <v>10721</v>
          </cell>
          <cell r="B165">
            <v>4</v>
          </cell>
        </row>
        <row r="166">
          <cell r="A166">
            <v>10722</v>
          </cell>
          <cell r="B166">
            <v>4</v>
          </cell>
        </row>
        <row r="167">
          <cell r="A167">
            <v>10723</v>
          </cell>
          <cell r="B167">
            <v>3</v>
          </cell>
        </row>
        <row r="168">
          <cell r="A168">
            <v>10731</v>
          </cell>
          <cell r="B168">
            <v>4</v>
          </cell>
        </row>
        <row r="169">
          <cell r="A169">
            <v>10732</v>
          </cell>
          <cell r="B169">
            <v>4</v>
          </cell>
        </row>
        <row r="170">
          <cell r="A170">
            <v>10733</v>
          </cell>
          <cell r="B170">
            <v>4</v>
          </cell>
        </row>
        <row r="171">
          <cell r="A171">
            <v>10741</v>
          </cell>
          <cell r="B171">
            <v>4</v>
          </cell>
        </row>
        <row r="172">
          <cell r="A172">
            <v>10742</v>
          </cell>
          <cell r="B172">
            <v>4</v>
          </cell>
        </row>
        <row r="173">
          <cell r="A173">
            <v>10743</v>
          </cell>
          <cell r="B173">
            <v>4</v>
          </cell>
        </row>
        <row r="174">
          <cell r="A174">
            <v>10751</v>
          </cell>
          <cell r="B174">
            <v>4</v>
          </cell>
        </row>
        <row r="175">
          <cell r="A175">
            <v>10752</v>
          </cell>
          <cell r="B175">
            <v>4</v>
          </cell>
        </row>
        <row r="176">
          <cell r="A176">
            <v>10753</v>
          </cell>
          <cell r="B176">
            <v>4</v>
          </cell>
        </row>
        <row r="177">
          <cell r="A177">
            <v>10761</v>
          </cell>
          <cell r="B177">
            <v>4</v>
          </cell>
        </row>
        <row r="178">
          <cell r="A178">
            <v>10762</v>
          </cell>
          <cell r="B178">
            <v>4</v>
          </cell>
        </row>
        <row r="179">
          <cell r="A179">
            <v>10763</v>
          </cell>
          <cell r="B179">
            <v>4</v>
          </cell>
        </row>
        <row r="180">
          <cell r="A180">
            <v>10771</v>
          </cell>
          <cell r="B180">
            <v>4</v>
          </cell>
        </row>
        <row r="181">
          <cell r="A181">
            <v>10772</v>
          </cell>
          <cell r="B181">
            <v>4</v>
          </cell>
        </row>
        <row r="182">
          <cell r="A182">
            <v>10773</v>
          </cell>
          <cell r="B182">
            <v>4</v>
          </cell>
        </row>
        <row r="183">
          <cell r="A183">
            <v>10781</v>
          </cell>
          <cell r="B183">
            <v>6</v>
          </cell>
        </row>
        <row r="184">
          <cell r="A184">
            <v>10782</v>
          </cell>
          <cell r="B184">
            <v>4</v>
          </cell>
        </row>
        <row r="185">
          <cell r="A185">
            <v>10783</v>
          </cell>
          <cell r="B185">
            <v>6</v>
          </cell>
        </row>
        <row r="186">
          <cell r="A186">
            <v>10801</v>
          </cell>
          <cell r="B186">
            <v>2</v>
          </cell>
        </row>
        <row r="187">
          <cell r="A187">
            <v>10802</v>
          </cell>
          <cell r="B187">
            <v>2</v>
          </cell>
        </row>
        <row r="188">
          <cell r="A188">
            <v>10803</v>
          </cell>
          <cell r="B188">
            <v>1</v>
          </cell>
        </row>
        <row r="189">
          <cell r="A189">
            <v>10804</v>
          </cell>
          <cell r="B189">
            <v>2</v>
          </cell>
        </row>
        <row r="190">
          <cell r="A190">
            <v>10811</v>
          </cell>
          <cell r="B190">
            <v>2</v>
          </cell>
        </row>
        <row r="191">
          <cell r="A191">
            <v>10812</v>
          </cell>
          <cell r="B191">
            <v>1</v>
          </cell>
        </row>
        <row r="192">
          <cell r="A192">
            <v>10813</v>
          </cell>
          <cell r="B192">
            <v>1</v>
          </cell>
        </row>
        <row r="193">
          <cell r="A193">
            <v>10814</v>
          </cell>
          <cell r="B193">
            <v>2</v>
          </cell>
        </row>
        <row r="194">
          <cell r="A194">
            <v>10891</v>
          </cell>
          <cell r="B194">
            <v>3</v>
          </cell>
        </row>
        <row r="195">
          <cell r="A195">
            <v>10892</v>
          </cell>
          <cell r="B195">
            <v>2</v>
          </cell>
        </row>
        <row r="196">
          <cell r="A196">
            <v>10893</v>
          </cell>
          <cell r="B196">
            <v>2</v>
          </cell>
        </row>
        <row r="197">
          <cell r="A197">
            <v>10894</v>
          </cell>
          <cell r="B197">
            <v>1</v>
          </cell>
        </row>
        <row r="198">
          <cell r="A198">
            <v>10901</v>
          </cell>
          <cell r="B198">
            <v>1</v>
          </cell>
        </row>
        <row r="199">
          <cell r="A199">
            <v>10902</v>
          </cell>
          <cell r="B199">
            <v>1</v>
          </cell>
        </row>
        <row r="200">
          <cell r="A200">
            <v>10903</v>
          </cell>
          <cell r="B200">
            <v>1</v>
          </cell>
        </row>
        <row r="201">
          <cell r="A201">
            <v>10904</v>
          </cell>
          <cell r="B201">
            <v>2</v>
          </cell>
        </row>
        <row r="202">
          <cell r="A202">
            <v>10921</v>
          </cell>
          <cell r="B202">
            <v>3</v>
          </cell>
        </row>
        <row r="203">
          <cell r="A203">
            <v>10922</v>
          </cell>
          <cell r="B203">
            <v>1</v>
          </cell>
        </row>
        <row r="204">
          <cell r="A204">
            <v>10923</v>
          </cell>
          <cell r="B204">
            <v>3</v>
          </cell>
        </row>
        <row r="205">
          <cell r="A205">
            <v>10924</v>
          </cell>
          <cell r="B205">
            <v>1</v>
          </cell>
        </row>
        <row r="206">
          <cell r="A206">
            <v>10931</v>
          </cell>
          <cell r="B206">
            <v>3</v>
          </cell>
        </row>
        <row r="207">
          <cell r="A207">
            <v>10932</v>
          </cell>
          <cell r="B207">
            <v>4</v>
          </cell>
        </row>
        <row r="208">
          <cell r="A208">
            <v>10933</v>
          </cell>
          <cell r="B208">
            <v>4</v>
          </cell>
        </row>
        <row r="209">
          <cell r="A209">
            <v>10941</v>
          </cell>
          <cell r="B209">
            <v>4</v>
          </cell>
        </row>
        <row r="210">
          <cell r="A210">
            <v>10942</v>
          </cell>
          <cell r="B210">
            <v>4</v>
          </cell>
        </row>
        <row r="211">
          <cell r="A211">
            <v>10943</v>
          </cell>
          <cell r="B211">
            <v>4</v>
          </cell>
        </row>
        <row r="212">
          <cell r="A212">
            <v>10951</v>
          </cell>
          <cell r="B212">
            <v>4</v>
          </cell>
        </row>
        <row r="213">
          <cell r="A213">
            <v>10952</v>
          </cell>
          <cell r="B213">
            <v>4</v>
          </cell>
        </row>
        <row r="214">
          <cell r="A214">
            <v>10953</v>
          </cell>
          <cell r="B214">
            <v>4</v>
          </cell>
        </row>
        <row r="215">
          <cell r="A215">
            <v>10961</v>
          </cell>
          <cell r="B215">
            <v>4</v>
          </cell>
        </row>
        <row r="216">
          <cell r="A216">
            <v>10962</v>
          </cell>
          <cell r="B216">
            <v>4</v>
          </cell>
        </row>
        <row r="217">
          <cell r="A217">
            <v>10963</v>
          </cell>
          <cell r="B217">
            <v>4</v>
          </cell>
        </row>
        <row r="218">
          <cell r="A218">
            <v>10971</v>
          </cell>
          <cell r="B218">
            <v>4</v>
          </cell>
        </row>
        <row r="219">
          <cell r="A219">
            <v>10972</v>
          </cell>
          <cell r="B219">
            <v>4</v>
          </cell>
        </row>
        <row r="220">
          <cell r="A220">
            <v>10973</v>
          </cell>
          <cell r="B220">
            <v>5</v>
          </cell>
        </row>
        <row r="221">
          <cell r="A221">
            <v>10981</v>
          </cell>
          <cell r="B221">
            <v>4</v>
          </cell>
        </row>
        <row r="222">
          <cell r="A222">
            <v>10982</v>
          </cell>
          <cell r="B222">
            <v>4</v>
          </cell>
        </row>
        <row r="223">
          <cell r="A223">
            <v>10991</v>
          </cell>
          <cell r="B223">
            <v>3</v>
          </cell>
        </row>
        <row r="224">
          <cell r="A224">
            <v>10992</v>
          </cell>
          <cell r="B224">
            <v>4</v>
          </cell>
        </row>
        <row r="225">
          <cell r="A225">
            <v>10993</v>
          </cell>
          <cell r="B225">
            <v>4</v>
          </cell>
        </row>
        <row r="226">
          <cell r="A226">
            <v>11031</v>
          </cell>
          <cell r="B226">
            <v>3</v>
          </cell>
        </row>
        <row r="227">
          <cell r="A227">
            <v>11032</v>
          </cell>
          <cell r="B227">
            <v>4</v>
          </cell>
        </row>
        <row r="228">
          <cell r="A228">
            <v>11033</v>
          </cell>
          <cell r="B228">
            <v>4</v>
          </cell>
        </row>
        <row r="229">
          <cell r="A229">
            <v>11051</v>
          </cell>
          <cell r="B229">
            <v>2</v>
          </cell>
        </row>
        <row r="230">
          <cell r="A230">
            <v>11052</v>
          </cell>
          <cell r="B230">
            <v>2</v>
          </cell>
        </row>
        <row r="231">
          <cell r="A231">
            <v>11053</v>
          </cell>
          <cell r="B231">
            <v>2</v>
          </cell>
        </row>
        <row r="232">
          <cell r="A232">
            <v>11054</v>
          </cell>
          <cell r="B232">
            <v>2</v>
          </cell>
        </row>
        <row r="233">
          <cell r="A233">
            <v>11061</v>
          </cell>
          <cell r="B233">
            <v>2</v>
          </cell>
        </row>
        <row r="234">
          <cell r="A234">
            <v>11062</v>
          </cell>
          <cell r="B234">
            <v>2</v>
          </cell>
        </row>
        <row r="235">
          <cell r="A235">
            <v>11063</v>
          </cell>
          <cell r="B235">
            <v>2</v>
          </cell>
        </row>
        <row r="236">
          <cell r="A236">
            <v>11081</v>
          </cell>
          <cell r="B236">
            <v>4</v>
          </cell>
        </row>
        <row r="237">
          <cell r="A237">
            <v>11082</v>
          </cell>
          <cell r="B237">
            <v>4</v>
          </cell>
        </row>
        <row r="238">
          <cell r="A238">
            <v>11083</v>
          </cell>
          <cell r="B238">
            <v>4</v>
          </cell>
        </row>
        <row r="239">
          <cell r="A239">
            <v>11091</v>
          </cell>
          <cell r="B239">
            <v>4</v>
          </cell>
        </row>
        <row r="240">
          <cell r="A240">
            <v>11092</v>
          </cell>
          <cell r="B240">
            <v>4</v>
          </cell>
        </row>
        <row r="241">
          <cell r="A241">
            <v>11093</v>
          </cell>
          <cell r="B241">
            <v>4</v>
          </cell>
        </row>
        <row r="242">
          <cell r="A242">
            <v>11101</v>
          </cell>
          <cell r="B242">
            <v>4</v>
          </cell>
        </row>
        <row r="243">
          <cell r="A243">
            <v>11102</v>
          </cell>
          <cell r="B243">
            <v>3</v>
          </cell>
        </row>
        <row r="244">
          <cell r="A244">
            <v>11103</v>
          </cell>
          <cell r="B244">
            <v>4</v>
          </cell>
        </row>
        <row r="245">
          <cell r="A245">
            <v>11111</v>
          </cell>
          <cell r="B245">
            <v>4</v>
          </cell>
        </row>
        <row r="246">
          <cell r="A246">
            <v>11112</v>
          </cell>
          <cell r="B246">
            <v>4</v>
          </cell>
        </row>
        <row r="247">
          <cell r="A247">
            <v>11113</v>
          </cell>
          <cell r="B247">
            <v>4</v>
          </cell>
        </row>
        <row r="248">
          <cell r="A248">
            <v>11121</v>
          </cell>
          <cell r="B248">
            <v>4</v>
          </cell>
        </row>
        <row r="249">
          <cell r="A249">
            <v>11122</v>
          </cell>
          <cell r="B249">
            <v>4</v>
          </cell>
        </row>
        <row r="250">
          <cell r="A250">
            <v>11123</v>
          </cell>
          <cell r="B250">
            <v>4</v>
          </cell>
        </row>
        <row r="251">
          <cell r="A251">
            <v>11131</v>
          </cell>
          <cell r="B251">
            <v>2</v>
          </cell>
        </row>
        <row r="252">
          <cell r="A252">
            <v>11132</v>
          </cell>
          <cell r="B252">
            <v>2</v>
          </cell>
        </row>
        <row r="253">
          <cell r="A253">
            <v>11133</v>
          </cell>
          <cell r="B253">
            <v>2</v>
          </cell>
        </row>
        <row r="254">
          <cell r="A254">
            <v>11141</v>
          </cell>
          <cell r="B254">
            <v>4</v>
          </cell>
        </row>
        <row r="255">
          <cell r="A255">
            <v>11142</v>
          </cell>
          <cell r="B255">
            <v>4</v>
          </cell>
        </row>
        <row r="256">
          <cell r="A256">
            <v>11143</v>
          </cell>
          <cell r="B256">
            <v>4</v>
          </cell>
        </row>
        <row r="257">
          <cell r="A257">
            <v>11151</v>
          </cell>
          <cell r="B257">
            <v>4</v>
          </cell>
        </row>
        <row r="258">
          <cell r="A258">
            <v>11152</v>
          </cell>
          <cell r="B258">
            <v>4</v>
          </cell>
        </row>
        <row r="259">
          <cell r="A259">
            <v>11153</v>
          </cell>
          <cell r="B259">
            <v>4</v>
          </cell>
        </row>
        <row r="260">
          <cell r="A260">
            <v>11161</v>
          </cell>
          <cell r="B260">
            <v>4</v>
          </cell>
        </row>
        <row r="261">
          <cell r="A261">
            <v>11162</v>
          </cell>
          <cell r="B261">
            <v>4</v>
          </cell>
        </row>
        <row r="262">
          <cell r="A262">
            <v>11163</v>
          </cell>
          <cell r="B262">
            <v>4</v>
          </cell>
        </row>
        <row r="263">
          <cell r="A263">
            <v>11171</v>
          </cell>
          <cell r="B263">
            <v>4</v>
          </cell>
        </row>
        <row r="264">
          <cell r="A264">
            <v>11172</v>
          </cell>
          <cell r="B264">
            <v>4</v>
          </cell>
        </row>
        <row r="265">
          <cell r="A265">
            <v>11173</v>
          </cell>
          <cell r="B265">
            <v>4</v>
          </cell>
        </row>
        <row r="266">
          <cell r="A266">
            <v>11181</v>
          </cell>
          <cell r="B266">
            <v>4</v>
          </cell>
        </row>
        <row r="267">
          <cell r="A267">
            <v>11182</v>
          </cell>
          <cell r="B267">
            <v>3</v>
          </cell>
        </row>
        <row r="268">
          <cell r="A268">
            <v>11183</v>
          </cell>
          <cell r="B268">
            <v>4</v>
          </cell>
        </row>
        <row r="269">
          <cell r="A269">
            <v>11191</v>
          </cell>
          <cell r="B269">
            <v>4</v>
          </cell>
        </row>
        <row r="270">
          <cell r="A270">
            <v>11192</v>
          </cell>
          <cell r="B270">
            <v>4</v>
          </cell>
        </row>
        <row r="271">
          <cell r="A271">
            <v>11193</v>
          </cell>
          <cell r="B271">
            <v>4</v>
          </cell>
        </row>
        <row r="272">
          <cell r="A272">
            <v>11201</v>
          </cell>
          <cell r="B272">
            <v>4</v>
          </cell>
        </row>
        <row r="273">
          <cell r="A273">
            <v>11202</v>
          </cell>
          <cell r="B273">
            <v>4</v>
          </cell>
        </row>
        <row r="274">
          <cell r="A274">
            <v>11203</v>
          </cell>
          <cell r="B274">
            <v>4</v>
          </cell>
        </row>
        <row r="275">
          <cell r="A275">
            <v>11211</v>
          </cell>
          <cell r="B275">
            <v>4</v>
          </cell>
        </row>
        <row r="276">
          <cell r="A276">
            <v>11212</v>
          </cell>
          <cell r="B276">
            <v>4</v>
          </cell>
        </row>
        <row r="277">
          <cell r="A277">
            <v>11213</v>
          </cell>
          <cell r="B277">
            <v>4</v>
          </cell>
        </row>
        <row r="278">
          <cell r="A278">
            <v>11221</v>
          </cell>
          <cell r="B278">
            <v>4</v>
          </cell>
        </row>
        <row r="279">
          <cell r="A279">
            <v>11222</v>
          </cell>
          <cell r="B279">
            <v>4</v>
          </cell>
        </row>
        <row r="280">
          <cell r="A280">
            <v>11223</v>
          </cell>
          <cell r="B280">
            <v>4</v>
          </cell>
        </row>
        <row r="281">
          <cell r="A281">
            <v>11231</v>
          </cell>
          <cell r="B281">
            <v>3</v>
          </cell>
        </row>
        <row r="282">
          <cell r="A282">
            <v>11232</v>
          </cell>
          <cell r="B282">
            <v>4</v>
          </cell>
        </row>
        <row r="283">
          <cell r="A283">
            <v>11233</v>
          </cell>
          <cell r="B283">
            <v>4</v>
          </cell>
        </row>
        <row r="284">
          <cell r="A284">
            <v>11241</v>
          </cell>
          <cell r="B284">
            <v>4</v>
          </cell>
        </row>
        <row r="285">
          <cell r="A285">
            <v>11242</v>
          </cell>
          <cell r="B285">
            <v>4</v>
          </cell>
        </row>
        <row r="286">
          <cell r="A286">
            <v>11243</v>
          </cell>
          <cell r="B286">
            <v>4</v>
          </cell>
        </row>
        <row r="287">
          <cell r="A287">
            <v>11251</v>
          </cell>
          <cell r="B287">
            <v>4</v>
          </cell>
        </row>
        <row r="288">
          <cell r="A288">
            <v>11252</v>
          </cell>
          <cell r="B288">
            <v>4</v>
          </cell>
        </row>
        <row r="289">
          <cell r="A289">
            <v>11253</v>
          </cell>
          <cell r="B289">
            <v>4</v>
          </cell>
        </row>
        <row r="290">
          <cell r="A290">
            <v>11261</v>
          </cell>
          <cell r="B290">
            <v>4</v>
          </cell>
        </row>
        <row r="291">
          <cell r="A291">
            <v>11262</v>
          </cell>
          <cell r="B291">
            <v>3</v>
          </cell>
        </row>
        <row r="292">
          <cell r="A292">
            <v>11263</v>
          </cell>
          <cell r="B292">
            <v>4</v>
          </cell>
        </row>
        <row r="293">
          <cell r="A293">
            <v>11271</v>
          </cell>
          <cell r="B293">
            <v>4</v>
          </cell>
        </row>
        <row r="294">
          <cell r="A294">
            <v>11272</v>
          </cell>
          <cell r="B294">
            <v>4</v>
          </cell>
        </row>
        <row r="295">
          <cell r="A295">
            <v>11273</v>
          </cell>
          <cell r="B295">
            <v>4</v>
          </cell>
        </row>
        <row r="296">
          <cell r="A296">
            <v>11281</v>
          </cell>
          <cell r="B296">
            <v>4</v>
          </cell>
        </row>
        <row r="297">
          <cell r="A297">
            <v>11282</v>
          </cell>
          <cell r="B297">
            <v>4</v>
          </cell>
        </row>
        <row r="298">
          <cell r="A298">
            <v>11283</v>
          </cell>
          <cell r="B298">
            <v>4</v>
          </cell>
        </row>
        <row r="299">
          <cell r="A299">
            <v>11291</v>
          </cell>
          <cell r="B299">
            <v>4</v>
          </cell>
        </row>
        <row r="300">
          <cell r="A300">
            <v>11292</v>
          </cell>
          <cell r="B300">
            <v>4</v>
          </cell>
        </row>
        <row r="301">
          <cell r="A301">
            <v>11293</v>
          </cell>
          <cell r="B301">
            <v>4</v>
          </cell>
        </row>
        <row r="302">
          <cell r="A302">
            <v>11301</v>
          </cell>
          <cell r="B302">
            <v>4</v>
          </cell>
        </row>
        <row r="303">
          <cell r="A303">
            <v>11302</v>
          </cell>
          <cell r="B303">
            <v>3</v>
          </cell>
        </row>
        <row r="304">
          <cell r="A304">
            <v>11303</v>
          </cell>
          <cell r="B304">
            <v>3</v>
          </cell>
        </row>
        <row r="305">
          <cell r="A305">
            <v>11311</v>
          </cell>
          <cell r="B305">
            <v>4</v>
          </cell>
        </row>
        <row r="306">
          <cell r="A306">
            <v>11312</v>
          </cell>
          <cell r="B306">
            <v>3</v>
          </cell>
        </row>
        <row r="307">
          <cell r="A307">
            <v>11313</v>
          </cell>
          <cell r="B307">
            <v>4</v>
          </cell>
        </row>
        <row r="308">
          <cell r="A308">
            <v>11321</v>
          </cell>
          <cell r="B308">
            <v>4</v>
          </cell>
        </row>
        <row r="309">
          <cell r="A309">
            <v>11322</v>
          </cell>
          <cell r="B309">
            <v>4</v>
          </cell>
        </row>
        <row r="310">
          <cell r="A310">
            <v>11323</v>
          </cell>
          <cell r="B310">
            <v>4</v>
          </cell>
        </row>
        <row r="311">
          <cell r="A311">
            <v>11331</v>
          </cell>
          <cell r="B311">
            <v>4</v>
          </cell>
        </row>
        <row r="312">
          <cell r="A312">
            <v>11332</v>
          </cell>
          <cell r="B312">
            <v>3</v>
          </cell>
        </row>
        <row r="313">
          <cell r="A313">
            <v>11333</v>
          </cell>
          <cell r="B313">
            <v>4</v>
          </cell>
        </row>
        <row r="314">
          <cell r="A314">
            <v>11341</v>
          </cell>
          <cell r="B314">
            <v>4</v>
          </cell>
        </row>
        <row r="315">
          <cell r="A315">
            <v>11342</v>
          </cell>
          <cell r="B315">
            <v>4</v>
          </cell>
        </row>
        <row r="316">
          <cell r="A316">
            <v>11343</v>
          </cell>
          <cell r="B316">
            <v>3</v>
          </cell>
        </row>
        <row r="317">
          <cell r="A317">
            <v>11351</v>
          </cell>
          <cell r="B317">
            <v>3</v>
          </cell>
        </row>
        <row r="318">
          <cell r="A318">
            <v>11352</v>
          </cell>
          <cell r="B318">
            <v>4</v>
          </cell>
        </row>
        <row r="319">
          <cell r="A319">
            <v>11353</v>
          </cell>
          <cell r="B319">
            <v>4</v>
          </cell>
        </row>
        <row r="320">
          <cell r="A320">
            <v>11421</v>
          </cell>
          <cell r="B320">
            <v>4</v>
          </cell>
        </row>
        <row r="321">
          <cell r="A321">
            <v>11422</v>
          </cell>
          <cell r="B321">
            <v>4</v>
          </cell>
        </row>
        <row r="322">
          <cell r="A322">
            <v>11423</v>
          </cell>
          <cell r="B322">
            <v>4</v>
          </cell>
        </row>
        <row r="323">
          <cell r="A323">
            <v>11431</v>
          </cell>
          <cell r="B323">
            <v>4</v>
          </cell>
        </row>
        <row r="324">
          <cell r="A324">
            <v>11432</v>
          </cell>
          <cell r="B324">
            <v>4</v>
          </cell>
        </row>
        <row r="325">
          <cell r="A325">
            <v>11433</v>
          </cell>
          <cell r="B325">
            <v>4</v>
          </cell>
        </row>
        <row r="326">
          <cell r="A326">
            <v>11491</v>
          </cell>
          <cell r="B326">
            <v>3</v>
          </cell>
        </row>
        <row r="327">
          <cell r="A327">
            <v>11492</v>
          </cell>
          <cell r="B327">
            <v>3</v>
          </cell>
        </row>
        <row r="328">
          <cell r="A328">
            <v>11493</v>
          </cell>
          <cell r="B328">
            <v>4</v>
          </cell>
        </row>
        <row r="329">
          <cell r="A329">
            <v>11501</v>
          </cell>
          <cell r="B329">
            <v>4</v>
          </cell>
        </row>
        <row r="330">
          <cell r="A330">
            <v>11502</v>
          </cell>
          <cell r="B330">
            <v>4</v>
          </cell>
        </row>
        <row r="331">
          <cell r="A331">
            <v>11503</v>
          </cell>
          <cell r="B331">
            <v>4</v>
          </cell>
        </row>
        <row r="332">
          <cell r="A332">
            <v>11511</v>
          </cell>
          <cell r="B332">
            <v>4</v>
          </cell>
        </row>
        <row r="333">
          <cell r="A333">
            <v>11512</v>
          </cell>
          <cell r="B333">
            <v>3</v>
          </cell>
        </row>
        <row r="334">
          <cell r="A334">
            <v>11513</v>
          </cell>
          <cell r="B334">
            <v>4</v>
          </cell>
        </row>
        <row r="335">
          <cell r="A335">
            <v>11521</v>
          </cell>
          <cell r="B335">
            <v>4</v>
          </cell>
        </row>
        <row r="336">
          <cell r="A336">
            <v>11522</v>
          </cell>
          <cell r="B336">
            <v>4</v>
          </cell>
        </row>
        <row r="337">
          <cell r="A337">
            <v>11523</v>
          </cell>
          <cell r="B337">
            <v>4</v>
          </cell>
        </row>
        <row r="338">
          <cell r="A338">
            <v>11531</v>
          </cell>
          <cell r="B338">
            <v>4</v>
          </cell>
        </row>
        <row r="339">
          <cell r="A339">
            <v>11532</v>
          </cell>
          <cell r="B339">
            <v>4</v>
          </cell>
        </row>
        <row r="340">
          <cell r="A340">
            <v>11533</v>
          </cell>
          <cell r="B340">
            <v>4</v>
          </cell>
        </row>
        <row r="341">
          <cell r="A341">
            <v>11541</v>
          </cell>
          <cell r="B341">
            <v>4</v>
          </cell>
        </row>
        <row r="342">
          <cell r="A342">
            <v>11542</v>
          </cell>
          <cell r="B342">
            <v>4</v>
          </cell>
        </row>
        <row r="343">
          <cell r="A343">
            <v>11543</v>
          </cell>
          <cell r="B343">
            <v>4</v>
          </cell>
        </row>
        <row r="344">
          <cell r="A344">
            <v>11551</v>
          </cell>
          <cell r="B344">
            <v>4</v>
          </cell>
        </row>
        <row r="345">
          <cell r="A345">
            <v>11552</v>
          </cell>
          <cell r="B345">
            <v>4</v>
          </cell>
        </row>
        <row r="346">
          <cell r="A346">
            <v>11553</v>
          </cell>
          <cell r="B346">
            <v>4</v>
          </cell>
        </row>
        <row r="347">
          <cell r="A347">
            <v>11561</v>
          </cell>
          <cell r="B347">
            <v>4</v>
          </cell>
        </row>
        <row r="348">
          <cell r="A348">
            <v>11562</v>
          </cell>
          <cell r="B348">
            <v>4</v>
          </cell>
        </row>
        <row r="349">
          <cell r="A349">
            <v>11563</v>
          </cell>
          <cell r="B349">
            <v>4</v>
          </cell>
        </row>
        <row r="350">
          <cell r="A350">
            <v>11571</v>
          </cell>
          <cell r="B350">
            <v>4</v>
          </cell>
        </row>
        <row r="351">
          <cell r="A351">
            <v>11572</v>
          </cell>
          <cell r="B351">
            <v>4</v>
          </cell>
        </row>
        <row r="352">
          <cell r="A352">
            <v>11573</v>
          </cell>
          <cell r="B352">
            <v>4</v>
          </cell>
        </row>
        <row r="353">
          <cell r="A353">
            <v>11581</v>
          </cell>
          <cell r="B353">
            <v>3</v>
          </cell>
        </row>
        <row r="354">
          <cell r="A354">
            <v>11582</v>
          </cell>
          <cell r="B354">
            <v>2</v>
          </cell>
        </row>
        <row r="355">
          <cell r="A355">
            <v>11583</v>
          </cell>
          <cell r="B355">
            <v>3</v>
          </cell>
        </row>
        <row r="356">
          <cell r="A356">
            <v>11584</v>
          </cell>
          <cell r="B356">
            <v>2</v>
          </cell>
        </row>
        <row r="357">
          <cell r="A357">
            <v>11591</v>
          </cell>
          <cell r="B357">
            <v>4</v>
          </cell>
        </row>
        <row r="358">
          <cell r="A358">
            <v>11592</v>
          </cell>
          <cell r="B358">
            <v>4</v>
          </cell>
        </row>
        <row r="359">
          <cell r="A359">
            <v>11593</v>
          </cell>
          <cell r="B359">
            <v>4</v>
          </cell>
        </row>
        <row r="360">
          <cell r="A360">
            <v>11611</v>
          </cell>
          <cell r="B360">
            <v>4</v>
          </cell>
        </row>
        <row r="361">
          <cell r="A361">
            <v>11612</v>
          </cell>
          <cell r="B361">
            <v>3</v>
          </cell>
        </row>
        <row r="362">
          <cell r="A362">
            <v>11613</v>
          </cell>
          <cell r="B362">
            <v>4</v>
          </cell>
        </row>
        <row r="363">
          <cell r="A363">
            <v>11631</v>
          </cell>
          <cell r="B363">
            <v>3</v>
          </cell>
        </row>
        <row r="364">
          <cell r="A364">
            <v>11632</v>
          </cell>
          <cell r="B364">
            <v>4</v>
          </cell>
        </row>
        <row r="365">
          <cell r="A365">
            <v>11633</v>
          </cell>
          <cell r="B365">
            <v>4</v>
          </cell>
        </row>
        <row r="366">
          <cell r="A366">
            <v>11641</v>
          </cell>
          <cell r="B366">
            <v>4</v>
          </cell>
        </row>
        <row r="367">
          <cell r="A367">
            <v>11642</v>
          </cell>
          <cell r="B367">
            <v>4</v>
          </cell>
        </row>
        <row r="368">
          <cell r="A368">
            <v>11643</v>
          </cell>
          <cell r="B368">
            <v>3</v>
          </cell>
        </row>
        <row r="369">
          <cell r="A369">
            <v>11651</v>
          </cell>
          <cell r="B369">
            <v>4</v>
          </cell>
        </row>
        <row r="370">
          <cell r="A370">
            <v>11652</v>
          </cell>
          <cell r="B370">
            <v>2</v>
          </cell>
        </row>
        <row r="371">
          <cell r="A371">
            <v>11661</v>
          </cell>
          <cell r="B371">
            <v>4</v>
          </cell>
        </row>
        <row r="372">
          <cell r="A372">
            <v>11662</v>
          </cell>
          <cell r="B372">
            <v>4</v>
          </cell>
        </row>
        <row r="373">
          <cell r="A373">
            <v>11663</v>
          </cell>
          <cell r="B373">
            <v>3</v>
          </cell>
        </row>
        <row r="374">
          <cell r="A374">
            <v>11671</v>
          </cell>
          <cell r="B374">
            <v>4</v>
          </cell>
        </row>
        <row r="375">
          <cell r="A375">
            <v>11672</v>
          </cell>
          <cell r="B375">
            <v>3</v>
          </cell>
        </row>
        <row r="376">
          <cell r="A376">
            <v>11673</v>
          </cell>
          <cell r="B376">
            <v>4</v>
          </cell>
        </row>
        <row r="377">
          <cell r="A377">
            <v>11681</v>
          </cell>
          <cell r="B377">
            <v>4</v>
          </cell>
        </row>
        <row r="378">
          <cell r="A378">
            <v>11682</v>
          </cell>
          <cell r="B378">
            <v>4</v>
          </cell>
        </row>
        <row r="379">
          <cell r="A379">
            <v>11683</v>
          </cell>
          <cell r="B379">
            <v>3</v>
          </cell>
        </row>
        <row r="380">
          <cell r="A380">
            <v>11691</v>
          </cell>
          <cell r="B380">
            <v>4</v>
          </cell>
        </row>
        <row r="381">
          <cell r="A381">
            <v>11692</v>
          </cell>
          <cell r="B381">
            <v>4</v>
          </cell>
        </row>
        <row r="382">
          <cell r="A382">
            <v>11693</v>
          </cell>
          <cell r="B382">
            <v>4</v>
          </cell>
        </row>
        <row r="383">
          <cell r="A383">
            <v>11701</v>
          </cell>
          <cell r="B383">
            <v>4</v>
          </cell>
        </row>
        <row r="384">
          <cell r="A384">
            <v>11702</v>
          </cell>
          <cell r="B384">
            <v>3</v>
          </cell>
        </row>
        <row r="385">
          <cell r="A385">
            <v>11703</v>
          </cell>
          <cell r="B385">
            <v>4</v>
          </cell>
        </row>
        <row r="386">
          <cell r="A386">
            <v>11721</v>
          </cell>
          <cell r="B386">
            <v>4</v>
          </cell>
        </row>
        <row r="387">
          <cell r="A387">
            <v>11722</v>
          </cell>
          <cell r="B387">
            <v>4</v>
          </cell>
        </row>
        <row r="388">
          <cell r="A388">
            <v>11723</v>
          </cell>
          <cell r="B388">
            <v>4</v>
          </cell>
        </row>
        <row r="389">
          <cell r="A389">
            <v>11731</v>
          </cell>
          <cell r="B389">
            <v>4</v>
          </cell>
        </row>
        <row r="390">
          <cell r="A390">
            <v>11732</v>
          </cell>
          <cell r="B390">
            <v>4</v>
          </cell>
        </row>
        <row r="391">
          <cell r="A391">
            <v>11733</v>
          </cell>
          <cell r="B391">
            <v>4</v>
          </cell>
        </row>
        <row r="392">
          <cell r="A392">
            <v>11741</v>
          </cell>
          <cell r="B392">
            <v>4</v>
          </cell>
        </row>
        <row r="393">
          <cell r="A393">
            <v>11742</v>
          </cell>
          <cell r="B393">
            <v>4</v>
          </cell>
        </row>
        <row r="394">
          <cell r="A394">
            <v>11743</v>
          </cell>
          <cell r="B394">
            <v>3</v>
          </cell>
        </row>
        <row r="395">
          <cell r="A395">
            <v>11751</v>
          </cell>
          <cell r="B395">
            <v>4</v>
          </cell>
        </row>
        <row r="396">
          <cell r="A396">
            <v>11752</v>
          </cell>
          <cell r="B396">
            <v>3</v>
          </cell>
        </row>
        <row r="397">
          <cell r="A397">
            <v>11753</v>
          </cell>
          <cell r="B397">
            <v>4</v>
          </cell>
        </row>
        <row r="398">
          <cell r="A398">
            <v>11761</v>
          </cell>
          <cell r="B398">
            <v>4</v>
          </cell>
        </row>
        <row r="399">
          <cell r="A399">
            <v>11762</v>
          </cell>
          <cell r="B399">
            <v>4</v>
          </cell>
        </row>
        <row r="400">
          <cell r="A400">
            <v>11763</v>
          </cell>
          <cell r="B400">
            <v>4</v>
          </cell>
        </row>
        <row r="401">
          <cell r="A401">
            <v>11771</v>
          </cell>
          <cell r="B401">
            <v>4</v>
          </cell>
        </row>
        <row r="402">
          <cell r="A402">
            <v>11772</v>
          </cell>
          <cell r="B402">
            <v>4</v>
          </cell>
        </row>
        <row r="403">
          <cell r="A403">
            <v>11773</v>
          </cell>
          <cell r="B403">
            <v>4</v>
          </cell>
        </row>
        <row r="404">
          <cell r="A404">
            <v>11781</v>
          </cell>
          <cell r="B404">
            <v>4</v>
          </cell>
        </row>
        <row r="405">
          <cell r="A405">
            <v>11782</v>
          </cell>
          <cell r="B405">
            <v>3</v>
          </cell>
        </row>
        <row r="406">
          <cell r="A406">
            <v>11783</v>
          </cell>
          <cell r="B406">
            <v>4</v>
          </cell>
        </row>
        <row r="407">
          <cell r="A407">
            <v>11791</v>
          </cell>
          <cell r="B407">
            <v>4</v>
          </cell>
        </row>
        <row r="408">
          <cell r="A408">
            <v>11792</v>
          </cell>
          <cell r="B408">
            <v>4</v>
          </cell>
        </row>
        <row r="409">
          <cell r="A409">
            <v>11793</v>
          </cell>
          <cell r="B409">
            <v>4</v>
          </cell>
        </row>
        <row r="410">
          <cell r="A410">
            <v>11801</v>
          </cell>
          <cell r="B410">
            <v>4</v>
          </cell>
        </row>
        <row r="411">
          <cell r="A411">
            <v>11802</v>
          </cell>
          <cell r="B411">
            <v>4</v>
          </cell>
        </row>
        <row r="412">
          <cell r="A412">
            <v>11803</v>
          </cell>
          <cell r="B412">
            <v>4</v>
          </cell>
        </row>
        <row r="413">
          <cell r="A413">
            <v>11811</v>
          </cell>
          <cell r="B413">
            <v>4</v>
          </cell>
        </row>
        <row r="414">
          <cell r="A414">
            <v>11812</v>
          </cell>
          <cell r="B414">
            <v>4</v>
          </cell>
        </row>
        <row r="415">
          <cell r="A415">
            <v>11813</v>
          </cell>
          <cell r="B415">
            <v>3</v>
          </cell>
        </row>
        <row r="416">
          <cell r="A416">
            <v>11821</v>
          </cell>
          <cell r="B416">
            <v>3</v>
          </cell>
        </row>
        <row r="417">
          <cell r="A417">
            <v>11822</v>
          </cell>
          <cell r="B417">
            <v>4</v>
          </cell>
        </row>
        <row r="418">
          <cell r="A418">
            <v>11823</v>
          </cell>
          <cell r="B418">
            <v>3</v>
          </cell>
        </row>
        <row r="419">
          <cell r="A419">
            <v>11831</v>
          </cell>
          <cell r="B419">
            <v>4</v>
          </cell>
        </row>
        <row r="420">
          <cell r="A420">
            <v>11832</v>
          </cell>
          <cell r="B420">
            <v>4</v>
          </cell>
        </row>
        <row r="421">
          <cell r="A421">
            <v>11833</v>
          </cell>
          <cell r="B421">
            <v>4</v>
          </cell>
        </row>
        <row r="422">
          <cell r="A422">
            <v>11841</v>
          </cell>
          <cell r="B422">
            <v>4</v>
          </cell>
        </row>
        <row r="423">
          <cell r="A423">
            <v>11842</v>
          </cell>
          <cell r="B423">
            <v>4</v>
          </cell>
        </row>
        <row r="424">
          <cell r="A424">
            <v>11843</v>
          </cell>
          <cell r="B424">
            <v>4</v>
          </cell>
        </row>
        <row r="425">
          <cell r="A425">
            <v>11851</v>
          </cell>
          <cell r="B425">
            <v>4</v>
          </cell>
        </row>
        <row r="426">
          <cell r="A426">
            <v>11852</v>
          </cell>
          <cell r="B426">
            <v>4</v>
          </cell>
        </row>
        <row r="427">
          <cell r="A427">
            <v>11853</v>
          </cell>
          <cell r="B427">
            <v>4</v>
          </cell>
        </row>
        <row r="428">
          <cell r="A428">
            <v>11861</v>
          </cell>
          <cell r="B428">
            <v>4</v>
          </cell>
        </row>
        <row r="429">
          <cell r="A429">
            <v>11862</v>
          </cell>
          <cell r="B429">
            <v>3</v>
          </cell>
        </row>
        <row r="430">
          <cell r="A430">
            <v>11863</v>
          </cell>
          <cell r="B430">
            <v>4</v>
          </cell>
        </row>
        <row r="431">
          <cell r="A431">
            <v>11871</v>
          </cell>
          <cell r="B431">
            <v>4</v>
          </cell>
        </row>
        <row r="432">
          <cell r="A432">
            <v>11872</v>
          </cell>
          <cell r="B432">
            <v>4</v>
          </cell>
        </row>
        <row r="433">
          <cell r="A433">
            <v>11873</v>
          </cell>
          <cell r="B433">
            <v>4</v>
          </cell>
        </row>
        <row r="434">
          <cell r="A434">
            <v>11881</v>
          </cell>
          <cell r="B434">
            <v>4</v>
          </cell>
        </row>
        <row r="435">
          <cell r="A435">
            <v>11882</v>
          </cell>
          <cell r="B435">
            <v>3</v>
          </cell>
        </row>
        <row r="436">
          <cell r="A436">
            <v>11883</v>
          </cell>
          <cell r="B436">
            <v>4</v>
          </cell>
        </row>
        <row r="437">
          <cell r="A437">
            <v>11891</v>
          </cell>
          <cell r="B437">
            <v>4</v>
          </cell>
        </row>
        <row r="438">
          <cell r="A438">
            <v>11892</v>
          </cell>
          <cell r="B438">
            <v>4</v>
          </cell>
        </row>
        <row r="439">
          <cell r="A439">
            <v>11893</v>
          </cell>
          <cell r="B439">
            <v>4</v>
          </cell>
        </row>
        <row r="440">
          <cell r="A440">
            <v>11901</v>
          </cell>
          <cell r="B440">
            <v>4</v>
          </cell>
        </row>
        <row r="441">
          <cell r="A441">
            <v>11902</v>
          </cell>
          <cell r="B441">
            <v>4</v>
          </cell>
        </row>
        <row r="442">
          <cell r="A442">
            <v>11903</v>
          </cell>
          <cell r="B442">
            <v>4</v>
          </cell>
        </row>
        <row r="443">
          <cell r="A443">
            <v>11911</v>
          </cell>
          <cell r="B443">
            <v>4</v>
          </cell>
        </row>
        <row r="444">
          <cell r="A444">
            <v>11912</v>
          </cell>
          <cell r="B444">
            <v>4</v>
          </cell>
        </row>
        <row r="445">
          <cell r="A445">
            <v>11913</v>
          </cell>
          <cell r="B445">
            <v>4</v>
          </cell>
        </row>
        <row r="446">
          <cell r="A446">
            <v>11921</v>
          </cell>
          <cell r="B446">
            <v>4</v>
          </cell>
        </row>
        <row r="447">
          <cell r="A447">
            <v>11922</v>
          </cell>
          <cell r="B447">
            <v>4</v>
          </cell>
        </row>
        <row r="448">
          <cell r="A448">
            <v>11923</v>
          </cell>
          <cell r="B448">
            <v>4</v>
          </cell>
        </row>
        <row r="449">
          <cell r="A449">
            <v>11931</v>
          </cell>
          <cell r="B449">
            <v>3</v>
          </cell>
        </row>
        <row r="450">
          <cell r="A450">
            <v>11932</v>
          </cell>
          <cell r="B450">
            <v>3</v>
          </cell>
        </row>
        <row r="451">
          <cell r="A451">
            <v>11933</v>
          </cell>
          <cell r="B451">
            <v>4</v>
          </cell>
        </row>
        <row r="452">
          <cell r="A452">
            <v>11941</v>
          </cell>
          <cell r="B452">
            <v>3</v>
          </cell>
        </row>
        <row r="453">
          <cell r="A453">
            <v>11942</v>
          </cell>
          <cell r="B453">
            <v>3</v>
          </cell>
        </row>
        <row r="454">
          <cell r="A454">
            <v>11943</v>
          </cell>
          <cell r="B454">
            <v>3</v>
          </cell>
        </row>
        <row r="455">
          <cell r="A455">
            <v>11951</v>
          </cell>
          <cell r="B455">
            <v>4</v>
          </cell>
        </row>
        <row r="456">
          <cell r="A456">
            <v>11952</v>
          </cell>
          <cell r="B456">
            <v>4</v>
          </cell>
        </row>
        <row r="457">
          <cell r="A457">
            <v>11953</v>
          </cell>
          <cell r="B457">
            <v>4</v>
          </cell>
        </row>
        <row r="458">
          <cell r="A458">
            <v>11961</v>
          </cell>
          <cell r="B458">
            <v>4</v>
          </cell>
        </row>
        <row r="459">
          <cell r="A459">
            <v>11962</v>
          </cell>
          <cell r="B459">
            <v>4</v>
          </cell>
        </row>
        <row r="460">
          <cell r="A460">
            <v>11963</v>
          </cell>
          <cell r="B460">
            <v>3</v>
          </cell>
        </row>
        <row r="461">
          <cell r="A461">
            <v>11981</v>
          </cell>
          <cell r="B461">
            <v>4</v>
          </cell>
        </row>
        <row r="462">
          <cell r="A462">
            <v>11982</v>
          </cell>
          <cell r="B462">
            <v>4</v>
          </cell>
        </row>
        <row r="463">
          <cell r="A463">
            <v>11983</v>
          </cell>
          <cell r="B463">
            <v>4</v>
          </cell>
        </row>
        <row r="464">
          <cell r="A464">
            <v>11991</v>
          </cell>
          <cell r="B464">
            <v>2</v>
          </cell>
        </row>
        <row r="465">
          <cell r="A465">
            <v>11992</v>
          </cell>
          <cell r="B465">
            <v>2</v>
          </cell>
        </row>
        <row r="466">
          <cell r="A466">
            <v>11993</v>
          </cell>
          <cell r="B466">
            <v>1</v>
          </cell>
        </row>
        <row r="467">
          <cell r="A467">
            <v>15011</v>
          </cell>
          <cell r="B467">
            <v>4</v>
          </cell>
        </row>
        <row r="468">
          <cell r="A468">
            <v>15012</v>
          </cell>
          <cell r="B468">
            <v>3</v>
          </cell>
        </row>
        <row r="469">
          <cell r="A469">
            <v>15013</v>
          </cell>
          <cell r="B469">
            <v>3</v>
          </cell>
        </row>
        <row r="470">
          <cell r="A470">
            <v>15021</v>
          </cell>
          <cell r="B470">
            <v>4</v>
          </cell>
        </row>
        <row r="471">
          <cell r="A471">
            <v>15022</v>
          </cell>
          <cell r="B471">
            <v>3</v>
          </cell>
        </row>
        <row r="472">
          <cell r="A472">
            <v>15023</v>
          </cell>
          <cell r="B472">
            <v>4</v>
          </cell>
        </row>
        <row r="473">
          <cell r="A473">
            <v>15031</v>
          </cell>
          <cell r="B473">
            <v>4</v>
          </cell>
        </row>
        <row r="474">
          <cell r="A474">
            <v>15032</v>
          </cell>
          <cell r="B474">
            <v>4</v>
          </cell>
        </row>
        <row r="475">
          <cell r="A475">
            <v>15033</v>
          </cell>
          <cell r="B475">
            <v>3</v>
          </cell>
        </row>
        <row r="476">
          <cell r="A476">
            <v>15041</v>
          </cell>
          <cell r="B476">
            <v>4</v>
          </cell>
        </row>
        <row r="477">
          <cell r="A477">
            <v>15042</v>
          </cell>
          <cell r="B477">
            <v>3</v>
          </cell>
        </row>
        <row r="478">
          <cell r="A478">
            <v>15043</v>
          </cell>
          <cell r="B478">
            <v>4</v>
          </cell>
        </row>
        <row r="479">
          <cell r="A479">
            <v>15051</v>
          </cell>
          <cell r="B479">
            <v>4</v>
          </cell>
        </row>
        <row r="480">
          <cell r="A480">
            <v>15052</v>
          </cell>
          <cell r="B480">
            <v>3</v>
          </cell>
        </row>
        <row r="481">
          <cell r="A481">
            <v>15053</v>
          </cell>
          <cell r="B481">
            <v>4</v>
          </cell>
        </row>
        <row r="482">
          <cell r="A482">
            <v>15061</v>
          </cell>
          <cell r="B482">
            <v>2</v>
          </cell>
        </row>
        <row r="483">
          <cell r="A483">
            <v>15062</v>
          </cell>
          <cell r="B483">
            <v>2</v>
          </cell>
        </row>
        <row r="484">
          <cell r="A484">
            <v>15063</v>
          </cell>
          <cell r="B484">
            <v>2</v>
          </cell>
        </row>
        <row r="485">
          <cell r="A485">
            <v>15081</v>
          </cell>
          <cell r="B485">
            <v>4</v>
          </cell>
        </row>
        <row r="486">
          <cell r="A486">
            <v>15082</v>
          </cell>
          <cell r="B486">
            <v>3</v>
          </cell>
        </row>
        <row r="487">
          <cell r="A487">
            <v>15083</v>
          </cell>
          <cell r="B487">
            <v>4</v>
          </cell>
        </row>
        <row r="488">
          <cell r="A488">
            <v>15091</v>
          </cell>
          <cell r="B488">
            <v>4</v>
          </cell>
        </row>
        <row r="489">
          <cell r="A489">
            <v>15092</v>
          </cell>
          <cell r="B489">
            <v>4</v>
          </cell>
        </row>
        <row r="490">
          <cell r="A490">
            <v>15093</v>
          </cell>
          <cell r="B490">
            <v>4</v>
          </cell>
        </row>
        <row r="491">
          <cell r="A491">
            <v>15101</v>
          </cell>
          <cell r="B491">
            <v>4</v>
          </cell>
        </row>
        <row r="492">
          <cell r="A492">
            <v>15102</v>
          </cell>
          <cell r="B492">
            <v>4</v>
          </cell>
        </row>
        <row r="493">
          <cell r="A493">
            <v>15103</v>
          </cell>
          <cell r="B493">
            <v>3</v>
          </cell>
        </row>
        <row r="494">
          <cell r="A494">
            <v>15111</v>
          </cell>
          <cell r="B494">
            <v>4</v>
          </cell>
        </row>
        <row r="495">
          <cell r="A495">
            <v>15112</v>
          </cell>
          <cell r="B495">
            <v>4</v>
          </cell>
        </row>
        <row r="496">
          <cell r="A496">
            <v>15113</v>
          </cell>
          <cell r="B496">
            <v>4</v>
          </cell>
        </row>
        <row r="497">
          <cell r="A497">
            <v>15121</v>
          </cell>
          <cell r="B497">
            <v>4</v>
          </cell>
        </row>
        <row r="498">
          <cell r="A498">
            <v>15122</v>
          </cell>
          <cell r="B498">
            <v>4</v>
          </cell>
        </row>
        <row r="499">
          <cell r="A499">
            <v>15123</v>
          </cell>
          <cell r="B499">
            <v>3</v>
          </cell>
        </row>
        <row r="500">
          <cell r="A500">
            <v>15131</v>
          </cell>
          <cell r="B500">
            <v>4</v>
          </cell>
        </row>
        <row r="501">
          <cell r="A501">
            <v>15132</v>
          </cell>
          <cell r="B501">
            <v>3</v>
          </cell>
        </row>
        <row r="502">
          <cell r="A502">
            <v>15133</v>
          </cell>
          <cell r="B502">
            <v>4</v>
          </cell>
        </row>
        <row r="503">
          <cell r="A503">
            <v>15141</v>
          </cell>
          <cell r="B503">
            <v>4</v>
          </cell>
        </row>
        <row r="504">
          <cell r="A504">
            <v>15142</v>
          </cell>
          <cell r="B504">
            <v>3</v>
          </cell>
        </row>
        <row r="505">
          <cell r="A505">
            <v>15143</v>
          </cell>
          <cell r="B505">
            <v>3</v>
          </cell>
        </row>
        <row r="506">
          <cell r="A506">
            <v>15151</v>
          </cell>
          <cell r="B506">
            <v>3</v>
          </cell>
        </row>
        <row r="507">
          <cell r="A507">
            <v>15152</v>
          </cell>
          <cell r="B507">
            <v>3</v>
          </cell>
        </row>
        <row r="508">
          <cell r="A508">
            <v>15153</v>
          </cell>
          <cell r="B508">
            <v>4</v>
          </cell>
        </row>
        <row r="509">
          <cell r="A509">
            <v>15161</v>
          </cell>
          <cell r="B509">
            <v>3</v>
          </cell>
        </row>
        <row r="510">
          <cell r="A510">
            <v>15162</v>
          </cell>
          <cell r="B510">
            <v>3</v>
          </cell>
        </row>
        <row r="511">
          <cell r="A511">
            <v>15163</v>
          </cell>
          <cell r="B511">
            <v>3</v>
          </cell>
        </row>
        <row r="512">
          <cell r="A512">
            <v>15171</v>
          </cell>
          <cell r="B512">
            <v>4</v>
          </cell>
        </row>
        <row r="513">
          <cell r="A513">
            <v>15172</v>
          </cell>
          <cell r="B513">
            <v>3</v>
          </cell>
        </row>
        <row r="514">
          <cell r="A514">
            <v>15173</v>
          </cell>
          <cell r="B514">
            <v>3</v>
          </cell>
        </row>
        <row r="515">
          <cell r="A515">
            <v>15181</v>
          </cell>
          <cell r="B515">
            <v>2</v>
          </cell>
        </row>
        <row r="516">
          <cell r="A516">
            <v>15182</v>
          </cell>
          <cell r="B516">
            <v>2</v>
          </cell>
        </row>
        <row r="517">
          <cell r="A517">
            <v>15183</v>
          </cell>
          <cell r="B517">
            <v>2</v>
          </cell>
        </row>
        <row r="518">
          <cell r="A518">
            <v>15191</v>
          </cell>
          <cell r="B518">
            <v>4</v>
          </cell>
        </row>
        <row r="519">
          <cell r="A519">
            <v>15192</v>
          </cell>
          <cell r="B519">
            <v>4</v>
          </cell>
        </row>
        <row r="520">
          <cell r="A520">
            <v>15193</v>
          </cell>
          <cell r="B520">
            <v>4</v>
          </cell>
        </row>
        <row r="521">
          <cell r="A521">
            <v>15201</v>
          </cell>
          <cell r="B521">
            <v>3</v>
          </cell>
        </row>
        <row r="522">
          <cell r="A522">
            <v>15202</v>
          </cell>
          <cell r="B522">
            <v>4</v>
          </cell>
        </row>
        <row r="523">
          <cell r="A523">
            <v>15203</v>
          </cell>
          <cell r="B523">
            <v>4</v>
          </cell>
        </row>
        <row r="524">
          <cell r="A524">
            <v>15211</v>
          </cell>
          <cell r="B524">
            <v>4</v>
          </cell>
        </row>
        <row r="525">
          <cell r="A525">
            <v>15212</v>
          </cell>
          <cell r="B525">
            <v>4</v>
          </cell>
        </row>
        <row r="526">
          <cell r="A526">
            <v>15213</v>
          </cell>
          <cell r="B526">
            <v>4</v>
          </cell>
        </row>
        <row r="527">
          <cell r="A527">
            <v>15221</v>
          </cell>
          <cell r="B527">
            <v>2</v>
          </cell>
        </row>
        <row r="528">
          <cell r="A528">
            <v>15222</v>
          </cell>
          <cell r="B528">
            <v>3</v>
          </cell>
        </row>
        <row r="529">
          <cell r="A529">
            <v>15223</v>
          </cell>
          <cell r="B529">
            <v>3</v>
          </cell>
        </row>
        <row r="530">
          <cell r="A530">
            <v>15231</v>
          </cell>
          <cell r="B530">
            <v>4</v>
          </cell>
        </row>
        <row r="531">
          <cell r="A531">
            <v>15232</v>
          </cell>
          <cell r="B531">
            <v>4</v>
          </cell>
        </row>
        <row r="532">
          <cell r="A532">
            <v>15233</v>
          </cell>
          <cell r="B532">
            <v>4</v>
          </cell>
        </row>
        <row r="533">
          <cell r="A533">
            <v>15251</v>
          </cell>
          <cell r="B533">
            <v>4</v>
          </cell>
        </row>
        <row r="534">
          <cell r="A534">
            <v>15252</v>
          </cell>
          <cell r="B534">
            <v>4</v>
          </cell>
        </row>
        <row r="535">
          <cell r="A535">
            <v>15253</v>
          </cell>
          <cell r="B535">
            <v>4</v>
          </cell>
        </row>
        <row r="536">
          <cell r="A536">
            <v>15261</v>
          </cell>
          <cell r="B536">
            <v>4</v>
          </cell>
        </row>
        <row r="537">
          <cell r="A537">
            <v>15262</v>
          </cell>
          <cell r="B537">
            <v>3</v>
          </cell>
        </row>
        <row r="538">
          <cell r="A538">
            <v>15263</v>
          </cell>
          <cell r="B538">
            <v>3</v>
          </cell>
        </row>
        <row r="539">
          <cell r="A539">
            <v>15281</v>
          </cell>
          <cell r="B539">
            <v>4</v>
          </cell>
        </row>
        <row r="540">
          <cell r="A540">
            <v>15282</v>
          </cell>
          <cell r="B540">
            <v>4</v>
          </cell>
        </row>
        <row r="541">
          <cell r="A541">
            <v>15283</v>
          </cell>
          <cell r="B541">
            <v>3</v>
          </cell>
        </row>
        <row r="542">
          <cell r="A542">
            <v>15291</v>
          </cell>
          <cell r="B542">
            <v>3</v>
          </cell>
        </row>
        <row r="543">
          <cell r="A543">
            <v>15292</v>
          </cell>
          <cell r="B543">
            <v>4</v>
          </cell>
        </row>
        <row r="544">
          <cell r="A544">
            <v>15293</v>
          </cell>
          <cell r="B544">
            <v>4</v>
          </cell>
        </row>
        <row r="545">
          <cell r="A545">
            <v>15301</v>
          </cell>
          <cell r="B545">
            <v>4</v>
          </cell>
        </row>
        <row r="546">
          <cell r="A546">
            <v>15302</v>
          </cell>
          <cell r="B546">
            <v>3</v>
          </cell>
        </row>
        <row r="547">
          <cell r="A547">
            <v>15303</v>
          </cell>
          <cell r="B547">
            <v>4</v>
          </cell>
        </row>
        <row r="548">
          <cell r="A548">
            <v>15311</v>
          </cell>
          <cell r="B548">
            <v>4</v>
          </cell>
        </row>
        <row r="549">
          <cell r="A549">
            <v>15312</v>
          </cell>
          <cell r="B549">
            <v>3</v>
          </cell>
        </row>
        <row r="550">
          <cell r="A550">
            <v>15313</v>
          </cell>
          <cell r="B550">
            <v>4</v>
          </cell>
        </row>
        <row r="551">
          <cell r="A551">
            <v>15321</v>
          </cell>
          <cell r="B551">
            <v>4</v>
          </cell>
        </row>
        <row r="552">
          <cell r="A552">
            <v>15322</v>
          </cell>
          <cell r="B552">
            <v>4</v>
          </cell>
        </row>
        <row r="553">
          <cell r="A553">
            <v>15323</v>
          </cell>
          <cell r="B553">
            <v>4</v>
          </cell>
        </row>
        <row r="554">
          <cell r="A554">
            <v>15331</v>
          </cell>
          <cell r="B554">
            <v>4</v>
          </cell>
        </row>
        <row r="555">
          <cell r="A555">
            <v>15332</v>
          </cell>
          <cell r="B555">
            <v>4</v>
          </cell>
        </row>
        <row r="556">
          <cell r="A556">
            <v>15333</v>
          </cell>
          <cell r="B556">
            <v>4</v>
          </cell>
        </row>
        <row r="557">
          <cell r="A557">
            <v>15341</v>
          </cell>
          <cell r="B557">
            <v>3</v>
          </cell>
        </row>
        <row r="558">
          <cell r="A558">
            <v>15342</v>
          </cell>
          <cell r="B558">
            <v>4</v>
          </cell>
        </row>
        <row r="559">
          <cell r="A559">
            <v>15343</v>
          </cell>
          <cell r="B559">
            <v>4</v>
          </cell>
        </row>
        <row r="560">
          <cell r="A560">
            <v>15351</v>
          </cell>
          <cell r="B560">
            <v>4</v>
          </cell>
        </row>
        <row r="561">
          <cell r="A561">
            <v>15352</v>
          </cell>
          <cell r="B561">
            <v>4</v>
          </cell>
        </row>
        <row r="562">
          <cell r="A562">
            <v>15353</v>
          </cell>
          <cell r="B562">
            <v>4</v>
          </cell>
        </row>
        <row r="563">
          <cell r="A563">
            <v>15361</v>
          </cell>
          <cell r="B563">
            <v>3</v>
          </cell>
        </row>
        <row r="564">
          <cell r="A564">
            <v>15362</v>
          </cell>
          <cell r="B564">
            <v>3</v>
          </cell>
        </row>
        <row r="565">
          <cell r="A565">
            <v>15363</v>
          </cell>
          <cell r="B565">
            <v>3</v>
          </cell>
        </row>
        <row r="566">
          <cell r="A566">
            <v>15371</v>
          </cell>
          <cell r="B566">
            <v>4</v>
          </cell>
        </row>
        <row r="567">
          <cell r="A567">
            <v>15372</v>
          </cell>
          <cell r="B567">
            <v>4</v>
          </cell>
        </row>
        <row r="568">
          <cell r="A568">
            <v>15373</v>
          </cell>
          <cell r="B568">
            <v>3</v>
          </cell>
        </row>
        <row r="569">
          <cell r="A569">
            <v>15381</v>
          </cell>
          <cell r="B569">
            <v>4</v>
          </cell>
        </row>
        <row r="570">
          <cell r="A570">
            <v>15382</v>
          </cell>
          <cell r="B570">
            <v>4</v>
          </cell>
        </row>
        <row r="571">
          <cell r="A571">
            <v>15383</v>
          </cell>
          <cell r="B571">
            <v>3</v>
          </cell>
        </row>
        <row r="572">
          <cell r="A572">
            <v>15391</v>
          </cell>
          <cell r="B572">
            <v>4</v>
          </cell>
        </row>
        <row r="573">
          <cell r="A573">
            <v>15392</v>
          </cell>
          <cell r="B573">
            <v>3</v>
          </cell>
        </row>
        <row r="574">
          <cell r="A574">
            <v>15393</v>
          </cell>
          <cell r="B574">
            <v>4</v>
          </cell>
        </row>
        <row r="575">
          <cell r="A575">
            <v>15401</v>
          </cell>
          <cell r="B575">
            <v>4</v>
          </cell>
        </row>
        <row r="576">
          <cell r="A576">
            <v>15402</v>
          </cell>
          <cell r="B576">
            <v>4</v>
          </cell>
        </row>
        <row r="577">
          <cell r="A577">
            <v>15403</v>
          </cell>
          <cell r="B577">
            <v>4</v>
          </cell>
        </row>
        <row r="578">
          <cell r="A578">
            <v>15441</v>
          </cell>
          <cell r="B578">
            <v>4</v>
          </cell>
        </row>
        <row r="579">
          <cell r="A579">
            <v>15442</v>
          </cell>
          <cell r="B579">
            <v>4</v>
          </cell>
        </row>
        <row r="580">
          <cell r="A580">
            <v>15443</v>
          </cell>
          <cell r="B580">
            <v>4</v>
          </cell>
        </row>
        <row r="581">
          <cell r="A581">
            <v>15451</v>
          </cell>
          <cell r="B581">
            <v>4</v>
          </cell>
        </row>
        <row r="582">
          <cell r="A582">
            <v>15452</v>
          </cell>
          <cell r="B582">
            <v>3</v>
          </cell>
        </row>
        <row r="583">
          <cell r="A583">
            <v>15453</v>
          </cell>
          <cell r="B583">
            <v>3</v>
          </cell>
        </row>
        <row r="584">
          <cell r="A584">
            <v>15461</v>
          </cell>
          <cell r="B584">
            <v>3</v>
          </cell>
        </row>
        <row r="585">
          <cell r="A585">
            <v>15462</v>
          </cell>
          <cell r="B585">
            <v>4</v>
          </cell>
        </row>
        <row r="586">
          <cell r="A586">
            <v>15463</v>
          </cell>
          <cell r="B586">
            <v>4</v>
          </cell>
        </row>
        <row r="587">
          <cell r="A587">
            <v>15471</v>
          </cell>
          <cell r="B587">
            <v>4</v>
          </cell>
        </row>
        <row r="588">
          <cell r="A588">
            <v>15472</v>
          </cell>
          <cell r="B588">
            <v>3</v>
          </cell>
        </row>
        <row r="589">
          <cell r="A589">
            <v>15473</v>
          </cell>
          <cell r="B589">
            <v>3</v>
          </cell>
        </row>
        <row r="590">
          <cell r="A590">
            <v>15501</v>
          </cell>
          <cell r="B590">
            <v>3</v>
          </cell>
        </row>
        <row r="591">
          <cell r="A591">
            <v>15502</v>
          </cell>
          <cell r="B591">
            <v>3</v>
          </cell>
        </row>
        <row r="592">
          <cell r="A592">
            <v>15503</v>
          </cell>
          <cell r="B592">
            <v>4</v>
          </cell>
        </row>
        <row r="593">
          <cell r="A593">
            <v>15511</v>
          </cell>
          <cell r="B593">
            <v>4</v>
          </cell>
        </row>
        <row r="594">
          <cell r="A594">
            <v>15512</v>
          </cell>
          <cell r="B594">
            <v>4</v>
          </cell>
        </row>
        <row r="595">
          <cell r="A595">
            <v>15513</v>
          </cell>
          <cell r="B595">
            <v>4</v>
          </cell>
        </row>
        <row r="596">
          <cell r="A596">
            <v>15521</v>
          </cell>
          <cell r="B596">
            <v>4</v>
          </cell>
        </row>
        <row r="597">
          <cell r="A597">
            <v>15522</v>
          </cell>
          <cell r="B597">
            <v>4</v>
          </cell>
        </row>
        <row r="598">
          <cell r="A598">
            <v>15523</v>
          </cell>
          <cell r="B598">
            <v>3</v>
          </cell>
        </row>
        <row r="599">
          <cell r="A599">
            <v>15531</v>
          </cell>
          <cell r="B599">
            <v>4</v>
          </cell>
        </row>
        <row r="600">
          <cell r="A600">
            <v>15532</v>
          </cell>
          <cell r="B600">
            <v>3</v>
          </cell>
        </row>
        <row r="601">
          <cell r="A601">
            <v>15533</v>
          </cell>
          <cell r="B601">
            <v>4</v>
          </cell>
        </row>
        <row r="602">
          <cell r="A602">
            <v>15541</v>
          </cell>
          <cell r="B602">
            <v>3</v>
          </cell>
        </row>
        <row r="603">
          <cell r="A603">
            <v>15542</v>
          </cell>
          <cell r="B603">
            <v>3</v>
          </cell>
        </row>
        <row r="604">
          <cell r="A604">
            <v>15543</v>
          </cell>
          <cell r="B604">
            <v>4</v>
          </cell>
        </row>
        <row r="605">
          <cell r="A605">
            <v>15551</v>
          </cell>
          <cell r="B605">
            <v>4</v>
          </cell>
        </row>
        <row r="606">
          <cell r="A606">
            <v>15552</v>
          </cell>
          <cell r="B606">
            <v>3</v>
          </cell>
        </row>
        <row r="607">
          <cell r="A607">
            <v>15553</v>
          </cell>
          <cell r="B607">
            <v>4</v>
          </cell>
        </row>
        <row r="608">
          <cell r="A608">
            <v>15561</v>
          </cell>
          <cell r="B608">
            <v>4</v>
          </cell>
        </row>
        <row r="609">
          <cell r="A609">
            <v>15562</v>
          </cell>
          <cell r="B609">
            <v>4</v>
          </cell>
        </row>
        <row r="610">
          <cell r="A610">
            <v>15563</v>
          </cell>
          <cell r="B610">
            <v>4</v>
          </cell>
        </row>
        <row r="611">
          <cell r="A611">
            <v>15571</v>
          </cell>
          <cell r="B611">
            <v>3</v>
          </cell>
        </row>
        <row r="612">
          <cell r="A612">
            <v>15572</v>
          </cell>
          <cell r="B612">
            <v>3</v>
          </cell>
        </row>
        <row r="613">
          <cell r="A613">
            <v>15573</v>
          </cell>
          <cell r="B613">
            <v>3</v>
          </cell>
        </row>
        <row r="614">
          <cell r="A614">
            <v>15581</v>
          </cell>
          <cell r="B614">
            <v>2</v>
          </cell>
        </row>
        <row r="615">
          <cell r="A615">
            <v>15582</v>
          </cell>
          <cell r="B615">
            <v>2</v>
          </cell>
        </row>
        <row r="616">
          <cell r="A616">
            <v>15583</v>
          </cell>
          <cell r="B616">
            <v>2</v>
          </cell>
        </row>
        <row r="617">
          <cell r="A617">
            <v>15591</v>
          </cell>
          <cell r="B617">
            <v>3</v>
          </cell>
        </row>
        <row r="618">
          <cell r="A618">
            <v>15592</v>
          </cell>
          <cell r="B618">
            <v>2</v>
          </cell>
        </row>
        <row r="619">
          <cell r="A619">
            <v>15593</v>
          </cell>
          <cell r="B619">
            <v>3</v>
          </cell>
        </row>
        <row r="620">
          <cell r="A620">
            <v>15601</v>
          </cell>
          <cell r="B620">
            <v>4</v>
          </cell>
        </row>
        <row r="621">
          <cell r="A621">
            <v>15602</v>
          </cell>
          <cell r="B621">
            <v>3</v>
          </cell>
        </row>
        <row r="622">
          <cell r="A622">
            <v>15603</v>
          </cell>
          <cell r="B622">
            <v>3</v>
          </cell>
        </row>
        <row r="623">
          <cell r="A623">
            <v>15611</v>
          </cell>
          <cell r="B623">
            <v>2</v>
          </cell>
        </row>
        <row r="624">
          <cell r="A624">
            <v>15612</v>
          </cell>
          <cell r="B624">
            <v>2</v>
          </cell>
        </row>
        <row r="625">
          <cell r="A625">
            <v>15613</v>
          </cell>
          <cell r="B625">
            <v>2</v>
          </cell>
        </row>
        <row r="626">
          <cell r="A626">
            <v>15621</v>
          </cell>
          <cell r="B626">
            <v>4</v>
          </cell>
        </row>
        <row r="627">
          <cell r="A627">
            <v>15622</v>
          </cell>
          <cell r="B627">
            <v>4</v>
          </cell>
        </row>
        <row r="628">
          <cell r="A628">
            <v>15623</v>
          </cell>
          <cell r="B628">
            <v>3</v>
          </cell>
        </row>
        <row r="629">
          <cell r="A629">
            <v>15641</v>
          </cell>
          <cell r="B629">
            <v>4</v>
          </cell>
        </row>
        <row r="630">
          <cell r="A630">
            <v>15642</v>
          </cell>
          <cell r="B630">
            <v>3</v>
          </cell>
        </row>
        <row r="631">
          <cell r="A631">
            <v>15643</v>
          </cell>
          <cell r="B631">
            <v>3</v>
          </cell>
        </row>
        <row r="632">
          <cell r="A632">
            <v>15651</v>
          </cell>
          <cell r="B632">
            <v>4</v>
          </cell>
        </row>
        <row r="633">
          <cell r="A633">
            <v>15652</v>
          </cell>
          <cell r="B633">
            <v>4</v>
          </cell>
        </row>
        <row r="634">
          <cell r="A634">
            <v>15653</v>
          </cell>
          <cell r="B634">
            <v>4</v>
          </cell>
        </row>
        <row r="635">
          <cell r="A635">
            <v>15661</v>
          </cell>
          <cell r="B635">
            <v>4</v>
          </cell>
        </row>
        <row r="636">
          <cell r="A636">
            <v>15662</v>
          </cell>
          <cell r="B636">
            <v>4</v>
          </cell>
        </row>
        <row r="637">
          <cell r="A637">
            <v>15663</v>
          </cell>
          <cell r="B637">
            <v>4</v>
          </cell>
        </row>
        <row r="638">
          <cell r="A638">
            <v>15711</v>
          </cell>
          <cell r="B638">
            <v>4</v>
          </cell>
        </row>
        <row r="639">
          <cell r="A639">
            <v>15712</v>
          </cell>
          <cell r="B639">
            <v>4</v>
          </cell>
        </row>
        <row r="640">
          <cell r="A640">
            <v>15713</v>
          </cell>
          <cell r="B640">
            <v>4</v>
          </cell>
        </row>
        <row r="641">
          <cell r="A641">
            <v>15841</v>
          </cell>
          <cell r="B641">
            <v>4</v>
          </cell>
        </row>
        <row r="642">
          <cell r="A642">
            <v>15842</v>
          </cell>
          <cell r="B642">
            <v>4</v>
          </cell>
        </row>
        <row r="643">
          <cell r="A643">
            <v>15843</v>
          </cell>
          <cell r="B643">
            <v>4</v>
          </cell>
        </row>
        <row r="649">
          <cell r="A649" t="str">
            <v>Cell_Id</v>
          </cell>
          <cell r="B649" t="str">
            <v>Conf</v>
          </cell>
        </row>
        <row r="650">
          <cell r="A650" t="e">
            <v>#REF!</v>
          </cell>
          <cell r="B650">
            <v>2</v>
          </cell>
        </row>
        <row r="651">
          <cell r="A651" t="e">
            <v>#REF!</v>
          </cell>
          <cell r="B651">
            <v>2</v>
          </cell>
        </row>
        <row r="652">
          <cell r="A652" t="e">
            <v>#REF!</v>
          </cell>
          <cell r="B652">
            <v>2</v>
          </cell>
        </row>
        <row r="654">
          <cell r="A654" t="e">
            <v>#REF!</v>
          </cell>
          <cell r="B654">
            <v>12</v>
          </cell>
        </row>
        <row r="656">
          <cell r="A656" t="e">
            <v>#REF!</v>
          </cell>
        </row>
        <row r="658">
          <cell r="A658" t="e">
            <v>#REF!</v>
          </cell>
        </row>
        <row r="660">
          <cell r="A660" t="e">
            <v>#REF!</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s"/>
      <sheetName val="IO LIST"/>
      <sheetName val="BMS-Pri"/>
      <sheetName val="TBAL9697 -group wise  sdpl"/>
      <sheetName val="Recommended Spares"/>
      <sheetName val="Civil Works"/>
      <sheetName val="Sheet3"/>
      <sheetName val="Name List"/>
      <sheetName val="Servers"/>
      <sheetName val="VCH-SLC"/>
      <sheetName val="Supplier"/>
      <sheetName val="Input"/>
      <sheetName val="Pay_Sep06"/>
      <sheetName val="Sheet1"/>
      <sheetName val="s"/>
      <sheetName val="Pacakges split"/>
      <sheetName val="gen"/>
      <sheetName val="Costing"/>
      <sheetName val="cox"/>
      <sheetName val="cox (2)"/>
      <sheetName val="kings"/>
      <sheetName val="kings (2)"/>
      <sheetName val="Pure Liquid"/>
      <sheetName val="Mitsu"/>
      <sheetName val="Citibank"/>
      <sheetName val="Citibank (2)"/>
      <sheetName val="TCS"/>
      <sheetName val="TCS-REV"/>
      <sheetName val="VSNL"/>
      <sheetName val="VSNL (2)"/>
      <sheetName val="Raheja"/>
      <sheetName val="EMI-548"/>
      <sheetName val="EMI-057"/>
      <sheetName val="EMI-564"/>
      <sheetName val="Barber"/>
      <sheetName val="Cherry"/>
      <sheetName val="Airfreight"/>
      <sheetName val="I.T.C"/>
      <sheetName val="ITC(R-1)"/>
      <sheetName val="Vinod"/>
      <sheetName val="Ruby"/>
      <sheetName val="Ruby (2)"/>
      <sheetName val="Ruby (3)"/>
      <sheetName val="Ruby-191"/>
      <sheetName val="Ruby-286"/>
      <sheetName val="Ruby-416"/>
      <sheetName val="Ruby-231"/>
      <sheetName val="Sona-VSNL"/>
      <sheetName val="IN-VSNL"/>
      <sheetName val="ZYLOG"/>
      <sheetName val="Stenco"/>
      <sheetName val="Signa"/>
      <sheetName val="Spazzio"/>
      <sheetName val="Asian"/>
      <sheetName val="Asian (2)"/>
      <sheetName val="Airport"/>
      <sheetName val="Escorts-621"/>
      <sheetName val="Escorts-621 (R1)"/>
      <sheetName val="Escorts-(031)"/>
      <sheetName val="Escorts-(37)"/>
      <sheetName val="Escorts-(37-1)"/>
      <sheetName val="Escorts-194"/>
      <sheetName val="Escorts-621 (R2)"/>
      <sheetName val="Escorts-189"/>
      <sheetName val="Escorts-189 (R1)"/>
      <sheetName val="Escorts-189 (R2)"/>
      <sheetName val="Escorts-189 (R3)"/>
      <sheetName val="J.C PENNY"/>
      <sheetName val="J.C PENNY (2)"/>
      <sheetName val="J.C P(A)(R-1)"/>
      <sheetName val="J.C P(A)(R-2)"/>
      <sheetName val="J.C P(B)(R-2)"/>
      <sheetName val="J.C P(A)(R-3)"/>
      <sheetName val="J.C P(B)(R-3)"/>
      <sheetName val="metamorphosis"/>
      <sheetName val="sanjay"/>
      <sheetName val="BNP"/>
      <sheetName val="GUJRAT"/>
      <sheetName val="GUJRAT (2)"/>
      <sheetName val="Jaiprakash"/>
      <sheetName val="Jindal"/>
      <sheetName val="Policy"/>
      <sheetName val="parker"/>
      <sheetName val="Goldstone"/>
      <sheetName val="Eternity"/>
      <sheetName val="NDDB"/>
      <sheetName val="NDDB (2)"/>
      <sheetName val="NDDB (3)"/>
      <sheetName val="NDDB (4)"/>
      <sheetName val="GAS"/>
      <sheetName val="PCRA"/>
      <sheetName val="time"/>
      <sheetName val="purple"/>
      <sheetName val="Gherzi"/>
      <sheetName val="Ruby (4)"/>
      <sheetName val="pall"/>
      <sheetName val="pall (2)"/>
      <sheetName val="pall (3)"/>
      <sheetName val="pall (4)"/>
      <sheetName val="pall (5)"/>
      <sheetName val="pall (6)"/>
      <sheetName val="pall (7)"/>
      <sheetName val="pall (8)"/>
      <sheetName val="pall (9)"/>
      <sheetName val="pall (033)"/>
      <sheetName val="PALL-113"/>
      <sheetName val="PALL-113 (R1)"/>
      <sheetName val="PALL-230"/>
      <sheetName val="PALL-256"/>
      <sheetName val="pall-291"/>
      <sheetName val="Data sheet"/>
      <sheetName val="Fin Sum"/>
      <sheetName val="Summary year Plan"/>
      <sheetName val="Civil Boq"/>
      <sheetName val="Package split - Cost"/>
      <sheetName val="Fill this out first..."/>
      <sheetName val="Structure Bills Qty"/>
      <sheetName val="Break up Sheet"/>
      <sheetName val="Digestion"/>
      <sheetName val="Consolidated"/>
      <sheetName val="p&amp;m"/>
      <sheetName val="Basement Budget"/>
      <sheetName val="Discount"/>
      <sheetName val="COMP"/>
      <sheetName val="coa_ramco_168"/>
    </sheetNames>
    <sheetDataSet>
      <sheetData sheetId="0">
        <row r="8">
          <cell r="J8">
            <v>1.17746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_Cost"/>
      <sheetName val="Costany"/>
      <sheetName val="Pri_any"/>
      <sheetName val="Price_Comp"/>
      <sheetName val="factors"/>
    </sheetNames>
    <sheetDataSet>
      <sheetData sheetId="0">
        <row r="3">
          <cell r="A3" t="str">
            <v>Consultants :  M/s. ACE CONSULTANTS &amp; ENGINEERS</v>
          </cell>
        </row>
      </sheetData>
      <sheetData sheetId="1" refreshError="1"/>
      <sheetData sheetId="2" refreshError="1"/>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l this out first..."/>
      <sheetName val="Checklist"/>
      <sheetName val="Front"/>
      <sheetName val="PDF Front"/>
      <sheetName val="Simple Letter"/>
      <sheetName val="Inside"/>
      <sheetName val="Contents"/>
      <sheetName val="Basis"/>
      <sheetName val="Inclusions"/>
      <sheetName val="Exclusions"/>
      <sheetName val="Overall Summary"/>
      <sheetName val="CSI Summary"/>
      <sheetName val="Section 1 Areas"/>
      <sheetName val="Section 1 Summary"/>
      <sheetName val="Section 1"/>
      <sheetName val="Section 2 Areas"/>
      <sheetName val="Section 2 Summary"/>
      <sheetName val="Section 2"/>
      <sheetName val="Section 3 Areas"/>
      <sheetName val="Section 3 Summary"/>
      <sheetName val="Section 3"/>
      <sheetName val="Section 4 Areas"/>
      <sheetName val="Section 4 Summary"/>
      <sheetName val="Section 4"/>
      <sheetName val="Section 5 Areas"/>
      <sheetName val="Section 5 Summary"/>
      <sheetName val="Section 5"/>
      <sheetName val="Sitework Areas"/>
      <sheetName val="Section 6 Areas"/>
      <sheetName val="Section 6 Summary"/>
      <sheetName val="Section 6"/>
      <sheetName val="Sitework Summary"/>
      <sheetName val="Sitework"/>
      <sheetName val="Alternates"/>
      <sheetName val="Comparison Summary"/>
      <sheetName val="Fill this out first___"/>
      <sheetName val="Salient Features"/>
      <sheetName val="Index"/>
      <sheetName val="LOI"/>
      <sheetName val="construction_schedule"/>
      <sheetName val="top_sheet"/>
      <sheetName val="Offtop-Tender"/>
      <sheetName val="Offtop-Prestart"/>
      <sheetName val="Summary"/>
      <sheetName val="SummaryIDC"/>
      <sheetName val="Basic"/>
      <sheetName val="Items"/>
      <sheetName val="IDC.AHK "/>
      <sheetName val="BOQ_Direct_selling cost"/>
      <sheetName val="Monthwise breakup"/>
      <sheetName val="Labourrate"/>
      <sheetName val="conanalysis"/>
      <sheetName val="ShuttAna"/>
      <sheetName val="Reinf Analy"/>
      <sheetName val="Machinery"/>
      <sheetName val="Power anal"/>
      <sheetName val="quality_obj"/>
      <sheetName val="Assumptions"/>
      <sheetName val="water"/>
      <sheetName val="Power"/>
      <sheetName val="SHEET 1"/>
      <sheetName val="Sheet1"/>
      <sheetName val="Sheet2"/>
      <sheetName val="Sheet3"/>
      <sheetName val="labour coeff"/>
      <sheetName val="PRECAST lightconc-II"/>
      <sheetName val="Sebtion 1 SumMary"/>
      <sheetName val="DLA Standard Cost Report1"/>
      <sheetName val="Design"/>
      <sheetName val="IO List"/>
      <sheetName val="Macro custom function"/>
      <sheetName val="p&amp;m"/>
      <sheetName val="boq"/>
      <sheetName val="Cat A Change Control"/>
      <sheetName val="RA-markate"/>
      <sheetName val="A-General"/>
      <sheetName val="Staff Acco."/>
      <sheetName val="dBase"/>
      <sheetName val="Meas.-Hotel Part"/>
      <sheetName val="Bill-AAC_old"/>
      <sheetName val="TBAL9697 -group wise  sdpl"/>
      <sheetName val="factors"/>
      <sheetName val="Cashflow projection"/>
      <sheetName val="Pacakges split"/>
      <sheetName val="Data"/>
      <sheetName val="Basement Budget"/>
      <sheetName val="Lead"/>
      <sheetName val="Extra Item"/>
      <sheetName val="Tender Summary"/>
      <sheetName val="Detail"/>
      <sheetName val="RCC,Ret. Wall"/>
      <sheetName val="공장별판관비배부"/>
      <sheetName val="Labour"/>
      <sheetName val="VCH-SLC"/>
      <sheetName val="Supplier"/>
      <sheetName val="Deduction of assets"/>
      <sheetName val="Database"/>
      <sheetName val="SCHEDULE"/>
      <sheetName val="schedule nos"/>
      <sheetName val="INPUT SHEET"/>
      <sheetName val="RES-PLANNING"/>
      <sheetName val="Voucher"/>
      <sheetName val="DEPTH CHART (ORR) L.S."/>
      <sheetName val="Name List"/>
      <sheetName val="Stress Calculation"/>
      <sheetName val="PA- Consutant "/>
      <sheetName val="Raft"/>
      <sheetName val="Break up Sheet"/>
      <sheetName val="Intro"/>
      <sheetName val="strand"/>
      <sheetName val="Pay_Sep06"/>
      <sheetName val="DetEst"/>
      <sheetName val="Driveway Beams"/>
      <sheetName val="2gii"/>
      <sheetName val="Contract Night Staff"/>
      <sheetName val="Contract Day Staff"/>
      <sheetName val="Day Shift"/>
      <sheetName val="Night Shift"/>
      <sheetName val="1st flr"/>
      <sheetName val="REL"/>
      <sheetName val="sort2"/>
      <sheetName val="#REF"/>
      <sheetName val="Labour productivity"/>
      <sheetName val="Fin Sum"/>
      <sheetName val="Civil Works"/>
      <sheetName val="Formulas"/>
      <sheetName val="Input"/>
      <sheetName val="SUMRY"/>
      <sheetName val="1st Slab"/>
      <sheetName val="Sun E Type"/>
      <sheetName val="box-12"/>
      <sheetName val="PrintManager"/>
      <sheetName val="Assumption"/>
      <sheetName val="BLOCK-A (MEA.SHEET)"/>
      <sheetName val="Costing"/>
      <sheetName val="Order Info"/>
      <sheetName val="As per PCA"/>
      <sheetName val="Project Plan - WWW"/>
      <sheetName val="Invoice"/>
      <sheetName val="Data-Month"/>
      <sheetName val="BHANDUP"/>
      <sheetName val="analysis"/>
      <sheetName val="FORM7"/>
      <sheetName val="Scope Reconciliation"/>
      <sheetName val="LMP"/>
      <sheetName val="01"/>
      <sheetName val="Inputs"/>
      <sheetName val="Details"/>
      <sheetName val="Project Budget Worksheet"/>
      <sheetName val="Approved MTD Proj #'s"/>
      <sheetName val="Mar09"/>
      <sheetName val="FITZ MORT 94"/>
      <sheetName val="P&amp;L - AD"/>
      <sheetName val="SPT vs PHI"/>
      <sheetName val="dummy"/>
      <sheetName val="MASTER_RATE ANALYSIS"/>
      <sheetName val="Fee Rate Summary"/>
      <sheetName val="Deprec."/>
      <sheetName val="gen"/>
      <sheetName val="Capex - Hry"/>
      <sheetName val="Lowside"/>
      <sheetName val="SILICATE"/>
      <sheetName val="Rate analysis"/>
      <sheetName val="LEVEL SHEET"/>
      <sheetName val="Mat_Cost"/>
      <sheetName val="DETAILED  BOQ"/>
      <sheetName val="WORK"/>
      <sheetName val="Total Quote"/>
      <sheetName val="FT-05-02IsoBOM"/>
      <sheetName val="Parameter"/>
      <sheetName val="SITE OVERHEADS"/>
      <sheetName val="girder"/>
      <sheetName val="WORK TABLE"/>
      <sheetName val="Parameters"/>
      <sheetName val="Sheet3 (2)"/>
      <sheetName val="Site Dev BOQ"/>
      <sheetName val="Results"/>
      <sheetName val="PLGroupings"/>
      <sheetName val="FORM-16"/>
      <sheetName val="verrous"/>
      <sheetName val="Annexure"/>
      <sheetName val="list"/>
      <sheetName val="Structure Bills Qty"/>
      <sheetName val="WWR"/>
      <sheetName val="Adimi bldg"/>
      <sheetName val="Pump House"/>
      <sheetName val="Fuel Regu Station"/>
      <sheetName val="Works - Quote Sheet"/>
      <sheetName val="Item- Comp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OQ-ALL"/>
      <sheetName val="Builtup Area"/>
      <sheetName val="Car parking"/>
      <sheetName val="Meas.-Mall Part"/>
      <sheetName val="Meas.-Hotel Part"/>
      <sheetName val="Meas.-Office Part"/>
      <sheetName val="Meas.-Bazar Mall"/>
      <sheetName val="Assu. for Market City Pune"/>
      <sheetName val="Cat A Change Control"/>
      <sheetName val="Fill this out first..."/>
    </sheetNames>
    <sheetDataSet>
      <sheetData sheetId="0" refreshError="1"/>
      <sheetData sheetId="1" refreshError="1"/>
      <sheetData sheetId="2" refreshError="1"/>
      <sheetData sheetId="3"/>
      <sheetData sheetId="4"/>
      <sheetData sheetId="5"/>
      <sheetData sheetId="6"/>
      <sheetData sheetId="7"/>
      <sheetData sheetId="8" refreshError="1"/>
      <sheetData sheetId="9" refreshError="1"/>
      <sheetData sheetId="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Cost"/>
      <sheetName val="Costing"/>
      <sheetName val="Meas.-Hotel Part"/>
      <sheetName val="MFG"/>
      <sheetName val="inWords"/>
    </sheetNames>
    <sheetDataSet>
      <sheetData sheetId="0"/>
      <sheetData sheetId="1" refreshError="1">
        <row r="13">
          <cell r="H13">
            <v>38320</v>
          </cell>
        </row>
      </sheetData>
      <sheetData sheetId="2" refreshError="1"/>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UMMARY"/>
      <sheetName val="Summary - Shell  &amp; Core"/>
      <sheetName val="BOQ-Shell &amp; Core works"/>
      <sheetName val="Summary - Waterproofing work "/>
      <sheetName val="BoQ - Waterproofing work"/>
      <sheetName val="Alternate Offer - AANC "/>
      <sheetName val="Summary - Finishing work"/>
      <sheetName val="BoQ - Finishing Work"/>
      <sheetName val="Summary - Hardscape Work"/>
      <sheetName val="BoQ - Hardscape"/>
      <sheetName val="SUMMARY BOQ-Electrical"/>
      <sheetName val="BOQ - Electrical"/>
      <sheetName val="Summary -Plumbing works "/>
      <sheetName val="BoQ -Plumbing work"/>
      <sheetName val="Summary -Fire fighting works"/>
      <sheetName val="BoQ- Fire Fighting work"/>
      <sheetName val="Summary-HVAC works"/>
      <sheetName val="BoQ-HVAC works"/>
      <sheetName val="Summary- FAPA works "/>
      <sheetName val="BoQ- FAPA work"/>
      <sheetName val="VAT Set off"/>
      <sheetName val="Sheet3"/>
      <sheetName val="Addendum-3 Tender-Complete"/>
      <sheetName val="Meas.-Hotel Part"/>
    </sheetNames>
    <definedNames>
      <definedName name="Data.Top.Left"/>
    </definedNames>
    <sheetDataSet>
      <sheetData sheetId="0" refreshError="1"/>
      <sheetData sheetId="1" refreshError="1"/>
      <sheetData sheetId="2" refreshError="1"/>
      <sheetData sheetId="3" refreshError="1"/>
      <sheetData sheetId="4" refreshError="1"/>
      <sheetData sheetId="5">
        <row r="96">
          <cell r="F96">
            <v>20412243.835000001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s of Quantities"/>
      <sheetName val="Dayworks Bill"/>
    </sheetNames>
    <sheetDataSet>
      <sheetData sheetId="0"/>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nnai"/>
      <sheetName val="Mumbai"/>
      <sheetName val="Pune"/>
      <sheetName val="Delhi"/>
      <sheetName val="MIS-March07 Pune unaudited"/>
    </sheetNames>
    <sheetDataSet>
      <sheetData sheetId="0"/>
      <sheetData sheetId="1"/>
      <sheetData sheetId="2"/>
      <sheetData sheetId="3"/>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1"/>
      <sheetName val="AH Cash Flow"/>
    </sheetNames>
    <sheetDataSet>
      <sheetData sheetId="0" refreshError="1"/>
      <sheetData sheetId="1"/>
      <sheetData sheetId="2">
        <row r="20">
          <cell r="A20">
            <v>1</v>
          </cell>
          <cell r="B20">
            <v>39173</v>
          </cell>
          <cell r="D20">
            <v>71000</v>
          </cell>
          <cell r="I20">
            <v>67400</v>
          </cell>
        </row>
        <row r="21">
          <cell r="B21">
            <v>39203</v>
          </cell>
          <cell r="D21">
            <v>187000</v>
          </cell>
          <cell r="I21">
            <v>110200</v>
          </cell>
        </row>
        <row r="22">
          <cell r="B22">
            <v>39234</v>
          </cell>
          <cell r="D22">
            <v>335000</v>
          </cell>
          <cell r="I22">
            <v>140600</v>
          </cell>
        </row>
        <row r="23">
          <cell r="B23">
            <v>39264</v>
          </cell>
          <cell r="D23">
            <v>503000</v>
          </cell>
          <cell r="I23">
            <v>159600</v>
          </cell>
        </row>
        <row r="24">
          <cell r="B24">
            <v>39295</v>
          </cell>
          <cell r="D24">
            <v>679000</v>
          </cell>
          <cell r="I24">
            <v>167200</v>
          </cell>
        </row>
        <row r="25">
          <cell r="B25">
            <v>39326</v>
          </cell>
          <cell r="D25">
            <v>849000</v>
          </cell>
          <cell r="I25">
            <v>161500</v>
          </cell>
        </row>
        <row r="26">
          <cell r="B26">
            <v>39356</v>
          </cell>
          <cell r="D26">
            <v>1003000</v>
          </cell>
          <cell r="I26">
            <v>146300</v>
          </cell>
        </row>
        <row r="27">
          <cell r="B27">
            <v>39387</v>
          </cell>
          <cell r="D27">
            <v>1126000</v>
          </cell>
          <cell r="I27">
            <v>116900</v>
          </cell>
        </row>
        <row r="28">
          <cell r="B28">
            <v>39417</v>
          </cell>
          <cell r="D28">
            <v>1208000</v>
          </cell>
          <cell r="I28">
            <v>77900</v>
          </cell>
        </row>
        <row r="29">
          <cell r="B29">
            <v>39448</v>
          </cell>
          <cell r="D29">
            <v>1234567</v>
          </cell>
          <cell r="I29">
            <v>56117</v>
          </cell>
        </row>
        <row r="30">
          <cell r="B30">
            <v>39479</v>
          </cell>
          <cell r="D30">
            <v>0</v>
          </cell>
          <cell r="I30">
            <v>0</v>
          </cell>
        </row>
        <row r="31">
          <cell r="B31">
            <v>39508</v>
          </cell>
          <cell r="D31">
            <v>0</v>
          </cell>
          <cell r="I31">
            <v>0</v>
          </cell>
        </row>
        <row r="32">
          <cell r="B32">
            <v>39539</v>
          </cell>
          <cell r="I32">
            <v>0</v>
          </cell>
        </row>
        <row r="33">
          <cell r="B33">
            <v>39569</v>
          </cell>
          <cell r="I33">
            <v>0</v>
          </cell>
        </row>
        <row r="34">
          <cell r="B34">
            <v>39600</v>
          </cell>
          <cell r="I34">
            <v>0</v>
          </cell>
        </row>
        <row r="35">
          <cell r="B35">
            <v>39630</v>
          </cell>
          <cell r="I35">
            <v>0</v>
          </cell>
        </row>
        <row r="36">
          <cell r="B36">
            <v>39661</v>
          </cell>
          <cell r="I36">
            <v>0</v>
          </cell>
        </row>
        <row r="37">
          <cell r="B37">
            <v>39692</v>
          </cell>
          <cell r="I37">
            <v>0</v>
          </cell>
        </row>
        <row r="38">
          <cell r="B38">
            <v>39722</v>
          </cell>
          <cell r="I38">
            <v>0</v>
          </cell>
        </row>
        <row r="39">
          <cell r="B39">
            <v>39753</v>
          </cell>
          <cell r="I39">
            <v>0</v>
          </cell>
        </row>
        <row r="40">
          <cell r="B40">
            <v>39783</v>
          </cell>
          <cell r="I40">
            <v>0</v>
          </cell>
        </row>
        <row r="41">
          <cell r="B41">
            <v>39814</v>
          </cell>
          <cell r="I41">
            <v>30850</v>
          </cell>
        </row>
        <row r="42">
          <cell r="B42">
            <v>39845</v>
          </cell>
          <cell r="I42">
            <v>0</v>
          </cell>
        </row>
        <row r="43">
          <cell r="B43">
            <v>39873</v>
          </cell>
          <cell r="I43">
            <v>0</v>
          </cell>
        </row>
        <row r="44">
          <cell r="B44">
            <v>39904</v>
          </cell>
          <cell r="I44">
            <v>0</v>
          </cell>
        </row>
        <row r="45">
          <cell r="B45">
            <v>39934</v>
          </cell>
          <cell r="I45">
            <v>0</v>
          </cell>
        </row>
        <row r="46">
          <cell r="B46">
            <v>39965</v>
          </cell>
          <cell r="I46">
            <v>0</v>
          </cell>
        </row>
      </sheetData>
      <sheetData sheetId="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Customize Your Purchase Order"/>
      <sheetName val="Purchase Order"/>
      <sheetName val="Macros"/>
      <sheetName val="ATW"/>
      <sheetName val="Lock"/>
      <sheetName val="Intl Data Table"/>
      <sheetName val="TemplateInformation"/>
      <sheetName val="DETAIL "/>
      <sheetName val="Chennai"/>
    </sheetNames>
    <sheetDataSet>
      <sheetData sheetId="0" refreshError="1"/>
      <sheetData sheetId="1" refreshError="1">
        <row r="23">
          <cell r="F23" t="str">
            <v>State</v>
          </cell>
        </row>
        <row r="24">
          <cell r="F24">
            <v>0.05</v>
          </cell>
        </row>
        <row r="25">
          <cell r="E25" t="b">
            <v>1</v>
          </cell>
        </row>
        <row r="29">
          <cell r="E29" t="b">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Model"/>
      <sheetName val="CONSTRUCTION COMPONENT"/>
      <sheetName val="Fill this out first..."/>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Modified Store"/>
      <sheetName val="BOQ_Direct_selling cost"/>
      <sheetName val="Site Dev BOQ"/>
      <sheetName val="Chennai"/>
      <sheetName val="Customize Your Purchase Order"/>
      <sheetName val="CASHFL1"/>
      <sheetName val="Data"/>
      <sheetName val="Register"/>
      <sheetName val="RA-markate"/>
      <sheetName val="Boq"/>
      <sheetName val="Civil Boq"/>
      <sheetName val="Sch. Areas"/>
      <sheetName val="Other_Costs"/>
      <sheetName val="procurement_contingency"/>
      <sheetName val="Other_Costs1"/>
      <sheetName val="procurement_contingency1"/>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th AVK Relays"/>
      <sheetName val="Costing"/>
      <sheetName val="DG(KVVN)"/>
      <sheetName val="Model"/>
      <sheetName val="CONSTRUCTION COMPONENT"/>
      <sheetName val="DetEst"/>
      <sheetName val="labour"/>
    </sheetNames>
    <sheetDataSet>
      <sheetData sheetId="0">
        <row r="13">
          <cell r="K13">
            <v>35215</v>
          </cell>
        </row>
      </sheetData>
      <sheetData sheetId="1">
        <row r="13">
          <cell r="K13">
            <v>35215</v>
          </cell>
        </row>
      </sheetData>
      <sheetData sheetId="2"/>
      <sheetData sheetId="3" refreshError="1"/>
      <sheetData sheetId="4" refreshError="1"/>
      <sheetData sheetId="5" refreshError="1"/>
      <sheetData sheetId="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Design"/>
      <sheetName val="Guidelines"/>
      <sheetName val="Model"/>
      <sheetName val="CONSTRUCTION COMPONENT"/>
      <sheetName val="Costing"/>
      <sheetName val="Chennai"/>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Documentation"/>
      <sheetName val="Instructions"/>
      <sheetName val="Colours"/>
      <sheetName val="Analysis ToolPak"/>
      <sheetName val="FunctionList"/>
      <sheetName val=" Time Calculation"/>
      <sheetName val=" TimeSheet For Flexi"/>
      <sheetName val=" Split ForenameSurname"/>
      <sheetName val=" Percentages"/>
      <sheetName val=" Show all formula"/>
      <sheetName val="SUM_using_names"/>
      <sheetName val=" Instant Charts"/>
      <sheetName val=" Filename formula"/>
      <sheetName val=" Brackets in formula"/>
      <sheetName val=" Age Calculation"/>
      <sheetName val=" AutoSum Shortcut Key"/>
      <sheetName val="ABS"/>
      <sheetName val="ADDRESS"/>
      <sheetName val="AND"/>
      <sheetName val="AREAS"/>
      <sheetName val="AVERAGE"/>
      <sheetName val="BIN2DEC"/>
      <sheetName val="CEILING"/>
      <sheetName val="CELL"/>
      <sheetName val="CHAR"/>
      <sheetName val="CHOOSE"/>
      <sheetName val="CLEAN"/>
      <sheetName val="CODE"/>
      <sheetName val="COMBIN"/>
      <sheetName val="CONCATENATE"/>
      <sheetName val="CONVERT"/>
      <sheetName val="CORREL"/>
      <sheetName val="COUNT"/>
      <sheetName val="COUNTA"/>
      <sheetName val="COUNTBLANK"/>
      <sheetName val="COUNTIF"/>
      <sheetName val="DATE"/>
      <sheetName val="DATEDIF"/>
      <sheetName val="DATEVALUE"/>
      <sheetName val="DAVERAGE"/>
      <sheetName val="DAY"/>
      <sheetName val="DAYS360"/>
      <sheetName val="DB"/>
      <sheetName val="DCOUNT"/>
      <sheetName val="DCOUNTA"/>
      <sheetName val="DEC2BIN"/>
      <sheetName val="DEC2HEX"/>
      <sheetName val="DELTA"/>
      <sheetName val="DGET"/>
      <sheetName val="DMAX"/>
      <sheetName val="DMIN"/>
      <sheetName val="DOLLAR"/>
      <sheetName val="DSUM"/>
      <sheetName val="EAST"/>
      <sheetName val="EDATE"/>
      <sheetName val="EOMONTH"/>
      <sheetName val="ERROR.TYPE"/>
      <sheetName val="EVEN"/>
      <sheetName val="EXACT"/>
      <sheetName val="FACT"/>
      <sheetName val="FIND"/>
      <sheetName val="FIXED"/>
      <sheetName val="FLOOR"/>
      <sheetName val="FORECAST"/>
      <sheetName val="FREQUENCY"/>
      <sheetName val="FREQUENCY 2"/>
      <sheetName val="GCD"/>
      <sheetName val="GESTEP"/>
      <sheetName val="HEX2DEC"/>
      <sheetName val="HLOOKUP"/>
      <sheetName val="HOUR"/>
      <sheetName val="IF"/>
      <sheetName val="INDEX"/>
      <sheetName val="INDIRECT"/>
      <sheetName val="INFO"/>
      <sheetName val="INT"/>
      <sheetName val="ISBLANK"/>
      <sheetName val="ISERR"/>
      <sheetName val="ISERROR"/>
      <sheetName val="ISEVEN"/>
      <sheetName val="ISLOGICAL"/>
      <sheetName val="ISNA"/>
      <sheetName val="ISNONTEXT"/>
      <sheetName val="ISNUMBER"/>
      <sheetName val="ISODD"/>
      <sheetName val="ISREF"/>
      <sheetName val="ISTEXT"/>
      <sheetName val="LARGE"/>
      <sheetName val="LCM"/>
      <sheetName val="LEFT"/>
      <sheetName val="LEN"/>
      <sheetName val="LOOKUP (Array)"/>
      <sheetName val="LOOKUP (Vector)"/>
      <sheetName val="LOWER"/>
      <sheetName val="MATCH"/>
      <sheetName val="MAX"/>
      <sheetName val="MEDIAN"/>
      <sheetName val="MID"/>
      <sheetName val="MIN"/>
      <sheetName val="MINUTE"/>
      <sheetName val="MMULT"/>
      <sheetName val="MOD"/>
      <sheetName val="MODE"/>
      <sheetName val="MONTH"/>
      <sheetName val="MROUND"/>
      <sheetName val="N"/>
      <sheetName val="NA"/>
      <sheetName val="NETWORKDAYS"/>
      <sheetName val="NORTH"/>
      <sheetName val="NOT"/>
      <sheetName val="NOW"/>
      <sheetName val="ODD"/>
      <sheetName val="OR"/>
      <sheetName val=" Ordering Stock"/>
      <sheetName val="PACKERS"/>
      <sheetName val="PERMUT"/>
      <sheetName val="PI"/>
      <sheetName val="POWER"/>
      <sheetName val="PRODUCT"/>
      <sheetName val="PROPER"/>
      <sheetName val="QUARTILE"/>
      <sheetName val="QUOTIENT"/>
      <sheetName val="RAND"/>
      <sheetName val="RANDBETWEEN"/>
      <sheetName val="RANK"/>
      <sheetName val="REPLACE"/>
      <sheetName val="REPT"/>
      <sheetName val="RIGHT"/>
      <sheetName val="ROMAN"/>
      <sheetName val="ROUND"/>
      <sheetName val="ROUNDDOWN"/>
      <sheetName val="ROUNDUP"/>
      <sheetName val="SECOND"/>
      <sheetName val="SIGN"/>
      <sheetName val="SLN"/>
      <sheetName val="SMALL"/>
      <sheetName val="SOUTH"/>
      <sheetName val="STDEV"/>
      <sheetName val="STDEVP"/>
      <sheetName val="SUBSTITUTE"/>
      <sheetName val="SUM"/>
      <sheetName val="SUM_as_Running_Total"/>
      <sheetName val="SUM_with_OFFSET"/>
      <sheetName val="SUMIF"/>
      <sheetName val="SUMPRODUCT"/>
      <sheetName val="SYD"/>
      <sheetName val="T"/>
      <sheetName val="TEXT"/>
      <sheetName val="TIME"/>
      <sheetName val="TIMEVALUE"/>
      <sheetName val="TODAY"/>
      <sheetName val="TRANSPOSE"/>
      <sheetName val="TREND"/>
      <sheetName val="TRIM"/>
      <sheetName val="TRUNC"/>
      <sheetName val="UPPER"/>
      <sheetName val="VALUE"/>
      <sheetName val="VAR"/>
      <sheetName val="VARP"/>
      <sheetName val="VLOOKUP"/>
      <sheetName val="WEEKDAY"/>
      <sheetName val="WORKDAY"/>
      <sheetName val="YEAR"/>
      <sheetName val="YEARFRAC"/>
      <sheetName val=" Project Dates"/>
      <sheetName val="Macros"/>
      <sheetName val="Design"/>
      <sheetName val="Model"/>
      <sheetName val="CONSTRUCTION COMPONENT"/>
      <sheetName val="Meas.-Hotel P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C3" t="str">
            <v>Name</v>
          </cell>
          <cell r="D3" t="str">
            <v>Age</v>
          </cell>
        </row>
        <row r="4">
          <cell r="C4" t="str">
            <v>Alan</v>
          </cell>
          <cell r="D4">
            <v>18</v>
          </cell>
        </row>
        <row r="5">
          <cell r="C5" t="str">
            <v>Bob</v>
          </cell>
          <cell r="D5">
            <v>17</v>
          </cell>
        </row>
        <row r="6">
          <cell r="C6" t="str">
            <v>Carol</v>
          </cell>
          <cell r="D6">
            <v>20</v>
          </cell>
        </row>
        <row r="8">
          <cell r="C8" t="str">
            <v>Name</v>
          </cell>
          <cell r="D8" t="str">
            <v>Age</v>
          </cell>
        </row>
        <row r="9">
          <cell r="C9" t="str">
            <v>David</v>
          </cell>
          <cell r="D9">
            <v>20</v>
          </cell>
        </row>
        <row r="10">
          <cell r="C10" t="str">
            <v>Eric</v>
          </cell>
          <cell r="D10">
            <v>16</v>
          </cell>
        </row>
        <row r="11">
          <cell r="C11" t="str">
            <v>Fred</v>
          </cell>
          <cell r="D11">
            <v>19</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ow r="67">
          <cell r="D67">
            <v>1000</v>
          </cell>
          <cell r="E67">
            <v>2000</v>
          </cell>
          <cell r="F67">
            <v>3000</v>
          </cell>
          <cell r="G67">
            <v>4000</v>
          </cell>
        </row>
        <row r="68">
          <cell r="D68">
            <v>5000</v>
          </cell>
          <cell r="E68">
            <v>6000</v>
          </cell>
          <cell r="F68">
            <v>7000</v>
          </cell>
          <cell r="G68">
            <v>8000</v>
          </cell>
        </row>
        <row r="69">
          <cell r="D69">
            <v>9000</v>
          </cell>
          <cell r="E69">
            <v>10000</v>
          </cell>
          <cell r="F69">
            <v>11000</v>
          </cell>
          <cell r="G69">
            <v>12000</v>
          </cell>
        </row>
        <row r="72">
          <cell r="D72">
            <v>1500</v>
          </cell>
          <cell r="E72">
            <v>2500</v>
          </cell>
          <cell r="F72">
            <v>3500</v>
          </cell>
          <cell r="G72">
            <v>4500</v>
          </cell>
        </row>
        <row r="73">
          <cell r="D73">
            <v>5500</v>
          </cell>
          <cell r="E73">
            <v>6500</v>
          </cell>
          <cell r="F73">
            <v>7500</v>
          </cell>
          <cell r="G73">
            <v>8500</v>
          </cell>
        </row>
        <row r="74">
          <cell r="D74">
            <v>9500</v>
          </cell>
          <cell r="E74">
            <v>10500</v>
          </cell>
          <cell r="F74">
            <v>11500</v>
          </cell>
          <cell r="G74">
            <v>12500</v>
          </cell>
        </row>
        <row r="91">
          <cell r="D91">
            <v>1000</v>
          </cell>
          <cell r="E91">
            <v>2000</v>
          </cell>
          <cell r="F91">
            <v>3000</v>
          </cell>
          <cell r="G91">
            <v>4000</v>
          </cell>
        </row>
        <row r="92">
          <cell r="D92">
            <v>5000</v>
          </cell>
          <cell r="E92">
            <v>6000</v>
          </cell>
          <cell r="F92">
            <v>7000</v>
          </cell>
          <cell r="G92">
            <v>8000</v>
          </cell>
        </row>
        <row r="93">
          <cell r="D93">
            <v>9000</v>
          </cell>
          <cell r="E93">
            <v>10000</v>
          </cell>
          <cell r="F93">
            <v>11000</v>
          </cell>
          <cell r="G93">
            <v>12000</v>
          </cell>
        </row>
        <row r="96">
          <cell r="D96">
            <v>1500</v>
          </cell>
          <cell r="E96">
            <v>2500</v>
          </cell>
          <cell r="F96">
            <v>3500</v>
          </cell>
          <cell r="G96">
            <v>4500</v>
          </cell>
        </row>
        <row r="97">
          <cell r="D97">
            <v>5500</v>
          </cell>
          <cell r="E97">
            <v>6500</v>
          </cell>
          <cell r="F97">
            <v>7500</v>
          </cell>
          <cell r="G97">
            <v>8500</v>
          </cell>
        </row>
        <row r="98">
          <cell r="D98">
            <v>9500</v>
          </cell>
          <cell r="E98">
            <v>10500</v>
          </cell>
          <cell r="F98">
            <v>11500</v>
          </cell>
          <cell r="G98">
            <v>12500</v>
          </cell>
        </row>
      </sheetData>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OQ"/>
      <sheetName val="DG"/>
      <sheetName val="C.T. Piping"/>
      <sheetName val="labour"/>
      <sheetName val="meas. sheet equip."/>
      <sheetName val="bus dUCT"/>
      <sheetName val="Earthing"/>
      <sheetName val="RATE-HV INST."/>
      <sheetName val="HT CABLE"/>
      <sheetName val="battary charger"/>
      <sheetName val="Safety equipments"/>
      <sheetName val="HT Cable laying &amp; Termination"/>
      <sheetName val="control cables"/>
      <sheetName val="LAYING OF CABLE"/>
      <sheetName val="Control cable termination"/>
      <sheetName val="SUBSTATION panel"/>
      <sheetName val="Cos"/>
      <sheetName val="INDEX"/>
      <sheetName val="AREAS"/>
      <sheetName val="labour rates"/>
    </sheetNames>
    <sheetDataSet>
      <sheetData sheetId="0"/>
      <sheetData sheetId="1"/>
      <sheetData sheetId="2"/>
      <sheetData sheetId="3"/>
      <sheetData sheetId="4">
        <row r="7">
          <cell r="C7">
            <v>206.25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Report"/>
      <sheetName val="DPR_RCC"/>
      <sheetName val="Daily Concrete Program"/>
      <sheetName val="Daily Concrete Program_2"/>
    </sheetNames>
    <sheetDataSet>
      <sheetData sheetId="0"/>
      <sheetData sheetId="1" refreshError="1"/>
      <sheetData sheetId="2"/>
      <sheetData sheetId="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Report"/>
      <sheetName val="DPR_RCC"/>
      <sheetName val="Daily Concrete Program"/>
      <sheetName val="Daily Concrete Program_2"/>
    </sheetNames>
    <sheetDataSet>
      <sheetData sheetId="0"/>
      <sheetData sheetId="1" refreshError="1"/>
      <sheetData sheetId="2"/>
      <sheetData sheetId="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Index"/>
      <sheetName val="FINAL"/>
      <sheetName val="MASTER SUMMARY"/>
      <sheetName val="Summary-CIVIL"/>
      <sheetName val="BOQ-Shell &amp; Core"/>
      <sheetName val="SUMMARY-Waterproofing"/>
      <sheetName val="Alternate Offer - AANC "/>
      <sheetName val="Summary-Finishing"/>
      <sheetName val="BOQ-Finishing"/>
      <sheetName val="Summary-Hardscaping"/>
      <sheetName val="BOQ-Hardscaping"/>
      <sheetName val="Base Rate-Annex-III"/>
      <sheetName val="Shuttering costing-Annex-IV"/>
      <sheetName val="capital invest-Annex-IV"/>
      <sheetName val="Tower Crane-AnnexV"/>
      <sheetName val="Passenger Hoist-Annex-VI"/>
      <sheetName val="OH-Annex-VII"/>
      <sheetName val="VAT Setoff - Annex-VIII"/>
      <sheetName val="RMC Profits-Annex - IX"/>
      <sheetName val="Door shutters-Annex-X"/>
      <sheetName val="Door Fittings -Annex-XI"/>
      <sheetName val="AREAS"/>
      <sheetName val="Break_Up"/>
      <sheetName val="RESULT"/>
    </sheetNames>
    <sheetDataSet>
      <sheetData sheetId="0"/>
      <sheetData sheetId="1"/>
      <sheetData sheetId="2"/>
      <sheetData sheetId="3"/>
      <sheetData sheetId="4"/>
      <sheetData sheetId="5"/>
      <sheetData sheetId="6">
        <row r="7">
          <cell r="D7">
            <v>20412243.835000001</v>
          </cell>
        </row>
      </sheetData>
      <sheetData sheetId="7"/>
      <sheetData sheetId="8"/>
      <sheetData sheetId="9">
        <row r="184">
          <cell r="E184">
            <v>16</v>
          </cell>
        </row>
      </sheetData>
      <sheetData sheetId="10"/>
      <sheetData sheetId="11"/>
      <sheetData sheetId="12"/>
      <sheetData sheetId="13"/>
      <sheetData sheetId="14"/>
      <sheetData sheetId="15"/>
      <sheetData sheetId="16"/>
      <sheetData sheetId="17"/>
      <sheetData sheetId="18"/>
      <sheetData sheetId="19">
        <row r="117">
          <cell r="F117">
            <v>4749700.0430008471</v>
          </cell>
        </row>
      </sheetData>
      <sheetData sheetId="20"/>
      <sheetData sheetId="21"/>
      <sheetData sheetId="22" refreshError="1"/>
      <sheetData sheetId="23" refreshError="1"/>
      <sheetData sheetId="2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ynopsis"/>
      <sheetName val="WORKING boq"/>
      <sheetName val="Fix Cost"/>
      <sheetName val="Shuttering costing-Annex-IV"/>
      <sheetName val="BOQ-Finishing"/>
      <sheetName val="Index"/>
      <sheetName val="AREAS"/>
      <sheetName val="Chennai"/>
    </sheetNames>
    <sheetDataSet>
      <sheetData sheetId="0"/>
      <sheetData sheetId="1">
        <row r="2">
          <cell r="D2" t="str">
            <v>Pay</v>
          </cell>
        </row>
        <row r="3">
          <cell r="B3" t="str">
            <v>Description</v>
          </cell>
          <cell r="C3" t="str">
            <v>Qty.</v>
          </cell>
          <cell r="D3" t="str">
            <v>Unit</v>
          </cell>
        </row>
        <row r="15">
          <cell r="C15">
            <v>1</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OC"/>
      <sheetName val="01"/>
      <sheetName val="02"/>
      <sheetName val="03"/>
      <sheetName val="04"/>
      <sheetName val="05"/>
      <sheetName val="06"/>
      <sheetName val="07"/>
      <sheetName val="08"/>
      <sheetName val="09"/>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PTION"/>
      <sheetName val="IMPORTED EQUIPMENTS"/>
      <sheetName val="INDIGINEOUS ITEMS "/>
      <sheetName val="VRV"/>
      <sheetName val="VRV Install"/>
      <sheetName val="Cu Tube with insulation "/>
      <sheetName val="Fan"/>
      <sheetName val="PVC PIPE"/>
      <sheetName val="Nitrile Ins for CHW Pipe &amp; Duct"/>
      <sheetName val="Fire Damper"/>
      <sheetName val="COSMOS"/>
      <sheetName val="Grill, Diffuser Revised"/>
      <sheetName val="DUCT INSULATION"/>
      <sheetName val="Lock Former Ducting"/>
      <sheetName val="Insulated Flexible Ducts"/>
      <sheetName val="GBW"/>
      <sheetName val="Headings"/>
      <sheetName val="Names&amp;Cases"/>
      <sheetName val="MASTER_RATE ANALYSIS"/>
      <sheetName val="PRECAST lightconc-II"/>
      <sheetName val="Meas.-Hotel Part"/>
      <sheetName val="PRECAST lightconc_II"/>
      <sheetName val="B.O.Q 04-05-07"/>
      <sheetName val="WORKING boq"/>
      <sheetName val="S3 - Summary"/>
      <sheetName val="Chennai"/>
      <sheetName val="Input"/>
      <sheetName val="Phasing"/>
      <sheetName val="Design"/>
      <sheetName val="calcul"/>
      <sheetName val="Shuttering costing-Annex-IV"/>
      <sheetName val="Data sheet"/>
      <sheetName val="Per Unit"/>
      <sheetName val="1-Internal electrical"/>
      <sheetName val="3. Elemental Summary"/>
      <sheetName val="12a. CFTable"/>
      <sheetName val="Lintel"/>
      <sheetName val="Cost summary"/>
      <sheetName val="Summary"/>
      <sheetName val="PRELIM5"/>
      <sheetName val=" B1"/>
      <sheetName val="RA-markate"/>
      <sheetName val="F1a-Pile"/>
      <sheetName val="run"/>
      <sheetName val="product prices"/>
      <sheetName val="price"/>
      <sheetName val="07"/>
      <sheetName val="PUMP"/>
      <sheetName val=" B3"/>
      <sheetName val="Measurements"/>
      <sheetName val="Tables"/>
      <sheetName val="Flooring"/>
      <sheetName val="Ceilings"/>
      <sheetName val="ACAD Finishes"/>
      <sheetName val="Site Details"/>
      <sheetName val="Chair"/>
      <sheetName val="Site Area Statement"/>
      <sheetName val="Doors"/>
      <sheetName val="Estimate"/>
      <sheetName val="BOQ"/>
      <sheetName val="Break_Up"/>
      <sheetName val="RESULT"/>
      <sheetName val="INDEX"/>
      <sheetName val="AREAS"/>
      <sheetName val="Model"/>
      <sheetName val="CONSTRUCTION COMPONENT"/>
      <sheetName val="Meas__Hotel Part"/>
      <sheetName val="Fill this out firs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
      <sheetName val="給排水"/>
      <sheetName val="空調"/>
      <sheetName val="一発シート"/>
      <sheetName val="INDIGINEOUS ITEMS "/>
    </sheetNames>
    <sheetDataSet>
      <sheetData sheetId="0"/>
      <sheetData sheetId="1" refreshError="1"/>
      <sheetData sheetId="2" refreshError="1"/>
      <sheetData sheetId="3">
        <row r="13">
          <cell r="I13">
            <v>1.394522892597347</v>
          </cell>
        </row>
      </sheetData>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Pnl"/>
      <sheetName val="Mat.Cost"/>
      <sheetName val="HPL"/>
      <sheetName val="L&amp;T"/>
      <sheetName val="Pri_any"/>
      <sheetName val="Price_Comp"/>
      <sheetName val="MAKE"/>
      <sheetName val="Comp"/>
      <sheetName val="一発シート"/>
    </sheetNames>
    <sheetDataSet>
      <sheetData sheetId="0"/>
      <sheetData sheetId="1"/>
      <sheetData sheetId="2" refreshError="1">
        <row r="55">
          <cell r="F55">
            <v>19190</v>
          </cell>
        </row>
        <row r="70">
          <cell r="B70">
            <v>19190</v>
          </cell>
          <cell r="C70">
            <v>40575</v>
          </cell>
          <cell r="D70">
            <v>19410</v>
          </cell>
        </row>
      </sheetData>
      <sheetData sheetId="3"/>
      <sheetData sheetId="4"/>
      <sheetData sheetId="5"/>
      <sheetData sheetId="6"/>
      <sheetData sheetId="7"/>
      <sheetData sheetId="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Set"/>
      <sheetName val="Summ"/>
      <sheetName val="Fossil_DCF"/>
      <sheetName val="INDIGINEOUS ITEMS "/>
      <sheetName val="WORKING boq"/>
      <sheetName val="Abstract - Single Line"/>
      <sheetName val="Sheet3 (2)"/>
      <sheetName val="Input"/>
      <sheetName val="Global Assm."/>
      <sheetName val="HPL"/>
      <sheetName val="Desig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Concrete "/>
      <sheetName val="Summary Steel"/>
      <sheetName val="Soling &amp; PCC qty"/>
      <sheetName val="Raft slab"/>
      <sheetName val="Footing"/>
      <sheetName val="PLinth Beam"/>
      <sheetName val=" column upto basement"/>
      <sheetName val="Conc column"/>
      <sheetName val="Column above basement "/>
      <sheetName val="Retaining Wall upto basement"/>
      <sheetName val="Retaining Wall above basement"/>
      <sheetName val="Retaining Wall (Conc)"/>
      <sheetName val="Slab at Ground flr lvl(Steel)"/>
      <sheetName val="Beam at Ground flr lvl(Steel)"/>
      <sheetName val="Soling qty"/>
      <sheetName val="Raft steel"/>
      <sheetName val="Beam at First flr lvl"/>
      <sheetName val="First flr slab"/>
      <sheetName val="Slab at Ground flr lvl (Conc)"/>
      <sheetName val="Beam at Ground flr lvl (Conc)"/>
      <sheetName val="Tremix"/>
      <sheetName val="Slab at Ground flr lvl"/>
      <sheetName val="Beam at Ground flr lvl"/>
      <sheetName val="Beam at First floor"/>
      <sheetName val="Podium floor Slab"/>
      <sheetName val="Set"/>
      <sheetName val="INDIGINEOUS ITEMS "/>
      <sheetName val="INDEX"/>
      <sheetName val="ARE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p-motor"/>
      <sheetName val="FT-06-02"/>
      <sheetName val="FT-06-04"/>
      <sheetName val="FT-001 R0"/>
      <sheetName val="E-EI-FT-003R"/>
      <sheetName val="EDRC-HQ"/>
      <sheetName val="E-EI-FT-005"/>
      <sheetName val="FT-05-02 R0"/>
      <sheetName val="Busm"/>
      <sheetName val="e220-66kV "/>
      <sheetName val="ligh"/>
      <sheetName val="FT-05-02IsoBOM"/>
      <sheetName val="Ccab"/>
      <sheetName val="Sizing-Calculation"/>
      <sheetName val="110Vdc"/>
      <sheetName val="48Vdc"/>
      <sheetName val="INPUT"/>
      <sheetName val="SIZING"/>
      <sheetName val="SUMMARY"/>
      <sheetName val="LENGTH"/>
      <sheetName val="CU R and X  "/>
      <sheetName val="PROG_DATA"/>
      <sheetName val="MOT_DATA"/>
      <sheetName val="Module2"/>
      <sheetName val="M.S."/>
      <sheetName val="Beam at Ground flr lvl(Steel)"/>
      <sheetName val="DETAILED  BO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6">
          <cell r="B6">
            <v>0.59399999999999997</v>
          </cell>
        </row>
        <row r="7">
          <cell r="B7">
            <v>1</v>
          </cell>
        </row>
      </sheetData>
      <sheetData sheetId="22" refreshError="1"/>
      <sheetData sheetId="23" refreshError="1"/>
      <sheetData sheetId="24" refreshError="1"/>
      <sheetData sheetId="25" refreshError="1"/>
      <sheetData sheetId="2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備概要書"/>
      <sheetName val="電気設備表"/>
      <sheetName val="ﾒｰｶｰﾘｽﾄ"/>
      <sheetName val="建築依頼事項"/>
      <sheetName val="別途工事"/>
      <sheetName val="030716"/>
      <sheetName val="030710"/>
      <sheetName val="PROG_DATA"/>
    </sheetNames>
    <sheetDataSet>
      <sheetData sheetId="0"/>
      <sheetData sheetId="1">
        <row r="3">
          <cell r="E3" t="str">
            <v>照度(Lx)</v>
          </cell>
          <cell r="F3" t="str">
            <v>照明器具型式</v>
          </cell>
        </row>
        <row r="5">
          <cell r="D5" t="str">
            <v>工場</v>
          </cell>
          <cell r="E5">
            <v>500</v>
          </cell>
          <cell r="F5" t="str">
            <v>反射笠型</v>
          </cell>
        </row>
        <row r="6">
          <cell r="D6" t="str">
            <v>組立検討</v>
          </cell>
          <cell r="E6">
            <v>500</v>
          </cell>
          <cell r="F6" t="str">
            <v>逆富士型</v>
          </cell>
        </row>
        <row r="7">
          <cell r="D7" t="str">
            <v>組立保全</v>
          </cell>
          <cell r="E7">
            <v>500</v>
          </cell>
          <cell r="F7" t="str">
            <v>逆富士型</v>
          </cell>
        </row>
        <row r="8">
          <cell r="D8" t="str">
            <v>１階現場事務所</v>
          </cell>
          <cell r="E8">
            <v>500</v>
          </cell>
          <cell r="F8" t="str">
            <v>逆富士型</v>
          </cell>
        </row>
        <row r="9">
          <cell r="D9" t="str">
            <v>会議面談</v>
          </cell>
          <cell r="E9">
            <v>500</v>
          </cell>
          <cell r="F9" t="str">
            <v>埋込下面開放</v>
          </cell>
        </row>
        <row r="10">
          <cell r="D10" t="str">
            <v>玄関</v>
          </cell>
          <cell r="E10">
            <v>200</v>
          </cell>
          <cell r="F10" t="str">
            <v>吹き抜け</v>
          </cell>
        </row>
        <row r="11">
          <cell r="D11" t="str">
            <v>資材加工事務所</v>
          </cell>
          <cell r="E11">
            <v>500</v>
          </cell>
          <cell r="F11" t="str">
            <v>逆富士型</v>
          </cell>
        </row>
        <row r="12">
          <cell r="D12" t="str">
            <v>加工保全</v>
          </cell>
          <cell r="E12">
            <v>500</v>
          </cell>
          <cell r="F12" t="str">
            <v>逆富士型</v>
          </cell>
        </row>
        <row r="13">
          <cell r="F13" t="str">
            <v/>
          </cell>
        </row>
        <row r="14">
          <cell r="D14" t="str">
            <v>工場</v>
          </cell>
          <cell r="E14">
            <v>500</v>
          </cell>
          <cell r="F14" t="str">
            <v>反射笠型</v>
          </cell>
        </row>
        <row r="15">
          <cell r="D15" t="str">
            <v>事務所・会議室</v>
          </cell>
          <cell r="E15">
            <v>600</v>
          </cell>
          <cell r="F15" t="str">
            <v>埋込下面開放</v>
          </cell>
        </row>
        <row r="16">
          <cell r="D16" t="str">
            <v>会議室１</v>
          </cell>
          <cell r="E16">
            <v>500</v>
          </cell>
          <cell r="F16" t="str">
            <v>埋込下面開放</v>
          </cell>
        </row>
        <row r="17">
          <cell r="D17" t="str">
            <v>会議室２</v>
          </cell>
          <cell r="E17">
            <v>500</v>
          </cell>
          <cell r="F17" t="str">
            <v>埋込下面開放</v>
          </cell>
        </row>
        <row r="18">
          <cell r="D18" t="str">
            <v>会議室３</v>
          </cell>
          <cell r="E18">
            <v>500</v>
          </cell>
          <cell r="F18" t="str">
            <v>埋込下面開放</v>
          </cell>
        </row>
        <row r="19">
          <cell r="D19" t="str">
            <v>会議室４</v>
          </cell>
          <cell r="E19">
            <v>500</v>
          </cell>
          <cell r="F19" t="str">
            <v>埋込下面開放</v>
          </cell>
        </row>
        <row r="20">
          <cell r="D20" t="str">
            <v>董事長室</v>
          </cell>
          <cell r="E20">
            <v>600</v>
          </cell>
          <cell r="F20" t="str">
            <v>埋込下面開放</v>
          </cell>
        </row>
        <row r="21">
          <cell r="D21" t="str">
            <v>大会議室</v>
          </cell>
          <cell r="E21">
            <v>500</v>
          </cell>
          <cell r="F21" t="str">
            <v>埋込下面開放</v>
          </cell>
        </row>
        <row r="22">
          <cell r="D22" t="str">
            <v>玄関</v>
          </cell>
          <cell r="E22">
            <v>200</v>
          </cell>
          <cell r="F22" t="str">
            <v>水銀灯ﾀﾞｳﾝﾗｲﾄ</v>
          </cell>
        </row>
        <row r="23">
          <cell r="D23" t="str">
            <v>座学教室</v>
          </cell>
          <cell r="E23">
            <v>500</v>
          </cell>
          <cell r="F23" t="str">
            <v>埋込下面開放</v>
          </cell>
        </row>
        <row r="24">
          <cell r="D24" t="str">
            <v>廊下</v>
          </cell>
          <cell r="E24">
            <v>200</v>
          </cell>
          <cell r="F24" t="str">
            <v>ﾀﾞｳﾝﾗｲﾄ</v>
          </cell>
        </row>
        <row r="25">
          <cell r="D25" t="str">
            <v>書庫、茶室</v>
          </cell>
          <cell r="E25">
            <v>300</v>
          </cell>
          <cell r="F25" t="str">
            <v>埋込下面開放</v>
          </cell>
        </row>
        <row r="26">
          <cell r="D26" t="str">
            <v>便所</v>
          </cell>
          <cell r="E26">
            <v>300</v>
          </cell>
          <cell r="F26" t="str">
            <v>埋込下面開放</v>
          </cell>
        </row>
        <row r="27">
          <cell r="D27" t="str">
            <v>応接室１</v>
          </cell>
          <cell r="E27">
            <v>600</v>
          </cell>
          <cell r="F27" t="str">
            <v>埋込下面開放</v>
          </cell>
        </row>
        <row r="28">
          <cell r="D28" t="str">
            <v>応接室２</v>
          </cell>
          <cell r="E28">
            <v>600</v>
          </cell>
          <cell r="F28" t="str">
            <v>埋込下面開放</v>
          </cell>
        </row>
        <row r="29">
          <cell r="D29" t="str">
            <v>応接室３</v>
          </cell>
          <cell r="E29">
            <v>600</v>
          </cell>
          <cell r="F29" t="str">
            <v>埋込下面開放</v>
          </cell>
        </row>
        <row r="30">
          <cell r="F30" t="str">
            <v/>
          </cell>
        </row>
        <row r="31">
          <cell r="D31" t="str">
            <v>ＥＶ機械室</v>
          </cell>
          <cell r="E31">
            <v>300</v>
          </cell>
          <cell r="F31" t="str">
            <v>逆富士型</v>
          </cell>
        </row>
      </sheetData>
      <sheetData sheetId="2"/>
      <sheetData sheetId="3"/>
      <sheetData sheetId="4"/>
      <sheetData sheetId="5"/>
      <sheetData sheetId="6"/>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_summary"/>
      <sheetName val="iso-forms"/>
      <sheetName val="purpose&amp;input"/>
      <sheetName val="Sheet1"/>
      <sheetName val="CALC. PER IEEE-1115 "/>
      <sheetName val="Load duty cycle"/>
      <sheetName val="110kV"/>
      <sheetName val="CPP"/>
      <sheetName val="Sheet2"/>
      <sheetName val="Annexure-11"/>
      <sheetName val="Calc-Float 1"/>
      <sheetName val="Calc-boost 1"/>
      <sheetName val="Annexure-3 1"/>
      <sheetName val="Timesheet"/>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3"/>
      <sheetName val="beam-reinft"/>
      <sheetName val="Civil Works"/>
      <sheetName val="total -BOQ"/>
      <sheetName val="DETAILED  BOQ"/>
      <sheetName val="電気設備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ing Form"/>
      <sheetName val="Headings"/>
      <sheetName val="Beam at Ground flr lvl(Steel)"/>
      <sheetName val="analysis"/>
      <sheetName val="EST-CIVIL"/>
      <sheetName val="INDIGINEOUS ITEMS "/>
      <sheetName val="Timesheet"/>
      <sheetName val="beam-reinft"/>
      <sheetName val="A-General"/>
      <sheetName val="PROG_DATA"/>
      <sheetName val="BOQ"/>
      <sheetName val="Detail"/>
      <sheetName val="HEAD"/>
      <sheetName val="CFForecast detail"/>
      <sheetName val="재1"/>
      <sheetName val="Report"/>
      <sheetName val="Design"/>
      <sheetName val="Cal"/>
      <sheetName val="Data"/>
      <sheetName val="Voucher"/>
      <sheetName val="Break up Sheet"/>
      <sheetName val="fco"/>
      <sheetName val="Set"/>
      <sheetName val="Site Dev BOQ"/>
      <sheetName val="BLOCK-A (MEA.SHEET)"/>
      <sheetName val="RA-markate"/>
      <sheetName val="RA_markate"/>
      <sheetName val="meas-wp"/>
      <sheetName val="Shuttering costing-Annex-IV"/>
    </sheetNames>
    <sheetDataSet>
      <sheetData sheetId="0"/>
      <sheetData sheetId="1">
        <row r="2">
          <cell r="A2" t="str">
            <v>FormTitle</v>
          </cell>
          <cell r="B2" t="str">
            <v>Booking Form</v>
          </cell>
          <cell r="C2" t="str">
            <v>Registro de Proyecto</v>
          </cell>
          <cell r="D2" t="str">
            <v>Booking Form</v>
          </cell>
          <cell r="E2" t="str">
            <v>Booking Form</v>
          </cell>
          <cell r="F2" t="str">
            <v>Booking Form</v>
          </cell>
          <cell r="G2" t="str">
            <v>Booking Form</v>
          </cell>
          <cell r="H2" t="str">
            <v>Booking Form</v>
          </cell>
          <cell r="I2" t="str">
            <v>Booking Form</v>
          </cell>
          <cell r="J2" t="str">
            <v>Booking Form</v>
          </cell>
          <cell r="K2" t="str">
            <v>Booking Form</v>
          </cell>
        </row>
        <row r="3">
          <cell r="A3" t="str">
            <v>LoadData</v>
          </cell>
          <cell r="B3" t="str">
            <v>Load SMIS Data</v>
          </cell>
          <cell r="C3" t="str">
            <v>Cargar datos de SMIS</v>
          </cell>
          <cell r="D3" t="str">
            <v>Load SMIS Data</v>
          </cell>
          <cell r="E3" t="str">
            <v>Load SMIS Data</v>
          </cell>
          <cell r="F3" t="str">
            <v>Load SMIS Data</v>
          </cell>
          <cell r="G3" t="str">
            <v>Load SMIS Data</v>
          </cell>
          <cell r="H3" t="str">
            <v>Load SMIS Data</v>
          </cell>
          <cell r="I3" t="str">
            <v>Load SMIS Data</v>
          </cell>
          <cell r="J3" t="str">
            <v>Load SMIS Data</v>
          </cell>
          <cell r="K3" t="str">
            <v>Load SMIS Data</v>
          </cell>
        </row>
        <row r="5">
          <cell r="A5" t="str">
            <v>ProjInfo</v>
          </cell>
          <cell r="B5" t="str">
            <v>Project Information</v>
          </cell>
          <cell r="C5" t="str">
            <v>Información del Proyecto</v>
          </cell>
          <cell r="D5" t="str">
            <v>Project Information</v>
          </cell>
          <cell r="E5" t="str">
            <v>Project Information</v>
          </cell>
          <cell r="F5" t="str">
            <v>Project Information</v>
          </cell>
          <cell r="G5" t="str">
            <v>Project Information</v>
          </cell>
          <cell r="H5" t="str">
            <v>Project Information</v>
          </cell>
          <cell r="I5" t="str">
            <v>Project Information</v>
          </cell>
          <cell r="J5" t="str">
            <v>Project Information</v>
          </cell>
          <cell r="K5" t="str">
            <v>Project Information</v>
          </cell>
        </row>
        <row r="6">
          <cell r="A6" t="str">
            <v>ProjName</v>
          </cell>
          <cell r="B6" t="str">
            <v>Project Name</v>
          </cell>
          <cell r="C6" t="str">
            <v>Nombre del Proyecto</v>
          </cell>
          <cell r="D6" t="str">
            <v>Project Name</v>
          </cell>
          <cell r="E6" t="str">
            <v>Project Name</v>
          </cell>
          <cell r="F6" t="str">
            <v>Project Name</v>
          </cell>
          <cell r="G6" t="str">
            <v>Project Name</v>
          </cell>
          <cell r="H6" t="str">
            <v>Project Name</v>
          </cell>
          <cell r="I6" t="str">
            <v>Project Name</v>
          </cell>
          <cell r="J6" t="str">
            <v>Project Name</v>
          </cell>
          <cell r="K6" t="str">
            <v>Project Name</v>
          </cell>
        </row>
        <row r="7">
          <cell r="A7" t="str">
            <v>ProjNum</v>
          </cell>
          <cell r="B7" t="str">
            <v>Project Number</v>
          </cell>
          <cell r="C7" t="str">
            <v>Número del Proyecto</v>
          </cell>
          <cell r="D7" t="str">
            <v>Project Number</v>
          </cell>
          <cell r="E7" t="str">
            <v>Project Number</v>
          </cell>
          <cell r="F7" t="str">
            <v>Project Number</v>
          </cell>
          <cell r="G7" t="str">
            <v>Project Number</v>
          </cell>
          <cell r="H7" t="str">
            <v>Project Number</v>
          </cell>
          <cell r="I7" t="str">
            <v>Project Number</v>
          </cell>
          <cell r="J7" t="str">
            <v>Project Number</v>
          </cell>
          <cell r="K7" t="str">
            <v>Project Number</v>
          </cell>
        </row>
        <row r="8">
          <cell r="A8" t="str">
            <v>CONum</v>
          </cell>
          <cell r="B8" t="str">
            <v>Change Order Number</v>
          </cell>
          <cell r="C8" t="str">
            <v>Número de orden de cambio</v>
          </cell>
          <cell r="D8" t="str">
            <v>Extension</v>
          </cell>
          <cell r="E8" t="str">
            <v>Extension</v>
          </cell>
          <cell r="F8" t="str">
            <v>Extension</v>
          </cell>
          <cell r="G8" t="str">
            <v>Variation Order  Number</v>
          </cell>
          <cell r="H8" t="str">
            <v>Variation Order  Number</v>
          </cell>
          <cell r="I8" t="str">
            <v>Extension</v>
          </cell>
          <cell r="J8" t="str">
            <v>Variation Order  Number</v>
          </cell>
          <cell r="K8" t="str">
            <v>Variation Order Number</v>
          </cell>
        </row>
        <row r="9">
          <cell r="A9" t="str">
            <v>StartDate</v>
          </cell>
          <cell r="B9" t="str">
            <v>Start Date</v>
          </cell>
          <cell r="C9" t="str">
            <v>Fecha de Inicio</v>
          </cell>
          <cell r="D9" t="str">
            <v>Start Date</v>
          </cell>
          <cell r="E9" t="str">
            <v>Start Date</v>
          </cell>
          <cell r="F9" t="str">
            <v>Start Date</v>
          </cell>
          <cell r="G9" t="str">
            <v>Start Date</v>
          </cell>
          <cell r="H9" t="str">
            <v>Start Date</v>
          </cell>
          <cell r="I9" t="str">
            <v>Start Date</v>
          </cell>
          <cell r="J9" t="str">
            <v>Start Date</v>
          </cell>
          <cell r="K9" t="str">
            <v>Start Date</v>
          </cell>
        </row>
        <row r="10">
          <cell r="A10" t="str">
            <v>CompDate</v>
          </cell>
          <cell r="B10" t="str">
            <v>Complete Date</v>
          </cell>
          <cell r="C10" t="str">
            <v>Fecha de Término</v>
          </cell>
          <cell r="D10" t="str">
            <v>Complete Date</v>
          </cell>
          <cell r="E10" t="str">
            <v>Complete Date</v>
          </cell>
          <cell r="F10" t="str">
            <v>Complete Date</v>
          </cell>
          <cell r="G10" t="str">
            <v>Complete Date</v>
          </cell>
          <cell r="H10" t="str">
            <v>Complete Date</v>
          </cell>
          <cell r="I10" t="str">
            <v>Complete Date</v>
          </cell>
          <cell r="J10" t="str">
            <v>Complete Date</v>
          </cell>
          <cell r="K10" t="str">
            <v>Complete Date</v>
          </cell>
        </row>
        <row r="11">
          <cell r="A11" t="str">
            <v>BusType</v>
          </cell>
          <cell r="B11" t="str">
            <v>Business Type</v>
          </cell>
          <cell r="C11" t="str">
            <v>Tipo de Negocio</v>
          </cell>
          <cell r="D11" t="str">
            <v>Business Type</v>
          </cell>
          <cell r="E11" t="str">
            <v>Business Type</v>
          </cell>
          <cell r="F11" t="str">
            <v>Business Type</v>
          </cell>
          <cell r="G11" t="str">
            <v>Business Type</v>
          </cell>
          <cell r="H11" t="str">
            <v>Business Type</v>
          </cell>
          <cell r="I11" t="str">
            <v>Business Type</v>
          </cell>
          <cell r="J11" t="str">
            <v>Business Type</v>
          </cell>
          <cell r="K11" t="str">
            <v>Business Type</v>
          </cell>
        </row>
        <row r="12">
          <cell r="A12" t="str">
            <v>MarketType</v>
          </cell>
          <cell r="B12" t="str">
            <v>Market Type</v>
          </cell>
          <cell r="C12" t="str">
            <v>Tipo de Mercado</v>
          </cell>
          <cell r="D12" t="str">
            <v>Market Type</v>
          </cell>
          <cell r="E12" t="str">
            <v>Market Type</v>
          </cell>
          <cell r="F12" t="str">
            <v>Market Type</v>
          </cell>
          <cell r="G12" t="str">
            <v>Market Type</v>
          </cell>
          <cell r="H12" t="str">
            <v>Market Type</v>
          </cell>
          <cell r="I12" t="str">
            <v>Market Type</v>
          </cell>
          <cell r="J12" t="str">
            <v>Market Type</v>
          </cell>
          <cell r="K12" t="str">
            <v>Market Type</v>
          </cell>
        </row>
        <row r="13">
          <cell r="A13" t="str">
            <v>BidClass</v>
          </cell>
          <cell r="B13" t="str">
            <v>Bid Class</v>
          </cell>
          <cell r="C13" t="str">
            <v>Tipo de Oferta</v>
          </cell>
          <cell r="D13" t="str">
            <v>Bid Class</v>
          </cell>
          <cell r="E13" t="str">
            <v>Bid Class</v>
          </cell>
          <cell r="F13" t="str">
            <v>Bid Class</v>
          </cell>
          <cell r="G13" t="str">
            <v>Bid Class</v>
          </cell>
          <cell r="H13" t="str">
            <v>Bid Class</v>
          </cell>
          <cell r="I13" t="str">
            <v>Bid Class</v>
          </cell>
          <cell r="J13" t="str">
            <v>Bid Class</v>
          </cell>
          <cell r="K13" t="str">
            <v>Bid Class</v>
          </cell>
        </row>
        <row r="14">
          <cell r="A14" t="str">
            <v>SpecClass</v>
          </cell>
          <cell r="B14" t="str">
            <v>Specification Class</v>
          </cell>
          <cell r="C14" t="str">
            <v>Tipo de Especificación</v>
          </cell>
          <cell r="D14" t="str">
            <v>Specification Class</v>
          </cell>
          <cell r="E14" t="str">
            <v>Specification Class</v>
          </cell>
          <cell r="F14" t="str">
            <v>Specification Class</v>
          </cell>
          <cell r="G14" t="str">
            <v>Specification Class</v>
          </cell>
          <cell r="H14" t="str">
            <v>Specification Class</v>
          </cell>
          <cell r="I14" t="str">
            <v>Specification Class</v>
          </cell>
          <cell r="J14" t="str">
            <v>Specification Class</v>
          </cell>
          <cell r="K14" t="str">
            <v>Specification Class</v>
          </cell>
        </row>
        <row r="15">
          <cell r="A15" t="str">
            <v>CorpClient</v>
          </cell>
          <cell r="B15" t="str">
            <v>Corporate Client</v>
          </cell>
          <cell r="C15" t="str">
            <v>Cliente Corporativo</v>
          </cell>
          <cell r="D15" t="str">
            <v>Corporate Client</v>
          </cell>
          <cell r="E15" t="str">
            <v>Corporate Client</v>
          </cell>
          <cell r="F15" t="str">
            <v>Corporate Client</v>
          </cell>
          <cell r="G15" t="str">
            <v>Corporate Client</v>
          </cell>
          <cell r="H15" t="str">
            <v>Corporate Client</v>
          </cell>
          <cell r="I15" t="str">
            <v>Corporate Client</v>
          </cell>
          <cell r="J15" t="str">
            <v>Corporate Client</v>
          </cell>
          <cell r="K15" t="str">
            <v>Corporate Client</v>
          </cell>
        </row>
        <row r="16">
          <cell r="A16" t="str">
            <v>TierCode</v>
          </cell>
          <cell r="B16" t="str">
            <v>Tier Code</v>
          </cell>
          <cell r="C16" t="str">
            <v>Relacion con cliente final</v>
          </cell>
          <cell r="D16" t="str">
            <v>Contract Tier Code</v>
          </cell>
          <cell r="E16" t="str">
            <v>Contract Tier Code</v>
          </cell>
          <cell r="F16" t="str">
            <v>Contract Tier Code</v>
          </cell>
          <cell r="G16" t="str">
            <v>Contract Tier Code</v>
          </cell>
          <cell r="H16" t="str">
            <v>Contract Tier Code</v>
          </cell>
          <cell r="I16" t="str">
            <v>Contract Tier Code</v>
          </cell>
          <cell r="J16" t="str">
            <v>Contract Tier Code</v>
          </cell>
          <cell r="K16" t="str">
            <v>Contract Tier Code</v>
          </cell>
        </row>
        <row r="17">
          <cell r="A17" t="str">
            <v>SalesMgr</v>
          </cell>
          <cell r="B17" t="str">
            <v>Sales Manager</v>
          </cell>
          <cell r="C17" t="str">
            <v>Gerente de Ventas</v>
          </cell>
          <cell r="D17" t="str">
            <v>Sales Manager</v>
          </cell>
          <cell r="E17" t="str">
            <v>Sales Manager</v>
          </cell>
          <cell r="F17" t="str">
            <v>Sales Manager</v>
          </cell>
          <cell r="G17" t="str">
            <v>Sales Manager</v>
          </cell>
          <cell r="H17" t="str">
            <v>Sales Manager</v>
          </cell>
          <cell r="I17" t="str">
            <v>Sales Manager</v>
          </cell>
          <cell r="J17" t="str">
            <v>Sales Manager</v>
          </cell>
          <cell r="K17" t="str">
            <v>Sales Manager</v>
          </cell>
        </row>
        <row r="18">
          <cell r="A18" t="str">
            <v>SmallProj</v>
          </cell>
          <cell r="B18" t="str">
            <v>Small Project</v>
          </cell>
          <cell r="C18" t="str">
            <v>Proyecto Pequeño</v>
          </cell>
          <cell r="D18" t="str">
            <v>Small Project</v>
          </cell>
          <cell r="E18" t="str">
            <v>Small Project</v>
          </cell>
          <cell r="F18" t="str">
            <v>Small Project</v>
          </cell>
          <cell r="G18" t="str">
            <v>Small Project</v>
          </cell>
          <cell r="H18" t="str">
            <v>Small Project</v>
          </cell>
          <cell r="I18" t="str">
            <v>Small Project</v>
          </cell>
          <cell r="J18" t="str">
            <v>Small Project</v>
          </cell>
          <cell r="K18" t="str">
            <v>Small Project</v>
          </cell>
        </row>
        <row r="19">
          <cell r="A19" t="str">
            <v>OwnAcctNum</v>
          </cell>
          <cell r="B19" t="str">
            <v>Owner Account Number</v>
          </cell>
          <cell r="C19" t="str">
            <v>Número de Cuenta de Cliente Directo / Cte. Principal</v>
          </cell>
          <cell r="D19" t="str">
            <v>Owner Account # (if available)</v>
          </cell>
          <cell r="E19" t="str">
            <v>Owner Account # (if available)</v>
          </cell>
          <cell r="F19" t="str">
            <v>Owner Account # (if available)</v>
          </cell>
          <cell r="G19" t="str">
            <v>Owner Account # (not available)</v>
          </cell>
          <cell r="H19" t="str">
            <v>Owner Account # (not available)</v>
          </cell>
          <cell r="I19" t="str">
            <v>Owner Account # (if available)</v>
          </cell>
          <cell r="J19" t="str">
            <v>Owner Account # (not available)</v>
          </cell>
          <cell r="K19" t="str">
            <v>Owner Account # (if available)</v>
          </cell>
        </row>
        <row r="20">
          <cell r="A20" t="str">
            <v>ChangeDate</v>
          </cell>
          <cell r="B20" t="str">
            <v>Last Change Date</v>
          </cell>
          <cell r="C20" t="str">
            <v>Fecha de último cambio</v>
          </cell>
          <cell r="D20" t="str">
            <v>Last Change Date</v>
          </cell>
          <cell r="E20" t="str">
            <v>Last Change Date</v>
          </cell>
          <cell r="F20" t="str">
            <v>Last Change Date</v>
          </cell>
          <cell r="G20" t="str">
            <v>Last Change Date</v>
          </cell>
          <cell r="H20" t="str">
            <v>Last Change Date</v>
          </cell>
          <cell r="I20" t="str">
            <v>Last Change Date</v>
          </cell>
          <cell r="J20" t="str">
            <v>Last Change Date</v>
          </cell>
          <cell r="K20" t="str">
            <v>Last Change Date</v>
          </cell>
        </row>
        <row r="21">
          <cell r="A21" t="str">
            <v>ChangeBy</v>
          </cell>
          <cell r="B21" t="str">
            <v>Last Change By</v>
          </cell>
          <cell r="C21" t="str">
            <v>Último cambio hecho por</v>
          </cell>
          <cell r="D21" t="str">
            <v>Last Change By</v>
          </cell>
          <cell r="E21" t="str">
            <v>Last Change By</v>
          </cell>
          <cell r="F21" t="str">
            <v>Last Change By</v>
          </cell>
          <cell r="G21" t="str">
            <v>Last Change By</v>
          </cell>
          <cell r="H21" t="str">
            <v>Last Change By</v>
          </cell>
          <cell r="I21" t="str">
            <v>Last Change By</v>
          </cell>
          <cell r="J21" t="str">
            <v>Last Change By</v>
          </cell>
          <cell r="K21" t="str">
            <v>Last Change By</v>
          </cell>
        </row>
        <row r="22">
          <cell r="A22" t="str">
            <v>ContAmt</v>
          </cell>
          <cell r="B22" t="str">
            <v>Contract Amount - USD, USD</v>
          </cell>
          <cell r="C22" t="str">
            <v>Monto del Contrato - USD, Pesos</v>
          </cell>
          <cell r="D22" t="str">
            <v>Contract Amount - HK$, USD</v>
          </cell>
          <cell r="E22" t="str">
            <v>Contract Amount - RM$, USD</v>
          </cell>
          <cell r="F22" t="str">
            <v>Contract Amount - SGD, USD</v>
          </cell>
          <cell r="G22" t="str">
            <v>Contract Amount - Rps, USD</v>
          </cell>
          <cell r="H22" t="str">
            <v>Contract Amount - SGD$, USD</v>
          </cell>
          <cell r="I22" t="str">
            <v>Contract Amount - THB$, USD</v>
          </cell>
          <cell r="J22" t="str">
            <v>Contract Amount - AUD, USD</v>
          </cell>
          <cell r="K22" t="str">
            <v>Contract Amount - local currency, USD</v>
          </cell>
        </row>
        <row r="23">
          <cell r="A23" t="str">
            <v>EstCost</v>
          </cell>
          <cell r="B23" t="str">
            <v>Estimated Cost - USD, USD</v>
          </cell>
          <cell r="C23" t="str">
            <v>Costo Estimado - USD, Pesos</v>
          </cell>
          <cell r="D23" t="str">
            <v>Estimated Cost - HK$, USD</v>
          </cell>
          <cell r="E23" t="str">
            <v>Estimated Cost - RM$, USD</v>
          </cell>
          <cell r="F23" t="str">
            <v>Estimated Cost - SGD, USD</v>
          </cell>
          <cell r="G23" t="str">
            <v>Estimated Cost - Rps, USD</v>
          </cell>
          <cell r="H23" t="str">
            <v>Estimated Cost - SGD$, USD</v>
          </cell>
          <cell r="I23" t="str">
            <v>Estimated Cost - THB$, USD</v>
          </cell>
          <cell r="J23" t="str">
            <v>Estimated Cost - AUD, USD</v>
          </cell>
          <cell r="K23" t="str">
            <v>Estimated Cost - local currency, USD</v>
          </cell>
        </row>
        <row r="24">
          <cell r="A24" t="str">
            <v>GMAmount</v>
          </cell>
          <cell r="B24" t="str">
            <v>Gross Margin Amount - USD, USD</v>
          </cell>
          <cell r="C24" t="str">
            <v>Margen Bruto - USD, Pesos</v>
          </cell>
          <cell r="D24" t="str">
            <v>Gross Margin Amount - HK$, USD</v>
          </cell>
          <cell r="E24" t="str">
            <v>Gross Margin Amount - RM$, USD</v>
          </cell>
          <cell r="F24" t="str">
            <v>Gross Margin Amount - SGD, USD</v>
          </cell>
          <cell r="G24" t="str">
            <v>Gross Margin Amount - Rps, USD</v>
          </cell>
          <cell r="H24" t="str">
            <v>Gross Margin Amount - SGD$, USD</v>
          </cell>
          <cell r="I24" t="str">
            <v>Gross Margin Amount - THB$, USD</v>
          </cell>
          <cell r="J24" t="str">
            <v>Gross Margin Amount - AUD, USD</v>
          </cell>
          <cell r="K24" t="str">
            <v>Gross Margin Amount - local currency, USD</v>
          </cell>
        </row>
        <row r="25">
          <cell r="A25" t="str">
            <v>GMPercent</v>
          </cell>
          <cell r="B25" t="str">
            <v>Gross Margin Percent</v>
          </cell>
          <cell r="C25" t="str">
            <v>Porcentaje de Margen Bruto</v>
          </cell>
          <cell r="D25" t="str">
            <v>Gross Margin Percent</v>
          </cell>
          <cell r="E25" t="str">
            <v>Gross Margin Percent</v>
          </cell>
          <cell r="F25" t="str">
            <v>Gross Margin Percent</v>
          </cell>
          <cell r="G25" t="str">
            <v>Gross Margin Percent</v>
          </cell>
          <cell r="H25" t="str">
            <v>Gross Margin Percent</v>
          </cell>
          <cell r="I25" t="str">
            <v>Gross Margin Percent</v>
          </cell>
          <cell r="J25" t="str">
            <v>Gross Margin Percent</v>
          </cell>
          <cell r="K25" t="str">
            <v>Gross Margin Percent</v>
          </cell>
        </row>
        <row r="27">
          <cell r="A27" t="str">
            <v>ProjLocation</v>
          </cell>
          <cell r="B27" t="str">
            <v>Project Location</v>
          </cell>
          <cell r="C27" t="str">
            <v>Ubicación del Proyecto</v>
          </cell>
          <cell r="D27" t="str">
            <v>Project Location</v>
          </cell>
          <cell r="E27" t="str">
            <v>Project Location</v>
          </cell>
          <cell r="F27" t="str">
            <v>Project Location</v>
          </cell>
          <cell r="G27" t="str">
            <v>Project Location</v>
          </cell>
          <cell r="H27" t="str">
            <v>Project Location</v>
          </cell>
          <cell r="I27" t="str">
            <v>Project Location</v>
          </cell>
          <cell r="J27" t="str">
            <v>Project Location</v>
          </cell>
          <cell r="K27" t="str">
            <v>Project Location</v>
          </cell>
        </row>
        <row r="28">
          <cell r="A28" t="str">
            <v>ProjAddress1</v>
          </cell>
          <cell r="B28" t="str">
            <v>Address 1</v>
          </cell>
          <cell r="C28" t="str">
            <v>Dirección 1</v>
          </cell>
          <cell r="D28" t="str">
            <v>Address 1</v>
          </cell>
          <cell r="E28" t="str">
            <v>Address 1</v>
          </cell>
          <cell r="F28" t="str">
            <v>Address 1</v>
          </cell>
          <cell r="G28" t="str">
            <v>Address 1</v>
          </cell>
          <cell r="H28" t="str">
            <v>Address 1</v>
          </cell>
          <cell r="I28" t="str">
            <v>Address 1</v>
          </cell>
          <cell r="J28" t="str">
            <v>Address 1</v>
          </cell>
          <cell r="K28" t="str">
            <v>Address 1</v>
          </cell>
        </row>
        <row r="29">
          <cell r="A29" t="str">
            <v>ProjAddress2</v>
          </cell>
          <cell r="B29" t="str">
            <v>Address 2</v>
          </cell>
          <cell r="C29" t="str">
            <v>Dirección 2</v>
          </cell>
          <cell r="D29" t="str">
            <v>Address 2</v>
          </cell>
          <cell r="E29" t="str">
            <v>Address 2</v>
          </cell>
          <cell r="F29" t="str">
            <v>Address 2</v>
          </cell>
          <cell r="G29" t="str">
            <v>Address 2</v>
          </cell>
          <cell r="H29" t="str">
            <v>Address 2</v>
          </cell>
          <cell r="I29" t="str">
            <v>Address 2</v>
          </cell>
          <cell r="J29" t="str">
            <v>Address 2</v>
          </cell>
          <cell r="K29" t="str">
            <v>Address 2</v>
          </cell>
        </row>
        <row r="30">
          <cell r="A30" t="str">
            <v>ProjCity</v>
          </cell>
          <cell r="B30" t="str">
            <v>City</v>
          </cell>
          <cell r="C30" t="str">
            <v>Ciudad</v>
          </cell>
          <cell r="D30" t="str">
            <v>City</v>
          </cell>
          <cell r="E30" t="str">
            <v>City</v>
          </cell>
          <cell r="F30" t="str">
            <v>City</v>
          </cell>
          <cell r="G30" t="str">
            <v>City</v>
          </cell>
          <cell r="H30" t="str">
            <v>City</v>
          </cell>
          <cell r="I30" t="str">
            <v>City</v>
          </cell>
          <cell r="J30" t="str">
            <v>City</v>
          </cell>
          <cell r="K30" t="str">
            <v>City</v>
          </cell>
        </row>
        <row r="31">
          <cell r="A31" t="str">
            <v>ProjCounty</v>
          </cell>
          <cell r="B31" t="str">
            <v>County</v>
          </cell>
          <cell r="C31" t="str">
            <v>Delegacion o Municipio</v>
          </cell>
          <cell r="D31" t="str">
            <v>County (not applicable)</v>
          </cell>
          <cell r="E31" t="str">
            <v>County (not applicable)</v>
          </cell>
          <cell r="F31" t="str">
            <v>County (not applicable)</v>
          </cell>
          <cell r="G31" t="str">
            <v>County (not applicable)</v>
          </cell>
          <cell r="H31" t="str">
            <v>County (not applicable)</v>
          </cell>
          <cell r="I31" t="str">
            <v>County (not applicable)</v>
          </cell>
          <cell r="J31" t="str">
            <v>County (not applicable)</v>
          </cell>
          <cell r="K31" t="str">
            <v>County (if applicable)</v>
          </cell>
        </row>
        <row r="32">
          <cell r="A32" t="str">
            <v>ProjState</v>
          </cell>
          <cell r="B32" t="str">
            <v>State</v>
          </cell>
          <cell r="C32" t="str">
            <v>Estado</v>
          </cell>
          <cell r="D32" t="str">
            <v>State (N.A.)</v>
          </cell>
          <cell r="E32" t="str">
            <v>State (N.A.)</v>
          </cell>
          <cell r="F32" t="str">
            <v>State (N.A.)</v>
          </cell>
          <cell r="G32" t="str">
            <v>State (N.A.)</v>
          </cell>
          <cell r="H32" t="str">
            <v>State (N.A.)</v>
          </cell>
          <cell r="I32" t="str">
            <v>State (N.A.)</v>
          </cell>
          <cell r="J32" t="str">
            <v>State (N.A.)</v>
          </cell>
          <cell r="K32" t="str">
            <v>State (if applicable)</v>
          </cell>
        </row>
        <row r="33">
          <cell r="A33" t="str">
            <v>ProjPostal</v>
          </cell>
          <cell r="B33" t="str">
            <v>Zip Code</v>
          </cell>
          <cell r="C33" t="str">
            <v>Código Postal</v>
          </cell>
          <cell r="D33" t="str">
            <v>Postal Code</v>
          </cell>
          <cell r="E33" t="str">
            <v>Postal Code</v>
          </cell>
          <cell r="F33" t="str">
            <v>Postal Code</v>
          </cell>
          <cell r="G33" t="str">
            <v>Postal Code</v>
          </cell>
          <cell r="H33" t="str">
            <v>Postal Code</v>
          </cell>
          <cell r="I33" t="str">
            <v>Postal Code</v>
          </cell>
          <cell r="J33" t="str">
            <v>Postal Code</v>
          </cell>
          <cell r="K33" t="str">
            <v>Postal Code</v>
          </cell>
        </row>
        <row r="34">
          <cell r="A34" t="str">
            <v>ProjCountry</v>
          </cell>
          <cell r="B34" t="str">
            <v>Country</v>
          </cell>
          <cell r="C34" t="str">
            <v>País</v>
          </cell>
          <cell r="D34" t="str">
            <v>Country</v>
          </cell>
          <cell r="E34" t="str">
            <v>Country</v>
          </cell>
          <cell r="F34" t="str">
            <v>Country</v>
          </cell>
          <cell r="G34" t="str">
            <v>Country</v>
          </cell>
          <cell r="H34" t="str">
            <v>Country</v>
          </cell>
          <cell r="I34" t="str">
            <v>Country</v>
          </cell>
          <cell r="J34" t="str">
            <v>Country</v>
          </cell>
          <cell r="K34" t="str">
            <v>Country</v>
          </cell>
        </row>
        <row r="36">
          <cell r="A36" t="str">
            <v>Salespersons</v>
          </cell>
          <cell r="B36" t="str">
            <v>Salespersons</v>
          </cell>
          <cell r="C36" t="str">
            <v>Vendedores</v>
          </cell>
          <cell r="D36" t="str">
            <v>Salespersons</v>
          </cell>
          <cell r="E36" t="str">
            <v>Salespersons</v>
          </cell>
          <cell r="F36" t="str">
            <v>Salespersons</v>
          </cell>
          <cell r="G36" t="str">
            <v>Salespersons</v>
          </cell>
          <cell r="H36" t="str">
            <v>Salespersons</v>
          </cell>
          <cell r="I36" t="str">
            <v>Salespersons</v>
          </cell>
          <cell r="J36" t="str">
            <v>Salespersons</v>
          </cell>
          <cell r="K36" t="str">
            <v>Salespersons</v>
          </cell>
        </row>
        <row r="37">
          <cell r="A37" t="str">
            <v>SP1Name</v>
          </cell>
          <cell r="B37" t="str">
            <v>Lead Name</v>
          </cell>
          <cell r="C37" t="str">
            <v>Nombre de Líder de Cta. O Proyecto</v>
          </cell>
          <cell r="D37" t="str">
            <v>Lead Name</v>
          </cell>
          <cell r="E37" t="str">
            <v>Lead Name</v>
          </cell>
          <cell r="F37" t="str">
            <v>Lead Name</v>
          </cell>
          <cell r="G37" t="str">
            <v>Lead Name</v>
          </cell>
          <cell r="H37" t="str">
            <v>Lead Name</v>
          </cell>
          <cell r="I37" t="str">
            <v>Lead Name</v>
          </cell>
          <cell r="J37" t="str">
            <v>Lead Name</v>
          </cell>
          <cell r="K37" t="str">
            <v>Lead Name</v>
          </cell>
        </row>
        <row r="38">
          <cell r="A38" t="str">
            <v>SP1Number</v>
          </cell>
          <cell r="B38" t="str">
            <v>Number</v>
          </cell>
          <cell r="C38" t="str">
            <v>Número</v>
          </cell>
          <cell r="D38" t="str">
            <v>Number</v>
          </cell>
          <cell r="E38" t="str">
            <v>Number</v>
          </cell>
          <cell r="F38" t="str">
            <v>Number</v>
          </cell>
          <cell r="G38" t="str">
            <v>Number</v>
          </cell>
          <cell r="H38" t="str">
            <v>Number</v>
          </cell>
          <cell r="I38" t="str">
            <v>Number</v>
          </cell>
          <cell r="J38" t="str">
            <v>Number</v>
          </cell>
          <cell r="K38" t="str">
            <v>Number</v>
          </cell>
        </row>
        <row r="39">
          <cell r="A39" t="str">
            <v>SP1Branch</v>
          </cell>
          <cell r="B39" t="str">
            <v>Branch</v>
          </cell>
          <cell r="C39" t="str">
            <v>Sucursal</v>
          </cell>
          <cell r="D39" t="str">
            <v>Branch</v>
          </cell>
          <cell r="E39" t="str">
            <v>Branch</v>
          </cell>
          <cell r="F39" t="str">
            <v>Branch</v>
          </cell>
          <cell r="G39" t="str">
            <v>Branch</v>
          </cell>
          <cell r="H39" t="str">
            <v>Branch</v>
          </cell>
          <cell r="I39" t="str">
            <v>Branch</v>
          </cell>
          <cell r="J39" t="str">
            <v>Branch</v>
          </cell>
          <cell r="K39" t="str">
            <v>Branch</v>
          </cell>
        </row>
        <row r="40">
          <cell r="A40" t="str">
            <v>SP1Credit</v>
          </cell>
          <cell r="B40" t="str">
            <v>Credit Percent</v>
          </cell>
          <cell r="C40" t="str">
            <v>Porcentaje de Crédito</v>
          </cell>
          <cell r="D40" t="str">
            <v>Credit Percent</v>
          </cell>
          <cell r="E40" t="str">
            <v>Credit Percent</v>
          </cell>
          <cell r="F40" t="str">
            <v>Credit Percent</v>
          </cell>
          <cell r="G40" t="str">
            <v>Credit Percent</v>
          </cell>
          <cell r="H40" t="str">
            <v>Credit Percent</v>
          </cell>
          <cell r="I40" t="str">
            <v>Credit Percent</v>
          </cell>
          <cell r="J40" t="str">
            <v>Credit Percent</v>
          </cell>
          <cell r="K40" t="str">
            <v>Credit Percent</v>
          </cell>
        </row>
        <row r="41">
          <cell r="A41" t="str">
            <v>SP2Name</v>
          </cell>
          <cell r="B41" t="str">
            <v>Name</v>
          </cell>
          <cell r="C41" t="str">
            <v>Nombre</v>
          </cell>
          <cell r="D41" t="str">
            <v>Name</v>
          </cell>
          <cell r="E41" t="str">
            <v>Name</v>
          </cell>
          <cell r="F41" t="str">
            <v>Name</v>
          </cell>
          <cell r="G41" t="str">
            <v>Name</v>
          </cell>
          <cell r="H41" t="str">
            <v>Name</v>
          </cell>
          <cell r="I41" t="str">
            <v>Name</v>
          </cell>
          <cell r="J41" t="str">
            <v>Name</v>
          </cell>
          <cell r="K41" t="str">
            <v>Name</v>
          </cell>
        </row>
        <row r="42">
          <cell r="A42" t="str">
            <v>SP2Number</v>
          </cell>
          <cell r="B42" t="str">
            <v>Number</v>
          </cell>
          <cell r="C42" t="str">
            <v>Número</v>
          </cell>
          <cell r="D42" t="str">
            <v>Number</v>
          </cell>
          <cell r="E42" t="str">
            <v>Number</v>
          </cell>
          <cell r="F42" t="str">
            <v>Number</v>
          </cell>
          <cell r="G42" t="str">
            <v>Number</v>
          </cell>
          <cell r="H42" t="str">
            <v>Number</v>
          </cell>
          <cell r="I42" t="str">
            <v>Number</v>
          </cell>
          <cell r="J42" t="str">
            <v>Number</v>
          </cell>
          <cell r="K42" t="str">
            <v>Number</v>
          </cell>
        </row>
        <row r="43">
          <cell r="A43" t="str">
            <v>SP2Branch</v>
          </cell>
          <cell r="B43" t="str">
            <v>Branch</v>
          </cell>
          <cell r="C43" t="str">
            <v>Sucursal</v>
          </cell>
          <cell r="D43" t="str">
            <v>Branch</v>
          </cell>
          <cell r="E43" t="str">
            <v>Branch</v>
          </cell>
          <cell r="F43" t="str">
            <v>Branch</v>
          </cell>
          <cell r="G43" t="str">
            <v>Branch</v>
          </cell>
          <cell r="H43" t="str">
            <v>Branch</v>
          </cell>
          <cell r="I43" t="str">
            <v>Branch</v>
          </cell>
          <cell r="J43" t="str">
            <v>Branch</v>
          </cell>
          <cell r="K43" t="str">
            <v>Branch</v>
          </cell>
        </row>
        <row r="44">
          <cell r="A44" t="str">
            <v>SP2Credit</v>
          </cell>
          <cell r="B44" t="str">
            <v>Credit Percent</v>
          </cell>
          <cell r="C44" t="str">
            <v>Porcentaje de Crédito</v>
          </cell>
          <cell r="D44" t="str">
            <v>Credit Percent</v>
          </cell>
          <cell r="E44" t="str">
            <v>Credit Percent</v>
          </cell>
          <cell r="F44" t="str">
            <v>Credit Percent</v>
          </cell>
          <cell r="G44" t="str">
            <v>Credit Percent</v>
          </cell>
          <cell r="H44" t="str">
            <v>Credit Percent</v>
          </cell>
          <cell r="I44" t="str">
            <v>Credit Percent</v>
          </cell>
          <cell r="J44" t="str">
            <v>Credit Percent</v>
          </cell>
          <cell r="K44" t="str">
            <v>Credit Percent</v>
          </cell>
        </row>
        <row r="45">
          <cell r="A45" t="str">
            <v>SP3Name</v>
          </cell>
          <cell r="B45" t="str">
            <v>Name</v>
          </cell>
          <cell r="C45" t="str">
            <v>Nombre</v>
          </cell>
          <cell r="D45" t="str">
            <v>Name</v>
          </cell>
          <cell r="E45" t="str">
            <v>Name</v>
          </cell>
          <cell r="F45" t="str">
            <v>Name</v>
          </cell>
          <cell r="G45" t="str">
            <v>Name</v>
          </cell>
          <cell r="H45" t="str">
            <v>Name</v>
          </cell>
          <cell r="I45" t="str">
            <v>Name</v>
          </cell>
          <cell r="J45" t="str">
            <v>Name</v>
          </cell>
          <cell r="K45" t="str">
            <v>Name</v>
          </cell>
        </row>
        <row r="46">
          <cell r="A46" t="str">
            <v>SP3Number</v>
          </cell>
          <cell r="B46" t="str">
            <v>Number</v>
          </cell>
          <cell r="C46" t="str">
            <v>Número</v>
          </cell>
          <cell r="D46" t="str">
            <v>Number</v>
          </cell>
          <cell r="E46" t="str">
            <v>Number</v>
          </cell>
          <cell r="F46" t="str">
            <v>Number</v>
          </cell>
          <cell r="G46" t="str">
            <v>Number</v>
          </cell>
          <cell r="H46" t="str">
            <v>Number</v>
          </cell>
          <cell r="I46" t="str">
            <v>Number</v>
          </cell>
          <cell r="J46" t="str">
            <v>Number</v>
          </cell>
          <cell r="K46" t="str">
            <v>Number</v>
          </cell>
        </row>
        <row r="47">
          <cell r="A47" t="str">
            <v>SP3Branch</v>
          </cell>
          <cell r="B47" t="str">
            <v>Branch</v>
          </cell>
          <cell r="C47" t="str">
            <v>Sucursal</v>
          </cell>
          <cell r="D47" t="str">
            <v>Branch</v>
          </cell>
          <cell r="E47" t="str">
            <v>Branch</v>
          </cell>
          <cell r="F47" t="str">
            <v>Branch</v>
          </cell>
          <cell r="G47" t="str">
            <v>Branch</v>
          </cell>
          <cell r="H47" t="str">
            <v>Branch</v>
          </cell>
          <cell r="I47" t="str">
            <v>Branch</v>
          </cell>
          <cell r="J47" t="str">
            <v>Branch</v>
          </cell>
          <cell r="K47" t="str">
            <v>Branch</v>
          </cell>
        </row>
        <row r="48">
          <cell r="A48" t="str">
            <v>SP3Credit</v>
          </cell>
          <cell r="B48" t="str">
            <v>Credit Percent</v>
          </cell>
          <cell r="C48" t="str">
            <v>Porcentaje de Crédito</v>
          </cell>
          <cell r="D48" t="str">
            <v>Credit Percent</v>
          </cell>
          <cell r="E48" t="str">
            <v>Credit Percent</v>
          </cell>
          <cell r="F48" t="str">
            <v>Credit Percent</v>
          </cell>
          <cell r="G48" t="str">
            <v>Credit Percent</v>
          </cell>
          <cell r="H48" t="str">
            <v>Credit Percent</v>
          </cell>
          <cell r="I48" t="str">
            <v>Credit Percent</v>
          </cell>
          <cell r="J48" t="str">
            <v>Credit Percent</v>
          </cell>
          <cell r="K48" t="str">
            <v>Credit Percent</v>
          </cell>
        </row>
        <row r="49">
          <cell r="A49" t="str">
            <v>SP4Name</v>
          </cell>
          <cell r="B49" t="str">
            <v>Name</v>
          </cell>
          <cell r="C49" t="str">
            <v>Nombre</v>
          </cell>
          <cell r="D49" t="str">
            <v>Name</v>
          </cell>
          <cell r="E49" t="str">
            <v>Name</v>
          </cell>
          <cell r="F49" t="str">
            <v>Name</v>
          </cell>
          <cell r="G49" t="str">
            <v>Name</v>
          </cell>
          <cell r="H49" t="str">
            <v>Name</v>
          </cell>
          <cell r="I49" t="str">
            <v>Name</v>
          </cell>
          <cell r="J49" t="str">
            <v>Name</v>
          </cell>
          <cell r="K49" t="str">
            <v>Name</v>
          </cell>
        </row>
        <row r="50">
          <cell r="A50" t="str">
            <v>SP4Number</v>
          </cell>
          <cell r="B50" t="str">
            <v>Number</v>
          </cell>
          <cell r="C50" t="str">
            <v>Número</v>
          </cell>
          <cell r="D50" t="str">
            <v>Number</v>
          </cell>
          <cell r="E50" t="str">
            <v>Number</v>
          </cell>
          <cell r="F50" t="str">
            <v>Number</v>
          </cell>
          <cell r="G50" t="str">
            <v>Number</v>
          </cell>
          <cell r="H50" t="str">
            <v>Number</v>
          </cell>
          <cell r="I50" t="str">
            <v>Number</v>
          </cell>
          <cell r="J50" t="str">
            <v>Number</v>
          </cell>
          <cell r="K50" t="str">
            <v>Number</v>
          </cell>
        </row>
        <row r="51">
          <cell r="A51" t="str">
            <v>SP4Branch</v>
          </cell>
          <cell r="B51" t="str">
            <v>Branch</v>
          </cell>
          <cell r="C51" t="str">
            <v>Sucursal</v>
          </cell>
          <cell r="D51" t="str">
            <v>Branch</v>
          </cell>
          <cell r="E51" t="str">
            <v>Branch</v>
          </cell>
          <cell r="F51" t="str">
            <v>Branch</v>
          </cell>
          <cell r="G51" t="str">
            <v>Branch</v>
          </cell>
          <cell r="H51" t="str">
            <v>Branch</v>
          </cell>
          <cell r="I51" t="str">
            <v>Branch</v>
          </cell>
          <cell r="J51" t="str">
            <v>Branch</v>
          </cell>
          <cell r="K51" t="str">
            <v>Branch</v>
          </cell>
        </row>
        <row r="52">
          <cell r="A52" t="str">
            <v>SP4Credit</v>
          </cell>
          <cell r="B52" t="str">
            <v>Credit Percent</v>
          </cell>
          <cell r="C52" t="str">
            <v>Porcentaje de Crédito</v>
          </cell>
          <cell r="D52" t="str">
            <v>Credit Percent</v>
          </cell>
          <cell r="E52" t="str">
            <v>Credit Percent</v>
          </cell>
          <cell r="F52" t="str">
            <v>Credit Percent</v>
          </cell>
          <cell r="G52" t="str">
            <v>Credit Percent</v>
          </cell>
          <cell r="H52" t="str">
            <v>Credit Percent</v>
          </cell>
          <cell r="I52" t="str">
            <v>Credit Percent</v>
          </cell>
          <cell r="J52" t="str">
            <v>Credit Percent</v>
          </cell>
          <cell r="K52" t="str">
            <v>Credit Percent</v>
          </cell>
        </row>
        <row r="53">
          <cell r="A53" t="str">
            <v>SP5Name</v>
          </cell>
          <cell r="B53" t="str">
            <v>Name</v>
          </cell>
          <cell r="C53" t="str">
            <v>Nombre</v>
          </cell>
          <cell r="D53" t="str">
            <v>Name</v>
          </cell>
          <cell r="E53" t="str">
            <v>Name</v>
          </cell>
          <cell r="F53" t="str">
            <v>Name</v>
          </cell>
          <cell r="G53" t="str">
            <v>Name</v>
          </cell>
          <cell r="H53" t="str">
            <v>Name</v>
          </cell>
          <cell r="I53" t="str">
            <v>Name</v>
          </cell>
          <cell r="J53" t="str">
            <v>Name</v>
          </cell>
          <cell r="K53" t="str">
            <v>Name</v>
          </cell>
        </row>
        <row r="54">
          <cell r="A54" t="str">
            <v>SP5Number</v>
          </cell>
          <cell r="B54" t="str">
            <v>Number</v>
          </cell>
          <cell r="C54" t="str">
            <v>Número</v>
          </cell>
          <cell r="D54" t="str">
            <v>Number</v>
          </cell>
          <cell r="E54" t="str">
            <v>Number</v>
          </cell>
          <cell r="F54" t="str">
            <v>Number</v>
          </cell>
          <cell r="G54" t="str">
            <v>Number</v>
          </cell>
          <cell r="H54" t="str">
            <v>Number</v>
          </cell>
          <cell r="I54" t="str">
            <v>Number</v>
          </cell>
          <cell r="J54" t="str">
            <v>Number</v>
          </cell>
          <cell r="K54" t="str">
            <v>Number</v>
          </cell>
        </row>
        <row r="55">
          <cell r="A55" t="str">
            <v>SP5Branch</v>
          </cell>
          <cell r="B55" t="str">
            <v>Branch</v>
          </cell>
          <cell r="C55" t="str">
            <v>Sucursal</v>
          </cell>
          <cell r="D55" t="str">
            <v>Branch</v>
          </cell>
          <cell r="E55" t="str">
            <v>Branch</v>
          </cell>
          <cell r="F55" t="str">
            <v>Branch</v>
          </cell>
          <cell r="G55" t="str">
            <v>Branch</v>
          </cell>
          <cell r="H55" t="str">
            <v>Branch</v>
          </cell>
          <cell r="I55" t="str">
            <v>Branch</v>
          </cell>
          <cell r="J55" t="str">
            <v>Branch</v>
          </cell>
          <cell r="K55" t="str">
            <v>Branch</v>
          </cell>
        </row>
        <row r="56">
          <cell r="A56" t="str">
            <v>SP5Credit</v>
          </cell>
          <cell r="B56" t="str">
            <v>Credit Percent</v>
          </cell>
          <cell r="C56" t="str">
            <v>Porcentaje de Crédito</v>
          </cell>
          <cell r="D56" t="str">
            <v>Credit Percent</v>
          </cell>
          <cell r="E56" t="str">
            <v>Credit Percent</v>
          </cell>
          <cell r="F56" t="str">
            <v>Credit Percent</v>
          </cell>
          <cell r="G56" t="str">
            <v>Credit Percent</v>
          </cell>
          <cell r="H56" t="str">
            <v>Credit Percent</v>
          </cell>
          <cell r="I56" t="str">
            <v>Credit Percent</v>
          </cell>
          <cell r="J56" t="str">
            <v>Credit Percent</v>
          </cell>
          <cell r="K56" t="str">
            <v>Credit Percent</v>
          </cell>
        </row>
        <row r="58">
          <cell r="A58" t="str">
            <v>ContWith</v>
          </cell>
          <cell r="B58" t="str">
            <v>Our Contract Is With</v>
          </cell>
          <cell r="C58" t="str">
            <v>Nuestro contrato es con:</v>
          </cell>
          <cell r="D58" t="str">
            <v>Our Contract Is With</v>
          </cell>
          <cell r="E58" t="str">
            <v>Our Contract Is With</v>
          </cell>
          <cell r="F58" t="str">
            <v>Our Contract Is With</v>
          </cell>
          <cell r="G58" t="str">
            <v>Our Contract Is With</v>
          </cell>
          <cell r="H58" t="str">
            <v>Our Contract Is With</v>
          </cell>
          <cell r="I58" t="str">
            <v>Our Contract Is With</v>
          </cell>
          <cell r="J58" t="str">
            <v>Our Contract Is With</v>
          </cell>
          <cell r="K58" t="str">
            <v>Our Contract Is With</v>
          </cell>
        </row>
        <row r="59">
          <cell r="A59" t="str">
            <v>ContWithName</v>
          </cell>
          <cell r="B59" t="str">
            <v>Name</v>
          </cell>
          <cell r="C59" t="str">
            <v>Nombre</v>
          </cell>
          <cell r="D59" t="str">
            <v>Name</v>
          </cell>
          <cell r="E59" t="str">
            <v>Name</v>
          </cell>
          <cell r="F59" t="str">
            <v>Name</v>
          </cell>
          <cell r="G59" t="str">
            <v>Name</v>
          </cell>
          <cell r="H59" t="str">
            <v>Name</v>
          </cell>
          <cell r="I59" t="str">
            <v>Name</v>
          </cell>
          <cell r="J59" t="str">
            <v>Name</v>
          </cell>
          <cell r="K59" t="str">
            <v>Name</v>
          </cell>
        </row>
        <row r="60">
          <cell r="A60" t="str">
            <v>ContWithAcct</v>
          </cell>
          <cell r="B60" t="str">
            <v>Account Number</v>
          </cell>
          <cell r="C60" t="str">
            <v>Número de Cuenta</v>
          </cell>
          <cell r="D60" t="str">
            <v>Account Number (if available)</v>
          </cell>
          <cell r="E60" t="str">
            <v>Account Number (if available)</v>
          </cell>
          <cell r="F60" t="str">
            <v>Account Number (if available)</v>
          </cell>
          <cell r="G60" t="str">
            <v>Account Number (not available)</v>
          </cell>
          <cell r="H60" t="str">
            <v>Account Number (not available)</v>
          </cell>
          <cell r="I60" t="str">
            <v>Account Number (if available)</v>
          </cell>
          <cell r="J60" t="str">
            <v>Account Number (not available)</v>
          </cell>
          <cell r="K60" t="str">
            <v>Account Number (if available)</v>
          </cell>
        </row>
        <row r="61">
          <cell r="A61" t="str">
            <v>FiscalIDNum</v>
          </cell>
          <cell r="B61" t="str">
            <v>Fiscal ID Number</v>
          </cell>
          <cell r="C61" t="str">
            <v>RFC</v>
          </cell>
          <cell r="D61" t="str">
            <v>Fiscal ID Number (if available)</v>
          </cell>
          <cell r="E61" t="str">
            <v>Fiscal ID Number (if available)</v>
          </cell>
          <cell r="F61" t="str">
            <v>Fiscal ID Number (if available)</v>
          </cell>
          <cell r="G61" t="str">
            <v>Fiscal ID Number (not available)</v>
          </cell>
          <cell r="H61" t="str">
            <v>Fiscal ID Number (not available)</v>
          </cell>
          <cell r="I61" t="str">
            <v>Fiscal ID Number (if available)</v>
          </cell>
          <cell r="J61" t="str">
            <v>Fiscal ID Number (not available)</v>
          </cell>
          <cell r="K61" t="str">
            <v>Fiscal ID Number (if available)</v>
          </cell>
        </row>
        <row r="62">
          <cell r="A62" t="str">
            <v>ContWithPrio</v>
          </cell>
          <cell r="B62" t="str">
            <v>Priority</v>
          </cell>
          <cell r="C62" t="str">
            <v>Prioridad</v>
          </cell>
          <cell r="D62" t="str">
            <v>Priority</v>
          </cell>
          <cell r="E62" t="str">
            <v>Priority</v>
          </cell>
          <cell r="F62" t="str">
            <v>Priority</v>
          </cell>
          <cell r="G62" t="str">
            <v>Priority</v>
          </cell>
          <cell r="H62" t="str">
            <v>Priority</v>
          </cell>
          <cell r="I62" t="str">
            <v>Priority</v>
          </cell>
          <cell r="J62" t="str">
            <v>Priority</v>
          </cell>
          <cell r="K62" t="str">
            <v>Priority</v>
          </cell>
        </row>
        <row r="64">
          <cell r="A64" t="str">
            <v>EngFirm</v>
          </cell>
          <cell r="B64" t="str">
            <v>Engineering Firm</v>
          </cell>
          <cell r="C64" t="str">
            <v>Despacho de Ingeniería/Arquitectura</v>
          </cell>
          <cell r="D64" t="str">
            <v>Consulting Firm</v>
          </cell>
          <cell r="E64" t="str">
            <v>Consulting Firm</v>
          </cell>
          <cell r="F64" t="str">
            <v>Consulting Firm</v>
          </cell>
          <cell r="G64" t="str">
            <v>Consulting Firm</v>
          </cell>
          <cell r="H64" t="str">
            <v>Consulting Firm</v>
          </cell>
          <cell r="I64" t="str">
            <v>Consulting Firm</v>
          </cell>
          <cell r="J64" t="str">
            <v>Consulting Firm</v>
          </cell>
          <cell r="K64" t="str">
            <v>Consulting Firm</v>
          </cell>
        </row>
        <row r="65">
          <cell r="A65" t="str">
            <v>EngName</v>
          </cell>
          <cell r="B65" t="str">
            <v>Name</v>
          </cell>
          <cell r="C65" t="str">
            <v>Nombre</v>
          </cell>
          <cell r="D65" t="str">
            <v>Name</v>
          </cell>
          <cell r="E65" t="str">
            <v>Name</v>
          </cell>
          <cell r="F65" t="str">
            <v>Name</v>
          </cell>
          <cell r="G65" t="str">
            <v>Name</v>
          </cell>
          <cell r="H65" t="str">
            <v>Name</v>
          </cell>
          <cell r="I65" t="str">
            <v>Name</v>
          </cell>
          <cell r="J65" t="str">
            <v>Name</v>
          </cell>
          <cell r="K65" t="str">
            <v>Name</v>
          </cell>
        </row>
        <row r="66">
          <cell r="A66" t="str">
            <v>EngAddress</v>
          </cell>
          <cell r="B66" t="str">
            <v>Address</v>
          </cell>
          <cell r="C66" t="str">
            <v>Dirección</v>
          </cell>
          <cell r="D66" t="str">
            <v>Address</v>
          </cell>
          <cell r="E66" t="str">
            <v>Address</v>
          </cell>
          <cell r="F66" t="str">
            <v>Address</v>
          </cell>
          <cell r="G66" t="str">
            <v>Address</v>
          </cell>
          <cell r="H66" t="str">
            <v>Address</v>
          </cell>
          <cell r="I66" t="str">
            <v>Address</v>
          </cell>
          <cell r="J66" t="str">
            <v>Address</v>
          </cell>
          <cell r="K66" t="str">
            <v>Address</v>
          </cell>
        </row>
        <row r="67">
          <cell r="A67" t="str">
            <v>EngCity</v>
          </cell>
          <cell r="B67" t="str">
            <v>City</v>
          </cell>
          <cell r="C67" t="str">
            <v>Ciudad</v>
          </cell>
          <cell r="D67" t="str">
            <v>City</v>
          </cell>
          <cell r="E67" t="str">
            <v>City</v>
          </cell>
          <cell r="F67" t="str">
            <v>City</v>
          </cell>
          <cell r="G67" t="str">
            <v>City</v>
          </cell>
          <cell r="H67" t="str">
            <v>City</v>
          </cell>
          <cell r="I67" t="str">
            <v>City</v>
          </cell>
          <cell r="J67" t="str">
            <v>City</v>
          </cell>
          <cell r="K67" t="str">
            <v>City</v>
          </cell>
        </row>
        <row r="68">
          <cell r="A68" t="str">
            <v>EngState</v>
          </cell>
          <cell r="B68" t="str">
            <v>State</v>
          </cell>
          <cell r="C68" t="str">
            <v>Estado</v>
          </cell>
          <cell r="D68" t="str">
            <v>State (N.A.)</v>
          </cell>
          <cell r="E68" t="str">
            <v>State (N.A.)</v>
          </cell>
          <cell r="F68" t="str">
            <v>State (N.A.)</v>
          </cell>
          <cell r="G68" t="str">
            <v>State (N.A.)</v>
          </cell>
          <cell r="H68" t="str">
            <v>State (N.A.)</v>
          </cell>
          <cell r="I68" t="str">
            <v>State (N.A.)</v>
          </cell>
          <cell r="J68" t="str">
            <v>State (N.A.)</v>
          </cell>
          <cell r="K68" t="str">
            <v>State (if applicable)</v>
          </cell>
        </row>
        <row r="69">
          <cell r="A69" t="str">
            <v>EngPostal</v>
          </cell>
          <cell r="B69" t="str">
            <v>Zip Code</v>
          </cell>
          <cell r="C69" t="str">
            <v>Código Postal</v>
          </cell>
          <cell r="D69" t="str">
            <v>Postal Code</v>
          </cell>
          <cell r="E69" t="str">
            <v>Postal Code</v>
          </cell>
          <cell r="F69" t="str">
            <v>Postal Code</v>
          </cell>
          <cell r="G69" t="str">
            <v>Postal Code</v>
          </cell>
          <cell r="H69" t="str">
            <v>Postal Code</v>
          </cell>
          <cell r="I69" t="str">
            <v>Postal Code</v>
          </cell>
          <cell r="J69" t="str">
            <v>Postal Code</v>
          </cell>
          <cell r="K69" t="str">
            <v>Postal Code</v>
          </cell>
        </row>
        <row r="70">
          <cell r="A70" t="str">
            <v>EngPrio</v>
          </cell>
          <cell r="B70" t="str">
            <v>Priority</v>
          </cell>
          <cell r="C70" t="str">
            <v>Prioridad</v>
          </cell>
          <cell r="D70" t="str">
            <v>Priority</v>
          </cell>
          <cell r="E70" t="str">
            <v>Priority</v>
          </cell>
          <cell r="F70" t="str">
            <v>Priority</v>
          </cell>
          <cell r="G70" t="str">
            <v>Priority</v>
          </cell>
          <cell r="H70" t="str">
            <v>Priority</v>
          </cell>
          <cell r="I70" t="str">
            <v>Priority</v>
          </cell>
          <cell r="J70" t="str">
            <v>Priority</v>
          </cell>
          <cell r="K70" t="str">
            <v>Priority</v>
          </cell>
        </row>
        <row r="72">
          <cell r="A72" t="str">
            <v>PrimeCont</v>
          </cell>
          <cell r="B72" t="str">
            <v>Prime Contractor</v>
          </cell>
          <cell r="C72" t="str">
            <v>Contratista Principal</v>
          </cell>
          <cell r="D72" t="str">
            <v>Main Contractor</v>
          </cell>
          <cell r="E72" t="str">
            <v>Main Contractor</v>
          </cell>
          <cell r="F72" t="str">
            <v>Main Contractor</v>
          </cell>
          <cell r="G72" t="str">
            <v>General Contractor</v>
          </cell>
          <cell r="H72" t="str">
            <v>General Contractor</v>
          </cell>
          <cell r="I72" t="str">
            <v>Main Contractor</v>
          </cell>
          <cell r="J72" t="str">
            <v>General Contractor</v>
          </cell>
          <cell r="K72" t="str">
            <v>Main Contractor</v>
          </cell>
        </row>
        <row r="73">
          <cell r="A73" t="str">
            <v>PrimeName</v>
          </cell>
          <cell r="B73" t="str">
            <v>Name</v>
          </cell>
          <cell r="C73" t="str">
            <v>Nombre</v>
          </cell>
          <cell r="D73" t="str">
            <v>Name</v>
          </cell>
          <cell r="E73" t="str">
            <v>Name</v>
          </cell>
          <cell r="F73" t="str">
            <v>Name</v>
          </cell>
          <cell r="G73" t="str">
            <v>Name</v>
          </cell>
          <cell r="H73" t="str">
            <v>Name</v>
          </cell>
          <cell r="I73" t="str">
            <v>Name</v>
          </cell>
          <cell r="J73" t="str">
            <v>Name</v>
          </cell>
          <cell r="K73" t="str">
            <v>Name</v>
          </cell>
        </row>
        <row r="74">
          <cell r="A74" t="str">
            <v>PrimeAddress</v>
          </cell>
          <cell r="B74" t="str">
            <v>Address</v>
          </cell>
          <cell r="C74" t="str">
            <v xml:space="preserve">Dirección </v>
          </cell>
          <cell r="D74" t="str">
            <v>Address</v>
          </cell>
          <cell r="E74" t="str">
            <v>Address</v>
          </cell>
          <cell r="F74" t="str">
            <v>Address</v>
          </cell>
          <cell r="G74" t="str">
            <v>Address</v>
          </cell>
          <cell r="H74" t="str">
            <v>Address</v>
          </cell>
          <cell r="I74" t="str">
            <v>Address</v>
          </cell>
          <cell r="J74" t="str">
            <v>Address</v>
          </cell>
          <cell r="K74" t="str">
            <v>Address</v>
          </cell>
        </row>
        <row r="75">
          <cell r="A75" t="str">
            <v>PrimeCity</v>
          </cell>
          <cell r="B75" t="str">
            <v>City</v>
          </cell>
          <cell r="C75" t="str">
            <v>Ciudad</v>
          </cell>
          <cell r="D75" t="str">
            <v>City</v>
          </cell>
          <cell r="E75" t="str">
            <v>City</v>
          </cell>
          <cell r="F75" t="str">
            <v>City</v>
          </cell>
          <cell r="G75" t="str">
            <v>City</v>
          </cell>
          <cell r="H75" t="str">
            <v>City</v>
          </cell>
          <cell r="I75" t="str">
            <v>City</v>
          </cell>
          <cell r="J75" t="str">
            <v>City</v>
          </cell>
          <cell r="K75" t="str">
            <v>City</v>
          </cell>
        </row>
        <row r="76">
          <cell r="A76" t="str">
            <v>PrimeState</v>
          </cell>
          <cell r="B76" t="str">
            <v>State</v>
          </cell>
          <cell r="C76" t="str">
            <v>Estado</v>
          </cell>
          <cell r="D76" t="str">
            <v>State (N.A.)</v>
          </cell>
          <cell r="E76" t="str">
            <v>State (N.A.)</v>
          </cell>
          <cell r="F76" t="str">
            <v>State (N.A.)</v>
          </cell>
          <cell r="G76" t="str">
            <v>State (N.A.)</v>
          </cell>
          <cell r="H76" t="str">
            <v>State (N.A.)</v>
          </cell>
          <cell r="I76" t="str">
            <v>State (N.A.)</v>
          </cell>
          <cell r="J76" t="str">
            <v>State (N.A.)</v>
          </cell>
          <cell r="K76" t="str">
            <v>State (if applicable)</v>
          </cell>
        </row>
        <row r="77">
          <cell r="A77" t="str">
            <v>PrimePostal</v>
          </cell>
          <cell r="B77" t="str">
            <v>Zip Code</v>
          </cell>
          <cell r="C77" t="str">
            <v>Código Postal</v>
          </cell>
          <cell r="D77" t="str">
            <v>Postal Code</v>
          </cell>
          <cell r="E77" t="str">
            <v>Postal Code</v>
          </cell>
          <cell r="F77" t="str">
            <v>Postal Code</v>
          </cell>
          <cell r="G77" t="str">
            <v>Postal Code</v>
          </cell>
          <cell r="H77" t="str">
            <v>Postal Code</v>
          </cell>
          <cell r="I77" t="str">
            <v>Postal Code</v>
          </cell>
          <cell r="J77" t="str">
            <v>Postal Code</v>
          </cell>
          <cell r="K77" t="str">
            <v>Postal Code</v>
          </cell>
        </row>
        <row r="78">
          <cell r="A78" t="str">
            <v>PrimePrio</v>
          </cell>
          <cell r="B78" t="str">
            <v>Priority</v>
          </cell>
          <cell r="C78" t="str">
            <v>Prioridad</v>
          </cell>
          <cell r="D78" t="str">
            <v>Priority</v>
          </cell>
          <cell r="E78" t="str">
            <v>Priority</v>
          </cell>
          <cell r="F78" t="str">
            <v>Priority</v>
          </cell>
          <cell r="G78" t="str">
            <v>Priority</v>
          </cell>
          <cell r="H78" t="str">
            <v>Priority</v>
          </cell>
          <cell r="I78" t="str">
            <v>Priority</v>
          </cell>
          <cell r="J78" t="str">
            <v>Priority</v>
          </cell>
          <cell r="K78" t="str">
            <v>Priority</v>
          </cell>
        </row>
        <row r="80">
          <cell r="A80" t="str">
            <v>ProdInfo</v>
          </cell>
          <cell r="B80" t="str">
            <v>Product Information</v>
          </cell>
          <cell r="C80" t="str">
            <v>Información del Producto</v>
          </cell>
          <cell r="D80" t="str">
            <v>Product Information</v>
          </cell>
          <cell r="E80" t="str">
            <v>Product Information</v>
          </cell>
          <cell r="F80" t="str">
            <v>Product Information</v>
          </cell>
          <cell r="G80" t="str">
            <v>Product Information</v>
          </cell>
          <cell r="H80" t="str">
            <v>Product Information</v>
          </cell>
          <cell r="I80" t="str">
            <v>Product Information</v>
          </cell>
          <cell r="J80" t="str">
            <v>Product Information</v>
          </cell>
          <cell r="K80" t="str">
            <v>Product Information</v>
          </cell>
        </row>
        <row r="81">
          <cell r="A81" t="str">
            <v>ProdCode1</v>
          </cell>
          <cell r="B81" t="str">
            <v>Product Code 1</v>
          </cell>
          <cell r="C81" t="str">
            <v>Código del Producto 1</v>
          </cell>
          <cell r="D81" t="str">
            <v>Product Code 1</v>
          </cell>
          <cell r="E81" t="str">
            <v>Product Code 1</v>
          </cell>
          <cell r="F81" t="str">
            <v>Product Code 1</v>
          </cell>
          <cell r="G81" t="str">
            <v>Product Code 1</v>
          </cell>
          <cell r="H81" t="str">
            <v>Product Code 1</v>
          </cell>
          <cell r="I81" t="str">
            <v>Product Code 1</v>
          </cell>
          <cell r="J81" t="str">
            <v>Product Code 1</v>
          </cell>
          <cell r="K81" t="str">
            <v>Product Code 1</v>
          </cell>
        </row>
        <row r="82">
          <cell r="A82" t="str">
            <v>ProdPct1</v>
          </cell>
          <cell r="B82" t="str">
            <v>Product Percent 1</v>
          </cell>
          <cell r="C82" t="str">
            <v>Porcentaje del Producto 1</v>
          </cell>
          <cell r="D82" t="str">
            <v>Product Percent 1</v>
          </cell>
          <cell r="E82" t="str">
            <v>Product Percent 1</v>
          </cell>
          <cell r="F82" t="str">
            <v>Product Percent 1</v>
          </cell>
          <cell r="G82" t="str">
            <v>Product Percent 1</v>
          </cell>
          <cell r="H82" t="str">
            <v>Product Percent 1</v>
          </cell>
          <cell r="I82" t="str">
            <v>Product Percent 1</v>
          </cell>
          <cell r="J82" t="str">
            <v>Product Percent 1</v>
          </cell>
          <cell r="K82" t="str">
            <v>Product Percent 1</v>
          </cell>
        </row>
        <row r="83">
          <cell r="A83" t="str">
            <v>SrvcCode1</v>
          </cell>
          <cell r="B83" t="str">
            <v>Service Code 1</v>
          </cell>
          <cell r="C83" t="str">
            <v>Código del Servicio 1</v>
          </cell>
          <cell r="D83" t="str">
            <v>Service Code 1</v>
          </cell>
          <cell r="E83" t="str">
            <v>Service Code 1</v>
          </cell>
          <cell r="F83" t="str">
            <v>Service Code 1</v>
          </cell>
          <cell r="G83" t="str">
            <v>Service Code 1</v>
          </cell>
          <cell r="H83" t="str">
            <v>Service Code 1</v>
          </cell>
          <cell r="I83" t="str">
            <v>Service Code 1</v>
          </cell>
          <cell r="J83" t="str">
            <v>Service Code 1</v>
          </cell>
          <cell r="K83" t="str">
            <v>Service Code 1</v>
          </cell>
        </row>
        <row r="84">
          <cell r="A84" t="str">
            <v>ProdCode2</v>
          </cell>
          <cell r="B84" t="str">
            <v>Product Code 2</v>
          </cell>
          <cell r="C84" t="str">
            <v>Código del Producto 2</v>
          </cell>
          <cell r="D84" t="str">
            <v>Product Code 2</v>
          </cell>
          <cell r="E84" t="str">
            <v>Product Code 2</v>
          </cell>
          <cell r="F84" t="str">
            <v>Product Code 2</v>
          </cell>
          <cell r="G84" t="str">
            <v>Product Code 2</v>
          </cell>
          <cell r="H84" t="str">
            <v>Product Code 2</v>
          </cell>
          <cell r="I84" t="str">
            <v>Product Code 2</v>
          </cell>
          <cell r="J84" t="str">
            <v>Product Code 2</v>
          </cell>
          <cell r="K84" t="str">
            <v>Product Code 2</v>
          </cell>
        </row>
        <row r="85">
          <cell r="A85" t="str">
            <v>ProdPct2</v>
          </cell>
          <cell r="B85" t="str">
            <v>Product Percent 2</v>
          </cell>
          <cell r="C85" t="str">
            <v>Porcentaje del Producto 2</v>
          </cell>
          <cell r="D85" t="str">
            <v>Product Percent 2</v>
          </cell>
          <cell r="E85" t="str">
            <v>Product Percent 2</v>
          </cell>
          <cell r="F85" t="str">
            <v>Product Percent 2</v>
          </cell>
          <cell r="G85" t="str">
            <v>Product Percent 2</v>
          </cell>
          <cell r="H85" t="str">
            <v>Product Percent 2</v>
          </cell>
          <cell r="I85" t="str">
            <v>Product Percent 2</v>
          </cell>
          <cell r="J85" t="str">
            <v>Product Percent 2</v>
          </cell>
          <cell r="K85" t="str">
            <v>Product Percent 2</v>
          </cell>
        </row>
        <row r="86">
          <cell r="A86" t="str">
            <v>SrvcCode2</v>
          </cell>
          <cell r="B86" t="str">
            <v>Service Code 2</v>
          </cell>
          <cell r="C86" t="str">
            <v>Código del Servicio 2</v>
          </cell>
          <cell r="D86" t="str">
            <v>Service Code 2</v>
          </cell>
          <cell r="E86" t="str">
            <v>Service Code 2</v>
          </cell>
          <cell r="F86" t="str">
            <v>Service Code 2</v>
          </cell>
          <cell r="G86" t="str">
            <v>Service Code 2</v>
          </cell>
          <cell r="H86" t="str">
            <v>Service Code 2</v>
          </cell>
          <cell r="I86" t="str">
            <v>Service Code 2</v>
          </cell>
          <cell r="J86" t="str">
            <v>Service Code 2</v>
          </cell>
          <cell r="K86" t="str">
            <v>Service Code 2</v>
          </cell>
        </row>
        <row r="87">
          <cell r="A87" t="str">
            <v>ProdCode3</v>
          </cell>
          <cell r="B87" t="str">
            <v>Product Code 3</v>
          </cell>
          <cell r="C87" t="str">
            <v>Código del Producto 3</v>
          </cell>
          <cell r="D87" t="str">
            <v>Product Code 3</v>
          </cell>
          <cell r="E87" t="str">
            <v>Product Code 3</v>
          </cell>
          <cell r="F87" t="str">
            <v>Product Code 3</v>
          </cell>
          <cell r="G87" t="str">
            <v>Product Code 3</v>
          </cell>
          <cell r="H87" t="str">
            <v>Product Code 3</v>
          </cell>
          <cell r="I87" t="str">
            <v>Product Code 3</v>
          </cell>
          <cell r="J87" t="str">
            <v>Product Code 3</v>
          </cell>
          <cell r="K87" t="str">
            <v>Product Code 3</v>
          </cell>
        </row>
        <row r="88">
          <cell r="A88" t="str">
            <v>ProdPct3</v>
          </cell>
          <cell r="B88" t="str">
            <v>Product Percent 3</v>
          </cell>
          <cell r="C88" t="str">
            <v>Porcentaje del Producto 3</v>
          </cell>
          <cell r="D88" t="str">
            <v>Product Percent 3</v>
          </cell>
          <cell r="E88" t="str">
            <v>Product Percent 3</v>
          </cell>
          <cell r="F88" t="str">
            <v>Product Percent 3</v>
          </cell>
          <cell r="G88" t="str">
            <v>Product Percent 3</v>
          </cell>
          <cell r="H88" t="str">
            <v>Product Percent 3</v>
          </cell>
          <cell r="I88" t="str">
            <v>Product Percent 3</v>
          </cell>
          <cell r="J88" t="str">
            <v>Product Percent 3</v>
          </cell>
          <cell r="K88" t="str">
            <v>Product Percent 3</v>
          </cell>
        </row>
        <row r="89">
          <cell r="A89" t="str">
            <v>SrvcCode3</v>
          </cell>
          <cell r="B89" t="str">
            <v>Service Code 3</v>
          </cell>
          <cell r="C89" t="str">
            <v>Código del Servicio 3</v>
          </cell>
          <cell r="D89" t="str">
            <v>Service Code 3</v>
          </cell>
          <cell r="E89" t="str">
            <v>Service Code 3</v>
          </cell>
          <cell r="F89" t="str">
            <v>Service Code 3</v>
          </cell>
          <cell r="G89" t="str">
            <v>Service Code 3</v>
          </cell>
          <cell r="H89" t="str">
            <v>Service Code 3</v>
          </cell>
          <cell r="I89" t="str">
            <v>Service Code 3</v>
          </cell>
          <cell r="J89" t="str">
            <v>Service Code 3</v>
          </cell>
          <cell r="K89" t="str">
            <v>Service Code 3</v>
          </cell>
        </row>
        <row r="90">
          <cell r="A90" t="str">
            <v>ProdCode4</v>
          </cell>
          <cell r="B90" t="str">
            <v>Product Code 4</v>
          </cell>
          <cell r="C90" t="str">
            <v>Código del Producto 4</v>
          </cell>
          <cell r="D90" t="str">
            <v>Product Code 4</v>
          </cell>
          <cell r="E90" t="str">
            <v>Product Code 4</v>
          </cell>
          <cell r="F90" t="str">
            <v>Product Code 4</v>
          </cell>
          <cell r="G90" t="str">
            <v>Product Code 4</v>
          </cell>
          <cell r="H90" t="str">
            <v>Product Code 4</v>
          </cell>
          <cell r="I90" t="str">
            <v>Product Code 4</v>
          </cell>
          <cell r="J90" t="str">
            <v>Product Code 4</v>
          </cell>
          <cell r="K90" t="str">
            <v>Product Code 4</v>
          </cell>
        </row>
        <row r="91">
          <cell r="A91" t="str">
            <v>ProdPct4</v>
          </cell>
          <cell r="B91" t="str">
            <v>Product Percent 4</v>
          </cell>
          <cell r="C91" t="str">
            <v>Porcentaje del Producto 4</v>
          </cell>
          <cell r="D91" t="str">
            <v>Product Percent 4</v>
          </cell>
          <cell r="E91" t="str">
            <v>Product Percent 4</v>
          </cell>
          <cell r="F91" t="str">
            <v>Product Percent 4</v>
          </cell>
          <cell r="G91" t="str">
            <v>Product Percent 4</v>
          </cell>
          <cell r="H91" t="str">
            <v>Product Percent 4</v>
          </cell>
          <cell r="I91" t="str">
            <v>Product Percent 4</v>
          </cell>
          <cell r="J91" t="str">
            <v>Product Percent 4</v>
          </cell>
          <cell r="K91" t="str">
            <v>Product Percent 4</v>
          </cell>
        </row>
        <row r="92">
          <cell r="A92" t="str">
            <v>SrvcCode4</v>
          </cell>
          <cell r="B92" t="str">
            <v>Service Code 4</v>
          </cell>
          <cell r="C92" t="str">
            <v>Código del Servicio 4</v>
          </cell>
          <cell r="D92" t="str">
            <v>Service Code 4</v>
          </cell>
          <cell r="E92" t="str">
            <v>Service Code 4</v>
          </cell>
          <cell r="F92" t="str">
            <v>Service Code 4</v>
          </cell>
          <cell r="G92" t="str">
            <v>Service Code 4</v>
          </cell>
          <cell r="H92" t="str">
            <v>Service Code 4</v>
          </cell>
          <cell r="I92" t="str">
            <v>Service Code 4</v>
          </cell>
          <cell r="J92" t="str">
            <v>Service Code 4</v>
          </cell>
          <cell r="K92" t="str">
            <v>Service Code 4</v>
          </cell>
        </row>
        <row r="93">
          <cell r="A93" t="str">
            <v>ProdCode5</v>
          </cell>
          <cell r="B93" t="str">
            <v>Product Code 5</v>
          </cell>
          <cell r="C93" t="str">
            <v>Código del Producto 5</v>
          </cell>
          <cell r="D93" t="str">
            <v>Product Code 5</v>
          </cell>
          <cell r="E93" t="str">
            <v>Product Code 5</v>
          </cell>
          <cell r="F93" t="str">
            <v>Product Code 5</v>
          </cell>
          <cell r="G93" t="str">
            <v>Product Code 5</v>
          </cell>
          <cell r="H93" t="str">
            <v>Product Code 5</v>
          </cell>
          <cell r="I93" t="str">
            <v>Product Code 5</v>
          </cell>
          <cell r="J93" t="str">
            <v>Product Code 5</v>
          </cell>
          <cell r="K93" t="str">
            <v>Product Code 5</v>
          </cell>
        </row>
        <row r="94">
          <cell r="A94" t="str">
            <v>ProdPct5</v>
          </cell>
          <cell r="B94" t="str">
            <v>Product Percent 5</v>
          </cell>
          <cell r="C94" t="str">
            <v>Porcentaje del Producto 5</v>
          </cell>
          <cell r="D94" t="str">
            <v>Product Percent 5</v>
          </cell>
          <cell r="E94" t="str">
            <v>Product Percent 5</v>
          </cell>
          <cell r="F94" t="str">
            <v>Product Percent 5</v>
          </cell>
          <cell r="G94" t="str">
            <v>Product Percent 5</v>
          </cell>
          <cell r="H94" t="str">
            <v>Product Percent 5</v>
          </cell>
          <cell r="I94" t="str">
            <v>Product Percent 5</v>
          </cell>
          <cell r="J94" t="str">
            <v>Product Percent 5</v>
          </cell>
          <cell r="K94" t="str">
            <v>Product Percent 5</v>
          </cell>
        </row>
        <row r="95">
          <cell r="A95" t="str">
            <v>SrvcCode5</v>
          </cell>
          <cell r="B95" t="str">
            <v>Service Code 5</v>
          </cell>
          <cell r="C95" t="str">
            <v>Código del Servicio 5</v>
          </cell>
          <cell r="D95" t="str">
            <v>Service Code 5</v>
          </cell>
          <cell r="E95" t="str">
            <v>Service Code 5</v>
          </cell>
          <cell r="F95" t="str">
            <v>Service Code 5</v>
          </cell>
          <cell r="G95" t="str">
            <v>Service Code 5</v>
          </cell>
          <cell r="H95" t="str">
            <v>Service Code 5</v>
          </cell>
          <cell r="I95" t="str">
            <v>Service Code 5</v>
          </cell>
          <cell r="J95" t="str">
            <v>Service Code 5</v>
          </cell>
          <cell r="K95" t="str">
            <v>Service Code 5</v>
          </cell>
        </row>
        <row r="97">
          <cell r="A97" t="str">
            <v>AcctInfo</v>
          </cell>
          <cell r="B97" t="str">
            <v>Account Information</v>
          </cell>
          <cell r="C97" t="str">
            <v>Información de la Cuenta</v>
          </cell>
          <cell r="D97" t="str">
            <v>Account Information</v>
          </cell>
          <cell r="E97" t="str">
            <v>Account Information</v>
          </cell>
          <cell r="F97" t="str">
            <v>Account Information</v>
          </cell>
          <cell r="G97" t="str">
            <v>Account Information</v>
          </cell>
          <cell r="H97" t="str">
            <v>Account Information</v>
          </cell>
          <cell r="I97" t="str">
            <v>Account Information</v>
          </cell>
          <cell r="J97" t="str">
            <v>Account Information</v>
          </cell>
          <cell r="K97" t="str">
            <v>Account Information</v>
          </cell>
        </row>
        <row r="98">
          <cell r="A98" t="str">
            <v>AcctName</v>
          </cell>
          <cell r="B98" t="str">
            <v>Account Name</v>
          </cell>
          <cell r="C98" t="str">
            <v>Nombre de la Cuenta</v>
          </cell>
          <cell r="D98" t="str">
            <v>Account Name</v>
          </cell>
          <cell r="E98" t="str">
            <v>Account Name</v>
          </cell>
          <cell r="F98" t="str">
            <v>Account Name</v>
          </cell>
          <cell r="G98" t="str">
            <v>Account Name</v>
          </cell>
          <cell r="H98" t="str">
            <v>Account Name</v>
          </cell>
          <cell r="I98" t="str">
            <v>Account Name</v>
          </cell>
          <cell r="J98" t="str">
            <v>Account Name</v>
          </cell>
          <cell r="K98" t="str">
            <v>Account Name</v>
          </cell>
        </row>
        <row r="99">
          <cell r="A99" t="str">
            <v>SiteType</v>
          </cell>
          <cell r="B99" t="str">
            <v>Site Type</v>
          </cell>
          <cell r="C99" t="str">
            <v>Tipo de Obra / Site</v>
          </cell>
          <cell r="D99" t="str">
            <v>Site Type</v>
          </cell>
          <cell r="E99" t="str">
            <v>Site Type</v>
          </cell>
          <cell r="F99" t="str">
            <v>Site Type</v>
          </cell>
          <cell r="G99" t="str">
            <v>Site Type</v>
          </cell>
          <cell r="H99" t="str">
            <v>Site Type</v>
          </cell>
          <cell r="I99" t="str">
            <v>Site Type</v>
          </cell>
          <cell r="J99" t="str">
            <v>Site Type</v>
          </cell>
          <cell r="K99" t="str">
            <v>Site Type</v>
          </cell>
        </row>
        <row r="100">
          <cell r="A100" t="str">
            <v>SiteID</v>
          </cell>
          <cell r="B100" t="str">
            <v>Site ID</v>
          </cell>
          <cell r="C100" t="str">
            <v>ID / Clave de Obra / Site</v>
          </cell>
          <cell r="D100" t="str">
            <v>Site ID</v>
          </cell>
          <cell r="E100" t="str">
            <v>Site ID</v>
          </cell>
          <cell r="F100" t="str">
            <v>Site ID</v>
          </cell>
          <cell r="G100" t="str">
            <v>Site ID</v>
          </cell>
          <cell r="H100" t="str">
            <v>Site ID</v>
          </cell>
          <cell r="I100" t="str">
            <v>Site ID</v>
          </cell>
          <cell r="J100" t="str">
            <v>Site ID</v>
          </cell>
          <cell r="K100" t="str">
            <v>Site ID</v>
          </cell>
        </row>
        <row r="101">
          <cell r="A101" t="str">
            <v>AcctPrio</v>
          </cell>
          <cell r="B101" t="str">
            <v>Priority</v>
          </cell>
          <cell r="C101" t="str">
            <v>Prioridad</v>
          </cell>
          <cell r="D101" t="str">
            <v>Priority</v>
          </cell>
          <cell r="E101" t="str">
            <v>Priority</v>
          </cell>
          <cell r="F101" t="str">
            <v>Priority</v>
          </cell>
          <cell r="G101" t="str">
            <v>Priority</v>
          </cell>
          <cell r="H101" t="str">
            <v>Priority</v>
          </cell>
          <cell r="I101" t="str">
            <v>Priority</v>
          </cell>
          <cell r="J101" t="str">
            <v>Priority</v>
          </cell>
          <cell r="K101" t="str">
            <v>Priority</v>
          </cell>
        </row>
        <row r="103">
          <cell r="A103" t="str">
            <v>Comments</v>
          </cell>
          <cell r="B103" t="str">
            <v>Comments</v>
          </cell>
          <cell r="C103" t="str">
            <v>Condiciones de Pago / Comentarios</v>
          </cell>
          <cell r="D103" t="str">
            <v>Billing, Shipping, Contact Information / Other Comments</v>
          </cell>
          <cell r="E103" t="str">
            <v>Billing, Shipping, Contact Information / Other Comments</v>
          </cell>
          <cell r="F103" t="str">
            <v>Billing, Shipping, Contact Information / Other Comments</v>
          </cell>
          <cell r="G103" t="str">
            <v>Billing, Shipping, Contact Information / Other Comments</v>
          </cell>
          <cell r="H103" t="str">
            <v>Billing, Shipping, Contact Information / Other Comments</v>
          </cell>
          <cell r="I103" t="str">
            <v>Billing, Shipping, Contact Information / Other Comments</v>
          </cell>
          <cell r="J103" t="str">
            <v>Billing, Shipping, Contact Information / Other Comments</v>
          </cell>
          <cell r="K103" t="str">
            <v>Billing, Shipping, Contact Information / Other Comments</v>
          </cell>
        </row>
        <row r="105">
          <cell r="A105" t="str">
            <v>Approvals</v>
          </cell>
          <cell r="B105" t="str">
            <v>Approvals</v>
          </cell>
          <cell r="C105" t="str">
            <v>Aprobado por</v>
          </cell>
          <cell r="D105" t="str">
            <v>Approvals</v>
          </cell>
          <cell r="E105" t="str">
            <v>Approvals</v>
          </cell>
          <cell r="F105" t="str">
            <v>Approvals</v>
          </cell>
          <cell r="G105" t="str">
            <v>Approvals</v>
          </cell>
          <cell r="H105" t="str">
            <v>Approvals</v>
          </cell>
          <cell r="I105" t="str">
            <v>Approvals</v>
          </cell>
          <cell r="J105" t="str">
            <v>Approvals</v>
          </cell>
          <cell r="K105" t="str">
            <v>Approvals</v>
          </cell>
        </row>
        <row r="106">
          <cell r="A106" t="str">
            <v>AccountExec</v>
          </cell>
          <cell r="B106" t="str">
            <v>Account Executive (Initials / Name)</v>
          </cell>
          <cell r="C106" t="str">
            <v>Ejecutivo de Cuenta (Iniciales / Nombre)</v>
          </cell>
          <cell r="D106" t="str">
            <v>Salesperson (Initials / Name)</v>
          </cell>
          <cell r="E106" t="str">
            <v>Salesperson (Initials / Name)</v>
          </cell>
          <cell r="F106" t="str">
            <v>Salesperson (Initials / Name)</v>
          </cell>
          <cell r="G106" t="str">
            <v>Salesperson (Initials / Name)</v>
          </cell>
          <cell r="H106" t="str">
            <v>Salesperson (Initials / Name)</v>
          </cell>
          <cell r="I106" t="str">
            <v>Salesperson (Initials / Name)</v>
          </cell>
          <cell r="J106" t="str">
            <v>Salesperson (Initials / Name)</v>
          </cell>
          <cell r="K106" t="str">
            <v>Salesperson (Initials / Name)</v>
          </cell>
        </row>
        <row r="107">
          <cell r="A107" t="str">
            <v>ProjectMgr</v>
          </cell>
          <cell r="B107" t="str">
            <v>Project Manager (Initials / Name)</v>
          </cell>
          <cell r="C107" t="str">
            <v>Gerente de Proyecto (Iniciales / Nombre)</v>
          </cell>
          <cell r="D107" t="str">
            <v>Project Manager (Initials / Name)</v>
          </cell>
          <cell r="E107" t="str">
            <v>Project Manager (Initials / Name)</v>
          </cell>
          <cell r="F107" t="str">
            <v>Project Manager (Initials / Name)</v>
          </cell>
          <cell r="G107" t="str">
            <v>Project Manager (Initials / Name)</v>
          </cell>
          <cell r="H107" t="str">
            <v>Project Manager (Initials / Name)</v>
          </cell>
          <cell r="I107" t="str">
            <v>Project Manager (Initials / Name)</v>
          </cell>
          <cell r="J107" t="str">
            <v>Project Manager (Initials / Name)</v>
          </cell>
          <cell r="K107" t="str">
            <v>Project Manager (Initials / Name)</v>
          </cell>
        </row>
        <row r="108">
          <cell r="A108" t="str">
            <v>ASMApproval</v>
          </cell>
          <cell r="B108" t="str">
            <v>ASM</v>
          </cell>
          <cell r="C108" t="str">
            <v>ASM</v>
          </cell>
          <cell r="D108" t="str">
            <v>Sales Manager</v>
          </cell>
          <cell r="E108" t="str">
            <v>Sales Manager</v>
          </cell>
          <cell r="F108" t="str">
            <v>Sales Manager</v>
          </cell>
          <cell r="G108" t="str">
            <v>Sales Manager</v>
          </cell>
          <cell r="H108" t="str">
            <v>Sales Manager</v>
          </cell>
          <cell r="I108" t="str">
            <v>Sales Manager</v>
          </cell>
          <cell r="J108" t="str">
            <v>Sales Manager</v>
          </cell>
          <cell r="K108" t="str">
            <v>Sales Manager</v>
          </cell>
        </row>
        <row r="109">
          <cell r="A109" t="str">
            <v>AIMApproval</v>
          </cell>
          <cell r="B109" t="str">
            <v>AIM</v>
          </cell>
          <cell r="C109" t="str">
            <v>AIM</v>
          </cell>
          <cell r="D109" t="str">
            <v>Installation / Service Manager</v>
          </cell>
          <cell r="E109" t="str">
            <v>Installation / Service Manager</v>
          </cell>
          <cell r="F109" t="str">
            <v>Installation / Service Manager</v>
          </cell>
          <cell r="G109" t="str">
            <v>Installation / Service Manager</v>
          </cell>
          <cell r="H109" t="str">
            <v>Installation / Service Manager</v>
          </cell>
          <cell r="I109" t="str">
            <v>Installation / Service Manager</v>
          </cell>
          <cell r="J109" t="str">
            <v>Installation / Service Manager</v>
          </cell>
          <cell r="K109" t="str">
            <v>Installation Manager</v>
          </cell>
        </row>
        <row r="110">
          <cell r="A110" t="str">
            <v>AGMApproval</v>
          </cell>
          <cell r="B110" t="str">
            <v>AGM</v>
          </cell>
          <cell r="C110" t="str">
            <v>AGM</v>
          </cell>
          <cell r="D110" t="str">
            <v>General Manager / Fin. Controller</v>
          </cell>
          <cell r="E110" t="str">
            <v>General Manager / Fin. Controller</v>
          </cell>
          <cell r="F110" t="str">
            <v>General Manager / Fin. Controller</v>
          </cell>
          <cell r="G110" t="str">
            <v>General Manager / Fin. Controller</v>
          </cell>
          <cell r="H110" t="str">
            <v>General Manager / Fin. Controller</v>
          </cell>
          <cell r="I110" t="str">
            <v>General Manager / Fin. Controller</v>
          </cell>
          <cell r="J110" t="str">
            <v>General Manager / Fin. Controller</v>
          </cell>
          <cell r="K110" t="str">
            <v>General Manager</v>
          </cell>
        </row>
        <row r="112">
          <cell r="A112" t="str">
            <v>MultiYrPSA</v>
          </cell>
          <cell r="B112" t="str">
            <v>Multi Year PSA</v>
          </cell>
          <cell r="C112" t="str">
            <v>Año Multiple PSA</v>
          </cell>
          <cell r="D112" t="str">
            <v>Multi Year PSA</v>
          </cell>
          <cell r="E112" t="str">
            <v>Multi Year PSA</v>
          </cell>
          <cell r="F112" t="str">
            <v>Multi Year PSA</v>
          </cell>
          <cell r="G112" t="str">
            <v>Multi Year PSA</v>
          </cell>
          <cell r="H112" t="str">
            <v>Multi Year PSA</v>
          </cell>
          <cell r="I112" t="str">
            <v>Multi Year PSA</v>
          </cell>
          <cell r="J112" t="str">
            <v>Multi Year PSA</v>
          </cell>
          <cell r="K112" t="str">
            <v>Multi Year PSA</v>
          </cell>
        </row>
        <row r="113">
          <cell r="A113" t="str">
            <v>TotalSecured</v>
          </cell>
          <cell r="B113" t="str">
            <v>Total Amount Secured</v>
          </cell>
          <cell r="C113" t="str">
            <v>Cantidad Total Asegurada</v>
          </cell>
          <cell r="D113" t="str">
            <v>Total Amount Secured</v>
          </cell>
          <cell r="E113" t="str">
            <v>Total Amount Secured</v>
          </cell>
          <cell r="F113" t="str">
            <v>Total Amount Secured</v>
          </cell>
          <cell r="G113" t="str">
            <v>Total Amount Secured</v>
          </cell>
          <cell r="H113" t="str">
            <v>Total Amount Secured</v>
          </cell>
          <cell r="I113" t="str">
            <v>Total Amount Secured</v>
          </cell>
          <cell r="J113" t="str">
            <v>Total Amount Secured</v>
          </cell>
          <cell r="K113" t="str">
            <v>Total Amount Secured</v>
          </cell>
        </row>
        <row r="114">
          <cell r="A114" t="str">
            <v>TotalGrossMargin</v>
          </cell>
          <cell r="B114" t="str">
            <v>Total Gross Margin</v>
          </cell>
          <cell r="C114" t="str">
            <v>Margen Total Bruto</v>
          </cell>
          <cell r="D114" t="str">
            <v>Total Gross Margin</v>
          </cell>
          <cell r="E114" t="str">
            <v>Total Gross Margin</v>
          </cell>
          <cell r="F114" t="str">
            <v>Total Gross Margin</v>
          </cell>
          <cell r="G114" t="str">
            <v>Total Gross Margin</v>
          </cell>
          <cell r="H114" t="str">
            <v>Total Gross Margin</v>
          </cell>
          <cell r="I114" t="str">
            <v>Total Gross Margin</v>
          </cell>
          <cell r="J114" t="str">
            <v>Total Gross Margin</v>
          </cell>
          <cell r="K114" t="str">
            <v>Total Gross Margin</v>
          </cell>
        </row>
        <row r="115">
          <cell r="A115" t="str">
            <v>Duration</v>
          </cell>
          <cell r="B115" t="str">
            <v>Duration</v>
          </cell>
          <cell r="C115" t="str">
            <v>Duración</v>
          </cell>
          <cell r="D115" t="str">
            <v>Duration</v>
          </cell>
          <cell r="E115" t="str">
            <v>Duration</v>
          </cell>
          <cell r="F115" t="str">
            <v>Duration</v>
          </cell>
          <cell r="G115" t="str">
            <v>Duration</v>
          </cell>
          <cell r="H115" t="str">
            <v>Duration</v>
          </cell>
          <cell r="I115" t="str">
            <v>Duration</v>
          </cell>
          <cell r="J115" t="str">
            <v>Duration</v>
          </cell>
          <cell r="K115" t="str">
            <v>Duration</v>
          </cell>
        </row>
        <row r="117">
          <cell r="A117" t="str">
            <v>Misc</v>
          </cell>
          <cell r="B117" t="str">
            <v>Miscellaneous</v>
          </cell>
          <cell r="C117" t="str">
            <v>Misceláneo</v>
          </cell>
          <cell r="D117" t="str">
            <v>Miscellaneous</v>
          </cell>
          <cell r="E117" t="str">
            <v>Miscellaneous</v>
          </cell>
          <cell r="F117" t="str">
            <v>Miscellaneous</v>
          </cell>
          <cell r="G117" t="str">
            <v>Miscellaneous</v>
          </cell>
          <cell r="H117" t="str">
            <v>Miscellaneous</v>
          </cell>
          <cell r="I117" t="str">
            <v>Miscellaneous</v>
          </cell>
          <cell r="J117" t="str">
            <v>Miscellaneous</v>
          </cell>
          <cell r="K117" t="str">
            <v>Miscellaneous</v>
          </cell>
        </row>
        <row r="118">
          <cell r="A118" t="str">
            <v>BillingFreq</v>
          </cell>
          <cell r="B118" t="str">
            <v>PSA Billing Frequency</v>
          </cell>
          <cell r="C118" t="str">
            <v>PSA Frecuencia de Facturacion</v>
          </cell>
          <cell r="D118" t="str">
            <v>PSA Billing Frequency</v>
          </cell>
          <cell r="E118" t="str">
            <v>PSA Billing Frequency</v>
          </cell>
          <cell r="F118" t="str">
            <v>PSA Billing Frequency</v>
          </cell>
          <cell r="G118" t="str">
            <v>PSA Billing Frequency</v>
          </cell>
          <cell r="H118" t="str">
            <v>PSA Billing Frequency</v>
          </cell>
          <cell r="I118" t="str">
            <v>PSA Billing Frequency</v>
          </cell>
          <cell r="J118" t="str">
            <v>PSA Billing Frequency</v>
          </cell>
          <cell r="K118" t="str">
            <v>PSA Billing Frequency</v>
          </cell>
        </row>
        <row r="119">
          <cell r="A119" t="str">
            <v>BillingTiming</v>
          </cell>
          <cell r="B119" t="str">
            <v>PSA Billing Timing</v>
          </cell>
          <cell r="C119" t="str">
            <v>PSA Momento de Facturacion</v>
          </cell>
          <cell r="D119" t="str">
            <v>PSA Billing Timing</v>
          </cell>
          <cell r="E119" t="str">
            <v>PSA Billing Timing</v>
          </cell>
          <cell r="F119" t="str">
            <v>PSA Billing Timing</v>
          </cell>
          <cell r="G119" t="str">
            <v>PSA Billing Timing</v>
          </cell>
          <cell r="H119" t="str">
            <v>PSA Billing Timing</v>
          </cell>
          <cell r="I119" t="str">
            <v>PSA Billing Timing</v>
          </cell>
          <cell r="J119" t="str">
            <v>PSA Billing Timing</v>
          </cell>
          <cell r="K119" t="str">
            <v>PSA Billing Timing</v>
          </cell>
        </row>
        <row r="120">
          <cell r="A120" t="str">
            <v>PSABillingMethod</v>
          </cell>
          <cell r="B120" t="str">
            <v>PSA Billing Method</v>
          </cell>
          <cell r="C120" t="str">
            <v>PSA Metodo de Facturacion</v>
          </cell>
          <cell r="D120" t="str">
            <v>PSA Billing Method</v>
          </cell>
          <cell r="E120" t="str">
            <v>PSA Billing Method</v>
          </cell>
          <cell r="F120" t="str">
            <v>PSA Billing Method</v>
          </cell>
          <cell r="G120" t="str">
            <v>PSA Billing Method</v>
          </cell>
          <cell r="H120" t="str">
            <v>PSA Billing Method</v>
          </cell>
          <cell r="I120" t="str">
            <v>PSA Billing Method</v>
          </cell>
          <cell r="J120" t="str">
            <v>PSA Billing Method</v>
          </cell>
          <cell r="K120" t="str">
            <v>PSA Billing Method</v>
          </cell>
        </row>
        <row r="121">
          <cell r="A121" t="str">
            <v>InstBillingMethod</v>
          </cell>
          <cell r="B121" t="str">
            <v>Installation Billing Method</v>
          </cell>
          <cell r="C121" t="str">
            <v>Metodo de Fact. de Instalacion</v>
          </cell>
          <cell r="D121" t="str">
            <v>Installation Billing Method</v>
          </cell>
          <cell r="E121" t="str">
            <v>Installation Billing Method</v>
          </cell>
          <cell r="F121" t="str">
            <v>Installation Billing Method</v>
          </cell>
          <cell r="G121" t="str">
            <v>Installation Billing Method</v>
          </cell>
          <cell r="H121" t="str">
            <v>Installation Billing Method</v>
          </cell>
          <cell r="I121" t="str">
            <v>Installation Billing Method</v>
          </cell>
          <cell r="J121" t="str">
            <v>Installation Billing Method</v>
          </cell>
          <cell r="K121" t="str">
            <v>Installation Billing Method</v>
          </cell>
        </row>
        <row r="122">
          <cell r="A122" t="str">
            <v>PreBidApproval</v>
          </cell>
          <cell r="B122" t="str">
            <v>Pre-Bid Approval</v>
          </cell>
          <cell r="C122" t="str">
            <v>Pre-Oferta Aprovada</v>
          </cell>
          <cell r="D122" t="str">
            <v>Pre-Bid Approval</v>
          </cell>
          <cell r="E122" t="str">
            <v>Pre-Bid Approval</v>
          </cell>
          <cell r="F122" t="str">
            <v>Pre-Bid Approval</v>
          </cell>
          <cell r="G122" t="str">
            <v>Pre-Bid Approval</v>
          </cell>
          <cell r="H122" t="str">
            <v>Pre-Bid Approval</v>
          </cell>
          <cell r="I122" t="str">
            <v>Pre-Bid Approval</v>
          </cell>
          <cell r="J122" t="str">
            <v>Pre-Bid Approval</v>
          </cell>
          <cell r="K122" t="str">
            <v>Pre-Bid Approval</v>
          </cell>
        </row>
        <row r="123">
          <cell r="A123" t="str">
            <v>CurrencyRate</v>
          </cell>
          <cell r="B123" t="str">
            <v>Exchange Rate (not applicable, use 1.0)</v>
          </cell>
          <cell r="C123" t="str">
            <v>Tipo de cambio - pesos por USD</v>
          </cell>
          <cell r="D123" t="str">
            <v>Exchange Rate - USD per HK$</v>
          </cell>
          <cell r="E123" t="str">
            <v>Exchange Rate - USD per RM$</v>
          </cell>
          <cell r="F123" t="str">
            <v>Exchange Rate - USD per SGD</v>
          </cell>
          <cell r="G123" t="str">
            <v>Exchange Rate - USD per Rp</v>
          </cell>
          <cell r="H123" t="str">
            <v>Exchange Rate - USD per SGD$</v>
          </cell>
          <cell r="I123" t="str">
            <v>Exchange Rate - USD per THB$</v>
          </cell>
          <cell r="J123" t="str">
            <v>Exchange Rate - USD per AUD</v>
          </cell>
          <cell r="K123" t="str">
            <v>Exchange Rate - USD per local currency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heetName val="Summary"/>
      <sheetName val="LT Panel Summary"/>
      <sheetName val="Cos"/>
      <sheetName val="RISING MAINS"/>
      <sheetName val="LIGHT FIXTURE"/>
      <sheetName val="DB"/>
      <sheetName val="cab-Al"/>
      <sheetName val="CAB-Cu"/>
      <sheetName val="PT_WIRING &amp; raceway"/>
      <sheetName val="ITC"/>
      <sheetName val="LAYING OF CABLE"/>
      <sheetName val="cable termination"/>
      <sheetName val="EXTERNAL &amp; HDPE Pipe"/>
      <sheetName val="cable tray"/>
      <sheetName val="LIGHTINING"/>
      <sheetName val="labour rates"/>
      <sheetName val="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C2">
            <v>293.02999999999997</v>
          </cell>
        </row>
        <row r="3">
          <cell r="C3">
            <v>247.95</v>
          </cell>
        </row>
        <row r="4">
          <cell r="C4">
            <v>209.63</v>
          </cell>
        </row>
        <row r="5">
          <cell r="C5">
            <v>209.63</v>
          </cell>
        </row>
        <row r="7">
          <cell r="C7">
            <v>293.02999999999997</v>
          </cell>
        </row>
      </sheetData>
      <sheetData sheetId="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assumption (2)"/>
      <sheetName val="Area Stats"/>
      <sheetName val="NON BUILT INFRA budget 1"/>
      <sheetName val="BUILT INFRA budget "/>
      <sheetName val="Parking Budget"/>
      <sheetName val="cover page"/>
      <sheetName val="King Tower Budget"/>
      <sheetName val="Annexture 1 consultant"/>
      <sheetName val="Back up for Consultants"/>
      <sheetName val="Annexure 2 Civil Work "/>
      <sheetName val="Annexure 3 Finishing Work "/>
      <sheetName val="Annexture 4 services"/>
      <sheetName val="working"/>
      <sheetName val="Material List "/>
      <sheetName val="Labour Rate "/>
      <sheetName val="(M+L)"/>
      <sheetName val="Guidelines"/>
      <sheetName val="Consumption of Materials"/>
      <sheetName val="Summary"/>
      <sheetName val="RCC"/>
      <sheetName val="Masonry"/>
      <sheetName val=" Finishing Tier 1"/>
      <sheetName val=" Finishing Tier 2."/>
      <sheetName val=" Finishing Tier 3"/>
      <sheetName val="Elect"/>
      <sheetName val="Automation"/>
      <sheetName val="cover page (2)"/>
      <sheetName val="COVERSHEET"/>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1"/>
      <sheetName val="Scope Notes"/>
      <sheetName val="Summary"/>
      <sheetName val="NPV"/>
      <sheetName val="Summary Data"/>
      <sheetName val="Construction"/>
      <sheetName val="Model"/>
      <sheetName val="CONSTRUCTION COMPONENT"/>
      <sheetName val="월선수금"/>
      <sheetName val="Set"/>
      <sheetName val="Vehicles"/>
      <sheetName val="Headings"/>
      <sheetName val="labour rates"/>
      <sheetName val="Beam at Ground flr lvl(Steel)"/>
      <sheetName val="WORKING boq"/>
      <sheetName val="Scope_Notes"/>
      <sheetName val="Summary_Data"/>
      <sheetName val="Scope_Notes1"/>
      <sheetName val="Summary_Data1"/>
      <sheetName val="IBD"/>
    </sheet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预算"/>
      <sheetName val="材价"/>
      <sheetName val="管件价"/>
      <sheetName val="管面积"/>
      <sheetName val="保及壳面积"/>
      <sheetName val="焊条粉"/>
      <sheetName val="付材系数"/>
      <sheetName val="Sheet3"/>
      <sheetName val="Construction"/>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NPV"/>
    </sheetNames>
    <sheetDataSet>
      <sheetData sheetId="0" refreshError="1"/>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s"/>
      <sheetName val="Overall Summary"/>
      <sheetName val="Basement Summary"/>
      <sheetName val="Basement Budget"/>
      <sheetName val="Podium Summary"/>
      <sheetName val="Podium Budgets"/>
      <sheetName val="Guestroom Summary"/>
      <sheetName val="Guestroom Budget"/>
      <sheetName val="Sitework Summary"/>
      <sheetName val="Sitework Budget"/>
      <sheetName val="GM &amp; TA"/>
      <sheetName val="Micro"/>
      <sheetName val="Macro"/>
      <sheetName val="Scaff-Rose"/>
      <sheetName val="TBAL9697 -group wise  sdpl"/>
      <sheetName val="PCS"/>
      <sheetName val="Estimate"/>
      <sheetName val="HPL"/>
      <sheetName val="Cost summary"/>
      <sheetName val="Headings"/>
      <sheetName val="beam-reinft"/>
      <sheetName val="Break up Sheet"/>
      <sheetName val="Rate analysis"/>
      <sheetName val="Fill this out first..."/>
      <sheetName val="Timesheet"/>
      <sheetName val="X rate"/>
      <sheetName val="월선수금"/>
      <sheetName val="LIST OF MAKES"/>
      <sheetName val="PANEL ANNEXURE"/>
      <sheetName val="INPUT SHEET"/>
      <sheetName val="RES-PLANNING"/>
      <sheetName val="FACTOR"/>
      <sheetName val="Material "/>
      <sheetName val="Labour &amp; Plant"/>
      <sheetName val="Voucher"/>
      <sheetName val="Balustrade"/>
      <sheetName val="Data"/>
      <sheetName val="Master Sheet"/>
      <sheetName val="Site Dev BOQ"/>
      <sheetName val="Sheet2"/>
      <sheetName val="Sheet1"/>
      <sheetName val="Indices"/>
      <sheetName val="96수출"/>
      <sheetName val="Lead"/>
      <sheetName val="dBase"/>
      <sheetName val="Macro1"/>
      <sheetName val="Staff Acco."/>
      <sheetName val="Template-Design Devt Estimate"/>
      <sheetName val="Conc"/>
      <sheetName val="BOQ"/>
      <sheetName val="E150-4"/>
      <sheetName val="PRECAST lightconc-II"/>
      <sheetName val="Sheet4"/>
      <sheetName val="CFForecast detail"/>
      <sheetName val="Design"/>
      <sheetName val="3. Elemental Summary"/>
      <sheetName val="9. Package split - Cost "/>
      <sheetName val="12a. CFTable"/>
      <sheetName val="Legend"/>
      <sheetName val="10. &amp; 11. Rate Code &amp; BQ"/>
      <sheetName val="Input"/>
      <sheetName val="Break_Up"/>
      <sheetName val="RESULT"/>
      <sheetName val="dlvoid"/>
      <sheetName val="GBW"/>
      <sheetName val="Testing"/>
      <sheetName val="Masters"/>
      <sheetName val="Fin"/>
      <sheetName val="Area"/>
      <sheetName val="Intro"/>
      <sheetName val="final estimate"/>
      <sheetName val="预算"/>
      <sheetName val="Codes"/>
      <sheetName val="Project Budget Worksheet"/>
      <sheetName val="Base data Security Procedures"/>
      <sheetName val="horizontal"/>
      <sheetName val="RMZ Summary"/>
      <sheetName val="Fin. Assumpt. - Sensitivities"/>
      <sheetName val="I-CO"/>
      <sheetName val="loadcal"/>
      <sheetName val="Misc.Liq"/>
      <sheetName val="GF Columns"/>
      <sheetName val="IO LIST"/>
      <sheetName val="PUMP"/>
      <sheetName val="AutoOpen Stub Data"/>
      <sheetName val="Guidelines"/>
      <sheetName val="Results"/>
      <sheetName val="P&amp;L"/>
      <sheetName val="Invoice"/>
      <sheetName val="Working"/>
      <sheetName val="Phase 1"/>
      <sheetName val="Phase 2"/>
      <sheetName val="Pay_Sep06"/>
      <sheetName val="Pay Rec"/>
      <sheetName val="Other Inc"/>
      <sheetName val="F&amp;B"/>
      <sheetName val="Admin"/>
      <sheetName val="Room Rev"/>
      <sheetName val="SMS Format"/>
      <sheetName val="S 2"/>
      <sheetName val="Assumptions"/>
      <sheetName val="External"/>
      <sheetName val="SUPPLY -Sanitary Fixtures"/>
      <sheetName val="ITEMS FOR CIVIL TENDER"/>
      <sheetName val="Sheet3"/>
      <sheetName val="analysis"/>
      <sheetName val="Global Assm."/>
      <sheetName val="PointNo.5"/>
      <sheetName val="Summary"/>
      <sheetName val="ESTIMATE for approval"/>
      <sheetName val="NPV"/>
      <sheetName val="Construction"/>
      <sheetName val="GreenSheet"/>
      <sheetName val="07016, Master List-Major Minor"/>
      <sheetName val="HEAD"/>
      <sheetName val="Basic Rates"/>
      <sheetName val="Summary year Plan"/>
      <sheetName val="ABB"/>
      <sheetName val="introduction"/>
      <sheetName val="MASTER_RATE ANALYSIS"/>
      <sheetName val="Build-up"/>
      <sheetName val="Factors"/>
      <sheetName val="VALIDATIONS"/>
      <sheetName val="Costing"/>
      <sheetName val="Background"/>
      <sheetName val="Overall_Summary"/>
      <sheetName val="Basement_Summary"/>
      <sheetName val="Basement_Budget"/>
      <sheetName val="Podium_Summary"/>
      <sheetName val="Podium_Budgets"/>
      <sheetName val="Guestroom_Summary"/>
      <sheetName val="Guestroom_Budget"/>
      <sheetName val="Sitework_Summary"/>
      <sheetName val="Sitework_Budget"/>
      <sheetName val="TBAL9697_-group_wise__sdpl"/>
      <sheetName val="Cost_summary"/>
      <sheetName val="GM_&amp;_TA"/>
      <sheetName val="PANEL_ANNEXURE"/>
      <sheetName val="Break_up_Sheet"/>
      <sheetName val="Rate_analysis"/>
      <sheetName val="INPUT_SHEET"/>
      <sheetName val="LIST_OF_MAKES"/>
      <sheetName val="Material_"/>
      <sheetName val="Labour_&amp;_Plant"/>
      <sheetName val="Master_Sheet"/>
      <sheetName val="Site_Dev_BOQ"/>
      <sheetName val="Substation"/>
      <sheetName val="INDIGINEOUS ITEMS "/>
      <sheetName val="FORM7"/>
      <sheetName val="Extra Item"/>
      <sheetName val="Database"/>
      <sheetName val="SCHEDULE"/>
      <sheetName val="schedule nos"/>
      <sheetName val=" B3"/>
      <sheetName val=" B1"/>
      <sheetName val="LOM_MOD"/>
      <sheetName val="Variables"/>
      <sheetName val="3cd Annexure"/>
      <sheetName val="sept-plan"/>
      <sheetName val="Civil Boq"/>
      <sheetName val="os liabilities analysis"/>
      <sheetName val="#REF"/>
      <sheetName val="Maint"/>
      <sheetName val="Kitchen"/>
      <sheetName val="Housek"/>
      <sheetName val="Intaccrual"/>
      <sheetName val="SBU"/>
      <sheetName val="tdint"/>
      <sheetName val="Sump_cal"/>
      <sheetName val="Risk &amp; Opportunities"/>
      <sheetName val="Wordsdata"/>
      <sheetName val="item"/>
      <sheetName val="PROG_DATA"/>
      <sheetName val="Assumption Inputs"/>
      <sheetName val="Traffic"/>
      <sheetName val="Area St"/>
      <sheetName val="Cont"/>
      <sheetName val="Reference Information"/>
      <sheetName val="Employee List"/>
      <sheetName val="Sales Office"/>
      <sheetName val="협조전"/>
      <sheetName val="Sheet14"/>
      <sheetName val="Sheet15"/>
      <sheetName val="labour coeff"/>
      <sheetName val="Detail"/>
      <sheetName val="COST"/>
      <sheetName val="HVAC1"/>
      <sheetName val="SECURITY 1"/>
      <sheetName val="Vehicles"/>
      <sheetName val="sqn_ldr_3 Unit_2_"/>
      <sheetName val="Cal"/>
      <sheetName val="Master"/>
    </sheetNames>
    <sheetDataSet>
      <sheetData sheetId="0"/>
      <sheetData sheetId="1" refreshError="1"/>
      <sheetData sheetId="2"/>
      <sheetData sheetId="3"/>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 LIST"/>
      <sheetName val="BOQ"/>
      <sheetName val="DDCest-basis"/>
      <sheetName val="Basement Budget"/>
      <sheetName val="PCS"/>
      <sheetName val="HPL"/>
      <sheetName val="factors"/>
      <sheetName val="Indices"/>
      <sheetName val="Material "/>
      <sheetName val="Labour &amp; Plant"/>
      <sheetName val="LIST OF MAKES"/>
      <sheetName val="INPUT SHEET"/>
      <sheetName val="RES-PLANNING"/>
      <sheetName val="Extra Item"/>
      <sheetName val="Pay_Sep06"/>
      <sheetName val="F1a-Pile"/>
      <sheetName val="Site Dev BOQ"/>
      <sheetName val="TBAL9697 -group wise  sdpl"/>
      <sheetName val="Project Budget Worksheet"/>
      <sheetName val="Voucher"/>
      <sheetName val="Lead"/>
      <sheetName val="Wordsdata"/>
      <sheetName val="item"/>
      <sheetName val="beam-reinft"/>
      <sheetName val="water prop."/>
      <sheetName val="Civil Works"/>
      <sheetName val="Detail"/>
      <sheetName val="Data"/>
      <sheetName val="strand"/>
      <sheetName val="loadcal"/>
      <sheetName val="GBW"/>
      <sheetName val="Data sheet"/>
      <sheetName val="Headings"/>
      <sheetName val="Intro"/>
      <sheetName val="horizontal"/>
      <sheetName val="Assumptions"/>
      <sheetName val="Fill this out first..."/>
      <sheetName val="CFForecast detail"/>
      <sheetName val="Sens"/>
      <sheetName val="Summary"/>
      <sheetName val="BASIS -DEC 08"/>
      <sheetName val="INDIGINEOUS ITEMS "/>
      <sheetName val="预算"/>
      <sheetName val="Design"/>
      <sheetName val="PHE"/>
      <sheetName val="Estimate"/>
      <sheetName val="master"/>
    </sheetNames>
    <sheetDataSet>
      <sheetData sheetId="0">
        <row r="1">
          <cell r="D1" t="str">
            <v xml:space="preserve">Analog Signals  </v>
          </cell>
          <cell r="G1" t="str">
            <v>Digital Signals</v>
          </cell>
        </row>
        <row r="2">
          <cell r="A2" t="str">
            <v>Sl.no.</v>
          </cell>
          <cell r="B2" t="str">
            <v>Description</v>
          </cell>
          <cell r="C2" t="str">
            <v>Qty</v>
          </cell>
          <cell r="D2" t="str">
            <v>AI Ni 1000</v>
          </cell>
          <cell r="E2" t="str">
            <v>AI 0-10V</v>
          </cell>
          <cell r="F2" t="str">
            <v>AO</v>
          </cell>
          <cell r="G2" t="str">
            <v>DI</v>
          </cell>
          <cell r="H2" t="str">
            <v>DO</v>
          </cell>
          <cell r="I2" t="str">
            <v>Remark</v>
          </cell>
          <cell r="J2" t="str">
            <v>Device from BAS Vendor</v>
          </cell>
          <cell r="K2" t="str">
            <v>Scope of sensor, actuator, contacts, relays, microprocessor unit</v>
          </cell>
          <cell r="L2" t="str">
            <v>stats</v>
          </cell>
          <cell r="M2" t="str">
            <v>sensors</v>
          </cell>
          <cell r="N2" t="str">
            <v>Actuators</v>
          </cell>
          <cell r="O2" t="str">
            <v>valves</v>
          </cell>
        </row>
        <row r="3">
          <cell r="A3" t="str">
            <v>A</v>
          </cell>
          <cell r="B3" t="str">
            <v>ACMV Automation system</v>
          </cell>
        </row>
        <row r="4">
          <cell r="B4" t="str">
            <v>Chillers</v>
          </cell>
        </row>
        <row r="5">
          <cell r="B5" t="str">
            <v>Air Cooled Chillers, water / brine - Qty</v>
          </cell>
          <cell r="I5">
            <v>8</v>
          </cell>
          <cell r="K5" t="str">
            <v>This quantity is assumed and can alter based on design &amp; build scheme of the ACMV contractor</v>
          </cell>
          <cell r="L5">
            <v>0</v>
          </cell>
          <cell r="M5">
            <v>0</v>
          </cell>
          <cell r="N5">
            <v>0</v>
          </cell>
          <cell r="O5">
            <v>0</v>
          </cell>
        </row>
        <row r="6">
          <cell r="A6">
            <v>1</v>
          </cell>
          <cell r="B6" t="str">
            <v>Chiller Enable command</v>
          </cell>
          <cell r="H6">
            <v>8</v>
          </cell>
          <cell r="I6" t="str">
            <v>Command to chiller panel</v>
          </cell>
          <cell r="K6" t="str">
            <v>ACMV Vendor</v>
          </cell>
          <cell r="L6">
            <v>0</v>
          </cell>
          <cell r="M6">
            <v>0</v>
          </cell>
          <cell r="N6">
            <v>0</v>
          </cell>
          <cell r="O6">
            <v>0</v>
          </cell>
        </row>
        <row r="7">
          <cell r="A7">
            <v>2</v>
          </cell>
          <cell r="B7" t="str">
            <v>Chiller ON/OFF status</v>
          </cell>
          <cell r="G7">
            <v>8</v>
          </cell>
          <cell r="I7" t="str">
            <v xml:space="preserve">signal from potential-free  contact </v>
          </cell>
          <cell r="K7" t="str">
            <v>ACMV Vendor</v>
          </cell>
          <cell r="L7">
            <v>0</v>
          </cell>
          <cell r="M7">
            <v>0</v>
          </cell>
          <cell r="N7">
            <v>0</v>
          </cell>
          <cell r="O7">
            <v>0</v>
          </cell>
        </row>
        <row r="8">
          <cell r="A8">
            <v>3</v>
          </cell>
          <cell r="B8" t="str">
            <v>Chiller Auto / Manual status</v>
          </cell>
          <cell r="G8">
            <v>8</v>
          </cell>
          <cell r="I8" t="str">
            <v xml:space="preserve">signal from potential-free  contact </v>
          </cell>
          <cell r="K8" t="str">
            <v>ACMV Vendor</v>
          </cell>
          <cell r="L8">
            <v>0</v>
          </cell>
          <cell r="M8">
            <v>0</v>
          </cell>
          <cell r="N8">
            <v>0</v>
          </cell>
          <cell r="O8">
            <v>0</v>
          </cell>
        </row>
        <row r="9">
          <cell r="A9">
            <v>4</v>
          </cell>
          <cell r="B9" t="str">
            <v>Chiller trip status</v>
          </cell>
          <cell r="G9">
            <v>8</v>
          </cell>
          <cell r="I9" t="str">
            <v xml:space="preserve">signal from potential-free  contact </v>
          </cell>
          <cell r="K9" t="str">
            <v>ACMV Vendor</v>
          </cell>
          <cell r="L9">
            <v>0</v>
          </cell>
          <cell r="M9">
            <v>0</v>
          </cell>
          <cell r="N9">
            <v>0</v>
          </cell>
          <cell r="O9">
            <v>0</v>
          </cell>
        </row>
        <row r="10">
          <cell r="A10">
            <v>5</v>
          </cell>
          <cell r="B10" t="str">
            <v>Set charge temperature</v>
          </cell>
          <cell r="H10">
            <v>8</v>
          </cell>
          <cell r="I10" t="str">
            <v>Command to chiller panel</v>
          </cell>
          <cell r="K10" t="str">
            <v>ACMV Vendor</v>
          </cell>
          <cell r="L10">
            <v>0</v>
          </cell>
          <cell r="M10">
            <v>0</v>
          </cell>
          <cell r="N10">
            <v>0</v>
          </cell>
          <cell r="O10">
            <v>0</v>
          </cell>
        </row>
        <row r="11">
          <cell r="A11">
            <v>6</v>
          </cell>
          <cell r="B11" t="str">
            <v>Flow switch status</v>
          </cell>
          <cell r="G11">
            <v>8</v>
          </cell>
          <cell r="I11" t="str">
            <v>flow switch</v>
          </cell>
          <cell r="J11" t="str">
            <v>B</v>
          </cell>
          <cell r="K11" t="str">
            <v>BAS vendor</v>
          </cell>
          <cell r="L11">
            <v>8</v>
          </cell>
          <cell r="M11">
            <v>0</v>
          </cell>
          <cell r="N11">
            <v>0</v>
          </cell>
          <cell r="O11">
            <v>0</v>
          </cell>
        </row>
        <row r="12">
          <cell r="A12">
            <v>7</v>
          </cell>
          <cell r="B12" t="str">
            <v>Outlet temperature of Individual chillers</v>
          </cell>
          <cell r="D12">
            <v>8</v>
          </cell>
          <cell r="I12" t="str">
            <v>Immersion type temp sensor + pocket</v>
          </cell>
          <cell r="J12" t="str">
            <v>S</v>
          </cell>
          <cell r="K12" t="str">
            <v>BAS vendor</v>
          </cell>
          <cell r="L12">
            <v>0</v>
          </cell>
          <cell r="M12">
            <v>8</v>
          </cell>
          <cell r="N12">
            <v>0</v>
          </cell>
          <cell r="O12">
            <v>0</v>
          </cell>
        </row>
        <row r="13">
          <cell r="A13">
            <v>8</v>
          </cell>
          <cell r="B13" t="str">
            <v>Common supply &amp; return header temperature /each circuit</v>
          </cell>
          <cell r="D13">
            <v>8</v>
          </cell>
          <cell r="I13" t="str">
            <v>Immersion type temp sensor + pocket</v>
          </cell>
          <cell r="J13" t="str">
            <v>S</v>
          </cell>
          <cell r="K13" t="str">
            <v>BAS vendor</v>
          </cell>
          <cell r="L13">
            <v>0</v>
          </cell>
          <cell r="M13">
            <v>8</v>
          </cell>
          <cell r="N13">
            <v>0</v>
          </cell>
          <cell r="O13">
            <v>0</v>
          </cell>
        </row>
        <row r="14">
          <cell r="A14">
            <v>9</v>
          </cell>
          <cell r="B14" t="str">
            <v>butterfly on/off Chiller isolation valves command &amp; status</v>
          </cell>
          <cell r="G14">
            <v>8</v>
          </cell>
          <cell r="H14">
            <v>8</v>
          </cell>
          <cell r="I14" t="str">
            <v>Butterfly on/off valve</v>
          </cell>
          <cell r="J14" t="str">
            <v>V</v>
          </cell>
          <cell r="K14" t="str">
            <v>BAS vendor</v>
          </cell>
          <cell r="L14">
            <v>0</v>
          </cell>
          <cell r="M14">
            <v>0</v>
          </cell>
          <cell r="N14">
            <v>8</v>
          </cell>
          <cell r="O14">
            <v>8</v>
          </cell>
        </row>
        <row r="15">
          <cell r="A15">
            <v>10</v>
          </cell>
          <cell r="B15" t="str">
            <v>butterfly on/off valves - Chiller bank linking over primary headers command &amp; status</v>
          </cell>
          <cell r="G15">
            <v>8</v>
          </cell>
          <cell r="H15">
            <v>8</v>
          </cell>
          <cell r="I15" t="str">
            <v>Butterfly on/off valve</v>
          </cell>
          <cell r="J15" t="str">
            <v>V</v>
          </cell>
          <cell r="K15" t="str">
            <v>BAS vendor</v>
          </cell>
          <cell r="L15">
            <v>0</v>
          </cell>
          <cell r="M15">
            <v>0</v>
          </cell>
          <cell r="N15">
            <v>8</v>
          </cell>
          <cell r="O15">
            <v>8</v>
          </cell>
        </row>
        <row r="16">
          <cell r="A16">
            <v>11</v>
          </cell>
          <cell r="B16" t="str">
            <v>Temperature at TES outlet</v>
          </cell>
          <cell r="D16">
            <v>4</v>
          </cell>
          <cell r="I16" t="str">
            <v>Immersion type temp sensor + pocket</v>
          </cell>
          <cell r="J16" t="str">
            <v>S</v>
          </cell>
          <cell r="K16" t="str">
            <v>BAS vendor</v>
          </cell>
          <cell r="L16">
            <v>0</v>
          </cell>
          <cell r="M16">
            <v>4</v>
          </cell>
          <cell r="N16">
            <v>0</v>
          </cell>
          <cell r="O16">
            <v>0</v>
          </cell>
        </row>
        <row r="17">
          <cell r="A17">
            <v>12</v>
          </cell>
          <cell r="B17" t="str">
            <v>3-way modulating valve at TES line</v>
          </cell>
          <cell r="F17">
            <v>4</v>
          </cell>
          <cell r="I17" t="str">
            <v xml:space="preserve">3-way valve </v>
          </cell>
          <cell r="J17" t="str">
            <v>V</v>
          </cell>
          <cell r="K17" t="str">
            <v>BAS vendor</v>
          </cell>
          <cell r="L17">
            <v>0</v>
          </cell>
          <cell r="M17">
            <v>0</v>
          </cell>
          <cell r="N17">
            <v>4</v>
          </cell>
          <cell r="O17">
            <v>4</v>
          </cell>
        </row>
        <row r="18">
          <cell r="A18">
            <v>13</v>
          </cell>
          <cell r="B18" t="str">
            <v>Temperature at PHE outlet</v>
          </cell>
          <cell r="D18">
            <v>4</v>
          </cell>
          <cell r="I18" t="str">
            <v>Immersion type temp sensor + pocket</v>
          </cell>
          <cell r="J18" t="str">
            <v>S</v>
          </cell>
          <cell r="K18" t="str">
            <v>BAS vendor</v>
          </cell>
          <cell r="L18">
            <v>0</v>
          </cell>
          <cell r="M18">
            <v>4</v>
          </cell>
          <cell r="N18">
            <v>0</v>
          </cell>
          <cell r="O18">
            <v>0</v>
          </cell>
        </row>
        <row r="19">
          <cell r="A19">
            <v>14</v>
          </cell>
          <cell r="B19" t="str">
            <v>Anti-freeze thermostat</v>
          </cell>
          <cell r="G19">
            <v>4</v>
          </cell>
          <cell r="I19" t="str">
            <v>Anti-freeze thermostat</v>
          </cell>
          <cell r="J19" t="str">
            <v>B</v>
          </cell>
          <cell r="K19" t="str">
            <v>BAS vendor</v>
          </cell>
          <cell r="L19">
            <v>4</v>
          </cell>
          <cell r="M19">
            <v>0</v>
          </cell>
          <cell r="N19">
            <v>0</v>
          </cell>
          <cell r="O19">
            <v>0</v>
          </cell>
        </row>
        <row r="20">
          <cell r="A20">
            <v>15</v>
          </cell>
          <cell r="B20" t="str">
            <v>3-way modulating valve at PHE line</v>
          </cell>
          <cell r="F20">
            <v>4</v>
          </cell>
          <cell r="I20" t="str">
            <v xml:space="preserve">3-way valve </v>
          </cell>
          <cell r="J20" t="str">
            <v>V</v>
          </cell>
          <cell r="K20" t="str">
            <v>BAS vendor</v>
          </cell>
          <cell r="L20">
            <v>0</v>
          </cell>
          <cell r="M20">
            <v>0</v>
          </cell>
          <cell r="N20">
            <v>4</v>
          </cell>
          <cell r="O20">
            <v>4</v>
          </cell>
        </row>
        <row r="21">
          <cell r="B21" t="str">
            <v>Primary chilled Water Pumps - Qty</v>
          </cell>
          <cell r="I21">
            <v>12</v>
          </cell>
          <cell r="K21" t="str">
            <v>This quantity is assumed and can alter based on design &amp; build scheme of the ACMV contractor</v>
          </cell>
          <cell r="L21">
            <v>0</v>
          </cell>
          <cell r="M21">
            <v>0</v>
          </cell>
          <cell r="N21">
            <v>0</v>
          </cell>
          <cell r="O21">
            <v>0</v>
          </cell>
        </row>
        <row r="22">
          <cell r="A22">
            <v>16</v>
          </cell>
          <cell r="B22" t="str">
            <v>pumps ON / OFF command</v>
          </cell>
          <cell r="H22">
            <v>12</v>
          </cell>
          <cell r="I22" t="str">
            <v>Command to chiller panel/ pumps panel</v>
          </cell>
          <cell r="K22" t="str">
            <v>ACMV Vendor</v>
          </cell>
          <cell r="L22">
            <v>0</v>
          </cell>
          <cell r="M22">
            <v>0</v>
          </cell>
          <cell r="N22">
            <v>0</v>
          </cell>
          <cell r="O22">
            <v>0</v>
          </cell>
        </row>
        <row r="23">
          <cell r="A23">
            <v>17</v>
          </cell>
          <cell r="B23" t="str">
            <v>pumps ON / OFF Status</v>
          </cell>
          <cell r="G23">
            <v>12</v>
          </cell>
          <cell r="I23" t="str">
            <v xml:space="preserve">signal from potential-free  contact </v>
          </cell>
          <cell r="K23" t="str">
            <v>ACMV Vendor</v>
          </cell>
          <cell r="L23">
            <v>0</v>
          </cell>
          <cell r="M23">
            <v>0</v>
          </cell>
          <cell r="N23">
            <v>0</v>
          </cell>
          <cell r="O23">
            <v>0</v>
          </cell>
        </row>
        <row r="24">
          <cell r="A24">
            <v>18</v>
          </cell>
          <cell r="B24" t="str">
            <v>pumps Auto / Manual status</v>
          </cell>
          <cell r="G24">
            <v>12</v>
          </cell>
          <cell r="I24" t="str">
            <v xml:space="preserve">signal from potential-free  contact </v>
          </cell>
          <cell r="K24" t="str">
            <v>ACMV Vendor</v>
          </cell>
          <cell r="L24">
            <v>0</v>
          </cell>
          <cell r="M24">
            <v>0</v>
          </cell>
          <cell r="N24">
            <v>0</v>
          </cell>
          <cell r="O24">
            <v>0</v>
          </cell>
        </row>
        <row r="25">
          <cell r="A25">
            <v>19</v>
          </cell>
          <cell r="B25" t="str">
            <v>Flow switch status</v>
          </cell>
          <cell r="G25">
            <v>12</v>
          </cell>
          <cell r="I25" t="str">
            <v>flow switch</v>
          </cell>
          <cell r="J25" t="str">
            <v>B</v>
          </cell>
          <cell r="K25" t="str">
            <v>BAS vendor</v>
          </cell>
          <cell r="L25">
            <v>12</v>
          </cell>
          <cell r="M25">
            <v>0</v>
          </cell>
          <cell r="N25">
            <v>0</v>
          </cell>
          <cell r="O25">
            <v>0</v>
          </cell>
        </row>
        <row r="26">
          <cell r="A26">
            <v>20</v>
          </cell>
          <cell r="B26" t="str">
            <v>pumps trip status</v>
          </cell>
          <cell r="G26">
            <v>12</v>
          </cell>
          <cell r="I26" t="str">
            <v xml:space="preserve">signal from potential-free  contact </v>
          </cell>
          <cell r="K26" t="str">
            <v>ACMV Vendor</v>
          </cell>
          <cell r="L26">
            <v>0</v>
          </cell>
          <cell r="M26">
            <v>0</v>
          </cell>
          <cell r="N26">
            <v>0</v>
          </cell>
          <cell r="O26">
            <v>0</v>
          </cell>
        </row>
        <row r="27">
          <cell r="B27" t="str">
            <v>Secondary chilled Water Pumps - Qty</v>
          </cell>
          <cell r="I27">
            <v>12</v>
          </cell>
          <cell r="K27" t="str">
            <v>This quantity is assumed and can alter based on design &amp; build scheme of the ACMV contractor</v>
          </cell>
          <cell r="L27">
            <v>0</v>
          </cell>
          <cell r="M27">
            <v>0</v>
          </cell>
          <cell r="N27">
            <v>0</v>
          </cell>
          <cell r="O27">
            <v>0</v>
          </cell>
        </row>
        <row r="28">
          <cell r="A28">
            <v>21</v>
          </cell>
          <cell r="B28" t="str">
            <v>pumps VFD monitoring / control</v>
          </cell>
          <cell r="I28" t="str">
            <v>Serial RS486 Bus from VFD panels on Modbus RTU</v>
          </cell>
          <cell r="K28" t="str">
            <v>ACMV Vendor</v>
          </cell>
          <cell r="L28">
            <v>0</v>
          </cell>
          <cell r="M28">
            <v>0</v>
          </cell>
          <cell r="N28">
            <v>0</v>
          </cell>
          <cell r="O28">
            <v>0</v>
          </cell>
        </row>
        <row r="29">
          <cell r="A29">
            <v>22</v>
          </cell>
          <cell r="B29" t="str">
            <v>pumps VFD healthy &amp; run Status</v>
          </cell>
          <cell r="G29">
            <v>12</v>
          </cell>
          <cell r="I29" t="str">
            <v xml:space="preserve">signal from potential-free  contact </v>
          </cell>
          <cell r="K29" t="str">
            <v>ACMV Vendor</v>
          </cell>
          <cell r="L29">
            <v>0</v>
          </cell>
          <cell r="M29">
            <v>0</v>
          </cell>
          <cell r="N29">
            <v>0</v>
          </cell>
          <cell r="O29">
            <v>0</v>
          </cell>
        </row>
        <row r="30">
          <cell r="A30">
            <v>23</v>
          </cell>
          <cell r="B30" t="str">
            <v>pumps VFD trip status</v>
          </cell>
          <cell r="G30">
            <v>12</v>
          </cell>
          <cell r="I30" t="str">
            <v xml:space="preserve">signal from potential-free  contact </v>
          </cell>
          <cell r="K30" t="str">
            <v>ACMV Vendor</v>
          </cell>
          <cell r="L30">
            <v>0</v>
          </cell>
          <cell r="M30">
            <v>0</v>
          </cell>
          <cell r="N30">
            <v>0</v>
          </cell>
          <cell r="O30">
            <v>0</v>
          </cell>
        </row>
        <row r="31">
          <cell r="A31">
            <v>24</v>
          </cell>
          <cell r="B31" t="str">
            <v>pumps VFD speed feedback</v>
          </cell>
          <cell r="E31">
            <v>12</v>
          </cell>
          <cell r="I31" t="str">
            <v>signal from VFD</v>
          </cell>
          <cell r="K31" t="str">
            <v>ACMV Vendor</v>
          </cell>
          <cell r="L31">
            <v>0</v>
          </cell>
          <cell r="M31">
            <v>0</v>
          </cell>
          <cell r="N31">
            <v>0</v>
          </cell>
          <cell r="O31">
            <v>0</v>
          </cell>
        </row>
        <row r="32">
          <cell r="A32">
            <v>25</v>
          </cell>
          <cell r="B32" t="str">
            <v>Temoerature sensor in supply &amp; return headers</v>
          </cell>
          <cell r="D32">
            <v>8</v>
          </cell>
          <cell r="I32" t="str">
            <v>Immersion type temp sensor + pocket</v>
          </cell>
          <cell r="J32" t="str">
            <v>S</v>
          </cell>
          <cell r="K32" t="str">
            <v>BAS vendor</v>
          </cell>
          <cell r="L32">
            <v>0</v>
          </cell>
          <cell r="M32">
            <v>8</v>
          </cell>
          <cell r="N32">
            <v>0</v>
          </cell>
          <cell r="O32">
            <v>0</v>
          </cell>
        </row>
        <row r="33">
          <cell r="A33">
            <v>26</v>
          </cell>
          <cell r="B33" t="str">
            <v>Outside Air RH &amp; Temperature.</v>
          </cell>
          <cell r="D33">
            <v>1</v>
          </cell>
          <cell r="E33">
            <v>1</v>
          </cell>
          <cell r="I33" t="str">
            <v>RH &amp; Temperature sensor</v>
          </cell>
          <cell r="J33" t="str">
            <v>S</v>
          </cell>
          <cell r="K33" t="str">
            <v>BAS vendor</v>
          </cell>
          <cell r="L33">
            <v>0</v>
          </cell>
          <cell r="M33">
            <v>2</v>
          </cell>
          <cell r="N33">
            <v>0</v>
          </cell>
          <cell r="O33">
            <v>0</v>
          </cell>
        </row>
        <row r="34">
          <cell r="A34">
            <v>27</v>
          </cell>
          <cell r="B34" t="str">
            <v>Flow through CHW header</v>
          </cell>
          <cell r="E34">
            <v>1</v>
          </cell>
          <cell r="I34" t="str">
            <v>Flow meter</v>
          </cell>
          <cell r="J34" t="str">
            <v>S</v>
          </cell>
          <cell r="K34" t="str">
            <v>BAS vendor</v>
          </cell>
          <cell r="L34">
            <v>0</v>
          </cell>
          <cell r="M34">
            <v>1</v>
          </cell>
          <cell r="N34">
            <v>0</v>
          </cell>
          <cell r="O34">
            <v>0</v>
          </cell>
        </row>
        <row r="35">
          <cell r="B35" t="str">
            <v>Spare 10%</v>
          </cell>
          <cell r="D35">
            <v>4</v>
          </cell>
          <cell r="E35">
            <v>2</v>
          </cell>
          <cell r="F35">
            <v>1</v>
          </cell>
          <cell r="G35">
            <v>13</v>
          </cell>
          <cell r="H35">
            <v>5</v>
          </cell>
        </row>
        <row r="36">
          <cell r="A36" t="str">
            <v>AX</v>
          </cell>
          <cell r="B36" t="str">
            <v xml:space="preserve">Total I/O For Chiller Plant </v>
          </cell>
          <cell r="D36">
            <v>37</v>
          </cell>
          <cell r="E36">
            <v>16</v>
          </cell>
          <cell r="F36">
            <v>9</v>
          </cell>
          <cell r="G36">
            <v>137</v>
          </cell>
          <cell r="H36">
            <v>49</v>
          </cell>
          <cell r="I36">
            <v>1</v>
          </cell>
          <cell r="L36">
            <v>24</v>
          </cell>
          <cell r="M36">
            <v>35</v>
          </cell>
          <cell r="N36">
            <v>24</v>
          </cell>
          <cell r="O36">
            <v>24</v>
          </cell>
        </row>
        <row r="37">
          <cell r="A37" t="str">
            <v>B</v>
          </cell>
          <cell r="B37" t="str">
            <v>Comfort Air Handling Units with TFA</v>
          </cell>
        </row>
        <row r="38">
          <cell r="B38" t="str">
            <v>Air Handling Units - Qty</v>
          </cell>
          <cell r="I38">
            <v>1</v>
          </cell>
        </row>
        <row r="39">
          <cell r="A39">
            <v>1</v>
          </cell>
          <cell r="B39" t="str">
            <v>AHU ON/OFF Command</v>
          </cell>
          <cell r="H39">
            <v>1</v>
          </cell>
          <cell r="I39" t="str">
            <v>Command to AHU panel</v>
          </cell>
          <cell r="K39" t="str">
            <v>ACMV Vendor</v>
          </cell>
          <cell r="L39">
            <v>0</v>
          </cell>
          <cell r="M39">
            <v>0</v>
          </cell>
          <cell r="N39">
            <v>0</v>
          </cell>
          <cell r="O39">
            <v>0</v>
          </cell>
        </row>
        <row r="40">
          <cell r="A40">
            <v>2</v>
          </cell>
          <cell r="B40" t="str">
            <v>AHU status - DP switch across fan</v>
          </cell>
          <cell r="G40">
            <v>1</v>
          </cell>
          <cell r="I40" t="str">
            <v>DP switch</v>
          </cell>
          <cell r="J40" t="str">
            <v>B</v>
          </cell>
          <cell r="K40" t="str">
            <v>BAS vendor</v>
          </cell>
          <cell r="L40">
            <v>106</v>
          </cell>
          <cell r="M40">
            <v>0</v>
          </cell>
          <cell r="N40">
            <v>0</v>
          </cell>
          <cell r="O40">
            <v>0</v>
          </cell>
        </row>
        <row r="41">
          <cell r="A41">
            <v>3</v>
          </cell>
          <cell r="B41" t="str">
            <v>AHU Auto/Manual Command</v>
          </cell>
          <cell r="H41">
            <v>1</v>
          </cell>
          <cell r="I41" t="str">
            <v>Command to AHU panel</v>
          </cell>
          <cell r="K41" t="str">
            <v>ACMV Vendor</v>
          </cell>
          <cell r="L41">
            <v>0</v>
          </cell>
          <cell r="M41">
            <v>0</v>
          </cell>
          <cell r="N41">
            <v>0</v>
          </cell>
          <cell r="O41">
            <v>0</v>
          </cell>
        </row>
        <row r="42">
          <cell r="A42">
            <v>4</v>
          </cell>
          <cell r="B42" t="str">
            <v>Return air Temperature Sensor</v>
          </cell>
          <cell r="D42">
            <v>1</v>
          </cell>
          <cell r="I42" t="str">
            <v>Duct type Temperature sensor</v>
          </cell>
          <cell r="J42" t="str">
            <v>S</v>
          </cell>
          <cell r="K42" t="str">
            <v>BAS vendor</v>
          </cell>
          <cell r="L42">
            <v>0</v>
          </cell>
          <cell r="M42">
            <v>106</v>
          </cell>
          <cell r="N42">
            <v>0</v>
          </cell>
          <cell r="O42">
            <v>0</v>
          </cell>
        </row>
        <row r="43">
          <cell r="A43">
            <v>5</v>
          </cell>
          <cell r="B43" t="str">
            <v>Filter status - DP switch across filter</v>
          </cell>
          <cell r="G43">
            <v>1</v>
          </cell>
          <cell r="I43" t="str">
            <v>DP switch</v>
          </cell>
          <cell r="J43" t="str">
            <v>B</v>
          </cell>
          <cell r="K43" t="str">
            <v>BAS vendor</v>
          </cell>
          <cell r="L43">
            <v>106</v>
          </cell>
          <cell r="M43">
            <v>0</v>
          </cell>
          <cell r="N43">
            <v>0</v>
          </cell>
          <cell r="O43">
            <v>0</v>
          </cell>
        </row>
        <row r="44">
          <cell r="A44">
            <v>6</v>
          </cell>
          <cell r="B44" t="str">
            <v>CHW 2-Way Valve Control</v>
          </cell>
          <cell r="F44">
            <v>1</v>
          </cell>
          <cell r="I44" t="str">
            <v>2-way auto balancing CHW valve</v>
          </cell>
          <cell r="J44" t="str">
            <v>V</v>
          </cell>
          <cell r="K44" t="str">
            <v>BAS vendor</v>
          </cell>
          <cell r="L44">
            <v>0</v>
          </cell>
          <cell r="M44">
            <v>0</v>
          </cell>
          <cell r="N44">
            <v>106</v>
          </cell>
          <cell r="O44">
            <v>106</v>
          </cell>
        </row>
        <row r="45">
          <cell r="A45">
            <v>7</v>
          </cell>
          <cell r="B45" t="str">
            <v>Flow of CHW from auto balancing valve</v>
          </cell>
          <cell r="E45">
            <v>1</v>
          </cell>
          <cell r="I45" t="str">
            <v>2-way auto balancing CHW valve</v>
          </cell>
          <cell r="J45" t="str">
            <v>V</v>
          </cell>
          <cell r="K45" t="str">
            <v>BAS vendor</v>
          </cell>
          <cell r="L45">
            <v>0</v>
          </cell>
          <cell r="M45">
            <v>0</v>
          </cell>
        </row>
        <row r="46">
          <cell r="A46">
            <v>8</v>
          </cell>
          <cell r="B46" t="str">
            <v>Matched pair temperature sensors at CHW in/outlet</v>
          </cell>
          <cell r="D46">
            <v>2</v>
          </cell>
          <cell r="I46" t="str">
            <v>Immersion type temp sensor+pocket</v>
          </cell>
          <cell r="J46" t="str">
            <v>S</v>
          </cell>
          <cell r="K46" t="str">
            <v>BAS vendor</v>
          </cell>
          <cell r="L46">
            <v>0</v>
          </cell>
          <cell r="M46">
            <v>212</v>
          </cell>
          <cell r="N46">
            <v>0</v>
          </cell>
          <cell r="O46">
            <v>0</v>
          </cell>
        </row>
        <row r="47">
          <cell r="A47">
            <v>9</v>
          </cell>
          <cell r="B47" t="str">
            <v>Fire trip status</v>
          </cell>
          <cell r="G47">
            <v>1</v>
          </cell>
          <cell r="I47" t="str">
            <v>signal from DSD &amp; FAS</v>
          </cell>
          <cell r="K47" t="str">
            <v>BAS vendor</v>
          </cell>
          <cell r="L47">
            <v>0</v>
          </cell>
          <cell r="M47">
            <v>0</v>
          </cell>
          <cell r="N47">
            <v>0</v>
          </cell>
          <cell r="O47">
            <v>0</v>
          </cell>
        </row>
        <row r="48">
          <cell r="A48">
            <v>10</v>
          </cell>
          <cell r="B48" t="str">
            <v>Fire Damper Status - SA, RA, reset command</v>
          </cell>
          <cell r="G48">
            <v>2</v>
          </cell>
          <cell r="H48">
            <v>1</v>
          </cell>
          <cell r="I48" t="str">
            <v>aux.contact - fire damper actuators</v>
          </cell>
          <cell r="J48" t="str">
            <v>D</v>
          </cell>
          <cell r="K48" t="str">
            <v>BAS vendor</v>
          </cell>
          <cell r="L48">
            <v>0</v>
          </cell>
          <cell r="M48">
            <v>0</v>
          </cell>
          <cell r="N48">
            <v>212</v>
          </cell>
          <cell r="O48">
            <v>0</v>
          </cell>
        </row>
        <row r="49">
          <cell r="A49">
            <v>11</v>
          </cell>
          <cell r="B49" t="str">
            <v xml:space="preserve">Pressurization Damper Status&amp; command - Lift lobby </v>
          </cell>
          <cell r="G49">
            <v>1</v>
          </cell>
          <cell r="H49">
            <v>1</v>
          </cell>
          <cell r="I49" t="str">
            <v>combined status from IRM</v>
          </cell>
          <cell r="J49" t="str">
            <v>D</v>
          </cell>
          <cell r="K49" t="str">
            <v>BAS vendor</v>
          </cell>
          <cell r="L49">
            <v>0</v>
          </cell>
          <cell r="M49">
            <v>0</v>
          </cell>
          <cell r="N49">
            <v>112</v>
          </cell>
          <cell r="O49">
            <v>0</v>
          </cell>
        </row>
        <row r="50">
          <cell r="A50">
            <v>12</v>
          </cell>
          <cell r="B50" t="str">
            <v>CO2 sensor</v>
          </cell>
          <cell r="E50">
            <v>1</v>
          </cell>
          <cell r="I50" t="str">
            <v>CO2 sensor</v>
          </cell>
          <cell r="J50" t="str">
            <v>S</v>
          </cell>
          <cell r="K50" t="str">
            <v>BAS vendor</v>
          </cell>
          <cell r="L50">
            <v>0</v>
          </cell>
          <cell r="M50">
            <v>102</v>
          </cell>
          <cell r="N50">
            <v>0</v>
          </cell>
          <cell r="O50">
            <v>0</v>
          </cell>
        </row>
        <row r="51">
          <cell r="A51">
            <v>13</v>
          </cell>
          <cell r="B51" t="str">
            <v>FA/EA damper modulation</v>
          </cell>
          <cell r="F51">
            <v>1</v>
          </cell>
          <cell r="I51" t="str">
            <v>auxiliary contact - damper actuator</v>
          </cell>
          <cell r="J51" t="str">
            <v>D</v>
          </cell>
          <cell r="K51" t="str">
            <v>BAS vendor</v>
          </cell>
          <cell r="L51">
            <v>0</v>
          </cell>
          <cell r="M51">
            <v>0</v>
          </cell>
          <cell r="N51">
            <v>106</v>
          </cell>
          <cell r="O51">
            <v>0</v>
          </cell>
        </row>
        <row r="52">
          <cell r="A52">
            <v>14</v>
          </cell>
          <cell r="B52" t="str">
            <v>TFA ON/OFF Command, status</v>
          </cell>
          <cell r="G52">
            <v>1</v>
          </cell>
          <cell r="H52">
            <v>1</v>
          </cell>
          <cell r="I52" t="str">
            <v>Command to AHU panel</v>
          </cell>
          <cell r="K52" t="str">
            <v>ACMV Vendor</v>
          </cell>
          <cell r="L52">
            <v>0</v>
          </cell>
          <cell r="M52">
            <v>0</v>
          </cell>
          <cell r="N52">
            <v>0</v>
          </cell>
          <cell r="O52">
            <v>0</v>
          </cell>
        </row>
        <row r="53">
          <cell r="A53">
            <v>15</v>
          </cell>
          <cell r="B53" t="str">
            <v>MCC power supply status</v>
          </cell>
          <cell r="G53">
            <v>1</v>
          </cell>
          <cell r="I53" t="str">
            <v>signal from potential free contact</v>
          </cell>
          <cell r="K53" t="str">
            <v>ACMV Vendor</v>
          </cell>
          <cell r="L53">
            <v>0</v>
          </cell>
          <cell r="M53">
            <v>0</v>
          </cell>
          <cell r="N53">
            <v>0</v>
          </cell>
          <cell r="O53">
            <v>0</v>
          </cell>
        </row>
        <row r="54">
          <cell r="A54">
            <v>16</v>
          </cell>
          <cell r="B54" t="str">
            <v>Smoke extraction dampers</v>
          </cell>
          <cell r="G54">
            <v>1</v>
          </cell>
          <cell r="H54">
            <v>1</v>
          </cell>
          <cell r="I54" t="str">
            <v>damper actuators</v>
          </cell>
          <cell r="J54" t="str">
            <v>D</v>
          </cell>
          <cell r="K54" t="str">
            <v>BAS vendor</v>
          </cell>
          <cell r="L54">
            <v>0</v>
          </cell>
          <cell r="M54">
            <v>0</v>
          </cell>
          <cell r="N54">
            <v>60</v>
          </cell>
          <cell r="O54">
            <v>0</v>
          </cell>
        </row>
        <row r="55">
          <cell r="B55" t="str">
            <v>Spare 10%</v>
          </cell>
          <cell r="D55">
            <v>1</v>
          </cell>
          <cell r="E55">
            <v>1</v>
          </cell>
          <cell r="F55">
            <v>1</v>
          </cell>
          <cell r="G55">
            <v>1</v>
          </cell>
          <cell r="H55">
            <v>1</v>
          </cell>
        </row>
        <row r="56">
          <cell r="A56" t="str">
            <v>BX</v>
          </cell>
          <cell r="B56" t="str">
            <v>Total I/O for AHU with TFA</v>
          </cell>
          <cell r="D56">
            <v>4</v>
          </cell>
          <cell r="E56">
            <v>3</v>
          </cell>
          <cell r="F56">
            <v>3</v>
          </cell>
          <cell r="G56">
            <v>10</v>
          </cell>
          <cell r="H56">
            <v>7</v>
          </cell>
          <cell r="I56">
            <v>106</v>
          </cell>
          <cell r="L56">
            <v>212</v>
          </cell>
          <cell r="M56">
            <v>420</v>
          </cell>
          <cell r="N56">
            <v>596</v>
          </cell>
          <cell r="O56">
            <v>106</v>
          </cell>
        </row>
        <row r="57">
          <cell r="B57" t="str">
            <v>Total I/O for AHU with TFAs in complex</v>
          </cell>
          <cell r="D57">
            <v>424</v>
          </cell>
          <cell r="E57">
            <v>318</v>
          </cell>
          <cell r="F57">
            <v>318</v>
          </cell>
          <cell r="G57">
            <v>1060</v>
          </cell>
          <cell r="H57">
            <v>742</v>
          </cell>
          <cell r="K57" t="str">
            <v>This quantity is assumed and can alter based on design &amp; build scheme of the ACMV contractor</v>
          </cell>
        </row>
        <row r="58">
          <cell r="A58" t="str">
            <v>C</v>
          </cell>
          <cell r="B58" t="str">
            <v>Energy metering/Ventilation/Lighting</v>
          </cell>
          <cell r="L58">
            <v>0</v>
          </cell>
          <cell r="M58">
            <v>0</v>
          </cell>
          <cell r="N58">
            <v>0</v>
          </cell>
          <cell r="O58">
            <v>0</v>
          </cell>
        </row>
        <row r="59">
          <cell r="B59" t="str">
            <v>Electrical energy meters - pulse input</v>
          </cell>
          <cell r="G59">
            <v>6</v>
          </cell>
          <cell r="I59" t="str">
            <v>From EEMs</v>
          </cell>
          <cell r="K59" t="str">
            <v>Electrical Vendor</v>
          </cell>
          <cell r="L59">
            <v>0</v>
          </cell>
          <cell r="M59">
            <v>0</v>
          </cell>
          <cell r="N59">
            <v>0</v>
          </cell>
          <cell r="O59">
            <v>0</v>
          </cell>
        </row>
        <row r="60">
          <cell r="B60" t="str">
            <v>Pantry Exhaust Fan - Qty</v>
          </cell>
          <cell r="I60">
            <v>2</v>
          </cell>
          <cell r="L60">
            <v>0</v>
          </cell>
          <cell r="M60">
            <v>0</v>
          </cell>
          <cell r="N60">
            <v>0</v>
          </cell>
          <cell r="O60">
            <v>0</v>
          </cell>
        </row>
        <row r="61">
          <cell r="A61">
            <v>1</v>
          </cell>
          <cell r="B61" t="str">
            <v>Fan ON / OFF Command</v>
          </cell>
          <cell r="H61">
            <v>2</v>
          </cell>
          <cell r="I61" t="str">
            <v>Command to contactor panel</v>
          </cell>
          <cell r="K61" t="str">
            <v>ACMV Vendor</v>
          </cell>
          <cell r="L61">
            <v>0</v>
          </cell>
          <cell r="M61">
            <v>0</v>
          </cell>
          <cell r="N61">
            <v>0</v>
          </cell>
          <cell r="O61">
            <v>0</v>
          </cell>
        </row>
        <row r="62">
          <cell r="A62">
            <v>2</v>
          </cell>
          <cell r="B62" t="str">
            <v>Fan ON / OFF Status</v>
          </cell>
          <cell r="G62">
            <v>2</v>
          </cell>
          <cell r="I62" t="str">
            <v>signal from potential free contact</v>
          </cell>
          <cell r="K62" t="str">
            <v>ACMV Vendor</v>
          </cell>
          <cell r="L62">
            <v>0</v>
          </cell>
          <cell r="M62">
            <v>0</v>
          </cell>
          <cell r="N62">
            <v>0</v>
          </cell>
          <cell r="O62">
            <v>0</v>
          </cell>
        </row>
        <row r="63">
          <cell r="B63" t="str">
            <v>Toilet Exhaust Fan  - Qty</v>
          </cell>
          <cell r="I63">
            <v>2</v>
          </cell>
          <cell r="L63">
            <v>0</v>
          </cell>
          <cell r="M63">
            <v>0</v>
          </cell>
          <cell r="N63">
            <v>0</v>
          </cell>
          <cell r="O63">
            <v>0</v>
          </cell>
        </row>
        <row r="64">
          <cell r="A64">
            <v>3</v>
          </cell>
          <cell r="B64" t="str">
            <v>Fan ON / OFF Command</v>
          </cell>
          <cell r="H64">
            <v>2</v>
          </cell>
          <cell r="I64" t="str">
            <v>Command to contactor panel</v>
          </cell>
          <cell r="K64" t="str">
            <v>ACMV Vendor</v>
          </cell>
          <cell r="L64">
            <v>0</v>
          </cell>
          <cell r="M64">
            <v>0</v>
          </cell>
          <cell r="N64">
            <v>0</v>
          </cell>
          <cell r="O64">
            <v>0</v>
          </cell>
        </row>
        <row r="65">
          <cell r="A65">
            <v>4</v>
          </cell>
          <cell r="B65" t="str">
            <v>Fan ON / OFF Status</v>
          </cell>
          <cell r="G65">
            <v>2</v>
          </cell>
          <cell r="I65" t="str">
            <v>signal from potential free contact</v>
          </cell>
          <cell r="K65" t="str">
            <v>ACMV Vendor</v>
          </cell>
          <cell r="L65">
            <v>0</v>
          </cell>
          <cell r="M65">
            <v>0</v>
          </cell>
          <cell r="N65">
            <v>0</v>
          </cell>
          <cell r="O65">
            <v>0</v>
          </cell>
        </row>
        <row r="66">
          <cell r="B66" t="str">
            <v>Electrical system</v>
          </cell>
          <cell r="L66">
            <v>0</v>
          </cell>
          <cell r="M66">
            <v>0</v>
          </cell>
          <cell r="N66">
            <v>0</v>
          </cell>
          <cell r="O66">
            <v>0</v>
          </cell>
        </row>
        <row r="67">
          <cell r="A67">
            <v>6</v>
          </cell>
          <cell r="B67" t="str">
            <v>LDB,PDB status - incomer MCCB</v>
          </cell>
          <cell r="G67">
            <v>4</v>
          </cell>
          <cell r="I67" t="str">
            <v>signal from potential free contact</v>
          </cell>
          <cell r="K67" t="str">
            <v>Electrical Vendor</v>
          </cell>
          <cell r="L67">
            <v>0</v>
          </cell>
          <cell r="M67">
            <v>0</v>
          </cell>
          <cell r="N67">
            <v>0</v>
          </cell>
          <cell r="O67">
            <v>0</v>
          </cell>
        </row>
        <row r="68">
          <cell r="A68">
            <v>7</v>
          </cell>
          <cell r="B68" t="str">
            <v>Sprinkler line pressure switch</v>
          </cell>
          <cell r="G68">
            <v>2</v>
          </cell>
          <cell r="I68" t="str">
            <v>pressure switch</v>
          </cell>
          <cell r="J68" t="str">
            <v>B</v>
          </cell>
          <cell r="K68" t="str">
            <v>BAS vendor</v>
          </cell>
          <cell r="L68">
            <v>70</v>
          </cell>
          <cell r="M68">
            <v>0</v>
          </cell>
          <cell r="N68">
            <v>0</v>
          </cell>
          <cell r="O68">
            <v>0</v>
          </cell>
        </row>
        <row r="69">
          <cell r="A69">
            <v>8</v>
          </cell>
          <cell r="B69" t="str">
            <v>Lighting control &amp; local override command</v>
          </cell>
          <cell r="G69">
            <v>8</v>
          </cell>
          <cell r="H69">
            <v>8</v>
          </cell>
          <cell r="I69" t="str">
            <v>PIRs in toilets, buttons in utility rooms</v>
          </cell>
          <cell r="J69" t="str">
            <v>S</v>
          </cell>
          <cell r="K69" t="str">
            <v>BAS vendor</v>
          </cell>
          <cell r="M69">
            <v>280</v>
          </cell>
          <cell r="N69">
            <v>0</v>
          </cell>
          <cell r="O69">
            <v>0</v>
          </cell>
        </row>
        <row r="70">
          <cell r="B70" t="str">
            <v>Spare 10%</v>
          </cell>
          <cell r="D70">
            <v>0</v>
          </cell>
          <cell r="E70">
            <v>0</v>
          </cell>
          <cell r="F70">
            <v>0</v>
          </cell>
          <cell r="G70">
            <v>3</v>
          </cell>
          <cell r="H70">
            <v>2</v>
          </cell>
          <cell r="L70">
            <v>0</v>
          </cell>
          <cell r="M70">
            <v>0</v>
          </cell>
          <cell r="N70">
            <v>0</v>
          </cell>
          <cell r="O70">
            <v>0</v>
          </cell>
        </row>
        <row r="71">
          <cell r="A71" t="str">
            <v>CX</v>
          </cell>
          <cell r="B71" t="str">
            <v>Total I/O for Ventilation / lighting system</v>
          </cell>
          <cell r="D71">
            <v>0</v>
          </cell>
          <cell r="E71">
            <v>0</v>
          </cell>
          <cell r="F71">
            <v>0</v>
          </cell>
          <cell r="G71">
            <v>27</v>
          </cell>
          <cell r="H71">
            <v>14</v>
          </cell>
          <cell r="I71">
            <v>35</v>
          </cell>
          <cell r="L71">
            <v>70</v>
          </cell>
          <cell r="M71">
            <v>280</v>
          </cell>
          <cell r="N71">
            <v>0</v>
          </cell>
          <cell r="O71">
            <v>0</v>
          </cell>
        </row>
        <row r="72">
          <cell r="B72" t="str">
            <v>Total I/Os for Energy metering/Vent/Ltng</v>
          </cell>
          <cell r="D72">
            <v>0</v>
          </cell>
          <cell r="E72">
            <v>0</v>
          </cell>
          <cell r="F72">
            <v>0</v>
          </cell>
          <cell r="G72">
            <v>945</v>
          </cell>
          <cell r="H72">
            <v>490</v>
          </cell>
          <cell r="K72" t="str">
            <v>This quantity is assumed and can alter based on design &amp; build scheme of the ACMV contractor</v>
          </cell>
          <cell r="N72">
            <v>0</v>
          </cell>
          <cell r="O72">
            <v>0</v>
          </cell>
        </row>
        <row r="73">
          <cell r="A73" t="str">
            <v>D</v>
          </cell>
          <cell r="B73" t="str">
            <v>Car Park Ventilation Fans - Qty</v>
          </cell>
          <cell r="I73">
            <v>2</v>
          </cell>
          <cell r="K73" t="str">
            <v>This quantity is assumed and can alter based on design &amp; build scheme of the ACMV contractor</v>
          </cell>
          <cell r="L73">
            <v>0</v>
          </cell>
          <cell r="M73">
            <v>0</v>
          </cell>
          <cell r="N73">
            <v>0</v>
          </cell>
          <cell r="O73">
            <v>0</v>
          </cell>
        </row>
        <row r="74">
          <cell r="A74">
            <v>1</v>
          </cell>
          <cell r="B74" t="str">
            <v>Fan ON / OFF Command</v>
          </cell>
          <cell r="H74">
            <v>2</v>
          </cell>
          <cell r="I74" t="str">
            <v>Command to Ventilation panel</v>
          </cell>
          <cell r="K74" t="str">
            <v>ACMV Vendor</v>
          </cell>
          <cell r="L74">
            <v>0</v>
          </cell>
          <cell r="M74">
            <v>0</v>
          </cell>
          <cell r="N74">
            <v>0</v>
          </cell>
          <cell r="O74">
            <v>0</v>
          </cell>
        </row>
        <row r="75">
          <cell r="A75">
            <v>2</v>
          </cell>
          <cell r="B75" t="str">
            <v>Fan ON / OFF Status</v>
          </cell>
          <cell r="G75">
            <v>2</v>
          </cell>
          <cell r="I75" t="str">
            <v>signal from potential free contact</v>
          </cell>
          <cell r="K75" t="str">
            <v>ACMV Vendor</v>
          </cell>
          <cell r="L75">
            <v>0</v>
          </cell>
          <cell r="M75">
            <v>0</v>
          </cell>
          <cell r="N75">
            <v>0</v>
          </cell>
          <cell r="O75">
            <v>0</v>
          </cell>
        </row>
        <row r="76">
          <cell r="A76">
            <v>3</v>
          </cell>
          <cell r="B76" t="str">
            <v>Fan trip Status</v>
          </cell>
          <cell r="G76">
            <v>2</v>
          </cell>
          <cell r="I76" t="str">
            <v>signal from potential free contact</v>
          </cell>
          <cell r="K76" t="str">
            <v>ACMV Vendor</v>
          </cell>
          <cell r="L76">
            <v>0</v>
          </cell>
          <cell r="M76">
            <v>0</v>
          </cell>
          <cell r="N76">
            <v>0</v>
          </cell>
          <cell r="O76">
            <v>0</v>
          </cell>
        </row>
        <row r="77">
          <cell r="A77">
            <v>4</v>
          </cell>
          <cell r="B77" t="str">
            <v>Fan A/M Status</v>
          </cell>
          <cell r="G77">
            <v>2</v>
          </cell>
          <cell r="I77" t="str">
            <v>Signal from potential free contact.</v>
          </cell>
          <cell r="K77" t="str">
            <v>ACMV Vendor</v>
          </cell>
          <cell r="L77">
            <v>0</v>
          </cell>
          <cell r="M77">
            <v>0</v>
          </cell>
          <cell r="N77">
            <v>0</v>
          </cell>
          <cell r="O77">
            <v>0</v>
          </cell>
        </row>
        <row r="78">
          <cell r="A78">
            <v>5</v>
          </cell>
          <cell r="B78" t="str">
            <v>Carbon Monoxide Sensor</v>
          </cell>
          <cell r="E78">
            <v>2</v>
          </cell>
          <cell r="I78" t="str">
            <v xml:space="preserve">CO Sensor </v>
          </cell>
          <cell r="J78" t="str">
            <v>S</v>
          </cell>
          <cell r="K78" t="str">
            <v>BAS vendor</v>
          </cell>
          <cell r="L78">
            <v>0</v>
          </cell>
          <cell r="M78">
            <v>8</v>
          </cell>
          <cell r="N78">
            <v>0</v>
          </cell>
          <cell r="O78">
            <v>0</v>
          </cell>
        </row>
        <row r="79">
          <cell r="A79">
            <v>6</v>
          </cell>
          <cell r="B79" t="str">
            <v>MCC power supply status</v>
          </cell>
          <cell r="G79">
            <v>2</v>
          </cell>
          <cell r="I79" t="str">
            <v>signal from potential free contact.</v>
          </cell>
          <cell r="K79" t="str">
            <v>ACMV Vendor</v>
          </cell>
          <cell r="L79">
            <v>0</v>
          </cell>
          <cell r="M79">
            <v>0</v>
          </cell>
          <cell r="N79">
            <v>0</v>
          </cell>
          <cell r="O79">
            <v>0</v>
          </cell>
        </row>
        <row r="80">
          <cell r="B80" t="str">
            <v>Spare 10%</v>
          </cell>
          <cell r="D80">
            <v>0</v>
          </cell>
          <cell r="E80">
            <v>1</v>
          </cell>
          <cell r="F80">
            <v>0</v>
          </cell>
          <cell r="G80">
            <v>1</v>
          </cell>
          <cell r="H80">
            <v>1</v>
          </cell>
          <cell r="L80">
            <v>0</v>
          </cell>
          <cell r="M80">
            <v>0</v>
          </cell>
          <cell r="N80">
            <v>0</v>
          </cell>
          <cell r="O80">
            <v>0</v>
          </cell>
        </row>
        <row r="81">
          <cell r="A81" t="str">
            <v>DX</v>
          </cell>
          <cell r="B81" t="str">
            <v>Total I/O for Car Park ventilation</v>
          </cell>
          <cell r="D81">
            <v>0</v>
          </cell>
          <cell r="E81">
            <v>3</v>
          </cell>
          <cell r="F81">
            <v>0</v>
          </cell>
          <cell r="G81">
            <v>9</v>
          </cell>
          <cell r="H81">
            <v>3</v>
          </cell>
          <cell r="I81">
            <v>4</v>
          </cell>
          <cell r="L81">
            <v>0</v>
          </cell>
          <cell r="M81">
            <v>8</v>
          </cell>
          <cell r="N81">
            <v>0</v>
          </cell>
          <cell r="O81">
            <v>0</v>
          </cell>
        </row>
        <row r="82">
          <cell r="B82" t="str">
            <v>Total I/O for Car Park vent in complex</v>
          </cell>
          <cell r="D82">
            <v>0</v>
          </cell>
          <cell r="E82">
            <v>12</v>
          </cell>
          <cell r="F82">
            <v>0</v>
          </cell>
          <cell r="G82">
            <v>36</v>
          </cell>
          <cell r="H82">
            <v>12</v>
          </cell>
          <cell r="K82" t="str">
            <v>This quantity is assumed and can alter based on design &amp; build scheme of the ACMV contractor</v>
          </cell>
          <cell r="L82">
            <v>0</v>
          </cell>
          <cell r="N82">
            <v>0</v>
          </cell>
          <cell r="O82">
            <v>0</v>
          </cell>
        </row>
        <row r="83">
          <cell r="A83" t="str">
            <v>E</v>
          </cell>
          <cell r="B83" t="str">
            <v>Lifts monitoring &amp; Liftshaft pressurization fans- Qty</v>
          </cell>
          <cell r="I83">
            <v>1</v>
          </cell>
          <cell r="K83" t="str">
            <v>This quantity is assumed and can alter based on design &amp; build scheme of the ACMV contractor</v>
          </cell>
          <cell r="L83">
            <v>0</v>
          </cell>
          <cell r="M83">
            <v>0</v>
          </cell>
          <cell r="N83">
            <v>0</v>
          </cell>
          <cell r="O83">
            <v>0</v>
          </cell>
        </row>
        <row r="84">
          <cell r="A84">
            <v>1</v>
          </cell>
          <cell r="B84" t="str">
            <v>Fan ON / OFF Command</v>
          </cell>
          <cell r="H84">
            <v>5</v>
          </cell>
          <cell r="I84" t="str">
            <v>Command to fan panel</v>
          </cell>
          <cell r="K84" t="str">
            <v>ACMV Vendor</v>
          </cell>
          <cell r="L84">
            <v>0</v>
          </cell>
          <cell r="M84">
            <v>0</v>
          </cell>
          <cell r="N84">
            <v>0</v>
          </cell>
          <cell r="O84">
            <v>0</v>
          </cell>
        </row>
        <row r="85">
          <cell r="A85">
            <v>2</v>
          </cell>
          <cell r="B85" t="str">
            <v>Fan ON / OFF Status</v>
          </cell>
          <cell r="G85">
            <v>5</v>
          </cell>
          <cell r="I85" t="str">
            <v>signal from potential free contact</v>
          </cell>
          <cell r="K85" t="str">
            <v>ACMV Vendor</v>
          </cell>
          <cell r="L85">
            <v>0</v>
          </cell>
          <cell r="M85">
            <v>0</v>
          </cell>
          <cell r="N85">
            <v>0</v>
          </cell>
          <cell r="O85">
            <v>0</v>
          </cell>
        </row>
        <row r="86">
          <cell r="B86" t="str">
            <v>Lift contacts monitoring - Qty</v>
          </cell>
          <cell r="I86">
            <v>5</v>
          </cell>
          <cell r="L86">
            <v>0</v>
          </cell>
          <cell r="M86">
            <v>0</v>
          </cell>
          <cell r="N86">
            <v>0</v>
          </cell>
          <cell r="O86">
            <v>0</v>
          </cell>
        </row>
        <row r="87">
          <cell r="A87">
            <v>5</v>
          </cell>
          <cell r="B87" t="str">
            <v>Elevator trip, Alarm, fire man switch</v>
          </cell>
          <cell r="G87">
            <v>5</v>
          </cell>
          <cell r="I87" t="str">
            <v>signal from potential free contact</v>
          </cell>
          <cell r="K87" t="str">
            <v>Lifts vendor</v>
          </cell>
          <cell r="L87">
            <v>0</v>
          </cell>
          <cell r="M87">
            <v>0</v>
          </cell>
          <cell r="N87">
            <v>0</v>
          </cell>
          <cell r="O87">
            <v>0</v>
          </cell>
        </row>
        <row r="88">
          <cell r="A88">
            <v>6</v>
          </cell>
          <cell r="B88" t="str">
            <v>Elevator Floor Status</v>
          </cell>
          <cell r="G88">
            <v>50</v>
          </cell>
          <cell r="I88" t="str">
            <v>Signal from potential free contact</v>
          </cell>
          <cell r="K88" t="str">
            <v>Lifts vendor</v>
          </cell>
          <cell r="L88">
            <v>0</v>
          </cell>
          <cell r="M88">
            <v>0</v>
          </cell>
          <cell r="N88">
            <v>0</v>
          </cell>
          <cell r="O88">
            <v>0</v>
          </cell>
        </row>
        <row r="89">
          <cell r="A89">
            <v>7</v>
          </cell>
          <cell r="B89" t="str">
            <v>MCC power supply status</v>
          </cell>
          <cell r="G89">
            <v>1</v>
          </cell>
          <cell r="I89" t="str">
            <v>signal from potential free contact</v>
          </cell>
          <cell r="K89" t="str">
            <v>ACMV Vendor</v>
          </cell>
          <cell r="L89">
            <v>0</v>
          </cell>
          <cell r="M89">
            <v>0</v>
          </cell>
          <cell r="N89">
            <v>0</v>
          </cell>
          <cell r="O89">
            <v>0</v>
          </cell>
        </row>
        <row r="90">
          <cell r="A90">
            <v>8</v>
          </cell>
          <cell r="B90" t="str">
            <v>Spare 10%</v>
          </cell>
          <cell r="D90">
            <v>0</v>
          </cell>
          <cell r="E90">
            <v>0</v>
          </cell>
          <cell r="F90">
            <v>0</v>
          </cell>
          <cell r="G90">
            <v>7</v>
          </cell>
          <cell r="H90">
            <v>1</v>
          </cell>
          <cell r="L90">
            <v>0</v>
          </cell>
          <cell r="M90">
            <v>0</v>
          </cell>
          <cell r="N90">
            <v>0</v>
          </cell>
          <cell r="O90">
            <v>0</v>
          </cell>
        </row>
        <row r="91">
          <cell r="A91" t="str">
            <v>EX</v>
          </cell>
          <cell r="B91" t="str">
            <v>Total I/O for Lifts monitoring &amp; liftshaft pressurization</v>
          </cell>
          <cell r="D91">
            <v>0</v>
          </cell>
          <cell r="E91">
            <v>0</v>
          </cell>
          <cell r="F91">
            <v>0</v>
          </cell>
          <cell r="G91">
            <v>68</v>
          </cell>
          <cell r="H91">
            <v>6</v>
          </cell>
          <cell r="I91">
            <v>5</v>
          </cell>
        </row>
        <row r="92">
          <cell r="B92" t="str">
            <v>Total I/O for Lifts in complex</v>
          </cell>
          <cell r="D92">
            <v>0</v>
          </cell>
          <cell r="E92">
            <v>0</v>
          </cell>
          <cell r="F92">
            <v>0</v>
          </cell>
          <cell r="G92">
            <v>340</v>
          </cell>
          <cell r="H92">
            <v>30</v>
          </cell>
          <cell r="L92">
            <v>0</v>
          </cell>
          <cell r="M92">
            <v>0</v>
          </cell>
          <cell r="N92">
            <v>0</v>
          </cell>
          <cell r="O92">
            <v>0</v>
          </cell>
        </row>
        <row r="93">
          <cell r="A93" t="str">
            <v>F</v>
          </cell>
          <cell r="B93" t="str">
            <v>Electrical Distribution Monitoring/ 4xDGs</v>
          </cell>
          <cell r="I93">
            <v>103</v>
          </cell>
          <cell r="K93" t="str">
            <v>This quantity is assumed and can alter based on design &amp; build scheme of the ACMV contractor</v>
          </cell>
        </row>
        <row r="94">
          <cell r="A94">
            <v>1</v>
          </cell>
          <cell r="B94" t="str">
            <v>Main Incomeroutgoing Breaker status</v>
          </cell>
          <cell r="I94" t="str">
            <v>serial bus with Modbus RTU protocol</v>
          </cell>
          <cell r="K94" t="str">
            <v>Electrical vendor</v>
          </cell>
        </row>
        <row r="95">
          <cell r="A95">
            <v>2</v>
          </cell>
          <cell r="B95" t="str">
            <v>Main Incomer/ outgoing  Breaker Trip</v>
          </cell>
          <cell r="I95" t="str">
            <v>serial bus with Modbus RTU protocol</v>
          </cell>
          <cell r="K95" t="str">
            <v>Electrical vendor</v>
          </cell>
        </row>
        <row r="96">
          <cell r="A96">
            <v>3</v>
          </cell>
          <cell r="B96" t="str">
            <v>Transofrmer alarms WTI, BHR,MOG</v>
          </cell>
          <cell r="G96">
            <v>12</v>
          </cell>
          <cell r="I96" t="str">
            <v>signal from potential free contact</v>
          </cell>
          <cell r="K96" t="str">
            <v>Electrical vendor</v>
          </cell>
        </row>
        <row r="97">
          <cell r="A97">
            <v>4</v>
          </cell>
          <cell r="B97" t="str">
            <v>Relays in incomer/ outgoing feeders</v>
          </cell>
          <cell r="I97" t="str">
            <v>serial bus with Modbus RTU protocol</v>
          </cell>
          <cell r="K97" t="str">
            <v>Electrical vendor</v>
          </cell>
        </row>
        <row r="98">
          <cell r="A98">
            <v>5</v>
          </cell>
          <cell r="B98" t="str">
            <v>Energy metering from composite TVM</v>
          </cell>
          <cell r="I98" t="str">
            <v>Composite meter with RS485 O/P</v>
          </cell>
          <cell r="K98" t="str">
            <v>Electrical vendor</v>
          </cell>
        </row>
        <row r="99">
          <cell r="A99">
            <v>6</v>
          </cell>
          <cell r="B99" t="str">
            <v>Perimeter Lighting ON/OFF Command.</v>
          </cell>
          <cell r="H99">
            <v>12</v>
          </cell>
          <cell r="I99" t="str">
            <v>Command to Lighting contactor</v>
          </cell>
          <cell r="K99" t="str">
            <v>Electrical Vendor</v>
          </cell>
        </row>
        <row r="100">
          <cell r="A100">
            <v>7</v>
          </cell>
          <cell r="B100" t="str">
            <v>Perimeter Lighting ON/OFF status.</v>
          </cell>
          <cell r="G100">
            <v>12</v>
          </cell>
          <cell r="I100" t="str">
            <v>Signal from potential free contact</v>
          </cell>
          <cell r="K100" t="str">
            <v>Electrical Vendor</v>
          </cell>
        </row>
        <row r="101">
          <cell r="A101">
            <v>1</v>
          </cell>
          <cell r="B101" t="str">
            <v>DG Set ON/OFF Status</v>
          </cell>
          <cell r="G101">
            <v>4</v>
          </cell>
          <cell r="I101" t="str">
            <v>signal from potential free contact</v>
          </cell>
          <cell r="K101" t="str">
            <v>DG vendor</v>
          </cell>
        </row>
        <row r="102">
          <cell r="A102">
            <v>2</v>
          </cell>
          <cell r="B102" t="str">
            <v>DG breaker trip</v>
          </cell>
          <cell r="G102">
            <v>4</v>
          </cell>
          <cell r="I102" t="str">
            <v>signal from potential free contact</v>
          </cell>
          <cell r="K102" t="str">
            <v>DG vendor</v>
          </cell>
        </row>
        <row r="103">
          <cell r="A103">
            <v>3</v>
          </cell>
          <cell r="B103" t="str">
            <v>DG failure alarm</v>
          </cell>
          <cell r="G103">
            <v>4</v>
          </cell>
          <cell r="I103" t="str">
            <v>signal from potential free contact</v>
          </cell>
          <cell r="K103" t="str">
            <v>DG vendor</v>
          </cell>
        </row>
        <row r="104">
          <cell r="A104">
            <v>4</v>
          </cell>
          <cell r="B104" t="str">
            <v xml:space="preserve">Fuel Pump Trip </v>
          </cell>
          <cell r="G104">
            <v>4</v>
          </cell>
          <cell r="I104" t="str">
            <v>signal from potential free contact</v>
          </cell>
          <cell r="K104" t="str">
            <v>DG vendor</v>
          </cell>
        </row>
        <row r="105">
          <cell r="A105">
            <v>5</v>
          </cell>
          <cell r="B105" t="str">
            <v>Battery low status</v>
          </cell>
          <cell r="G105">
            <v>4</v>
          </cell>
          <cell r="I105" t="str">
            <v>signal from potential free contact</v>
          </cell>
          <cell r="K105" t="str">
            <v>DG vendor</v>
          </cell>
        </row>
        <row r="106">
          <cell r="A106">
            <v>6</v>
          </cell>
          <cell r="B106" t="str">
            <v>Fuel tank level High / Low status</v>
          </cell>
          <cell r="G106">
            <v>8</v>
          </cell>
          <cell r="I106" t="str">
            <v>signal from potential free contact</v>
          </cell>
          <cell r="K106" t="str">
            <v>DG vendor</v>
          </cell>
        </row>
        <row r="107">
          <cell r="A107">
            <v>7</v>
          </cell>
          <cell r="B107" t="str">
            <v>Energy Monitoring For [V,I, KWH, PF,Frq]</v>
          </cell>
          <cell r="I107" t="str">
            <v>Composite meter with RS485 O/P</v>
          </cell>
          <cell r="K107" t="str">
            <v>DG vendor</v>
          </cell>
        </row>
        <row r="108">
          <cell r="B108" t="str">
            <v>Spare 10%</v>
          </cell>
          <cell r="D108">
            <v>0</v>
          </cell>
          <cell r="E108">
            <v>0</v>
          </cell>
          <cell r="F108">
            <v>0</v>
          </cell>
          <cell r="G108">
            <v>6</v>
          </cell>
          <cell r="H108">
            <v>2</v>
          </cell>
        </row>
        <row r="109">
          <cell r="A109" t="str">
            <v>FX</v>
          </cell>
          <cell r="B109" t="str">
            <v>Total I/O</v>
          </cell>
          <cell r="D109">
            <v>0</v>
          </cell>
          <cell r="E109">
            <v>0</v>
          </cell>
          <cell r="F109">
            <v>0</v>
          </cell>
          <cell r="G109">
            <v>58</v>
          </cell>
          <cell r="H109">
            <v>14</v>
          </cell>
          <cell r="I109">
            <v>1</v>
          </cell>
        </row>
        <row r="110">
          <cell r="B110" t="str">
            <v>Total I/O for ELEC.DISTRIB/DGs in complex</v>
          </cell>
          <cell r="D110">
            <v>0</v>
          </cell>
          <cell r="E110">
            <v>0</v>
          </cell>
          <cell r="F110">
            <v>0</v>
          </cell>
          <cell r="G110">
            <v>58</v>
          </cell>
          <cell r="H110">
            <v>14</v>
          </cell>
          <cell r="L110">
            <v>0</v>
          </cell>
          <cell r="M110">
            <v>0</v>
          </cell>
          <cell r="N110">
            <v>0</v>
          </cell>
          <cell r="O110">
            <v>0</v>
          </cell>
        </row>
        <row r="111">
          <cell r="A111" t="str">
            <v>G</v>
          </cell>
          <cell r="B111" t="str">
            <v>Water Management/Fire protection System (3x sumps, 5x OH tanks)</v>
          </cell>
          <cell r="K111" t="str">
            <v>This quantity is assumed and can alter based on design &amp; build scheme of the ACMV contractor</v>
          </cell>
        </row>
        <row r="112">
          <cell r="B112" t="str">
            <v>Domestic Water Pumping System [Water Pumps]</v>
          </cell>
          <cell r="I112">
            <v>7</v>
          </cell>
        </row>
        <row r="113">
          <cell r="A113">
            <v>1</v>
          </cell>
          <cell r="B113" t="str">
            <v>Water pump ON/OFF command.</v>
          </cell>
          <cell r="H113">
            <v>7</v>
          </cell>
          <cell r="I113" t="str">
            <v>Command to Pump Panel</v>
          </cell>
          <cell r="K113" t="str">
            <v>Electrical Vendor</v>
          </cell>
        </row>
        <row r="114">
          <cell r="A114">
            <v>2</v>
          </cell>
          <cell r="B114" t="str">
            <v>Water pump ON/OFF status</v>
          </cell>
          <cell r="G114">
            <v>7</v>
          </cell>
          <cell r="I114" t="str">
            <v>Signal from potential free contact.</v>
          </cell>
          <cell r="K114" t="str">
            <v>Electrical Vendor</v>
          </cell>
        </row>
        <row r="115">
          <cell r="A115">
            <v>3</v>
          </cell>
          <cell r="B115" t="str">
            <v>Water pump trip status.</v>
          </cell>
          <cell r="G115">
            <v>7</v>
          </cell>
          <cell r="I115" t="str">
            <v>Signal from potential free contact.</v>
          </cell>
          <cell r="K115" t="str">
            <v>Electrical Vendor</v>
          </cell>
        </row>
        <row r="116">
          <cell r="A116">
            <v>4</v>
          </cell>
          <cell r="B116" t="str">
            <v>Water pump Auto / Manual status.</v>
          </cell>
          <cell r="G116">
            <v>7</v>
          </cell>
          <cell r="I116" t="str">
            <v>Signal from potential free contact.</v>
          </cell>
          <cell r="K116" t="str">
            <v>Electrical Vendor</v>
          </cell>
        </row>
        <row r="117">
          <cell r="A117">
            <v>5</v>
          </cell>
          <cell r="B117" t="str">
            <v>O.H Tank level High / Low monitoring.</v>
          </cell>
          <cell r="E117">
            <v>8</v>
          </cell>
          <cell r="I117" t="str">
            <v>Level Sensor</v>
          </cell>
          <cell r="J117" t="str">
            <v>S</v>
          </cell>
          <cell r="K117" t="str">
            <v>BAS Vendor</v>
          </cell>
          <cell r="M117">
            <v>4</v>
          </cell>
        </row>
        <row r="118">
          <cell r="A118">
            <v>6</v>
          </cell>
          <cell r="B118" t="str">
            <v>Sump level High / Low monitoring</v>
          </cell>
          <cell r="G118">
            <v>6</v>
          </cell>
          <cell r="I118" t="str">
            <v>Level Switch</v>
          </cell>
          <cell r="J118" t="str">
            <v>B</v>
          </cell>
          <cell r="K118" t="str">
            <v>BAS Vendor</v>
          </cell>
          <cell r="L118">
            <v>3</v>
          </cell>
        </row>
        <row r="119">
          <cell r="B119" t="str">
            <v>Water Softener Plant</v>
          </cell>
          <cell r="I119">
            <v>2</v>
          </cell>
        </row>
        <row r="120">
          <cell r="A120">
            <v>7</v>
          </cell>
          <cell r="B120" t="str">
            <v>Softener feed pump ON/OFF command.</v>
          </cell>
          <cell r="H120">
            <v>2</v>
          </cell>
          <cell r="I120" t="str">
            <v>Command to Pump Panel</v>
          </cell>
          <cell r="K120" t="str">
            <v>Electrical Vendor</v>
          </cell>
        </row>
        <row r="121">
          <cell r="A121">
            <v>8</v>
          </cell>
          <cell r="B121" t="str">
            <v>Softener feed pump ON/OFF status.</v>
          </cell>
          <cell r="G121">
            <v>2</v>
          </cell>
          <cell r="I121" t="str">
            <v>Signal from potential free contact.</v>
          </cell>
          <cell r="K121" t="str">
            <v>Electrical Vendor</v>
          </cell>
        </row>
        <row r="122">
          <cell r="A122">
            <v>9</v>
          </cell>
          <cell r="B122" t="str">
            <v>Softener feed pump trip status.</v>
          </cell>
          <cell r="G122">
            <v>2</v>
          </cell>
          <cell r="I122" t="str">
            <v>Signal from potential free contact.</v>
          </cell>
          <cell r="K122" t="str">
            <v>Electrical Vendor</v>
          </cell>
        </row>
        <row r="123">
          <cell r="A123">
            <v>10</v>
          </cell>
          <cell r="B123" t="str">
            <v>Softener feed pump Auto / Manual status.</v>
          </cell>
          <cell r="G123">
            <v>2</v>
          </cell>
          <cell r="I123" t="str">
            <v>Signal from potential free contact.</v>
          </cell>
          <cell r="K123" t="str">
            <v>Electrical Vendor</v>
          </cell>
        </row>
        <row r="124">
          <cell r="B124" t="str">
            <v>Irrigation Pumping System</v>
          </cell>
          <cell r="I124">
            <v>3</v>
          </cell>
        </row>
        <row r="125">
          <cell r="A125">
            <v>11</v>
          </cell>
          <cell r="B125" t="str">
            <v>Irrigation pump ON/OFF command.</v>
          </cell>
          <cell r="H125">
            <v>3</v>
          </cell>
          <cell r="I125" t="str">
            <v>Command to Pump Panel</v>
          </cell>
          <cell r="K125" t="str">
            <v>Electrical Vendor</v>
          </cell>
        </row>
        <row r="126">
          <cell r="A126">
            <v>12</v>
          </cell>
          <cell r="B126" t="str">
            <v>Irrigation pump ON/OFF status</v>
          </cell>
          <cell r="G126">
            <v>3</v>
          </cell>
          <cell r="I126" t="str">
            <v>Signal from potential free contact.</v>
          </cell>
          <cell r="K126" t="str">
            <v>Electrical Vendor</v>
          </cell>
        </row>
        <row r="127">
          <cell r="A127">
            <v>13</v>
          </cell>
          <cell r="B127" t="str">
            <v>Irrigation pump trip status</v>
          </cell>
          <cell r="G127">
            <v>3</v>
          </cell>
          <cell r="H127">
            <v>0</v>
          </cell>
          <cell r="I127" t="str">
            <v>Signal from potential free contact.</v>
          </cell>
          <cell r="K127" t="str">
            <v>Electrical Vendor</v>
          </cell>
        </row>
        <row r="128">
          <cell r="A128">
            <v>14</v>
          </cell>
          <cell r="B128" t="str">
            <v>Irrigation pump Auto / Manual status</v>
          </cell>
          <cell r="G128">
            <v>3</v>
          </cell>
          <cell r="H128">
            <v>0</v>
          </cell>
          <cell r="I128" t="str">
            <v>Signal from potential free contact.</v>
          </cell>
          <cell r="K128" t="str">
            <v>Electrical Vendor</v>
          </cell>
        </row>
        <row r="129">
          <cell r="B129" t="str">
            <v>Fire Pumps</v>
          </cell>
        </row>
        <row r="130">
          <cell r="A130">
            <v>15</v>
          </cell>
          <cell r="B130" t="str">
            <v>Fire pump ON/OFF status</v>
          </cell>
          <cell r="G130">
            <v>3</v>
          </cell>
          <cell r="I130" t="str">
            <v>Signal from potential free contact.</v>
          </cell>
          <cell r="K130" t="str">
            <v>Electrical Vendor</v>
          </cell>
        </row>
        <row r="131">
          <cell r="A131">
            <v>16</v>
          </cell>
          <cell r="B131" t="str">
            <v>Fire pump trip status</v>
          </cell>
          <cell r="G131">
            <v>3</v>
          </cell>
          <cell r="I131" t="str">
            <v>Signal from potential free contact.</v>
          </cell>
          <cell r="K131" t="str">
            <v>Electrical Vendor</v>
          </cell>
        </row>
        <row r="132">
          <cell r="A132">
            <v>17</v>
          </cell>
          <cell r="B132" t="str">
            <v>Sprinkler Line pressure sensor</v>
          </cell>
          <cell r="E132">
            <v>1</v>
          </cell>
          <cell r="I132" t="str">
            <v>Pressure sensor</v>
          </cell>
          <cell r="J132" t="str">
            <v>S</v>
          </cell>
          <cell r="K132" t="str">
            <v>BAS Vendor</v>
          </cell>
          <cell r="M132">
            <v>1</v>
          </cell>
        </row>
        <row r="133">
          <cell r="B133" t="str">
            <v>Spare 10%</v>
          </cell>
          <cell r="D133">
            <v>0</v>
          </cell>
          <cell r="E133">
            <v>1</v>
          </cell>
          <cell r="F133">
            <v>0</v>
          </cell>
          <cell r="G133">
            <v>5</v>
          </cell>
          <cell r="H133">
            <v>2</v>
          </cell>
        </row>
        <row r="134">
          <cell r="A134" t="str">
            <v>GX</v>
          </cell>
          <cell r="B134" t="str">
            <v>Total I/O for water management in complex</v>
          </cell>
          <cell r="D134">
            <v>0</v>
          </cell>
          <cell r="E134">
            <v>10</v>
          </cell>
          <cell r="F134">
            <v>0</v>
          </cell>
          <cell r="G134">
            <v>53</v>
          </cell>
          <cell r="H134">
            <v>14</v>
          </cell>
          <cell r="I134">
            <v>1</v>
          </cell>
          <cell r="L134">
            <v>3</v>
          </cell>
          <cell r="M134">
            <v>5</v>
          </cell>
          <cell r="N134">
            <v>0</v>
          </cell>
          <cell r="O1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 summary"/>
      <sheetName val="table of contents"/>
      <sheetName val="CW SIZING (IDCT-2)"/>
      <sheetName val="IDCT-2 (C=120)"/>
      <sheetName val="Results"/>
      <sheetName val="Pipesizing - 2"/>
      <sheetName val="pipe thk. - 2"/>
      <sheetName val="resis. coeff"/>
      <sheetName val="water prop."/>
      <sheetName val="System Resistance (for spec)"/>
      <sheetName val="SR (IDCT-2)"/>
      <sheetName val="SR (IDCT-1)"/>
      <sheetName val="CW SIZING (IDCT-1)"/>
      <sheetName val="IDCT-1(C=120)"/>
      <sheetName val="Pipesizing - 1"/>
      <sheetName val="pipe thk. - 1"/>
      <sheetName val="Sheet1"/>
      <sheetName val="Wordsdata"/>
      <sheetName val="item"/>
      <sheetName val="IO LIST"/>
      <sheetName val="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Choices: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概要書"/>
      <sheetName val="電気設備表"/>
      <sheetName val="ﾒｰｶｰﾘｽﾄ"/>
      <sheetName val="建築依頼事項"/>
      <sheetName val="別途工事"/>
      <sheetName val="030710"/>
      <sheetName val="water prop."/>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controllers"/>
      <sheetName val="graph"/>
      <sheetName val="Summary US$"/>
      <sheetName val="Summary Local $"/>
      <sheetName val="Allocation"/>
      <sheetName val="listing"/>
      <sheetName val="S01"/>
      <sheetName val="S02"/>
      <sheetName val="S03"/>
      <sheetName val="S04"/>
      <sheetName val="S05"/>
      <sheetName val="S06"/>
      <sheetName val="S07"/>
      <sheetName val="S08"/>
      <sheetName val="S09"/>
      <sheetName val="S10"/>
      <sheetName val="S11"/>
      <sheetName val="S12"/>
      <sheetName val="S13"/>
      <sheetName val="S14"/>
      <sheetName val="S15"/>
      <sheetName val="S16"/>
      <sheetName val="S17"/>
      <sheetName val="S18"/>
      <sheetName val="S19"/>
      <sheetName val="S20"/>
      <sheetName val="S21"/>
      <sheetName val="S22"/>
      <sheetName val="S23"/>
      <sheetName val="S24"/>
      <sheetName val="S25"/>
      <sheetName val="S26"/>
      <sheetName val="S27"/>
      <sheetName val="S28"/>
      <sheetName val="S29"/>
      <sheetName val="S30"/>
      <sheetName val="S31"/>
      <sheetName val="S32"/>
      <sheetName val="S33"/>
      <sheetName val="S34"/>
      <sheetName val="S35"/>
      <sheetName val="S36"/>
      <sheetName val="S37"/>
      <sheetName val="S38"/>
      <sheetName val="S39"/>
      <sheetName val="S40"/>
      <sheetName val="S41"/>
      <sheetName val="S42"/>
      <sheetName val="S43"/>
      <sheetName val="S44"/>
      <sheetName val="S45"/>
      <sheetName val="S46"/>
      <sheetName val="S47"/>
      <sheetName val="S48"/>
      <sheetName val="S49"/>
      <sheetName val="S50"/>
      <sheetName val="S51"/>
      <sheetName val="S52"/>
      <sheetName val="S53"/>
      <sheetName val="S54"/>
      <sheetName val="S55"/>
      <sheetName val="S56"/>
      <sheetName val="S57"/>
      <sheetName val="S58"/>
      <sheetName val="S59"/>
      <sheetName val="S60"/>
      <sheetName val="S62"/>
      <sheetName val="S63"/>
      <sheetName val="S64"/>
      <sheetName val="Project Budget Worksheet"/>
      <sheetName val="Quick Reference Guide"/>
      <sheetName val="Construction"/>
      <sheetName val="030625_GKC Bluebook (AC)"/>
      <sheetName val="Pay_Sep06"/>
      <sheetName val="INPUT SHEET"/>
      <sheetName val="RES-PLANNING"/>
      <sheetName val="Lead"/>
      <sheetName val="IO LIST"/>
      <sheetName val="Builtup Area"/>
      <sheetName val="analysis"/>
      <sheetName val="oresreqsum"/>
      <sheetName val="CFForecast detail"/>
      <sheetName val="Extra Item"/>
      <sheetName val="FORM7"/>
      <sheetName val="Mechanical"/>
      <sheetName val="Data"/>
      <sheetName val="Fill this out first..."/>
      <sheetName val="DEPTH CHART (ORR) L.S."/>
      <sheetName val="TBAL9697 -group wise  sdpl"/>
      <sheetName val="Material "/>
      <sheetName val="Labour &amp; Plant"/>
      <sheetName val="Fin Sum"/>
      <sheetName val="Voucher"/>
      <sheetName val="Basement Budget"/>
      <sheetName val="dBase"/>
      <sheetName val="Database"/>
      <sheetName val="SCHEDULE"/>
      <sheetName val="schedule nos"/>
      <sheetName val="Design"/>
      <sheetName val="Publicbuilding"/>
      <sheetName val="SALIENT"/>
      <sheetName val="Break up Sheet"/>
      <sheetName val="Detail"/>
      <sheetName val="Headings"/>
      <sheetName val="Block A - BOQ"/>
      <sheetName val="Non-Factory"/>
      <sheetName val="BASIS -DEC 08"/>
      <sheetName val="Rate Analysis"/>
      <sheetName val="loadcal"/>
      <sheetName val="GBW"/>
      <sheetName val="BOQ-Part1"/>
      <sheetName val="MPR_PA_1"/>
      <sheetName val="ABP inputs"/>
      <sheetName val="Synergy Sales Budget"/>
      <sheetName val="Fin. Assumpt. - Sensitivities"/>
      <sheetName val="Estimate"/>
      <sheetName val="Meas.-Hotel Part"/>
      <sheetName val="07016, Master List-Major Minor"/>
      <sheetName val="Discount &amp; Margin"/>
      <sheetName val="NPV"/>
      <sheetName val="Basic Rates"/>
      <sheetName val="PS1"/>
      <sheetName val="Loads"/>
      <sheetName val="WORK TABLE"/>
      <sheetName val="Data sheet"/>
      <sheetName val="maing1"/>
      <sheetName val="Cashflow projection"/>
      <sheetName val="3. Elemental Summary"/>
      <sheetName val="12a. CFTable"/>
      <sheetName val="1-Internal electrical"/>
      <sheetName val="Cost Index"/>
      <sheetName val="X rate"/>
      <sheetName val="Material"/>
      <sheetName val="Summary_US$"/>
      <sheetName val="Summary_Local_$"/>
      <sheetName val="Project_Budget_Worksheet"/>
      <sheetName val="Quick_Reference_Guide"/>
      <sheetName val="CFForecast_detail"/>
      <sheetName val="3__Elemental_Summary"/>
      <sheetName val="12a__CFTable"/>
      <sheetName val="sept-plan"/>
      <sheetName val="Civil Boq"/>
      <sheetName val="電気設備表"/>
      <sheetName val="Site Dev BOQ"/>
      <sheetName val="BOQ_Direct_selling cost"/>
      <sheetName val="Intro"/>
      <sheetName val="PLAN_FEB97"/>
      <sheetName val="labour coeff"/>
      <sheetName val="p&amp;m"/>
      <sheetName val="Title"/>
      <sheetName val="conc-foot-gradeslab"/>
      <sheetName val="gen"/>
      <sheetName val="#REF"/>
      <sheetName val="Sheet1"/>
      <sheetName val="Legal Risk Analysis"/>
      <sheetName val="Codes"/>
      <sheetName val="Assumptions"/>
      <sheetName val="A"/>
      <sheetName val="Assumption"/>
      <sheetName val="RCC,Ret. Wall"/>
      <sheetName val="Analy"/>
      <sheetName val="Column steel"/>
      <sheetName val="Costing"/>
      <sheetName val="Set"/>
    </sheetNames>
    <sheetDataSet>
      <sheetData sheetId="0">
        <row r="1">
          <cell r="A1" t="str">
            <v>MORGAN STANLEY DEAN WITTER</v>
          </cell>
        </row>
      </sheetData>
      <sheetData sheetId="1">
        <row r="1">
          <cell r="A1" t="str">
            <v>MORGAN STANLEY DEAN WITTER</v>
          </cell>
        </row>
      </sheetData>
      <sheetData sheetId="2">
        <row r="1">
          <cell r="A1" t="str">
            <v>MORGAN STANLEY DEAN WITTER</v>
          </cell>
        </row>
      </sheetData>
      <sheetData sheetId="3">
        <row r="1">
          <cell r="A1" t="str">
            <v>MORGAN STANLEY DEAN WITTER</v>
          </cell>
        </row>
      </sheetData>
      <sheetData sheetId="4">
        <row r="1">
          <cell r="A1" t="str">
            <v>MORGAN STANLEY DEAN WITTER</v>
          </cell>
        </row>
      </sheetData>
      <sheetData sheetId="5">
        <row r="1">
          <cell r="A1" t="str">
            <v>MORGAN STANLEY DEAN WITTER</v>
          </cell>
        </row>
      </sheetData>
      <sheetData sheetId="6">
        <row r="1">
          <cell r="A1" t="str">
            <v>MORGAN STANLEY DEAN WITTER</v>
          </cell>
        </row>
      </sheetData>
      <sheetData sheetId="7">
        <row r="1">
          <cell r="A1" t="str">
            <v>MORGAN STANLEY DEAN WITTER</v>
          </cell>
        </row>
      </sheetData>
      <sheetData sheetId="8">
        <row r="1">
          <cell r="A1" t="str">
            <v>MORGAN STANLEY DEAN WITTER</v>
          </cell>
        </row>
      </sheetData>
      <sheetData sheetId="9">
        <row r="1">
          <cell r="A1" t="str">
            <v>MORGAN STANLEY DEAN WITTER</v>
          </cell>
        </row>
      </sheetData>
      <sheetData sheetId="10">
        <row r="1">
          <cell r="A1" t="str">
            <v>MORGAN STANLEY DEAN WITTER</v>
          </cell>
        </row>
      </sheetData>
      <sheetData sheetId="11">
        <row r="1">
          <cell r="A1" t="str">
            <v>MORGAN STANLEY DEAN WITTER</v>
          </cell>
        </row>
      </sheetData>
      <sheetData sheetId="12">
        <row r="1">
          <cell r="A1" t="str">
            <v>MORGAN STANLEY DEAN WITTER</v>
          </cell>
        </row>
      </sheetData>
      <sheetData sheetId="13">
        <row r="1">
          <cell r="A1" t="str">
            <v>MORGAN STANLEY DEAN WITTER</v>
          </cell>
        </row>
      </sheetData>
      <sheetData sheetId="14">
        <row r="1">
          <cell r="A1" t="str">
            <v>MORGAN STANLEY DEAN WITTER</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1">
          <cell r="A1" t="str">
            <v>MORGAN STANLEY DEAN WITTER</v>
          </cell>
        </row>
      </sheetData>
      <sheetData sheetId="60">
        <row r="1">
          <cell r="A1" t="str">
            <v>MORGAN STANLEY DEAN WITTER</v>
          </cell>
        </row>
      </sheetData>
      <sheetData sheetId="61">
        <row r="1">
          <cell r="A1" t="str">
            <v>MORGAN STANLEY DEAN WITTER</v>
          </cell>
        </row>
      </sheetData>
      <sheetData sheetId="62">
        <row r="1">
          <cell r="A1" t="str">
            <v>MORGAN STANLEY DEAN WITTER</v>
          </cell>
        </row>
      </sheetData>
      <sheetData sheetId="63">
        <row r="1">
          <cell r="A1" t="str">
            <v>MORGAN STANLEY DEAN WITTER</v>
          </cell>
        </row>
      </sheetData>
      <sheetData sheetId="64">
        <row r="1">
          <cell r="A1" t="str">
            <v>MORGAN STANLEY DEAN WITTER</v>
          </cell>
        </row>
      </sheetData>
      <sheetData sheetId="65">
        <row r="1">
          <cell r="A1" t="str">
            <v>MORGAN STANLEY DEAN WITTER</v>
          </cell>
        </row>
      </sheetData>
      <sheetData sheetId="66">
        <row r="1">
          <cell r="A1" t="str">
            <v>MORGAN STANLEY DEAN WITTER</v>
          </cell>
        </row>
      </sheetData>
      <sheetData sheetId="67">
        <row r="1">
          <cell r="A1" t="str">
            <v>MORGAN STANLEY DEAN WITTER</v>
          </cell>
        </row>
      </sheetData>
      <sheetData sheetId="68">
        <row r="1">
          <cell r="A1" t="str">
            <v>MORGAN STANLEY DEAN WITTER</v>
          </cell>
        </row>
      </sheetData>
      <sheetData sheetId="69">
        <row r="1">
          <cell r="A1" t="str">
            <v>MORGAN STANLEY DEAN WITTER</v>
          </cell>
        </row>
      </sheetData>
      <sheetData sheetId="70">
        <row r="1">
          <cell r="A1" t="str">
            <v>MORGAN STANLEY DEAN WITTER</v>
          </cell>
        </row>
      </sheetData>
      <sheetData sheetId="71">
        <row r="1">
          <cell r="A1" t="str">
            <v>MORGAN STANLEY DEAN WITTER</v>
          </cell>
        </row>
      </sheetData>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ow r="1">
          <cell r="A1" t="str">
            <v>MORGAN STANLEY DEAN WITTER</v>
          </cell>
        </row>
      </sheetData>
      <sheetData sheetId="135">
        <row r="1">
          <cell r="A1" t="str">
            <v>MORGAN STANLEY DEAN WITTER</v>
          </cell>
        </row>
      </sheetData>
      <sheetData sheetId="136">
        <row r="1">
          <cell r="A1" t="str">
            <v>MORGAN STANLEY DEAN WITTER</v>
          </cell>
        </row>
      </sheetData>
      <sheetData sheetId="137">
        <row r="1">
          <cell r="A1" t="str">
            <v>MORGAN STANLEY DEAN WITTER</v>
          </cell>
        </row>
      </sheetData>
      <sheetData sheetId="138">
        <row r="1">
          <cell r="A1" t="str">
            <v>MORGAN STANLEY DEAN WITTER</v>
          </cell>
        </row>
      </sheetData>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site fab&amp;ernstr"/>
      <sheetName val="Set"/>
      <sheetName val="Vehicles"/>
      <sheetName val="except wiring"/>
      <sheetName val="DETAILED  BOQ"/>
      <sheetName val="Wordsdata"/>
      <sheetName val="item"/>
      <sheetName val="beam-reinft"/>
      <sheetName val="Data sheet"/>
      <sheetName val="Fin. Assumpt. - Sensitivities"/>
      <sheetName val="Construction"/>
      <sheetName val="COLUMN"/>
      <sheetName val="Material&amp;equipment"/>
    </sheetNames>
    <sheetDataSet>
      <sheetData sheetId="0" refreshError="1"/>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7"/>
      <sheetName val="IO LIST"/>
      <sheetName val="Material Rates"/>
      <sheetName val="analysis"/>
      <sheetName val="GBW"/>
      <sheetName val="Basement Budget"/>
      <sheetName val="NPV"/>
      <sheetName val="DETAILED  BOQ"/>
      <sheetName val="월선수금"/>
      <sheetName val="Construction"/>
      <sheetName val="BOQ (2)"/>
      <sheetName val="Fill this out first..."/>
      <sheetName val="Site Dev BOQ"/>
      <sheetName val="Headings"/>
      <sheetName val="labour coeff"/>
      <sheetName val="water prop."/>
      <sheetName val="Material&amp;equipment"/>
      <sheetName val="office"/>
      <sheetName val="Costing"/>
      <sheetName val="water prop_"/>
      <sheetName val="p&amp;m"/>
      <sheetName val="RCC,Ret. Wall"/>
      <sheetName val="BOQ_Direct_selling cost"/>
      <sheetName val="VCH-SLC"/>
      <sheetName val="Sheet3"/>
      <sheetName val="Supplier"/>
      <sheetName val="Estimation"/>
      <sheetName val="Labour productivity"/>
      <sheetName val="Summary"/>
      <sheetName val="Vehicles"/>
      <sheetName val="Data sheet"/>
      <sheetName val="Lists"/>
      <sheetName val="Wordsdata"/>
      <sheetName val="item"/>
      <sheetName val="FORM6&amp;7"/>
      <sheetName val="HEAD"/>
      <sheetName val="07016, Master List-Major Minor"/>
      <sheetName val="Index"/>
      <sheetName val="AREAS"/>
      <sheetName val="INPUT SHEET"/>
      <sheetName val="RES-PLANNING"/>
      <sheetName val="Data"/>
      <sheetName val="final abstract"/>
      <sheetName val="boq"/>
      <sheetName val="A"/>
      <sheetName val="PCS"/>
      <sheetName val="LOM_MOD"/>
      <sheetName val="電気設備表"/>
      <sheetName val="X rate"/>
      <sheetName val="Elect."/>
      <sheetName val="Basic Rates"/>
      <sheetName val="Variables"/>
      <sheetName val="FORM6"/>
      <sheetName val="FORM 6"/>
      <sheetName val="HPL"/>
      <sheetName val="factors"/>
      <sheetName val="Cost summary"/>
      <sheetName val="LIST OF MAKES"/>
      <sheetName val="Cable-data"/>
      <sheetName val="Civil Works"/>
      <sheetName val="MG"/>
      <sheetName val="SOR"/>
      <sheetName val="PRECAST lightconc-II"/>
      <sheetName val="3cd Annexure"/>
      <sheetName val="except wiring"/>
      <sheetName val="Design"/>
      <sheetName val="Sheet1"/>
      <sheetName val="#REF"/>
      <sheetName val="Staff Acco."/>
      <sheetName val="IDCCALHYD-GOO"/>
      <sheetName val="Macro1"/>
      <sheetName val="Input"/>
      <sheetName val="RA-markate"/>
      <sheetName val="INDIGINEOUS ITEMS "/>
      <sheetName val="Sheet2"/>
      <sheetName val="Database"/>
      <sheetName val="SCHEDULE"/>
      <sheetName val="schedule nos"/>
      <sheetName val="Build-up"/>
      <sheetName val="Project Budget Worksheet"/>
      <sheetName val="Cul_detail"/>
      <sheetName val="STAFFSCHED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_RATE ANALYSIS"/>
    </sheetNames>
    <sheetDataSet>
      <sheetData sheetId="0">
        <row r="1">
          <cell r="A1" t="str">
            <v>DONGRE ASSOCIATES</v>
          </cell>
          <cell r="C1" t="str">
            <v>PROJECT      : SAHARA CITY HOMES, MUMBAI.</v>
          </cell>
        </row>
        <row r="2">
          <cell r="A2" t="str">
            <v>VADODARA</v>
          </cell>
          <cell r="C2" t="str">
            <v>ARCHITECT   : ARCHITECT HAFEEZ CONTRACTOR, MUMBAI.</v>
          </cell>
        </row>
        <row r="3">
          <cell r="C3" t="str">
            <v>CLIENT          : SAHARA INDIA COMMERCIAL Co. Ltd.</v>
          </cell>
        </row>
        <row r="5">
          <cell r="A5">
            <v>38440.792609722223</v>
          </cell>
          <cell r="B5" t="str">
            <v xml:space="preserve">                  B A S I C   R A T E S   O F   M A T E R I A L S  </v>
          </cell>
        </row>
        <row r="6">
          <cell r="A6" t="str">
            <v>-</v>
          </cell>
          <cell r="B6" t="str">
            <v>-</v>
          </cell>
          <cell r="C6" t="str">
            <v>-</v>
          </cell>
          <cell r="D6" t="str">
            <v>-</v>
          </cell>
          <cell r="E6" t="str">
            <v>-</v>
          </cell>
          <cell r="F6" t="str">
            <v>-</v>
          </cell>
          <cell r="G6" t="str">
            <v>-</v>
          </cell>
        </row>
        <row r="7">
          <cell r="A7" t="str">
            <v>SR NO.</v>
          </cell>
          <cell r="B7" t="str">
            <v>PARTICULAR</v>
          </cell>
          <cell r="C7" t="str">
            <v>UNIT</v>
          </cell>
          <cell r="F7" t="str">
            <v>AMOUNT</v>
          </cell>
        </row>
        <row r="8">
          <cell r="A8" t="str">
            <v>-</v>
          </cell>
          <cell r="B8" t="str">
            <v>-</v>
          </cell>
          <cell r="C8" t="str">
            <v>-</v>
          </cell>
          <cell r="D8" t="str">
            <v>-</v>
          </cell>
          <cell r="E8" t="str">
            <v>-</v>
          </cell>
          <cell r="F8" t="str">
            <v>-</v>
          </cell>
          <cell r="G8" t="str">
            <v>-</v>
          </cell>
        </row>
        <row r="10">
          <cell r="A10" t="str">
            <v>a</v>
          </cell>
          <cell r="B10" t="str">
            <v>STONE FOR MASONRY</v>
          </cell>
          <cell r="C10" t="str">
            <v>CUM</v>
          </cell>
          <cell r="F10">
            <v>300</v>
          </cell>
        </row>
        <row r="12">
          <cell r="A12" t="str">
            <v>1</v>
          </cell>
          <cell r="B12" t="str">
            <v xml:space="preserve">CEMENT (OPC) </v>
          </cell>
          <cell r="C12" t="str">
            <v>BAG</v>
          </cell>
          <cell r="F12">
            <v>150</v>
          </cell>
        </row>
        <row r="14">
          <cell r="A14" t="str">
            <v>2</v>
          </cell>
          <cell r="B14" t="str">
            <v>CEMENT (WHITE)</v>
          </cell>
          <cell r="C14" t="str">
            <v>BAG</v>
          </cell>
          <cell r="F14">
            <v>650</v>
          </cell>
        </row>
        <row r="16">
          <cell r="A16" t="str">
            <v>3</v>
          </cell>
          <cell r="B16" t="str">
            <v>STONE AGGREGATE</v>
          </cell>
          <cell r="C16" t="str">
            <v>CUM</v>
          </cell>
          <cell r="F16">
            <v>500</v>
          </cell>
        </row>
        <row r="18">
          <cell r="A18" t="str">
            <v>4</v>
          </cell>
          <cell r="B18" t="str">
            <v xml:space="preserve">SAND </v>
          </cell>
          <cell r="C18" t="str">
            <v>CUM</v>
          </cell>
          <cell r="F18">
            <v>325</v>
          </cell>
        </row>
        <row r="20">
          <cell r="A20" t="str">
            <v>5</v>
          </cell>
          <cell r="B20" t="str">
            <v xml:space="preserve">BRICKS </v>
          </cell>
          <cell r="C20" t="str">
            <v>1 NOS</v>
          </cell>
          <cell r="F20">
            <v>2</v>
          </cell>
        </row>
        <row r="22">
          <cell r="A22" t="str">
            <v>6</v>
          </cell>
          <cell r="B22" t="str">
            <v>BLOCKS 100MM THK</v>
          </cell>
          <cell r="C22" t="str">
            <v>1 NOS</v>
          </cell>
          <cell r="F22">
            <v>16</v>
          </cell>
        </row>
        <row r="24">
          <cell r="A24" t="str">
            <v>7</v>
          </cell>
          <cell r="B24" t="str">
            <v>BLOCKS 150MM THK</v>
          </cell>
          <cell r="C24" t="str">
            <v>1 NOS</v>
          </cell>
          <cell r="F24">
            <v>20</v>
          </cell>
        </row>
        <row r="26">
          <cell r="A26" t="str">
            <v>8</v>
          </cell>
          <cell r="B26" t="str">
            <v>BLOCKS 125MM THK</v>
          </cell>
          <cell r="C26" t="str">
            <v>1 NOS</v>
          </cell>
          <cell r="F26">
            <v>18</v>
          </cell>
        </row>
        <row r="28">
          <cell r="A28" t="str">
            <v>9</v>
          </cell>
          <cell r="B28" t="str">
            <v xml:space="preserve">MILD STEEL </v>
          </cell>
          <cell r="C28" t="str">
            <v>MT</v>
          </cell>
          <cell r="F28">
            <v>30000</v>
          </cell>
        </row>
        <row r="30">
          <cell r="A30" t="str">
            <v>10</v>
          </cell>
          <cell r="B30" t="str">
            <v xml:space="preserve">TOR STEEL </v>
          </cell>
          <cell r="C30" t="str">
            <v>MT</v>
          </cell>
          <cell r="F30">
            <v>30400</v>
          </cell>
        </row>
        <row r="32">
          <cell r="A32" t="str">
            <v>11</v>
          </cell>
          <cell r="B32" t="str">
            <v xml:space="preserve">BINDING WIRE </v>
          </cell>
          <cell r="C32" t="str">
            <v>KG</v>
          </cell>
          <cell r="F32">
            <v>30</v>
          </cell>
        </row>
        <row r="34">
          <cell r="A34" t="str">
            <v>12</v>
          </cell>
          <cell r="B34" t="str">
            <v>NEERU</v>
          </cell>
          <cell r="C34" t="str">
            <v>KG</v>
          </cell>
          <cell r="F34">
            <v>2.5</v>
          </cell>
        </row>
        <row r="36">
          <cell r="A36" t="str">
            <v>13</v>
          </cell>
          <cell r="B36" t="str">
            <v>MARBLE</v>
          </cell>
          <cell r="C36" t="str">
            <v>SQM</v>
          </cell>
          <cell r="F36">
            <v>1075</v>
          </cell>
        </row>
        <row r="38">
          <cell r="A38" t="str">
            <v>14</v>
          </cell>
          <cell r="B38" t="str">
            <v xml:space="preserve">GRANITE </v>
          </cell>
          <cell r="C38" t="str">
            <v>SQM</v>
          </cell>
          <cell r="F38">
            <v>1615</v>
          </cell>
        </row>
        <row r="40">
          <cell r="A40" t="str">
            <v>15</v>
          </cell>
          <cell r="B40" t="str">
            <v>TANDUR STONE FLOORING</v>
          </cell>
          <cell r="C40" t="str">
            <v>SQM</v>
          </cell>
          <cell r="F40">
            <v>151</v>
          </cell>
        </row>
        <row r="42">
          <cell r="A42" t="str">
            <v>16</v>
          </cell>
          <cell r="B42" t="str">
            <v xml:space="preserve">SPARTEK TILES FLOORING </v>
          </cell>
          <cell r="C42" t="str">
            <v>SQM</v>
          </cell>
          <cell r="F42">
            <v>450</v>
          </cell>
        </row>
        <row r="44">
          <cell r="A44" t="str">
            <v>17</v>
          </cell>
          <cell r="B44" t="str">
            <v>MARBLE SKIRTING</v>
          </cell>
          <cell r="C44" t="str">
            <v>RMT</v>
          </cell>
        </row>
        <row r="46">
          <cell r="A46" t="str">
            <v>18</v>
          </cell>
          <cell r="B46" t="str">
            <v>GRANITE SKIRTING</v>
          </cell>
          <cell r="C46" t="str">
            <v>RMT</v>
          </cell>
        </row>
        <row r="48">
          <cell r="A48" t="str">
            <v>19</v>
          </cell>
          <cell r="B48" t="str">
            <v>TANDUR STONE SKIRTING</v>
          </cell>
          <cell r="C48" t="str">
            <v>RMT</v>
          </cell>
          <cell r="F48">
            <v>15</v>
          </cell>
        </row>
        <row r="50">
          <cell r="A50" t="str">
            <v>20</v>
          </cell>
          <cell r="B50" t="str">
            <v xml:space="preserve">VITRIFIED CERAMIC TILE </v>
          </cell>
          <cell r="C50" t="str">
            <v>SQM</v>
          </cell>
          <cell r="F50">
            <v>550</v>
          </cell>
        </row>
        <row r="52">
          <cell r="A52">
            <v>20.100000000000001</v>
          </cell>
          <cell r="B52" t="str">
            <v xml:space="preserve">NON SKID MATT FINISH CERAMIC TILE </v>
          </cell>
          <cell r="C52" t="str">
            <v>SQM</v>
          </cell>
          <cell r="F52">
            <v>225</v>
          </cell>
        </row>
        <row r="54">
          <cell r="A54">
            <v>20.2</v>
          </cell>
          <cell r="B54" t="str">
            <v>CERAMIC TILES DADO</v>
          </cell>
          <cell r="C54" t="str">
            <v>SQM</v>
          </cell>
          <cell r="F54">
            <v>225</v>
          </cell>
        </row>
        <row r="56">
          <cell r="A56" t="str">
            <v>21</v>
          </cell>
          <cell r="B56" t="str">
            <v>SHON TILES</v>
          </cell>
          <cell r="C56" t="str">
            <v>SQM</v>
          </cell>
        </row>
        <row r="58">
          <cell r="A58" t="str">
            <v>22</v>
          </cell>
          <cell r="B58" t="str">
            <v xml:space="preserve">CUDDAPAH STONE </v>
          </cell>
          <cell r="C58" t="str">
            <v>SQM</v>
          </cell>
        </row>
        <row r="60">
          <cell r="A60" t="str">
            <v>23</v>
          </cell>
          <cell r="B60" t="str">
            <v>WATER &amp; ELECTRICAL CHARGE</v>
          </cell>
          <cell r="C60" t="str">
            <v>%</v>
          </cell>
          <cell r="F60">
            <v>0.01</v>
          </cell>
        </row>
        <row r="62">
          <cell r="A62" t="str">
            <v>24</v>
          </cell>
          <cell r="B62" t="str">
            <v>TOOLS AND PLANTS FOR CONCRETE</v>
          </cell>
          <cell r="C62" t="str">
            <v>%</v>
          </cell>
          <cell r="F62">
            <v>0.05</v>
          </cell>
        </row>
        <row r="64">
          <cell r="A64" t="str">
            <v>25</v>
          </cell>
          <cell r="B64" t="str">
            <v>TOOLS AND PLANTS FOR STEEL</v>
          </cell>
          <cell r="C64" t="str">
            <v>%</v>
          </cell>
          <cell r="F64">
            <v>0.03</v>
          </cell>
        </row>
        <row r="65">
          <cell r="A65" t="str">
            <v>|::</v>
          </cell>
        </row>
        <row r="67">
          <cell r="A67" t="str">
            <v>26</v>
          </cell>
          <cell r="B67" t="str">
            <v>TOOLS AND PLANTS FOR SHUTTERING</v>
          </cell>
          <cell r="C67" t="str">
            <v>%</v>
          </cell>
          <cell r="F67">
            <v>0.03</v>
          </cell>
        </row>
        <row r="69">
          <cell r="A69" t="str">
            <v>27</v>
          </cell>
          <cell r="B69" t="str">
            <v>TOOLS AND PLANTS FOR MASONRY</v>
          </cell>
          <cell r="C69" t="str">
            <v>%</v>
          </cell>
          <cell r="F69">
            <v>0.03</v>
          </cell>
        </row>
        <row r="71">
          <cell r="A71" t="str">
            <v>28</v>
          </cell>
          <cell r="B71" t="str">
            <v>TOOLS AND PLANTS FOR PLASTERING</v>
          </cell>
          <cell r="C71" t="str">
            <v>%</v>
          </cell>
          <cell r="F71">
            <v>0.03</v>
          </cell>
        </row>
        <row r="73">
          <cell r="A73" t="str">
            <v>29</v>
          </cell>
          <cell r="B73" t="str">
            <v>TOOLS AND PLANTS FOR FLOORING</v>
          </cell>
          <cell r="C73" t="str">
            <v>%</v>
          </cell>
          <cell r="F73">
            <v>0.03</v>
          </cell>
        </row>
        <row r="75">
          <cell r="A75" t="str">
            <v>30</v>
          </cell>
          <cell r="B75" t="str">
            <v>TOOLS AND PLANTS FOR DOORS &amp; WINDOWS</v>
          </cell>
          <cell r="C75" t="str">
            <v>%</v>
          </cell>
          <cell r="F75">
            <v>0.03</v>
          </cell>
        </row>
        <row r="77">
          <cell r="A77" t="str">
            <v>31</v>
          </cell>
          <cell r="B77" t="str">
            <v>CONTRACTOR'S PROFIT</v>
          </cell>
          <cell r="C77" t="str">
            <v>%</v>
          </cell>
          <cell r="F77">
            <v>0.15</v>
          </cell>
        </row>
        <row r="79">
          <cell r="A79" t="str">
            <v>31.a</v>
          </cell>
          <cell r="B79" t="str">
            <v>WCT</v>
          </cell>
          <cell r="C79" t="str">
            <v>%</v>
          </cell>
          <cell r="F79">
            <v>0.04</v>
          </cell>
        </row>
        <row r="81">
          <cell r="A81" t="str">
            <v>32</v>
          </cell>
          <cell r="B81" t="str">
            <v>BRICK BAT</v>
          </cell>
          <cell r="C81" t="str">
            <v>CUM</v>
          </cell>
        </row>
        <row r="83">
          <cell r="A83" t="str">
            <v>33</v>
          </cell>
          <cell r="B83" t="str">
            <v>ADMIXTURE</v>
          </cell>
          <cell r="C83" t="str">
            <v>KG</v>
          </cell>
          <cell r="F83">
            <v>60</v>
          </cell>
        </row>
        <row r="85">
          <cell r="A85" t="str">
            <v>34</v>
          </cell>
          <cell r="B85" t="str">
            <v xml:space="preserve">PVC COVER BLOCK </v>
          </cell>
          <cell r="C85" t="str">
            <v>NOS</v>
          </cell>
        </row>
        <row r="87">
          <cell r="A87" t="str">
            <v>35</v>
          </cell>
          <cell r="B87" t="str">
            <v>GLASS 3MM THK STRIP</v>
          </cell>
          <cell r="C87" t="str">
            <v>RMT</v>
          </cell>
        </row>
        <row r="89">
          <cell r="A89" t="str">
            <v>36</v>
          </cell>
          <cell r="B89" t="str">
            <v>METALIC HARDNER</v>
          </cell>
          <cell r="C89" t="str">
            <v>KG</v>
          </cell>
        </row>
        <row r="91">
          <cell r="A91" t="str">
            <v>37</v>
          </cell>
          <cell r="B91" t="str">
            <v>MURRUM</v>
          </cell>
          <cell r="C91" t="str">
            <v>CUM</v>
          </cell>
        </row>
        <row r="93">
          <cell r="A93" t="str">
            <v>38</v>
          </cell>
          <cell r="B93" t="str">
            <v>LIME</v>
          </cell>
          <cell r="C93" t="str">
            <v>KG</v>
          </cell>
        </row>
        <row r="95">
          <cell r="A95" t="str">
            <v>39</v>
          </cell>
          <cell r="B95" t="str">
            <v>SHUTTERING</v>
          </cell>
          <cell r="C95" t="str">
            <v>SQM</v>
          </cell>
        </row>
        <row r="97">
          <cell r="A97" t="str">
            <v>40</v>
          </cell>
          <cell r="B97" t="str">
            <v>GRANITE FOR KITCHEN PLATFORM</v>
          </cell>
          <cell r="C97" t="str">
            <v>SQM</v>
          </cell>
          <cell r="F97">
            <v>1185</v>
          </cell>
        </row>
        <row r="99">
          <cell r="A99" t="str">
            <v>41</v>
          </cell>
          <cell r="B99" t="str">
            <v>GRANITE FOR FACIA</v>
          </cell>
          <cell r="C99" t="str">
            <v>SQM</v>
          </cell>
          <cell r="F99">
            <v>1185</v>
          </cell>
        </row>
        <row r="101">
          <cell r="A101" t="str">
            <v>42</v>
          </cell>
          <cell r="B101" t="str">
            <v>KUDDAPAH 40MM THK FOR PLATFORM</v>
          </cell>
          <cell r="C101" t="str">
            <v>SQM</v>
          </cell>
          <cell r="F101">
            <v>200</v>
          </cell>
        </row>
        <row r="103">
          <cell r="A103" t="str">
            <v>43</v>
          </cell>
          <cell r="B103" t="str">
            <v>KUDDAPAH 57MM THK FOR SHELF</v>
          </cell>
          <cell r="C103" t="str">
            <v>SQM</v>
          </cell>
          <cell r="F103">
            <v>140</v>
          </cell>
        </row>
        <row r="105">
          <cell r="A105" t="str">
            <v>44</v>
          </cell>
          <cell r="B105" t="str">
            <v>TEAK WOOD</v>
          </cell>
          <cell r="C105" t="str">
            <v>CUM</v>
          </cell>
          <cell r="F105">
            <v>35315</v>
          </cell>
        </row>
        <row r="107">
          <cell r="A107" t="str">
            <v>45</v>
          </cell>
          <cell r="B107" t="str">
            <v>HARD WOOD</v>
          </cell>
          <cell r="C107" t="str">
            <v>CUM</v>
          </cell>
          <cell r="F107">
            <v>13175</v>
          </cell>
        </row>
        <row r="109">
          <cell r="A109" t="str">
            <v>46</v>
          </cell>
          <cell r="B109" t="str">
            <v>WOOD FOR BEADING</v>
          </cell>
          <cell r="C109" t="str">
            <v>RMT</v>
          </cell>
        </row>
        <row r="111">
          <cell r="A111" t="str">
            <v>47</v>
          </cell>
          <cell r="B111" t="str">
            <v>STEEL FOR HOLD FAST</v>
          </cell>
          <cell r="C111" t="str">
            <v>KG</v>
          </cell>
        </row>
        <row r="113">
          <cell r="A113" t="str">
            <v>48</v>
          </cell>
          <cell r="B113" t="str">
            <v>PAINTING</v>
          </cell>
          <cell r="C113" t="str">
            <v>SQM</v>
          </cell>
        </row>
        <row r="115">
          <cell r="A115" t="str">
            <v>49</v>
          </cell>
          <cell r="B115" t="str">
            <v xml:space="preserve">IRON OXIDESED HINGES </v>
          </cell>
          <cell r="C115" t="str">
            <v>NO</v>
          </cell>
        </row>
        <row r="117">
          <cell r="A117" t="str">
            <v>50</v>
          </cell>
          <cell r="B117" t="str">
            <v>MORTICE LOCK WITH HANDLE</v>
          </cell>
          <cell r="C117" t="str">
            <v>NO</v>
          </cell>
        </row>
        <row r="119">
          <cell r="A119" t="str">
            <v>51</v>
          </cell>
          <cell r="B119" t="str">
            <v>IRON OXIDISED TOWER BOLT</v>
          </cell>
          <cell r="C119" t="str">
            <v>NO</v>
          </cell>
        </row>
        <row r="121">
          <cell r="A121" t="str">
            <v>52</v>
          </cell>
          <cell r="B121" t="str">
            <v>NIGHT LATCH</v>
          </cell>
          <cell r="C121" t="str">
            <v>NO</v>
          </cell>
        </row>
        <row r="123">
          <cell r="A123" t="str">
            <v>53</v>
          </cell>
          <cell r="B123" t="str">
            <v>DOOR STOPER</v>
          </cell>
          <cell r="C123" t="str">
            <v>NO</v>
          </cell>
        </row>
        <row r="125">
          <cell r="A125" t="str">
            <v>54</v>
          </cell>
          <cell r="B125" t="str">
            <v>IRON OXIDISED ALDROP</v>
          </cell>
          <cell r="C125" t="str">
            <v>NO</v>
          </cell>
        </row>
        <row r="127">
          <cell r="A127" t="str">
            <v>55</v>
          </cell>
          <cell r="B127" t="str">
            <v>BRASS OXIDISED HINGES</v>
          </cell>
          <cell r="C127" t="str">
            <v>NO</v>
          </cell>
        </row>
        <row r="129">
          <cell r="A129" t="str">
            <v>56</v>
          </cell>
          <cell r="B129" t="str">
            <v>15MM THK BWP MARINE PLY</v>
          </cell>
          <cell r="C129" t="str">
            <v>SQM</v>
          </cell>
        </row>
        <row r="131">
          <cell r="A131" t="str">
            <v>57</v>
          </cell>
          <cell r="B131" t="str">
            <v>9MM THK BWP MARINE PLY</v>
          </cell>
          <cell r="C131" t="str">
            <v>SQM</v>
          </cell>
        </row>
        <row r="133">
          <cell r="A133" t="str">
            <v>58</v>
          </cell>
          <cell r="B133" t="str">
            <v>4 MM THK FROSTED GLASS</v>
          </cell>
          <cell r="C133" t="str">
            <v>SQM</v>
          </cell>
        </row>
        <row r="135">
          <cell r="A135" t="str">
            <v>59</v>
          </cell>
          <cell r="B135" t="str">
            <v>5 MM THK CLEAR GLASS</v>
          </cell>
          <cell r="C135" t="str">
            <v>SQM</v>
          </cell>
        </row>
        <row r="137">
          <cell r="A137" t="str">
            <v>60</v>
          </cell>
          <cell r="B137" t="str">
            <v xml:space="preserve">50mm thk Fire rated door shutter </v>
          </cell>
          <cell r="C137" t="str">
            <v>SQM</v>
          </cell>
          <cell r="F137">
            <v>1615</v>
          </cell>
        </row>
        <row r="139">
          <cell r="A139">
            <v>60.1</v>
          </cell>
          <cell r="B139" t="str">
            <v>40MM THK SOLID CORE DOOR SHUTTER</v>
          </cell>
          <cell r="C139" t="str">
            <v>SQM</v>
          </cell>
          <cell r="F139">
            <v>1100</v>
          </cell>
        </row>
        <row r="141">
          <cell r="A141" t="str">
            <v>61</v>
          </cell>
          <cell r="B141" t="str">
            <v>35MM THK SOLID CORE DOOR SHUTTER</v>
          </cell>
          <cell r="C141" t="str">
            <v>SQM</v>
          </cell>
          <cell r="F141">
            <v>510</v>
          </cell>
        </row>
        <row r="143">
          <cell r="A143" t="str">
            <v>62</v>
          </cell>
          <cell r="B143" t="str">
            <v>45MM THK DOUBLE LEAF FLUSH DOOR</v>
          </cell>
        </row>
        <row r="144">
          <cell r="B144" t="str">
            <v>SHUTTER</v>
          </cell>
          <cell r="C144" t="str">
            <v>SQM</v>
          </cell>
        </row>
        <row r="146">
          <cell r="A146" t="str">
            <v>63</v>
          </cell>
          <cell r="B146" t="str">
            <v>BRASS HINGES</v>
          </cell>
          <cell r="F146">
            <v>25</v>
          </cell>
        </row>
        <row r="148">
          <cell r="A148" t="str">
            <v>64</v>
          </cell>
          <cell r="B148" t="str">
            <v>BRASS OXIDISED HANDLE 200MM LENGTH</v>
          </cell>
          <cell r="F148">
            <v>60</v>
          </cell>
        </row>
        <row r="150">
          <cell r="A150" t="str">
            <v>65</v>
          </cell>
          <cell r="B150" t="str">
            <v>BRASS OXIDISED TOWER BOLT</v>
          </cell>
          <cell r="F150">
            <v>30</v>
          </cell>
        </row>
        <row r="152">
          <cell r="A152" t="str">
            <v>66</v>
          </cell>
          <cell r="B152" t="str">
            <v>BRASS OXIDISED ALDROP</v>
          </cell>
          <cell r="F152">
            <v>200</v>
          </cell>
        </row>
        <row r="154">
          <cell r="A154" t="str">
            <v>67</v>
          </cell>
          <cell r="B154" t="str">
            <v>BRASS OXIDISED DOOR STOPPER</v>
          </cell>
          <cell r="F154">
            <v>35</v>
          </cell>
        </row>
        <row r="156">
          <cell r="A156" t="str">
            <v>68</v>
          </cell>
          <cell r="B156" t="str">
            <v xml:space="preserve">BRASS OXIDISED LETTER SLIT </v>
          </cell>
          <cell r="F156">
            <v>125</v>
          </cell>
        </row>
        <row r="158">
          <cell r="A158" t="str">
            <v>69</v>
          </cell>
          <cell r="B158" t="str">
            <v>EYE VIEW</v>
          </cell>
          <cell r="F158">
            <v>80</v>
          </cell>
        </row>
        <row r="160">
          <cell r="A160" t="str">
            <v>70</v>
          </cell>
          <cell r="B160" t="str">
            <v>PANEL DOOR SHUTTER</v>
          </cell>
          <cell r="C160" t="str">
            <v>SIZE</v>
          </cell>
          <cell r="D160">
            <v>0.9</v>
          </cell>
          <cell r="E160">
            <v>2.1</v>
          </cell>
        </row>
        <row r="162">
          <cell r="A162" t="str">
            <v>71</v>
          </cell>
          <cell r="B162" t="str">
            <v>PARTLY PANELLED PARTLY GLAZED DOOR</v>
          </cell>
        </row>
        <row r="163">
          <cell r="B163" t="str">
            <v>SHUTTER</v>
          </cell>
          <cell r="C163" t="str">
            <v>SIZE</v>
          </cell>
          <cell r="D163">
            <v>1.2</v>
          </cell>
          <cell r="E163">
            <v>2.1</v>
          </cell>
        </row>
        <row r="165">
          <cell r="A165" t="str">
            <v>72</v>
          </cell>
          <cell r="B165" t="str">
            <v xml:space="preserve">FULLY GLAZED DOOR SHUTTER </v>
          </cell>
          <cell r="C165" t="str">
            <v>SIZE</v>
          </cell>
          <cell r="D165">
            <v>1</v>
          </cell>
          <cell r="E165">
            <v>2.1</v>
          </cell>
        </row>
        <row r="167">
          <cell r="A167" t="str">
            <v>73</v>
          </cell>
          <cell r="B167" t="str">
            <v>50MM THK FIRE RATED FLUSH DOOR SHUTTER</v>
          </cell>
          <cell r="C167" t="str">
            <v>SIZE</v>
          </cell>
          <cell r="D167">
            <v>0.9</v>
          </cell>
          <cell r="E167">
            <v>2.1</v>
          </cell>
        </row>
        <row r="169">
          <cell r="A169" t="str">
            <v>74</v>
          </cell>
          <cell r="B169" t="str">
            <v>35MM THK SOLID CORE DOOR SHUTTER</v>
          </cell>
          <cell r="C169" t="str">
            <v>SIZE</v>
          </cell>
          <cell r="D169">
            <v>0.9</v>
          </cell>
          <cell r="E169">
            <v>2.1</v>
          </cell>
        </row>
        <row r="171">
          <cell r="A171" t="str">
            <v>75</v>
          </cell>
          <cell r="B171" t="str">
            <v>45MM THK DOUBLE LEAF FLUSH DOOR</v>
          </cell>
        </row>
        <row r="172">
          <cell r="B172" t="str">
            <v>SHUTTER</v>
          </cell>
          <cell r="C172" t="str">
            <v>SIZE</v>
          </cell>
          <cell r="D172">
            <v>1.5</v>
          </cell>
          <cell r="E172">
            <v>2.1</v>
          </cell>
        </row>
        <row r="174">
          <cell r="A174" t="str">
            <v>76</v>
          </cell>
          <cell r="B174" t="str">
            <v>WATERPROOFING COMPOUND</v>
          </cell>
          <cell r="C174" t="str">
            <v>KG</v>
          </cell>
          <cell r="F174">
            <v>25</v>
          </cell>
        </row>
        <row r="176">
          <cell r="A176" t="str">
            <v>77</v>
          </cell>
          <cell r="B176" t="str">
            <v>QUARTZ</v>
          </cell>
          <cell r="C176" t="str">
            <v>CUM</v>
          </cell>
        </row>
        <row r="178">
          <cell r="A178" t="str">
            <v>78</v>
          </cell>
          <cell r="B178" t="str">
            <v>ADMIXTURE</v>
          </cell>
          <cell r="C178" t="str">
            <v>KG</v>
          </cell>
        </row>
        <row r="180">
          <cell r="A180" t="str">
            <v>-</v>
          </cell>
          <cell r="B180" t="str">
            <v>-</v>
          </cell>
          <cell r="C180" t="str">
            <v>-</v>
          </cell>
          <cell r="D180" t="str">
            <v>-</v>
          </cell>
          <cell r="E180" t="str">
            <v>-</v>
          </cell>
          <cell r="F180" t="str">
            <v>-</v>
          </cell>
          <cell r="G180" t="str">
            <v>-</v>
          </cell>
        </row>
        <row r="184">
          <cell r="A184" t="str">
            <v>DONGRE ASSOCIATES</v>
          </cell>
          <cell r="C184" t="str">
            <v>PROJECT      : SAHARA CITY HOMES, MUMBAI.</v>
          </cell>
        </row>
        <row r="185">
          <cell r="A185" t="str">
            <v>VADODARA</v>
          </cell>
          <cell r="C185" t="str">
            <v>ARCHITECT   : ARCHITECT HAFEEZ CONTRACTOR, MUMBAI.</v>
          </cell>
        </row>
        <row r="186">
          <cell r="C186" t="str">
            <v>CLIENT          : SAHARA INDIA COMMERCIAL Co. Ltd.</v>
          </cell>
        </row>
        <row r="188">
          <cell r="A188">
            <v>38440.792609722223</v>
          </cell>
          <cell r="B188" t="str">
            <v xml:space="preserve">                  B A S I C   R A T E S   O F   L A B O U R   </v>
          </cell>
        </row>
        <row r="189">
          <cell r="A189" t="str">
            <v>-</v>
          </cell>
          <cell r="B189" t="str">
            <v>-</v>
          </cell>
          <cell r="C189" t="str">
            <v>-</v>
          </cell>
          <cell r="D189" t="str">
            <v>-</v>
          </cell>
          <cell r="E189" t="str">
            <v>-</v>
          </cell>
          <cell r="F189" t="str">
            <v>-</v>
          </cell>
          <cell r="G189" t="str">
            <v>-</v>
          </cell>
        </row>
        <row r="190">
          <cell r="A190" t="str">
            <v>SR NO.</v>
          </cell>
          <cell r="B190" t="str">
            <v>PARTICULAR</v>
          </cell>
          <cell r="D190" t="str">
            <v>UNIT</v>
          </cell>
          <cell r="F190" t="str">
            <v>AMOUNT</v>
          </cell>
        </row>
        <row r="191">
          <cell r="A191" t="str">
            <v>-</v>
          </cell>
          <cell r="B191" t="str">
            <v>-</v>
          </cell>
          <cell r="C191" t="str">
            <v>-</v>
          </cell>
          <cell r="D191" t="str">
            <v>-</v>
          </cell>
          <cell r="E191" t="str">
            <v>-</v>
          </cell>
          <cell r="F191" t="str">
            <v>-</v>
          </cell>
          <cell r="G191" t="str">
            <v>-</v>
          </cell>
        </row>
        <row r="193">
          <cell r="A193" t="str">
            <v>1</v>
          </cell>
          <cell r="B193" t="str">
            <v>WEARING COURSE 75MM THK IN CM (1:2:4)</v>
          </cell>
          <cell r="D193" t="str">
            <v>SQM</v>
          </cell>
        </row>
        <row r="195">
          <cell r="A195" t="str">
            <v>2</v>
          </cell>
          <cell r="B195" t="str">
            <v>METAL PACKING 150MM THK</v>
          </cell>
          <cell r="D195" t="str">
            <v>SQM</v>
          </cell>
        </row>
        <row r="197">
          <cell r="A197" t="str">
            <v>3</v>
          </cell>
          <cell r="B197" t="str">
            <v xml:space="preserve">RUBBLE SOLING 230MM THK </v>
          </cell>
          <cell r="D197" t="str">
            <v>CUM</v>
          </cell>
        </row>
        <row r="199">
          <cell r="A199" t="str">
            <v>4</v>
          </cell>
          <cell r="B199" t="str">
            <v>BRICK BAT CEMENT CONCRETE (1:4:8)</v>
          </cell>
          <cell r="D199" t="str">
            <v>CUM</v>
          </cell>
        </row>
        <row r="201">
          <cell r="A201" t="str">
            <v>5</v>
          </cell>
          <cell r="B201" t="str">
            <v>PLAIN CEMENT CONCRETE (1:4:8)</v>
          </cell>
          <cell r="D201" t="str">
            <v>CUM</v>
          </cell>
          <cell r="F201">
            <v>150</v>
          </cell>
        </row>
        <row r="203">
          <cell r="A203" t="str">
            <v>6</v>
          </cell>
          <cell r="B203" t="str">
            <v>PLAIN CEMENT CONCRETE (1:3:6)</v>
          </cell>
          <cell r="D203" t="str">
            <v>CUM</v>
          </cell>
          <cell r="F203">
            <v>150</v>
          </cell>
        </row>
        <row r="205">
          <cell r="A205" t="str">
            <v>7</v>
          </cell>
          <cell r="B205" t="str">
            <v>PLAIN CEMENT CONCRETE (1:2:4)</v>
          </cell>
          <cell r="D205" t="str">
            <v>CUM</v>
          </cell>
          <cell r="F205">
            <v>150</v>
          </cell>
        </row>
        <row r="207">
          <cell r="A207" t="str">
            <v>8</v>
          </cell>
          <cell r="B207" t="str">
            <v>RCC M15 (1:2:4)</v>
          </cell>
          <cell r="D207" t="str">
            <v>CUM</v>
          </cell>
          <cell r="F207">
            <v>150</v>
          </cell>
        </row>
        <row r="209">
          <cell r="A209" t="str">
            <v>9</v>
          </cell>
          <cell r="B209" t="str">
            <v>RCC M20 (1:1.5:3)</v>
          </cell>
          <cell r="D209" t="str">
            <v>CUM</v>
          </cell>
          <cell r="F209">
            <v>150</v>
          </cell>
        </row>
        <row r="211">
          <cell r="A211" t="str">
            <v>10</v>
          </cell>
          <cell r="B211" t="str">
            <v>RCC M25 (1:1:2)</v>
          </cell>
          <cell r="D211" t="str">
            <v>CUM</v>
          </cell>
          <cell r="F211">
            <v>150</v>
          </cell>
        </row>
        <row r="213">
          <cell r="A213" t="str">
            <v>11</v>
          </cell>
          <cell r="B213" t="str">
            <v>RCC M30</v>
          </cell>
          <cell r="D213" t="str">
            <v>CUM</v>
          </cell>
          <cell r="F213">
            <v>150</v>
          </cell>
        </row>
        <row r="215">
          <cell r="A215" t="str">
            <v>12</v>
          </cell>
          <cell r="B215" t="str">
            <v>RCC M35</v>
          </cell>
          <cell r="D215" t="str">
            <v>CUM</v>
          </cell>
          <cell r="F215">
            <v>150</v>
          </cell>
        </row>
        <row r="217">
          <cell r="A217" t="str">
            <v>13</v>
          </cell>
          <cell r="B217" t="str">
            <v>RCC M40</v>
          </cell>
          <cell r="D217" t="str">
            <v>CUM</v>
          </cell>
        </row>
        <row r="219">
          <cell r="A219" t="str">
            <v>14</v>
          </cell>
          <cell r="B219" t="str">
            <v>MILD STEEL</v>
          </cell>
          <cell r="D219" t="str">
            <v>MT</v>
          </cell>
        </row>
        <row r="221">
          <cell r="A221" t="str">
            <v>15</v>
          </cell>
          <cell r="B221" t="str">
            <v>TOR STEEL</v>
          </cell>
          <cell r="D221" t="str">
            <v>MT</v>
          </cell>
        </row>
        <row r="223">
          <cell r="A223" t="str">
            <v>16</v>
          </cell>
          <cell r="B223" t="str">
            <v>230MM THK BRICK MASONRY IN CM (1:6)</v>
          </cell>
          <cell r="D223" t="str">
            <v>CUM</v>
          </cell>
          <cell r="F223">
            <v>125</v>
          </cell>
        </row>
        <row r="225">
          <cell r="A225" t="str">
            <v>17</v>
          </cell>
          <cell r="B225" t="str">
            <v>115 MM THK BRICK MASONRY WITH PATLI BEAM</v>
          </cell>
          <cell r="D225" t="str">
            <v>SQM</v>
          </cell>
        </row>
        <row r="227">
          <cell r="A227" t="str">
            <v>18</v>
          </cell>
          <cell r="B227" t="str">
            <v>400 MM THK BLOCK MASONRY IN CM (1:5)</v>
          </cell>
          <cell r="D227" t="str">
            <v>SQM</v>
          </cell>
        </row>
        <row r="229">
          <cell r="A229" t="str">
            <v>19</v>
          </cell>
          <cell r="B229" t="str">
            <v>125 MM THK BLOCK MASONRY IN CM (1:5)</v>
          </cell>
          <cell r="D229" t="str">
            <v>SQM</v>
          </cell>
          <cell r="F229">
            <v>50</v>
          </cell>
        </row>
        <row r="231">
          <cell r="A231" t="str">
            <v>20</v>
          </cell>
          <cell r="B231" t="str">
            <v>150MM THK BLOCK MASONRY</v>
          </cell>
          <cell r="D231" t="str">
            <v>SQM</v>
          </cell>
          <cell r="F231">
            <v>50</v>
          </cell>
        </row>
        <row r="233">
          <cell r="A233" t="str">
            <v>21</v>
          </cell>
          <cell r="B233" t="str">
            <v>100MM THK BLOCK MASONRY WITH PATLI BEAM</v>
          </cell>
          <cell r="D233" t="str">
            <v>SQM</v>
          </cell>
          <cell r="F233">
            <v>60</v>
          </cell>
        </row>
        <row r="235">
          <cell r="A235" t="str">
            <v>22</v>
          </cell>
          <cell r="B235" t="str">
            <v>INTERNAL PLASTER 15MM THK IN CM (1:4)</v>
          </cell>
          <cell r="D235" t="str">
            <v>SQM</v>
          </cell>
        </row>
        <row r="237">
          <cell r="A237" t="str">
            <v>23</v>
          </cell>
          <cell r="B237" t="str">
            <v>INTERNAL PLASTER 12MM THK IN CM (1:4)</v>
          </cell>
          <cell r="D237" t="str">
            <v>SQM</v>
          </cell>
          <cell r="F237">
            <v>30</v>
          </cell>
        </row>
        <row r="239">
          <cell r="A239" t="str">
            <v>24</v>
          </cell>
          <cell r="B239" t="str">
            <v xml:space="preserve">NEERU FINISH </v>
          </cell>
          <cell r="D239" t="str">
            <v>SQM</v>
          </cell>
        </row>
        <row r="241">
          <cell r="A241" t="str">
            <v>25</v>
          </cell>
          <cell r="B241" t="str">
            <v>CEMENT FINISH</v>
          </cell>
          <cell r="D241" t="str">
            <v>SQM</v>
          </cell>
        </row>
        <row r="243">
          <cell r="A243" t="str">
            <v>26</v>
          </cell>
          <cell r="B243" t="str">
            <v>DUCT PLASTER IN CM (1:4)</v>
          </cell>
          <cell r="D243" t="str">
            <v>SQM</v>
          </cell>
        </row>
        <row r="245">
          <cell r="A245" t="str">
            <v>27</v>
          </cell>
          <cell r="B245" t="str">
            <v>SAND FACE PLASTER 25MM THK IN CM (1:4)</v>
          </cell>
          <cell r="D245" t="str">
            <v>SQM</v>
          </cell>
          <cell r="F245">
            <v>50</v>
          </cell>
        </row>
        <row r="247">
          <cell r="A247" t="str">
            <v>28</v>
          </cell>
          <cell r="B247" t="str">
            <v>SAND FACE PLASTER 20MM THK IN CM (1:4)</v>
          </cell>
          <cell r="D247" t="str">
            <v>SQM</v>
          </cell>
        </row>
        <row r="249">
          <cell r="A249" t="str">
            <v>29</v>
          </cell>
          <cell r="B249" t="str">
            <v>KOTA STONE FLOORING</v>
          </cell>
          <cell r="D249" t="str">
            <v>SQM</v>
          </cell>
        </row>
        <row r="251">
          <cell r="A251" t="str">
            <v>30</v>
          </cell>
          <cell r="B251" t="str">
            <v>KOTA STONE SKIRTING 100 MM HIGH</v>
          </cell>
          <cell r="D251" t="str">
            <v>RMT</v>
          </cell>
        </row>
        <row r="253">
          <cell r="A253" t="str">
            <v>31</v>
          </cell>
          <cell r="B253" t="str">
            <v>KOTA STONE SKIRTING 150 MM HIGH</v>
          </cell>
          <cell r="D253" t="str">
            <v>RMT</v>
          </cell>
        </row>
        <row r="255">
          <cell r="A255" t="str">
            <v>32</v>
          </cell>
          <cell r="B255" t="str">
            <v>MARBLE FLOORING</v>
          </cell>
          <cell r="D255" t="str">
            <v>SQM</v>
          </cell>
        </row>
        <row r="257">
          <cell r="A257" t="str">
            <v>33</v>
          </cell>
          <cell r="B257" t="str">
            <v>MARBLE SKIRTING 100MM HIGH</v>
          </cell>
          <cell r="D257" t="str">
            <v>RMT</v>
          </cell>
        </row>
        <row r="259">
          <cell r="A259" t="str">
            <v>34</v>
          </cell>
          <cell r="B259" t="str">
            <v>MARBLE SKIRTING 150MM HIGH</v>
          </cell>
          <cell r="D259" t="str">
            <v>RMT</v>
          </cell>
        </row>
        <row r="261">
          <cell r="A261" t="str">
            <v>35</v>
          </cell>
          <cell r="B261" t="str">
            <v>GRANITE FLOORING</v>
          </cell>
          <cell r="D261" t="str">
            <v>SQM</v>
          </cell>
          <cell r="F261">
            <v>175</v>
          </cell>
        </row>
        <row r="263">
          <cell r="A263" t="str">
            <v>36</v>
          </cell>
          <cell r="B263" t="str">
            <v>GRANITE SKIRTING 100 MM HIGH</v>
          </cell>
          <cell r="D263" t="str">
            <v>RMT</v>
          </cell>
        </row>
        <row r="265">
          <cell r="A265" t="str">
            <v>38</v>
          </cell>
          <cell r="B265" t="str">
            <v>GRANITE SKIRTING 150 MM HIGH</v>
          </cell>
          <cell r="D265" t="str">
            <v>RMT</v>
          </cell>
        </row>
        <row r="267">
          <cell r="A267" t="str">
            <v>40</v>
          </cell>
          <cell r="B267" t="str">
            <v>KOTA STONE DADO</v>
          </cell>
          <cell r="D267" t="str">
            <v>SQM</v>
          </cell>
        </row>
        <row r="269">
          <cell r="A269" t="str">
            <v>41</v>
          </cell>
          <cell r="B269" t="str">
            <v>MARBLE DADO</v>
          </cell>
          <cell r="D269" t="str">
            <v>SQM</v>
          </cell>
        </row>
        <row r="271">
          <cell r="A271" t="str">
            <v>42</v>
          </cell>
          <cell r="B271" t="str">
            <v>GRANITE DADO</v>
          </cell>
          <cell r="D271" t="str">
            <v>SQM</v>
          </cell>
        </row>
        <row r="273">
          <cell r="A273" t="str">
            <v>43</v>
          </cell>
          <cell r="B273" t="str">
            <v>SPARTEK TILE FLOORING</v>
          </cell>
          <cell r="D273" t="str">
            <v>SQM</v>
          </cell>
          <cell r="F273">
            <v>90</v>
          </cell>
        </row>
        <row r="275">
          <cell r="A275" t="str">
            <v>44</v>
          </cell>
          <cell r="B275" t="str">
            <v>SPARTEK TILE SKIRTING 100MM HIGH</v>
          </cell>
          <cell r="D275" t="str">
            <v>RMT</v>
          </cell>
        </row>
        <row r="277">
          <cell r="A277" t="str">
            <v>45</v>
          </cell>
          <cell r="B277" t="str">
            <v>SPARTEK TILE SKIRTING 150 HIGH</v>
          </cell>
          <cell r="D277" t="str">
            <v>RMT</v>
          </cell>
        </row>
        <row r="279">
          <cell r="A279" t="str">
            <v>46</v>
          </cell>
          <cell r="B279" t="str">
            <v>SPARTEK DADO</v>
          </cell>
          <cell r="D279" t="str">
            <v>SQM</v>
          </cell>
        </row>
        <row r="281">
          <cell r="A281" t="str">
            <v>47</v>
          </cell>
          <cell r="B281" t="str">
            <v>MARBLE TREAD 1500 X 300</v>
          </cell>
          <cell r="D281" t="str">
            <v>RMT</v>
          </cell>
        </row>
        <row r="283">
          <cell r="A283" t="str">
            <v>48</v>
          </cell>
          <cell r="B283" t="str">
            <v>MARBLE RISER 1500 X 150</v>
          </cell>
          <cell r="D283" t="str">
            <v>RMT</v>
          </cell>
        </row>
        <row r="285">
          <cell r="A285" t="str">
            <v>49</v>
          </cell>
          <cell r="B285" t="str">
            <v>KOTA STONE TREAD 1500 X 300</v>
          </cell>
          <cell r="D285" t="str">
            <v>RMT</v>
          </cell>
        </row>
        <row r="287">
          <cell r="A287" t="str">
            <v>51</v>
          </cell>
          <cell r="B287" t="str">
            <v>KOTA STONE RISER 1500 X 150</v>
          </cell>
          <cell r="D287" t="str">
            <v>RMT</v>
          </cell>
        </row>
        <row r="289">
          <cell r="A289" t="str">
            <v>52</v>
          </cell>
          <cell r="B289" t="str">
            <v xml:space="preserve">MARBLE WINDOW SILL 350MM WIDE </v>
          </cell>
          <cell r="D289" t="str">
            <v>RMT</v>
          </cell>
        </row>
        <row r="291">
          <cell r="A291" t="str">
            <v>53</v>
          </cell>
          <cell r="B291" t="str">
            <v>KOTA STONE WINDOW SILL 350MM WIDE</v>
          </cell>
          <cell r="D291" t="str">
            <v>RMT</v>
          </cell>
        </row>
        <row r="293">
          <cell r="A293" t="str">
            <v>54</v>
          </cell>
          <cell r="B293" t="str">
            <v>IPS FLOORING WITH IRONITE (1:2:4)</v>
          </cell>
          <cell r="D293" t="str">
            <v>SQM</v>
          </cell>
        </row>
        <row r="295">
          <cell r="A295" t="str">
            <v>55</v>
          </cell>
          <cell r="B295" t="str">
            <v>IPS FLOORING (1:2:4)</v>
          </cell>
          <cell r="D295" t="str">
            <v>SQM</v>
          </cell>
        </row>
        <row r="297">
          <cell r="A297" t="str">
            <v>56</v>
          </cell>
          <cell r="B297" t="str">
            <v>MARBLE MOSAIC TILES FLOORING</v>
          </cell>
          <cell r="D297" t="str">
            <v>SQM</v>
          </cell>
        </row>
        <row r="299">
          <cell r="A299" t="str">
            <v>57</v>
          </cell>
          <cell r="B299" t="str">
            <v>MARBLE MOSAIC TILES SKIRTING 100MM HIGH</v>
          </cell>
          <cell r="D299" t="str">
            <v>RMT</v>
          </cell>
        </row>
        <row r="301">
          <cell r="A301" t="str">
            <v>58</v>
          </cell>
          <cell r="B301" t="str">
            <v>MARBLE MOSAIC TILES SKIRTING 150MM HIGH</v>
          </cell>
          <cell r="D301" t="str">
            <v>RMT</v>
          </cell>
        </row>
        <row r="303">
          <cell r="A303" t="str">
            <v>59</v>
          </cell>
          <cell r="B303" t="str">
            <v>COMPOSITE FLOORING GRANITE (75%)+MARBLE(25%)</v>
          </cell>
          <cell r="D303" t="str">
            <v>SQM</v>
          </cell>
        </row>
        <row r="305">
          <cell r="A305" t="str">
            <v>60</v>
          </cell>
          <cell r="B305" t="str">
            <v>COMPOSITE CLADDING GRANITE (75%)+MARBLE(25%)</v>
          </cell>
          <cell r="D305" t="str">
            <v>SQM</v>
          </cell>
        </row>
        <row r="307">
          <cell r="A307" t="str">
            <v>61</v>
          </cell>
          <cell r="B307" t="str">
            <v>RCC KITCHEN PLATFORM WITH GRANITE TOP</v>
          </cell>
          <cell r="D307" t="str">
            <v>RMT</v>
          </cell>
        </row>
        <row r="309">
          <cell r="A309" t="str">
            <v>62</v>
          </cell>
          <cell r="B309" t="str">
            <v>GRANITE PLATFORM WITH KUDDAPAH SHELF</v>
          </cell>
          <cell r="D309" t="str">
            <v>RMT</v>
          </cell>
        </row>
        <row r="311">
          <cell r="A311" t="str">
            <v>63</v>
          </cell>
          <cell r="B311" t="str">
            <v>TEAK WOOD DOOR FRAME 150 X 65MM</v>
          </cell>
          <cell r="D311" t="str">
            <v>RMT</v>
          </cell>
        </row>
        <row r="313">
          <cell r="A313" t="str">
            <v>64</v>
          </cell>
          <cell r="B313" t="str">
            <v>TEAK WOOD DOOR FRAME 130 X 65MM</v>
          </cell>
          <cell r="D313" t="str">
            <v>RMT</v>
          </cell>
        </row>
        <row r="315">
          <cell r="A315" t="str">
            <v>65</v>
          </cell>
          <cell r="B315" t="str">
            <v>HARD WOOD DOOR FRAME 150 X 65MM</v>
          </cell>
          <cell r="D315" t="str">
            <v>RMT</v>
          </cell>
        </row>
        <row r="317">
          <cell r="A317" t="str">
            <v>66</v>
          </cell>
          <cell r="B317" t="str">
            <v>HARD WOOD DOOR FRAME 130 X 65MM</v>
          </cell>
          <cell r="D317" t="str">
            <v>RMT</v>
          </cell>
        </row>
        <row r="319">
          <cell r="A319" t="str">
            <v>67</v>
          </cell>
          <cell r="B319" t="str">
            <v>TEAK WOOD COVER MOULD 40 X 20MM</v>
          </cell>
          <cell r="D319" t="str">
            <v>RMT</v>
          </cell>
        </row>
        <row r="321">
          <cell r="A321" t="str">
            <v>68</v>
          </cell>
          <cell r="B321" t="str">
            <v>HARD WOOD COVER MOULD 40 X 20MM</v>
          </cell>
          <cell r="D321" t="str">
            <v>RMT</v>
          </cell>
        </row>
        <row r="323">
          <cell r="A323" t="str">
            <v>69</v>
          </cell>
          <cell r="B323" t="str">
            <v xml:space="preserve">T W FULLY PANEL DOOR SHUTTER </v>
          </cell>
          <cell r="D323" t="str">
            <v>SQM</v>
          </cell>
        </row>
        <row r="325">
          <cell r="B325" t="str">
            <v>T W PARTLY PANELLED PARTLY GLAZED</v>
          </cell>
          <cell r="D325" t="str">
            <v>SQM</v>
          </cell>
        </row>
        <row r="326">
          <cell r="A326" t="str">
            <v>70</v>
          </cell>
          <cell r="B326" t="str">
            <v>DOOR SHUTTER</v>
          </cell>
        </row>
        <row r="328">
          <cell r="A328" t="str">
            <v>71</v>
          </cell>
          <cell r="B328" t="str">
            <v>T W FULLY GLAZED DOOR SHUTTER</v>
          </cell>
          <cell r="D328" t="str">
            <v>SQM</v>
          </cell>
        </row>
        <row r="330">
          <cell r="A330" t="str">
            <v>72</v>
          </cell>
          <cell r="B330" t="str">
            <v xml:space="preserve">H W FULLY PANEL DOOR SHUTTER </v>
          </cell>
          <cell r="D330" t="str">
            <v>SQM</v>
          </cell>
        </row>
        <row r="332">
          <cell r="B332" t="str">
            <v xml:space="preserve">H W PARTLY PANELLED PARTLY GLAZED </v>
          </cell>
          <cell r="D332" t="str">
            <v>SQM</v>
          </cell>
        </row>
        <row r="333">
          <cell r="A333" t="str">
            <v>73</v>
          </cell>
          <cell r="B333" t="str">
            <v>DOOR SHUTTER</v>
          </cell>
        </row>
        <row r="335">
          <cell r="A335" t="str">
            <v>74</v>
          </cell>
          <cell r="B335" t="str">
            <v>H W FULLY GLAZED DOOR SHUTTER</v>
          </cell>
          <cell r="D335" t="str">
            <v>SQM</v>
          </cell>
        </row>
        <row r="337">
          <cell r="A337" t="str">
            <v>75</v>
          </cell>
          <cell r="B337" t="str">
            <v>45MM THK SOLID CORE DOOR SHUTTER</v>
          </cell>
          <cell r="D337" t="str">
            <v>SQM</v>
          </cell>
        </row>
        <row r="339">
          <cell r="A339" t="str">
            <v>76</v>
          </cell>
          <cell r="B339" t="str">
            <v>35MM THK SOLID CORE DOOR SHUTTER</v>
          </cell>
          <cell r="D339" t="str">
            <v>SQM</v>
          </cell>
        </row>
        <row r="341">
          <cell r="A341" t="str">
            <v>77</v>
          </cell>
          <cell r="B341" t="str">
            <v>45MM THK DOUBLE LEAF FLUSH DOOR</v>
          </cell>
        </row>
        <row r="342">
          <cell r="B342" t="str">
            <v>SHUTTER</v>
          </cell>
          <cell r="D342" t="str">
            <v>SQM</v>
          </cell>
        </row>
        <row r="344">
          <cell r="A344" t="str">
            <v>-</v>
          </cell>
          <cell r="B344" t="str">
            <v>-</v>
          </cell>
          <cell r="C344" t="str">
            <v>-</v>
          </cell>
          <cell r="D344" t="str">
            <v>-</v>
          </cell>
          <cell r="E344" t="str">
            <v>-</v>
          </cell>
          <cell r="F344" t="str">
            <v>-</v>
          </cell>
          <cell r="G344" t="str">
            <v>-</v>
          </cell>
          <cell r="H344" t="str">
            <v>-</v>
          </cell>
        </row>
        <row r="345">
          <cell r="A345" t="str">
            <v>|::</v>
          </cell>
        </row>
        <row r="380">
          <cell r="A380">
            <v>2</v>
          </cell>
          <cell r="B380" t="str">
            <v>METAL PACKING 150MM THK</v>
          </cell>
          <cell r="E380" t="str">
            <v>QTY -</v>
          </cell>
          <cell r="F380">
            <v>10</v>
          </cell>
          <cell r="G380" t="str">
            <v>SQM</v>
          </cell>
        </row>
        <row r="382">
          <cell r="A382" t="str">
            <v>A</v>
          </cell>
          <cell r="B382" t="str">
            <v>MATERIAL</v>
          </cell>
        </row>
        <row r="384">
          <cell r="B384" t="str">
            <v>Murrum</v>
          </cell>
          <cell r="C384" t="str">
            <v>Cum</v>
          </cell>
          <cell r="D384">
            <v>0.3</v>
          </cell>
          <cell r="E384">
            <v>0</v>
          </cell>
          <cell r="F384">
            <v>0</v>
          </cell>
        </row>
        <row r="385">
          <cell r="B385" t="str">
            <v>Aggregate</v>
          </cell>
          <cell r="C385" t="str">
            <v>Cum</v>
          </cell>
          <cell r="D385">
            <v>1.65</v>
          </cell>
          <cell r="E385">
            <v>500</v>
          </cell>
          <cell r="F385">
            <v>825</v>
          </cell>
        </row>
        <row r="386">
          <cell r="F386">
            <v>825</v>
          </cell>
          <cell r="G386">
            <v>825</v>
          </cell>
        </row>
        <row r="388">
          <cell r="A388" t="str">
            <v>B</v>
          </cell>
          <cell r="B388" t="str">
            <v>Labour</v>
          </cell>
          <cell r="C388" t="str">
            <v>Sqm</v>
          </cell>
          <cell r="D388">
            <v>10</v>
          </cell>
          <cell r="E388">
            <v>0</v>
          </cell>
          <cell r="F388">
            <v>0</v>
          </cell>
          <cell r="G388">
            <v>0</v>
          </cell>
        </row>
        <row r="389">
          <cell r="G389">
            <v>825</v>
          </cell>
        </row>
        <row r="391">
          <cell r="A391" t="str">
            <v>C</v>
          </cell>
          <cell r="B391" t="str">
            <v>Add for water &amp; electrical charges</v>
          </cell>
          <cell r="D391">
            <v>825</v>
          </cell>
          <cell r="E391">
            <v>0.01</v>
          </cell>
          <cell r="F391">
            <v>8.25</v>
          </cell>
          <cell r="G391">
            <v>8.25</v>
          </cell>
        </row>
        <row r="393">
          <cell r="A393" t="str">
            <v>D</v>
          </cell>
          <cell r="B393" t="str">
            <v>Add for tools and plants</v>
          </cell>
          <cell r="D393">
            <v>825</v>
          </cell>
          <cell r="E393">
            <v>0.05</v>
          </cell>
          <cell r="F393">
            <v>41.25</v>
          </cell>
          <cell r="G393">
            <v>41.25</v>
          </cell>
        </row>
        <row r="394">
          <cell r="G394">
            <v>874.5</v>
          </cell>
        </row>
        <row r="396">
          <cell r="A396" t="str">
            <v>E</v>
          </cell>
          <cell r="B396" t="str">
            <v>Add contractor's profit</v>
          </cell>
          <cell r="D396">
            <v>874.5</v>
          </cell>
          <cell r="E396">
            <v>0.15</v>
          </cell>
          <cell r="F396">
            <v>131.17499999999998</v>
          </cell>
          <cell r="G396">
            <v>131.17499999999998</v>
          </cell>
        </row>
        <row r="397">
          <cell r="G397">
            <v>1005.675</v>
          </cell>
        </row>
        <row r="399">
          <cell r="B399" t="str">
            <v>Rate per Sqm</v>
          </cell>
          <cell r="D399">
            <v>1005.675</v>
          </cell>
          <cell r="E399">
            <v>10</v>
          </cell>
          <cell r="F399">
            <v>100.5675</v>
          </cell>
          <cell r="G399">
            <v>100.5675</v>
          </cell>
        </row>
        <row r="401">
          <cell r="B401" t="str">
            <v>Rate per Cum</v>
          </cell>
          <cell r="D401">
            <v>100.5675</v>
          </cell>
          <cell r="E401">
            <v>0.15</v>
          </cell>
          <cell r="F401">
            <v>670.45</v>
          </cell>
          <cell r="G401">
            <v>670.45</v>
          </cell>
        </row>
        <row r="404">
          <cell r="A404">
            <v>3</v>
          </cell>
          <cell r="B404" t="str">
            <v>RUBBLE SOLING 230MM THK</v>
          </cell>
          <cell r="E404" t="str">
            <v>QTY -</v>
          </cell>
          <cell r="F404">
            <v>10</v>
          </cell>
          <cell r="G404" t="str">
            <v>SQM</v>
          </cell>
        </row>
        <row r="406">
          <cell r="A406" t="str">
            <v>A</v>
          </cell>
          <cell r="B406" t="str">
            <v>MATERIAL</v>
          </cell>
        </row>
        <row r="408">
          <cell r="B408" t="str">
            <v>Murrum</v>
          </cell>
          <cell r="C408" t="str">
            <v>Cum</v>
          </cell>
          <cell r="D408">
            <v>1</v>
          </cell>
          <cell r="E408">
            <v>0</v>
          </cell>
          <cell r="F408">
            <v>0</v>
          </cell>
        </row>
        <row r="409">
          <cell r="B409" t="str">
            <v>Rubble</v>
          </cell>
          <cell r="C409" t="str">
            <v>Cum</v>
          </cell>
          <cell r="D409">
            <v>2.75</v>
          </cell>
          <cell r="E409">
            <v>500</v>
          </cell>
          <cell r="F409">
            <v>1375</v>
          </cell>
        </row>
        <row r="410">
          <cell r="F410">
            <v>1375</v>
          </cell>
          <cell r="G410">
            <v>1375</v>
          </cell>
        </row>
        <row r="412">
          <cell r="A412" t="str">
            <v>B</v>
          </cell>
          <cell r="B412" t="str">
            <v>Labour</v>
          </cell>
          <cell r="C412" t="str">
            <v>Sqm</v>
          </cell>
          <cell r="D412">
            <v>10</v>
          </cell>
          <cell r="E412">
            <v>0</v>
          </cell>
          <cell r="F412">
            <v>0</v>
          </cell>
          <cell r="G412">
            <v>0</v>
          </cell>
        </row>
        <row r="413">
          <cell r="G413">
            <v>1375</v>
          </cell>
        </row>
        <row r="415">
          <cell r="A415" t="str">
            <v>C</v>
          </cell>
          <cell r="B415" t="str">
            <v>Add for water &amp; electrical charges</v>
          </cell>
          <cell r="D415">
            <v>1375</v>
          </cell>
          <cell r="E415">
            <v>0.01</v>
          </cell>
          <cell r="F415">
            <v>13.75</v>
          </cell>
          <cell r="G415">
            <v>13.75</v>
          </cell>
        </row>
        <row r="417">
          <cell r="A417" t="str">
            <v>D</v>
          </cell>
          <cell r="B417" t="str">
            <v>Add for tools and plants</v>
          </cell>
          <cell r="D417">
            <v>1375</v>
          </cell>
          <cell r="E417">
            <v>0.05</v>
          </cell>
          <cell r="F417">
            <v>68.75</v>
          </cell>
          <cell r="G417">
            <v>68.75</v>
          </cell>
        </row>
        <row r="418">
          <cell r="G418">
            <v>1457.5</v>
          </cell>
        </row>
        <row r="420">
          <cell r="A420" t="str">
            <v>E</v>
          </cell>
          <cell r="B420" t="str">
            <v>Add contractor's profit</v>
          </cell>
          <cell r="D420">
            <v>1457.5</v>
          </cell>
          <cell r="E420">
            <v>0.15</v>
          </cell>
          <cell r="F420">
            <v>218.625</v>
          </cell>
          <cell r="G420">
            <v>218.625</v>
          </cell>
        </row>
        <row r="421">
          <cell r="G421">
            <v>1676.125</v>
          </cell>
        </row>
        <row r="423">
          <cell r="B423" t="str">
            <v>Rate per Sqm</v>
          </cell>
          <cell r="D423">
            <v>1676.125</v>
          </cell>
          <cell r="E423">
            <v>10</v>
          </cell>
          <cell r="F423">
            <v>167.61250000000001</v>
          </cell>
          <cell r="G423">
            <v>167.61250000000001</v>
          </cell>
        </row>
        <row r="426">
          <cell r="A426">
            <v>4</v>
          </cell>
          <cell r="B426" t="str">
            <v>BRICK BAT CEMENT CONCRETE (1:4:8)</v>
          </cell>
          <cell r="E426" t="str">
            <v>QTY -</v>
          </cell>
          <cell r="F426">
            <v>10</v>
          </cell>
          <cell r="G426" t="str">
            <v>CUM</v>
          </cell>
        </row>
        <row r="428">
          <cell r="A428" t="str">
            <v>A</v>
          </cell>
          <cell r="B428" t="str">
            <v>MATERIAL</v>
          </cell>
        </row>
        <row r="430">
          <cell r="B430" t="str">
            <v>Cement</v>
          </cell>
          <cell r="C430" t="str">
            <v>Bag</v>
          </cell>
          <cell r="D430">
            <v>36</v>
          </cell>
          <cell r="E430">
            <v>150</v>
          </cell>
          <cell r="F430">
            <v>5400</v>
          </cell>
        </row>
        <row r="431">
          <cell r="B431" t="str">
            <v>Sand</v>
          </cell>
          <cell r="C431" t="str">
            <v>Cum</v>
          </cell>
          <cell r="D431">
            <v>6.1</v>
          </cell>
          <cell r="E431">
            <v>325</v>
          </cell>
          <cell r="F431">
            <v>1982.4999999999998</v>
          </cell>
        </row>
        <row r="432">
          <cell r="B432" t="str">
            <v>Brick bat</v>
          </cell>
          <cell r="C432" t="str">
            <v>Cum</v>
          </cell>
          <cell r="D432">
            <v>8.6</v>
          </cell>
          <cell r="E432">
            <v>0</v>
          </cell>
          <cell r="F432">
            <v>0</v>
          </cell>
        </row>
        <row r="433">
          <cell r="F433">
            <v>7382.5</v>
          </cell>
          <cell r="G433">
            <v>7382.5</v>
          </cell>
        </row>
        <row r="435">
          <cell r="A435" t="str">
            <v>B</v>
          </cell>
          <cell r="B435" t="str">
            <v>Labour</v>
          </cell>
          <cell r="C435" t="str">
            <v>Cum</v>
          </cell>
          <cell r="D435">
            <v>10</v>
          </cell>
          <cell r="E435">
            <v>0</v>
          </cell>
          <cell r="F435">
            <v>0</v>
          </cell>
          <cell r="G435">
            <v>0</v>
          </cell>
        </row>
        <row r="436">
          <cell r="G436">
            <v>7382.5</v>
          </cell>
        </row>
        <row r="438">
          <cell r="A438" t="str">
            <v>C</v>
          </cell>
          <cell r="B438" t="str">
            <v>Add for water &amp; electrical charges</v>
          </cell>
          <cell r="D438">
            <v>7382.5</v>
          </cell>
          <cell r="E438">
            <v>0.01</v>
          </cell>
          <cell r="F438">
            <v>73.825000000000003</v>
          </cell>
          <cell r="G438">
            <v>73.825000000000003</v>
          </cell>
        </row>
        <row r="440">
          <cell r="A440" t="str">
            <v>D</v>
          </cell>
          <cell r="B440" t="str">
            <v>Add for tools and plants</v>
          </cell>
          <cell r="D440">
            <v>7382.5</v>
          </cell>
          <cell r="E440">
            <v>0.05</v>
          </cell>
          <cell r="F440">
            <v>369.125</v>
          </cell>
          <cell r="G440">
            <v>369.125</v>
          </cell>
        </row>
        <row r="441">
          <cell r="G441">
            <v>7825.45</v>
          </cell>
        </row>
        <row r="443">
          <cell r="A443" t="str">
            <v>E</v>
          </cell>
          <cell r="B443" t="str">
            <v>Add contractor's profit</v>
          </cell>
          <cell r="D443">
            <v>7825.45</v>
          </cell>
          <cell r="E443">
            <v>0.15</v>
          </cell>
          <cell r="F443">
            <v>1173.8174999999999</v>
          </cell>
          <cell r="G443">
            <v>1173.8174999999999</v>
          </cell>
        </row>
        <row r="444">
          <cell r="G444" t="str">
            <v>-</v>
          </cell>
        </row>
        <row r="445">
          <cell r="G445">
            <v>8999.2674999999999</v>
          </cell>
        </row>
        <row r="447">
          <cell r="B447" t="str">
            <v>Rate per Cum</v>
          </cell>
          <cell r="D447">
            <v>8999.2674999999999</v>
          </cell>
          <cell r="E447">
            <v>10</v>
          </cell>
          <cell r="F447">
            <v>899.92674999999997</v>
          </cell>
          <cell r="G447">
            <v>899.92674999999997</v>
          </cell>
        </row>
        <row r="474">
          <cell r="A474">
            <v>6</v>
          </cell>
          <cell r="B474" t="str">
            <v>PCC (1:4:8)</v>
          </cell>
          <cell r="E474" t="str">
            <v>QTY -</v>
          </cell>
          <cell r="F474">
            <v>10</v>
          </cell>
          <cell r="G474" t="str">
            <v>CUM</v>
          </cell>
        </row>
        <row r="476">
          <cell r="A476" t="str">
            <v>A</v>
          </cell>
          <cell r="B476" t="str">
            <v>MATERIAL</v>
          </cell>
        </row>
        <row r="478">
          <cell r="B478" t="str">
            <v>Cement</v>
          </cell>
          <cell r="C478" t="str">
            <v>Bag</v>
          </cell>
          <cell r="D478">
            <v>36</v>
          </cell>
          <cell r="E478">
            <v>150</v>
          </cell>
          <cell r="F478">
            <v>5400</v>
          </cell>
        </row>
        <row r="479">
          <cell r="B479" t="str">
            <v>Sand</v>
          </cell>
          <cell r="C479" t="str">
            <v>Cum</v>
          </cell>
          <cell r="D479">
            <v>6.1</v>
          </cell>
          <cell r="E479">
            <v>325</v>
          </cell>
          <cell r="F479">
            <v>1982.4999999999998</v>
          </cell>
        </row>
        <row r="480">
          <cell r="B480" t="str">
            <v>Aggregate</v>
          </cell>
          <cell r="C480" t="str">
            <v>Cum</v>
          </cell>
          <cell r="D480">
            <v>8.6</v>
          </cell>
          <cell r="E480">
            <v>500</v>
          </cell>
          <cell r="F480">
            <v>4300</v>
          </cell>
        </row>
        <row r="481">
          <cell r="F481">
            <v>11682.5</v>
          </cell>
          <cell r="G481">
            <v>11682.5</v>
          </cell>
        </row>
        <row r="483">
          <cell r="A483" t="str">
            <v>B</v>
          </cell>
          <cell r="B483" t="str">
            <v>Labour</v>
          </cell>
          <cell r="C483" t="str">
            <v>Cum</v>
          </cell>
          <cell r="D483">
            <v>10</v>
          </cell>
          <cell r="E483">
            <v>150</v>
          </cell>
          <cell r="F483">
            <v>1500</v>
          </cell>
          <cell r="G483">
            <v>1500</v>
          </cell>
        </row>
        <row r="484">
          <cell r="G484">
            <v>13182.5</v>
          </cell>
        </row>
        <row r="486">
          <cell r="A486" t="str">
            <v>C</v>
          </cell>
          <cell r="B486" t="str">
            <v>Add for water &amp; electrical charges</v>
          </cell>
          <cell r="D486">
            <v>13182.5</v>
          </cell>
          <cell r="E486">
            <v>0.01</v>
          </cell>
          <cell r="F486">
            <v>131.82499999999999</v>
          </cell>
          <cell r="G486">
            <v>131.82499999999999</v>
          </cell>
        </row>
        <row r="488">
          <cell r="A488" t="str">
            <v>D</v>
          </cell>
          <cell r="B488" t="str">
            <v>Add for tools and plants</v>
          </cell>
          <cell r="D488">
            <v>13182.5</v>
          </cell>
          <cell r="E488">
            <v>0.05</v>
          </cell>
          <cell r="F488">
            <v>659.125</v>
          </cell>
          <cell r="G488">
            <v>659.125</v>
          </cell>
        </row>
        <row r="489">
          <cell r="G489">
            <v>13973.45</v>
          </cell>
        </row>
        <row r="491">
          <cell r="A491" t="str">
            <v>E</v>
          </cell>
          <cell r="B491" t="str">
            <v>Add contractor's profit</v>
          </cell>
          <cell r="D491">
            <v>13973.45</v>
          </cell>
          <cell r="E491">
            <v>0.15</v>
          </cell>
          <cell r="F491">
            <v>2096.0174999999999</v>
          </cell>
          <cell r="G491">
            <v>2096.0174999999999</v>
          </cell>
        </row>
        <row r="492">
          <cell r="G492">
            <v>16069.467500000001</v>
          </cell>
        </row>
        <row r="494">
          <cell r="B494" t="str">
            <v>Rate per Cum</v>
          </cell>
          <cell r="D494">
            <v>16069.467500000001</v>
          </cell>
          <cell r="E494">
            <v>10</v>
          </cell>
          <cell r="F494">
            <v>1606.9467500000001</v>
          </cell>
          <cell r="G494">
            <v>1607</v>
          </cell>
        </row>
        <row r="497">
          <cell r="A497">
            <v>6</v>
          </cell>
          <cell r="B497" t="str">
            <v>PCC (1:3:6)</v>
          </cell>
          <cell r="E497" t="str">
            <v>QTY -</v>
          </cell>
          <cell r="F497">
            <v>10</v>
          </cell>
          <cell r="G497" t="str">
            <v>CUM</v>
          </cell>
        </row>
        <row r="499">
          <cell r="A499" t="str">
            <v>A</v>
          </cell>
          <cell r="B499" t="str">
            <v>MATERIAL</v>
          </cell>
        </row>
        <row r="501">
          <cell r="B501" t="str">
            <v>Cement</v>
          </cell>
          <cell r="C501" t="str">
            <v>Bag</v>
          </cell>
          <cell r="D501">
            <v>46</v>
          </cell>
          <cell r="E501">
            <v>150</v>
          </cell>
          <cell r="F501">
            <v>6900</v>
          </cell>
        </row>
        <row r="502">
          <cell r="B502" t="str">
            <v>Sand</v>
          </cell>
          <cell r="C502" t="str">
            <v>Cum</v>
          </cell>
          <cell r="D502">
            <v>5.8</v>
          </cell>
          <cell r="E502">
            <v>325</v>
          </cell>
          <cell r="F502">
            <v>1885</v>
          </cell>
        </row>
        <row r="503">
          <cell r="B503" t="str">
            <v>Aggregate</v>
          </cell>
          <cell r="C503" t="str">
            <v>Cum</v>
          </cell>
          <cell r="D503">
            <v>8.6</v>
          </cell>
          <cell r="E503">
            <v>500</v>
          </cell>
          <cell r="F503">
            <v>4300</v>
          </cell>
        </row>
        <row r="504">
          <cell r="F504">
            <v>13085</v>
          </cell>
          <cell r="G504">
            <v>13085</v>
          </cell>
        </row>
        <row r="506">
          <cell r="A506" t="str">
            <v>B</v>
          </cell>
          <cell r="B506" t="str">
            <v>Labour</v>
          </cell>
          <cell r="C506" t="str">
            <v>Cum</v>
          </cell>
          <cell r="D506">
            <v>10</v>
          </cell>
          <cell r="E506">
            <v>150</v>
          </cell>
          <cell r="F506">
            <v>1500</v>
          </cell>
          <cell r="G506">
            <v>1500</v>
          </cell>
        </row>
        <row r="507">
          <cell r="G507">
            <v>14585</v>
          </cell>
        </row>
        <row r="509">
          <cell r="A509" t="str">
            <v>C</v>
          </cell>
          <cell r="B509" t="str">
            <v>Add for water &amp; electrical charges</v>
          </cell>
          <cell r="D509">
            <v>14585</v>
          </cell>
          <cell r="E509">
            <v>0.01</v>
          </cell>
          <cell r="F509">
            <v>145.85</v>
          </cell>
          <cell r="G509">
            <v>145.85</v>
          </cell>
        </row>
        <row r="511">
          <cell r="A511" t="str">
            <v>D</v>
          </cell>
          <cell r="B511" t="str">
            <v>Add for tools and plants</v>
          </cell>
          <cell r="D511">
            <v>14585</v>
          </cell>
          <cell r="E511">
            <v>0.05</v>
          </cell>
          <cell r="F511">
            <v>729.25</v>
          </cell>
          <cell r="G511">
            <v>729.25</v>
          </cell>
        </row>
        <row r="512">
          <cell r="G512">
            <v>15460.1</v>
          </cell>
        </row>
        <row r="514">
          <cell r="A514" t="str">
            <v>E</v>
          </cell>
          <cell r="B514" t="str">
            <v>Add contractor's profit</v>
          </cell>
          <cell r="D514">
            <v>15460.1</v>
          </cell>
          <cell r="E514">
            <v>0.15</v>
          </cell>
          <cell r="F514">
            <v>2319.0149999999999</v>
          </cell>
          <cell r="G514">
            <v>2319.0149999999999</v>
          </cell>
        </row>
        <row r="515">
          <cell r="G515">
            <v>17779.115000000002</v>
          </cell>
        </row>
        <row r="517">
          <cell r="B517" t="str">
            <v>Rate per Cum</v>
          </cell>
          <cell r="D517">
            <v>17779.115000000002</v>
          </cell>
          <cell r="E517">
            <v>10</v>
          </cell>
          <cell r="F517">
            <v>1777.9115000000002</v>
          </cell>
          <cell r="G517">
            <v>1778</v>
          </cell>
        </row>
        <row r="520">
          <cell r="A520">
            <v>7</v>
          </cell>
          <cell r="B520" t="str">
            <v>PCC (1:2:4)</v>
          </cell>
          <cell r="E520" t="str">
            <v>QTY -</v>
          </cell>
          <cell r="F520">
            <v>10</v>
          </cell>
          <cell r="G520" t="str">
            <v>CUM</v>
          </cell>
        </row>
        <row r="522">
          <cell r="A522" t="str">
            <v>A</v>
          </cell>
          <cell r="B522" t="str">
            <v>MATERIAL</v>
          </cell>
        </row>
        <row r="524">
          <cell r="B524" t="str">
            <v>Cement</v>
          </cell>
          <cell r="C524" t="str">
            <v>Bag</v>
          </cell>
          <cell r="D524">
            <v>67</v>
          </cell>
          <cell r="E524">
            <v>150</v>
          </cell>
          <cell r="F524">
            <v>10050</v>
          </cell>
        </row>
        <row r="525">
          <cell r="B525" t="str">
            <v>Sand</v>
          </cell>
          <cell r="C525" t="str">
            <v>Cum</v>
          </cell>
          <cell r="D525">
            <v>5.5</v>
          </cell>
          <cell r="E525">
            <v>325</v>
          </cell>
          <cell r="F525">
            <v>1787.5</v>
          </cell>
        </row>
        <row r="526">
          <cell r="B526" t="str">
            <v>Aggregate</v>
          </cell>
          <cell r="C526" t="str">
            <v>Cum</v>
          </cell>
          <cell r="D526">
            <v>7.9</v>
          </cell>
          <cell r="E526">
            <v>500</v>
          </cell>
          <cell r="F526">
            <v>3950</v>
          </cell>
        </row>
        <row r="527">
          <cell r="F527">
            <v>15787.5</v>
          </cell>
          <cell r="G527">
            <v>15787.5</v>
          </cell>
        </row>
        <row r="529">
          <cell r="A529" t="str">
            <v>B</v>
          </cell>
          <cell r="B529" t="str">
            <v>Labour</v>
          </cell>
          <cell r="C529" t="str">
            <v>Cum</v>
          </cell>
          <cell r="D529">
            <v>10</v>
          </cell>
          <cell r="E529">
            <v>150</v>
          </cell>
          <cell r="F529">
            <v>1500</v>
          </cell>
          <cell r="G529">
            <v>1500</v>
          </cell>
        </row>
        <row r="530">
          <cell r="G530">
            <v>17287.5</v>
          </cell>
        </row>
        <row r="532">
          <cell r="A532" t="str">
            <v>C</v>
          </cell>
          <cell r="B532" t="str">
            <v>Add for water &amp; electrical charges</v>
          </cell>
          <cell r="D532">
            <v>17287.5</v>
          </cell>
          <cell r="E532">
            <v>0.01</v>
          </cell>
          <cell r="F532">
            <v>172.875</v>
          </cell>
          <cell r="G532">
            <v>172.875</v>
          </cell>
        </row>
        <row r="534">
          <cell r="A534" t="str">
            <v>D</v>
          </cell>
          <cell r="B534" t="str">
            <v>Add for tools and plants</v>
          </cell>
          <cell r="D534">
            <v>17287.5</v>
          </cell>
          <cell r="E534">
            <v>0.05</v>
          </cell>
          <cell r="F534">
            <v>864.375</v>
          </cell>
          <cell r="G534">
            <v>864.375</v>
          </cell>
        </row>
        <row r="535">
          <cell r="G535">
            <v>18324.75</v>
          </cell>
        </row>
        <row r="537">
          <cell r="A537" t="str">
            <v>E</v>
          </cell>
          <cell r="B537" t="str">
            <v>Add contractor's profit</v>
          </cell>
          <cell r="D537">
            <v>18324.75</v>
          </cell>
          <cell r="E537">
            <v>0.15</v>
          </cell>
          <cell r="F537">
            <v>2748.7125000000001</v>
          </cell>
          <cell r="G537">
            <v>2748.7125000000001</v>
          </cell>
        </row>
        <row r="538">
          <cell r="G538">
            <v>21073.462500000001</v>
          </cell>
        </row>
        <row r="540">
          <cell r="B540" t="str">
            <v>Rate per Cum</v>
          </cell>
          <cell r="D540">
            <v>21073.462500000001</v>
          </cell>
          <cell r="E540">
            <v>10</v>
          </cell>
          <cell r="F540">
            <v>2107.3462500000001</v>
          </cell>
          <cell r="G540">
            <v>2107.3462500000001</v>
          </cell>
        </row>
        <row r="544">
          <cell r="A544">
            <v>8</v>
          </cell>
          <cell r="B544" t="str">
            <v>RCC M 15</v>
          </cell>
          <cell r="E544" t="str">
            <v>QTY -</v>
          </cell>
          <cell r="F544">
            <v>10</v>
          </cell>
          <cell r="G544" t="str">
            <v>CUM</v>
          </cell>
        </row>
        <row r="546">
          <cell r="A546" t="str">
            <v>A</v>
          </cell>
          <cell r="B546" t="str">
            <v>MATERIAL</v>
          </cell>
        </row>
        <row r="548">
          <cell r="B548" t="str">
            <v>Cement</v>
          </cell>
          <cell r="C548" t="str">
            <v>Bag</v>
          </cell>
          <cell r="D548">
            <v>67</v>
          </cell>
          <cell r="E548">
            <v>150</v>
          </cell>
          <cell r="F548">
            <v>10050</v>
          </cell>
        </row>
        <row r="549">
          <cell r="B549" t="str">
            <v>Sand</v>
          </cell>
          <cell r="C549" t="str">
            <v>Cum</v>
          </cell>
          <cell r="D549">
            <v>5.5</v>
          </cell>
          <cell r="E549">
            <v>325</v>
          </cell>
          <cell r="F549">
            <v>1787.5</v>
          </cell>
        </row>
        <row r="550">
          <cell r="B550" t="str">
            <v>Aggregate</v>
          </cell>
          <cell r="C550" t="str">
            <v>Cum</v>
          </cell>
          <cell r="D550">
            <v>7.9</v>
          </cell>
          <cell r="E550">
            <v>500</v>
          </cell>
          <cell r="F550">
            <v>3950</v>
          </cell>
        </row>
        <row r="551">
          <cell r="B551" t="str">
            <v>Admixture</v>
          </cell>
          <cell r="C551" t="str">
            <v>Kg</v>
          </cell>
          <cell r="D551">
            <v>10.049999999999999</v>
          </cell>
          <cell r="E551">
            <v>60</v>
          </cell>
          <cell r="F551">
            <v>602.99999999999989</v>
          </cell>
        </row>
        <row r="552">
          <cell r="F552">
            <v>16390.5</v>
          </cell>
          <cell r="G552">
            <v>16390.5</v>
          </cell>
        </row>
        <row r="554">
          <cell r="A554" t="str">
            <v>B</v>
          </cell>
          <cell r="B554" t="str">
            <v>Labour</v>
          </cell>
          <cell r="C554" t="str">
            <v>Cum</v>
          </cell>
          <cell r="D554">
            <v>10</v>
          </cell>
          <cell r="E554">
            <v>150</v>
          </cell>
          <cell r="F554">
            <v>1500</v>
          </cell>
          <cell r="G554">
            <v>1500</v>
          </cell>
        </row>
        <row r="555">
          <cell r="G555">
            <v>17890.5</v>
          </cell>
        </row>
        <row r="557">
          <cell r="A557" t="str">
            <v>C</v>
          </cell>
          <cell r="B557" t="str">
            <v>Add for water &amp; electrical charges</v>
          </cell>
          <cell r="D557">
            <v>17890.5</v>
          </cell>
          <cell r="E557">
            <v>0.01</v>
          </cell>
          <cell r="F557">
            <v>178.905</v>
          </cell>
          <cell r="G557">
            <v>178.905</v>
          </cell>
        </row>
        <row r="559">
          <cell r="A559" t="str">
            <v>D</v>
          </cell>
          <cell r="B559" t="str">
            <v>Add for tools and plants</v>
          </cell>
          <cell r="D559">
            <v>17890.5</v>
          </cell>
          <cell r="E559">
            <v>0.05</v>
          </cell>
          <cell r="F559">
            <v>894.52500000000009</v>
          </cell>
          <cell r="G559">
            <v>894.52500000000009</v>
          </cell>
        </row>
        <row r="560">
          <cell r="G560">
            <v>18963.93</v>
          </cell>
        </row>
        <row r="562">
          <cell r="A562" t="str">
            <v>F</v>
          </cell>
          <cell r="B562" t="str">
            <v>Add contractor's profit</v>
          </cell>
          <cell r="D562">
            <v>18963.93</v>
          </cell>
          <cell r="E562">
            <v>0.15</v>
          </cell>
          <cell r="F562">
            <v>2844.5895</v>
          </cell>
          <cell r="G562">
            <v>2844.5895</v>
          </cell>
        </row>
        <row r="563">
          <cell r="G563">
            <v>21808.519500000002</v>
          </cell>
        </row>
        <row r="565">
          <cell r="B565" t="str">
            <v>Rate per Cum</v>
          </cell>
          <cell r="D565">
            <v>21808.519500000002</v>
          </cell>
          <cell r="E565">
            <v>10</v>
          </cell>
          <cell r="F565">
            <v>2180.8519500000002</v>
          </cell>
          <cell r="G565">
            <v>2181</v>
          </cell>
        </row>
        <row r="568">
          <cell r="A568">
            <v>9</v>
          </cell>
          <cell r="B568" t="str">
            <v>RCC M 20</v>
          </cell>
          <cell r="E568" t="str">
            <v>QTY -</v>
          </cell>
          <cell r="F568">
            <v>10</v>
          </cell>
          <cell r="G568" t="str">
            <v>CUM</v>
          </cell>
        </row>
        <row r="570">
          <cell r="A570" t="str">
            <v>A</v>
          </cell>
          <cell r="B570" t="str">
            <v>MATERIAL</v>
          </cell>
        </row>
        <row r="572">
          <cell r="B572" t="str">
            <v>Cement</v>
          </cell>
          <cell r="C572" t="str">
            <v>Bag</v>
          </cell>
          <cell r="D572">
            <v>71</v>
          </cell>
          <cell r="E572">
            <v>150</v>
          </cell>
          <cell r="F572">
            <v>10650</v>
          </cell>
        </row>
        <row r="573">
          <cell r="B573" t="str">
            <v>Sand</v>
          </cell>
          <cell r="C573" t="str">
            <v>Cum</v>
          </cell>
          <cell r="D573">
            <v>5.2</v>
          </cell>
          <cell r="E573">
            <v>325</v>
          </cell>
          <cell r="F573">
            <v>1690</v>
          </cell>
        </row>
        <row r="574">
          <cell r="B574" t="str">
            <v>Aggregate</v>
          </cell>
          <cell r="C574" t="str">
            <v>Cum</v>
          </cell>
          <cell r="D574">
            <v>7.7</v>
          </cell>
          <cell r="E574">
            <v>500</v>
          </cell>
          <cell r="F574">
            <v>3850</v>
          </cell>
        </row>
        <row r="575">
          <cell r="B575" t="str">
            <v>Admixture</v>
          </cell>
          <cell r="C575" t="str">
            <v>Kg</v>
          </cell>
          <cell r="D575">
            <v>10.65</v>
          </cell>
          <cell r="E575">
            <v>60</v>
          </cell>
          <cell r="F575">
            <v>639</v>
          </cell>
        </row>
        <row r="576">
          <cell r="F576">
            <v>16829</v>
          </cell>
          <cell r="G576">
            <v>16829</v>
          </cell>
        </row>
        <row r="578">
          <cell r="A578" t="str">
            <v>B</v>
          </cell>
          <cell r="B578" t="str">
            <v>Labour</v>
          </cell>
          <cell r="C578" t="str">
            <v>Cum</v>
          </cell>
          <cell r="D578">
            <v>10</v>
          </cell>
          <cell r="E578">
            <v>150</v>
          </cell>
          <cell r="F578">
            <v>1500</v>
          </cell>
          <cell r="G578">
            <v>1500</v>
          </cell>
        </row>
        <row r="579">
          <cell r="G579">
            <v>18329</v>
          </cell>
        </row>
        <row r="581">
          <cell r="A581" t="str">
            <v>C</v>
          </cell>
          <cell r="B581" t="str">
            <v>Add for water &amp; electrical charges</v>
          </cell>
          <cell r="D581">
            <v>18329</v>
          </cell>
          <cell r="E581">
            <v>0.01</v>
          </cell>
          <cell r="F581">
            <v>183.29</v>
          </cell>
          <cell r="G581">
            <v>183.29</v>
          </cell>
        </row>
        <row r="583">
          <cell r="A583" t="str">
            <v>D</v>
          </cell>
          <cell r="B583" t="str">
            <v>Add for tools and plants</v>
          </cell>
          <cell r="D583">
            <v>18329</v>
          </cell>
          <cell r="E583">
            <v>0.05</v>
          </cell>
          <cell r="F583">
            <v>916.45</v>
          </cell>
          <cell r="G583">
            <v>916.45</v>
          </cell>
        </row>
        <row r="584">
          <cell r="G584">
            <v>19428.740000000002</v>
          </cell>
        </row>
        <row r="586">
          <cell r="A586" t="str">
            <v>F</v>
          </cell>
          <cell r="B586" t="str">
            <v>Add contractor's profit</v>
          </cell>
          <cell r="D586">
            <v>19428.740000000002</v>
          </cell>
          <cell r="E586">
            <v>0.15</v>
          </cell>
          <cell r="F586">
            <v>2914.3110000000001</v>
          </cell>
          <cell r="G586">
            <v>2914.3110000000001</v>
          </cell>
        </row>
        <row r="587">
          <cell r="G587">
            <v>22343.051000000003</v>
          </cell>
        </row>
        <row r="589">
          <cell r="B589" t="str">
            <v>Rate per Cum</v>
          </cell>
          <cell r="D589">
            <v>22343.051000000003</v>
          </cell>
          <cell r="E589">
            <v>10</v>
          </cell>
          <cell r="F589">
            <v>2234.3051000000005</v>
          </cell>
          <cell r="G589">
            <v>2235</v>
          </cell>
        </row>
        <row r="592">
          <cell r="A592">
            <v>10</v>
          </cell>
          <cell r="B592" t="str">
            <v xml:space="preserve">RCC M 25 </v>
          </cell>
          <cell r="E592" t="str">
            <v>QTY -</v>
          </cell>
          <cell r="F592">
            <v>10</v>
          </cell>
          <cell r="G592" t="str">
            <v>CUM</v>
          </cell>
        </row>
        <row r="593">
          <cell r="B593" t="str">
            <v xml:space="preserve">FOOTING </v>
          </cell>
        </row>
        <row r="594">
          <cell r="A594" t="str">
            <v>A</v>
          </cell>
          <cell r="B594" t="str">
            <v>MATERIAL</v>
          </cell>
        </row>
        <row r="596">
          <cell r="B596" t="str">
            <v>Cement</v>
          </cell>
          <cell r="C596" t="str">
            <v>Bag</v>
          </cell>
          <cell r="D596">
            <v>70</v>
          </cell>
          <cell r="E596">
            <v>150</v>
          </cell>
          <cell r="F596">
            <v>10500</v>
          </cell>
        </row>
        <row r="597">
          <cell r="B597" t="str">
            <v>Sand</v>
          </cell>
          <cell r="C597" t="str">
            <v>Cum</v>
          </cell>
          <cell r="D597">
            <v>5.2</v>
          </cell>
          <cell r="E597">
            <v>325</v>
          </cell>
          <cell r="F597">
            <v>1690</v>
          </cell>
        </row>
        <row r="598">
          <cell r="B598" t="str">
            <v>Aggregate</v>
          </cell>
          <cell r="C598" t="str">
            <v>Cum</v>
          </cell>
          <cell r="D598">
            <v>9.6</v>
          </cell>
          <cell r="E598">
            <v>500</v>
          </cell>
          <cell r="F598">
            <v>4800</v>
          </cell>
        </row>
        <row r="599">
          <cell r="B599" t="str">
            <v>Admixture</v>
          </cell>
          <cell r="C599" t="str">
            <v>Kg</v>
          </cell>
          <cell r="D599">
            <v>10.5</v>
          </cell>
          <cell r="E599">
            <v>50</v>
          </cell>
          <cell r="F599">
            <v>525</v>
          </cell>
        </row>
        <row r="600">
          <cell r="F600">
            <v>17515</v>
          </cell>
          <cell r="G600">
            <v>17515</v>
          </cell>
        </row>
        <row r="602">
          <cell r="A602" t="str">
            <v>B</v>
          </cell>
          <cell r="B602" t="str">
            <v>Labour for pouring, vibrating etc</v>
          </cell>
          <cell r="C602" t="str">
            <v>Cum</v>
          </cell>
          <cell r="D602">
            <v>10</v>
          </cell>
          <cell r="E602">
            <v>60</v>
          </cell>
          <cell r="F602">
            <v>600</v>
          </cell>
          <cell r="G602">
            <v>600</v>
          </cell>
        </row>
        <row r="603">
          <cell r="G603">
            <v>18115</v>
          </cell>
        </row>
        <row r="605">
          <cell r="B605" t="str">
            <v xml:space="preserve">Add for Ready mix concrete </v>
          </cell>
          <cell r="C605" t="str">
            <v>Cum</v>
          </cell>
          <cell r="D605">
            <v>10</v>
          </cell>
          <cell r="E605">
            <v>300</v>
          </cell>
          <cell r="F605">
            <v>3000</v>
          </cell>
          <cell r="G605">
            <v>3000</v>
          </cell>
        </row>
        <row r="607">
          <cell r="A607" t="str">
            <v>C</v>
          </cell>
          <cell r="B607" t="str">
            <v>Add for water &amp; electrical charges</v>
          </cell>
          <cell r="D607">
            <v>18115</v>
          </cell>
          <cell r="E607">
            <v>0.01</v>
          </cell>
          <cell r="F607">
            <v>181.15</v>
          </cell>
          <cell r="G607">
            <v>181.15</v>
          </cell>
        </row>
        <row r="609">
          <cell r="A609" t="str">
            <v>D</v>
          </cell>
          <cell r="B609" t="str">
            <v>Add for tools and plants</v>
          </cell>
          <cell r="D609">
            <v>18115</v>
          </cell>
          <cell r="E609">
            <v>0.05</v>
          </cell>
          <cell r="F609">
            <v>905.75</v>
          </cell>
          <cell r="G609">
            <v>905.75</v>
          </cell>
        </row>
        <row r="610">
          <cell r="G610">
            <v>22201.9</v>
          </cell>
        </row>
        <row r="612">
          <cell r="A612" t="str">
            <v>F</v>
          </cell>
          <cell r="B612" t="str">
            <v>Add contractor's profit</v>
          </cell>
          <cell r="D612">
            <v>22201.9</v>
          </cell>
          <cell r="E612">
            <v>0.15</v>
          </cell>
          <cell r="F612">
            <v>3330.2850000000003</v>
          </cell>
          <cell r="G612">
            <v>3330.2850000000003</v>
          </cell>
        </row>
        <row r="613">
          <cell r="G613">
            <v>25532.185000000001</v>
          </cell>
        </row>
        <row r="615">
          <cell r="A615" t="str">
            <v>F</v>
          </cell>
          <cell r="B615" t="str">
            <v xml:space="preserve">WCT </v>
          </cell>
          <cell r="D615">
            <v>25532.185000000001</v>
          </cell>
          <cell r="E615">
            <v>0.04</v>
          </cell>
          <cell r="F615">
            <v>1021.2874</v>
          </cell>
          <cell r="G615">
            <v>1021.2874</v>
          </cell>
        </row>
        <row r="616">
          <cell r="G616">
            <v>26553.472400000002</v>
          </cell>
        </row>
        <row r="618">
          <cell r="B618" t="str">
            <v>Rate per Cum</v>
          </cell>
          <cell r="D618">
            <v>26553.472400000002</v>
          </cell>
          <cell r="E618">
            <v>10</v>
          </cell>
          <cell r="F618">
            <v>2655.3472400000001</v>
          </cell>
          <cell r="G618">
            <v>2656</v>
          </cell>
        </row>
        <row r="678">
          <cell r="A678">
            <v>11</v>
          </cell>
          <cell r="B678" t="str">
            <v xml:space="preserve">RCC M 30 </v>
          </cell>
          <cell r="E678" t="str">
            <v>QTY -</v>
          </cell>
          <cell r="F678">
            <v>10</v>
          </cell>
          <cell r="G678" t="str">
            <v>CUM</v>
          </cell>
        </row>
        <row r="680">
          <cell r="A680" t="str">
            <v>A</v>
          </cell>
          <cell r="B680" t="str">
            <v>MATERIAL</v>
          </cell>
        </row>
        <row r="682">
          <cell r="B682" t="str">
            <v>Cement</v>
          </cell>
          <cell r="C682" t="str">
            <v>Bag</v>
          </cell>
          <cell r="D682">
            <v>82</v>
          </cell>
          <cell r="E682">
            <v>150</v>
          </cell>
          <cell r="F682">
            <v>12300</v>
          </cell>
        </row>
        <row r="683">
          <cell r="B683" t="str">
            <v>Sand</v>
          </cell>
          <cell r="C683" t="str">
            <v>Cum</v>
          </cell>
          <cell r="D683">
            <v>5</v>
          </cell>
          <cell r="E683">
            <v>325</v>
          </cell>
          <cell r="F683">
            <v>1625</v>
          </cell>
        </row>
        <row r="684">
          <cell r="B684" t="str">
            <v>Aggregate</v>
          </cell>
          <cell r="C684" t="str">
            <v>Cum</v>
          </cell>
          <cell r="D684">
            <v>7.7</v>
          </cell>
          <cell r="E684">
            <v>500</v>
          </cell>
          <cell r="F684">
            <v>3850</v>
          </cell>
        </row>
        <row r="685">
          <cell r="B685" t="str">
            <v>Admixture</v>
          </cell>
          <cell r="C685" t="str">
            <v>Kg</v>
          </cell>
          <cell r="D685">
            <v>12.299999999999999</v>
          </cell>
          <cell r="E685">
            <v>60</v>
          </cell>
          <cell r="F685">
            <v>737.99999999999989</v>
          </cell>
        </row>
        <row r="686">
          <cell r="F686">
            <v>18513</v>
          </cell>
          <cell r="G686">
            <v>18513</v>
          </cell>
        </row>
        <row r="688">
          <cell r="A688" t="str">
            <v>B</v>
          </cell>
          <cell r="B688" t="str">
            <v>Labour</v>
          </cell>
          <cell r="C688" t="str">
            <v>Cum</v>
          </cell>
          <cell r="D688">
            <v>10</v>
          </cell>
          <cell r="E688">
            <v>150</v>
          </cell>
          <cell r="F688">
            <v>1500</v>
          </cell>
          <cell r="G688">
            <v>1500</v>
          </cell>
        </row>
        <row r="689">
          <cell r="G689">
            <v>20013</v>
          </cell>
        </row>
        <row r="691">
          <cell r="A691" t="str">
            <v>C</v>
          </cell>
          <cell r="B691" t="str">
            <v>Add for water &amp; electrical charges</v>
          </cell>
          <cell r="D691">
            <v>20013</v>
          </cell>
          <cell r="E691">
            <v>0.01</v>
          </cell>
          <cell r="F691">
            <v>200.13</v>
          </cell>
          <cell r="G691">
            <v>200.13</v>
          </cell>
        </row>
        <row r="693">
          <cell r="A693" t="str">
            <v>D</v>
          </cell>
          <cell r="B693" t="str">
            <v>Add for tools and plants</v>
          </cell>
          <cell r="D693">
            <v>20013</v>
          </cell>
          <cell r="E693">
            <v>0.05</v>
          </cell>
          <cell r="F693">
            <v>1000.6500000000001</v>
          </cell>
          <cell r="G693">
            <v>1000.6500000000001</v>
          </cell>
        </row>
        <row r="694">
          <cell r="G694">
            <v>21213.780000000002</v>
          </cell>
        </row>
        <row r="696">
          <cell r="A696" t="str">
            <v>F</v>
          </cell>
          <cell r="B696" t="str">
            <v>Add contractor's profit</v>
          </cell>
          <cell r="D696">
            <v>21213.780000000002</v>
          </cell>
          <cell r="E696">
            <v>0.15</v>
          </cell>
          <cell r="F696">
            <v>3182.0670000000005</v>
          </cell>
          <cell r="G696">
            <v>3182.0670000000005</v>
          </cell>
        </row>
        <row r="697">
          <cell r="G697">
            <v>24395.847000000002</v>
          </cell>
        </row>
        <row r="699">
          <cell r="B699" t="str">
            <v>Rate per Cum</v>
          </cell>
          <cell r="D699">
            <v>24395.847000000002</v>
          </cell>
          <cell r="E699">
            <v>10</v>
          </cell>
          <cell r="F699">
            <v>2439.5847000000003</v>
          </cell>
          <cell r="G699">
            <v>2439.5847000000003</v>
          </cell>
        </row>
        <row r="702">
          <cell r="A702">
            <v>12</v>
          </cell>
          <cell r="B702" t="str">
            <v xml:space="preserve">RCC M 35 </v>
          </cell>
          <cell r="E702" t="str">
            <v>QTY -</v>
          </cell>
          <cell r="F702">
            <v>10</v>
          </cell>
          <cell r="G702" t="str">
            <v>CUM</v>
          </cell>
        </row>
        <row r="704">
          <cell r="A704" t="str">
            <v>A</v>
          </cell>
          <cell r="B704" t="str">
            <v>MATERIAL</v>
          </cell>
        </row>
        <row r="706">
          <cell r="B706" t="str">
            <v>Cement</v>
          </cell>
          <cell r="C706" t="str">
            <v>Bag</v>
          </cell>
          <cell r="D706">
            <v>86</v>
          </cell>
          <cell r="E706">
            <v>150</v>
          </cell>
          <cell r="F706">
            <v>12900</v>
          </cell>
        </row>
        <row r="707">
          <cell r="B707" t="str">
            <v>Sand</v>
          </cell>
          <cell r="C707" t="str">
            <v>Cum</v>
          </cell>
          <cell r="D707">
            <v>5</v>
          </cell>
          <cell r="E707">
            <v>325</v>
          </cell>
          <cell r="F707">
            <v>1625</v>
          </cell>
        </row>
        <row r="708">
          <cell r="B708" t="str">
            <v>Aggregate</v>
          </cell>
          <cell r="C708" t="str">
            <v>Cum</v>
          </cell>
          <cell r="D708">
            <v>7.7</v>
          </cell>
          <cell r="E708">
            <v>500</v>
          </cell>
          <cell r="F708">
            <v>3850</v>
          </cell>
        </row>
        <row r="709">
          <cell r="B709" t="str">
            <v>Admixture</v>
          </cell>
          <cell r="C709" t="str">
            <v>Kg</v>
          </cell>
          <cell r="D709">
            <v>12.9</v>
          </cell>
          <cell r="E709">
            <v>60</v>
          </cell>
          <cell r="F709">
            <v>774</v>
          </cell>
        </row>
        <row r="710">
          <cell r="F710">
            <v>19149</v>
          </cell>
          <cell r="G710">
            <v>19149</v>
          </cell>
        </row>
        <row r="712">
          <cell r="A712" t="str">
            <v>B</v>
          </cell>
          <cell r="B712" t="str">
            <v>Labour</v>
          </cell>
          <cell r="C712" t="str">
            <v>Cum</v>
          </cell>
          <cell r="D712">
            <v>10</v>
          </cell>
          <cell r="E712">
            <v>150</v>
          </cell>
          <cell r="F712">
            <v>1500</v>
          </cell>
          <cell r="G712">
            <v>1500</v>
          </cell>
        </row>
        <row r="713">
          <cell r="G713">
            <v>20649</v>
          </cell>
        </row>
        <row r="715">
          <cell r="A715" t="str">
            <v>C</v>
          </cell>
          <cell r="B715" t="str">
            <v>Add for water &amp; electrical charges</v>
          </cell>
          <cell r="D715">
            <v>20649</v>
          </cell>
          <cell r="E715">
            <v>0.01</v>
          </cell>
          <cell r="F715">
            <v>206.49</v>
          </cell>
          <cell r="G715">
            <v>206.49</v>
          </cell>
        </row>
        <row r="717">
          <cell r="A717" t="str">
            <v>D</v>
          </cell>
          <cell r="B717" t="str">
            <v>Add for tools and plants</v>
          </cell>
          <cell r="D717">
            <v>20649</v>
          </cell>
          <cell r="E717">
            <v>0.05</v>
          </cell>
          <cell r="F717">
            <v>1032.45</v>
          </cell>
          <cell r="G717">
            <v>1032.45</v>
          </cell>
        </row>
        <row r="718">
          <cell r="G718">
            <v>21887.940000000002</v>
          </cell>
        </row>
        <row r="720">
          <cell r="A720" t="str">
            <v>F</v>
          </cell>
          <cell r="B720" t="str">
            <v>Add contractor's profit</v>
          </cell>
          <cell r="D720">
            <v>21887.940000000002</v>
          </cell>
          <cell r="E720">
            <v>0.15</v>
          </cell>
          <cell r="F720">
            <v>3283.1910000000003</v>
          </cell>
          <cell r="G720">
            <v>3283.1910000000003</v>
          </cell>
        </row>
        <row r="721">
          <cell r="G721">
            <v>25171.131000000001</v>
          </cell>
        </row>
        <row r="723">
          <cell r="B723" t="str">
            <v>Rate per Cum</v>
          </cell>
          <cell r="D723">
            <v>25171.131000000001</v>
          </cell>
          <cell r="E723">
            <v>10</v>
          </cell>
          <cell r="F723">
            <v>2517.1131</v>
          </cell>
          <cell r="G723">
            <v>2517.1131</v>
          </cell>
        </row>
        <row r="726">
          <cell r="A726">
            <v>13</v>
          </cell>
          <cell r="B726" t="str">
            <v xml:space="preserve">RCC M 40 </v>
          </cell>
          <cell r="E726" t="str">
            <v>QTY -</v>
          </cell>
          <cell r="F726">
            <v>10</v>
          </cell>
          <cell r="G726" t="str">
            <v>CUM</v>
          </cell>
        </row>
        <row r="728">
          <cell r="A728" t="str">
            <v>A</v>
          </cell>
          <cell r="B728" t="str">
            <v>MATERIAL</v>
          </cell>
        </row>
        <row r="730">
          <cell r="B730" t="str">
            <v>Cement</v>
          </cell>
          <cell r="C730" t="str">
            <v>Bag</v>
          </cell>
          <cell r="D730">
            <v>90</v>
          </cell>
          <cell r="E730">
            <v>150</v>
          </cell>
          <cell r="F730">
            <v>13500</v>
          </cell>
        </row>
        <row r="731">
          <cell r="B731" t="str">
            <v>Sand</v>
          </cell>
          <cell r="C731" t="str">
            <v>Cum</v>
          </cell>
          <cell r="D731">
            <v>4.8</v>
          </cell>
          <cell r="E731">
            <v>325</v>
          </cell>
          <cell r="F731">
            <v>1560</v>
          </cell>
        </row>
        <row r="732">
          <cell r="B732" t="str">
            <v>Aggregate</v>
          </cell>
          <cell r="C732" t="str">
            <v>Cum</v>
          </cell>
          <cell r="D732">
            <v>7.6</v>
          </cell>
          <cell r="E732">
            <v>500</v>
          </cell>
          <cell r="F732">
            <v>3800</v>
          </cell>
        </row>
        <row r="733">
          <cell r="B733" t="str">
            <v>Admixture</v>
          </cell>
          <cell r="C733" t="str">
            <v>Kg</v>
          </cell>
          <cell r="D733">
            <v>13.5</v>
          </cell>
          <cell r="E733">
            <v>60</v>
          </cell>
          <cell r="F733">
            <v>810</v>
          </cell>
        </row>
        <row r="734">
          <cell r="F734">
            <v>19670</v>
          </cell>
          <cell r="G734">
            <v>19670</v>
          </cell>
        </row>
        <row r="736">
          <cell r="A736" t="str">
            <v>B</v>
          </cell>
          <cell r="B736" t="str">
            <v>Labour</v>
          </cell>
          <cell r="C736" t="str">
            <v>Cum</v>
          </cell>
          <cell r="D736">
            <v>10</v>
          </cell>
          <cell r="E736">
            <v>0</v>
          </cell>
          <cell r="F736">
            <v>0</v>
          </cell>
          <cell r="G736">
            <v>0</v>
          </cell>
        </row>
        <row r="737">
          <cell r="G737">
            <v>19670</v>
          </cell>
        </row>
        <row r="739">
          <cell r="A739" t="str">
            <v>C</v>
          </cell>
          <cell r="B739" t="str">
            <v>Add for water &amp; electrical charges</v>
          </cell>
          <cell r="D739">
            <v>19670</v>
          </cell>
          <cell r="E739">
            <v>0.01</v>
          </cell>
          <cell r="F739">
            <v>196.70000000000002</v>
          </cell>
          <cell r="G739">
            <v>196.70000000000002</v>
          </cell>
        </row>
        <row r="741">
          <cell r="A741" t="str">
            <v>D</v>
          </cell>
          <cell r="B741" t="str">
            <v>Add for tools and plants</v>
          </cell>
          <cell r="D741">
            <v>19670</v>
          </cell>
          <cell r="E741">
            <v>0.05</v>
          </cell>
          <cell r="F741">
            <v>983.5</v>
          </cell>
          <cell r="G741">
            <v>983.5</v>
          </cell>
        </row>
        <row r="742">
          <cell r="G742">
            <v>20850.2</v>
          </cell>
        </row>
        <row r="744">
          <cell r="A744" t="str">
            <v>F</v>
          </cell>
          <cell r="B744" t="str">
            <v>Add contractor's profit</v>
          </cell>
          <cell r="D744">
            <v>20850.2</v>
          </cell>
          <cell r="E744">
            <v>0.15</v>
          </cell>
          <cell r="F744">
            <v>3127.53</v>
          </cell>
          <cell r="G744">
            <v>3127.53</v>
          </cell>
        </row>
        <row r="745">
          <cell r="G745">
            <v>23977.73</v>
          </cell>
        </row>
        <row r="747">
          <cell r="B747" t="str">
            <v>Rate per Cum</v>
          </cell>
          <cell r="D747">
            <v>23977.73</v>
          </cell>
          <cell r="E747">
            <v>10</v>
          </cell>
          <cell r="F747">
            <v>2397.7730000000001</v>
          </cell>
          <cell r="G747">
            <v>2397.7730000000001</v>
          </cell>
        </row>
        <row r="773">
          <cell r="A773">
            <v>14</v>
          </cell>
          <cell r="B773" t="str">
            <v>MILD STEEL</v>
          </cell>
          <cell r="E773" t="str">
            <v>QTY -</v>
          </cell>
          <cell r="F773">
            <v>1</v>
          </cell>
          <cell r="G773" t="str">
            <v>MT</v>
          </cell>
        </row>
        <row r="775">
          <cell r="A775" t="str">
            <v>A</v>
          </cell>
          <cell r="B775" t="str">
            <v xml:space="preserve">MATERIAL </v>
          </cell>
        </row>
        <row r="777">
          <cell r="B777" t="str">
            <v>Mild steel</v>
          </cell>
          <cell r="C777" t="str">
            <v>MT</v>
          </cell>
          <cell r="D777">
            <v>1.07</v>
          </cell>
          <cell r="E777">
            <v>30000</v>
          </cell>
          <cell r="F777">
            <v>32100.000000000004</v>
          </cell>
        </row>
        <row r="778">
          <cell r="B778" t="str">
            <v>Binding wire</v>
          </cell>
          <cell r="C778" t="str">
            <v>Kg</v>
          </cell>
          <cell r="D778">
            <v>8</v>
          </cell>
          <cell r="E778">
            <v>30</v>
          </cell>
          <cell r="F778">
            <v>240</v>
          </cell>
        </row>
        <row r="779">
          <cell r="B779" t="str">
            <v>Cover blocks</v>
          </cell>
          <cell r="C779" t="str">
            <v>Nos</v>
          </cell>
          <cell r="D779">
            <v>300</v>
          </cell>
          <cell r="E779">
            <v>0</v>
          </cell>
          <cell r="F779">
            <v>0</v>
          </cell>
        </row>
        <row r="780">
          <cell r="F780">
            <v>32340.000000000004</v>
          </cell>
          <cell r="G780">
            <v>32340.000000000004</v>
          </cell>
        </row>
        <row r="782">
          <cell r="A782" t="str">
            <v>B</v>
          </cell>
          <cell r="B782" t="str">
            <v>LABOUR</v>
          </cell>
          <cell r="C782" t="str">
            <v>MT</v>
          </cell>
          <cell r="D782">
            <v>1</v>
          </cell>
          <cell r="E782">
            <v>0</v>
          </cell>
          <cell r="F782">
            <v>0</v>
          </cell>
          <cell r="G782">
            <v>0</v>
          </cell>
        </row>
        <row r="783">
          <cell r="G783">
            <v>32340.000000000004</v>
          </cell>
        </row>
        <row r="785">
          <cell r="A785" t="str">
            <v>C</v>
          </cell>
          <cell r="B785" t="str">
            <v>Add for water &amp; electrical charges</v>
          </cell>
          <cell r="D785">
            <v>32340.000000000004</v>
          </cell>
          <cell r="E785">
            <v>0.01</v>
          </cell>
          <cell r="F785">
            <v>323.40000000000003</v>
          </cell>
          <cell r="G785">
            <v>323.40000000000003</v>
          </cell>
        </row>
        <row r="787">
          <cell r="A787" t="str">
            <v>D</v>
          </cell>
          <cell r="B787" t="str">
            <v>Add for tools and plants</v>
          </cell>
          <cell r="D787">
            <v>32340.000000000004</v>
          </cell>
          <cell r="E787">
            <v>0.03</v>
          </cell>
          <cell r="F787">
            <v>970.2</v>
          </cell>
          <cell r="G787">
            <v>970.2</v>
          </cell>
        </row>
        <row r="788">
          <cell r="G788">
            <v>33633.600000000006</v>
          </cell>
        </row>
        <row r="790">
          <cell r="A790" t="str">
            <v>E</v>
          </cell>
          <cell r="B790" t="str">
            <v>Add contractor's profit</v>
          </cell>
          <cell r="D790">
            <v>33633.600000000006</v>
          </cell>
          <cell r="E790">
            <v>0.15</v>
          </cell>
          <cell r="F790">
            <v>5045.0400000000009</v>
          </cell>
          <cell r="G790">
            <v>5045.0400000000009</v>
          </cell>
        </row>
        <row r="791">
          <cell r="G791">
            <v>38678.640000000007</v>
          </cell>
        </row>
        <row r="793">
          <cell r="B793" t="str">
            <v>Rate per MT</v>
          </cell>
          <cell r="D793">
            <v>38678.640000000007</v>
          </cell>
          <cell r="E793">
            <v>1</v>
          </cell>
          <cell r="F793">
            <v>38678.640000000007</v>
          </cell>
          <cell r="G793">
            <v>38678.640000000007</v>
          </cell>
        </row>
        <row r="796">
          <cell r="A796">
            <v>15</v>
          </cell>
          <cell r="B796" t="str">
            <v>TOR STEEL</v>
          </cell>
          <cell r="E796" t="str">
            <v>QTY -</v>
          </cell>
          <cell r="F796">
            <v>1</v>
          </cell>
          <cell r="G796" t="str">
            <v>MT</v>
          </cell>
        </row>
        <row r="798">
          <cell r="A798" t="str">
            <v>A</v>
          </cell>
          <cell r="B798" t="str">
            <v xml:space="preserve">MATERIAL </v>
          </cell>
        </row>
        <row r="800">
          <cell r="B800" t="str">
            <v>Tor steel</v>
          </cell>
          <cell r="C800" t="str">
            <v>MT</v>
          </cell>
          <cell r="D800">
            <v>1.07</v>
          </cell>
          <cell r="E800">
            <v>30400</v>
          </cell>
          <cell r="F800">
            <v>32528.000000000004</v>
          </cell>
        </row>
        <row r="801">
          <cell r="B801" t="str">
            <v>Binding wire</v>
          </cell>
          <cell r="C801" t="str">
            <v>Kg</v>
          </cell>
          <cell r="D801">
            <v>8</v>
          </cell>
          <cell r="E801">
            <v>30</v>
          </cell>
          <cell r="F801">
            <v>240</v>
          </cell>
        </row>
        <row r="802">
          <cell r="B802" t="str">
            <v>Cover blocks</v>
          </cell>
          <cell r="C802" t="str">
            <v>No.</v>
          </cell>
          <cell r="D802">
            <v>300</v>
          </cell>
          <cell r="E802">
            <v>0</v>
          </cell>
          <cell r="F802">
            <v>0</v>
          </cell>
        </row>
        <row r="803">
          <cell r="F803">
            <v>32768</v>
          </cell>
          <cell r="G803">
            <v>32768</v>
          </cell>
        </row>
        <row r="805">
          <cell r="A805" t="str">
            <v>B</v>
          </cell>
          <cell r="B805" t="str">
            <v>LABOUR</v>
          </cell>
          <cell r="C805" t="str">
            <v>MT</v>
          </cell>
          <cell r="D805">
            <v>1</v>
          </cell>
          <cell r="E805">
            <v>0</v>
          </cell>
          <cell r="F805">
            <v>0</v>
          </cell>
          <cell r="G805">
            <v>0</v>
          </cell>
        </row>
        <row r="806">
          <cell r="G806">
            <v>32768</v>
          </cell>
        </row>
        <row r="808">
          <cell r="A808" t="str">
            <v>C</v>
          </cell>
          <cell r="B808" t="str">
            <v>Add for water &amp; electrical charges</v>
          </cell>
          <cell r="D808">
            <v>32768</v>
          </cell>
          <cell r="E808">
            <v>0.01</v>
          </cell>
          <cell r="F808">
            <v>327.68</v>
          </cell>
          <cell r="G808">
            <v>327.68</v>
          </cell>
        </row>
        <row r="810">
          <cell r="A810" t="str">
            <v>D</v>
          </cell>
          <cell r="B810" t="str">
            <v>Add for tools and plants</v>
          </cell>
          <cell r="D810">
            <v>32768</v>
          </cell>
          <cell r="E810">
            <v>0.03</v>
          </cell>
          <cell r="F810">
            <v>983.04</v>
          </cell>
          <cell r="G810">
            <v>983.04</v>
          </cell>
        </row>
        <row r="811">
          <cell r="G811">
            <v>34078.720000000001</v>
          </cell>
        </row>
        <row r="813">
          <cell r="A813" t="str">
            <v>E</v>
          </cell>
          <cell r="B813" t="str">
            <v>Add contractor's profit</v>
          </cell>
          <cell r="D813">
            <v>34078.720000000001</v>
          </cell>
          <cell r="E813">
            <v>0.15</v>
          </cell>
          <cell r="F813">
            <v>5111.808</v>
          </cell>
          <cell r="G813">
            <v>5111.808</v>
          </cell>
        </row>
        <row r="814">
          <cell r="G814">
            <v>39190.527999999998</v>
          </cell>
        </row>
        <row r="816">
          <cell r="B816" t="str">
            <v>Rate per MT</v>
          </cell>
          <cell r="D816">
            <v>39190.527999999998</v>
          </cell>
          <cell r="E816">
            <v>1</v>
          </cell>
          <cell r="F816">
            <v>39190.527999999998</v>
          </cell>
          <cell r="G816">
            <v>39190.527999999998</v>
          </cell>
        </row>
        <row r="845">
          <cell r="A845">
            <v>16</v>
          </cell>
          <cell r="B845" t="str">
            <v>230MM THK BRICK MASONRY IN CM (1:6)</v>
          </cell>
          <cell r="E845" t="str">
            <v>QTY -</v>
          </cell>
          <cell r="F845">
            <v>10</v>
          </cell>
          <cell r="G845" t="str">
            <v>CUM</v>
          </cell>
        </row>
        <row r="847">
          <cell r="A847" t="str">
            <v>A</v>
          </cell>
          <cell r="B847" t="str">
            <v>MATERIAL</v>
          </cell>
        </row>
        <row r="849">
          <cell r="B849" t="str">
            <v>Brick</v>
          </cell>
          <cell r="C849" t="str">
            <v>Nos</v>
          </cell>
          <cell r="D849">
            <v>5000</v>
          </cell>
          <cell r="E849">
            <v>2</v>
          </cell>
          <cell r="F849">
            <v>10000</v>
          </cell>
        </row>
        <row r="850">
          <cell r="B850" t="str">
            <v>Cement</v>
          </cell>
          <cell r="C850" t="str">
            <v>Bag</v>
          </cell>
          <cell r="D850">
            <v>16.100000000000001</v>
          </cell>
          <cell r="E850">
            <v>150</v>
          </cell>
          <cell r="F850">
            <v>2415</v>
          </cell>
        </row>
        <row r="851">
          <cell r="B851" t="str">
            <v>Non-shrinking compound</v>
          </cell>
          <cell r="C851" t="str">
            <v>Pocket</v>
          </cell>
          <cell r="D851">
            <v>15</v>
          </cell>
          <cell r="E851">
            <v>80</v>
          </cell>
          <cell r="F851">
            <v>1200</v>
          </cell>
        </row>
        <row r="852">
          <cell r="B852" t="str">
            <v>Sand</v>
          </cell>
          <cell r="C852" t="str">
            <v>Cum</v>
          </cell>
          <cell r="D852">
            <v>3.56</v>
          </cell>
          <cell r="E852">
            <v>325</v>
          </cell>
          <cell r="F852">
            <v>1157</v>
          </cell>
        </row>
        <row r="853">
          <cell r="B853" t="str">
            <v>Scaffolding</v>
          </cell>
          <cell r="C853" t="str">
            <v>Sqm</v>
          </cell>
          <cell r="D853">
            <v>4.3499999999999996</v>
          </cell>
          <cell r="E853">
            <v>1.5</v>
          </cell>
          <cell r="F853">
            <v>6.5249999999999995</v>
          </cell>
        </row>
        <row r="854">
          <cell r="F854">
            <v>14778.525</v>
          </cell>
          <cell r="G854">
            <v>14778.525</v>
          </cell>
        </row>
        <row r="856">
          <cell r="A856" t="str">
            <v>B</v>
          </cell>
          <cell r="B856" t="str">
            <v>Labour</v>
          </cell>
          <cell r="C856" t="str">
            <v>Cum</v>
          </cell>
          <cell r="D856">
            <v>10</v>
          </cell>
          <cell r="E856">
            <v>125</v>
          </cell>
          <cell r="F856">
            <v>1250</v>
          </cell>
          <cell r="G856">
            <v>1250</v>
          </cell>
        </row>
        <row r="857">
          <cell r="G857">
            <v>16028.525</v>
          </cell>
        </row>
        <row r="859">
          <cell r="A859" t="str">
            <v>C</v>
          </cell>
          <cell r="B859" t="str">
            <v>Add for water &amp; electrical charges</v>
          </cell>
          <cell r="D859">
            <v>16028.525</v>
          </cell>
          <cell r="E859">
            <v>0.01</v>
          </cell>
          <cell r="F859">
            <v>160.28524999999999</v>
          </cell>
          <cell r="G859">
            <v>160.28524999999999</v>
          </cell>
        </row>
        <row r="861">
          <cell r="A861" t="str">
            <v>D</v>
          </cell>
          <cell r="B861" t="str">
            <v>Add for tools and plants</v>
          </cell>
          <cell r="D861">
            <v>16028.525</v>
          </cell>
          <cell r="E861">
            <v>0.03</v>
          </cell>
          <cell r="F861">
            <v>480.85574999999994</v>
          </cell>
          <cell r="G861">
            <v>480.85574999999994</v>
          </cell>
        </row>
        <row r="862">
          <cell r="G862">
            <v>16669.666000000001</v>
          </cell>
        </row>
        <row r="864">
          <cell r="A864" t="str">
            <v>E</v>
          </cell>
          <cell r="B864" t="str">
            <v>Add contractor's profit</v>
          </cell>
          <cell r="D864">
            <v>16669.666000000001</v>
          </cell>
          <cell r="E864">
            <v>0.15</v>
          </cell>
          <cell r="F864">
            <v>2500.4499000000001</v>
          </cell>
          <cell r="G864">
            <v>2500.4499000000001</v>
          </cell>
        </row>
        <row r="865">
          <cell r="G865">
            <v>19170.115900000001</v>
          </cell>
        </row>
        <row r="867">
          <cell r="A867" t="str">
            <v>F</v>
          </cell>
          <cell r="B867" t="str">
            <v xml:space="preserve">WCT </v>
          </cell>
          <cell r="D867">
            <v>19170.115900000001</v>
          </cell>
          <cell r="E867">
            <v>0.04</v>
          </cell>
          <cell r="F867">
            <v>766.80463600000007</v>
          </cell>
          <cell r="G867">
            <v>766.80463600000007</v>
          </cell>
        </row>
        <row r="868">
          <cell r="G868">
            <v>19936.920536000001</v>
          </cell>
        </row>
        <row r="870">
          <cell r="B870" t="str">
            <v>Rate per Cum</v>
          </cell>
          <cell r="D870">
            <v>19936.920536000001</v>
          </cell>
          <cell r="E870">
            <v>10</v>
          </cell>
          <cell r="F870">
            <v>1993.6920536000002</v>
          </cell>
          <cell r="G870">
            <v>1994</v>
          </cell>
        </row>
        <row r="874">
          <cell r="A874">
            <v>17</v>
          </cell>
          <cell r="B874" t="str">
            <v>115MM THK BRICK MASONRY IN CM 1:4</v>
          </cell>
          <cell r="E874" t="str">
            <v>QTY -</v>
          </cell>
          <cell r="F874">
            <v>10</v>
          </cell>
          <cell r="G874" t="str">
            <v>SQM</v>
          </cell>
        </row>
        <row r="875">
          <cell r="B875" t="str">
            <v>WITH PATLI BEAM 115 X 100MM IN M15</v>
          </cell>
        </row>
        <row r="877">
          <cell r="A877" t="str">
            <v>A</v>
          </cell>
          <cell r="B877" t="str">
            <v>MATERIAL</v>
          </cell>
        </row>
        <row r="879">
          <cell r="B879" t="str">
            <v>Brick</v>
          </cell>
          <cell r="C879" t="str">
            <v>Nos</v>
          </cell>
          <cell r="D879">
            <v>500</v>
          </cell>
          <cell r="E879">
            <v>2</v>
          </cell>
          <cell r="F879">
            <v>1000</v>
          </cell>
        </row>
        <row r="880">
          <cell r="B880" t="str">
            <v>Cement</v>
          </cell>
          <cell r="C880" t="str">
            <v>Bag</v>
          </cell>
          <cell r="D880">
            <v>2.23</v>
          </cell>
          <cell r="E880">
            <v>150</v>
          </cell>
          <cell r="F880">
            <v>334.5</v>
          </cell>
        </row>
        <row r="881">
          <cell r="B881" t="str">
            <v>Sand</v>
          </cell>
          <cell r="C881" t="str">
            <v>Cum</v>
          </cell>
          <cell r="D881">
            <v>0.309</v>
          </cell>
          <cell r="E881">
            <v>325</v>
          </cell>
          <cell r="F881">
            <v>100.425</v>
          </cell>
        </row>
        <row r="882">
          <cell r="B882" t="str">
            <v>Aggregate</v>
          </cell>
          <cell r="C882" t="str">
            <v>Cum</v>
          </cell>
          <cell r="D882">
            <v>3.6999999999999998E-2</v>
          </cell>
          <cell r="E882">
            <v>500</v>
          </cell>
          <cell r="F882">
            <v>18.5</v>
          </cell>
        </row>
        <row r="883">
          <cell r="B883" t="str">
            <v>Steel</v>
          </cell>
          <cell r="C883" t="str">
            <v>Kg</v>
          </cell>
          <cell r="D883">
            <v>2.38</v>
          </cell>
          <cell r="E883">
            <v>30.4</v>
          </cell>
          <cell r="F883">
            <v>72.35199999999999</v>
          </cell>
        </row>
        <row r="884">
          <cell r="B884" t="str">
            <v>Shuttering</v>
          </cell>
          <cell r="C884" t="str">
            <v>Sqm</v>
          </cell>
          <cell r="D884">
            <v>0.83</v>
          </cell>
          <cell r="E884">
            <v>0</v>
          </cell>
          <cell r="F884">
            <v>0</v>
          </cell>
        </row>
        <row r="885">
          <cell r="F885">
            <v>1525.777</v>
          </cell>
          <cell r="G885">
            <v>1525.777</v>
          </cell>
        </row>
        <row r="887">
          <cell r="A887" t="str">
            <v>B</v>
          </cell>
          <cell r="B887" t="str">
            <v>Labour</v>
          </cell>
          <cell r="C887" t="str">
            <v>Sqm</v>
          </cell>
          <cell r="D887">
            <v>10</v>
          </cell>
          <cell r="E887">
            <v>0</v>
          </cell>
          <cell r="F887">
            <v>0</v>
          </cell>
          <cell r="G887">
            <v>0</v>
          </cell>
        </row>
        <row r="888">
          <cell r="G888">
            <v>1525.777</v>
          </cell>
        </row>
        <row r="890">
          <cell r="A890" t="str">
            <v>C</v>
          </cell>
          <cell r="B890" t="str">
            <v>Add for water &amp; electrical charges</v>
          </cell>
          <cell r="D890">
            <v>1525.777</v>
          </cell>
          <cell r="E890">
            <v>0.01</v>
          </cell>
          <cell r="F890">
            <v>15.257770000000001</v>
          </cell>
          <cell r="G890">
            <v>15.257770000000001</v>
          </cell>
        </row>
        <row r="892">
          <cell r="A892" t="str">
            <v>D</v>
          </cell>
          <cell r="B892" t="str">
            <v>Add for tools and plants</v>
          </cell>
          <cell r="D892">
            <v>1525.777</v>
          </cell>
          <cell r="E892">
            <v>0.03</v>
          </cell>
          <cell r="F892">
            <v>45.773310000000002</v>
          </cell>
          <cell r="G892">
            <v>45.773310000000002</v>
          </cell>
        </row>
        <row r="893">
          <cell r="G893">
            <v>1586.80808</v>
          </cell>
        </row>
        <row r="895">
          <cell r="A895" t="str">
            <v>E</v>
          </cell>
          <cell r="B895" t="str">
            <v>Add contractor's profit</v>
          </cell>
          <cell r="D895">
            <v>1586.80808</v>
          </cell>
          <cell r="E895">
            <v>0.15</v>
          </cell>
          <cell r="F895">
            <v>238.02121199999999</v>
          </cell>
          <cell r="G895">
            <v>238.02121199999999</v>
          </cell>
        </row>
        <row r="896">
          <cell r="G896">
            <v>1824.8292919999999</v>
          </cell>
        </row>
        <row r="898">
          <cell r="B898" t="str">
            <v>Rate per Sqm</v>
          </cell>
          <cell r="D898">
            <v>1824.8292919999999</v>
          </cell>
          <cell r="E898">
            <v>10</v>
          </cell>
          <cell r="F898">
            <v>182.4829292</v>
          </cell>
          <cell r="G898">
            <v>182.4829292</v>
          </cell>
        </row>
        <row r="901">
          <cell r="A901">
            <v>18</v>
          </cell>
          <cell r="B901" t="str">
            <v>400MM THK BLOCK MASONRY IN CM (1:5)</v>
          </cell>
          <cell r="E901" t="str">
            <v>QTY -</v>
          </cell>
          <cell r="F901">
            <v>1</v>
          </cell>
          <cell r="G901" t="str">
            <v>CUM</v>
          </cell>
        </row>
        <row r="903">
          <cell r="A903" t="str">
            <v>A</v>
          </cell>
          <cell r="B903" t="str">
            <v>MATERIAL</v>
          </cell>
        </row>
        <row r="905">
          <cell r="B905" t="str">
            <v>Block</v>
          </cell>
          <cell r="C905" t="str">
            <v>Nos</v>
          </cell>
          <cell r="D905">
            <v>75</v>
          </cell>
          <cell r="E905">
            <v>18</v>
          </cell>
          <cell r="F905">
            <v>1350</v>
          </cell>
        </row>
        <row r="906">
          <cell r="B906" t="str">
            <v>Cement</v>
          </cell>
          <cell r="C906" t="str">
            <v>Bag</v>
          </cell>
          <cell r="D906">
            <v>0.88</v>
          </cell>
          <cell r="E906">
            <v>150</v>
          </cell>
          <cell r="F906">
            <v>132</v>
          </cell>
        </row>
        <row r="907">
          <cell r="B907" t="str">
            <v>Sand</v>
          </cell>
          <cell r="C907" t="str">
            <v>Cum</v>
          </cell>
          <cell r="D907">
            <v>0.159</v>
          </cell>
          <cell r="E907">
            <v>325</v>
          </cell>
          <cell r="F907">
            <v>51.675000000000004</v>
          </cell>
        </row>
        <row r="908">
          <cell r="F908">
            <v>1533.675</v>
          </cell>
          <cell r="G908">
            <v>1533.675</v>
          </cell>
        </row>
        <row r="910">
          <cell r="A910" t="str">
            <v>B</v>
          </cell>
          <cell r="B910" t="str">
            <v>Labour</v>
          </cell>
          <cell r="C910" t="str">
            <v>Cum</v>
          </cell>
          <cell r="D910">
            <v>1</v>
          </cell>
          <cell r="E910">
            <v>0</v>
          </cell>
          <cell r="F910">
            <v>0</v>
          </cell>
          <cell r="G910">
            <v>0</v>
          </cell>
        </row>
        <row r="911">
          <cell r="G911">
            <v>1533.675</v>
          </cell>
        </row>
        <row r="913">
          <cell r="A913" t="str">
            <v>C</v>
          </cell>
          <cell r="B913" t="str">
            <v>Add for water &amp; electrical charges</v>
          </cell>
          <cell r="D913">
            <v>1533.675</v>
          </cell>
          <cell r="E913">
            <v>0.01</v>
          </cell>
          <cell r="F913">
            <v>15.33675</v>
          </cell>
          <cell r="G913">
            <v>15.33675</v>
          </cell>
        </row>
        <row r="915">
          <cell r="A915" t="str">
            <v>D</v>
          </cell>
          <cell r="B915" t="str">
            <v>Add for tools and plants</v>
          </cell>
          <cell r="D915">
            <v>1533.675</v>
          </cell>
          <cell r="E915">
            <v>0.03</v>
          </cell>
          <cell r="F915">
            <v>46.010249999999999</v>
          </cell>
          <cell r="G915">
            <v>46.010249999999999</v>
          </cell>
        </row>
        <row r="916">
          <cell r="G916">
            <v>1595.0219999999999</v>
          </cell>
        </row>
        <row r="918">
          <cell r="A918" t="str">
            <v>E</v>
          </cell>
          <cell r="B918" t="str">
            <v>Add contractor's profit</v>
          </cell>
          <cell r="D918">
            <v>1595.0219999999999</v>
          </cell>
          <cell r="E918">
            <v>0.15</v>
          </cell>
          <cell r="F918">
            <v>239.25329999999997</v>
          </cell>
          <cell r="G918">
            <v>239.25329999999997</v>
          </cell>
        </row>
        <row r="919">
          <cell r="G919">
            <v>1834.2752999999998</v>
          </cell>
        </row>
        <row r="921">
          <cell r="B921" t="str">
            <v>Rate per Sqm</v>
          </cell>
          <cell r="D921">
            <v>1834.2752999999998</v>
          </cell>
          <cell r="E921">
            <v>1</v>
          </cell>
          <cell r="F921">
            <v>1834.2752999999998</v>
          </cell>
          <cell r="G921">
            <v>1834.2752999999998</v>
          </cell>
        </row>
        <row r="924">
          <cell r="A924">
            <v>19</v>
          </cell>
          <cell r="B924" t="str">
            <v>125MM THK BLOCK MASONRY IN CM (1:5)</v>
          </cell>
          <cell r="E924" t="str">
            <v>QTY -</v>
          </cell>
          <cell r="F924">
            <v>10</v>
          </cell>
          <cell r="G924" t="str">
            <v>SQM</v>
          </cell>
        </row>
        <row r="926">
          <cell r="A926" t="str">
            <v>A</v>
          </cell>
          <cell r="B926" t="str">
            <v>MATERIAL</v>
          </cell>
        </row>
        <row r="928">
          <cell r="B928" t="str">
            <v>Block</v>
          </cell>
          <cell r="C928" t="str">
            <v>Nos</v>
          </cell>
          <cell r="D928">
            <v>130</v>
          </cell>
          <cell r="E928">
            <v>18</v>
          </cell>
          <cell r="F928">
            <v>2340</v>
          </cell>
        </row>
        <row r="929">
          <cell r="B929" t="str">
            <v>Cement</v>
          </cell>
          <cell r="C929" t="str">
            <v>Bag</v>
          </cell>
          <cell r="D929">
            <v>0.66</v>
          </cell>
          <cell r="E929">
            <v>150</v>
          </cell>
          <cell r="F929">
            <v>99</v>
          </cell>
        </row>
        <row r="930">
          <cell r="B930" t="str">
            <v>Non-shrinking compound</v>
          </cell>
          <cell r="C930" t="str">
            <v>Packet</v>
          </cell>
          <cell r="D930">
            <v>0.66</v>
          </cell>
          <cell r="E930">
            <v>40</v>
          </cell>
          <cell r="F930">
            <v>26.400000000000002</v>
          </cell>
        </row>
        <row r="931">
          <cell r="B931" t="str">
            <v>Sand</v>
          </cell>
          <cell r="C931" t="str">
            <v>Cum</v>
          </cell>
          <cell r="D931">
            <v>0.11</v>
          </cell>
          <cell r="E931">
            <v>325</v>
          </cell>
          <cell r="F931">
            <v>35.75</v>
          </cell>
        </row>
        <row r="932">
          <cell r="B932" t="str">
            <v xml:space="preserve">Scaffolding </v>
          </cell>
          <cell r="C932" t="str">
            <v>Sqm</v>
          </cell>
          <cell r="D932">
            <v>10</v>
          </cell>
          <cell r="E932">
            <v>1.5</v>
          </cell>
          <cell r="F932">
            <v>15</v>
          </cell>
        </row>
        <row r="933">
          <cell r="F933">
            <v>2516.15</v>
          </cell>
          <cell r="G933">
            <v>2516.15</v>
          </cell>
        </row>
        <row r="935">
          <cell r="A935" t="str">
            <v>B</v>
          </cell>
          <cell r="B935" t="str">
            <v>Labour</v>
          </cell>
          <cell r="C935" t="str">
            <v>Sqm</v>
          </cell>
          <cell r="D935">
            <v>10</v>
          </cell>
          <cell r="E935">
            <v>50</v>
          </cell>
          <cell r="F935">
            <v>500</v>
          </cell>
          <cell r="G935">
            <v>500</v>
          </cell>
        </row>
        <row r="936">
          <cell r="G936">
            <v>3016.15</v>
          </cell>
        </row>
        <row r="938">
          <cell r="A938" t="str">
            <v>C</v>
          </cell>
          <cell r="B938" t="str">
            <v>Add for water &amp; electrical charges</v>
          </cell>
          <cell r="D938">
            <v>3016.15</v>
          </cell>
          <cell r="E938">
            <v>0.01</v>
          </cell>
          <cell r="F938">
            <v>30.1615</v>
          </cell>
          <cell r="G938">
            <v>30.1615</v>
          </cell>
        </row>
        <row r="940">
          <cell r="A940" t="str">
            <v>D</v>
          </cell>
          <cell r="B940" t="str">
            <v>Add for tools and plants</v>
          </cell>
          <cell r="D940">
            <v>3016.15</v>
          </cell>
          <cell r="E940">
            <v>0.03</v>
          </cell>
          <cell r="F940">
            <v>90.484499999999997</v>
          </cell>
          <cell r="G940">
            <v>90.484499999999997</v>
          </cell>
        </row>
        <row r="941">
          <cell r="G941">
            <v>3136.7960000000003</v>
          </cell>
        </row>
        <row r="943">
          <cell r="A943" t="str">
            <v>E</v>
          </cell>
          <cell r="B943" t="str">
            <v>Add contractor's profit</v>
          </cell>
          <cell r="D943">
            <v>3136.7960000000003</v>
          </cell>
          <cell r="E943">
            <v>0.15</v>
          </cell>
          <cell r="F943">
            <v>470.51940000000002</v>
          </cell>
          <cell r="G943">
            <v>470.51940000000002</v>
          </cell>
        </row>
        <row r="944">
          <cell r="G944">
            <v>3607.3154000000004</v>
          </cell>
        </row>
        <row r="946">
          <cell r="A946" t="str">
            <v>F</v>
          </cell>
          <cell r="B946" t="str">
            <v xml:space="preserve">WCT </v>
          </cell>
          <cell r="D946">
            <v>3607.3154000000004</v>
          </cell>
          <cell r="E946">
            <v>0.04</v>
          </cell>
          <cell r="F946">
            <v>144.29261600000001</v>
          </cell>
          <cell r="G946">
            <v>144.29261600000001</v>
          </cell>
        </row>
        <row r="947">
          <cell r="G947">
            <v>3751.6080160000006</v>
          </cell>
        </row>
        <row r="949">
          <cell r="B949" t="str">
            <v>Rate per Sqm</v>
          </cell>
          <cell r="D949">
            <v>3751.6080160000006</v>
          </cell>
          <cell r="E949">
            <v>10</v>
          </cell>
          <cell r="F949">
            <v>375.16080160000007</v>
          </cell>
          <cell r="G949">
            <v>376</v>
          </cell>
        </row>
        <row r="952">
          <cell r="A952">
            <v>20</v>
          </cell>
          <cell r="B952" t="str">
            <v>150MM THK BLOCK MASONRY IN CM (1:5)</v>
          </cell>
          <cell r="E952" t="str">
            <v>QTY -</v>
          </cell>
          <cell r="F952">
            <v>10</v>
          </cell>
          <cell r="G952" t="str">
            <v>SQM</v>
          </cell>
        </row>
        <row r="954">
          <cell r="A954" t="str">
            <v>A</v>
          </cell>
          <cell r="B954" t="str">
            <v>MATERIAL</v>
          </cell>
        </row>
        <row r="956">
          <cell r="B956" t="str">
            <v>Block</v>
          </cell>
          <cell r="C956" t="str">
            <v>Nos</v>
          </cell>
          <cell r="D956">
            <v>130</v>
          </cell>
          <cell r="E956">
            <v>20</v>
          </cell>
          <cell r="F956">
            <v>2600</v>
          </cell>
        </row>
        <row r="957">
          <cell r="B957" t="str">
            <v>Cement</v>
          </cell>
          <cell r="C957" t="str">
            <v>Bag</v>
          </cell>
          <cell r="D957">
            <v>0.82</v>
          </cell>
          <cell r="E957">
            <v>150</v>
          </cell>
          <cell r="F957">
            <v>122.99999999999999</v>
          </cell>
        </row>
        <row r="958">
          <cell r="B958" t="str">
            <v>Non-shrinking compound</v>
          </cell>
          <cell r="C958" t="str">
            <v>Packet</v>
          </cell>
          <cell r="D958">
            <v>0.82</v>
          </cell>
          <cell r="E958">
            <v>40</v>
          </cell>
          <cell r="F958">
            <v>32.799999999999997</v>
          </cell>
        </row>
        <row r="959">
          <cell r="B959" t="str">
            <v>Sand</v>
          </cell>
          <cell r="C959" t="str">
            <v>Cum</v>
          </cell>
          <cell r="D959">
            <v>0.14000000000000001</v>
          </cell>
          <cell r="E959">
            <v>325</v>
          </cell>
          <cell r="F959">
            <v>45.500000000000007</v>
          </cell>
        </row>
        <row r="960">
          <cell r="B960" t="str">
            <v xml:space="preserve">Scaffolding </v>
          </cell>
          <cell r="C960" t="str">
            <v>Sqm</v>
          </cell>
          <cell r="D960">
            <v>10</v>
          </cell>
          <cell r="E960">
            <v>1.5</v>
          </cell>
          <cell r="F960">
            <v>15</v>
          </cell>
        </row>
        <row r="961">
          <cell r="F961">
            <v>2816.3</v>
          </cell>
          <cell r="G961">
            <v>2816.3</v>
          </cell>
        </row>
        <row r="963">
          <cell r="A963" t="str">
            <v>B</v>
          </cell>
          <cell r="B963" t="str">
            <v>Labour</v>
          </cell>
          <cell r="C963" t="str">
            <v>Sqm</v>
          </cell>
          <cell r="D963">
            <v>10</v>
          </cell>
          <cell r="E963">
            <v>50</v>
          </cell>
          <cell r="F963">
            <v>500</v>
          </cell>
          <cell r="G963">
            <v>500</v>
          </cell>
        </row>
        <row r="964">
          <cell r="G964">
            <v>3316.3</v>
          </cell>
        </row>
        <row r="966">
          <cell r="A966" t="str">
            <v>C</v>
          </cell>
          <cell r="B966" t="str">
            <v>Add for water &amp; electrical charges</v>
          </cell>
          <cell r="D966">
            <v>3316.3</v>
          </cell>
          <cell r="E966">
            <v>0.01</v>
          </cell>
          <cell r="F966">
            <v>33.163000000000004</v>
          </cell>
          <cell r="G966">
            <v>33.163000000000004</v>
          </cell>
        </row>
        <row r="968">
          <cell r="A968" t="str">
            <v>D</v>
          </cell>
          <cell r="B968" t="str">
            <v>Add for tools and plants</v>
          </cell>
          <cell r="D968">
            <v>3316.3</v>
          </cell>
          <cell r="E968">
            <v>0.03</v>
          </cell>
          <cell r="F968">
            <v>99.489000000000004</v>
          </cell>
          <cell r="G968">
            <v>99.489000000000004</v>
          </cell>
        </row>
        <row r="969">
          <cell r="G969">
            <v>3448.9520000000002</v>
          </cell>
        </row>
        <row r="971">
          <cell r="A971" t="str">
            <v>E</v>
          </cell>
          <cell r="B971" t="str">
            <v>Add contractor's profit</v>
          </cell>
          <cell r="D971">
            <v>3448.9520000000002</v>
          </cell>
          <cell r="E971">
            <v>0.15</v>
          </cell>
          <cell r="F971">
            <v>517.34280000000001</v>
          </cell>
          <cell r="G971">
            <v>517.34280000000001</v>
          </cell>
        </row>
        <row r="972">
          <cell r="G972">
            <v>3966.2948000000001</v>
          </cell>
        </row>
        <row r="974">
          <cell r="A974" t="str">
            <v>F</v>
          </cell>
          <cell r="B974" t="str">
            <v xml:space="preserve">WCT </v>
          </cell>
          <cell r="D974">
            <v>3966.2948000000001</v>
          </cell>
          <cell r="E974">
            <v>0.04</v>
          </cell>
          <cell r="F974">
            <v>158.651792</v>
          </cell>
          <cell r="G974">
            <v>158.651792</v>
          </cell>
        </row>
        <row r="975">
          <cell r="G975">
            <v>4124.9465920000002</v>
          </cell>
        </row>
        <row r="977">
          <cell r="B977" t="str">
            <v>Rate per Sqm</v>
          </cell>
          <cell r="D977">
            <v>4124.9465920000002</v>
          </cell>
          <cell r="E977">
            <v>10</v>
          </cell>
          <cell r="F977">
            <v>412.4946592</v>
          </cell>
          <cell r="G977">
            <v>413</v>
          </cell>
        </row>
        <row r="980">
          <cell r="A980">
            <v>21</v>
          </cell>
          <cell r="B980" t="str">
            <v xml:space="preserve">100MM THK BLOCK MASONRY IN CM (1:4) </v>
          </cell>
          <cell r="E980" t="str">
            <v>QTY -</v>
          </cell>
          <cell r="F980">
            <v>10</v>
          </cell>
          <cell r="G980" t="str">
            <v>SQM</v>
          </cell>
        </row>
        <row r="981">
          <cell r="B981" t="str">
            <v>WITH PATLI BEAM 100 X 100MM</v>
          </cell>
        </row>
        <row r="983">
          <cell r="A983" t="str">
            <v>A</v>
          </cell>
          <cell r="B983" t="str">
            <v>MATERIAL</v>
          </cell>
        </row>
        <row r="985">
          <cell r="B985" t="str">
            <v>Block</v>
          </cell>
          <cell r="C985" t="str">
            <v>Nos</v>
          </cell>
          <cell r="D985">
            <v>130</v>
          </cell>
          <cell r="E985">
            <v>16</v>
          </cell>
          <cell r="F985">
            <v>2080</v>
          </cell>
        </row>
        <row r="986">
          <cell r="B986" t="str">
            <v>Cement</v>
          </cell>
          <cell r="C986" t="str">
            <v>Bag</v>
          </cell>
          <cell r="D986">
            <v>1.54</v>
          </cell>
          <cell r="E986">
            <v>150</v>
          </cell>
          <cell r="F986">
            <v>231</v>
          </cell>
        </row>
        <row r="987">
          <cell r="B987" t="str">
            <v>Sand</v>
          </cell>
          <cell r="C987" t="str">
            <v>Cum</v>
          </cell>
          <cell r="D987">
            <v>0.13</v>
          </cell>
          <cell r="E987">
            <v>325</v>
          </cell>
          <cell r="F987">
            <v>42.25</v>
          </cell>
        </row>
        <row r="988">
          <cell r="B988" t="str">
            <v xml:space="preserve">Non shrinking compound </v>
          </cell>
          <cell r="C988" t="str">
            <v>Packet</v>
          </cell>
          <cell r="D988">
            <v>1.54</v>
          </cell>
          <cell r="E988">
            <v>40</v>
          </cell>
          <cell r="F988">
            <v>61.6</v>
          </cell>
        </row>
        <row r="989">
          <cell r="B989" t="str">
            <v>Aggregate</v>
          </cell>
          <cell r="C989" t="str">
            <v>Cum</v>
          </cell>
          <cell r="D989">
            <v>9.1999999999999998E-2</v>
          </cell>
          <cell r="E989">
            <v>500</v>
          </cell>
          <cell r="F989">
            <v>46</v>
          </cell>
        </row>
        <row r="990">
          <cell r="B990" t="str">
            <v>Steel</v>
          </cell>
          <cell r="C990" t="str">
            <v>Kg</v>
          </cell>
          <cell r="D990">
            <v>10</v>
          </cell>
          <cell r="E990">
            <v>30.4</v>
          </cell>
          <cell r="F990">
            <v>304</v>
          </cell>
        </row>
        <row r="991">
          <cell r="B991" t="str">
            <v>Shuttering</v>
          </cell>
          <cell r="C991" t="str">
            <v>Sqm</v>
          </cell>
          <cell r="D991">
            <v>2</v>
          </cell>
          <cell r="E991">
            <v>125</v>
          </cell>
          <cell r="F991">
            <v>250</v>
          </cell>
        </row>
        <row r="992">
          <cell r="F992">
            <v>3014.85</v>
          </cell>
          <cell r="G992">
            <v>3014.85</v>
          </cell>
        </row>
        <row r="994">
          <cell r="A994" t="str">
            <v>B</v>
          </cell>
          <cell r="B994" t="str">
            <v>Labour</v>
          </cell>
          <cell r="C994" t="str">
            <v>Sqm</v>
          </cell>
          <cell r="D994">
            <v>10</v>
          </cell>
          <cell r="E994">
            <v>60</v>
          </cell>
          <cell r="F994">
            <v>600</v>
          </cell>
          <cell r="G994">
            <v>600</v>
          </cell>
        </row>
        <row r="995">
          <cell r="G995">
            <v>3614.85</v>
          </cell>
        </row>
        <row r="997">
          <cell r="A997" t="str">
            <v>C</v>
          </cell>
          <cell r="B997" t="str">
            <v>Add for water &amp; electrical charges</v>
          </cell>
          <cell r="D997">
            <v>3614.85</v>
          </cell>
          <cell r="E997">
            <v>0.01</v>
          </cell>
          <cell r="F997">
            <v>36.148499999999999</v>
          </cell>
          <cell r="G997">
            <v>36.148499999999999</v>
          </cell>
        </row>
        <row r="999">
          <cell r="A999" t="str">
            <v>D</v>
          </cell>
          <cell r="B999" t="str">
            <v>Add for tools and plants</v>
          </cell>
          <cell r="D999">
            <v>3614.85</v>
          </cell>
          <cell r="E999">
            <v>0.03</v>
          </cell>
          <cell r="F999">
            <v>108.4455</v>
          </cell>
          <cell r="G999">
            <v>108.4455</v>
          </cell>
        </row>
        <row r="1000">
          <cell r="G1000">
            <v>3759.4439999999995</v>
          </cell>
        </row>
        <row r="1002">
          <cell r="A1002" t="str">
            <v>E</v>
          </cell>
          <cell r="B1002" t="str">
            <v>Add contractor's profit</v>
          </cell>
          <cell r="D1002">
            <v>3759.4439999999995</v>
          </cell>
          <cell r="E1002">
            <v>0.15</v>
          </cell>
          <cell r="F1002">
            <v>563.9165999999999</v>
          </cell>
          <cell r="G1002">
            <v>563.9165999999999</v>
          </cell>
        </row>
        <row r="1003">
          <cell r="G1003">
            <v>4323.3605999999991</v>
          </cell>
        </row>
        <row r="1005">
          <cell r="A1005" t="str">
            <v>F</v>
          </cell>
          <cell r="B1005" t="str">
            <v xml:space="preserve">WCT </v>
          </cell>
          <cell r="D1005">
            <v>4323.3605999999991</v>
          </cell>
          <cell r="E1005">
            <v>0.04</v>
          </cell>
          <cell r="F1005">
            <v>172.93442399999998</v>
          </cell>
          <cell r="G1005">
            <v>172.93442399999998</v>
          </cell>
        </row>
        <row r="1006">
          <cell r="G1006">
            <v>4496.2950239999991</v>
          </cell>
        </row>
        <row r="1008">
          <cell r="B1008" t="str">
            <v>Rate per Sqm</v>
          </cell>
          <cell r="D1008">
            <v>4496.2950239999991</v>
          </cell>
          <cell r="E1008">
            <v>10</v>
          </cell>
          <cell r="F1008">
            <v>449.62950239999992</v>
          </cell>
          <cell r="G1008">
            <v>450</v>
          </cell>
        </row>
        <row r="1033">
          <cell r="A1033">
            <v>22</v>
          </cell>
          <cell r="B1033" t="str">
            <v>INTERNAL PLASTER 15 MM THK IN CM (1:4)</v>
          </cell>
          <cell r="E1033" t="str">
            <v>QTY -</v>
          </cell>
          <cell r="F1033">
            <v>10</v>
          </cell>
          <cell r="G1033" t="str">
            <v>SQM</v>
          </cell>
        </row>
        <row r="1035">
          <cell r="A1035" t="str">
            <v>A</v>
          </cell>
          <cell r="B1035" t="str">
            <v xml:space="preserve">MATERIAL </v>
          </cell>
        </row>
        <row r="1037">
          <cell r="B1037" t="str">
            <v xml:space="preserve">Cement </v>
          </cell>
          <cell r="C1037" t="str">
            <v>Bag</v>
          </cell>
          <cell r="D1037">
            <v>1.56</v>
          </cell>
          <cell r="E1037">
            <v>150</v>
          </cell>
          <cell r="F1037">
            <v>234</v>
          </cell>
        </row>
        <row r="1038">
          <cell r="B1038" t="str">
            <v>Sand</v>
          </cell>
          <cell r="C1038" t="str">
            <v>Sqm</v>
          </cell>
          <cell r="D1038">
            <v>0.23</v>
          </cell>
          <cell r="E1038">
            <v>325</v>
          </cell>
          <cell r="F1038">
            <v>74.75</v>
          </cell>
        </row>
        <row r="1039">
          <cell r="F1039">
            <v>308.75</v>
          </cell>
          <cell r="G1039">
            <v>308.75</v>
          </cell>
        </row>
        <row r="1041">
          <cell r="A1041" t="str">
            <v>B</v>
          </cell>
          <cell r="B1041" t="str">
            <v>Labour</v>
          </cell>
          <cell r="C1041" t="str">
            <v>Sqm</v>
          </cell>
          <cell r="D1041">
            <v>10</v>
          </cell>
          <cell r="E1041">
            <v>0</v>
          </cell>
          <cell r="F1041">
            <v>0</v>
          </cell>
          <cell r="G1041">
            <v>0</v>
          </cell>
        </row>
        <row r="1042">
          <cell r="G1042">
            <v>308.75</v>
          </cell>
        </row>
        <row r="1044">
          <cell r="A1044" t="str">
            <v>C</v>
          </cell>
          <cell r="B1044" t="str">
            <v>Add for water &amp; electrical charges</v>
          </cell>
          <cell r="D1044">
            <v>308.75</v>
          </cell>
          <cell r="E1044">
            <v>0.01</v>
          </cell>
          <cell r="F1044">
            <v>3.0874999999999999</v>
          </cell>
          <cell r="G1044">
            <v>3.0874999999999999</v>
          </cell>
        </row>
        <row r="1046">
          <cell r="A1046" t="str">
            <v>D</v>
          </cell>
          <cell r="B1046" t="str">
            <v>Add for tools and plants</v>
          </cell>
          <cell r="D1046">
            <v>308.75</v>
          </cell>
          <cell r="E1046">
            <v>0.03</v>
          </cell>
          <cell r="F1046">
            <v>9.2624999999999993</v>
          </cell>
          <cell r="G1046">
            <v>9.2624999999999993</v>
          </cell>
        </row>
        <row r="1047">
          <cell r="G1047">
            <v>321.09999999999997</v>
          </cell>
        </row>
        <row r="1049">
          <cell r="A1049" t="str">
            <v>E</v>
          </cell>
          <cell r="B1049" t="str">
            <v>Add contractor's profit</v>
          </cell>
          <cell r="D1049">
            <v>321.09999999999997</v>
          </cell>
          <cell r="E1049">
            <v>0.15</v>
          </cell>
          <cell r="F1049">
            <v>48.164999999999992</v>
          </cell>
          <cell r="G1049">
            <v>48.164999999999992</v>
          </cell>
        </row>
        <row r="1050">
          <cell r="G1050">
            <v>369.26499999999999</v>
          </cell>
        </row>
        <row r="1052">
          <cell r="B1052" t="str">
            <v>Rate per Sqm</v>
          </cell>
          <cell r="D1052">
            <v>369.26499999999999</v>
          </cell>
          <cell r="E1052">
            <v>10</v>
          </cell>
          <cell r="F1052">
            <v>36.926499999999997</v>
          </cell>
          <cell r="G1052">
            <v>36.926499999999997</v>
          </cell>
        </row>
        <row r="1055">
          <cell r="A1055">
            <v>23</v>
          </cell>
          <cell r="B1055" t="str">
            <v>INTERNAL PLASTER 12 MM THK IN CM (1:4)</v>
          </cell>
          <cell r="E1055" t="str">
            <v>QTY -</v>
          </cell>
          <cell r="F1055">
            <v>10</v>
          </cell>
          <cell r="G1055" t="str">
            <v>SQM</v>
          </cell>
        </row>
        <row r="1057">
          <cell r="A1057" t="str">
            <v>A</v>
          </cell>
          <cell r="B1057" t="str">
            <v xml:space="preserve">MATERIAL </v>
          </cell>
        </row>
        <row r="1059">
          <cell r="B1059" t="str">
            <v xml:space="preserve">Cement </v>
          </cell>
          <cell r="C1059" t="str">
            <v>Bag</v>
          </cell>
          <cell r="D1059">
            <v>1.28</v>
          </cell>
          <cell r="E1059">
            <v>150</v>
          </cell>
          <cell r="F1059">
            <v>192</v>
          </cell>
        </row>
        <row r="1060">
          <cell r="B1060" t="str">
            <v>Sand</v>
          </cell>
          <cell r="C1060" t="str">
            <v>Sqm</v>
          </cell>
          <cell r="D1060">
            <v>0.188</v>
          </cell>
          <cell r="E1060">
            <v>325</v>
          </cell>
          <cell r="F1060">
            <v>61.1</v>
          </cell>
        </row>
        <row r="1061">
          <cell r="B1061" t="str">
            <v>Chicken mesh</v>
          </cell>
          <cell r="C1061" t="str">
            <v>Sqm</v>
          </cell>
          <cell r="D1061">
            <v>1.5</v>
          </cell>
          <cell r="E1061">
            <v>35</v>
          </cell>
          <cell r="F1061">
            <v>52.5</v>
          </cell>
        </row>
        <row r="1062">
          <cell r="B1062" t="str">
            <v>fiber mesh</v>
          </cell>
          <cell r="C1062" t="str">
            <v>Pocket</v>
          </cell>
          <cell r="D1062">
            <v>1.28</v>
          </cell>
          <cell r="E1062">
            <v>30</v>
          </cell>
          <cell r="F1062">
            <v>38.4</v>
          </cell>
        </row>
        <row r="1063">
          <cell r="B1063" t="str">
            <v>Scaffolding</v>
          </cell>
          <cell r="C1063" t="str">
            <v>Sqm</v>
          </cell>
          <cell r="D1063">
            <v>10</v>
          </cell>
          <cell r="E1063">
            <v>1.5</v>
          </cell>
          <cell r="F1063">
            <v>15</v>
          </cell>
        </row>
        <row r="1064">
          <cell r="F1064">
            <v>359</v>
          </cell>
          <cell r="G1064">
            <v>359</v>
          </cell>
        </row>
        <row r="1066">
          <cell r="A1066" t="str">
            <v>B</v>
          </cell>
          <cell r="B1066" t="str">
            <v>Labour</v>
          </cell>
          <cell r="C1066" t="str">
            <v>Sqm</v>
          </cell>
          <cell r="D1066">
            <v>10</v>
          </cell>
          <cell r="E1066">
            <v>30</v>
          </cell>
          <cell r="F1066">
            <v>300</v>
          </cell>
          <cell r="G1066">
            <v>300</v>
          </cell>
        </row>
        <row r="1067">
          <cell r="G1067">
            <v>659</v>
          </cell>
        </row>
        <row r="1069">
          <cell r="A1069" t="str">
            <v>C</v>
          </cell>
          <cell r="B1069" t="str">
            <v>Add for water &amp; electrical charges</v>
          </cell>
          <cell r="D1069">
            <v>659</v>
          </cell>
          <cell r="E1069">
            <v>0.01</v>
          </cell>
          <cell r="F1069">
            <v>6.59</v>
          </cell>
          <cell r="G1069">
            <v>6.59</v>
          </cell>
        </row>
        <row r="1071">
          <cell r="A1071" t="str">
            <v>D</v>
          </cell>
          <cell r="B1071" t="str">
            <v>Add for tools and plants</v>
          </cell>
          <cell r="D1071">
            <v>659</v>
          </cell>
          <cell r="E1071">
            <v>0.03</v>
          </cell>
          <cell r="F1071">
            <v>19.77</v>
          </cell>
          <cell r="G1071">
            <v>19.77</v>
          </cell>
        </row>
        <row r="1072">
          <cell r="G1072">
            <v>685.36</v>
          </cell>
        </row>
        <row r="1074">
          <cell r="A1074" t="str">
            <v>E</v>
          </cell>
          <cell r="B1074" t="str">
            <v>Add contractor's profit</v>
          </cell>
          <cell r="D1074">
            <v>685.36</v>
          </cell>
          <cell r="E1074">
            <v>0.15</v>
          </cell>
          <cell r="F1074">
            <v>102.804</v>
          </cell>
          <cell r="G1074">
            <v>102.804</v>
          </cell>
        </row>
        <row r="1075">
          <cell r="G1075">
            <v>788.16399999999999</v>
          </cell>
        </row>
        <row r="1077">
          <cell r="A1077" t="str">
            <v>F</v>
          </cell>
          <cell r="B1077" t="str">
            <v xml:space="preserve">WCT </v>
          </cell>
          <cell r="D1077">
            <v>788.16399999999999</v>
          </cell>
          <cell r="E1077">
            <v>0.04</v>
          </cell>
          <cell r="F1077">
            <v>31.52656</v>
          </cell>
          <cell r="G1077">
            <v>31.52656</v>
          </cell>
        </row>
        <row r="1078">
          <cell r="G1078">
            <v>819.69056</v>
          </cell>
        </row>
        <row r="1080">
          <cell r="B1080" t="str">
            <v>Rate per Sqm</v>
          </cell>
          <cell r="D1080">
            <v>819.69056</v>
          </cell>
          <cell r="E1080">
            <v>10</v>
          </cell>
          <cell r="F1080">
            <v>81.969055999999995</v>
          </cell>
          <cell r="G1080">
            <v>82</v>
          </cell>
        </row>
        <row r="1110">
          <cell r="A1110">
            <v>24</v>
          </cell>
          <cell r="B1110" t="str">
            <v>NEERU FINISH</v>
          </cell>
          <cell r="E1110" t="str">
            <v>QTY -</v>
          </cell>
          <cell r="F1110">
            <v>10</v>
          </cell>
          <cell r="G1110" t="str">
            <v>SQM</v>
          </cell>
        </row>
        <row r="1112">
          <cell r="A1112" t="str">
            <v>A</v>
          </cell>
          <cell r="B1112" t="str">
            <v xml:space="preserve">MATERIAL </v>
          </cell>
        </row>
        <row r="1114">
          <cell r="B1114" t="str">
            <v>Neeru</v>
          </cell>
          <cell r="C1114" t="str">
            <v>Kg</v>
          </cell>
          <cell r="D1114">
            <v>20</v>
          </cell>
          <cell r="E1114">
            <v>2.5</v>
          </cell>
          <cell r="F1114">
            <v>50</v>
          </cell>
        </row>
        <row r="1115">
          <cell r="F1115">
            <v>50</v>
          </cell>
          <cell r="G1115">
            <v>50</v>
          </cell>
        </row>
        <row r="1117">
          <cell r="A1117" t="str">
            <v>B</v>
          </cell>
          <cell r="B1117" t="str">
            <v>Labour</v>
          </cell>
          <cell r="C1117" t="str">
            <v>Sqm</v>
          </cell>
          <cell r="D1117">
            <v>10</v>
          </cell>
          <cell r="E1117">
            <v>6</v>
          </cell>
          <cell r="F1117">
            <v>60</v>
          </cell>
          <cell r="G1117">
            <v>60</v>
          </cell>
        </row>
        <row r="1118">
          <cell r="G1118">
            <v>110</v>
          </cell>
        </row>
        <row r="1120">
          <cell r="A1120" t="str">
            <v>C</v>
          </cell>
          <cell r="B1120" t="str">
            <v>Add for water &amp; electrical charges</v>
          </cell>
          <cell r="D1120">
            <v>110</v>
          </cell>
          <cell r="E1120">
            <v>0.01</v>
          </cell>
          <cell r="F1120">
            <v>1.1000000000000001</v>
          </cell>
          <cell r="G1120">
            <v>1.1000000000000001</v>
          </cell>
        </row>
        <row r="1122">
          <cell r="A1122" t="str">
            <v>D</v>
          </cell>
          <cell r="B1122" t="str">
            <v>Add for tools and plants</v>
          </cell>
          <cell r="D1122">
            <v>110</v>
          </cell>
          <cell r="E1122">
            <v>0.03</v>
          </cell>
          <cell r="F1122">
            <v>3.3</v>
          </cell>
          <cell r="G1122">
            <v>3.3</v>
          </cell>
        </row>
        <row r="1123">
          <cell r="G1123">
            <v>114.39999999999999</v>
          </cell>
        </row>
        <row r="1125">
          <cell r="A1125" t="str">
            <v>E</v>
          </cell>
          <cell r="B1125" t="str">
            <v>Add contractor's profit</v>
          </cell>
          <cell r="D1125">
            <v>114.39999999999999</v>
          </cell>
          <cell r="E1125">
            <v>0.15</v>
          </cell>
          <cell r="F1125">
            <v>17.159999999999997</v>
          </cell>
          <cell r="G1125">
            <v>17.159999999999997</v>
          </cell>
        </row>
        <row r="1126">
          <cell r="G1126">
            <v>131.56</v>
          </cell>
        </row>
        <row r="1128">
          <cell r="A1128" t="str">
            <v>F</v>
          </cell>
          <cell r="B1128" t="str">
            <v xml:space="preserve">WCT </v>
          </cell>
          <cell r="D1128">
            <v>131.56</v>
          </cell>
          <cell r="E1128">
            <v>0.04</v>
          </cell>
          <cell r="F1128">
            <v>5.2624000000000004</v>
          </cell>
          <cell r="G1128">
            <v>5.2624000000000004</v>
          </cell>
        </row>
        <row r="1129">
          <cell r="G1129">
            <v>136.82240000000002</v>
          </cell>
        </row>
        <row r="1131">
          <cell r="B1131" t="str">
            <v>Rate per Sqm</v>
          </cell>
          <cell r="D1131">
            <v>136.82240000000002</v>
          </cell>
          <cell r="E1131">
            <v>10</v>
          </cell>
          <cell r="F1131">
            <v>13.682240000000002</v>
          </cell>
          <cell r="G1131">
            <v>14</v>
          </cell>
        </row>
        <row r="1134">
          <cell r="A1134">
            <v>25</v>
          </cell>
          <cell r="B1134" t="str">
            <v>CEMENT FINISH</v>
          </cell>
          <cell r="E1134" t="str">
            <v>QTY -</v>
          </cell>
          <cell r="F1134">
            <v>10</v>
          </cell>
          <cell r="G1134" t="str">
            <v>SQM</v>
          </cell>
        </row>
        <row r="1136">
          <cell r="A1136" t="str">
            <v>A</v>
          </cell>
          <cell r="B1136" t="str">
            <v xml:space="preserve">MATERIAL </v>
          </cell>
        </row>
        <row r="1138">
          <cell r="B1138" t="str">
            <v>Cement</v>
          </cell>
          <cell r="C1138" t="str">
            <v>Bag</v>
          </cell>
          <cell r="D1138">
            <v>0.2</v>
          </cell>
          <cell r="E1138">
            <v>150</v>
          </cell>
          <cell r="F1138">
            <v>30</v>
          </cell>
        </row>
        <row r="1139">
          <cell r="F1139">
            <v>30</v>
          </cell>
          <cell r="G1139">
            <v>30</v>
          </cell>
        </row>
        <row r="1141">
          <cell r="A1141" t="str">
            <v>B</v>
          </cell>
          <cell r="B1141" t="str">
            <v>Labour</v>
          </cell>
          <cell r="C1141" t="str">
            <v>Sqm</v>
          </cell>
          <cell r="D1141">
            <v>10</v>
          </cell>
          <cell r="E1141">
            <v>0</v>
          </cell>
          <cell r="F1141">
            <v>0</v>
          </cell>
          <cell r="G1141">
            <v>0</v>
          </cell>
        </row>
        <row r="1142">
          <cell r="G1142">
            <v>30</v>
          </cell>
        </row>
        <row r="1144">
          <cell r="A1144" t="str">
            <v>C</v>
          </cell>
          <cell r="B1144" t="str">
            <v>Add for water &amp; electrical charges</v>
          </cell>
          <cell r="D1144">
            <v>30</v>
          </cell>
          <cell r="E1144">
            <v>0.01</v>
          </cell>
          <cell r="F1144">
            <v>0.3</v>
          </cell>
          <cell r="G1144">
            <v>0.3</v>
          </cell>
        </row>
        <row r="1146">
          <cell r="A1146" t="str">
            <v>D</v>
          </cell>
          <cell r="B1146" t="str">
            <v>Add for tools and plants</v>
          </cell>
          <cell r="D1146">
            <v>30</v>
          </cell>
          <cell r="E1146">
            <v>0.03</v>
          </cell>
          <cell r="F1146">
            <v>0.89999999999999991</v>
          </cell>
          <cell r="G1146">
            <v>0.89999999999999991</v>
          </cell>
        </row>
        <row r="1147">
          <cell r="G1147">
            <v>31.2</v>
          </cell>
        </row>
        <row r="1149">
          <cell r="A1149" t="str">
            <v>E</v>
          </cell>
          <cell r="B1149" t="str">
            <v>Add contractor's profit</v>
          </cell>
          <cell r="D1149">
            <v>31.2</v>
          </cell>
          <cell r="E1149">
            <v>0.15</v>
          </cell>
          <cell r="F1149">
            <v>4.68</v>
          </cell>
          <cell r="G1149">
            <v>4.68</v>
          </cell>
        </row>
        <row r="1150">
          <cell r="G1150">
            <v>35.879999999999995</v>
          </cell>
        </row>
        <row r="1152">
          <cell r="B1152" t="str">
            <v>Rate per Sqm</v>
          </cell>
          <cell r="D1152">
            <v>35.879999999999995</v>
          </cell>
          <cell r="E1152">
            <v>10</v>
          </cell>
          <cell r="F1152">
            <v>3.5879999999999996</v>
          </cell>
          <cell r="G1152">
            <v>3.5879999999999996</v>
          </cell>
        </row>
        <row r="1155">
          <cell r="A1155">
            <v>26</v>
          </cell>
          <cell r="B1155" t="str">
            <v>DUCT PLASTER 20MM THK IN CM (1:4)</v>
          </cell>
          <cell r="E1155" t="str">
            <v>QTY -</v>
          </cell>
          <cell r="F1155">
            <v>10</v>
          </cell>
          <cell r="G1155" t="str">
            <v>SQM</v>
          </cell>
        </row>
        <row r="1157">
          <cell r="A1157" t="str">
            <v>A</v>
          </cell>
          <cell r="B1157" t="str">
            <v xml:space="preserve">MATERIAL </v>
          </cell>
        </row>
        <row r="1159">
          <cell r="B1159" t="str">
            <v xml:space="preserve">Cement </v>
          </cell>
          <cell r="C1159" t="str">
            <v>Bag</v>
          </cell>
          <cell r="D1159">
            <v>2.08</v>
          </cell>
          <cell r="E1159">
            <v>150</v>
          </cell>
          <cell r="F1159">
            <v>312</v>
          </cell>
        </row>
        <row r="1160">
          <cell r="B1160" t="str">
            <v>Sand</v>
          </cell>
          <cell r="C1160" t="str">
            <v>Sqm</v>
          </cell>
          <cell r="D1160">
            <v>0.307</v>
          </cell>
          <cell r="E1160">
            <v>325</v>
          </cell>
          <cell r="F1160">
            <v>99.774999999999991</v>
          </cell>
        </row>
        <row r="1161">
          <cell r="B1161" t="str">
            <v>Scaffolding</v>
          </cell>
          <cell r="C1161" t="str">
            <v>L.S.</v>
          </cell>
          <cell r="F1161">
            <v>200</v>
          </cell>
        </row>
        <row r="1162">
          <cell r="F1162">
            <v>611.77499999999998</v>
          </cell>
          <cell r="G1162">
            <v>611.77499999999998</v>
          </cell>
        </row>
        <row r="1164">
          <cell r="A1164" t="str">
            <v>B</v>
          </cell>
          <cell r="B1164" t="str">
            <v>Labour</v>
          </cell>
          <cell r="C1164" t="str">
            <v>Sqm</v>
          </cell>
          <cell r="D1164">
            <v>10</v>
          </cell>
          <cell r="E1164">
            <v>35</v>
          </cell>
          <cell r="F1164">
            <v>350</v>
          </cell>
          <cell r="G1164">
            <v>350</v>
          </cell>
        </row>
        <row r="1165">
          <cell r="G1165">
            <v>961.77499999999998</v>
          </cell>
        </row>
        <row r="1167">
          <cell r="A1167" t="str">
            <v>C</v>
          </cell>
          <cell r="B1167" t="str">
            <v>Add for water &amp; electrical charges</v>
          </cell>
          <cell r="D1167">
            <v>961.77499999999998</v>
          </cell>
          <cell r="E1167">
            <v>0.01</v>
          </cell>
          <cell r="F1167">
            <v>9.6177499999999991</v>
          </cell>
          <cell r="G1167">
            <v>9.6177499999999991</v>
          </cell>
        </row>
        <row r="1169">
          <cell r="A1169" t="str">
            <v>D</v>
          </cell>
          <cell r="B1169" t="str">
            <v>Add for tools and plants</v>
          </cell>
          <cell r="D1169">
            <v>961.77499999999998</v>
          </cell>
          <cell r="E1169">
            <v>0.03</v>
          </cell>
          <cell r="F1169">
            <v>28.853249999999999</v>
          </cell>
          <cell r="G1169">
            <v>28.853249999999999</v>
          </cell>
        </row>
        <row r="1170">
          <cell r="G1170">
            <v>1000.246</v>
          </cell>
        </row>
        <row r="1172">
          <cell r="A1172" t="str">
            <v>E</v>
          </cell>
          <cell r="B1172" t="str">
            <v>Add contractor's profit</v>
          </cell>
          <cell r="D1172">
            <v>1000.246</v>
          </cell>
          <cell r="E1172">
            <v>0.15</v>
          </cell>
          <cell r="F1172">
            <v>150.0369</v>
          </cell>
          <cell r="G1172">
            <v>150.0369</v>
          </cell>
        </row>
        <row r="1173">
          <cell r="G1173">
            <v>1150.2828999999999</v>
          </cell>
        </row>
        <row r="1175">
          <cell r="B1175" t="str">
            <v>Rate per Sqm</v>
          </cell>
          <cell r="D1175">
            <v>1150.2828999999999</v>
          </cell>
          <cell r="E1175">
            <v>10</v>
          </cell>
          <cell r="F1175">
            <v>115.02829</v>
          </cell>
          <cell r="G1175">
            <v>115.02829</v>
          </cell>
        </row>
        <row r="1178">
          <cell r="A1178">
            <v>27</v>
          </cell>
          <cell r="B1178" t="str">
            <v>25MM THK SAND FACE PLASTER IN CM (1:4)</v>
          </cell>
          <cell r="E1178" t="str">
            <v>QTY -</v>
          </cell>
          <cell r="F1178">
            <v>10</v>
          </cell>
          <cell r="G1178" t="str">
            <v>SQM</v>
          </cell>
        </row>
        <row r="1180">
          <cell r="A1180" t="str">
            <v>A</v>
          </cell>
          <cell r="B1180" t="str">
            <v xml:space="preserve">MATERIAL </v>
          </cell>
        </row>
        <row r="1182">
          <cell r="B1182" t="str">
            <v xml:space="preserve">Cement </v>
          </cell>
          <cell r="C1182" t="str">
            <v>Bag</v>
          </cell>
          <cell r="D1182">
            <v>2.5</v>
          </cell>
          <cell r="E1182">
            <v>150</v>
          </cell>
          <cell r="F1182">
            <v>375</v>
          </cell>
        </row>
        <row r="1183">
          <cell r="B1183" t="str">
            <v>Sand</v>
          </cell>
          <cell r="C1183" t="str">
            <v>Sqm</v>
          </cell>
          <cell r="D1183">
            <v>0.3</v>
          </cell>
          <cell r="E1183">
            <v>325</v>
          </cell>
          <cell r="F1183">
            <v>97.5</v>
          </cell>
        </row>
        <row r="1184">
          <cell r="B1184" t="str">
            <v>Water proofing compound</v>
          </cell>
          <cell r="C1184" t="str">
            <v>Kg</v>
          </cell>
          <cell r="D1184">
            <v>1.5</v>
          </cell>
          <cell r="E1184">
            <v>25</v>
          </cell>
          <cell r="F1184">
            <v>37.5</v>
          </cell>
        </row>
        <row r="1185">
          <cell r="B1185" t="str">
            <v>Chicken mesh</v>
          </cell>
          <cell r="C1185" t="str">
            <v>Sqm</v>
          </cell>
          <cell r="D1185">
            <v>1.5</v>
          </cell>
          <cell r="E1185">
            <v>15</v>
          </cell>
          <cell r="F1185">
            <v>22.5</v>
          </cell>
        </row>
        <row r="1186">
          <cell r="B1186" t="str">
            <v>fiber mesh</v>
          </cell>
          <cell r="C1186" t="str">
            <v>Packet</v>
          </cell>
          <cell r="D1186">
            <v>2.5</v>
          </cell>
          <cell r="E1186">
            <v>30</v>
          </cell>
          <cell r="F1186">
            <v>75</v>
          </cell>
        </row>
        <row r="1187">
          <cell r="B1187" t="str">
            <v>Scaffolding</v>
          </cell>
          <cell r="C1187" t="str">
            <v>Sqm</v>
          </cell>
          <cell r="D1187">
            <v>10</v>
          </cell>
          <cell r="E1187">
            <v>2</v>
          </cell>
          <cell r="F1187">
            <v>20</v>
          </cell>
        </row>
        <row r="1188">
          <cell r="F1188">
            <v>627.5</v>
          </cell>
          <cell r="G1188">
            <v>627.5</v>
          </cell>
        </row>
        <row r="1190">
          <cell r="A1190" t="str">
            <v>B</v>
          </cell>
          <cell r="B1190" t="str">
            <v>Labour</v>
          </cell>
          <cell r="C1190" t="str">
            <v>Sqm</v>
          </cell>
          <cell r="D1190">
            <v>10</v>
          </cell>
          <cell r="E1190">
            <v>50</v>
          </cell>
          <cell r="F1190">
            <v>500</v>
          </cell>
          <cell r="G1190">
            <v>500</v>
          </cell>
        </row>
        <row r="1191">
          <cell r="G1191">
            <v>1127.5</v>
          </cell>
        </row>
        <row r="1193">
          <cell r="A1193" t="str">
            <v>C</v>
          </cell>
          <cell r="B1193" t="str">
            <v>Add for water &amp; electrical charges</v>
          </cell>
          <cell r="D1193">
            <v>1127.5</v>
          </cell>
          <cell r="E1193">
            <v>0.01</v>
          </cell>
          <cell r="F1193">
            <v>11.275</v>
          </cell>
          <cell r="G1193">
            <v>11.275</v>
          </cell>
        </row>
        <row r="1195">
          <cell r="A1195" t="str">
            <v>D</v>
          </cell>
          <cell r="B1195" t="str">
            <v>Add for tools and plants</v>
          </cell>
          <cell r="D1195">
            <v>1127.5</v>
          </cell>
          <cell r="E1195">
            <v>0.03</v>
          </cell>
          <cell r="F1195">
            <v>33.824999999999996</v>
          </cell>
          <cell r="G1195">
            <v>33.824999999999996</v>
          </cell>
        </row>
        <row r="1196">
          <cell r="G1196">
            <v>1172.6000000000001</v>
          </cell>
        </row>
        <row r="1198">
          <cell r="A1198" t="str">
            <v>E</v>
          </cell>
          <cell r="B1198" t="str">
            <v>Add contractor's profit</v>
          </cell>
          <cell r="D1198">
            <v>1172.6000000000001</v>
          </cell>
          <cell r="E1198">
            <v>0.15</v>
          </cell>
          <cell r="F1198">
            <v>175.89000000000001</v>
          </cell>
          <cell r="G1198">
            <v>175.89000000000001</v>
          </cell>
        </row>
        <row r="1199">
          <cell r="G1199">
            <v>1348.4900000000002</v>
          </cell>
        </row>
        <row r="1201">
          <cell r="A1201" t="str">
            <v>F</v>
          </cell>
          <cell r="B1201" t="str">
            <v xml:space="preserve">WCT </v>
          </cell>
          <cell r="D1201">
            <v>1348.4900000000002</v>
          </cell>
          <cell r="E1201">
            <v>0.04</v>
          </cell>
          <cell r="F1201">
            <v>53.939600000000013</v>
          </cell>
          <cell r="G1201">
            <v>53.939600000000013</v>
          </cell>
        </row>
        <row r="1202">
          <cell r="G1202">
            <v>1402.4296000000002</v>
          </cell>
        </row>
        <row r="1204">
          <cell r="B1204" t="str">
            <v>Rate per Sqm</v>
          </cell>
          <cell r="D1204">
            <v>1402.4296000000002</v>
          </cell>
          <cell r="E1204">
            <v>10</v>
          </cell>
          <cell r="F1204">
            <v>140.24296000000001</v>
          </cell>
          <cell r="G1204">
            <v>141</v>
          </cell>
        </row>
        <row r="1207">
          <cell r="A1207">
            <v>28</v>
          </cell>
          <cell r="B1207" t="str">
            <v>20MM THK SAND FACE PLASTER IN CM (1:4)</v>
          </cell>
          <cell r="E1207" t="str">
            <v>QTY -</v>
          </cell>
          <cell r="F1207">
            <v>10</v>
          </cell>
          <cell r="G1207" t="str">
            <v>SQM</v>
          </cell>
        </row>
        <row r="1209">
          <cell r="A1209" t="str">
            <v>A</v>
          </cell>
          <cell r="B1209" t="str">
            <v xml:space="preserve">MATERIAL </v>
          </cell>
        </row>
        <row r="1211">
          <cell r="B1211" t="str">
            <v xml:space="preserve">Cement </v>
          </cell>
          <cell r="C1211" t="str">
            <v>Bag</v>
          </cell>
          <cell r="D1211">
            <v>2.08</v>
          </cell>
          <cell r="E1211">
            <v>150</v>
          </cell>
          <cell r="F1211">
            <v>312</v>
          </cell>
        </row>
        <row r="1212">
          <cell r="B1212" t="str">
            <v>Sand</v>
          </cell>
          <cell r="C1212" t="str">
            <v>Sqm</v>
          </cell>
          <cell r="D1212">
            <v>0.31</v>
          </cell>
          <cell r="E1212">
            <v>325</v>
          </cell>
          <cell r="F1212">
            <v>100.75</v>
          </cell>
        </row>
        <row r="1213">
          <cell r="B1213" t="str">
            <v>Water proofing compound</v>
          </cell>
          <cell r="C1213" t="str">
            <v>Kg</v>
          </cell>
          <cell r="D1213">
            <v>2.08</v>
          </cell>
          <cell r="E1213">
            <v>25</v>
          </cell>
          <cell r="F1213">
            <v>52</v>
          </cell>
        </row>
        <row r="1214">
          <cell r="B1214" t="str">
            <v>Scaffolding</v>
          </cell>
          <cell r="C1214" t="str">
            <v>L.S.</v>
          </cell>
          <cell r="F1214">
            <v>200</v>
          </cell>
        </row>
        <row r="1215">
          <cell r="F1215">
            <v>664.75</v>
          </cell>
          <cell r="G1215">
            <v>664.75</v>
          </cell>
        </row>
        <row r="1217">
          <cell r="A1217" t="str">
            <v>B</v>
          </cell>
          <cell r="B1217" t="str">
            <v>Labour</v>
          </cell>
          <cell r="C1217" t="str">
            <v>Sqm</v>
          </cell>
          <cell r="D1217">
            <v>10</v>
          </cell>
          <cell r="E1217">
            <v>0</v>
          </cell>
          <cell r="F1217">
            <v>0</v>
          </cell>
          <cell r="G1217">
            <v>0</v>
          </cell>
        </row>
        <row r="1218">
          <cell r="G1218">
            <v>664.75</v>
          </cell>
        </row>
        <row r="1220">
          <cell r="A1220" t="str">
            <v>C</v>
          </cell>
          <cell r="B1220" t="str">
            <v>Add for water &amp; electrical charges</v>
          </cell>
          <cell r="D1220">
            <v>664.75</v>
          </cell>
          <cell r="E1220">
            <v>0.01</v>
          </cell>
          <cell r="F1220">
            <v>6.6475</v>
          </cell>
          <cell r="G1220">
            <v>6.6475</v>
          </cell>
        </row>
        <row r="1222">
          <cell r="A1222" t="str">
            <v>D</v>
          </cell>
          <cell r="B1222" t="str">
            <v>Add for tools and plants</v>
          </cell>
          <cell r="D1222">
            <v>664.75</v>
          </cell>
          <cell r="E1222">
            <v>0.03</v>
          </cell>
          <cell r="F1222">
            <v>19.942499999999999</v>
          </cell>
          <cell r="G1222">
            <v>19.942499999999999</v>
          </cell>
        </row>
        <row r="1223">
          <cell r="G1223">
            <v>691.34</v>
          </cell>
        </row>
        <row r="1225">
          <cell r="A1225" t="str">
            <v>E</v>
          </cell>
          <cell r="B1225" t="str">
            <v>Add contractor's profit</v>
          </cell>
          <cell r="D1225">
            <v>691.34</v>
          </cell>
          <cell r="E1225">
            <v>0.15</v>
          </cell>
          <cell r="F1225">
            <v>103.70100000000001</v>
          </cell>
          <cell r="G1225">
            <v>103.70100000000001</v>
          </cell>
        </row>
        <row r="1226">
          <cell r="G1226">
            <v>795.04100000000005</v>
          </cell>
        </row>
        <row r="1228">
          <cell r="B1228" t="str">
            <v>Rate per Sqm</v>
          </cell>
          <cell r="D1228">
            <v>795.04100000000005</v>
          </cell>
          <cell r="E1228">
            <v>10</v>
          </cell>
          <cell r="F1228">
            <v>79.504100000000008</v>
          </cell>
          <cell r="G1228">
            <v>79.504100000000008</v>
          </cell>
        </row>
        <row r="1282">
          <cell r="A1282">
            <v>31</v>
          </cell>
          <cell r="B1282" t="str">
            <v xml:space="preserve">KOTA STONE SKIRTING 150MM HIGH </v>
          </cell>
          <cell r="E1282" t="str">
            <v>QTY -</v>
          </cell>
          <cell r="F1282">
            <v>10</v>
          </cell>
          <cell r="G1282" t="str">
            <v>RMT</v>
          </cell>
        </row>
        <row r="1283">
          <cell r="B1283" t="str">
            <v>(WITH BACKING COAT)</v>
          </cell>
        </row>
        <row r="1285">
          <cell r="A1285" t="str">
            <v>A</v>
          </cell>
          <cell r="B1285" t="str">
            <v xml:space="preserve">MATERIAL </v>
          </cell>
        </row>
        <row r="1287">
          <cell r="B1287" t="str">
            <v xml:space="preserve">Kota stone </v>
          </cell>
          <cell r="C1287" t="str">
            <v>Rmt</v>
          </cell>
          <cell r="D1287">
            <v>11</v>
          </cell>
          <cell r="E1287">
            <v>15</v>
          </cell>
          <cell r="F1287">
            <v>165</v>
          </cell>
        </row>
        <row r="1288">
          <cell r="B1288" t="str">
            <v xml:space="preserve">Cement </v>
          </cell>
          <cell r="C1288" t="str">
            <v>Bag</v>
          </cell>
          <cell r="D1288">
            <v>0.35299999999999998</v>
          </cell>
          <cell r="E1288">
            <v>150</v>
          </cell>
          <cell r="F1288">
            <v>52.949999999999996</v>
          </cell>
        </row>
        <row r="1289">
          <cell r="B1289" t="str">
            <v>Sand</v>
          </cell>
          <cell r="C1289" t="str">
            <v>Cum</v>
          </cell>
          <cell r="D1289">
            <v>3.4350000000000006E-2</v>
          </cell>
          <cell r="E1289">
            <v>325</v>
          </cell>
          <cell r="F1289">
            <v>11.163750000000002</v>
          </cell>
        </row>
        <row r="1290">
          <cell r="F1290">
            <v>229.11374999999998</v>
          </cell>
          <cell r="G1290">
            <v>229.11374999999998</v>
          </cell>
        </row>
        <row r="1292">
          <cell r="A1292" t="str">
            <v>B</v>
          </cell>
          <cell r="B1292" t="str">
            <v>LABOUR</v>
          </cell>
          <cell r="C1292" t="str">
            <v>Rmt</v>
          </cell>
          <cell r="D1292">
            <v>10</v>
          </cell>
          <cell r="E1292">
            <v>0</v>
          </cell>
          <cell r="F1292">
            <v>0</v>
          </cell>
          <cell r="G1292">
            <v>0</v>
          </cell>
        </row>
        <row r="1293">
          <cell r="G1293">
            <v>229.11374999999998</v>
          </cell>
        </row>
        <row r="1295">
          <cell r="A1295" t="str">
            <v>C</v>
          </cell>
          <cell r="B1295" t="str">
            <v>Add for water &amp; electrical charges</v>
          </cell>
          <cell r="D1295">
            <v>229.11374999999998</v>
          </cell>
          <cell r="E1295">
            <v>0.01</v>
          </cell>
          <cell r="F1295">
            <v>2.2911375</v>
          </cell>
          <cell r="G1295">
            <v>2.2911375</v>
          </cell>
        </row>
        <row r="1297">
          <cell r="A1297" t="str">
            <v>D</v>
          </cell>
          <cell r="B1297" t="str">
            <v>Add for tools and plants</v>
          </cell>
          <cell r="D1297">
            <v>229.11374999999998</v>
          </cell>
          <cell r="E1297">
            <v>0.03</v>
          </cell>
          <cell r="F1297">
            <v>6.8734124999999988</v>
          </cell>
          <cell r="G1297">
            <v>6.8734124999999988</v>
          </cell>
        </row>
        <row r="1298">
          <cell r="G1298">
            <v>238.27829999999997</v>
          </cell>
        </row>
        <row r="1300">
          <cell r="A1300" t="str">
            <v>E</v>
          </cell>
          <cell r="B1300" t="str">
            <v>Add contractor's profit</v>
          </cell>
          <cell r="D1300">
            <v>238.27829999999997</v>
          </cell>
          <cell r="E1300">
            <v>0.15</v>
          </cell>
          <cell r="F1300">
            <v>35.741744999999995</v>
          </cell>
          <cell r="G1300">
            <v>35.741744999999995</v>
          </cell>
        </row>
        <row r="1301">
          <cell r="G1301">
            <v>274.02004499999998</v>
          </cell>
        </row>
        <row r="1303">
          <cell r="B1303" t="str">
            <v>Rate per Rmt</v>
          </cell>
          <cell r="D1303">
            <v>274.02004499999998</v>
          </cell>
          <cell r="E1303">
            <v>10</v>
          </cell>
          <cell r="F1303">
            <v>27.402004499999997</v>
          </cell>
          <cell r="G1303">
            <v>27.402004499999997</v>
          </cell>
        </row>
        <row r="1359">
          <cell r="A1359">
            <v>32</v>
          </cell>
          <cell r="B1359" t="str">
            <v>MARBLE FLOORING</v>
          </cell>
          <cell r="E1359" t="str">
            <v>QTY -</v>
          </cell>
          <cell r="F1359">
            <v>10</v>
          </cell>
          <cell r="G1359" t="str">
            <v>SQM</v>
          </cell>
        </row>
        <row r="1361">
          <cell r="A1361" t="str">
            <v>A</v>
          </cell>
          <cell r="B1361" t="str">
            <v xml:space="preserve">MATERIAL </v>
          </cell>
        </row>
        <row r="1363">
          <cell r="B1363" t="str">
            <v>Marble</v>
          </cell>
          <cell r="C1363" t="str">
            <v>Sqm</v>
          </cell>
          <cell r="D1363">
            <v>11</v>
          </cell>
          <cell r="E1363">
            <v>1075</v>
          </cell>
          <cell r="F1363">
            <v>11825</v>
          </cell>
        </row>
        <row r="1364">
          <cell r="B1364" t="str">
            <v xml:space="preserve">Cement </v>
          </cell>
          <cell r="C1364" t="str">
            <v>Bag</v>
          </cell>
          <cell r="D1364">
            <v>1.99</v>
          </cell>
          <cell r="E1364">
            <v>150</v>
          </cell>
          <cell r="F1364">
            <v>298.5</v>
          </cell>
        </row>
        <row r="1365">
          <cell r="B1365" t="str">
            <v>Cement (white)</v>
          </cell>
          <cell r="C1365" t="str">
            <v>Bag</v>
          </cell>
          <cell r="D1365">
            <v>0.91900000000000004</v>
          </cell>
          <cell r="E1365">
            <v>650</v>
          </cell>
          <cell r="F1365">
            <v>597.35</v>
          </cell>
        </row>
        <row r="1366">
          <cell r="B1366" t="str">
            <v>Sand</v>
          </cell>
          <cell r="C1366" t="str">
            <v>Cum</v>
          </cell>
          <cell r="D1366">
            <v>0.35399999999999998</v>
          </cell>
          <cell r="E1366">
            <v>325</v>
          </cell>
          <cell r="F1366">
            <v>115.05</v>
          </cell>
        </row>
        <row r="1367">
          <cell r="F1367">
            <v>12835.9</v>
          </cell>
          <cell r="G1367">
            <v>12835.9</v>
          </cell>
        </row>
        <row r="1369">
          <cell r="A1369" t="str">
            <v>B</v>
          </cell>
          <cell r="B1369" t="str">
            <v>LABOUR</v>
          </cell>
          <cell r="C1369" t="str">
            <v>Sqm</v>
          </cell>
          <cell r="D1369">
            <v>10</v>
          </cell>
          <cell r="E1369">
            <v>0</v>
          </cell>
          <cell r="F1369">
            <v>0</v>
          </cell>
          <cell r="G1369">
            <v>0</v>
          </cell>
        </row>
        <row r="1370">
          <cell r="G1370">
            <v>12835.9</v>
          </cell>
        </row>
        <row r="1372">
          <cell r="A1372" t="str">
            <v>C</v>
          </cell>
          <cell r="B1372" t="str">
            <v>Add for water &amp; electrical charges</v>
          </cell>
          <cell r="D1372">
            <v>12835.9</v>
          </cell>
          <cell r="E1372">
            <v>0.01</v>
          </cell>
          <cell r="F1372">
            <v>128.35900000000001</v>
          </cell>
          <cell r="G1372">
            <v>128.35900000000001</v>
          </cell>
        </row>
        <row r="1374">
          <cell r="A1374" t="str">
            <v>D</v>
          </cell>
          <cell r="B1374" t="str">
            <v>Add for tools and plants</v>
          </cell>
          <cell r="D1374">
            <v>12835.9</v>
          </cell>
          <cell r="E1374">
            <v>0.03</v>
          </cell>
          <cell r="F1374">
            <v>385.077</v>
          </cell>
          <cell r="G1374">
            <v>385.077</v>
          </cell>
        </row>
        <row r="1375">
          <cell r="G1375">
            <v>13349.335999999999</v>
          </cell>
        </row>
        <row r="1377">
          <cell r="A1377" t="str">
            <v>E</v>
          </cell>
          <cell r="B1377" t="str">
            <v>Add contractor's profit</v>
          </cell>
          <cell r="D1377">
            <v>13349.335999999999</v>
          </cell>
          <cell r="E1377">
            <v>0.15</v>
          </cell>
          <cell r="F1377">
            <v>2002.4003999999998</v>
          </cell>
          <cell r="G1377">
            <v>2002.4003999999998</v>
          </cell>
        </row>
        <row r="1378">
          <cell r="G1378">
            <v>15351.7364</v>
          </cell>
        </row>
        <row r="1380">
          <cell r="B1380" t="str">
            <v>Rate per Sqm</v>
          </cell>
          <cell r="E1380">
            <v>15351.7364</v>
          </cell>
          <cell r="F1380">
            <v>10</v>
          </cell>
          <cell r="G1380">
            <v>1535.17364</v>
          </cell>
        </row>
        <row r="1383">
          <cell r="A1383">
            <v>33</v>
          </cell>
          <cell r="B1383" t="str">
            <v xml:space="preserve">MARBLE SKIRTING 100MM HIGH </v>
          </cell>
          <cell r="E1383" t="str">
            <v>QTY -</v>
          </cell>
          <cell r="F1383">
            <v>10</v>
          </cell>
          <cell r="G1383" t="str">
            <v>RMT</v>
          </cell>
        </row>
        <row r="1385">
          <cell r="A1385" t="str">
            <v>A</v>
          </cell>
          <cell r="B1385" t="str">
            <v xml:space="preserve">MATERIAL </v>
          </cell>
        </row>
        <row r="1387">
          <cell r="B1387" t="str">
            <v>Marble</v>
          </cell>
          <cell r="C1387" t="str">
            <v>Rmt</v>
          </cell>
          <cell r="D1387">
            <v>11</v>
          </cell>
          <cell r="E1387">
            <v>0</v>
          </cell>
          <cell r="F1387">
            <v>0</v>
          </cell>
        </row>
        <row r="1388">
          <cell r="B1388" t="str">
            <v xml:space="preserve">Cement </v>
          </cell>
          <cell r="C1388" t="str">
            <v>Bag</v>
          </cell>
          <cell r="D1388">
            <v>0.125</v>
          </cell>
          <cell r="E1388">
            <v>150</v>
          </cell>
          <cell r="F1388">
            <v>18.75</v>
          </cell>
        </row>
        <row r="1389">
          <cell r="B1389" t="str">
            <v xml:space="preserve">White Cement </v>
          </cell>
          <cell r="C1389" t="str">
            <v>Bag</v>
          </cell>
          <cell r="D1389">
            <v>0.106</v>
          </cell>
          <cell r="E1389">
            <v>650</v>
          </cell>
          <cell r="F1389">
            <v>68.899999999999991</v>
          </cell>
        </row>
        <row r="1390">
          <cell r="B1390" t="str">
            <v>Sand</v>
          </cell>
          <cell r="C1390" t="str">
            <v>Cum</v>
          </cell>
          <cell r="D1390">
            <v>2.24E-2</v>
          </cell>
          <cell r="E1390">
            <v>325</v>
          </cell>
          <cell r="F1390">
            <v>7.28</v>
          </cell>
        </row>
        <row r="1391">
          <cell r="F1391">
            <v>94.929999999999993</v>
          </cell>
          <cell r="G1391">
            <v>94.929999999999993</v>
          </cell>
        </row>
        <row r="1393">
          <cell r="A1393" t="str">
            <v>B</v>
          </cell>
          <cell r="B1393" t="str">
            <v>LABOUR</v>
          </cell>
          <cell r="C1393" t="str">
            <v>Rmt</v>
          </cell>
          <cell r="D1393">
            <v>10</v>
          </cell>
          <cell r="E1393">
            <v>0</v>
          </cell>
          <cell r="F1393">
            <v>0</v>
          </cell>
          <cell r="G1393">
            <v>0</v>
          </cell>
        </row>
        <row r="1394">
          <cell r="G1394">
            <v>94.929999999999993</v>
          </cell>
        </row>
        <row r="1396">
          <cell r="A1396" t="str">
            <v>C</v>
          </cell>
          <cell r="B1396" t="str">
            <v>Add for water &amp; electrical charges</v>
          </cell>
          <cell r="D1396">
            <v>94.929999999999993</v>
          </cell>
          <cell r="E1396">
            <v>0.01</v>
          </cell>
          <cell r="F1396">
            <v>0.94929999999999992</v>
          </cell>
          <cell r="G1396">
            <v>0.94929999999999992</v>
          </cell>
        </row>
        <row r="1398">
          <cell r="A1398" t="str">
            <v>D</v>
          </cell>
          <cell r="B1398" t="str">
            <v>Add for tools and plants</v>
          </cell>
          <cell r="D1398">
            <v>94.929999999999993</v>
          </cell>
          <cell r="E1398">
            <v>0.03</v>
          </cell>
          <cell r="F1398">
            <v>2.8478999999999997</v>
          </cell>
          <cell r="G1398">
            <v>2.8478999999999997</v>
          </cell>
        </row>
        <row r="1399">
          <cell r="G1399">
            <v>98.727199999999982</v>
          </cell>
        </row>
        <row r="1401">
          <cell r="A1401" t="str">
            <v>E</v>
          </cell>
          <cell r="B1401" t="str">
            <v>Add contractor's profit</v>
          </cell>
          <cell r="D1401">
            <v>98.727199999999982</v>
          </cell>
          <cell r="E1401">
            <v>0.15</v>
          </cell>
          <cell r="F1401">
            <v>14.809079999999996</v>
          </cell>
          <cell r="G1401">
            <v>14.809079999999996</v>
          </cell>
        </row>
        <row r="1402">
          <cell r="G1402">
            <v>113.53627999999998</v>
          </cell>
        </row>
        <row r="1404">
          <cell r="B1404" t="str">
            <v>Rate per Rmt</v>
          </cell>
          <cell r="D1404">
            <v>113.53627999999998</v>
          </cell>
          <cell r="E1404">
            <v>10</v>
          </cell>
          <cell r="F1404">
            <v>11.353627999999997</v>
          </cell>
          <cell r="G1404">
            <v>11.353627999999997</v>
          </cell>
        </row>
        <row r="1407">
          <cell r="A1407">
            <v>34</v>
          </cell>
          <cell r="B1407" t="str">
            <v xml:space="preserve">MARBLE SKIRTING 150MM HIGH </v>
          </cell>
          <cell r="E1407" t="str">
            <v>QTY -</v>
          </cell>
          <cell r="F1407">
            <v>10</v>
          </cell>
          <cell r="G1407" t="str">
            <v>RMT</v>
          </cell>
        </row>
        <row r="1409">
          <cell r="A1409" t="str">
            <v>A</v>
          </cell>
          <cell r="B1409" t="str">
            <v xml:space="preserve">MATERIAL </v>
          </cell>
        </row>
        <row r="1411">
          <cell r="B1411" t="str">
            <v>Marble</v>
          </cell>
          <cell r="C1411" t="str">
            <v>Rmt</v>
          </cell>
          <cell r="D1411">
            <v>11</v>
          </cell>
          <cell r="E1411">
            <v>0</v>
          </cell>
          <cell r="F1411">
            <v>0</v>
          </cell>
        </row>
        <row r="1412">
          <cell r="B1412" t="str">
            <v xml:space="preserve">Cement </v>
          </cell>
          <cell r="C1412" t="str">
            <v>Bag</v>
          </cell>
          <cell r="D1412">
            <v>0.187</v>
          </cell>
          <cell r="E1412">
            <v>150</v>
          </cell>
          <cell r="F1412">
            <v>28.05</v>
          </cell>
        </row>
        <row r="1413">
          <cell r="B1413" t="str">
            <v xml:space="preserve">White Cement </v>
          </cell>
          <cell r="C1413" t="str">
            <v>Bag</v>
          </cell>
          <cell r="D1413">
            <v>0.159</v>
          </cell>
          <cell r="E1413">
            <v>650</v>
          </cell>
          <cell r="F1413">
            <v>103.35000000000001</v>
          </cell>
        </row>
        <row r="1414">
          <cell r="B1414" t="str">
            <v>Sand</v>
          </cell>
          <cell r="C1414" t="str">
            <v>Cum</v>
          </cell>
          <cell r="D1414">
            <v>3.3350000000000005E-2</v>
          </cell>
          <cell r="E1414">
            <v>325</v>
          </cell>
          <cell r="F1414">
            <v>10.838750000000001</v>
          </cell>
        </row>
        <row r="1415">
          <cell r="F1415">
            <v>142.23875000000001</v>
          </cell>
          <cell r="G1415">
            <v>142.23875000000001</v>
          </cell>
        </row>
        <row r="1417">
          <cell r="A1417" t="str">
            <v>B</v>
          </cell>
          <cell r="B1417" t="str">
            <v>LABOUR</v>
          </cell>
          <cell r="C1417" t="str">
            <v>Rmt</v>
          </cell>
          <cell r="D1417">
            <v>10</v>
          </cell>
          <cell r="E1417">
            <v>0</v>
          </cell>
          <cell r="F1417">
            <v>0</v>
          </cell>
          <cell r="G1417">
            <v>0</v>
          </cell>
        </row>
        <row r="1418">
          <cell r="G1418">
            <v>142.23875000000001</v>
          </cell>
        </row>
        <row r="1420">
          <cell r="A1420" t="str">
            <v>C</v>
          </cell>
          <cell r="B1420" t="str">
            <v>Add for water &amp; electrical charges</v>
          </cell>
          <cell r="D1420">
            <v>142.23875000000001</v>
          </cell>
          <cell r="E1420">
            <v>0.01</v>
          </cell>
          <cell r="F1420">
            <v>1.4223875000000001</v>
          </cell>
          <cell r="G1420">
            <v>1.4223875000000001</v>
          </cell>
        </row>
        <row r="1422">
          <cell r="A1422" t="str">
            <v>D</v>
          </cell>
          <cell r="B1422" t="str">
            <v>Add for tools and plants</v>
          </cell>
          <cell r="D1422">
            <v>142.23875000000001</v>
          </cell>
          <cell r="E1422">
            <v>0.03</v>
          </cell>
          <cell r="F1422">
            <v>4.2671625000000004</v>
          </cell>
          <cell r="G1422">
            <v>4.2671625000000004</v>
          </cell>
        </row>
        <row r="1423">
          <cell r="G1423">
            <v>147.92830000000004</v>
          </cell>
        </row>
        <row r="1425">
          <cell r="A1425" t="str">
            <v>E</v>
          </cell>
          <cell r="B1425" t="str">
            <v>Add contractor's profit</v>
          </cell>
          <cell r="D1425">
            <v>147.92830000000004</v>
          </cell>
          <cell r="E1425">
            <v>0.15</v>
          </cell>
          <cell r="F1425">
            <v>22.189245000000003</v>
          </cell>
          <cell r="G1425">
            <v>22.189245000000003</v>
          </cell>
        </row>
        <row r="1426">
          <cell r="G1426">
            <v>170.11754500000004</v>
          </cell>
        </row>
        <row r="1428">
          <cell r="B1428" t="str">
            <v>Rate per Rmt</v>
          </cell>
          <cell r="D1428">
            <v>170.11754500000004</v>
          </cell>
          <cell r="E1428">
            <v>10</v>
          </cell>
          <cell r="F1428">
            <v>17.011754500000002</v>
          </cell>
          <cell r="G1428">
            <v>17.011754500000002</v>
          </cell>
        </row>
        <row r="1431">
          <cell r="A1431">
            <v>41</v>
          </cell>
          <cell r="B1431" t="str">
            <v xml:space="preserve">VITRIFIED CERAMIC TILE FLOORING </v>
          </cell>
          <cell r="E1431" t="str">
            <v>QTY -</v>
          </cell>
          <cell r="F1431">
            <v>10</v>
          </cell>
          <cell r="G1431" t="str">
            <v>SQM</v>
          </cell>
        </row>
        <row r="1433">
          <cell r="A1433" t="str">
            <v>A</v>
          </cell>
          <cell r="B1433" t="str">
            <v xml:space="preserve">MATERIAL </v>
          </cell>
        </row>
        <row r="1435">
          <cell r="B1435" t="str">
            <v>Ceramic tiles</v>
          </cell>
          <cell r="C1435" t="str">
            <v>Sqm</v>
          </cell>
          <cell r="D1435">
            <v>10.5</v>
          </cell>
          <cell r="E1435">
            <v>550</v>
          </cell>
          <cell r="F1435">
            <v>5775</v>
          </cell>
        </row>
        <row r="1436">
          <cell r="B1436" t="str">
            <v xml:space="preserve">Cement </v>
          </cell>
          <cell r="C1436" t="str">
            <v>Bag</v>
          </cell>
          <cell r="D1436">
            <v>2.23</v>
          </cell>
          <cell r="E1436">
            <v>150</v>
          </cell>
          <cell r="F1436">
            <v>334.5</v>
          </cell>
        </row>
        <row r="1437">
          <cell r="B1437" t="str">
            <v>Sand</v>
          </cell>
          <cell r="C1437" t="str">
            <v>Cum</v>
          </cell>
          <cell r="D1437">
            <v>0.25</v>
          </cell>
          <cell r="E1437">
            <v>325</v>
          </cell>
          <cell r="F1437">
            <v>81.25</v>
          </cell>
        </row>
        <row r="1438">
          <cell r="B1438" t="str">
            <v xml:space="preserve">Readymade grout </v>
          </cell>
          <cell r="C1438" t="str">
            <v>Kg</v>
          </cell>
          <cell r="D1438">
            <v>1.2</v>
          </cell>
          <cell r="E1438">
            <v>50</v>
          </cell>
          <cell r="F1438">
            <v>60</v>
          </cell>
        </row>
        <row r="1439">
          <cell r="F1439">
            <v>6250.75</v>
          </cell>
          <cell r="G1439">
            <v>6250.75</v>
          </cell>
        </row>
        <row r="1441">
          <cell r="A1441" t="str">
            <v>B</v>
          </cell>
          <cell r="B1441" t="str">
            <v>LABOUR</v>
          </cell>
          <cell r="C1441" t="str">
            <v>Sqm</v>
          </cell>
          <cell r="D1441">
            <v>10</v>
          </cell>
          <cell r="E1441">
            <v>90</v>
          </cell>
          <cell r="F1441">
            <v>900</v>
          </cell>
          <cell r="G1441">
            <v>900</v>
          </cell>
        </row>
        <row r="1442">
          <cell r="G1442">
            <v>7150.75</v>
          </cell>
        </row>
        <row r="1444">
          <cell r="A1444" t="str">
            <v>C</v>
          </cell>
          <cell r="B1444" t="str">
            <v>Add for water &amp; electrical charges</v>
          </cell>
          <cell r="D1444">
            <v>7150.75</v>
          </cell>
          <cell r="E1444">
            <v>0.01</v>
          </cell>
          <cell r="F1444">
            <v>71.507500000000007</v>
          </cell>
          <cell r="G1444">
            <v>71.507500000000007</v>
          </cell>
        </row>
        <row r="1446">
          <cell r="A1446" t="str">
            <v>D</v>
          </cell>
          <cell r="B1446" t="str">
            <v>Add for tools and plants</v>
          </cell>
          <cell r="D1446">
            <v>7150.75</v>
          </cell>
          <cell r="E1446">
            <v>0.03</v>
          </cell>
          <cell r="F1446">
            <v>214.52249999999998</v>
          </cell>
          <cell r="G1446">
            <v>214.52249999999998</v>
          </cell>
        </row>
        <row r="1447">
          <cell r="G1447">
            <v>7436.78</v>
          </cell>
        </row>
        <row r="1449">
          <cell r="A1449" t="str">
            <v>E</v>
          </cell>
          <cell r="B1449" t="str">
            <v>Add contractor's profit</v>
          </cell>
          <cell r="D1449">
            <v>7436.78</v>
          </cell>
          <cell r="E1449">
            <v>0.15</v>
          </cell>
          <cell r="F1449">
            <v>1115.5169999999998</v>
          </cell>
          <cell r="G1449">
            <v>1115.5169999999998</v>
          </cell>
        </row>
        <row r="1450">
          <cell r="G1450">
            <v>8552.2969999999987</v>
          </cell>
        </row>
        <row r="1452">
          <cell r="A1452" t="str">
            <v>F</v>
          </cell>
          <cell r="B1452" t="str">
            <v xml:space="preserve">WCT </v>
          </cell>
          <cell r="D1452">
            <v>8552.2969999999987</v>
          </cell>
          <cell r="E1452">
            <v>0.04</v>
          </cell>
          <cell r="F1452">
            <v>342.09187999999995</v>
          </cell>
          <cell r="G1452">
            <v>342.09187999999995</v>
          </cell>
        </row>
        <row r="1453">
          <cell r="G1453">
            <v>8894.3888799999986</v>
          </cell>
        </row>
        <row r="1455">
          <cell r="B1455" t="str">
            <v>Rate per Sqm</v>
          </cell>
          <cell r="D1455">
            <v>8894.3888799999986</v>
          </cell>
          <cell r="E1455">
            <v>10</v>
          </cell>
          <cell r="F1455">
            <v>889.43888799999991</v>
          </cell>
          <cell r="G1455">
            <v>890</v>
          </cell>
        </row>
        <row r="1458">
          <cell r="A1458">
            <v>42</v>
          </cell>
          <cell r="B1458" t="str">
            <v>100MM HIGH VITRIFIED CERAMIC TILE SKIRTING</v>
          </cell>
          <cell r="E1458" t="str">
            <v>QTY -</v>
          </cell>
          <cell r="F1458">
            <v>10</v>
          </cell>
          <cell r="G1458" t="str">
            <v>RMT</v>
          </cell>
        </row>
        <row r="1460">
          <cell r="A1460" t="str">
            <v>A</v>
          </cell>
          <cell r="B1460" t="str">
            <v xml:space="preserve">MATERIAL </v>
          </cell>
        </row>
        <row r="1462">
          <cell r="B1462" t="str">
            <v>Ceramic tiles</v>
          </cell>
          <cell r="C1462" t="str">
            <v>Rmt</v>
          </cell>
          <cell r="D1462">
            <v>10.5</v>
          </cell>
          <cell r="E1462">
            <v>55</v>
          </cell>
          <cell r="F1462">
            <v>577.5</v>
          </cell>
        </row>
        <row r="1463">
          <cell r="B1463" t="str">
            <v>Adhesive for fixing tile (about 3.5 Kg/Sqm)</v>
          </cell>
          <cell r="C1463" t="str">
            <v>Kg</v>
          </cell>
          <cell r="D1463">
            <v>3.5</v>
          </cell>
          <cell r="E1463">
            <v>20</v>
          </cell>
          <cell r="F1463">
            <v>70</v>
          </cell>
        </row>
        <row r="1464">
          <cell r="B1464" t="str">
            <v>Ready made grout</v>
          </cell>
          <cell r="C1464" t="str">
            <v>Kg</v>
          </cell>
          <cell r="D1464">
            <v>0.12</v>
          </cell>
          <cell r="E1464">
            <v>50</v>
          </cell>
          <cell r="F1464">
            <v>6</v>
          </cell>
        </row>
        <row r="1465">
          <cell r="F1465">
            <v>653.5</v>
          </cell>
          <cell r="G1465">
            <v>653.5</v>
          </cell>
        </row>
        <row r="1467">
          <cell r="A1467" t="str">
            <v>B</v>
          </cell>
          <cell r="B1467" t="str">
            <v>LABOUR</v>
          </cell>
          <cell r="C1467" t="str">
            <v>Rmt</v>
          </cell>
          <cell r="D1467">
            <v>10</v>
          </cell>
          <cell r="E1467">
            <v>10</v>
          </cell>
          <cell r="F1467">
            <v>100</v>
          </cell>
          <cell r="G1467">
            <v>100</v>
          </cell>
        </row>
        <row r="1468">
          <cell r="G1468">
            <v>753.5</v>
          </cell>
        </row>
        <row r="1470">
          <cell r="A1470" t="str">
            <v>C</v>
          </cell>
          <cell r="B1470" t="str">
            <v>Add for water &amp; electrical charges</v>
          </cell>
          <cell r="D1470">
            <v>753.5</v>
          </cell>
          <cell r="E1470">
            <v>0.01</v>
          </cell>
          <cell r="F1470">
            <v>7.5350000000000001</v>
          </cell>
          <cell r="G1470">
            <v>7.5350000000000001</v>
          </cell>
        </row>
        <row r="1472">
          <cell r="A1472" t="str">
            <v>D</v>
          </cell>
          <cell r="B1472" t="str">
            <v>Add for tools and plants</v>
          </cell>
          <cell r="D1472">
            <v>753.5</v>
          </cell>
          <cell r="E1472">
            <v>0.03</v>
          </cell>
          <cell r="F1472">
            <v>22.605</v>
          </cell>
          <cell r="G1472">
            <v>22.605</v>
          </cell>
        </row>
        <row r="1473">
          <cell r="G1473">
            <v>783.64</v>
          </cell>
        </row>
        <row r="1475">
          <cell r="A1475" t="str">
            <v>E</v>
          </cell>
          <cell r="B1475" t="str">
            <v>Add contractor's profit</v>
          </cell>
          <cell r="D1475">
            <v>783.64</v>
          </cell>
          <cell r="E1475">
            <v>0.15</v>
          </cell>
          <cell r="F1475">
            <v>117.54599999999999</v>
          </cell>
          <cell r="G1475">
            <v>117.54599999999999</v>
          </cell>
        </row>
        <row r="1476">
          <cell r="G1476">
            <v>901.18599999999992</v>
          </cell>
        </row>
        <row r="1478">
          <cell r="A1478" t="str">
            <v>F</v>
          </cell>
          <cell r="B1478" t="str">
            <v xml:space="preserve">WCT </v>
          </cell>
          <cell r="D1478">
            <v>901.18599999999992</v>
          </cell>
          <cell r="E1478">
            <v>0.04</v>
          </cell>
          <cell r="F1478">
            <v>36.047439999999995</v>
          </cell>
          <cell r="G1478">
            <v>36.047439999999995</v>
          </cell>
        </row>
        <row r="1479">
          <cell r="G1479">
            <v>937.23343999999997</v>
          </cell>
        </row>
        <row r="1481">
          <cell r="B1481" t="str">
            <v>Rate per Rmt</v>
          </cell>
          <cell r="D1481">
            <v>937.23343999999997</v>
          </cell>
          <cell r="E1481">
            <v>10</v>
          </cell>
          <cell r="F1481">
            <v>93.723343999999997</v>
          </cell>
          <cell r="G1481">
            <v>94</v>
          </cell>
        </row>
        <row r="1537">
          <cell r="A1537">
            <v>44</v>
          </cell>
          <cell r="B1537" t="str">
            <v>CERAMIC TILES DADO</v>
          </cell>
          <cell r="E1537" t="str">
            <v>QTY -</v>
          </cell>
          <cell r="F1537">
            <v>10</v>
          </cell>
          <cell r="G1537" t="str">
            <v>SQM</v>
          </cell>
        </row>
        <row r="1539">
          <cell r="A1539" t="str">
            <v>A</v>
          </cell>
          <cell r="B1539" t="str">
            <v>MATERIAL</v>
          </cell>
        </row>
        <row r="1541">
          <cell r="B1541" t="str">
            <v>Ceramic tiles</v>
          </cell>
          <cell r="C1541" t="str">
            <v>Sqm</v>
          </cell>
          <cell r="D1541">
            <v>10.5</v>
          </cell>
          <cell r="E1541">
            <v>225</v>
          </cell>
          <cell r="F1541">
            <v>2362.5</v>
          </cell>
        </row>
        <row r="1542">
          <cell r="B1542" t="str">
            <v>Adhesive for fixing tile (about 3.50 Kg/Sqm)</v>
          </cell>
          <cell r="C1542" t="str">
            <v>Kg</v>
          </cell>
          <cell r="D1542">
            <v>35</v>
          </cell>
          <cell r="E1542">
            <v>20</v>
          </cell>
          <cell r="F1542">
            <v>700</v>
          </cell>
        </row>
        <row r="1543">
          <cell r="B1543" t="str">
            <v>Grout</v>
          </cell>
          <cell r="C1543" t="str">
            <v>Kg</v>
          </cell>
          <cell r="D1543">
            <v>1.2</v>
          </cell>
          <cell r="E1543">
            <v>50</v>
          </cell>
          <cell r="F1543">
            <v>60</v>
          </cell>
        </row>
        <row r="1544">
          <cell r="F1544">
            <v>3122.5</v>
          </cell>
          <cell r="G1544">
            <v>3122.5</v>
          </cell>
        </row>
        <row r="1546">
          <cell r="A1546" t="str">
            <v>B</v>
          </cell>
          <cell r="B1546" t="str">
            <v>LABOUR</v>
          </cell>
          <cell r="C1546" t="str">
            <v>Sqm</v>
          </cell>
          <cell r="D1546">
            <v>10</v>
          </cell>
          <cell r="E1546">
            <v>120</v>
          </cell>
          <cell r="F1546">
            <v>1200</v>
          </cell>
          <cell r="G1546">
            <v>1200</v>
          </cell>
        </row>
        <row r="1547">
          <cell r="G1547">
            <v>4322.5</v>
          </cell>
        </row>
        <row r="1549">
          <cell r="A1549" t="str">
            <v>C</v>
          </cell>
          <cell r="B1549" t="str">
            <v>Add for water &amp; electrical charges</v>
          </cell>
          <cell r="D1549">
            <v>4322.5</v>
          </cell>
          <cell r="E1549">
            <v>0.01</v>
          </cell>
          <cell r="F1549">
            <v>43.225000000000001</v>
          </cell>
          <cell r="G1549">
            <v>43.225000000000001</v>
          </cell>
        </row>
        <row r="1551">
          <cell r="A1551" t="str">
            <v>D</v>
          </cell>
          <cell r="B1551" t="str">
            <v>Add for tools and plants</v>
          </cell>
          <cell r="D1551">
            <v>4322.5</v>
          </cell>
          <cell r="E1551">
            <v>0.03</v>
          </cell>
          <cell r="F1551">
            <v>129.67499999999998</v>
          </cell>
          <cell r="G1551">
            <v>129.67499999999998</v>
          </cell>
        </row>
        <row r="1552">
          <cell r="G1552">
            <v>4495.4000000000005</v>
          </cell>
        </row>
        <row r="1554">
          <cell r="A1554" t="str">
            <v>E</v>
          </cell>
          <cell r="B1554" t="str">
            <v>Add contractor's profit</v>
          </cell>
          <cell r="D1554">
            <v>4495.4000000000005</v>
          </cell>
          <cell r="E1554">
            <v>0.15</v>
          </cell>
          <cell r="F1554">
            <v>674.31000000000006</v>
          </cell>
          <cell r="G1554">
            <v>674.31000000000006</v>
          </cell>
        </row>
        <row r="1555">
          <cell r="G1555">
            <v>5169.7100000000009</v>
          </cell>
        </row>
        <row r="1557">
          <cell r="A1557" t="str">
            <v>F</v>
          </cell>
          <cell r="B1557" t="str">
            <v xml:space="preserve">WCT </v>
          </cell>
          <cell r="D1557">
            <v>5169.7100000000009</v>
          </cell>
          <cell r="E1557">
            <v>0.04</v>
          </cell>
          <cell r="F1557">
            <v>206.78840000000005</v>
          </cell>
          <cell r="G1557">
            <v>206.78840000000005</v>
          </cell>
        </row>
        <row r="1558">
          <cell r="G1558">
            <v>5376.4984000000013</v>
          </cell>
        </row>
        <row r="1560">
          <cell r="B1560" t="str">
            <v>Rate per Sqm</v>
          </cell>
          <cell r="D1560">
            <v>5376.4984000000013</v>
          </cell>
          <cell r="E1560">
            <v>10</v>
          </cell>
          <cell r="F1560">
            <v>537.64984000000015</v>
          </cell>
          <cell r="G1560">
            <v>538</v>
          </cell>
        </row>
        <row r="1563">
          <cell r="A1563">
            <v>35</v>
          </cell>
          <cell r="B1563" t="str">
            <v>GRANITE FLOORING IN CM (1:6)</v>
          </cell>
          <cell r="E1563" t="str">
            <v>QTY -</v>
          </cell>
          <cell r="F1563">
            <v>10</v>
          </cell>
          <cell r="G1563" t="str">
            <v>SQM</v>
          </cell>
        </row>
        <row r="1565">
          <cell r="A1565" t="str">
            <v>A</v>
          </cell>
          <cell r="B1565" t="str">
            <v xml:space="preserve">MATERIAL </v>
          </cell>
        </row>
        <row r="1567">
          <cell r="B1567" t="str">
            <v>Granite</v>
          </cell>
          <cell r="C1567" t="str">
            <v>Sqm</v>
          </cell>
          <cell r="D1567">
            <v>11.25</v>
          </cell>
          <cell r="E1567">
            <v>1615</v>
          </cell>
          <cell r="F1567">
            <v>18168.75</v>
          </cell>
        </row>
        <row r="1568">
          <cell r="B1568" t="str">
            <v xml:space="preserve">Cement </v>
          </cell>
          <cell r="C1568" t="str">
            <v>Bag</v>
          </cell>
          <cell r="D1568">
            <v>2.23</v>
          </cell>
          <cell r="E1568">
            <v>550</v>
          </cell>
          <cell r="F1568">
            <v>1226.5</v>
          </cell>
        </row>
        <row r="1569">
          <cell r="B1569" t="str">
            <v>Sand</v>
          </cell>
          <cell r="C1569" t="str">
            <v>Cum</v>
          </cell>
          <cell r="D1569">
            <v>0.25</v>
          </cell>
          <cell r="E1569">
            <v>325</v>
          </cell>
          <cell r="F1569">
            <v>81.25</v>
          </cell>
        </row>
        <row r="1570">
          <cell r="B1570" t="str">
            <v>Grout</v>
          </cell>
          <cell r="C1570" t="str">
            <v>Kg</v>
          </cell>
          <cell r="D1570">
            <v>1.2</v>
          </cell>
          <cell r="E1570">
            <v>50</v>
          </cell>
          <cell r="F1570">
            <v>60</v>
          </cell>
        </row>
        <row r="1571">
          <cell r="F1571">
            <v>19536.5</v>
          </cell>
          <cell r="G1571">
            <v>19536.5</v>
          </cell>
        </row>
        <row r="1573">
          <cell r="A1573" t="str">
            <v>B</v>
          </cell>
          <cell r="B1573" t="str">
            <v>LABOUR</v>
          </cell>
          <cell r="C1573" t="str">
            <v>Sqm</v>
          </cell>
          <cell r="D1573">
            <v>10</v>
          </cell>
          <cell r="E1573">
            <v>175</v>
          </cell>
          <cell r="F1573">
            <v>1750</v>
          </cell>
          <cell r="G1573">
            <v>1750</v>
          </cell>
        </row>
        <row r="1574">
          <cell r="G1574">
            <v>21286.5</v>
          </cell>
        </row>
        <row r="1576">
          <cell r="A1576" t="str">
            <v>C</v>
          </cell>
          <cell r="B1576" t="str">
            <v>Add for water &amp; electrical charges</v>
          </cell>
          <cell r="D1576">
            <v>21286.5</v>
          </cell>
          <cell r="E1576">
            <v>0.01</v>
          </cell>
          <cell r="F1576">
            <v>212.86500000000001</v>
          </cell>
          <cell r="G1576">
            <v>212.86500000000001</v>
          </cell>
        </row>
        <row r="1578">
          <cell r="A1578" t="str">
            <v>D</v>
          </cell>
          <cell r="B1578" t="str">
            <v>Add for tools and plants</v>
          </cell>
          <cell r="D1578">
            <v>21286.5</v>
          </cell>
          <cell r="E1578">
            <v>0.03</v>
          </cell>
          <cell r="F1578">
            <v>638.59500000000003</v>
          </cell>
          <cell r="G1578">
            <v>638.59500000000003</v>
          </cell>
        </row>
        <row r="1579">
          <cell r="G1579">
            <v>22137.960000000003</v>
          </cell>
        </row>
        <row r="1581">
          <cell r="A1581" t="str">
            <v>E</v>
          </cell>
          <cell r="B1581" t="str">
            <v>Add contractor's profit</v>
          </cell>
          <cell r="D1581">
            <v>22137.960000000003</v>
          </cell>
          <cell r="E1581">
            <v>0.15</v>
          </cell>
          <cell r="F1581">
            <v>3320.6940000000004</v>
          </cell>
          <cell r="G1581">
            <v>3320.6940000000004</v>
          </cell>
        </row>
        <row r="1582">
          <cell r="G1582">
            <v>25458.654000000002</v>
          </cell>
        </row>
        <row r="1584">
          <cell r="A1584" t="str">
            <v>F</v>
          </cell>
          <cell r="B1584" t="str">
            <v xml:space="preserve">WCT </v>
          </cell>
          <cell r="D1584">
            <v>25458.654000000002</v>
          </cell>
          <cell r="E1584">
            <v>0.04</v>
          </cell>
          <cell r="F1584">
            <v>1018.3461600000002</v>
          </cell>
          <cell r="G1584">
            <v>1018.3461600000002</v>
          </cell>
        </row>
        <row r="1585">
          <cell r="G1585">
            <v>26477.000160000003</v>
          </cell>
        </row>
        <row r="1587">
          <cell r="B1587" t="str">
            <v>Rate per Sqm</v>
          </cell>
          <cell r="D1587">
            <v>26477.000160000003</v>
          </cell>
          <cell r="E1587">
            <v>10</v>
          </cell>
          <cell r="F1587">
            <v>2647.7000160000002</v>
          </cell>
          <cell r="G1587">
            <v>2648</v>
          </cell>
        </row>
        <row r="1590">
          <cell r="A1590">
            <v>36</v>
          </cell>
          <cell r="B1590" t="str">
            <v xml:space="preserve">GRANITE SKIRTING 100MM HIGH </v>
          </cell>
          <cell r="E1590" t="str">
            <v>QTY -</v>
          </cell>
          <cell r="F1590">
            <v>10</v>
          </cell>
          <cell r="G1590" t="str">
            <v>RMT</v>
          </cell>
        </row>
        <row r="1592">
          <cell r="A1592" t="str">
            <v>A</v>
          </cell>
          <cell r="B1592" t="str">
            <v xml:space="preserve">MATERIAL </v>
          </cell>
        </row>
        <row r="1594">
          <cell r="B1594" t="str">
            <v>Granite</v>
          </cell>
          <cell r="C1594" t="str">
            <v>Rmt</v>
          </cell>
          <cell r="D1594">
            <v>11</v>
          </cell>
          <cell r="E1594">
            <v>0</v>
          </cell>
          <cell r="F1594">
            <v>0</v>
          </cell>
        </row>
        <row r="1595">
          <cell r="B1595" t="str">
            <v xml:space="preserve">Cement </v>
          </cell>
          <cell r="C1595" t="str">
            <v>Bag</v>
          </cell>
          <cell r="D1595">
            <v>0.23100000000000001</v>
          </cell>
          <cell r="E1595">
            <v>150</v>
          </cell>
          <cell r="F1595">
            <v>34.65</v>
          </cell>
        </row>
        <row r="1596">
          <cell r="B1596" t="str">
            <v>Sand</v>
          </cell>
          <cell r="C1596" t="str">
            <v>Cum</v>
          </cell>
          <cell r="D1596">
            <v>2.324E-2</v>
          </cell>
          <cell r="E1596">
            <v>325</v>
          </cell>
          <cell r="F1596">
            <v>7.5529999999999999</v>
          </cell>
        </row>
        <row r="1597">
          <cell r="F1597">
            <v>42.202999999999996</v>
          </cell>
          <cell r="G1597">
            <v>42.202999999999996</v>
          </cell>
        </row>
        <row r="1599">
          <cell r="A1599" t="str">
            <v>B</v>
          </cell>
          <cell r="B1599" t="str">
            <v>LABOUR</v>
          </cell>
          <cell r="C1599" t="str">
            <v>Rmt</v>
          </cell>
          <cell r="D1599">
            <v>10</v>
          </cell>
          <cell r="E1599">
            <v>0</v>
          </cell>
          <cell r="F1599">
            <v>0</v>
          </cell>
          <cell r="G1599">
            <v>0</v>
          </cell>
        </row>
        <row r="1600">
          <cell r="G1600">
            <v>42.202999999999996</v>
          </cell>
        </row>
        <row r="1602">
          <cell r="A1602" t="str">
            <v>C</v>
          </cell>
          <cell r="B1602" t="str">
            <v>Add for water &amp; electrical charges</v>
          </cell>
          <cell r="D1602">
            <v>42.202999999999996</v>
          </cell>
          <cell r="E1602">
            <v>0.01</v>
          </cell>
          <cell r="F1602">
            <v>0.42202999999999996</v>
          </cell>
          <cell r="G1602">
            <v>0.42202999999999996</v>
          </cell>
        </row>
        <row r="1604">
          <cell r="A1604" t="str">
            <v>D</v>
          </cell>
          <cell r="B1604" t="str">
            <v>Add for tools and plants</v>
          </cell>
          <cell r="D1604">
            <v>42.202999999999996</v>
          </cell>
          <cell r="E1604">
            <v>0.03</v>
          </cell>
          <cell r="F1604">
            <v>1.2660899999999999</v>
          </cell>
          <cell r="G1604">
            <v>1.2660899999999999</v>
          </cell>
        </row>
        <row r="1605">
          <cell r="G1605">
            <v>43.891119999999994</v>
          </cell>
        </row>
        <row r="1607">
          <cell r="A1607" t="str">
            <v>E</v>
          </cell>
          <cell r="B1607" t="str">
            <v>Add contractor's profit</v>
          </cell>
          <cell r="D1607">
            <v>43.891119999999994</v>
          </cell>
          <cell r="E1607">
            <v>0.15</v>
          </cell>
          <cell r="F1607">
            <v>6.5836679999999985</v>
          </cell>
          <cell r="G1607">
            <v>6.5836679999999985</v>
          </cell>
        </row>
        <row r="1608">
          <cell r="G1608">
            <v>50.47478799999999</v>
          </cell>
        </row>
        <row r="1610">
          <cell r="B1610" t="str">
            <v>Rate per Rmt</v>
          </cell>
          <cell r="D1610">
            <v>50.47478799999999</v>
          </cell>
          <cell r="E1610">
            <v>10</v>
          </cell>
          <cell r="F1610">
            <v>5.0474787999999986</v>
          </cell>
          <cell r="G1610">
            <v>5.0474787999999986</v>
          </cell>
        </row>
        <row r="1613">
          <cell r="A1613">
            <v>37</v>
          </cell>
          <cell r="B1613" t="str">
            <v xml:space="preserve">COMPOSITE GRANITE / VITRIFIED TILE DADO </v>
          </cell>
          <cell r="E1613" t="str">
            <v>QTY -</v>
          </cell>
          <cell r="F1613">
            <v>10</v>
          </cell>
          <cell r="G1613" t="str">
            <v>SQM</v>
          </cell>
        </row>
        <row r="1615">
          <cell r="A1615" t="str">
            <v>A</v>
          </cell>
          <cell r="B1615" t="str">
            <v xml:space="preserve">MATERIAL </v>
          </cell>
        </row>
        <row r="1617">
          <cell r="B1617" t="str">
            <v>Granite stone</v>
          </cell>
          <cell r="C1617" t="str">
            <v>Sqm</v>
          </cell>
          <cell r="D1617">
            <v>2.625</v>
          </cell>
          <cell r="E1617">
            <v>1615</v>
          </cell>
          <cell r="F1617">
            <v>4239.375</v>
          </cell>
        </row>
        <row r="1618">
          <cell r="B1618" t="str">
            <v xml:space="preserve">Vitrified tile </v>
          </cell>
          <cell r="C1618" t="str">
            <v>Sqm</v>
          </cell>
          <cell r="D1618">
            <v>7.875</v>
          </cell>
          <cell r="E1618">
            <v>550</v>
          </cell>
          <cell r="F1618">
            <v>4331.25</v>
          </cell>
        </row>
        <row r="1619">
          <cell r="B1619" t="str">
            <v>Adhesive (3.5 Kg per Sqm)</v>
          </cell>
          <cell r="C1619" t="str">
            <v>Kg</v>
          </cell>
          <cell r="D1619">
            <v>35</v>
          </cell>
          <cell r="E1619">
            <v>20</v>
          </cell>
          <cell r="F1619">
            <v>700</v>
          </cell>
        </row>
        <row r="1620">
          <cell r="B1620" t="str">
            <v>Grout</v>
          </cell>
          <cell r="C1620" t="str">
            <v>Kg</v>
          </cell>
          <cell r="D1620">
            <v>1.2</v>
          </cell>
          <cell r="E1620">
            <v>50</v>
          </cell>
          <cell r="F1620">
            <v>60</v>
          </cell>
        </row>
        <row r="1621">
          <cell r="B1621" t="str">
            <v>Pins, dowels etc.</v>
          </cell>
          <cell r="C1621" t="str">
            <v>L S</v>
          </cell>
          <cell r="F1621">
            <v>200</v>
          </cell>
        </row>
        <row r="1622">
          <cell r="F1622">
            <v>9530.625</v>
          </cell>
          <cell r="G1622">
            <v>9530.625</v>
          </cell>
        </row>
        <row r="1624">
          <cell r="A1624" t="str">
            <v>B</v>
          </cell>
          <cell r="B1624" t="str">
            <v>LABOUR</v>
          </cell>
          <cell r="C1624" t="str">
            <v>Rmt</v>
          </cell>
          <cell r="D1624">
            <v>10</v>
          </cell>
          <cell r="E1624">
            <v>150</v>
          </cell>
          <cell r="F1624">
            <v>1500</v>
          </cell>
          <cell r="G1624">
            <v>1500</v>
          </cell>
        </row>
        <row r="1625">
          <cell r="G1625">
            <v>11030.625</v>
          </cell>
        </row>
        <row r="1627">
          <cell r="A1627" t="str">
            <v>C</v>
          </cell>
          <cell r="B1627" t="str">
            <v>Add for water &amp; electrical charges</v>
          </cell>
          <cell r="D1627">
            <v>11030.625</v>
          </cell>
          <cell r="E1627">
            <v>0.01</v>
          </cell>
          <cell r="F1627">
            <v>110.30625000000001</v>
          </cell>
          <cell r="G1627">
            <v>110.30625000000001</v>
          </cell>
        </row>
        <row r="1629">
          <cell r="A1629" t="str">
            <v>D</v>
          </cell>
          <cell r="B1629" t="str">
            <v>Add for tools and plants</v>
          </cell>
          <cell r="D1629">
            <v>11030.625</v>
          </cell>
          <cell r="E1629">
            <v>0.03</v>
          </cell>
          <cell r="F1629">
            <v>330.91874999999999</v>
          </cell>
          <cell r="G1629">
            <v>330.91874999999999</v>
          </cell>
        </row>
        <row r="1630">
          <cell r="G1630">
            <v>11471.85</v>
          </cell>
        </row>
        <row r="1632">
          <cell r="A1632" t="str">
            <v>E</v>
          </cell>
          <cell r="B1632" t="str">
            <v>Add contractor's profit</v>
          </cell>
          <cell r="D1632">
            <v>11471.85</v>
          </cell>
          <cell r="E1632">
            <v>0.15</v>
          </cell>
          <cell r="F1632">
            <v>1720.7774999999999</v>
          </cell>
          <cell r="G1632">
            <v>1720.7774999999999</v>
          </cell>
        </row>
        <row r="1633">
          <cell r="G1633">
            <v>13192.627500000001</v>
          </cell>
        </row>
        <row r="1635">
          <cell r="A1635" t="str">
            <v>F</v>
          </cell>
          <cell r="B1635" t="str">
            <v xml:space="preserve">WCT </v>
          </cell>
          <cell r="D1635">
            <v>13192.627500000001</v>
          </cell>
          <cell r="E1635">
            <v>0.04</v>
          </cell>
          <cell r="F1635">
            <v>527.70510000000002</v>
          </cell>
          <cell r="G1635">
            <v>527.70510000000002</v>
          </cell>
        </row>
        <row r="1636">
          <cell r="G1636">
            <v>13720.3326</v>
          </cell>
        </row>
        <row r="1638">
          <cell r="B1638" t="str">
            <v>Rate per Sqm</v>
          </cell>
          <cell r="D1638">
            <v>13720.3326</v>
          </cell>
          <cell r="E1638">
            <v>10</v>
          </cell>
          <cell r="F1638">
            <v>1372.0332599999999</v>
          </cell>
          <cell r="G1638">
            <v>1373</v>
          </cell>
        </row>
        <row r="1641">
          <cell r="A1641">
            <v>29</v>
          </cell>
          <cell r="B1641" t="str">
            <v>TANDUR STONE FLOORING IN CM (1:6)</v>
          </cell>
          <cell r="E1641" t="str">
            <v>QTY -</v>
          </cell>
          <cell r="F1641">
            <v>10</v>
          </cell>
          <cell r="G1641" t="str">
            <v>SQM</v>
          </cell>
        </row>
        <row r="1643">
          <cell r="A1643" t="str">
            <v>A</v>
          </cell>
          <cell r="B1643" t="str">
            <v xml:space="preserve">MATERIAL </v>
          </cell>
        </row>
        <row r="1645">
          <cell r="B1645" t="str">
            <v>Tandur stone</v>
          </cell>
          <cell r="C1645" t="str">
            <v>Sqm</v>
          </cell>
          <cell r="D1645">
            <v>11.25</v>
          </cell>
          <cell r="E1645">
            <v>151</v>
          </cell>
          <cell r="F1645">
            <v>1698.75</v>
          </cell>
        </row>
        <row r="1646">
          <cell r="B1646" t="str">
            <v xml:space="preserve">Cement </v>
          </cell>
          <cell r="C1646" t="str">
            <v>Bag</v>
          </cell>
          <cell r="D1646">
            <v>2.23</v>
          </cell>
          <cell r="E1646">
            <v>150</v>
          </cell>
          <cell r="F1646">
            <v>334.5</v>
          </cell>
        </row>
        <row r="1647">
          <cell r="B1647" t="str">
            <v>Sand</v>
          </cell>
          <cell r="C1647" t="str">
            <v>Cum</v>
          </cell>
          <cell r="D1647">
            <v>0.35399999999999998</v>
          </cell>
          <cell r="E1647">
            <v>325</v>
          </cell>
          <cell r="F1647">
            <v>115.05</v>
          </cell>
        </row>
        <row r="1648">
          <cell r="B1648" t="str">
            <v>Joint Filler / Grout</v>
          </cell>
          <cell r="C1648" t="str">
            <v>Kg</v>
          </cell>
          <cell r="D1648">
            <v>1.2</v>
          </cell>
          <cell r="E1648">
            <v>50</v>
          </cell>
          <cell r="F1648">
            <v>60</v>
          </cell>
        </row>
        <row r="1649">
          <cell r="F1649">
            <v>2208.3000000000002</v>
          </cell>
          <cell r="G1649">
            <v>2208.3000000000002</v>
          </cell>
        </row>
        <row r="1651">
          <cell r="A1651" t="str">
            <v>B</v>
          </cell>
          <cell r="B1651" t="str">
            <v>LABOUR</v>
          </cell>
          <cell r="C1651" t="str">
            <v>Sqm</v>
          </cell>
          <cell r="D1651">
            <v>10</v>
          </cell>
          <cell r="E1651">
            <v>75</v>
          </cell>
          <cell r="F1651">
            <v>750</v>
          </cell>
          <cell r="G1651">
            <v>750</v>
          </cell>
        </row>
        <row r="1652">
          <cell r="G1652">
            <v>2958.3</v>
          </cell>
        </row>
        <row r="1654">
          <cell r="A1654" t="str">
            <v>C</v>
          </cell>
          <cell r="B1654" t="str">
            <v>Add for water &amp; electrical charges</v>
          </cell>
          <cell r="D1654">
            <v>2958.3</v>
          </cell>
          <cell r="E1654">
            <v>0.01</v>
          </cell>
          <cell r="F1654">
            <v>29.583000000000002</v>
          </cell>
          <cell r="G1654">
            <v>29.583000000000002</v>
          </cell>
        </row>
        <row r="1656">
          <cell r="A1656" t="str">
            <v>D</v>
          </cell>
          <cell r="B1656" t="str">
            <v>Add for tools and plants</v>
          </cell>
          <cell r="D1656">
            <v>2958.3</v>
          </cell>
          <cell r="E1656">
            <v>0.03</v>
          </cell>
          <cell r="F1656">
            <v>88.748999999999995</v>
          </cell>
          <cell r="G1656">
            <v>88.748999999999995</v>
          </cell>
        </row>
        <row r="1657">
          <cell r="G1657">
            <v>3076.6320000000001</v>
          </cell>
        </row>
        <row r="1659">
          <cell r="A1659" t="str">
            <v>E</v>
          </cell>
          <cell r="B1659" t="str">
            <v>Add contractor's profit</v>
          </cell>
          <cell r="D1659">
            <v>3076.6320000000001</v>
          </cell>
          <cell r="E1659">
            <v>0.15</v>
          </cell>
          <cell r="F1659">
            <v>461.4948</v>
          </cell>
          <cell r="G1659">
            <v>461.4948</v>
          </cell>
        </row>
        <row r="1660">
          <cell r="G1660">
            <v>3538.1268</v>
          </cell>
        </row>
        <row r="1662">
          <cell r="A1662" t="str">
            <v>F</v>
          </cell>
          <cell r="B1662" t="str">
            <v xml:space="preserve">WCT </v>
          </cell>
          <cell r="D1662">
            <v>3538.1268</v>
          </cell>
          <cell r="E1662">
            <v>0.04</v>
          </cell>
          <cell r="F1662">
            <v>141.52507199999999</v>
          </cell>
          <cell r="G1662">
            <v>141.52507199999999</v>
          </cell>
        </row>
        <row r="1663">
          <cell r="G1663">
            <v>3679.6518719999999</v>
          </cell>
        </row>
        <row r="1665">
          <cell r="B1665" t="str">
            <v>Rate per Sqm</v>
          </cell>
          <cell r="D1665">
            <v>3679.6518719999999</v>
          </cell>
          <cell r="E1665">
            <v>10</v>
          </cell>
          <cell r="F1665">
            <v>367.9651872</v>
          </cell>
          <cell r="G1665">
            <v>368</v>
          </cell>
        </row>
        <row r="1668">
          <cell r="A1668">
            <v>30</v>
          </cell>
          <cell r="B1668" t="str">
            <v xml:space="preserve">TANDUR STONE SKIRTING 100MM HIGH </v>
          </cell>
          <cell r="E1668" t="str">
            <v>QTY -</v>
          </cell>
          <cell r="F1668">
            <v>10</v>
          </cell>
          <cell r="G1668" t="str">
            <v>RMT</v>
          </cell>
        </row>
        <row r="1670">
          <cell r="A1670" t="str">
            <v>A</v>
          </cell>
          <cell r="B1670" t="str">
            <v xml:space="preserve">MATERIAL </v>
          </cell>
        </row>
        <row r="1672">
          <cell r="B1672" t="str">
            <v>Tandur stone</v>
          </cell>
          <cell r="C1672" t="str">
            <v>Rmt</v>
          </cell>
          <cell r="D1672">
            <v>11.25</v>
          </cell>
          <cell r="E1672">
            <v>15</v>
          </cell>
          <cell r="F1672">
            <v>168.75</v>
          </cell>
        </row>
        <row r="1673">
          <cell r="B1673" t="str">
            <v xml:space="preserve">Cement </v>
          </cell>
          <cell r="C1673" t="str">
            <v>Bag</v>
          </cell>
          <cell r="D1673">
            <v>0.23899999999999999</v>
          </cell>
          <cell r="E1673">
            <v>150</v>
          </cell>
          <cell r="F1673">
            <v>35.85</v>
          </cell>
        </row>
        <row r="1674">
          <cell r="B1674" t="str">
            <v>Sand</v>
          </cell>
          <cell r="C1674" t="str">
            <v>Cum</v>
          </cell>
          <cell r="D1674">
            <v>2.324E-2</v>
          </cell>
          <cell r="E1674">
            <v>325</v>
          </cell>
          <cell r="F1674">
            <v>7.5529999999999999</v>
          </cell>
        </row>
        <row r="1675">
          <cell r="F1675">
            <v>212.15299999999999</v>
          </cell>
          <cell r="G1675">
            <v>212.15299999999999</v>
          </cell>
        </row>
        <row r="1677">
          <cell r="A1677" t="str">
            <v>B</v>
          </cell>
          <cell r="B1677" t="str">
            <v>LABOUR</v>
          </cell>
          <cell r="C1677" t="str">
            <v>Rmt</v>
          </cell>
          <cell r="D1677">
            <v>10</v>
          </cell>
          <cell r="E1677">
            <v>8</v>
          </cell>
          <cell r="F1677">
            <v>80</v>
          </cell>
          <cell r="G1677">
            <v>80</v>
          </cell>
        </row>
        <row r="1678">
          <cell r="G1678">
            <v>292.15300000000002</v>
          </cell>
        </row>
        <row r="1680">
          <cell r="A1680" t="str">
            <v>C</v>
          </cell>
          <cell r="B1680" t="str">
            <v>Add for water &amp; electrical charges</v>
          </cell>
          <cell r="D1680">
            <v>292.15300000000002</v>
          </cell>
          <cell r="E1680">
            <v>0.01</v>
          </cell>
          <cell r="F1680">
            <v>2.9215300000000002</v>
          </cell>
          <cell r="G1680">
            <v>2.9215300000000002</v>
          </cell>
        </row>
        <row r="1682">
          <cell r="A1682" t="str">
            <v>D</v>
          </cell>
          <cell r="B1682" t="str">
            <v>Add for tools and plants</v>
          </cell>
          <cell r="D1682">
            <v>292.15300000000002</v>
          </cell>
          <cell r="E1682">
            <v>0.03</v>
          </cell>
          <cell r="F1682">
            <v>8.7645900000000001</v>
          </cell>
          <cell r="G1682">
            <v>8.7645900000000001</v>
          </cell>
        </row>
        <row r="1683">
          <cell r="G1683">
            <v>303.83912000000004</v>
          </cell>
        </row>
        <row r="1685">
          <cell r="A1685" t="str">
            <v>E</v>
          </cell>
          <cell r="B1685" t="str">
            <v>Add contractor's profit</v>
          </cell>
          <cell r="D1685">
            <v>303.83912000000004</v>
          </cell>
          <cell r="E1685">
            <v>0.15</v>
          </cell>
          <cell r="F1685">
            <v>45.575868000000007</v>
          </cell>
          <cell r="G1685">
            <v>45.575868000000007</v>
          </cell>
        </row>
        <row r="1686">
          <cell r="G1686">
            <v>349.41498800000005</v>
          </cell>
        </row>
        <row r="1688">
          <cell r="A1688" t="str">
            <v>F</v>
          </cell>
          <cell r="B1688" t="str">
            <v xml:space="preserve">WCT </v>
          </cell>
          <cell r="D1688">
            <v>349.41498800000005</v>
          </cell>
          <cell r="E1688">
            <v>0.04</v>
          </cell>
          <cell r="F1688">
            <v>13.976599520000002</v>
          </cell>
          <cell r="G1688">
            <v>13.976599520000002</v>
          </cell>
        </row>
        <row r="1689">
          <cell r="G1689">
            <v>363.39158752000003</v>
          </cell>
        </row>
        <row r="1691">
          <cell r="B1691" t="str">
            <v>Rate per Rmt</v>
          </cell>
          <cell r="D1691">
            <v>363.39158752000003</v>
          </cell>
          <cell r="E1691">
            <v>10</v>
          </cell>
          <cell r="F1691">
            <v>36.339158752000003</v>
          </cell>
          <cell r="G1691">
            <v>37</v>
          </cell>
        </row>
        <row r="1694">
          <cell r="A1694">
            <v>38</v>
          </cell>
          <cell r="B1694" t="str">
            <v xml:space="preserve">KOTA STONE DADO </v>
          </cell>
          <cell r="E1694" t="str">
            <v>QTY -</v>
          </cell>
          <cell r="F1694">
            <v>10</v>
          </cell>
          <cell r="G1694" t="str">
            <v>SQM</v>
          </cell>
        </row>
        <row r="1695">
          <cell r="B1695" t="str">
            <v>(WITH BACKING COAT)</v>
          </cell>
        </row>
        <row r="1697">
          <cell r="A1697" t="str">
            <v>A</v>
          </cell>
          <cell r="B1697" t="str">
            <v>MATERIAL</v>
          </cell>
        </row>
        <row r="1699">
          <cell r="B1699" t="str">
            <v>Kota stone</v>
          </cell>
          <cell r="C1699" t="str">
            <v>Sqm</v>
          </cell>
          <cell r="D1699">
            <v>11</v>
          </cell>
          <cell r="E1699">
            <v>151</v>
          </cell>
          <cell r="F1699">
            <v>1661</v>
          </cell>
        </row>
        <row r="1700">
          <cell r="B1700" t="str">
            <v>Cement</v>
          </cell>
          <cell r="C1700" t="str">
            <v>Bag</v>
          </cell>
          <cell r="D1700">
            <v>2.3119999999999998</v>
          </cell>
          <cell r="E1700">
            <v>150</v>
          </cell>
          <cell r="F1700">
            <v>346.79999999999995</v>
          </cell>
        </row>
        <row r="1701">
          <cell r="B1701" t="str">
            <v>Sand</v>
          </cell>
          <cell r="C1701" t="str">
            <v>Cum</v>
          </cell>
          <cell r="D1701">
            <v>0.22365000000000002</v>
          </cell>
          <cell r="E1701">
            <v>325</v>
          </cell>
          <cell r="F1701">
            <v>72.686250000000001</v>
          </cell>
        </row>
        <row r="1702">
          <cell r="F1702">
            <v>2080.4862499999999</v>
          </cell>
          <cell r="G1702">
            <v>2080.4862499999999</v>
          </cell>
        </row>
        <row r="1704">
          <cell r="A1704" t="str">
            <v>B</v>
          </cell>
          <cell r="B1704" t="str">
            <v>LABOUR</v>
          </cell>
          <cell r="C1704" t="str">
            <v>Sqm</v>
          </cell>
          <cell r="D1704">
            <v>10</v>
          </cell>
          <cell r="E1704">
            <v>0</v>
          </cell>
          <cell r="F1704">
            <v>0</v>
          </cell>
          <cell r="G1704">
            <v>0</v>
          </cell>
        </row>
        <row r="1705">
          <cell r="G1705">
            <v>2080.4862499999999</v>
          </cell>
        </row>
        <row r="1707">
          <cell r="A1707" t="str">
            <v>C</v>
          </cell>
          <cell r="B1707" t="str">
            <v>Add for water &amp; electrical charges</v>
          </cell>
          <cell r="D1707">
            <v>2080.4862499999999</v>
          </cell>
          <cell r="E1707">
            <v>0.01</v>
          </cell>
          <cell r="F1707">
            <v>20.804862499999999</v>
          </cell>
          <cell r="G1707">
            <v>20.804862499999999</v>
          </cell>
        </row>
        <row r="1709">
          <cell r="A1709" t="str">
            <v>D</v>
          </cell>
          <cell r="B1709" t="str">
            <v>Add for tools and plants</v>
          </cell>
          <cell r="D1709">
            <v>2080.4862499999999</v>
          </cell>
          <cell r="E1709">
            <v>0.03</v>
          </cell>
          <cell r="F1709">
            <v>62.414587499999996</v>
          </cell>
          <cell r="G1709">
            <v>62.414587499999996</v>
          </cell>
        </row>
        <row r="1710">
          <cell r="G1710">
            <v>2163.7057</v>
          </cell>
        </row>
        <row r="1712">
          <cell r="A1712" t="str">
            <v>E</v>
          </cell>
          <cell r="B1712" t="str">
            <v>Add contractor's profit</v>
          </cell>
          <cell r="D1712">
            <v>2163.7057</v>
          </cell>
          <cell r="E1712">
            <v>0.15</v>
          </cell>
          <cell r="F1712">
            <v>324.55585500000001</v>
          </cell>
          <cell r="G1712">
            <v>324.55585500000001</v>
          </cell>
        </row>
        <row r="1713">
          <cell r="G1713">
            <v>2488.261555</v>
          </cell>
        </row>
        <row r="1715">
          <cell r="B1715" t="str">
            <v>Rate per Sqm</v>
          </cell>
          <cell r="D1715">
            <v>2488.261555</v>
          </cell>
          <cell r="E1715">
            <v>10</v>
          </cell>
          <cell r="F1715">
            <v>248.8261555</v>
          </cell>
          <cell r="G1715">
            <v>248.8261555</v>
          </cell>
        </row>
        <row r="1769">
          <cell r="A1769">
            <v>39</v>
          </cell>
          <cell r="B1769" t="str">
            <v xml:space="preserve">MARBLE DADO </v>
          </cell>
          <cell r="E1769" t="str">
            <v>QTY -</v>
          </cell>
          <cell r="F1769">
            <v>10</v>
          </cell>
          <cell r="G1769" t="str">
            <v>SQM</v>
          </cell>
        </row>
        <row r="1771">
          <cell r="A1771" t="str">
            <v>A</v>
          </cell>
          <cell r="B1771" t="str">
            <v>MATERIAL</v>
          </cell>
        </row>
        <row r="1773">
          <cell r="B1773" t="str">
            <v>Marble</v>
          </cell>
          <cell r="C1773" t="str">
            <v>Sqm</v>
          </cell>
          <cell r="D1773">
            <v>11</v>
          </cell>
          <cell r="E1773">
            <v>1075</v>
          </cell>
          <cell r="F1773">
            <v>11825</v>
          </cell>
        </row>
        <row r="1774">
          <cell r="B1774" t="str">
            <v>Cement</v>
          </cell>
          <cell r="C1774" t="str">
            <v>Bag</v>
          </cell>
          <cell r="D1774">
            <v>1.25</v>
          </cell>
          <cell r="E1774">
            <v>150</v>
          </cell>
          <cell r="F1774">
            <v>187.5</v>
          </cell>
        </row>
        <row r="1775">
          <cell r="B1775" t="str">
            <v>White cement</v>
          </cell>
          <cell r="C1775" t="str">
            <v>Bag</v>
          </cell>
          <cell r="D1775">
            <v>1.0649999999999999</v>
          </cell>
          <cell r="E1775">
            <v>650</v>
          </cell>
          <cell r="F1775">
            <v>692.25</v>
          </cell>
        </row>
        <row r="1776">
          <cell r="B1776" t="str">
            <v>Sand</v>
          </cell>
          <cell r="C1776" t="str">
            <v>Cum</v>
          </cell>
          <cell r="D1776">
            <v>0.22365000000000002</v>
          </cell>
          <cell r="E1776">
            <v>325</v>
          </cell>
          <cell r="F1776">
            <v>72.686250000000001</v>
          </cell>
        </row>
        <row r="1777">
          <cell r="B1777" t="str">
            <v>Add pins, clamps, dowels etc</v>
          </cell>
          <cell r="C1777" t="str">
            <v>L.s</v>
          </cell>
        </row>
        <row r="1778">
          <cell r="F1778">
            <v>12777.436250000001</v>
          </cell>
          <cell r="G1778">
            <v>12777.436250000001</v>
          </cell>
        </row>
        <row r="1780">
          <cell r="A1780" t="str">
            <v>B</v>
          </cell>
          <cell r="B1780" t="str">
            <v>LABOUR</v>
          </cell>
          <cell r="C1780" t="str">
            <v>Sqm</v>
          </cell>
          <cell r="D1780">
            <v>10</v>
          </cell>
          <cell r="E1780">
            <v>0</v>
          </cell>
          <cell r="F1780">
            <v>0</v>
          </cell>
          <cell r="G1780">
            <v>0</v>
          </cell>
        </row>
        <row r="1781">
          <cell r="G1781">
            <v>12777.436250000001</v>
          </cell>
        </row>
        <row r="1783">
          <cell r="A1783" t="str">
            <v>C</v>
          </cell>
          <cell r="B1783" t="str">
            <v>Add for water &amp; electrical charges</v>
          </cell>
          <cell r="D1783">
            <v>12777.436250000001</v>
          </cell>
          <cell r="E1783">
            <v>0.01</v>
          </cell>
          <cell r="F1783">
            <v>127.77436250000001</v>
          </cell>
          <cell r="G1783">
            <v>127.77436250000001</v>
          </cell>
        </row>
        <row r="1785">
          <cell r="A1785" t="str">
            <v>D</v>
          </cell>
          <cell r="B1785" t="str">
            <v>Add for tools and plants</v>
          </cell>
          <cell r="D1785">
            <v>12777.436250000001</v>
          </cell>
          <cell r="E1785">
            <v>0.03</v>
          </cell>
          <cell r="F1785">
            <v>383.32308749999999</v>
          </cell>
          <cell r="G1785">
            <v>383.32308749999999</v>
          </cell>
        </row>
        <row r="1786">
          <cell r="G1786">
            <v>13288.533700000002</v>
          </cell>
        </row>
        <row r="1788">
          <cell r="A1788" t="str">
            <v>E</v>
          </cell>
          <cell r="B1788" t="str">
            <v>Add contractor's profit</v>
          </cell>
          <cell r="D1788">
            <v>13288.533700000002</v>
          </cell>
          <cell r="E1788">
            <v>0.15</v>
          </cell>
          <cell r="F1788">
            <v>1993.2800550000002</v>
          </cell>
          <cell r="G1788">
            <v>1993.2800550000002</v>
          </cell>
        </row>
        <row r="1789">
          <cell r="G1789">
            <v>15281.813755000003</v>
          </cell>
        </row>
        <row r="1791">
          <cell r="B1791" t="str">
            <v>Rate per Sqm</v>
          </cell>
          <cell r="D1791">
            <v>15281.813755000003</v>
          </cell>
          <cell r="E1791">
            <v>10</v>
          </cell>
          <cell r="F1791">
            <v>1528.1813755000003</v>
          </cell>
          <cell r="G1791">
            <v>1528.1813755000003</v>
          </cell>
        </row>
        <row r="1794">
          <cell r="A1794">
            <v>40</v>
          </cell>
          <cell r="B1794" t="str">
            <v xml:space="preserve">GRANITE DADO </v>
          </cell>
          <cell r="E1794" t="str">
            <v>QTY -</v>
          </cell>
          <cell r="F1794">
            <v>10</v>
          </cell>
          <cell r="G1794" t="str">
            <v>SQM</v>
          </cell>
        </row>
        <row r="1796">
          <cell r="A1796" t="str">
            <v>A</v>
          </cell>
          <cell r="B1796" t="str">
            <v>MATERIAL</v>
          </cell>
        </row>
        <row r="1798">
          <cell r="B1798" t="str">
            <v>Granite</v>
          </cell>
          <cell r="C1798" t="str">
            <v>Sqm</v>
          </cell>
          <cell r="D1798">
            <v>11</v>
          </cell>
          <cell r="E1798">
            <v>1615</v>
          </cell>
          <cell r="F1798">
            <v>17765</v>
          </cell>
        </row>
        <row r="1799">
          <cell r="B1799" t="str">
            <v>Cement</v>
          </cell>
          <cell r="C1799" t="str">
            <v>Bag</v>
          </cell>
          <cell r="D1799">
            <v>2.3119999999999998</v>
          </cell>
          <cell r="E1799">
            <v>150</v>
          </cell>
          <cell r="F1799">
            <v>346.79999999999995</v>
          </cell>
        </row>
        <row r="1800">
          <cell r="B1800" t="str">
            <v>Sand</v>
          </cell>
          <cell r="C1800" t="str">
            <v>Cum</v>
          </cell>
          <cell r="D1800">
            <v>0.22365000000000002</v>
          </cell>
          <cell r="E1800">
            <v>325</v>
          </cell>
          <cell r="F1800">
            <v>72.686250000000001</v>
          </cell>
        </row>
        <row r="1801">
          <cell r="B1801" t="str">
            <v>Add pins, clamps, dowels etc</v>
          </cell>
          <cell r="C1801" t="str">
            <v>L.s</v>
          </cell>
        </row>
        <row r="1802">
          <cell r="F1802">
            <v>18184.486249999998</v>
          </cell>
          <cell r="G1802">
            <v>18184.486249999998</v>
          </cell>
        </row>
        <row r="1804">
          <cell r="A1804" t="str">
            <v>B</v>
          </cell>
          <cell r="B1804" t="str">
            <v>LABOUR</v>
          </cell>
          <cell r="C1804" t="str">
            <v>Sqm</v>
          </cell>
          <cell r="D1804">
            <v>10</v>
          </cell>
          <cell r="E1804">
            <v>0</v>
          </cell>
          <cell r="F1804">
            <v>0</v>
          </cell>
          <cell r="G1804">
            <v>0</v>
          </cell>
        </row>
        <row r="1805">
          <cell r="G1805">
            <v>18184.486249999998</v>
          </cell>
        </row>
        <row r="1807">
          <cell r="A1807" t="str">
            <v>C</v>
          </cell>
          <cell r="B1807" t="str">
            <v>Add for water &amp; electrical charges</v>
          </cell>
          <cell r="D1807">
            <v>18184.486249999998</v>
          </cell>
          <cell r="E1807">
            <v>0.01</v>
          </cell>
          <cell r="F1807">
            <v>181.84486249999998</v>
          </cell>
          <cell r="G1807">
            <v>181.84486249999998</v>
          </cell>
        </row>
        <row r="1809">
          <cell r="A1809" t="str">
            <v>D</v>
          </cell>
          <cell r="B1809" t="str">
            <v>Add for tools and plants</v>
          </cell>
          <cell r="D1809">
            <v>18184.486249999998</v>
          </cell>
          <cell r="E1809">
            <v>0.03</v>
          </cell>
          <cell r="F1809">
            <v>545.53458749999993</v>
          </cell>
          <cell r="G1809">
            <v>545.53458749999993</v>
          </cell>
        </row>
        <row r="1810">
          <cell r="G1810">
            <v>18911.865699999995</v>
          </cell>
        </row>
        <row r="1812">
          <cell r="A1812" t="str">
            <v>E</v>
          </cell>
          <cell r="B1812" t="str">
            <v>Add contractor's profit</v>
          </cell>
          <cell r="D1812">
            <v>18911.865699999995</v>
          </cell>
          <cell r="E1812">
            <v>0.15</v>
          </cell>
          <cell r="F1812">
            <v>2836.7798549999993</v>
          </cell>
          <cell r="G1812">
            <v>2836.7798549999993</v>
          </cell>
        </row>
        <row r="1813">
          <cell r="G1813">
            <v>21748.645554999996</v>
          </cell>
        </row>
        <row r="1815">
          <cell r="B1815" t="str">
            <v>Rate per Sqm</v>
          </cell>
          <cell r="D1815">
            <v>21748.645554999996</v>
          </cell>
          <cell r="E1815">
            <v>10</v>
          </cell>
          <cell r="F1815">
            <v>2174.8645554999994</v>
          </cell>
          <cell r="G1815">
            <v>2174.8645554999994</v>
          </cell>
        </row>
        <row r="1818">
          <cell r="A1818">
            <v>43</v>
          </cell>
          <cell r="B1818" t="str">
            <v>CERAMIC TILES SKIRTING 150MM HIGH</v>
          </cell>
          <cell r="E1818" t="str">
            <v>QTY -</v>
          </cell>
          <cell r="F1818">
            <v>10</v>
          </cell>
          <cell r="G1818" t="str">
            <v>RMT</v>
          </cell>
        </row>
        <row r="1820">
          <cell r="A1820" t="str">
            <v>A</v>
          </cell>
          <cell r="B1820" t="str">
            <v xml:space="preserve">MATERIAL </v>
          </cell>
        </row>
        <row r="1822">
          <cell r="B1822" t="str">
            <v>Ceramic tiles</v>
          </cell>
          <cell r="C1822" t="str">
            <v>Rmt</v>
          </cell>
          <cell r="D1822">
            <v>10.5</v>
          </cell>
          <cell r="E1822">
            <v>550</v>
          </cell>
          <cell r="F1822">
            <v>5775</v>
          </cell>
        </row>
        <row r="1823">
          <cell r="B1823" t="str">
            <v xml:space="preserve">Cement </v>
          </cell>
          <cell r="C1823" t="str">
            <v>Bag</v>
          </cell>
          <cell r="D1823">
            <v>0.184</v>
          </cell>
          <cell r="E1823">
            <v>150</v>
          </cell>
          <cell r="F1823">
            <v>27.599999999999998</v>
          </cell>
        </row>
        <row r="1824">
          <cell r="B1824" t="str">
            <v xml:space="preserve">White Cement </v>
          </cell>
          <cell r="C1824" t="str">
            <v>Bag</v>
          </cell>
          <cell r="D1824">
            <v>0.157</v>
          </cell>
          <cell r="E1824">
            <v>650</v>
          </cell>
          <cell r="F1824">
            <v>102.05</v>
          </cell>
        </row>
        <row r="1825">
          <cell r="B1825" t="str">
            <v>Sand</v>
          </cell>
          <cell r="C1825" t="str">
            <v>Cum</v>
          </cell>
          <cell r="D1825">
            <v>3.3599999999999998E-2</v>
          </cell>
          <cell r="E1825">
            <v>325</v>
          </cell>
          <cell r="F1825">
            <v>10.92</v>
          </cell>
        </row>
        <row r="1826">
          <cell r="F1826">
            <v>5915.5700000000006</v>
          </cell>
          <cell r="G1826">
            <v>5915.5700000000006</v>
          </cell>
        </row>
        <row r="1828">
          <cell r="A1828" t="str">
            <v>B</v>
          </cell>
          <cell r="B1828" t="str">
            <v>LABOUR</v>
          </cell>
          <cell r="C1828" t="str">
            <v>Rmt</v>
          </cell>
          <cell r="D1828">
            <v>10</v>
          </cell>
          <cell r="E1828">
            <v>0</v>
          </cell>
          <cell r="F1828">
            <v>0</v>
          </cell>
          <cell r="G1828">
            <v>0</v>
          </cell>
        </row>
        <row r="1829">
          <cell r="G1829">
            <v>5915.5700000000006</v>
          </cell>
        </row>
        <row r="1831">
          <cell r="A1831" t="str">
            <v>C</v>
          </cell>
          <cell r="B1831" t="str">
            <v>Add for water &amp; electrical charges</v>
          </cell>
          <cell r="D1831">
            <v>5915.5700000000006</v>
          </cell>
          <cell r="E1831">
            <v>0.01</v>
          </cell>
          <cell r="F1831">
            <v>59.15570000000001</v>
          </cell>
          <cell r="G1831">
            <v>59.15570000000001</v>
          </cell>
        </row>
        <row r="1833">
          <cell r="A1833" t="str">
            <v>D</v>
          </cell>
          <cell r="B1833" t="str">
            <v>Add for tools and plants</v>
          </cell>
          <cell r="D1833">
            <v>5915.5700000000006</v>
          </cell>
          <cell r="E1833">
            <v>0.03</v>
          </cell>
          <cell r="F1833">
            <v>177.46710000000002</v>
          </cell>
          <cell r="G1833">
            <v>177.46710000000002</v>
          </cell>
        </row>
        <row r="1834">
          <cell r="G1834">
            <v>6152.1928000000007</v>
          </cell>
        </row>
        <row r="1836">
          <cell r="A1836" t="str">
            <v>E</v>
          </cell>
          <cell r="B1836" t="str">
            <v>Add contractor's profit</v>
          </cell>
          <cell r="D1836">
            <v>6152.1928000000007</v>
          </cell>
          <cell r="E1836">
            <v>0.15</v>
          </cell>
          <cell r="F1836">
            <v>922.82892000000004</v>
          </cell>
          <cell r="G1836">
            <v>922.82892000000004</v>
          </cell>
        </row>
        <row r="1837">
          <cell r="G1837">
            <v>7075.0217200000006</v>
          </cell>
        </row>
        <row r="1839">
          <cell r="B1839" t="str">
            <v>Rate per Rmt</v>
          </cell>
          <cell r="D1839">
            <v>7075.0217200000006</v>
          </cell>
          <cell r="E1839">
            <v>10</v>
          </cell>
          <cell r="F1839">
            <v>707.50217200000009</v>
          </cell>
          <cell r="G1839">
            <v>707.50217200000009</v>
          </cell>
        </row>
        <row r="1842">
          <cell r="A1842">
            <v>45</v>
          </cell>
          <cell r="B1842" t="str">
            <v>MARBLE TREAD (1500 X 300)</v>
          </cell>
          <cell r="E1842" t="str">
            <v>QTY -</v>
          </cell>
          <cell r="F1842">
            <v>1.5</v>
          </cell>
          <cell r="G1842" t="str">
            <v>RMT</v>
          </cell>
        </row>
        <row r="1844">
          <cell r="A1844" t="str">
            <v>A</v>
          </cell>
          <cell r="B1844" t="str">
            <v xml:space="preserve">MATERIAL </v>
          </cell>
        </row>
        <row r="1846">
          <cell r="B1846" t="str">
            <v>Marble</v>
          </cell>
          <cell r="C1846" t="str">
            <v>Rmt</v>
          </cell>
          <cell r="D1846">
            <v>1.65</v>
          </cell>
          <cell r="E1846">
            <v>241.875</v>
          </cell>
          <cell r="F1846">
            <v>399.09375</v>
          </cell>
        </row>
        <row r="1847">
          <cell r="B1847" t="str">
            <v>Cement  (for bedding)</v>
          </cell>
          <cell r="C1847" t="str">
            <v>Bag</v>
          </cell>
          <cell r="D1847">
            <v>6.4000000000000001E-2</v>
          </cell>
          <cell r="E1847">
            <v>150</v>
          </cell>
          <cell r="F1847">
            <v>9.6</v>
          </cell>
        </row>
        <row r="1848">
          <cell r="B1848" t="str">
            <v>White cement  (for slurry)</v>
          </cell>
          <cell r="C1848" t="str">
            <v>Bag</v>
          </cell>
          <cell r="D1848">
            <v>5.8999999999999997E-2</v>
          </cell>
          <cell r="E1848">
            <v>650</v>
          </cell>
          <cell r="F1848">
            <v>38.35</v>
          </cell>
        </row>
        <row r="1849">
          <cell r="B1849" t="str">
            <v>Sand</v>
          </cell>
          <cell r="C1849" t="str">
            <v>Cum</v>
          </cell>
          <cell r="D1849">
            <v>1.4E-2</v>
          </cell>
          <cell r="E1849">
            <v>325</v>
          </cell>
          <cell r="F1849">
            <v>4.55</v>
          </cell>
        </row>
        <row r="1850">
          <cell r="F1850">
            <v>451.59375000000006</v>
          </cell>
          <cell r="G1850">
            <v>451.59375000000006</v>
          </cell>
        </row>
        <row r="1852">
          <cell r="A1852" t="str">
            <v>B</v>
          </cell>
          <cell r="B1852" t="str">
            <v>LABOUR</v>
          </cell>
          <cell r="C1852" t="str">
            <v>Rmt</v>
          </cell>
          <cell r="D1852">
            <v>1.5</v>
          </cell>
          <cell r="E1852">
            <v>0</v>
          </cell>
          <cell r="F1852">
            <v>0</v>
          </cell>
          <cell r="G1852">
            <v>0</v>
          </cell>
        </row>
        <row r="1853">
          <cell r="G1853">
            <v>451.59375000000006</v>
          </cell>
        </row>
        <row r="1855">
          <cell r="A1855" t="str">
            <v>C</v>
          </cell>
          <cell r="B1855" t="str">
            <v>Add for water &amp; electrical charges</v>
          </cell>
          <cell r="D1855">
            <v>451.59375000000006</v>
          </cell>
          <cell r="E1855">
            <v>0.01</v>
          </cell>
          <cell r="F1855">
            <v>4.5159375000000006</v>
          </cell>
          <cell r="G1855">
            <v>4.5159375000000006</v>
          </cell>
        </row>
        <row r="1857">
          <cell r="A1857" t="str">
            <v>D</v>
          </cell>
          <cell r="B1857" t="str">
            <v>Add for tools and plants</v>
          </cell>
          <cell r="D1857">
            <v>451.59375000000006</v>
          </cell>
          <cell r="E1857">
            <v>0.03</v>
          </cell>
          <cell r="F1857">
            <v>13.547812500000001</v>
          </cell>
          <cell r="G1857">
            <v>13.547812500000001</v>
          </cell>
        </row>
        <row r="1858">
          <cell r="G1858">
            <v>469.65750000000008</v>
          </cell>
        </row>
        <row r="1860">
          <cell r="A1860" t="str">
            <v>E</v>
          </cell>
          <cell r="B1860" t="str">
            <v>Add contractor's profit</v>
          </cell>
          <cell r="D1860">
            <v>469.65750000000008</v>
          </cell>
          <cell r="E1860">
            <v>0.15</v>
          </cell>
          <cell r="F1860">
            <v>70.448625000000007</v>
          </cell>
          <cell r="G1860">
            <v>70.448625000000007</v>
          </cell>
        </row>
        <row r="1861">
          <cell r="G1861">
            <v>540.10612500000013</v>
          </cell>
        </row>
        <row r="1863">
          <cell r="B1863" t="str">
            <v>Rate per Rmt</v>
          </cell>
          <cell r="D1863">
            <v>540.10612500000013</v>
          </cell>
          <cell r="E1863">
            <v>1.5</v>
          </cell>
          <cell r="F1863">
            <v>360.07075000000009</v>
          </cell>
          <cell r="G1863">
            <v>360.07075000000009</v>
          </cell>
        </row>
        <row r="1866">
          <cell r="A1866">
            <v>46</v>
          </cell>
          <cell r="B1866" t="str">
            <v>MARBLE RISER (1500 X 150)</v>
          </cell>
          <cell r="E1866" t="str">
            <v>QTY -</v>
          </cell>
          <cell r="F1866">
            <v>1.5</v>
          </cell>
          <cell r="G1866" t="str">
            <v>RMT</v>
          </cell>
        </row>
        <row r="1868">
          <cell r="A1868" t="str">
            <v>A</v>
          </cell>
          <cell r="B1868" t="str">
            <v xml:space="preserve">MATERIAL </v>
          </cell>
        </row>
        <row r="1870">
          <cell r="B1870" t="str">
            <v>Marble</v>
          </cell>
          <cell r="C1870" t="str">
            <v>Rmt</v>
          </cell>
          <cell r="D1870">
            <v>1.65</v>
          </cell>
          <cell r="E1870">
            <v>241.875</v>
          </cell>
          <cell r="F1870">
            <v>399.09375</v>
          </cell>
        </row>
        <row r="1871">
          <cell r="B1871" t="str">
            <v>Cement for backing coat</v>
          </cell>
          <cell r="C1871" t="str">
            <v>Bag</v>
          </cell>
          <cell r="D1871">
            <v>2.8000000000000001E-2</v>
          </cell>
          <cell r="E1871">
            <v>150</v>
          </cell>
          <cell r="F1871">
            <v>4.2</v>
          </cell>
        </row>
        <row r="1872">
          <cell r="B1872" t="str">
            <v>White cement  (for slurry)</v>
          </cell>
          <cell r="C1872" t="str">
            <v>Bag</v>
          </cell>
          <cell r="D1872">
            <v>2.3599999999999999E-2</v>
          </cell>
          <cell r="E1872">
            <v>650</v>
          </cell>
          <cell r="F1872">
            <v>15.34</v>
          </cell>
        </row>
        <row r="1873">
          <cell r="B1873" t="str">
            <v>Sand</v>
          </cell>
          <cell r="C1873" t="str">
            <v>Cum</v>
          </cell>
          <cell r="D1873">
            <v>4.8999999999999998E-3</v>
          </cell>
          <cell r="E1873">
            <v>325</v>
          </cell>
          <cell r="F1873">
            <v>1.5925</v>
          </cell>
        </row>
        <row r="1874">
          <cell r="F1874">
            <v>420.22624999999994</v>
          </cell>
          <cell r="G1874">
            <v>420.22624999999994</v>
          </cell>
        </row>
        <row r="1876">
          <cell r="A1876" t="str">
            <v>B</v>
          </cell>
          <cell r="B1876" t="str">
            <v>LABOUR</v>
          </cell>
          <cell r="C1876" t="str">
            <v>Rmt</v>
          </cell>
          <cell r="D1876">
            <v>1.5</v>
          </cell>
          <cell r="E1876">
            <v>0</v>
          </cell>
          <cell r="F1876">
            <v>0</v>
          </cell>
          <cell r="G1876">
            <v>0</v>
          </cell>
        </row>
        <row r="1877">
          <cell r="G1877">
            <v>420.22624999999994</v>
          </cell>
        </row>
        <row r="1879">
          <cell r="A1879" t="str">
            <v>C</v>
          </cell>
          <cell r="B1879" t="str">
            <v>Add for water &amp; electrical charges</v>
          </cell>
          <cell r="D1879">
            <v>420.22624999999994</v>
          </cell>
          <cell r="E1879">
            <v>0.01</v>
          </cell>
          <cell r="F1879">
            <v>4.2022624999999998</v>
          </cell>
          <cell r="G1879">
            <v>4.2022624999999998</v>
          </cell>
        </row>
        <row r="1881">
          <cell r="A1881" t="str">
            <v>D</v>
          </cell>
          <cell r="B1881" t="str">
            <v>Add for tools and plants</v>
          </cell>
          <cell r="D1881">
            <v>420.22624999999994</v>
          </cell>
          <cell r="E1881">
            <v>0.03</v>
          </cell>
          <cell r="F1881">
            <v>12.606787499999998</v>
          </cell>
          <cell r="G1881">
            <v>12.606787499999998</v>
          </cell>
        </row>
        <row r="1882">
          <cell r="G1882">
            <v>437.03529999999995</v>
          </cell>
        </row>
        <row r="1884">
          <cell r="A1884" t="str">
            <v>E</v>
          </cell>
          <cell r="B1884" t="str">
            <v>Add contractor's profit</v>
          </cell>
          <cell r="D1884">
            <v>437.03529999999995</v>
          </cell>
          <cell r="E1884">
            <v>0.15</v>
          </cell>
          <cell r="F1884">
            <v>65.555294999999987</v>
          </cell>
          <cell r="G1884">
            <v>65.555294999999987</v>
          </cell>
        </row>
        <row r="1885">
          <cell r="G1885">
            <v>502.59059499999995</v>
          </cell>
        </row>
        <row r="1887">
          <cell r="B1887" t="str">
            <v>Rate per Rmt</v>
          </cell>
          <cell r="D1887">
            <v>502.59059499999995</v>
          </cell>
          <cell r="E1887">
            <v>1.5</v>
          </cell>
          <cell r="F1887">
            <v>335.06039666666663</v>
          </cell>
          <cell r="G1887">
            <v>335.06039666666663</v>
          </cell>
        </row>
        <row r="1913">
          <cell r="A1913">
            <v>47</v>
          </cell>
          <cell r="B1913" t="str">
            <v xml:space="preserve">TANDUR STONE TREAD </v>
          </cell>
          <cell r="E1913" t="str">
            <v>QTY -</v>
          </cell>
          <cell r="F1913">
            <v>10</v>
          </cell>
          <cell r="G1913" t="str">
            <v>RMT</v>
          </cell>
        </row>
        <row r="1915">
          <cell r="A1915" t="str">
            <v>A</v>
          </cell>
          <cell r="B1915" t="str">
            <v xml:space="preserve">MATERIAL </v>
          </cell>
        </row>
        <row r="1917">
          <cell r="B1917" t="str">
            <v xml:space="preserve">Tandur stone </v>
          </cell>
          <cell r="C1917" t="str">
            <v>Sqm</v>
          </cell>
          <cell r="D1917">
            <v>3.4499999999999997</v>
          </cell>
          <cell r="E1917">
            <v>45</v>
          </cell>
          <cell r="F1917">
            <v>155.25</v>
          </cell>
        </row>
        <row r="1918">
          <cell r="B1918" t="str">
            <v>Cement  (for bedding)</v>
          </cell>
          <cell r="C1918" t="str">
            <v>Bag</v>
          </cell>
          <cell r="D1918">
            <v>0.67</v>
          </cell>
          <cell r="E1918">
            <v>150</v>
          </cell>
          <cell r="F1918">
            <v>100.5</v>
          </cell>
        </row>
        <row r="1919">
          <cell r="B1919" t="str">
            <v>Sand</v>
          </cell>
          <cell r="C1919" t="str">
            <v>Cum</v>
          </cell>
          <cell r="D1919">
            <v>7.0000000000000007E-2</v>
          </cell>
          <cell r="E1919">
            <v>325</v>
          </cell>
          <cell r="F1919">
            <v>22.750000000000004</v>
          </cell>
        </row>
        <row r="1920">
          <cell r="B1920" t="str">
            <v>Joint filler (Grout)</v>
          </cell>
          <cell r="C1920" t="str">
            <v>Kg</v>
          </cell>
          <cell r="D1920">
            <v>0.1</v>
          </cell>
          <cell r="E1920">
            <v>50</v>
          </cell>
          <cell r="F1920">
            <v>5</v>
          </cell>
        </row>
        <row r="1921">
          <cell r="F1921">
            <v>283.5</v>
          </cell>
          <cell r="G1921">
            <v>283.5</v>
          </cell>
        </row>
        <row r="1923">
          <cell r="A1923" t="str">
            <v>B</v>
          </cell>
          <cell r="B1923" t="str">
            <v>LABOUR</v>
          </cell>
          <cell r="C1923" t="str">
            <v>Rmt</v>
          </cell>
          <cell r="D1923">
            <v>10</v>
          </cell>
          <cell r="E1923">
            <v>8</v>
          </cell>
          <cell r="F1923">
            <v>80</v>
          </cell>
          <cell r="G1923">
            <v>80</v>
          </cell>
        </row>
        <row r="1924">
          <cell r="G1924">
            <v>363.5</v>
          </cell>
        </row>
        <row r="1926">
          <cell r="A1926" t="str">
            <v>C</v>
          </cell>
          <cell r="B1926" t="str">
            <v>Add for water &amp; electrical charges</v>
          </cell>
          <cell r="D1926">
            <v>363.5</v>
          </cell>
          <cell r="E1926">
            <v>0.01</v>
          </cell>
          <cell r="F1926">
            <v>3.6350000000000002</v>
          </cell>
          <cell r="G1926">
            <v>3.6350000000000002</v>
          </cell>
        </row>
        <row r="1928">
          <cell r="A1928" t="str">
            <v>D</v>
          </cell>
          <cell r="B1928" t="str">
            <v>Add for tools and plants</v>
          </cell>
          <cell r="D1928">
            <v>363.5</v>
          </cell>
          <cell r="E1928">
            <v>0.03</v>
          </cell>
          <cell r="F1928">
            <v>10.904999999999999</v>
          </cell>
          <cell r="G1928">
            <v>10.904999999999999</v>
          </cell>
        </row>
        <row r="1929">
          <cell r="G1929">
            <v>378.03999999999996</v>
          </cell>
        </row>
        <row r="1931">
          <cell r="A1931" t="str">
            <v>E</v>
          </cell>
          <cell r="B1931" t="str">
            <v>Add contractor's profit</v>
          </cell>
          <cell r="D1931">
            <v>378.03999999999996</v>
          </cell>
          <cell r="E1931">
            <v>0.15</v>
          </cell>
          <cell r="F1931">
            <v>56.705999999999996</v>
          </cell>
          <cell r="G1931">
            <v>56.705999999999996</v>
          </cell>
        </row>
        <row r="1932">
          <cell r="G1932">
            <v>434.74599999999998</v>
          </cell>
        </row>
        <row r="1934">
          <cell r="A1934" t="str">
            <v>F</v>
          </cell>
          <cell r="B1934" t="str">
            <v xml:space="preserve">WCT </v>
          </cell>
          <cell r="D1934">
            <v>434.74599999999998</v>
          </cell>
          <cell r="E1934">
            <v>0.04</v>
          </cell>
          <cell r="F1934">
            <v>17.38984</v>
          </cell>
          <cell r="G1934">
            <v>17.38984</v>
          </cell>
        </row>
        <row r="1935">
          <cell r="G1935">
            <v>452.13583999999997</v>
          </cell>
        </row>
        <row r="1937">
          <cell r="B1937" t="str">
            <v>Rate per Rmt</v>
          </cell>
          <cell r="D1937">
            <v>452.13583999999997</v>
          </cell>
          <cell r="E1937">
            <v>10</v>
          </cell>
          <cell r="F1937">
            <v>45.213583999999997</v>
          </cell>
          <cell r="G1937">
            <v>46</v>
          </cell>
        </row>
        <row r="1940">
          <cell r="A1940">
            <v>48</v>
          </cell>
          <cell r="B1940" t="str">
            <v>KOTA STONE RISER (1500 X 150)</v>
          </cell>
          <cell r="E1940" t="str">
            <v>QTY -</v>
          </cell>
          <cell r="F1940">
            <v>1.5</v>
          </cell>
          <cell r="G1940" t="str">
            <v>RMT</v>
          </cell>
        </row>
        <row r="1942">
          <cell r="A1942" t="str">
            <v>A</v>
          </cell>
          <cell r="B1942" t="str">
            <v xml:space="preserve">MATERIAL </v>
          </cell>
        </row>
        <row r="1944">
          <cell r="B1944" t="str">
            <v>Kota stone</v>
          </cell>
          <cell r="C1944" t="str">
            <v>Rmt</v>
          </cell>
          <cell r="D1944">
            <v>1.65</v>
          </cell>
          <cell r="E1944">
            <v>33.974999999999994</v>
          </cell>
          <cell r="F1944">
            <v>56.058749999999989</v>
          </cell>
        </row>
        <row r="1945">
          <cell r="B1945" t="str">
            <v>Cement for backing coat</v>
          </cell>
          <cell r="C1945" t="str">
            <v>Bag</v>
          </cell>
          <cell r="D1945">
            <v>2.8000000000000001E-2</v>
          </cell>
          <cell r="E1945">
            <v>150</v>
          </cell>
          <cell r="F1945">
            <v>4.2</v>
          </cell>
        </row>
        <row r="1946">
          <cell r="B1946" t="str">
            <v>Cement  (for slurry)</v>
          </cell>
          <cell r="C1946" t="str">
            <v>Bag</v>
          </cell>
          <cell r="D1946">
            <v>2.3599999999999999E-2</v>
          </cell>
          <cell r="E1946">
            <v>150</v>
          </cell>
          <cell r="F1946">
            <v>3.54</v>
          </cell>
        </row>
        <row r="1947">
          <cell r="B1947" t="str">
            <v>Sand</v>
          </cell>
          <cell r="C1947" t="str">
            <v>Cum</v>
          </cell>
          <cell r="D1947">
            <v>4.8999999999999998E-3</v>
          </cell>
          <cell r="E1947">
            <v>325</v>
          </cell>
          <cell r="F1947">
            <v>1.5925</v>
          </cell>
        </row>
        <row r="1948">
          <cell r="F1948">
            <v>65.391249999999985</v>
          </cell>
          <cell r="G1948">
            <v>65.391249999999985</v>
          </cell>
        </row>
        <row r="1950">
          <cell r="A1950" t="str">
            <v>B</v>
          </cell>
          <cell r="B1950" t="str">
            <v>LABOUR</v>
          </cell>
          <cell r="C1950" t="str">
            <v>Rmt</v>
          </cell>
          <cell r="D1950">
            <v>1.5</v>
          </cell>
          <cell r="E1950">
            <v>0</v>
          </cell>
          <cell r="F1950">
            <v>0</v>
          </cell>
          <cell r="G1950">
            <v>0</v>
          </cell>
        </row>
        <row r="1951">
          <cell r="G1951">
            <v>65.391249999999985</v>
          </cell>
        </row>
        <row r="1953">
          <cell r="A1953" t="str">
            <v>C</v>
          </cell>
          <cell r="B1953" t="str">
            <v>Add for water &amp; electrical charges</v>
          </cell>
          <cell r="D1953">
            <v>65.391249999999985</v>
          </cell>
          <cell r="E1953">
            <v>0.01</v>
          </cell>
          <cell r="F1953">
            <v>0.6539124999999999</v>
          </cell>
          <cell r="G1953">
            <v>0.6539124999999999</v>
          </cell>
        </row>
        <row r="1955">
          <cell r="A1955" t="str">
            <v>D</v>
          </cell>
          <cell r="B1955" t="str">
            <v>Add for tools and plants</v>
          </cell>
          <cell r="D1955">
            <v>65.391249999999985</v>
          </cell>
          <cell r="E1955">
            <v>0.03</v>
          </cell>
          <cell r="F1955">
            <v>1.9617374999999995</v>
          </cell>
          <cell r="G1955">
            <v>1.9617374999999995</v>
          </cell>
        </row>
        <row r="1956">
          <cell r="G1956">
            <v>68.006899999999987</v>
          </cell>
        </row>
        <row r="1958">
          <cell r="A1958" t="str">
            <v>E</v>
          </cell>
          <cell r="B1958" t="str">
            <v>Add contractor's profit</v>
          </cell>
          <cell r="D1958">
            <v>68.006899999999987</v>
          </cell>
          <cell r="E1958">
            <v>0.15</v>
          </cell>
          <cell r="F1958">
            <v>10.201034999999997</v>
          </cell>
          <cell r="G1958">
            <v>10.201034999999997</v>
          </cell>
        </row>
        <row r="1959">
          <cell r="G1959">
            <v>78.207934999999992</v>
          </cell>
        </row>
        <row r="1961">
          <cell r="B1961" t="str">
            <v>Rate per Rmt</v>
          </cell>
          <cell r="D1961">
            <v>78.207934999999992</v>
          </cell>
          <cell r="E1961">
            <v>1.5</v>
          </cell>
          <cell r="F1961">
            <v>52.138623333333328</v>
          </cell>
          <cell r="G1961">
            <v>52.138623333333328</v>
          </cell>
        </row>
        <row r="1964">
          <cell r="A1964">
            <v>49</v>
          </cell>
          <cell r="B1964" t="str">
            <v>MARBLE WINDOW SILL 350MM WIDE</v>
          </cell>
          <cell r="E1964" t="str">
            <v>QTY -</v>
          </cell>
          <cell r="F1964">
            <v>10</v>
          </cell>
          <cell r="G1964" t="str">
            <v>RMT</v>
          </cell>
        </row>
        <row r="1966">
          <cell r="A1966" t="str">
            <v>A</v>
          </cell>
          <cell r="B1966" t="str">
            <v xml:space="preserve">MATERIAL </v>
          </cell>
        </row>
        <row r="1968">
          <cell r="B1968" t="str">
            <v>Marble</v>
          </cell>
          <cell r="C1968" t="str">
            <v>Rmt</v>
          </cell>
          <cell r="D1968">
            <v>11</v>
          </cell>
          <cell r="E1968">
            <v>564.375</v>
          </cell>
          <cell r="F1968">
            <v>6208.125</v>
          </cell>
        </row>
        <row r="1969">
          <cell r="B1969" t="str">
            <v>Cement  (for bedding)</v>
          </cell>
          <cell r="C1969" t="str">
            <v>Bag</v>
          </cell>
          <cell r="D1969">
            <v>0.159</v>
          </cell>
          <cell r="E1969">
            <v>150</v>
          </cell>
          <cell r="F1969">
            <v>23.85</v>
          </cell>
        </row>
        <row r="1970">
          <cell r="B1970" t="str">
            <v>White cement  (for slurry)</v>
          </cell>
          <cell r="C1970" t="str">
            <v>Bag</v>
          </cell>
          <cell r="D1970">
            <v>0.3</v>
          </cell>
          <cell r="E1970">
            <v>650</v>
          </cell>
          <cell r="F1970">
            <v>195</v>
          </cell>
        </row>
        <row r="1971">
          <cell r="B1971" t="str">
            <v>Sand</v>
          </cell>
          <cell r="C1971" t="str">
            <v>Cum</v>
          </cell>
          <cell r="D1971">
            <v>3.5000000000000003E-2</v>
          </cell>
          <cell r="E1971">
            <v>325</v>
          </cell>
          <cell r="F1971">
            <v>11.375000000000002</v>
          </cell>
        </row>
        <row r="1972">
          <cell r="F1972">
            <v>6438.35</v>
          </cell>
          <cell r="G1972">
            <v>6438.35</v>
          </cell>
        </row>
        <row r="1974">
          <cell r="A1974" t="str">
            <v>B</v>
          </cell>
          <cell r="B1974" t="str">
            <v>LABOUR</v>
          </cell>
          <cell r="C1974" t="str">
            <v>Rmt</v>
          </cell>
          <cell r="D1974">
            <v>10</v>
          </cell>
          <cell r="E1974">
            <v>0</v>
          </cell>
          <cell r="F1974">
            <v>0</v>
          </cell>
          <cell r="G1974">
            <v>0</v>
          </cell>
        </row>
        <row r="1975">
          <cell r="G1975">
            <v>6438.35</v>
          </cell>
        </row>
        <row r="1977">
          <cell r="A1977" t="str">
            <v>C</v>
          </cell>
          <cell r="B1977" t="str">
            <v>Add for water &amp; electrical charges</v>
          </cell>
          <cell r="D1977">
            <v>6438.35</v>
          </cell>
          <cell r="E1977">
            <v>0.01</v>
          </cell>
          <cell r="F1977">
            <v>64.383499999999998</v>
          </cell>
          <cell r="G1977">
            <v>64.383499999999998</v>
          </cell>
        </row>
        <row r="1979">
          <cell r="A1979" t="str">
            <v>D</v>
          </cell>
          <cell r="B1979" t="str">
            <v>Add for tools and plants</v>
          </cell>
          <cell r="D1979">
            <v>6438.35</v>
          </cell>
          <cell r="E1979">
            <v>0.03</v>
          </cell>
          <cell r="F1979">
            <v>193.15049999999999</v>
          </cell>
          <cell r="G1979">
            <v>193.15049999999999</v>
          </cell>
        </row>
        <row r="1980">
          <cell r="G1980">
            <v>6695.884</v>
          </cell>
        </row>
        <row r="1982">
          <cell r="A1982" t="str">
            <v>E</v>
          </cell>
          <cell r="B1982" t="str">
            <v>Add contractor's profit</v>
          </cell>
          <cell r="D1982">
            <v>6695.884</v>
          </cell>
          <cell r="E1982">
            <v>0.15</v>
          </cell>
          <cell r="F1982">
            <v>1004.3825999999999</v>
          </cell>
          <cell r="G1982">
            <v>1004.3825999999999</v>
          </cell>
        </row>
        <row r="1983">
          <cell r="G1983">
            <v>7700.2665999999999</v>
          </cell>
        </row>
        <row r="1985">
          <cell r="B1985" t="str">
            <v>Rate per Rmt</v>
          </cell>
          <cell r="D1985">
            <v>7700.2665999999999</v>
          </cell>
          <cell r="E1985">
            <v>10</v>
          </cell>
          <cell r="F1985">
            <v>770.02665999999999</v>
          </cell>
          <cell r="G1985">
            <v>770.02665999999999</v>
          </cell>
        </row>
        <row r="1988">
          <cell r="A1988">
            <v>50</v>
          </cell>
          <cell r="B1988" t="str">
            <v>KOTA STONE WINDOW SILL 350MM WIDE</v>
          </cell>
          <cell r="E1988" t="str">
            <v>QTY -</v>
          </cell>
          <cell r="F1988">
            <v>10</v>
          </cell>
          <cell r="G1988" t="str">
            <v>RMT</v>
          </cell>
        </row>
        <row r="1990">
          <cell r="A1990" t="str">
            <v>A</v>
          </cell>
          <cell r="B1990" t="str">
            <v xml:space="preserve">MATERIAL </v>
          </cell>
        </row>
        <row r="1992">
          <cell r="B1992" t="str">
            <v>Kota stone</v>
          </cell>
          <cell r="C1992" t="str">
            <v>Rmt</v>
          </cell>
          <cell r="D1992">
            <v>11</v>
          </cell>
          <cell r="E1992">
            <v>79.274999999999991</v>
          </cell>
          <cell r="F1992">
            <v>872.02499999999986</v>
          </cell>
        </row>
        <row r="1993">
          <cell r="B1993" t="str">
            <v>Cement  (for bedding)</v>
          </cell>
          <cell r="C1993" t="str">
            <v>Bag</v>
          </cell>
          <cell r="D1993">
            <v>0.159</v>
          </cell>
          <cell r="E1993">
            <v>150</v>
          </cell>
          <cell r="F1993">
            <v>23.85</v>
          </cell>
        </row>
        <row r="1994">
          <cell r="B1994" t="str">
            <v>Cement  (for slurry)</v>
          </cell>
          <cell r="C1994" t="str">
            <v>Bag</v>
          </cell>
          <cell r="D1994">
            <v>0.3</v>
          </cell>
          <cell r="E1994">
            <v>150</v>
          </cell>
          <cell r="F1994">
            <v>45</v>
          </cell>
        </row>
        <row r="1995">
          <cell r="B1995" t="str">
            <v>Sand</v>
          </cell>
          <cell r="C1995" t="str">
            <v>Cum</v>
          </cell>
          <cell r="D1995">
            <v>3.5000000000000003E-2</v>
          </cell>
          <cell r="E1995">
            <v>325</v>
          </cell>
          <cell r="F1995">
            <v>11.375000000000002</v>
          </cell>
        </row>
        <row r="1996">
          <cell r="F1996">
            <v>952.24999999999989</v>
          </cell>
          <cell r="G1996">
            <v>952.24999999999989</v>
          </cell>
        </row>
        <row r="1998">
          <cell r="A1998" t="str">
            <v>B</v>
          </cell>
          <cell r="B1998" t="str">
            <v>LABOUR</v>
          </cell>
          <cell r="C1998" t="str">
            <v>Rmt</v>
          </cell>
          <cell r="D1998">
            <v>10</v>
          </cell>
          <cell r="E1998">
            <v>0</v>
          </cell>
          <cell r="F1998">
            <v>0</v>
          </cell>
          <cell r="G1998">
            <v>0</v>
          </cell>
        </row>
        <row r="1999">
          <cell r="G1999">
            <v>952.24999999999989</v>
          </cell>
        </row>
        <row r="2001">
          <cell r="A2001" t="str">
            <v>C</v>
          </cell>
          <cell r="B2001" t="str">
            <v>Add for water &amp; electrical charges</v>
          </cell>
          <cell r="D2001">
            <v>952.24999999999989</v>
          </cell>
          <cell r="E2001">
            <v>0.01</v>
          </cell>
          <cell r="F2001">
            <v>9.5224999999999991</v>
          </cell>
          <cell r="G2001">
            <v>9.5224999999999991</v>
          </cell>
        </row>
        <row r="2003">
          <cell r="A2003" t="str">
            <v>D</v>
          </cell>
          <cell r="B2003" t="str">
            <v>Add for tools and plants</v>
          </cell>
          <cell r="D2003">
            <v>952.24999999999989</v>
          </cell>
          <cell r="E2003">
            <v>0.03</v>
          </cell>
          <cell r="F2003">
            <v>28.567499999999995</v>
          </cell>
          <cell r="G2003">
            <v>28.567499999999995</v>
          </cell>
        </row>
        <row r="2004">
          <cell r="G2004">
            <v>990.33999999999992</v>
          </cell>
        </row>
        <row r="2006">
          <cell r="A2006" t="str">
            <v>E</v>
          </cell>
          <cell r="B2006" t="str">
            <v>Add contractor's profit</v>
          </cell>
          <cell r="D2006">
            <v>990.33999999999992</v>
          </cell>
          <cell r="E2006">
            <v>0.15</v>
          </cell>
          <cell r="F2006">
            <v>148.55099999999999</v>
          </cell>
          <cell r="G2006">
            <v>148.55099999999999</v>
          </cell>
        </row>
        <row r="2007">
          <cell r="G2007">
            <v>1138.8909999999998</v>
          </cell>
        </row>
        <row r="2009">
          <cell r="B2009" t="str">
            <v>Rate per Rmt</v>
          </cell>
          <cell r="D2009">
            <v>1138.8909999999998</v>
          </cell>
          <cell r="E2009">
            <v>10</v>
          </cell>
          <cell r="F2009">
            <v>113.88909999999998</v>
          </cell>
          <cell r="G2009">
            <v>113.88909999999998</v>
          </cell>
        </row>
        <row r="2012">
          <cell r="A2012">
            <v>51</v>
          </cell>
          <cell r="B2012" t="str">
            <v xml:space="preserve">I P S FLOORING 50MM THK WITH IRONITE  (1:2:4) </v>
          </cell>
          <cell r="E2012" t="str">
            <v>QTY -</v>
          </cell>
          <cell r="F2012">
            <v>10</v>
          </cell>
          <cell r="G2012" t="str">
            <v>SQM</v>
          </cell>
        </row>
        <row r="2014">
          <cell r="A2014" t="str">
            <v>A</v>
          </cell>
          <cell r="B2014" t="str">
            <v xml:space="preserve">MATERIAL </v>
          </cell>
        </row>
        <row r="2016">
          <cell r="B2016" t="str">
            <v xml:space="preserve">Cement </v>
          </cell>
          <cell r="C2016" t="str">
            <v>Bag</v>
          </cell>
          <cell r="D2016">
            <v>4.4530000000000003</v>
          </cell>
          <cell r="E2016">
            <v>150</v>
          </cell>
          <cell r="F2016">
            <v>667.95</v>
          </cell>
        </row>
        <row r="2017">
          <cell r="B2017" t="str">
            <v>Sand</v>
          </cell>
          <cell r="C2017" t="str">
            <v>Cum</v>
          </cell>
          <cell r="D2017">
            <v>0.23</v>
          </cell>
          <cell r="E2017">
            <v>325</v>
          </cell>
          <cell r="F2017">
            <v>74.75</v>
          </cell>
        </row>
        <row r="2018">
          <cell r="B2018" t="str">
            <v>Aggregate</v>
          </cell>
          <cell r="C2018" t="str">
            <v>Cum</v>
          </cell>
          <cell r="D2018">
            <v>0.45</v>
          </cell>
          <cell r="E2018">
            <v>500</v>
          </cell>
          <cell r="F2018">
            <v>225</v>
          </cell>
        </row>
        <row r="2019">
          <cell r="B2019" t="str">
            <v>Glass 3mm thk</v>
          </cell>
          <cell r="C2019" t="str">
            <v>Rmt</v>
          </cell>
          <cell r="D2019">
            <v>15</v>
          </cell>
          <cell r="E2019">
            <v>10</v>
          </cell>
          <cell r="F2019">
            <v>150</v>
          </cell>
        </row>
        <row r="2020">
          <cell r="F2020">
            <v>1117.7</v>
          </cell>
          <cell r="G2020">
            <v>1117.7</v>
          </cell>
        </row>
        <row r="2022">
          <cell r="A2022" t="str">
            <v>B</v>
          </cell>
          <cell r="B2022" t="str">
            <v>LABOUR</v>
          </cell>
          <cell r="C2022" t="str">
            <v>SQM</v>
          </cell>
          <cell r="D2022">
            <v>10</v>
          </cell>
          <cell r="E2022">
            <v>35</v>
          </cell>
          <cell r="F2022">
            <v>350</v>
          </cell>
          <cell r="G2022">
            <v>350</v>
          </cell>
        </row>
        <row r="2023">
          <cell r="G2023">
            <v>1467.7</v>
          </cell>
        </row>
        <row r="2025">
          <cell r="A2025" t="str">
            <v>C</v>
          </cell>
          <cell r="B2025" t="str">
            <v>Add for water &amp; electrical charges</v>
          </cell>
          <cell r="D2025">
            <v>1467.7</v>
          </cell>
          <cell r="E2025">
            <v>0.01</v>
          </cell>
          <cell r="F2025">
            <v>14.677000000000001</v>
          </cell>
          <cell r="G2025">
            <v>14.677000000000001</v>
          </cell>
        </row>
        <row r="2027">
          <cell r="A2027" t="str">
            <v>D</v>
          </cell>
          <cell r="B2027" t="str">
            <v>Add for tools and plants</v>
          </cell>
          <cell r="D2027">
            <v>1467.7</v>
          </cell>
          <cell r="E2027">
            <v>0.03</v>
          </cell>
          <cell r="F2027">
            <v>44.030999999999999</v>
          </cell>
          <cell r="G2027">
            <v>44.030999999999999</v>
          </cell>
        </row>
        <row r="2028">
          <cell r="G2028">
            <v>1526.4079999999999</v>
          </cell>
        </row>
        <row r="2030">
          <cell r="A2030" t="str">
            <v>E</v>
          </cell>
          <cell r="B2030" t="str">
            <v>Add contractor's profit</v>
          </cell>
          <cell r="D2030">
            <v>1526.4079999999999</v>
          </cell>
          <cell r="E2030">
            <v>0.15</v>
          </cell>
          <cell r="F2030">
            <v>228.96119999999999</v>
          </cell>
          <cell r="G2030">
            <v>228.96119999999999</v>
          </cell>
        </row>
        <row r="2031">
          <cell r="G2031">
            <v>1755.3691999999999</v>
          </cell>
        </row>
        <row r="2033">
          <cell r="A2033" t="str">
            <v>F</v>
          </cell>
          <cell r="B2033" t="str">
            <v xml:space="preserve">WCT </v>
          </cell>
          <cell r="D2033">
            <v>1755.3691999999999</v>
          </cell>
          <cell r="E2033">
            <v>0.04</v>
          </cell>
          <cell r="F2033">
            <v>70.214767999999992</v>
          </cell>
          <cell r="G2033">
            <v>70.214767999999992</v>
          </cell>
        </row>
        <row r="2034">
          <cell r="G2034">
            <v>1825.5839679999999</v>
          </cell>
        </row>
        <row r="2036">
          <cell r="B2036" t="str">
            <v>Rate per Sqm</v>
          </cell>
          <cell r="D2036">
            <v>1825.5839679999999</v>
          </cell>
          <cell r="E2036">
            <v>10</v>
          </cell>
          <cell r="F2036">
            <v>182.5583968</v>
          </cell>
          <cell r="G2036">
            <v>183</v>
          </cell>
        </row>
        <row r="2039">
          <cell r="A2039">
            <v>52</v>
          </cell>
          <cell r="B2039" t="str">
            <v>IPS (1:2:4)</v>
          </cell>
          <cell r="E2039" t="str">
            <v>QTY -</v>
          </cell>
          <cell r="F2039">
            <v>10</v>
          </cell>
          <cell r="G2039" t="str">
            <v>SQM</v>
          </cell>
        </row>
        <row r="2041">
          <cell r="A2041" t="str">
            <v>A</v>
          </cell>
          <cell r="B2041" t="str">
            <v xml:space="preserve">MATERIAL </v>
          </cell>
        </row>
        <row r="2043">
          <cell r="B2043" t="str">
            <v xml:space="preserve">Cement </v>
          </cell>
          <cell r="C2043" t="str">
            <v>Bag</v>
          </cell>
          <cell r="D2043">
            <v>3.6850000000000001</v>
          </cell>
          <cell r="E2043">
            <v>150</v>
          </cell>
          <cell r="F2043">
            <v>552.75</v>
          </cell>
        </row>
        <row r="2044">
          <cell r="B2044" t="str">
            <v>Sand</v>
          </cell>
          <cell r="C2044" t="str">
            <v>Cum</v>
          </cell>
          <cell r="D2044">
            <v>0.30299999999999999</v>
          </cell>
          <cell r="E2044">
            <v>325</v>
          </cell>
          <cell r="F2044">
            <v>98.474999999999994</v>
          </cell>
        </row>
        <row r="2045">
          <cell r="B2045" t="str">
            <v>Aggregate</v>
          </cell>
          <cell r="C2045" t="str">
            <v>Cum</v>
          </cell>
          <cell r="D2045">
            <v>0.435</v>
          </cell>
          <cell r="E2045">
            <v>500</v>
          </cell>
          <cell r="F2045">
            <v>217.5</v>
          </cell>
        </row>
        <row r="2046">
          <cell r="F2046">
            <v>868.72500000000002</v>
          </cell>
          <cell r="G2046">
            <v>868.72500000000002</v>
          </cell>
        </row>
        <row r="2048">
          <cell r="A2048" t="str">
            <v>B</v>
          </cell>
          <cell r="B2048" t="str">
            <v>LABOUR</v>
          </cell>
          <cell r="C2048" t="str">
            <v>SQM</v>
          </cell>
          <cell r="D2048">
            <v>10</v>
          </cell>
          <cell r="E2048">
            <v>0</v>
          </cell>
          <cell r="F2048">
            <v>0</v>
          </cell>
          <cell r="G2048">
            <v>0</v>
          </cell>
        </row>
        <row r="2049">
          <cell r="G2049">
            <v>868.72500000000002</v>
          </cell>
        </row>
        <row r="2051">
          <cell r="A2051" t="str">
            <v>C</v>
          </cell>
          <cell r="B2051" t="str">
            <v>Add for water &amp; electrical charges</v>
          </cell>
          <cell r="D2051">
            <v>868.72500000000002</v>
          </cell>
          <cell r="E2051">
            <v>0.01</v>
          </cell>
          <cell r="F2051">
            <v>8.6872500000000006</v>
          </cell>
          <cell r="G2051">
            <v>8.6872500000000006</v>
          </cell>
        </row>
        <row r="2053">
          <cell r="A2053" t="str">
            <v>D</v>
          </cell>
          <cell r="B2053" t="str">
            <v>Add for tools and plants</v>
          </cell>
          <cell r="D2053">
            <v>868.72500000000002</v>
          </cell>
          <cell r="E2053">
            <v>0.03</v>
          </cell>
          <cell r="F2053">
            <v>26.06175</v>
          </cell>
          <cell r="G2053">
            <v>26.06175</v>
          </cell>
        </row>
        <row r="2054">
          <cell r="G2054">
            <v>903.47399999999993</v>
          </cell>
        </row>
        <row r="2056">
          <cell r="A2056" t="str">
            <v>E</v>
          </cell>
          <cell r="B2056" t="str">
            <v>Add contractor's profit</v>
          </cell>
          <cell r="D2056">
            <v>903.47399999999993</v>
          </cell>
          <cell r="E2056">
            <v>0.15</v>
          </cell>
          <cell r="F2056">
            <v>135.52109999999999</v>
          </cell>
          <cell r="G2056">
            <v>135.52109999999999</v>
          </cell>
        </row>
        <row r="2057">
          <cell r="G2057">
            <v>1038.9950999999999</v>
          </cell>
        </row>
        <row r="2059">
          <cell r="B2059" t="str">
            <v>Rate per Sqm</v>
          </cell>
          <cell r="D2059">
            <v>1038.9950999999999</v>
          </cell>
          <cell r="E2059">
            <v>10</v>
          </cell>
          <cell r="F2059">
            <v>103.89950999999999</v>
          </cell>
          <cell r="G2059">
            <v>103.89950999999999</v>
          </cell>
        </row>
        <row r="2062">
          <cell r="A2062">
            <v>53</v>
          </cell>
          <cell r="B2062" t="str">
            <v>MARBLE MOSAIC TILES FLOORING</v>
          </cell>
          <cell r="E2062" t="str">
            <v>QTY -</v>
          </cell>
          <cell r="F2062">
            <v>10</v>
          </cell>
          <cell r="G2062" t="str">
            <v>SQM</v>
          </cell>
        </row>
        <row r="2063">
          <cell r="B2063" t="str">
            <v>(BEDDED ON LIME MORTAR)</v>
          </cell>
        </row>
        <row r="2065">
          <cell r="A2065" t="str">
            <v>A</v>
          </cell>
          <cell r="B2065" t="str">
            <v xml:space="preserve">MATERIAL </v>
          </cell>
        </row>
        <row r="2067">
          <cell r="B2067" t="str">
            <v>Marble Mosaic tile</v>
          </cell>
          <cell r="C2067" t="str">
            <v>Sqm</v>
          </cell>
          <cell r="D2067">
            <v>10.5</v>
          </cell>
          <cell r="E2067">
            <v>1075</v>
          </cell>
          <cell r="F2067">
            <v>11287.5</v>
          </cell>
        </row>
        <row r="2068">
          <cell r="B2068" t="str">
            <v xml:space="preserve">Cement </v>
          </cell>
          <cell r="C2068" t="str">
            <v>Bag</v>
          </cell>
          <cell r="D2068">
            <v>1.3</v>
          </cell>
          <cell r="E2068">
            <v>150</v>
          </cell>
          <cell r="F2068">
            <v>195</v>
          </cell>
        </row>
        <row r="2069">
          <cell r="B2069" t="str">
            <v xml:space="preserve">White Cement </v>
          </cell>
          <cell r="C2069" t="str">
            <v>Bag</v>
          </cell>
          <cell r="D2069">
            <v>2.53E-2</v>
          </cell>
          <cell r="E2069">
            <v>150</v>
          </cell>
          <cell r="F2069">
            <v>3.7949999999999999</v>
          </cell>
        </row>
        <row r="2070">
          <cell r="B2070" t="str">
            <v>Lime</v>
          </cell>
          <cell r="C2070" t="str">
            <v>Kg</v>
          </cell>
          <cell r="D2070">
            <v>90.88</v>
          </cell>
          <cell r="E2070">
            <v>650</v>
          </cell>
          <cell r="F2070">
            <v>59072</v>
          </cell>
        </row>
        <row r="2071">
          <cell r="B2071" t="str">
            <v>Sand</v>
          </cell>
          <cell r="C2071" t="str">
            <v>Cum</v>
          </cell>
          <cell r="D2071">
            <v>0.28499999999999998</v>
          </cell>
          <cell r="E2071">
            <v>325</v>
          </cell>
          <cell r="F2071">
            <v>92.624999999999986</v>
          </cell>
        </row>
        <row r="2072">
          <cell r="B2072" t="str">
            <v>Quartz</v>
          </cell>
          <cell r="C2072" t="str">
            <v>Cum</v>
          </cell>
          <cell r="D2072">
            <v>4.5999999999999999E-3</v>
          </cell>
          <cell r="E2072">
            <v>0</v>
          </cell>
          <cell r="F2072">
            <v>0</v>
          </cell>
        </row>
        <row r="2073">
          <cell r="F2073">
            <v>70650.92</v>
          </cell>
          <cell r="G2073">
            <v>70650.92</v>
          </cell>
        </row>
        <row r="2075">
          <cell r="A2075" t="str">
            <v>B</v>
          </cell>
          <cell r="B2075" t="str">
            <v>LABOUR</v>
          </cell>
          <cell r="C2075" t="str">
            <v>Sqm</v>
          </cell>
          <cell r="D2075">
            <v>10</v>
          </cell>
          <cell r="E2075">
            <v>0</v>
          </cell>
          <cell r="F2075">
            <v>0</v>
          </cell>
          <cell r="G2075">
            <v>0</v>
          </cell>
        </row>
        <row r="2076">
          <cell r="G2076">
            <v>70650.92</v>
          </cell>
        </row>
        <row r="2078">
          <cell r="A2078" t="str">
            <v>C</v>
          </cell>
          <cell r="B2078" t="str">
            <v>Add for water &amp; electrical charges</v>
          </cell>
          <cell r="D2078">
            <v>70650.92</v>
          </cell>
          <cell r="E2078">
            <v>0.01</v>
          </cell>
          <cell r="F2078">
            <v>706.50919999999996</v>
          </cell>
          <cell r="G2078">
            <v>706.50919999999996</v>
          </cell>
        </row>
        <row r="2080">
          <cell r="A2080" t="str">
            <v>D</v>
          </cell>
          <cell r="B2080" t="str">
            <v>Add for tools and plants</v>
          </cell>
          <cell r="D2080">
            <v>70650.92</v>
          </cell>
          <cell r="E2080">
            <v>0.03</v>
          </cell>
          <cell r="F2080">
            <v>2119.5275999999999</v>
          </cell>
          <cell r="G2080">
            <v>2119.5275999999999</v>
          </cell>
        </row>
        <row r="2081">
          <cell r="G2081">
            <v>73476.9568</v>
          </cell>
        </row>
        <row r="2083">
          <cell r="A2083" t="str">
            <v>E</v>
          </cell>
          <cell r="B2083" t="str">
            <v>Add contractor's profit</v>
          </cell>
          <cell r="D2083">
            <v>73476.9568</v>
          </cell>
          <cell r="E2083">
            <v>0.15</v>
          </cell>
          <cell r="F2083">
            <v>11021.543519999999</v>
          </cell>
          <cell r="G2083">
            <v>11021.543519999999</v>
          </cell>
        </row>
        <row r="2084">
          <cell r="G2084">
            <v>84498.500319999992</v>
          </cell>
        </row>
        <row r="2086">
          <cell r="B2086" t="str">
            <v>Rate per Sqm</v>
          </cell>
          <cell r="D2086">
            <v>84498.500319999992</v>
          </cell>
          <cell r="E2086">
            <v>10</v>
          </cell>
          <cell r="F2086">
            <v>8449.8500319999985</v>
          </cell>
          <cell r="G2086">
            <v>8449.8500319999985</v>
          </cell>
        </row>
        <row r="2089">
          <cell r="A2089">
            <v>54</v>
          </cell>
          <cell r="B2089" t="str">
            <v>MARBLE MOSAIC TILES FLOORING</v>
          </cell>
          <cell r="E2089" t="str">
            <v>QTY -</v>
          </cell>
          <cell r="F2089">
            <v>10</v>
          </cell>
          <cell r="G2089" t="str">
            <v>SQM</v>
          </cell>
        </row>
        <row r="2090">
          <cell r="B2090" t="str">
            <v>(BEDDED ON CEMENT MORTAR)</v>
          </cell>
        </row>
        <row r="2092">
          <cell r="A2092" t="str">
            <v>A</v>
          </cell>
          <cell r="B2092" t="str">
            <v xml:space="preserve">MATERIAL </v>
          </cell>
        </row>
        <row r="2094">
          <cell r="B2094" t="str">
            <v>Marble Mosaic tile</v>
          </cell>
          <cell r="C2094" t="str">
            <v>Sqm</v>
          </cell>
          <cell r="D2094">
            <v>10.5</v>
          </cell>
          <cell r="E2094">
            <v>1075</v>
          </cell>
          <cell r="F2094">
            <v>11287.5</v>
          </cell>
        </row>
        <row r="2095">
          <cell r="B2095" t="str">
            <v xml:space="preserve">Cement </v>
          </cell>
          <cell r="C2095" t="str">
            <v>Bag</v>
          </cell>
          <cell r="D2095">
            <v>2.6779999999999999</v>
          </cell>
          <cell r="E2095">
            <v>150</v>
          </cell>
          <cell r="F2095">
            <v>401.7</v>
          </cell>
        </row>
        <row r="2096">
          <cell r="B2096" t="str">
            <v xml:space="preserve">White Cement </v>
          </cell>
          <cell r="C2096" t="str">
            <v>Bag</v>
          </cell>
          <cell r="D2096">
            <v>2.53E-2</v>
          </cell>
          <cell r="E2096">
            <v>150</v>
          </cell>
          <cell r="F2096">
            <v>3.7949999999999999</v>
          </cell>
        </row>
        <row r="2097">
          <cell r="B2097" t="str">
            <v>Sand</v>
          </cell>
          <cell r="C2097" t="str">
            <v>Cum</v>
          </cell>
          <cell r="D2097">
            <v>0.307</v>
          </cell>
          <cell r="E2097">
            <v>325</v>
          </cell>
          <cell r="F2097">
            <v>99.774999999999991</v>
          </cell>
        </row>
        <row r="2098">
          <cell r="B2098" t="str">
            <v>Quartz</v>
          </cell>
          <cell r="C2098" t="str">
            <v>Cum</v>
          </cell>
          <cell r="D2098">
            <v>4.5999999999999999E-3</v>
          </cell>
          <cell r="E2098">
            <v>0</v>
          </cell>
          <cell r="F2098">
            <v>0</v>
          </cell>
        </row>
        <row r="2099">
          <cell r="F2099">
            <v>11792.77</v>
          </cell>
          <cell r="G2099">
            <v>11792.77</v>
          </cell>
        </row>
        <row r="2101">
          <cell r="A2101" t="str">
            <v>B</v>
          </cell>
          <cell r="B2101" t="str">
            <v>LABOUR</v>
          </cell>
          <cell r="C2101" t="str">
            <v>Sqm</v>
          </cell>
          <cell r="D2101">
            <v>10</v>
          </cell>
          <cell r="E2101">
            <v>0</v>
          </cell>
          <cell r="F2101">
            <v>0</v>
          </cell>
          <cell r="G2101">
            <v>0</v>
          </cell>
        </row>
        <row r="2102">
          <cell r="G2102">
            <v>11792.77</v>
          </cell>
        </row>
        <row r="2104">
          <cell r="A2104" t="str">
            <v>C</v>
          </cell>
          <cell r="B2104" t="str">
            <v>Add for water &amp; electrical charges</v>
          </cell>
          <cell r="D2104">
            <v>11792.77</v>
          </cell>
          <cell r="E2104">
            <v>0.01</v>
          </cell>
          <cell r="F2104">
            <v>117.9277</v>
          </cell>
          <cell r="G2104">
            <v>117.9277</v>
          </cell>
        </row>
        <row r="2106">
          <cell r="A2106" t="str">
            <v>D</v>
          </cell>
          <cell r="B2106" t="str">
            <v>Add for tools and plants</v>
          </cell>
          <cell r="D2106">
            <v>11792.77</v>
          </cell>
          <cell r="E2106">
            <v>0.03</v>
          </cell>
          <cell r="F2106">
            <v>353.78309999999999</v>
          </cell>
          <cell r="G2106">
            <v>353.78309999999999</v>
          </cell>
        </row>
        <row r="2107">
          <cell r="G2107">
            <v>12264.480800000001</v>
          </cell>
        </row>
        <row r="2109">
          <cell r="A2109" t="str">
            <v>E</v>
          </cell>
          <cell r="B2109" t="str">
            <v>Add contractor's profit</v>
          </cell>
          <cell r="D2109">
            <v>12264.480800000001</v>
          </cell>
          <cell r="E2109">
            <v>0.15</v>
          </cell>
          <cell r="F2109">
            <v>1839.6721200000002</v>
          </cell>
          <cell r="G2109">
            <v>1839.6721200000002</v>
          </cell>
        </row>
        <row r="2110">
          <cell r="G2110">
            <v>14104.15292</v>
          </cell>
        </row>
        <row r="2112">
          <cell r="B2112" t="str">
            <v>Rate per Sqm</v>
          </cell>
          <cell r="D2112">
            <v>14104.15292</v>
          </cell>
          <cell r="E2112">
            <v>10</v>
          </cell>
          <cell r="F2112">
            <v>1410.4152920000001</v>
          </cell>
          <cell r="G2112">
            <v>1410.4152920000001</v>
          </cell>
        </row>
        <row r="2115">
          <cell r="A2115">
            <v>55</v>
          </cell>
          <cell r="B2115" t="str">
            <v xml:space="preserve">MARBLE MOSAIC SKIRTING WHITE CEMENT BASED 100MM HIGH </v>
          </cell>
          <cell r="E2115" t="str">
            <v>QTY -</v>
          </cell>
          <cell r="F2115">
            <v>10</v>
          </cell>
          <cell r="G2115" t="str">
            <v>RMT</v>
          </cell>
        </row>
        <row r="2117">
          <cell r="A2117" t="str">
            <v>A</v>
          </cell>
          <cell r="B2117" t="str">
            <v xml:space="preserve">MATERIAL </v>
          </cell>
        </row>
        <row r="2119">
          <cell r="B2119" t="str">
            <v>Marble Mosaic tile</v>
          </cell>
          <cell r="C2119" t="str">
            <v>Rmt</v>
          </cell>
          <cell r="D2119">
            <v>10.5</v>
          </cell>
          <cell r="E2119">
            <v>0</v>
          </cell>
          <cell r="F2119">
            <v>0</v>
          </cell>
        </row>
        <row r="2120">
          <cell r="B2120" t="str">
            <v xml:space="preserve">Cement </v>
          </cell>
          <cell r="C2120" t="str">
            <v>Bag</v>
          </cell>
          <cell r="D2120">
            <v>0.23</v>
          </cell>
          <cell r="E2120">
            <v>150</v>
          </cell>
          <cell r="F2120">
            <v>34.5</v>
          </cell>
        </row>
        <row r="2121">
          <cell r="B2121" t="str">
            <v xml:space="preserve">White Cement </v>
          </cell>
          <cell r="C2121" t="str">
            <v>Bag</v>
          </cell>
          <cell r="D2121">
            <v>1.2999999999999999E-3</v>
          </cell>
          <cell r="E2121">
            <v>650</v>
          </cell>
          <cell r="F2121">
            <v>0.84499999999999997</v>
          </cell>
        </row>
        <row r="2122">
          <cell r="B2122" t="str">
            <v>Sand</v>
          </cell>
          <cell r="C2122" t="str">
            <v>Cum</v>
          </cell>
          <cell r="D2122">
            <v>2.1999999999999999E-2</v>
          </cell>
          <cell r="E2122">
            <v>325</v>
          </cell>
          <cell r="F2122">
            <v>7.1499999999999995</v>
          </cell>
        </row>
        <row r="2123">
          <cell r="B2123" t="str">
            <v>Quartz</v>
          </cell>
          <cell r="C2123" t="str">
            <v>Cum</v>
          </cell>
          <cell r="D2123">
            <v>2.4000000000000001E-4</v>
          </cell>
          <cell r="E2123">
            <v>0</v>
          </cell>
          <cell r="F2123">
            <v>0</v>
          </cell>
        </row>
        <row r="2124">
          <cell r="F2124">
            <v>42.494999999999997</v>
          </cell>
          <cell r="G2124">
            <v>42.494999999999997</v>
          </cell>
        </row>
        <row r="2126">
          <cell r="A2126" t="str">
            <v>B</v>
          </cell>
          <cell r="B2126" t="str">
            <v>LABOUR</v>
          </cell>
          <cell r="C2126" t="str">
            <v>Rmt</v>
          </cell>
          <cell r="D2126">
            <v>10</v>
          </cell>
          <cell r="E2126">
            <v>0</v>
          </cell>
          <cell r="F2126">
            <v>0</v>
          </cell>
          <cell r="G2126">
            <v>0</v>
          </cell>
        </row>
        <row r="2127">
          <cell r="G2127">
            <v>42.494999999999997</v>
          </cell>
        </row>
        <row r="2129">
          <cell r="A2129" t="str">
            <v>C</v>
          </cell>
          <cell r="B2129" t="str">
            <v>Add for water &amp; electrical charges</v>
          </cell>
          <cell r="D2129">
            <v>42.494999999999997</v>
          </cell>
          <cell r="E2129">
            <v>0.01</v>
          </cell>
          <cell r="F2129">
            <v>0.42494999999999999</v>
          </cell>
          <cell r="G2129">
            <v>0.42494999999999999</v>
          </cell>
        </row>
        <row r="2131">
          <cell r="A2131" t="str">
            <v>D</v>
          </cell>
          <cell r="B2131" t="str">
            <v>Add for tools and plants</v>
          </cell>
          <cell r="D2131">
            <v>42.494999999999997</v>
          </cell>
          <cell r="E2131">
            <v>0.03</v>
          </cell>
          <cell r="F2131">
            <v>1.2748499999999998</v>
          </cell>
          <cell r="G2131">
            <v>1.2748499999999998</v>
          </cell>
        </row>
        <row r="2132">
          <cell r="G2132">
            <v>44.194800000000001</v>
          </cell>
        </row>
        <row r="2134">
          <cell r="A2134" t="str">
            <v>E</v>
          </cell>
          <cell r="B2134" t="str">
            <v>Add contractor's profit</v>
          </cell>
          <cell r="D2134">
            <v>44.194800000000001</v>
          </cell>
          <cell r="E2134">
            <v>0.15</v>
          </cell>
          <cell r="F2134">
            <v>6.6292200000000001</v>
          </cell>
          <cell r="G2134">
            <v>6.6292200000000001</v>
          </cell>
        </row>
        <row r="2135">
          <cell r="G2135">
            <v>50.824020000000004</v>
          </cell>
        </row>
        <row r="2137">
          <cell r="B2137" t="str">
            <v>Rate per Rmt</v>
          </cell>
          <cell r="D2137">
            <v>50.824020000000004</v>
          </cell>
          <cell r="E2137">
            <v>10</v>
          </cell>
          <cell r="F2137">
            <v>5.0824020000000001</v>
          </cell>
          <cell r="G2137">
            <v>5.0824020000000001</v>
          </cell>
        </row>
        <row r="2140">
          <cell r="A2140">
            <v>56</v>
          </cell>
          <cell r="B2140" t="str">
            <v xml:space="preserve">MARBLE MOSAIC SKIRTING WHITE CEMENT BASED 150MM HIGH </v>
          </cell>
          <cell r="E2140" t="str">
            <v>QTY -</v>
          </cell>
          <cell r="F2140">
            <v>10</v>
          </cell>
          <cell r="G2140" t="str">
            <v>RMT</v>
          </cell>
        </row>
        <row r="2142">
          <cell r="A2142" t="str">
            <v>A</v>
          </cell>
          <cell r="B2142" t="str">
            <v xml:space="preserve">MATERIAL </v>
          </cell>
        </row>
        <row r="2144">
          <cell r="B2144" t="str">
            <v>Marble Mosaic tile</v>
          </cell>
          <cell r="C2144" t="str">
            <v>Rmt</v>
          </cell>
          <cell r="D2144">
            <v>10.5</v>
          </cell>
          <cell r="E2144">
            <v>0</v>
          </cell>
          <cell r="F2144">
            <v>0</v>
          </cell>
        </row>
        <row r="2145">
          <cell r="B2145" t="str">
            <v xml:space="preserve">Cement </v>
          </cell>
          <cell r="C2145" t="str">
            <v>Bag</v>
          </cell>
          <cell r="D2145">
            <v>0.34399999999999997</v>
          </cell>
          <cell r="E2145">
            <v>150</v>
          </cell>
          <cell r="F2145">
            <v>51.599999999999994</v>
          </cell>
        </row>
        <row r="2146">
          <cell r="B2146" t="str">
            <v xml:space="preserve">White Cement </v>
          </cell>
          <cell r="C2146" t="str">
            <v>Bag</v>
          </cell>
          <cell r="D2146">
            <v>1.9499999999999999E-3</v>
          </cell>
          <cell r="E2146">
            <v>650</v>
          </cell>
          <cell r="F2146">
            <v>1.2674999999999998</v>
          </cell>
        </row>
        <row r="2147">
          <cell r="B2147" t="str">
            <v>Sand</v>
          </cell>
          <cell r="C2147" t="str">
            <v>Cum</v>
          </cell>
          <cell r="D2147">
            <v>3.3000000000000002E-2</v>
          </cell>
          <cell r="E2147">
            <v>325</v>
          </cell>
          <cell r="F2147">
            <v>10.725</v>
          </cell>
        </row>
        <row r="2148">
          <cell r="B2148" t="str">
            <v>Quartz</v>
          </cell>
          <cell r="C2148" t="str">
            <v>Cum</v>
          </cell>
          <cell r="D2148">
            <v>3.5E-4</v>
          </cell>
          <cell r="E2148">
            <v>0</v>
          </cell>
          <cell r="F2148">
            <v>0</v>
          </cell>
        </row>
        <row r="2149">
          <cell r="F2149">
            <v>63.592499999999994</v>
          </cell>
          <cell r="G2149">
            <v>63.592499999999994</v>
          </cell>
        </row>
        <row r="2151">
          <cell r="A2151" t="str">
            <v>B</v>
          </cell>
          <cell r="B2151" t="str">
            <v>LABOUR</v>
          </cell>
          <cell r="C2151" t="str">
            <v>Rmt</v>
          </cell>
          <cell r="D2151">
            <v>10</v>
          </cell>
          <cell r="E2151">
            <v>0</v>
          </cell>
          <cell r="F2151">
            <v>0</v>
          </cell>
          <cell r="G2151">
            <v>0</v>
          </cell>
        </row>
        <row r="2152">
          <cell r="G2152">
            <v>63.592499999999994</v>
          </cell>
        </row>
        <row r="2154">
          <cell r="A2154" t="str">
            <v>C</v>
          </cell>
          <cell r="B2154" t="str">
            <v>Add for water &amp; electrical charges</v>
          </cell>
          <cell r="D2154">
            <v>63.592499999999994</v>
          </cell>
          <cell r="E2154">
            <v>0.01</v>
          </cell>
          <cell r="F2154">
            <v>0.63592499999999996</v>
          </cell>
          <cell r="G2154">
            <v>0.63592499999999996</v>
          </cell>
        </row>
        <row r="2156">
          <cell r="A2156" t="str">
            <v>D</v>
          </cell>
          <cell r="B2156" t="str">
            <v>Add for tools and plants</v>
          </cell>
          <cell r="D2156">
            <v>63.592499999999994</v>
          </cell>
          <cell r="E2156">
            <v>0.03</v>
          </cell>
          <cell r="F2156">
            <v>1.9077749999999998</v>
          </cell>
          <cell r="G2156">
            <v>1.9077749999999998</v>
          </cell>
        </row>
        <row r="2157">
          <cell r="G2157">
            <v>66.136199999999988</v>
          </cell>
        </row>
        <row r="2159">
          <cell r="A2159" t="str">
            <v>E</v>
          </cell>
          <cell r="B2159" t="str">
            <v>Add contractor's profit</v>
          </cell>
          <cell r="D2159">
            <v>66.136199999999988</v>
          </cell>
          <cell r="E2159">
            <v>0.15</v>
          </cell>
          <cell r="F2159">
            <v>9.9204299999999979</v>
          </cell>
          <cell r="G2159">
            <v>9.9204299999999979</v>
          </cell>
        </row>
        <row r="2160">
          <cell r="G2160">
            <v>76.056629999999984</v>
          </cell>
        </row>
        <row r="2162">
          <cell r="B2162" t="str">
            <v>Rate per Rmt</v>
          </cell>
          <cell r="D2162">
            <v>76.056629999999984</v>
          </cell>
          <cell r="E2162">
            <v>10</v>
          </cell>
          <cell r="F2162">
            <v>7.6056629999999981</v>
          </cell>
          <cell r="G2162">
            <v>7.6056629999999981</v>
          </cell>
        </row>
        <row r="2165">
          <cell r="A2165">
            <v>57</v>
          </cell>
          <cell r="B2165" t="str">
            <v>COMPOSITE FLOORING GRANITE (75%)+MARBLE (25%)</v>
          </cell>
          <cell r="E2165" t="str">
            <v>QTY -</v>
          </cell>
          <cell r="F2165">
            <v>10</v>
          </cell>
          <cell r="G2165" t="str">
            <v>SQM</v>
          </cell>
        </row>
        <row r="2167">
          <cell r="A2167" t="str">
            <v>A</v>
          </cell>
          <cell r="B2167" t="str">
            <v xml:space="preserve">MATERIAL </v>
          </cell>
        </row>
        <row r="2169">
          <cell r="B2169" t="str">
            <v>Granite</v>
          </cell>
          <cell r="C2169" t="str">
            <v>Sqm</v>
          </cell>
          <cell r="D2169">
            <v>8.25</v>
          </cell>
          <cell r="E2169">
            <v>1615</v>
          </cell>
          <cell r="F2169">
            <v>13323.75</v>
          </cell>
        </row>
        <row r="2170">
          <cell r="B2170" t="str">
            <v>Marble</v>
          </cell>
          <cell r="C2170" t="str">
            <v>Sqm</v>
          </cell>
          <cell r="D2170">
            <v>2.75</v>
          </cell>
          <cell r="E2170">
            <v>1075</v>
          </cell>
          <cell r="F2170">
            <v>2956.25</v>
          </cell>
        </row>
        <row r="2171">
          <cell r="B2171" t="str">
            <v>Cement</v>
          </cell>
          <cell r="C2171" t="str">
            <v>Bag</v>
          </cell>
          <cell r="D2171">
            <v>2.68</v>
          </cell>
          <cell r="E2171">
            <v>150</v>
          </cell>
          <cell r="F2171">
            <v>402</v>
          </cell>
        </row>
        <row r="2172">
          <cell r="B2172" t="str">
            <v xml:space="preserve">White Cement </v>
          </cell>
          <cell r="C2172" t="str">
            <v>Bag</v>
          </cell>
          <cell r="D2172">
            <v>0.22900000000000001</v>
          </cell>
          <cell r="E2172">
            <v>650</v>
          </cell>
          <cell r="F2172">
            <v>148.85</v>
          </cell>
        </row>
        <row r="2173">
          <cell r="B2173" t="str">
            <v>Sand</v>
          </cell>
          <cell r="C2173" t="str">
            <v>Cum</v>
          </cell>
          <cell r="D2173">
            <v>0.35399999999999998</v>
          </cell>
          <cell r="E2173">
            <v>325</v>
          </cell>
          <cell r="F2173">
            <v>115.05</v>
          </cell>
        </row>
        <row r="2174">
          <cell r="F2174">
            <v>16945.899999999998</v>
          </cell>
          <cell r="G2174">
            <v>16945.899999999998</v>
          </cell>
        </row>
        <row r="2176">
          <cell r="A2176" t="str">
            <v>B</v>
          </cell>
          <cell r="B2176" t="str">
            <v>LABOUR</v>
          </cell>
          <cell r="C2176" t="str">
            <v>Sqm</v>
          </cell>
          <cell r="D2176">
            <v>10</v>
          </cell>
          <cell r="E2176">
            <v>0</v>
          </cell>
          <cell r="F2176">
            <v>0</v>
          </cell>
          <cell r="G2176">
            <v>0</v>
          </cell>
        </row>
        <row r="2177">
          <cell r="G2177">
            <v>16945.899999999998</v>
          </cell>
        </row>
        <row r="2179">
          <cell r="A2179" t="str">
            <v>C</v>
          </cell>
          <cell r="B2179" t="str">
            <v>Add for water &amp; electrical charges</v>
          </cell>
          <cell r="D2179">
            <v>16945.899999999998</v>
          </cell>
          <cell r="E2179">
            <v>0.01</v>
          </cell>
          <cell r="F2179">
            <v>169.45899999999997</v>
          </cell>
          <cell r="G2179">
            <v>169.45899999999997</v>
          </cell>
        </row>
        <row r="2181">
          <cell r="A2181" t="str">
            <v>D</v>
          </cell>
          <cell r="B2181" t="str">
            <v>Add for tools and plants</v>
          </cell>
          <cell r="D2181">
            <v>16945.899999999998</v>
          </cell>
          <cell r="E2181">
            <v>0.03</v>
          </cell>
          <cell r="F2181">
            <v>508.3769999999999</v>
          </cell>
          <cell r="G2181">
            <v>508.3769999999999</v>
          </cell>
        </row>
        <row r="2182">
          <cell r="G2182">
            <v>17623.735999999997</v>
          </cell>
        </row>
        <row r="2184">
          <cell r="A2184" t="str">
            <v>E</v>
          </cell>
          <cell r="B2184" t="str">
            <v>Add contractor's profit</v>
          </cell>
          <cell r="D2184">
            <v>17623.735999999997</v>
          </cell>
          <cell r="E2184">
            <v>0.15</v>
          </cell>
          <cell r="F2184">
            <v>2643.5603999999994</v>
          </cell>
          <cell r="G2184">
            <v>2643.5603999999994</v>
          </cell>
        </row>
        <row r="2185">
          <cell r="G2185">
            <v>20267.296399999996</v>
          </cell>
        </row>
        <row r="2187">
          <cell r="B2187" t="str">
            <v>Rate per Sqm</v>
          </cell>
          <cell r="D2187">
            <v>20267.296399999996</v>
          </cell>
          <cell r="E2187">
            <v>10</v>
          </cell>
          <cell r="F2187">
            <v>2026.7296399999996</v>
          </cell>
          <cell r="G2187">
            <v>2026.7296399999996</v>
          </cell>
        </row>
        <row r="2190">
          <cell r="A2190">
            <v>58</v>
          </cell>
          <cell r="B2190" t="str">
            <v xml:space="preserve">COMPOSITE CLADDING GRANITE (75%)+MARBLE (25%) </v>
          </cell>
          <cell r="E2190" t="str">
            <v>QTY -</v>
          </cell>
          <cell r="F2190">
            <v>10</v>
          </cell>
          <cell r="G2190" t="str">
            <v>SQM</v>
          </cell>
        </row>
        <row r="2192">
          <cell r="A2192" t="str">
            <v>A</v>
          </cell>
          <cell r="B2192" t="str">
            <v>MATERIAL</v>
          </cell>
        </row>
        <row r="2194">
          <cell r="B2194" t="str">
            <v>Marble</v>
          </cell>
          <cell r="C2194" t="str">
            <v>Sqm</v>
          </cell>
          <cell r="D2194">
            <v>2.75</v>
          </cell>
          <cell r="E2194">
            <v>1075</v>
          </cell>
          <cell r="F2194">
            <v>2956.25</v>
          </cell>
        </row>
        <row r="2195">
          <cell r="B2195" t="str">
            <v>Granite</v>
          </cell>
          <cell r="C2195" t="str">
            <v>Sqm</v>
          </cell>
          <cell r="D2195">
            <v>8.25</v>
          </cell>
          <cell r="E2195">
            <v>1615</v>
          </cell>
          <cell r="F2195">
            <v>13323.75</v>
          </cell>
        </row>
        <row r="2196">
          <cell r="B2196" t="str">
            <v>Cement</v>
          </cell>
          <cell r="C2196" t="str">
            <v>Bag</v>
          </cell>
          <cell r="D2196">
            <v>2.0489999999999999</v>
          </cell>
          <cell r="E2196">
            <v>150</v>
          </cell>
          <cell r="F2196">
            <v>307.34999999999997</v>
          </cell>
        </row>
        <row r="2197">
          <cell r="B2197" t="str">
            <v>White cement</v>
          </cell>
          <cell r="C2197" t="str">
            <v>Bag</v>
          </cell>
          <cell r="D2197">
            <v>0.26600000000000001</v>
          </cell>
          <cell r="E2197">
            <v>650</v>
          </cell>
          <cell r="F2197">
            <v>172.9</v>
          </cell>
        </row>
        <row r="2198">
          <cell r="B2198" t="str">
            <v>Sand</v>
          </cell>
          <cell r="C2198" t="str">
            <v>Cum</v>
          </cell>
          <cell r="D2198">
            <v>0.221</v>
          </cell>
          <cell r="E2198">
            <v>325</v>
          </cell>
          <cell r="F2198">
            <v>71.825000000000003</v>
          </cell>
        </row>
        <row r="2199">
          <cell r="B2199" t="str">
            <v>Add pins, clamps, dowels etc</v>
          </cell>
          <cell r="C2199" t="str">
            <v>L.s</v>
          </cell>
        </row>
        <row r="2200">
          <cell r="F2200">
            <v>16832.075000000001</v>
          </cell>
          <cell r="G2200">
            <v>16832.075000000001</v>
          </cell>
        </row>
        <row r="2202">
          <cell r="A2202" t="str">
            <v>B</v>
          </cell>
          <cell r="B2202" t="str">
            <v>LABOUR</v>
          </cell>
          <cell r="C2202" t="str">
            <v>Sqm</v>
          </cell>
          <cell r="D2202">
            <v>10</v>
          </cell>
          <cell r="E2202">
            <v>0</v>
          </cell>
          <cell r="F2202">
            <v>0</v>
          </cell>
          <cell r="G2202">
            <v>0</v>
          </cell>
        </row>
        <row r="2203">
          <cell r="G2203">
            <v>16832.075000000001</v>
          </cell>
        </row>
        <row r="2205">
          <cell r="A2205" t="str">
            <v>C</v>
          </cell>
          <cell r="B2205" t="str">
            <v>Add for water &amp; electrical charges</v>
          </cell>
          <cell r="D2205">
            <v>16832.075000000001</v>
          </cell>
          <cell r="E2205">
            <v>0.01</v>
          </cell>
          <cell r="F2205">
            <v>168.32075</v>
          </cell>
          <cell r="G2205">
            <v>168.32075</v>
          </cell>
        </row>
        <row r="2207">
          <cell r="A2207" t="str">
            <v>D</v>
          </cell>
          <cell r="B2207" t="str">
            <v>Add for tools and plants</v>
          </cell>
          <cell r="D2207">
            <v>16832.075000000001</v>
          </cell>
          <cell r="E2207">
            <v>0.03</v>
          </cell>
          <cell r="F2207">
            <v>504.96224999999998</v>
          </cell>
          <cell r="G2207">
            <v>504.96224999999998</v>
          </cell>
        </row>
        <row r="2208">
          <cell r="G2208">
            <v>17505.358</v>
          </cell>
        </row>
        <row r="2210">
          <cell r="A2210" t="str">
            <v>E</v>
          </cell>
          <cell r="B2210" t="str">
            <v>Add contractor's profit</v>
          </cell>
          <cell r="D2210">
            <v>17505.358</v>
          </cell>
          <cell r="E2210">
            <v>0.15</v>
          </cell>
          <cell r="F2210">
            <v>2625.8036999999999</v>
          </cell>
          <cell r="G2210">
            <v>2625.8036999999999</v>
          </cell>
        </row>
        <row r="2211">
          <cell r="G2211">
            <v>20131.161700000001</v>
          </cell>
        </row>
        <row r="2213">
          <cell r="B2213" t="str">
            <v>Rate per Sqm</v>
          </cell>
          <cell r="D2213">
            <v>20131.161700000001</v>
          </cell>
          <cell r="E2213">
            <v>10</v>
          </cell>
          <cell r="F2213">
            <v>2013.11617</v>
          </cell>
          <cell r="G2213">
            <v>2013.11617</v>
          </cell>
        </row>
        <row r="2216">
          <cell r="A2216">
            <v>59</v>
          </cell>
          <cell r="B2216" t="str">
            <v>RCC KITCHEN PLATFORM WITH GRANITE TOP(19MM) M20</v>
          </cell>
          <cell r="F2216" t="str">
            <v>QTY -</v>
          </cell>
          <cell r="G2216">
            <v>5</v>
          </cell>
          <cell r="H2216" t="str">
            <v>RMT</v>
          </cell>
        </row>
        <row r="2218">
          <cell r="A2218" t="str">
            <v>A</v>
          </cell>
          <cell r="B2218" t="str">
            <v xml:space="preserve">MATERIAL </v>
          </cell>
        </row>
        <row r="2220">
          <cell r="B2220" t="str">
            <v>Granite 19mm thk</v>
          </cell>
          <cell r="C2220" t="str">
            <v>Sqm</v>
          </cell>
          <cell r="D2220">
            <v>3.472</v>
          </cell>
          <cell r="E2220">
            <v>1185</v>
          </cell>
          <cell r="F2220">
            <v>4114.32</v>
          </cell>
        </row>
        <row r="2221">
          <cell r="B2221" t="str">
            <v>Granite facia 12mm thk</v>
          </cell>
          <cell r="C2221" t="str">
            <v>Rmt</v>
          </cell>
          <cell r="D2221">
            <v>5.25</v>
          </cell>
          <cell r="E2221">
            <v>1185</v>
          </cell>
          <cell r="F2221">
            <v>6221.25</v>
          </cell>
        </row>
        <row r="2222">
          <cell r="B2222" t="str">
            <v>Cement (Grey)</v>
          </cell>
          <cell r="C2222" t="str">
            <v>Bag</v>
          </cell>
          <cell r="D2222">
            <v>3.762</v>
          </cell>
          <cell r="E2222">
            <v>150</v>
          </cell>
          <cell r="F2222">
            <v>564.29999999999995</v>
          </cell>
        </row>
        <row r="2223">
          <cell r="B2223" t="str">
            <v>Sand</v>
          </cell>
          <cell r="C2223" t="str">
            <v>Cum</v>
          </cell>
          <cell r="D2223">
            <v>0.307</v>
          </cell>
          <cell r="E2223">
            <v>650</v>
          </cell>
          <cell r="F2223">
            <v>199.54999999999998</v>
          </cell>
        </row>
        <row r="2224">
          <cell r="B2224" t="str">
            <v>Aggregate</v>
          </cell>
          <cell r="C2224" t="str">
            <v>Cum</v>
          </cell>
          <cell r="D2224">
            <v>0.38500000000000001</v>
          </cell>
          <cell r="E2224">
            <v>500</v>
          </cell>
          <cell r="F2224">
            <v>192.5</v>
          </cell>
        </row>
        <row r="2225">
          <cell r="B2225" t="str">
            <v>Steel</v>
          </cell>
          <cell r="C2225" t="str">
            <v>Kg</v>
          </cell>
          <cell r="D2225">
            <v>22.66</v>
          </cell>
        </row>
        <row r="2226">
          <cell r="B2226" t="str">
            <v>Shuttering</v>
          </cell>
          <cell r="C2226" t="str">
            <v>Sqm</v>
          </cell>
          <cell r="D2226">
            <v>3.1560000000000001</v>
          </cell>
        </row>
        <row r="2227">
          <cell r="B2227" t="str">
            <v>Add for pins,clamps &amp; dowels</v>
          </cell>
          <cell r="C2227" t="str">
            <v>L.S</v>
          </cell>
          <cell r="F2227">
            <v>100</v>
          </cell>
        </row>
        <row r="2228">
          <cell r="F2228">
            <v>11391.919999999998</v>
          </cell>
          <cell r="G2228">
            <v>11391.919999999998</v>
          </cell>
        </row>
        <row r="2230">
          <cell r="A2230" t="str">
            <v>B</v>
          </cell>
          <cell r="B2230" t="str">
            <v>LABOUR</v>
          </cell>
          <cell r="C2230" t="str">
            <v>Rmt</v>
          </cell>
          <cell r="D2230">
            <v>5</v>
          </cell>
          <cell r="E2230">
            <v>0</v>
          </cell>
          <cell r="F2230">
            <v>0</v>
          </cell>
          <cell r="G2230">
            <v>0</v>
          </cell>
        </row>
        <row r="2231">
          <cell r="G2231">
            <v>11391.919999999998</v>
          </cell>
        </row>
        <row r="2233">
          <cell r="A2233" t="str">
            <v>C</v>
          </cell>
          <cell r="B2233" t="str">
            <v>Add for water &amp; electrical charges</v>
          </cell>
          <cell r="D2233">
            <v>11391.919999999998</v>
          </cell>
          <cell r="E2233">
            <v>0.01</v>
          </cell>
          <cell r="F2233">
            <v>113.91919999999999</v>
          </cell>
          <cell r="G2233">
            <v>113.91919999999999</v>
          </cell>
        </row>
        <row r="2235">
          <cell r="A2235" t="str">
            <v>D</v>
          </cell>
          <cell r="B2235" t="str">
            <v>Add for tools and plants</v>
          </cell>
          <cell r="D2235">
            <v>11391.919999999998</v>
          </cell>
          <cell r="E2235">
            <v>0.03</v>
          </cell>
          <cell r="F2235">
            <v>341.75759999999991</v>
          </cell>
          <cell r="G2235">
            <v>341.75759999999991</v>
          </cell>
        </row>
        <row r="2236">
          <cell r="G2236">
            <v>11847.596799999999</v>
          </cell>
        </row>
        <row r="2238">
          <cell r="A2238" t="str">
            <v>E</v>
          </cell>
          <cell r="B2238" t="str">
            <v>Add contractor's profit</v>
          </cell>
          <cell r="D2238">
            <v>11847.596799999999</v>
          </cell>
          <cell r="E2238">
            <v>0.15</v>
          </cell>
          <cell r="F2238">
            <v>1777.1395199999999</v>
          </cell>
          <cell r="G2238">
            <v>1777.1395199999999</v>
          </cell>
        </row>
        <row r="2239">
          <cell r="G2239">
            <v>13624.73632</v>
          </cell>
        </row>
        <row r="2241">
          <cell r="B2241" t="str">
            <v>Rate per Rmt</v>
          </cell>
          <cell r="D2241">
            <v>13624.73632</v>
          </cell>
          <cell r="E2241">
            <v>5</v>
          </cell>
          <cell r="F2241">
            <v>2724.9472639999999</v>
          </cell>
          <cell r="G2241">
            <v>2724.9472639999999</v>
          </cell>
        </row>
        <row r="2244">
          <cell r="A2244">
            <v>60</v>
          </cell>
          <cell r="B2244" t="str">
            <v>GRANITE KITCHEN PLATFORM 600MM WIDE WITH KUDDAPAH SHELF</v>
          </cell>
          <cell r="F2244" t="str">
            <v>QTY -</v>
          </cell>
          <cell r="G2244">
            <v>5</v>
          </cell>
          <cell r="H2244" t="str">
            <v>RMT</v>
          </cell>
        </row>
        <row r="2246">
          <cell r="A2246" t="str">
            <v>A</v>
          </cell>
          <cell r="B2246" t="str">
            <v xml:space="preserve">MATERIAL </v>
          </cell>
        </row>
        <row r="2248">
          <cell r="B2248" t="str">
            <v>Granite 19mm thk</v>
          </cell>
          <cell r="C2248" t="str">
            <v>Sqm</v>
          </cell>
          <cell r="D2248">
            <v>3.472</v>
          </cell>
          <cell r="E2248">
            <v>1185</v>
          </cell>
          <cell r="F2248">
            <v>4114.32</v>
          </cell>
        </row>
        <row r="2249">
          <cell r="B2249" t="str">
            <v>Kuddapah 40mm thk</v>
          </cell>
          <cell r="C2249" t="str">
            <v>Sqm</v>
          </cell>
          <cell r="D2249">
            <v>6.67</v>
          </cell>
          <cell r="E2249">
            <v>200</v>
          </cell>
          <cell r="F2249">
            <v>1334</v>
          </cell>
        </row>
        <row r="2250">
          <cell r="B2250" t="str">
            <v>Kuddapah 57mm thk</v>
          </cell>
          <cell r="C2250" t="str">
            <v>Sqm</v>
          </cell>
          <cell r="D2250">
            <v>2.024</v>
          </cell>
          <cell r="E2250">
            <v>140</v>
          </cell>
          <cell r="F2250">
            <v>283.36</v>
          </cell>
        </row>
        <row r="2251">
          <cell r="B2251" t="str">
            <v>Granite facia  (100mm wide)</v>
          </cell>
          <cell r="C2251" t="str">
            <v>Rmt</v>
          </cell>
          <cell r="D2251">
            <v>5.25</v>
          </cell>
          <cell r="E2251">
            <v>118.5</v>
          </cell>
          <cell r="F2251">
            <v>622.125</v>
          </cell>
        </row>
        <row r="2252">
          <cell r="B2252" t="str">
            <v>Cement (Grey)</v>
          </cell>
          <cell r="C2252" t="str">
            <v>Bag</v>
          </cell>
          <cell r="D2252">
            <v>0.625</v>
          </cell>
          <cell r="E2252">
            <v>150</v>
          </cell>
          <cell r="F2252">
            <v>93.75</v>
          </cell>
        </row>
        <row r="2253">
          <cell r="B2253" t="str">
            <v>Sand</v>
          </cell>
          <cell r="C2253" t="str">
            <v>Cum</v>
          </cell>
          <cell r="D2253">
            <v>0.14000000000000001</v>
          </cell>
          <cell r="E2253">
            <v>650</v>
          </cell>
          <cell r="F2253">
            <v>91.000000000000014</v>
          </cell>
        </row>
        <row r="2254">
          <cell r="B2254" t="str">
            <v>Add for pins,clamps &amp; dowels</v>
          </cell>
          <cell r="C2254" t="str">
            <v>L.S</v>
          </cell>
          <cell r="F2254">
            <v>100</v>
          </cell>
        </row>
        <row r="2255">
          <cell r="F2255">
            <v>6638.5549999999994</v>
          </cell>
          <cell r="G2255">
            <v>6638.5549999999994</v>
          </cell>
        </row>
        <row r="2257">
          <cell r="A2257" t="str">
            <v>B</v>
          </cell>
          <cell r="B2257" t="str">
            <v>LABOUR</v>
          </cell>
          <cell r="C2257" t="str">
            <v>Rmt</v>
          </cell>
          <cell r="D2257">
            <v>5</v>
          </cell>
          <cell r="E2257">
            <v>400</v>
          </cell>
          <cell r="F2257">
            <v>2000</v>
          </cell>
          <cell r="G2257">
            <v>2000</v>
          </cell>
        </row>
        <row r="2258">
          <cell r="G2258">
            <v>8638.5550000000003</v>
          </cell>
        </row>
        <row r="2260">
          <cell r="A2260" t="str">
            <v>C</v>
          </cell>
          <cell r="B2260" t="str">
            <v>Add for water &amp; electrical charges</v>
          </cell>
          <cell r="D2260">
            <v>8638.5550000000003</v>
          </cell>
          <cell r="E2260">
            <v>0.01</v>
          </cell>
          <cell r="F2260">
            <v>86.385550000000009</v>
          </cell>
          <cell r="G2260">
            <v>86.385550000000009</v>
          </cell>
        </row>
        <row r="2262">
          <cell r="A2262" t="str">
            <v>D</v>
          </cell>
          <cell r="B2262" t="str">
            <v>Add for tools and plants</v>
          </cell>
          <cell r="D2262">
            <v>8638.5550000000003</v>
          </cell>
          <cell r="E2262">
            <v>0.03</v>
          </cell>
          <cell r="F2262">
            <v>259.15665000000001</v>
          </cell>
          <cell r="G2262">
            <v>259.15665000000001</v>
          </cell>
        </row>
        <row r="2263">
          <cell r="G2263">
            <v>8984.097200000002</v>
          </cell>
        </row>
        <row r="2265">
          <cell r="A2265" t="str">
            <v>E</v>
          </cell>
          <cell r="B2265" t="str">
            <v>Add contractor's profit</v>
          </cell>
          <cell r="D2265">
            <v>8984.097200000002</v>
          </cell>
          <cell r="E2265">
            <v>0.15</v>
          </cell>
          <cell r="F2265">
            <v>1347.6145800000002</v>
          </cell>
          <cell r="G2265">
            <v>1347.6145800000002</v>
          </cell>
        </row>
        <row r="2266">
          <cell r="G2266">
            <v>10331.711780000001</v>
          </cell>
        </row>
        <row r="2268">
          <cell r="A2268" t="str">
            <v>F</v>
          </cell>
          <cell r="B2268" t="str">
            <v xml:space="preserve">WCT </v>
          </cell>
          <cell r="D2268">
            <v>10331.711780000001</v>
          </cell>
          <cell r="E2268">
            <v>0.04</v>
          </cell>
          <cell r="F2268">
            <v>413.26847120000008</v>
          </cell>
          <cell r="G2268">
            <v>413.26847120000008</v>
          </cell>
        </row>
        <row r="2269">
          <cell r="G2269">
            <v>10744.980251200002</v>
          </cell>
        </row>
        <row r="2271">
          <cell r="B2271" t="str">
            <v>Rate per Rmt</v>
          </cell>
          <cell r="D2271">
            <v>10744.980251200002</v>
          </cell>
          <cell r="E2271">
            <v>5</v>
          </cell>
          <cell r="F2271">
            <v>2148.9960502400004</v>
          </cell>
          <cell r="G2271">
            <v>2149</v>
          </cell>
        </row>
        <row r="2303">
          <cell r="A2303">
            <v>61</v>
          </cell>
          <cell r="B2303" t="str">
            <v xml:space="preserve">HARD WOOD DOOR FRAME 105MM X 65MM </v>
          </cell>
          <cell r="E2303" t="str">
            <v>QTY -</v>
          </cell>
          <cell r="F2303">
            <v>5.0999999999999996</v>
          </cell>
          <cell r="G2303" t="str">
            <v>RMT</v>
          </cell>
        </row>
        <row r="2305">
          <cell r="A2305" t="str">
            <v>A</v>
          </cell>
          <cell r="B2305" t="str">
            <v xml:space="preserve">MATERIAL </v>
          </cell>
        </row>
        <row r="2308">
          <cell r="B2308" t="str">
            <v xml:space="preserve">Hard wood frame </v>
          </cell>
          <cell r="C2308" t="str">
            <v>Rmt</v>
          </cell>
          <cell r="D2308">
            <v>5.0999999999999996</v>
          </cell>
          <cell r="E2308">
            <v>216</v>
          </cell>
          <cell r="F2308">
            <v>1101.5999999999999</v>
          </cell>
        </row>
        <row r="2309">
          <cell r="B2309" t="str">
            <v>G I Holdfast</v>
          </cell>
          <cell r="C2309" t="str">
            <v>Kg</v>
          </cell>
          <cell r="D2309">
            <v>3.39</v>
          </cell>
          <cell r="E2309">
            <v>30</v>
          </cell>
          <cell r="F2309">
            <v>101.7</v>
          </cell>
        </row>
        <row r="2310">
          <cell r="B2310" t="str">
            <v>Sundries (including concrete, primer &amp; paint)</v>
          </cell>
          <cell r="C2310" t="str">
            <v>L.S</v>
          </cell>
          <cell r="F2310">
            <v>90</v>
          </cell>
        </row>
        <row r="2311">
          <cell r="F2311">
            <v>1293.3</v>
          </cell>
          <cell r="G2311">
            <v>1293.3</v>
          </cell>
        </row>
        <row r="2313">
          <cell r="A2313" t="str">
            <v>B</v>
          </cell>
          <cell r="B2313" t="str">
            <v>FIXING CHARGES</v>
          </cell>
          <cell r="C2313" t="str">
            <v>Rmt</v>
          </cell>
          <cell r="D2313">
            <v>5.0999999999999996</v>
          </cell>
          <cell r="E2313">
            <v>30</v>
          </cell>
          <cell r="F2313">
            <v>153</v>
          </cell>
          <cell r="G2313">
            <v>153</v>
          </cell>
        </row>
        <row r="2315">
          <cell r="A2315" t="str">
            <v>C</v>
          </cell>
          <cell r="B2315" t="str">
            <v>PAINTING</v>
          </cell>
        </row>
        <row r="2316">
          <cell r="B2316" t="str">
            <v>(0.15 + 2 x 0.065) x 5.13 = 1.436</v>
          </cell>
          <cell r="C2316" t="str">
            <v>Sqm</v>
          </cell>
          <cell r="D2316">
            <v>1.4364000000000001</v>
          </cell>
          <cell r="E2316">
            <v>25</v>
          </cell>
          <cell r="F2316">
            <v>35.910000000000004</v>
          </cell>
          <cell r="G2316">
            <v>35.910000000000004</v>
          </cell>
        </row>
        <row r="2317">
          <cell r="G2317">
            <v>1482.21</v>
          </cell>
        </row>
        <row r="2319">
          <cell r="A2319" t="str">
            <v>D</v>
          </cell>
          <cell r="B2319" t="str">
            <v>Add for water &amp; electrical charges</v>
          </cell>
          <cell r="D2319">
            <v>1482.21</v>
          </cell>
          <cell r="E2319">
            <v>0.01</v>
          </cell>
          <cell r="F2319">
            <v>14.822100000000001</v>
          </cell>
          <cell r="G2319">
            <v>14.822100000000001</v>
          </cell>
        </row>
        <row r="2321">
          <cell r="A2321" t="str">
            <v>E</v>
          </cell>
          <cell r="B2321" t="str">
            <v>Add for tools and plants</v>
          </cell>
          <cell r="D2321">
            <v>1482.21</v>
          </cell>
          <cell r="E2321">
            <v>0.03</v>
          </cell>
          <cell r="F2321">
            <v>44.466299999999997</v>
          </cell>
          <cell r="G2321">
            <v>44.466299999999997</v>
          </cell>
        </row>
        <row r="2322">
          <cell r="G2322">
            <v>1541.4984000000002</v>
          </cell>
        </row>
        <row r="2324">
          <cell r="A2324" t="str">
            <v>F</v>
          </cell>
          <cell r="B2324" t="str">
            <v>Add contractor's profit</v>
          </cell>
          <cell r="D2324">
            <v>1541.4984000000002</v>
          </cell>
          <cell r="E2324">
            <v>0.15</v>
          </cell>
          <cell r="F2324">
            <v>231.22476</v>
          </cell>
          <cell r="G2324">
            <v>231.22476</v>
          </cell>
        </row>
        <row r="2325">
          <cell r="G2325">
            <v>1772.7231600000002</v>
          </cell>
        </row>
        <row r="2327">
          <cell r="A2327" t="str">
            <v>F</v>
          </cell>
          <cell r="B2327" t="str">
            <v xml:space="preserve">WCT </v>
          </cell>
          <cell r="D2327">
            <v>1772.7231600000002</v>
          </cell>
          <cell r="E2327">
            <v>0.04</v>
          </cell>
          <cell r="F2327">
            <v>70.908926400000013</v>
          </cell>
          <cell r="G2327">
            <v>70.908926400000013</v>
          </cell>
        </row>
        <row r="2328">
          <cell r="G2328">
            <v>1843.6320864000002</v>
          </cell>
        </row>
        <row r="2330">
          <cell r="B2330" t="str">
            <v>Rate per Rmt</v>
          </cell>
          <cell r="D2330">
            <v>1843.6320864000002</v>
          </cell>
          <cell r="E2330">
            <v>5.0999999999999996</v>
          </cell>
          <cell r="F2330">
            <v>361.49648752941181</v>
          </cell>
          <cell r="G2330">
            <v>362</v>
          </cell>
        </row>
        <row r="2333">
          <cell r="A2333">
            <v>62</v>
          </cell>
          <cell r="B2333" t="str">
            <v xml:space="preserve">HARD WOOD DOOR FRAME 125MM X 65MM </v>
          </cell>
          <cell r="E2333" t="str">
            <v>QTY -</v>
          </cell>
          <cell r="F2333">
            <v>5.0999999999999996</v>
          </cell>
          <cell r="G2333" t="str">
            <v>RMT</v>
          </cell>
        </row>
        <row r="2335">
          <cell r="A2335" t="str">
            <v>A</v>
          </cell>
          <cell r="B2335" t="str">
            <v xml:space="preserve">MATERIAL </v>
          </cell>
        </row>
        <row r="2338">
          <cell r="B2338" t="str">
            <v xml:space="preserve">Hard wood frame </v>
          </cell>
          <cell r="C2338" t="str">
            <v>Rmt</v>
          </cell>
          <cell r="D2338">
            <v>5.0999999999999996</v>
          </cell>
          <cell r="E2338">
            <v>216</v>
          </cell>
          <cell r="F2338">
            <v>1101.5999999999999</v>
          </cell>
        </row>
        <row r="2339">
          <cell r="B2339" t="str">
            <v>G I Holdfast</v>
          </cell>
          <cell r="C2339" t="str">
            <v>Kg</v>
          </cell>
          <cell r="D2339">
            <v>3.39</v>
          </cell>
          <cell r="E2339">
            <v>30</v>
          </cell>
          <cell r="F2339">
            <v>101.7</v>
          </cell>
        </row>
        <row r="2340">
          <cell r="B2340" t="str">
            <v>Sundries (including concrete, primer &amp; paint)</v>
          </cell>
          <cell r="C2340" t="str">
            <v>L.S</v>
          </cell>
          <cell r="F2340">
            <v>90</v>
          </cell>
        </row>
        <row r="2341">
          <cell r="F2341">
            <v>1293.3</v>
          </cell>
          <cell r="G2341">
            <v>1293.3</v>
          </cell>
        </row>
        <row r="2343">
          <cell r="A2343" t="str">
            <v>B</v>
          </cell>
          <cell r="B2343" t="str">
            <v>FIXING CHARGES</v>
          </cell>
          <cell r="C2343" t="str">
            <v>Rmt</v>
          </cell>
          <cell r="D2343">
            <v>5.0999999999999996</v>
          </cell>
          <cell r="E2343">
            <v>35</v>
          </cell>
          <cell r="F2343">
            <v>178.5</v>
          </cell>
          <cell r="G2343">
            <v>178.5</v>
          </cell>
        </row>
        <row r="2345">
          <cell r="A2345" t="str">
            <v>C</v>
          </cell>
          <cell r="B2345" t="str">
            <v>PAINTING</v>
          </cell>
        </row>
        <row r="2346">
          <cell r="B2346" t="str">
            <v>(0.13 + 2 x 0.065) x 5.1 = 1.352</v>
          </cell>
          <cell r="C2346" t="str">
            <v>Sqm</v>
          </cell>
          <cell r="D2346">
            <v>1.3520000000000001</v>
          </cell>
          <cell r="E2346">
            <v>25</v>
          </cell>
          <cell r="F2346">
            <v>33.800000000000004</v>
          </cell>
          <cell r="G2346">
            <v>33.800000000000004</v>
          </cell>
        </row>
        <row r="2347">
          <cell r="G2347">
            <v>1505.6</v>
          </cell>
        </row>
        <row r="2349">
          <cell r="A2349" t="str">
            <v>D</v>
          </cell>
          <cell r="B2349" t="str">
            <v>Add for water &amp; electrical charges</v>
          </cell>
          <cell r="D2349">
            <v>1505.6</v>
          </cell>
          <cell r="E2349">
            <v>0.01</v>
          </cell>
          <cell r="F2349">
            <v>15.055999999999999</v>
          </cell>
          <cell r="G2349">
            <v>15.055999999999999</v>
          </cell>
        </row>
        <row r="2351">
          <cell r="A2351" t="str">
            <v>E</v>
          </cell>
          <cell r="B2351" t="str">
            <v>Add for tools and plants</v>
          </cell>
          <cell r="D2351">
            <v>1505.6</v>
          </cell>
          <cell r="E2351">
            <v>0.03</v>
          </cell>
          <cell r="F2351">
            <v>45.167999999999992</v>
          </cell>
          <cell r="G2351">
            <v>45.167999999999992</v>
          </cell>
        </row>
        <row r="2352">
          <cell r="G2352">
            <v>1565.8239999999998</v>
          </cell>
        </row>
        <row r="2354">
          <cell r="A2354" t="str">
            <v>F</v>
          </cell>
          <cell r="B2354" t="str">
            <v>Add contractor's profit</v>
          </cell>
          <cell r="D2354">
            <v>1565.8239999999998</v>
          </cell>
          <cell r="E2354">
            <v>0.15</v>
          </cell>
          <cell r="F2354">
            <v>234.87359999999995</v>
          </cell>
          <cell r="G2354">
            <v>234.87359999999995</v>
          </cell>
        </row>
        <row r="2355">
          <cell r="G2355">
            <v>1800.6975999999997</v>
          </cell>
        </row>
        <row r="2357">
          <cell r="A2357" t="str">
            <v>F</v>
          </cell>
          <cell r="B2357" t="str">
            <v xml:space="preserve">WCT </v>
          </cell>
          <cell r="D2357">
            <v>1800.6975999999997</v>
          </cell>
          <cell r="E2357">
            <v>0.04</v>
          </cell>
          <cell r="F2357">
            <v>72.027903999999992</v>
          </cell>
          <cell r="G2357">
            <v>72.027903999999992</v>
          </cell>
        </row>
        <row r="2358">
          <cell r="G2358">
            <v>1872.7255039999998</v>
          </cell>
        </row>
        <row r="2360">
          <cell r="B2360" t="str">
            <v>Rate per Rmt</v>
          </cell>
          <cell r="D2360">
            <v>1872.7255039999998</v>
          </cell>
          <cell r="E2360">
            <v>5.0999999999999996</v>
          </cell>
          <cell r="F2360">
            <v>367.20107921568626</v>
          </cell>
          <cell r="G2360">
            <v>368</v>
          </cell>
        </row>
        <row r="2363">
          <cell r="A2363">
            <v>63</v>
          </cell>
          <cell r="B2363" t="str">
            <v xml:space="preserve">HARD WOOD DOOR FRAME 150MM X 65MM </v>
          </cell>
          <cell r="F2363" t="str">
            <v>QTY - 5.1 RMT</v>
          </cell>
        </row>
        <row r="2365">
          <cell r="A2365" t="str">
            <v>A</v>
          </cell>
          <cell r="B2365" t="str">
            <v xml:space="preserve">MATERIAL </v>
          </cell>
        </row>
        <row r="2367">
          <cell r="B2367" t="str">
            <v>Hard wood</v>
          </cell>
        </row>
        <row r="2368">
          <cell r="B2368" t="str">
            <v>(5.2 X 0.15 X 0.065) = 0.0507</v>
          </cell>
          <cell r="C2368" t="str">
            <v>Cum</v>
          </cell>
          <cell r="D2368">
            <v>5.0700000000000002E-2</v>
          </cell>
          <cell r="E2368">
            <v>13175</v>
          </cell>
          <cell r="F2368">
            <v>667.97250000000008</v>
          </cell>
        </row>
        <row r="2369">
          <cell r="B2369" t="str">
            <v>Holdfast</v>
          </cell>
          <cell r="C2369" t="str">
            <v>Kg</v>
          </cell>
          <cell r="D2369">
            <v>3.39</v>
          </cell>
          <cell r="E2369">
            <v>0</v>
          </cell>
          <cell r="F2369">
            <v>0</v>
          </cell>
        </row>
        <row r="2370">
          <cell r="B2370" t="str">
            <v>Sundries</v>
          </cell>
          <cell r="C2370" t="str">
            <v>L.S</v>
          </cell>
          <cell r="F2370">
            <v>50</v>
          </cell>
        </row>
        <row r="2371">
          <cell r="F2371">
            <v>717.97250000000008</v>
          </cell>
          <cell r="G2371">
            <v>717.97250000000008</v>
          </cell>
        </row>
        <row r="2373">
          <cell r="A2373" t="str">
            <v>B</v>
          </cell>
          <cell r="B2373" t="str">
            <v>LABOUR</v>
          </cell>
          <cell r="C2373" t="str">
            <v>Rmt</v>
          </cell>
          <cell r="D2373">
            <v>5.0999999999999996</v>
          </cell>
          <cell r="E2373">
            <v>0</v>
          </cell>
          <cell r="F2373">
            <v>0</v>
          </cell>
          <cell r="G2373">
            <v>0</v>
          </cell>
        </row>
        <row r="2375">
          <cell r="A2375" t="str">
            <v>C</v>
          </cell>
          <cell r="B2375" t="str">
            <v>PAINTING</v>
          </cell>
        </row>
        <row r="2376">
          <cell r="B2376" t="str">
            <v>(0.15 + 2 x 0.065) x 5.2 = 1.456</v>
          </cell>
          <cell r="C2376" t="str">
            <v>Sqm</v>
          </cell>
          <cell r="D2376">
            <v>1.456</v>
          </cell>
          <cell r="E2376">
            <v>0</v>
          </cell>
          <cell r="F2376">
            <v>0</v>
          </cell>
          <cell r="G2376">
            <v>0</v>
          </cell>
        </row>
        <row r="2377">
          <cell r="G2377">
            <v>717.97250000000008</v>
          </cell>
        </row>
        <row r="2379">
          <cell r="A2379" t="str">
            <v>D</v>
          </cell>
          <cell r="B2379" t="str">
            <v>Add for water &amp; electrical charges</v>
          </cell>
          <cell r="D2379">
            <v>717.97250000000008</v>
          </cell>
          <cell r="E2379">
            <v>0.01</v>
          </cell>
          <cell r="F2379">
            <v>7.1797250000000012</v>
          </cell>
          <cell r="G2379">
            <v>7.1797250000000012</v>
          </cell>
        </row>
        <row r="2381">
          <cell r="A2381" t="str">
            <v>E</v>
          </cell>
          <cell r="B2381" t="str">
            <v>Add for tools and plants</v>
          </cell>
          <cell r="D2381">
            <v>717.97250000000008</v>
          </cell>
          <cell r="E2381">
            <v>0.03</v>
          </cell>
          <cell r="F2381">
            <v>21.539175</v>
          </cell>
          <cell r="G2381">
            <v>21.539175</v>
          </cell>
        </row>
        <row r="2382">
          <cell r="G2382">
            <v>746.69140000000004</v>
          </cell>
        </row>
        <row r="2384">
          <cell r="A2384" t="str">
            <v>F</v>
          </cell>
          <cell r="B2384" t="str">
            <v>Add contractor's profit</v>
          </cell>
          <cell r="D2384">
            <v>746.69140000000004</v>
          </cell>
          <cell r="E2384">
            <v>0.15</v>
          </cell>
          <cell r="F2384">
            <v>112.00371</v>
          </cell>
          <cell r="G2384">
            <v>112.00371</v>
          </cell>
        </row>
        <row r="2385">
          <cell r="G2385">
            <v>858.69511</v>
          </cell>
        </row>
        <row r="2387">
          <cell r="A2387" t="str">
            <v>F</v>
          </cell>
          <cell r="B2387" t="str">
            <v xml:space="preserve">WCT </v>
          </cell>
          <cell r="D2387">
            <v>858.69511</v>
          </cell>
          <cell r="E2387">
            <v>0.04</v>
          </cell>
          <cell r="F2387">
            <v>34.347804400000001</v>
          </cell>
          <cell r="G2387">
            <v>34.347804400000001</v>
          </cell>
        </row>
        <row r="2388">
          <cell r="G2388">
            <v>893.04291439999997</v>
          </cell>
        </row>
        <row r="2390">
          <cell r="B2390" t="str">
            <v>Rate per Rmt</v>
          </cell>
          <cell r="G2390">
            <v>168.37159019607844</v>
          </cell>
        </row>
        <row r="2393">
          <cell r="A2393">
            <v>64</v>
          </cell>
          <cell r="B2393" t="str">
            <v xml:space="preserve">HARD WOOD DOOR FRAME 130MM X 65MM </v>
          </cell>
          <cell r="F2393" t="str">
            <v>QTY - 5.1 RMT</v>
          </cell>
        </row>
        <row r="2395">
          <cell r="A2395" t="str">
            <v>A</v>
          </cell>
          <cell r="B2395" t="str">
            <v xml:space="preserve">MATERIAL </v>
          </cell>
        </row>
        <row r="2397">
          <cell r="B2397" t="str">
            <v>Hard wood</v>
          </cell>
        </row>
        <row r="2398">
          <cell r="B2398" t="str">
            <v>(5.2 X 0.13 X 0.065) = 0.044</v>
          </cell>
          <cell r="C2398" t="str">
            <v>Cum</v>
          </cell>
          <cell r="D2398">
            <v>4.3940000000000007E-2</v>
          </cell>
          <cell r="E2398">
            <v>13175</v>
          </cell>
          <cell r="F2398">
            <v>578.90950000000009</v>
          </cell>
        </row>
        <row r="2399">
          <cell r="B2399" t="str">
            <v>Holdfast</v>
          </cell>
          <cell r="C2399" t="str">
            <v>Kg</v>
          </cell>
          <cell r="D2399">
            <v>3.39</v>
          </cell>
          <cell r="E2399">
            <v>0</v>
          </cell>
          <cell r="F2399">
            <v>0</v>
          </cell>
        </row>
        <row r="2400">
          <cell r="B2400" t="str">
            <v>Sundries</v>
          </cell>
          <cell r="C2400" t="str">
            <v>L.S</v>
          </cell>
          <cell r="F2400">
            <v>50</v>
          </cell>
        </row>
        <row r="2401">
          <cell r="F2401">
            <v>628.90950000000009</v>
          </cell>
          <cell r="G2401">
            <v>628.90950000000009</v>
          </cell>
        </row>
        <row r="2403">
          <cell r="A2403" t="str">
            <v>B</v>
          </cell>
          <cell r="B2403" t="str">
            <v>LABOUR</v>
          </cell>
          <cell r="C2403" t="str">
            <v>Rmt</v>
          </cell>
          <cell r="D2403">
            <v>5.0999999999999996</v>
          </cell>
          <cell r="E2403">
            <v>0</v>
          </cell>
          <cell r="F2403">
            <v>0</v>
          </cell>
          <cell r="G2403">
            <v>0</v>
          </cell>
        </row>
        <row r="2405">
          <cell r="A2405" t="str">
            <v>C</v>
          </cell>
          <cell r="B2405" t="str">
            <v>PAINTING</v>
          </cell>
        </row>
        <row r="2406">
          <cell r="B2406" t="str">
            <v>(0.13 + 2 x 0.065) x 5.2 = 1.352</v>
          </cell>
          <cell r="C2406" t="str">
            <v>Sqm</v>
          </cell>
          <cell r="D2406">
            <v>1.3520000000000001</v>
          </cell>
          <cell r="E2406">
            <v>0</v>
          </cell>
          <cell r="F2406">
            <v>0</v>
          </cell>
          <cell r="G2406">
            <v>0</v>
          </cell>
        </row>
        <row r="2407">
          <cell r="G2407">
            <v>628.90950000000009</v>
          </cell>
        </row>
        <row r="2409">
          <cell r="A2409" t="str">
            <v>D</v>
          </cell>
          <cell r="B2409" t="str">
            <v>Add for water &amp; electrical charges</v>
          </cell>
          <cell r="D2409">
            <v>628.90950000000009</v>
          </cell>
          <cell r="E2409">
            <v>0.01</v>
          </cell>
          <cell r="F2409">
            <v>6.2890950000000014</v>
          </cell>
          <cell r="G2409">
            <v>6.2890950000000014</v>
          </cell>
        </row>
        <row r="2411">
          <cell r="A2411" t="str">
            <v>E</v>
          </cell>
          <cell r="B2411" t="str">
            <v>Add for tools and plants</v>
          </cell>
          <cell r="D2411">
            <v>628.90950000000009</v>
          </cell>
          <cell r="E2411">
            <v>0.03</v>
          </cell>
          <cell r="F2411">
            <v>18.867285000000003</v>
          </cell>
          <cell r="G2411">
            <v>18.867285000000003</v>
          </cell>
        </row>
        <row r="2412">
          <cell r="G2412">
            <v>654.06588000000011</v>
          </cell>
        </row>
        <row r="2414">
          <cell r="A2414" t="str">
            <v>F</v>
          </cell>
          <cell r="B2414" t="str">
            <v>Add contractor's profit</v>
          </cell>
          <cell r="D2414">
            <v>654.06588000000011</v>
          </cell>
          <cell r="E2414">
            <v>0.15</v>
          </cell>
          <cell r="F2414">
            <v>98.109882000000013</v>
          </cell>
          <cell r="G2414">
            <v>98.109882000000013</v>
          </cell>
        </row>
        <row r="2415">
          <cell r="G2415">
            <v>752.17576200000008</v>
          </cell>
        </row>
        <row r="2417">
          <cell r="B2417" t="str">
            <v>Rate per Rmt</v>
          </cell>
          <cell r="G2417">
            <v>147.48544352941178</v>
          </cell>
        </row>
        <row r="2420">
          <cell r="A2420">
            <v>65</v>
          </cell>
          <cell r="B2420" t="str">
            <v xml:space="preserve">HARD WOOD COVER MOULD 40MM X 20MM </v>
          </cell>
          <cell r="E2420" t="str">
            <v>QTY -</v>
          </cell>
          <cell r="F2420">
            <v>5.0999999999999996</v>
          </cell>
          <cell r="G2420" t="str">
            <v>RMT</v>
          </cell>
        </row>
        <row r="2422">
          <cell r="A2422" t="str">
            <v>A</v>
          </cell>
          <cell r="B2422" t="str">
            <v xml:space="preserve">MATERIAL </v>
          </cell>
        </row>
        <row r="2424">
          <cell r="B2424" t="str">
            <v>Teak wood</v>
          </cell>
        </row>
        <row r="2425">
          <cell r="B2425" t="str">
            <v>(5.26 X 0.04 X 0.02 X 1.1) = 0.0046</v>
          </cell>
          <cell r="C2425" t="str">
            <v>Cum</v>
          </cell>
          <cell r="D2425">
            <v>4.5999999999999999E-3</v>
          </cell>
          <cell r="E2425">
            <v>13175</v>
          </cell>
          <cell r="F2425">
            <v>60.604999999999997</v>
          </cell>
        </row>
        <row r="2426">
          <cell r="B2426" t="str">
            <v>Sundries</v>
          </cell>
          <cell r="C2426" t="str">
            <v>L.S</v>
          </cell>
          <cell r="F2426">
            <v>40</v>
          </cell>
        </row>
        <row r="2427">
          <cell r="F2427">
            <v>100.60499999999999</v>
          </cell>
          <cell r="G2427">
            <v>100.60499999999999</v>
          </cell>
        </row>
        <row r="2429">
          <cell r="A2429" t="str">
            <v>B</v>
          </cell>
          <cell r="B2429" t="str">
            <v>LABOUR</v>
          </cell>
          <cell r="C2429" t="str">
            <v>Rmt</v>
          </cell>
          <cell r="D2429">
            <v>5.0999999999999996</v>
          </cell>
          <cell r="E2429">
            <v>20</v>
          </cell>
          <cell r="F2429">
            <v>102</v>
          </cell>
          <cell r="G2429">
            <v>102</v>
          </cell>
        </row>
        <row r="2431">
          <cell r="A2431" t="str">
            <v>C</v>
          </cell>
          <cell r="B2431" t="str">
            <v>PAINTING</v>
          </cell>
        </row>
        <row r="2432">
          <cell r="B2432" t="str">
            <v>(0.04 + 2 x 0.02) x 5.26 = 0.421</v>
          </cell>
          <cell r="C2432" t="str">
            <v>Sqm</v>
          </cell>
          <cell r="D2432">
            <v>0.42099999999999999</v>
          </cell>
          <cell r="E2432">
            <v>25</v>
          </cell>
          <cell r="F2432">
            <v>10.525</v>
          </cell>
          <cell r="G2432">
            <v>10.525</v>
          </cell>
        </row>
        <row r="2433">
          <cell r="G2433">
            <v>213.13</v>
          </cell>
        </row>
        <row r="2435">
          <cell r="A2435" t="str">
            <v>D</v>
          </cell>
          <cell r="B2435" t="str">
            <v>Add for water &amp; electrical charges</v>
          </cell>
          <cell r="D2435">
            <v>213.13</v>
          </cell>
          <cell r="E2435">
            <v>0.01</v>
          </cell>
          <cell r="F2435">
            <v>2.1313</v>
          </cell>
          <cell r="G2435">
            <v>2.1313</v>
          </cell>
        </row>
        <row r="2437">
          <cell r="A2437" t="str">
            <v>E</v>
          </cell>
          <cell r="B2437" t="str">
            <v>Add for tools and plants</v>
          </cell>
          <cell r="D2437">
            <v>213.13</v>
          </cell>
          <cell r="E2437">
            <v>0.03</v>
          </cell>
          <cell r="F2437">
            <v>6.3938999999999995</v>
          </cell>
          <cell r="G2437">
            <v>6.3938999999999995</v>
          </cell>
        </row>
        <row r="2438">
          <cell r="G2438">
            <v>221.65520000000001</v>
          </cell>
        </row>
        <row r="2440">
          <cell r="A2440" t="str">
            <v>F</v>
          </cell>
          <cell r="B2440" t="str">
            <v>Add contractor's profit</v>
          </cell>
          <cell r="D2440">
            <v>221.65520000000001</v>
          </cell>
          <cell r="E2440">
            <v>0.15</v>
          </cell>
          <cell r="F2440">
            <v>33.248280000000001</v>
          </cell>
          <cell r="G2440">
            <v>33.248280000000001</v>
          </cell>
        </row>
        <row r="2441">
          <cell r="G2441">
            <v>254.90348</v>
          </cell>
        </row>
        <row r="2443">
          <cell r="A2443" t="str">
            <v>F</v>
          </cell>
          <cell r="B2443" t="str">
            <v xml:space="preserve">WCT </v>
          </cell>
          <cell r="D2443">
            <v>254.90348</v>
          </cell>
          <cell r="E2443">
            <v>0.04</v>
          </cell>
          <cell r="F2443">
            <v>10.196139200000001</v>
          </cell>
          <cell r="G2443">
            <v>10.196139200000001</v>
          </cell>
        </row>
        <row r="2444">
          <cell r="G2444">
            <v>265.09961920000001</v>
          </cell>
        </row>
        <row r="2446">
          <cell r="B2446" t="str">
            <v>Rate per Rmt</v>
          </cell>
          <cell r="D2446">
            <v>265.09961920000001</v>
          </cell>
          <cell r="E2446">
            <v>5.0999999999999996</v>
          </cell>
          <cell r="F2446">
            <v>51.980317490196086</v>
          </cell>
          <cell r="G2446">
            <v>52</v>
          </cell>
        </row>
        <row r="2449">
          <cell r="A2449">
            <v>66</v>
          </cell>
          <cell r="B2449" t="str">
            <v xml:space="preserve">HARD WOOD COVER MOULD 20MM X 20MM </v>
          </cell>
          <cell r="E2449" t="str">
            <v>QTY -</v>
          </cell>
          <cell r="F2449">
            <v>5.0999999999999996</v>
          </cell>
          <cell r="G2449" t="str">
            <v>RMT</v>
          </cell>
        </row>
        <row r="2451">
          <cell r="A2451" t="str">
            <v>A</v>
          </cell>
          <cell r="B2451" t="str">
            <v xml:space="preserve">MATERIAL </v>
          </cell>
        </row>
        <row r="2453">
          <cell r="B2453" t="str">
            <v>Hard wood</v>
          </cell>
        </row>
        <row r="2454">
          <cell r="B2454" t="str">
            <v>(5.26 X 0.02 X 0.02 X 1.1) = 0.0023</v>
          </cell>
          <cell r="C2454" t="str">
            <v>Cum</v>
          </cell>
          <cell r="D2454">
            <v>2.3144000000000003E-3</v>
          </cell>
          <cell r="E2454">
            <v>13175</v>
          </cell>
          <cell r="F2454">
            <v>30.492220000000003</v>
          </cell>
        </row>
        <row r="2455">
          <cell r="B2455" t="str">
            <v>Sundries</v>
          </cell>
          <cell r="C2455" t="str">
            <v>L.S</v>
          </cell>
          <cell r="F2455">
            <v>25</v>
          </cell>
        </row>
        <row r="2456">
          <cell r="F2456">
            <v>55.492220000000003</v>
          </cell>
          <cell r="G2456">
            <v>55.492220000000003</v>
          </cell>
        </row>
        <row r="2458">
          <cell r="A2458" t="str">
            <v>B</v>
          </cell>
          <cell r="B2458" t="str">
            <v>LABOUR</v>
          </cell>
          <cell r="C2458" t="str">
            <v>Rmt</v>
          </cell>
          <cell r="D2458">
            <v>5.0999999999999996</v>
          </cell>
          <cell r="E2458">
            <v>15</v>
          </cell>
          <cell r="F2458">
            <v>76.5</v>
          </cell>
          <cell r="G2458">
            <v>76.5</v>
          </cell>
        </row>
        <row r="2460">
          <cell r="A2460" t="str">
            <v>C</v>
          </cell>
          <cell r="B2460" t="str">
            <v>PAINTING</v>
          </cell>
        </row>
        <row r="2461">
          <cell r="B2461" t="str">
            <v>(0.02 + 2 x 0.02) x 5.26 = 0.3156</v>
          </cell>
          <cell r="C2461" t="str">
            <v>Sqm</v>
          </cell>
          <cell r="D2461">
            <v>0.31559999999999999</v>
          </cell>
          <cell r="E2461">
            <v>25</v>
          </cell>
          <cell r="F2461">
            <v>7.89</v>
          </cell>
          <cell r="G2461">
            <v>7.89</v>
          </cell>
        </row>
        <row r="2462">
          <cell r="G2462">
            <v>139.88221999999999</v>
          </cell>
        </row>
        <row r="2464">
          <cell r="A2464" t="str">
            <v>D</v>
          </cell>
          <cell r="B2464" t="str">
            <v>Add for water &amp; electrical charges</v>
          </cell>
          <cell r="D2464">
            <v>139.88221999999999</v>
          </cell>
          <cell r="E2464">
            <v>0.01</v>
          </cell>
          <cell r="F2464">
            <v>1.3988221999999999</v>
          </cell>
          <cell r="G2464">
            <v>1.3988221999999999</v>
          </cell>
        </row>
        <row r="2466">
          <cell r="A2466" t="str">
            <v>E</v>
          </cell>
          <cell r="B2466" t="str">
            <v>Add for tools and plants</v>
          </cell>
          <cell r="D2466">
            <v>139.88221999999999</v>
          </cell>
          <cell r="E2466">
            <v>0.03</v>
          </cell>
          <cell r="F2466">
            <v>4.1964665999999999</v>
          </cell>
          <cell r="G2466">
            <v>4.1964665999999999</v>
          </cell>
        </row>
        <row r="2467">
          <cell r="G2467">
            <v>145.47750880000001</v>
          </cell>
        </row>
        <row r="2469">
          <cell r="A2469" t="str">
            <v>F</v>
          </cell>
          <cell r="B2469" t="str">
            <v>Add contractor's profit</v>
          </cell>
          <cell r="D2469">
            <v>145.47750880000001</v>
          </cell>
          <cell r="E2469">
            <v>0.15</v>
          </cell>
          <cell r="F2469">
            <v>21.82162632</v>
          </cell>
          <cell r="G2469">
            <v>21.82162632</v>
          </cell>
        </row>
        <row r="2470">
          <cell r="G2470">
            <v>167.29913512000002</v>
          </cell>
        </row>
        <row r="2472">
          <cell r="A2472" t="str">
            <v>F</v>
          </cell>
          <cell r="B2472" t="str">
            <v xml:space="preserve">WCT </v>
          </cell>
          <cell r="D2472">
            <v>167.29913512000002</v>
          </cell>
          <cell r="E2472">
            <v>0.04</v>
          </cell>
          <cell r="F2472">
            <v>6.6919654048000012</v>
          </cell>
          <cell r="G2472">
            <v>6.6919654048000012</v>
          </cell>
        </row>
        <row r="2473">
          <cell r="G2473">
            <v>173.9911005248</v>
          </cell>
        </row>
        <row r="2475">
          <cell r="B2475" t="str">
            <v>Rate per Rmt</v>
          </cell>
          <cell r="D2475">
            <v>173.9911005248</v>
          </cell>
          <cell r="E2475">
            <v>5.0999999999999996</v>
          </cell>
          <cell r="F2475">
            <v>34.115902063686278</v>
          </cell>
          <cell r="G2475">
            <v>35</v>
          </cell>
        </row>
        <row r="2478">
          <cell r="A2478">
            <v>73</v>
          </cell>
          <cell r="B2478" t="str">
            <v xml:space="preserve">50mm Thk Fire rated Flush door shutter </v>
          </cell>
          <cell r="E2478" t="str">
            <v>QTY -</v>
          </cell>
          <cell r="F2478">
            <v>1.8900000000000001</v>
          </cell>
          <cell r="G2478" t="str">
            <v>SQM</v>
          </cell>
        </row>
        <row r="2480">
          <cell r="B2480" t="str">
            <v>MATERIAL</v>
          </cell>
        </row>
        <row r="2482">
          <cell r="B2482" t="str">
            <v>50mm thk Fire rated flush door shutter including hardwares</v>
          </cell>
          <cell r="C2482" t="str">
            <v>Sqm</v>
          </cell>
          <cell r="D2482">
            <v>1.8900000000000001</v>
          </cell>
          <cell r="E2482">
            <v>2011</v>
          </cell>
          <cell r="F2482">
            <v>3800.7900000000004</v>
          </cell>
        </row>
        <row r="2483">
          <cell r="F2483">
            <v>3800.7900000000004</v>
          </cell>
          <cell r="G2483">
            <v>3800.7900000000004</v>
          </cell>
        </row>
        <row r="2485">
          <cell r="A2485" t="str">
            <v>B</v>
          </cell>
          <cell r="B2485" t="str">
            <v>LABOUR (for fixing)</v>
          </cell>
          <cell r="C2485" t="str">
            <v>Sqm</v>
          </cell>
          <cell r="D2485">
            <v>1.8900000000000001</v>
          </cell>
          <cell r="E2485">
            <v>90</v>
          </cell>
          <cell r="F2485">
            <v>170.10000000000002</v>
          </cell>
          <cell r="G2485">
            <v>170.10000000000002</v>
          </cell>
        </row>
        <row r="2487">
          <cell r="A2487" t="str">
            <v>C</v>
          </cell>
          <cell r="B2487" t="str">
            <v>PAINTING</v>
          </cell>
          <cell r="C2487" t="str">
            <v>Sqm</v>
          </cell>
          <cell r="D2487">
            <v>4.5360000000000005</v>
          </cell>
          <cell r="E2487">
            <v>40</v>
          </cell>
          <cell r="F2487">
            <v>181.44000000000003</v>
          </cell>
          <cell r="G2487">
            <v>181.44000000000003</v>
          </cell>
        </row>
        <row r="2488">
          <cell r="G2488">
            <v>4152.33</v>
          </cell>
        </row>
        <row r="2490">
          <cell r="A2490" t="str">
            <v>D</v>
          </cell>
          <cell r="B2490" t="str">
            <v>Add for water &amp; electrical charges</v>
          </cell>
          <cell r="D2490">
            <v>4152.33</v>
          </cell>
          <cell r="E2490">
            <v>0.01</v>
          </cell>
          <cell r="F2490">
            <v>41.523299999999999</v>
          </cell>
          <cell r="G2490">
            <v>41.523299999999999</v>
          </cell>
        </row>
        <row r="2492">
          <cell r="A2492" t="str">
            <v>E</v>
          </cell>
          <cell r="B2492" t="str">
            <v>Add for tools and plants</v>
          </cell>
          <cell r="D2492">
            <v>4152.33</v>
          </cell>
          <cell r="E2492">
            <v>0.03</v>
          </cell>
          <cell r="F2492">
            <v>124.56989999999999</v>
          </cell>
          <cell r="G2492">
            <v>124.56989999999999</v>
          </cell>
        </row>
        <row r="2493">
          <cell r="G2493">
            <v>4318.4232000000002</v>
          </cell>
        </row>
        <row r="2495">
          <cell r="A2495" t="str">
            <v>F</v>
          </cell>
          <cell r="B2495" t="str">
            <v>Add contractor's profit</v>
          </cell>
          <cell r="D2495">
            <v>4318.4232000000002</v>
          </cell>
          <cell r="E2495">
            <v>0.15</v>
          </cell>
          <cell r="F2495">
            <v>647.76347999999996</v>
          </cell>
          <cell r="G2495">
            <v>647.76347999999996</v>
          </cell>
        </row>
        <row r="2496">
          <cell r="G2496">
            <v>4966.1866799999998</v>
          </cell>
        </row>
        <row r="2498">
          <cell r="A2498" t="str">
            <v>F</v>
          </cell>
          <cell r="B2498" t="str">
            <v xml:space="preserve">WCT </v>
          </cell>
          <cell r="D2498">
            <v>4966.1866799999998</v>
          </cell>
          <cell r="E2498">
            <v>0.04</v>
          </cell>
          <cell r="F2498">
            <v>198.64746719999999</v>
          </cell>
          <cell r="G2498">
            <v>198.64746719999999</v>
          </cell>
        </row>
        <row r="2499">
          <cell r="G2499">
            <v>5164.8341472000002</v>
          </cell>
        </row>
        <row r="2501">
          <cell r="B2501" t="str">
            <v>Rate per Sqm</v>
          </cell>
          <cell r="D2501">
            <v>5164.8341472000002</v>
          </cell>
          <cell r="E2501">
            <v>1.8900000000000001</v>
          </cell>
          <cell r="F2501">
            <v>2732.71648</v>
          </cell>
          <cell r="G2501">
            <v>2733</v>
          </cell>
        </row>
        <row r="2504">
          <cell r="A2504">
            <v>67</v>
          </cell>
          <cell r="B2504" t="str">
            <v>TEAK WOOD FULLY PANEL DOOR SHUTTER</v>
          </cell>
          <cell r="E2504" t="str">
            <v>QTY -</v>
          </cell>
          <cell r="F2504">
            <v>1.2608000000000001</v>
          </cell>
          <cell r="G2504" t="str">
            <v>SQM</v>
          </cell>
        </row>
        <row r="2506">
          <cell r="B2506" t="str">
            <v>Shutter Size including deduction</v>
          </cell>
          <cell r="C2506">
            <v>0.64</v>
          </cell>
          <cell r="D2506">
            <v>1.9700000000000002</v>
          </cell>
        </row>
        <row r="2507">
          <cell r="B2507" t="str">
            <v>for frame</v>
          </cell>
        </row>
        <row r="2509">
          <cell r="B2509" t="str">
            <v>MATERIAL</v>
          </cell>
        </row>
        <row r="2511">
          <cell r="B2511" t="str">
            <v xml:space="preserve">Wood </v>
          </cell>
        </row>
        <row r="2512">
          <cell r="B2512" t="str">
            <v xml:space="preserve">Top rail 100mm X 40mm </v>
          </cell>
          <cell r="C2512" t="str">
            <v>Cum</v>
          </cell>
          <cell r="D2512">
            <v>2.5600000000000002E-3</v>
          </cell>
        </row>
        <row r="2513">
          <cell r="B2513" t="str">
            <v>Bottom &amp; lock rail 200mm X 40mm</v>
          </cell>
          <cell r="C2513" t="str">
            <v>Cum</v>
          </cell>
          <cell r="D2513">
            <v>1.0240000000000001E-2</v>
          </cell>
        </row>
        <row r="2514">
          <cell r="B2514" t="str">
            <v>Vertical styles 100mm X 40mm</v>
          </cell>
          <cell r="C2514" t="str">
            <v>Cum</v>
          </cell>
          <cell r="D2514">
            <v>1.5760000000000003E-2</v>
          </cell>
        </row>
        <row r="2515">
          <cell r="B2515" t="str">
            <v xml:space="preserve">Total wood </v>
          </cell>
          <cell r="D2515">
            <v>2.8560000000000002E-2</v>
          </cell>
        </row>
        <row r="2517">
          <cell r="B2517" t="str">
            <v>Panel size</v>
          </cell>
          <cell r="D2517">
            <v>0.47000000000000008</v>
          </cell>
          <cell r="E2517">
            <v>0.76500000000000012</v>
          </cell>
        </row>
        <row r="2519">
          <cell r="B2519" t="str">
            <v xml:space="preserve">15mm BWP marine ply </v>
          </cell>
          <cell r="D2519">
            <v>0.71910000000000029</v>
          </cell>
        </row>
        <row r="2521">
          <cell r="B2521" t="str">
            <v>Painting</v>
          </cell>
          <cell r="D2521">
            <v>3.2780800000000005</v>
          </cell>
        </row>
        <row r="2524">
          <cell r="B2524" t="str">
            <v>TEAK WOOD FULLY PANEL DOOR SHUTTER</v>
          </cell>
          <cell r="E2524" t="str">
            <v>QTY -</v>
          </cell>
          <cell r="F2524">
            <v>1.2608000000000001</v>
          </cell>
          <cell r="G2524" t="str">
            <v>SQM</v>
          </cell>
        </row>
        <row r="2526">
          <cell r="B2526" t="str">
            <v xml:space="preserve">MATERIAL </v>
          </cell>
        </row>
        <row r="2528">
          <cell r="B2528" t="str">
            <v xml:space="preserve">Wood </v>
          </cell>
          <cell r="C2528" t="str">
            <v>Cum</v>
          </cell>
          <cell r="D2528">
            <v>2.8560000000000002E-2</v>
          </cell>
          <cell r="E2528">
            <v>35315</v>
          </cell>
          <cell r="F2528">
            <v>1008.5964</v>
          </cell>
        </row>
        <row r="2529">
          <cell r="B2529" t="str">
            <v>15mm thk BWP marine ply</v>
          </cell>
          <cell r="C2529" t="str">
            <v>Sqm</v>
          </cell>
          <cell r="D2529">
            <v>0.71910000000000029</v>
          </cell>
          <cell r="E2529">
            <v>0</v>
          </cell>
          <cell r="F2529">
            <v>0</v>
          </cell>
        </row>
        <row r="2530">
          <cell r="B2530" t="str">
            <v>Iron oxidised hinges</v>
          </cell>
          <cell r="C2530" t="str">
            <v>No</v>
          </cell>
          <cell r="D2530">
            <v>3</v>
          </cell>
          <cell r="E2530">
            <v>0</v>
          </cell>
          <cell r="F2530">
            <v>0</v>
          </cell>
        </row>
        <row r="2531">
          <cell r="B2531" t="str">
            <v>Mortice lock with handle</v>
          </cell>
          <cell r="C2531" t="str">
            <v>No</v>
          </cell>
          <cell r="D2531">
            <v>1</v>
          </cell>
          <cell r="E2531">
            <v>0</v>
          </cell>
          <cell r="F2531">
            <v>0</v>
          </cell>
        </row>
        <row r="2532">
          <cell r="B2532" t="str">
            <v>Night Latch</v>
          </cell>
          <cell r="C2532" t="str">
            <v>No</v>
          </cell>
          <cell r="D2532">
            <v>1</v>
          </cell>
          <cell r="E2532">
            <v>0</v>
          </cell>
          <cell r="F2532">
            <v>0</v>
          </cell>
        </row>
        <row r="2533">
          <cell r="B2533" t="str">
            <v>Iron oxide tower bolts</v>
          </cell>
          <cell r="C2533" t="str">
            <v>No</v>
          </cell>
          <cell r="D2533">
            <v>1</v>
          </cell>
          <cell r="E2533">
            <v>0</v>
          </cell>
          <cell r="F2533">
            <v>0</v>
          </cell>
        </row>
        <row r="2534">
          <cell r="B2534" t="str">
            <v>Door stoper</v>
          </cell>
          <cell r="C2534" t="str">
            <v>No</v>
          </cell>
          <cell r="D2534">
            <v>1</v>
          </cell>
          <cell r="E2534">
            <v>0</v>
          </cell>
          <cell r="F2534">
            <v>0</v>
          </cell>
        </row>
        <row r="2535">
          <cell r="F2535">
            <v>1008.5964</v>
          </cell>
          <cell r="G2535">
            <v>1008.5964</v>
          </cell>
        </row>
        <row r="2537">
          <cell r="A2537" t="str">
            <v>B</v>
          </cell>
          <cell r="B2537" t="str">
            <v>LABOUR</v>
          </cell>
          <cell r="C2537" t="str">
            <v>Sqm</v>
          </cell>
          <cell r="D2537">
            <v>1.2608000000000001</v>
          </cell>
          <cell r="E2537">
            <v>0</v>
          </cell>
          <cell r="F2537">
            <v>0</v>
          </cell>
          <cell r="G2537">
            <v>0</v>
          </cell>
        </row>
        <row r="2539">
          <cell r="A2539" t="str">
            <v>C</v>
          </cell>
          <cell r="B2539" t="str">
            <v>PAINTING</v>
          </cell>
          <cell r="C2539" t="str">
            <v>Sqm</v>
          </cell>
          <cell r="D2539">
            <v>3.2780800000000005</v>
          </cell>
          <cell r="E2539">
            <v>0</v>
          </cell>
          <cell r="F2539">
            <v>0</v>
          </cell>
          <cell r="G2539">
            <v>0</v>
          </cell>
        </row>
        <row r="2540">
          <cell r="G2540">
            <v>1008.5964</v>
          </cell>
        </row>
        <row r="2542">
          <cell r="A2542" t="str">
            <v>D</v>
          </cell>
          <cell r="B2542" t="str">
            <v>Add for water &amp; electrical charges</v>
          </cell>
          <cell r="D2542">
            <v>1008.5964</v>
          </cell>
          <cell r="E2542">
            <v>0.01</v>
          </cell>
          <cell r="F2542">
            <v>10.085964000000001</v>
          </cell>
          <cell r="G2542">
            <v>10.085964000000001</v>
          </cell>
        </row>
        <row r="2544">
          <cell r="A2544" t="str">
            <v>E</v>
          </cell>
          <cell r="B2544" t="str">
            <v>Add for tools and plants</v>
          </cell>
          <cell r="D2544">
            <v>1008.5964</v>
          </cell>
          <cell r="E2544">
            <v>0.03</v>
          </cell>
          <cell r="F2544">
            <v>30.257891999999998</v>
          </cell>
          <cell r="G2544">
            <v>30.257891999999998</v>
          </cell>
        </row>
        <row r="2545">
          <cell r="G2545">
            <v>1048.9402560000001</v>
          </cell>
        </row>
        <row r="2547">
          <cell r="A2547" t="str">
            <v>F</v>
          </cell>
          <cell r="B2547" t="str">
            <v>Add contractor's profit</v>
          </cell>
          <cell r="D2547">
            <v>1048.9402560000001</v>
          </cell>
          <cell r="E2547">
            <v>0.15</v>
          </cell>
          <cell r="F2547">
            <v>157.3410384</v>
          </cell>
          <cell r="G2547">
            <v>157.3410384</v>
          </cell>
        </row>
        <row r="2548">
          <cell r="G2548">
            <v>1206.2812944000002</v>
          </cell>
        </row>
        <row r="2550">
          <cell r="B2550" t="str">
            <v>Rate per Sqm</v>
          </cell>
          <cell r="G2550">
            <v>956.75864086294416</v>
          </cell>
        </row>
        <row r="2553">
          <cell r="A2553">
            <v>68</v>
          </cell>
          <cell r="B2553" t="str">
            <v>TEAK WOOD PARTLY PANELLED PARTLY GLAZED DOOR SHUTTER</v>
          </cell>
          <cell r="E2553" t="str">
            <v>QTY -</v>
          </cell>
          <cell r="F2553">
            <v>1.8517999999999999</v>
          </cell>
          <cell r="G2553" t="str">
            <v>SQM</v>
          </cell>
        </row>
        <row r="2555">
          <cell r="B2555" t="str">
            <v>Shutter Size including deduction</v>
          </cell>
          <cell r="C2555">
            <v>0.93999999999999984</v>
          </cell>
          <cell r="D2555">
            <v>1.9700000000000002</v>
          </cell>
        </row>
        <row r="2556">
          <cell r="B2556" t="str">
            <v>for frame</v>
          </cell>
        </row>
        <row r="2558">
          <cell r="B2558" t="str">
            <v xml:space="preserve">MATERIAL </v>
          </cell>
        </row>
        <row r="2560">
          <cell r="B2560" t="str">
            <v xml:space="preserve">Wood </v>
          </cell>
        </row>
        <row r="2561">
          <cell r="B2561" t="str">
            <v xml:space="preserve">Top &amp; Bottom rail 100mm X 35mm </v>
          </cell>
          <cell r="C2561" t="str">
            <v>Cum</v>
          </cell>
          <cell r="D2561">
            <v>6.5799999999999999E-3</v>
          </cell>
        </row>
        <row r="2562">
          <cell r="B2562" t="str">
            <v>Lock rail 200mm X 35mm</v>
          </cell>
          <cell r="C2562" t="str">
            <v>Cum</v>
          </cell>
          <cell r="D2562">
            <v>6.5799999999999999E-3</v>
          </cell>
        </row>
        <row r="2563">
          <cell r="B2563" t="str">
            <v>Vertical styles 100mm X 35mm</v>
          </cell>
          <cell r="C2563" t="str">
            <v>Cum</v>
          </cell>
          <cell r="D2563">
            <v>1.3790000000000004E-2</v>
          </cell>
        </row>
        <row r="2564">
          <cell r="B2564" t="str">
            <v xml:space="preserve">Total wood </v>
          </cell>
          <cell r="D2564">
            <v>2.6950000000000002E-2</v>
          </cell>
        </row>
        <row r="2566">
          <cell r="B2566" t="str">
            <v>Panel size</v>
          </cell>
          <cell r="D2566">
            <v>0.76999999999999991</v>
          </cell>
          <cell r="E2566">
            <v>0.76500000000000012</v>
          </cell>
        </row>
        <row r="2568">
          <cell r="B2568" t="str">
            <v xml:space="preserve">9mm BWP marine ply </v>
          </cell>
          <cell r="D2568">
            <v>0.58905000000000007</v>
          </cell>
        </row>
        <row r="2570">
          <cell r="B2570" t="str">
            <v>Glass panel 4mm thk frosted glass</v>
          </cell>
          <cell r="D2570">
            <v>0.58905000000000007</v>
          </cell>
        </row>
        <row r="2572">
          <cell r="B2572" t="str">
            <v>Painting</v>
          </cell>
          <cell r="D2572">
            <v>3.7035999999999998</v>
          </cell>
        </row>
        <row r="2574">
          <cell r="B2574" t="str">
            <v>TEAK WOOD PARTLY PANELLED PARTLY GLAZED DOOR SHUTTER</v>
          </cell>
          <cell r="E2574" t="str">
            <v>QTY -</v>
          </cell>
          <cell r="F2574">
            <v>1.8517999999999999</v>
          </cell>
          <cell r="G2574" t="str">
            <v>SQM</v>
          </cell>
        </row>
        <row r="2576">
          <cell r="A2576" t="str">
            <v>A</v>
          </cell>
          <cell r="B2576" t="str">
            <v>MATERIAL</v>
          </cell>
        </row>
        <row r="2578">
          <cell r="B2578" t="str">
            <v xml:space="preserve">Wood </v>
          </cell>
          <cell r="C2578" t="str">
            <v>Cum</v>
          </cell>
          <cell r="D2578">
            <v>2.6950000000000002E-2</v>
          </cell>
          <cell r="E2578">
            <v>35315</v>
          </cell>
          <cell r="F2578">
            <v>951.73925000000008</v>
          </cell>
        </row>
        <row r="2579">
          <cell r="B2579" t="str">
            <v xml:space="preserve">9mm thk BWP marine ply </v>
          </cell>
          <cell r="C2579" t="str">
            <v>Sqm</v>
          </cell>
          <cell r="D2579">
            <v>0.58905000000000007</v>
          </cell>
          <cell r="E2579">
            <v>0</v>
          </cell>
          <cell r="F2579">
            <v>0</v>
          </cell>
        </row>
        <row r="2580">
          <cell r="B2580" t="str">
            <v>4mm thk frosted glass</v>
          </cell>
          <cell r="C2580" t="str">
            <v>Sqm</v>
          </cell>
          <cell r="D2580">
            <v>0.58905000000000007</v>
          </cell>
          <cell r="E2580">
            <v>0</v>
          </cell>
          <cell r="F2580">
            <v>0</v>
          </cell>
        </row>
        <row r="2581">
          <cell r="B2581" t="str">
            <v>Iron oxidised hinges</v>
          </cell>
          <cell r="C2581" t="str">
            <v>No</v>
          </cell>
          <cell r="D2581">
            <v>3</v>
          </cell>
          <cell r="E2581">
            <v>0</v>
          </cell>
          <cell r="F2581">
            <v>0</v>
          </cell>
        </row>
        <row r="2582">
          <cell r="B2582" t="str">
            <v>Mortice lock with handle</v>
          </cell>
          <cell r="C2582" t="str">
            <v>No</v>
          </cell>
          <cell r="D2582">
            <v>1</v>
          </cell>
          <cell r="E2582">
            <v>0</v>
          </cell>
          <cell r="F2582">
            <v>0</v>
          </cell>
        </row>
        <row r="2583">
          <cell r="B2583" t="str">
            <v>Iron oxide tower bolts</v>
          </cell>
          <cell r="C2583" t="str">
            <v>No</v>
          </cell>
          <cell r="D2583">
            <v>1</v>
          </cell>
          <cell r="E2583">
            <v>0</v>
          </cell>
          <cell r="F2583">
            <v>0</v>
          </cell>
        </row>
        <row r="2584">
          <cell r="B2584" t="str">
            <v>Door stoper</v>
          </cell>
          <cell r="C2584" t="str">
            <v>No</v>
          </cell>
          <cell r="D2584">
            <v>1</v>
          </cell>
          <cell r="E2584">
            <v>0</v>
          </cell>
          <cell r="F2584">
            <v>0</v>
          </cell>
        </row>
        <row r="2585">
          <cell r="F2585">
            <v>951.73925000000008</v>
          </cell>
          <cell r="G2585">
            <v>951.73925000000008</v>
          </cell>
        </row>
        <row r="2587">
          <cell r="A2587" t="str">
            <v>B</v>
          </cell>
          <cell r="B2587" t="str">
            <v>LABOUR</v>
          </cell>
          <cell r="C2587" t="str">
            <v>Sqm</v>
          </cell>
          <cell r="D2587">
            <v>1.8517999999999999</v>
          </cell>
          <cell r="E2587">
            <v>0</v>
          </cell>
          <cell r="F2587">
            <v>0</v>
          </cell>
          <cell r="G2587">
            <v>0</v>
          </cell>
        </row>
        <row r="2589">
          <cell r="A2589" t="str">
            <v>C</v>
          </cell>
          <cell r="B2589" t="str">
            <v>PAINTING</v>
          </cell>
          <cell r="C2589" t="str">
            <v>Sqm</v>
          </cell>
          <cell r="D2589">
            <v>3.7035999999999998</v>
          </cell>
          <cell r="E2589">
            <v>0</v>
          </cell>
          <cell r="F2589">
            <v>0</v>
          </cell>
          <cell r="G2589">
            <v>0</v>
          </cell>
        </row>
        <row r="2590">
          <cell r="G2590">
            <v>951.73925000000008</v>
          </cell>
        </row>
        <row r="2592">
          <cell r="A2592" t="str">
            <v>D</v>
          </cell>
          <cell r="B2592" t="str">
            <v>Add for water &amp; electrical charges</v>
          </cell>
          <cell r="D2592">
            <v>951.73925000000008</v>
          </cell>
          <cell r="E2592">
            <v>0.01</v>
          </cell>
          <cell r="F2592">
            <v>9.5173925000000015</v>
          </cell>
          <cell r="G2592">
            <v>9.5173925000000015</v>
          </cell>
        </row>
        <row r="2594">
          <cell r="A2594" t="str">
            <v>E</v>
          </cell>
          <cell r="B2594" t="str">
            <v>Add for tools and plants</v>
          </cell>
          <cell r="D2594">
            <v>951.73925000000008</v>
          </cell>
          <cell r="E2594">
            <v>0.03</v>
          </cell>
          <cell r="F2594">
            <v>28.552177500000003</v>
          </cell>
          <cell r="G2594">
            <v>28.552177500000003</v>
          </cell>
        </row>
        <row r="2595">
          <cell r="G2595">
            <v>989.80882000000008</v>
          </cell>
        </row>
        <row r="2597">
          <cell r="A2597" t="str">
            <v>F</v>
          </cell>
          <cell r="B2597" t="str">
            <v>Add contractor's profit</v>
          </cell>
          <cell r="D2597">
            <v>989.80882000000008</v>
          </cell>
          <cell r="E2597">
            <v>0.15</v>
          </cell>
          <cell r="F2597">
            <v>148.47132300000001</v>
          </cell>
          <cell r="G2597">
            <v>148.47132300000001</v>
          </cell>
        </row>
        <row r="2598">
          <cell r="G2598">
            <v>1138.2801430000002</v>
          </cell>
        </row>
        <row r="2600">
          <cell r="B2600" t="str">
            <v>Rate per Sqm</v>
          </cell>
          <cell r="G2600">
            <v>614.68848849767812</v>
          </cell>
        </row>
        <row r="2603">
          <cell r="A2603">
            <v>69</v>
          </cell>
          <cell r="B2603" t="str">
            <v>TEAK WOOD FULLY GLAZED DOOR SHUTTER</v>
          </cell>
          <cell r="E2603" t="str">
            <v>QTY -</v>
          </cell>
          <cell r="F2603">
            <v>1.4578000000000002</v>
          </cell>
          <cell r="G2603" t="str">
            <v>SQM</v>
          </cell>
        </row>
        <row r="2605">
          <cell r="B2605" t="str">
            <v>Shutter Size including deduction</v>
          </cell>
          <cell r="C2605">
            <v>0.74</v>
          </cell>
          <cell r="D2605">
            <v>1.9700000000000002</v>
          </cell>
        </row>
        <row r="2606">
          <cell r="B2606" t="str">
            <v>for frame</v>
          </cell>
        </row>
        <row r="2608">
          <cell r="B2608" t="str">
            <v>MATERIAL</v>
          </cell>
        </row>
        <row r="2610">
          <cell r="B2610" t="str">
            <v xml:space="preserve">Wood </v>
          </cell>
        </row>
        <row r="2611">
          <cell r="B2611" t="str">
            <v xml:space="preserve">Top rail 100mm X 40mm </v>
          </cell>
          <cell r="C2611" t="str">
            <v>Cum</v>
          </cell>
          <cell r="D2611">
            <v>2.96E-3</v>
          </cell>
        </row>
        <row r="2612">
          <cell r="B2612" t="str">
            <v>Bottom &amp; lock rail 200mm X 40mm</v>
          </cell>
          <cell r="C2612" t="str">
            <v>Cum</v>
          </cell>
          <cell r="D2612">
            <v>1.184E-2</v>
          </cell>
        </row>
        <row r="2613">
          <cell r="B2613" t="str">
            <v>Vertical styles 100mm X 40mm</v>
          </cell>
          <cell r="C2613" t="str">
            <v>Cum</v>
          </cell>
          <cell r="D2613">
            <v>1.5760000000000003E-2</v>
          </cell>
        </row>
        <row r="2614">
          <cell r="B2614" t="str">
            <v xml:space="preserve">Total wood </v>
          </cell>
          <cell r="D2614">
            <v>3.0560000000000004E-2</v>
          </cell>
        </row>
        <row r="2616">
          <cell r="B2616" t="str">
            <v>Panel size</v>
          </cell>
          <cell r="D2616">
            <v>0.57000000000000006</v>
          </cell>
          <cell r="E2616">
            <v>0.76500000000000012</v>
          </cell>
        </row>
        <row r="2618">
          <cell r="B2618" t="str">
            <v xml:space="preserve">5mm thk clear glass </v>
          </cell>
          <cell r="D2618">
            <v>0.87210000000000021</v>
          </cell>
        </row>
        <row r="2620">
          <cell r="B2620" t="str">
            <v>Painting</v>
          </cell>
          <cell r="D2620">
            <v>2.3324800000000003</v>
          </cell>
        </row>
        <row r="2623">
          <cell r="B2623" t="str">
            <v>TEAK WOOD FULLY GLAZED DOOR SHUTTER</v>
          </cell>
          <cell r="E2623" t="str">
            <v>QTY -</v>
          </cell>
          <cell r="F2623">
            <v>1.4578000000000002</v>
          </cell>
          <cell r="G2623" t="str">
            <v>SQM</v>
          </cell>
        </row>
        <row r="2625">
          <cell r="B2625" t="str">
            <v xml:space="preserve">MATERIAL </v>
          </cell>
        </row>
        <row r="2627">
          <cell r="B2627" t="str">
            <v xml:space="preserve">Wood </v>
          </cell>
          <cell r="C2627" t="str">
            <v>Cum</v>
          </cell>
          <cell r="D2627">
            <v>3.0560000000000004E-2</v>
          </cell>
          <cell r="E2627">
            <v>35315</v>
          </cell>
          <cell r="F2627">
            <v>1079.2264000000002</v>
          </cell>
        </row>
        <row r="2628">
          <cell r="B2628" t="str">
            <v xml:space="preserve">5mm thk clear glass </v>
          </cell>
          <cell r="C2628" t="str">
            <v>Sqm</v>
          </cell>
          <cell r="D2628">
            <v>0.87210000000000021</v>
          </cell>
          <cell r="E2628">
            <v>0</v>
          </cell>
          <cell r="F2628">
            <v>0</v>
          </cell>
        </row>
        <row r="2629">
          <cell r="B2629" t="str">
            <v>Iron oxidised hinges</v>
          </cell>
          <cell r="C2629" t="str">
            <v>No</v>
          </cell>
          <cell r="D2629">
            <v>3</v>
          </cell>
          <cell r="E2629">
            <v>0</v>
          </cell>
          <cell r="F2629">
            <v>0</v>
          </cell>
        </row>
        <row r="2630">
          <cell r="B2630" t="str">
            <v>Iron oxidised tower bolts</v>
          </cell>
          <cell r="C2630" t="str">
            <v>No</v>
          </cell>
          <cell r="D2630">
            <v>1</v>
          </cell>
          <cell r="E2630">
            <v>0</v>
          </cell>
          <cell r="F2630">
            <v>0</v>
          </cell>
        </row>
        <row r="2631">
          <cell r="B2631" t="str">
            <v>Iron oxidised aldrop 250mm long</v>
          </cell>
          <cell r="C2631" t="str">
            <v>No</v>
          </cell>
          <cell r="D2631">
            <v>2</v>
          </cell>
          <cell r="E2631">
            <v>0</v>
          </cell>
          <cell r="F2631">
            <v>0</v>
          </cell>
        </row>
        <row r="2632">
          <cell r="F2632">
            <v>1079.2264000000002</v>
          </cell>
          <cell r="G2632">
            <v>1079.2264000000002</v>
          </cell>
        </row>
        <row r="2634">
          <cell r="A2634" t="str">
            <v>B</v>
          </cell>
          <cell r="B2634" t="str">
            <v>LABOUR</v>
          </cell>
          <cell r="C2634" t="str">
            <v>Sqm</v>
          </cell>
          <cell r="D2634">
            <v>1.4578000000000002</v>
          </cell>
          <cell r="E2634">
            <v>0</v>
          </cell>
          <cell r="F2634">
            <v>0</v>
          </cell>
          <cell r="G2634">
            <v>0</v>
          </cell>
        </row>
        <row r="2636">
          <cell r="A2636" t="str">
            <v>C</v>
          </cell>
          <cell r="B2636" t="str">
            <v>PAINTING</v>
          </cell>
          <cell r="C2636" t="str">
            <v>Sqm</v>
          </cell>
          <cell r="D2636">
            <v>2.3324800000000003</v>
          </cell>
          <cell r="E2636">
            <v>0</v>
          </cell>
          <cell r="F2636">
            <v>0</v>
          </cell>
          <cell r="G2636">
            <v>0</v>
          </cell>
        </row>
        <row r="2637">
          <cell r="G2637">
            <v>1079.2264000000002</v>
          </cell>
        </row>
        <row r="2639">
          <cell r="A2639" t="str">
            <v>D</v>
          </cell>
          <cell r="B2639" t="str">
            <v>Add for water &amp; electrical charges</v>
          </cell>
          <cell r="D2639">
            <v>1079.2264000000002</v>
          </cell>
          <cell r="E2639">
            <v>0.01</v>
          </cell>
          <cell r="F2639">
            <v>10.792264000000003</v>
          </cell>
          <cell r="G2639">
            <v>10.792264000000003</v>
          </cell>
        </row>
        <row r="2641">
          <cell r="A2641" t="str">
            <v>E</v>
          </cell>
          <cell r="B2641" t="str">
            <v>Add for tools and plants</v>
          </cell>
          <cell r="D2641">
            <v>1079.2264000000002</v>
          </cell>
          <cell r="E2641">
            <v>0.03</v>
          </cell>
          <cell r="F2641">
            <v>32.376792000000009</v>
          </cell>
          <cell r="G2641">
            <v>32.376792000000009</v>
          </cell>
        </row>
        <row r="2642">
          <cell r="G2642">
            <v>1122.3954560000002</v>
          </cell>
        </row>
        <row r="2644">
          <cell r="A2644" t="str">
            <v>F</v>
          </cell>
          <cell r="B2644" t="str">
            <v>Add contractor's profit</v>
          </cell>
          <cell r="D2644">
            <v>1122.3954560000002</v>
          </cell>
          <cell r="E2644">
            <v>0.15</v>
          </cell>
          <cell r="F2644">
            <v>168.35931840000003</v>
          </cell>
          <cell r="G2644">
            <v>168.35931840000003</v>
          </cell>
        </row>
        <row r="2645">
          <cell r="G2645">
            <v>1290.7547744000003</v>
          </cell>
        </row>
        <row r="2647">
          <cell r="B2647" t="str">
            <v>Rate per Sqm</v>
          </cell>
          <cell r="G2647">
            <v>885.41279626834967</v>
          </cell>
        </row>
        <row r="2650">
          <cell r="A2650">
            <v>70</v>
          </cell>
          <cell r="B2650" t="str">
            <v>HARD WOOD FULLY PANEL DOOR SHUTTER</v>
          </cell>
          <cell r="E2650" t="str">
            <v>QTY -</v>
          </cell>
          <cell r="F2650">
            <v>1.2608000000000001</v>
          </cell>
          <cell r="G2650" t="str">
            <v>SQM</v>
          </cell>
        </row>
        <row r="2652">
          <cell r="B2652" t="str">
            <v>Shutter Size including deduction</v>
          </cell>
          <cell r="C2652">
            <v>0.64</v>
          </cell>
          <cell r="D2652">
            <v>1.9700000000000002</v>
          </cell>
        </row>
        <row r="2653">
          <cell r="B2653" t="str">
            <v>for frame</v>
          </cell>
        </row>
        <row r="2655">
          <cell r="B2655" t="str">
            <v>MATERIAL</v>
          </cell>
        </row>
        <row r="2657">
          <cell r="B2657" t="str">
            <v xml:space="preserve">Wood </v>
          </cell>
        </row>
        <row r="2658">
          <cell r="B2658" t="str">
            <v xml:space="preserve">Top rail 100mm X 40mm </v>
          </cell>
          <cell r="C2658" t="str">
            <v>Cum</v>
          </cell>
          <cell r="D2658">
            <v>2.5600000000000002E-3</v>
          </cell>
        </row>
        <row r="2659">
          <cell r="B2659" t="str">
            <v>Bottom &amp; lock rail 200mm X 40mm</v>
          </cell>
          <cell r="C2659" t="str">
            <v>Cum</v>
          </cell>
          <cell r="D2659">
            <v>1.0240000000000001E-2</v>
          </cell>
        </row>
        <row r="2660">
          <cell r="B2660" t="str">
            <v>Vertical styles 100mm X 40mm</v>
          </cell>
          <cell r="C2660" t="str">
            <v>Cum</v>
          </cell>
          <cell r="D2660">
            <v>1.5760000000000003E-2</v>
          </cell>
        </row>
        <row r="2661">
          <cell r="B2661" t="str">
            <v xml:space="preserve">Total wood </v>
          </cell>
          <cell r="D2661">
            <v>2.8560000000000002E-2</v>
          </cell>
        </row>
        <row r="2663">
          <cell r="B2663" t="str">
            <v>Panel size</v>
          </cell>
          <cell r="D2663">
            <v>0.47000000000000008</v>
          </cell>
          <cell r="E2663">
            <v>0.76500000000000012</v>
          </cell>
        </row>
        <row r="2665">
          <cell r="B2665" t="str">
            <v xml:space="preserve">15mm BWP marine ply </v>
          </cell>
          <cell r="D2665">
            <v>0.35955000000000015</v>
          </cell>
        </row>
        <row r="2667">
          <cell r="B2667" t="str">
            <v>Painting</v>
          </cell>
          <cell r="D2667">
            <v>3.2780800000000005</v>
          </cell>
        </row>
        <row r="2670">
          <cell r="B2670" t="str">
            <v>HARD WOOD FULLY PANEL DOOR SHUTTER</v>
          </cell>
          <cell r="E2670" t="str">
            <v>QTY -</v>
          </cell>
          <cell r="F2670">
            <v>1.2608000000000001</v>
          </cell>
          <cell r="G2670" t="str">
            <v>SQM</v>
          </cell>
        </row>
        <row r="2672">
          <cell r="B2672" t="str">
            <v xml:space="preserve">MATERIAL </v>
          </cell>
        </row>
        <row r="2674">
          <cell r="B2674" t="str">
            <v xml:space="preserve">Hard Wood </v>
          </cell>
          <cell r="C2674" t="str">
            <v>Cum</v>
          </cell>
          <cell r="D2674">
            <v>2.8560000000000002E-2</v>
          </cell>
          <cell r="E2674">
            <v>13175</v>
          </cell>
          <cell r="F2674">
            <v>376.27800000000002</v>
          </cell>
        </row>
        <row r="2675">
          <cell r="B2675" t="str">
            <v>15mm thk BWP marine ply</v>
          </cell>
          <cell r="C2675" t="str">
            <v>Sqm</v>
          </cell>
          <cell r="D2675">
            <v>0.35955000000000015</v>
          </cell>
          <cell r="E2675">
            <v>0</v>
          </cell>
          <cell r="F2675">
            <v>0</v>
          </cell>
        </row>
        <row r="2676">
          <cell r="B2676" t="str">
            <v>Iron oxidised hinges</v>
          </cell>
          <cell r="C2676" t="str">
            <v>No</v>
          </cell>
          <cell r="D2676">
            <v>3</v>
          </cell>
          <cell r="E2676">
            <v>0</v>
          </cell>
          <cell r="F2676">
            <v>0</v>
          </cell>
        </row>
        <row r="2677">
          <cell r="B2677" t="str">
            <v>Mortice lock with handle</v>
          </cell>
          <cell r="C2677" t="str">
            <v>No</v>
          </cell>
          <cell r="D2677">
            <v>1</v>
          </cell>
          <cell r="E2677">
            <v>0</v>
          </cell>
          <cell r="F2677">
            <v>0</v>
          </cell>
        </row>
        <row r="2678">
          <cell r="B2678" t="str">
            <v>Night Latch</v>
          </cell>
          <cell r="C2678" t="str">
            <v>No</v>
          </cell>
          <cell r="D2678">
            <v>1</v>
          </cell>
          <cell r="E2678">
            <v>0</v>
          </cell>
          <cell r="F2678">
            <v>0</v>
          </cell>
        </row>
        <row r="2679">
          <cell r="B2679" t="str">
            <v>Iron oxide tower bolts</v>
          </cell>
          <cell r="C2679" t="str">
            <v>No</v>
          </cell>
          <cell r="D2679">
            <v>1</v>
          </cell>
          <cell r="E2679">
            <v>0</v>
          </cell>
          <cell r="F2679">
            <v>0</v>
          </cell>
        </row>
        <row r="2680">
          <cell r="B2680" t="str">
            <v>Door stoper</v>
          </cell>
          <cell r="C2680" t="str">
            <v>No</v>
          </cell>
          <cell r="D2680">
            <v>1</v>
          </cell>
          <cell r="E2680">
            <v>0</v>
          </cell>
          <cell r="F2680">
            <v>0</v>
          </cell>
        </row>
        <row r="2681">
          <cell r="F2681">
            <v>376.27800000000002</v>
          </cell>
          <cell r="G2681">
            <v>376.27800000000002</v>
          </cell>
        </row>
        <row r="2683">
          <cell r="A2683" t="str">
            <v>B</v>
          </cell>
          <cell r="B2683" t="str">
            <v>LABOUR</v>
          </cell>
          <cell r="C2683" t="str">
            <v>Sqm</v>
          </cell>
          <cell r="D2683">
            <v>1.2608000000000001</v>
          </cell>
          <cell r="E2683">
            <v>0</v>
          </cell>
          <cell r="F2683">
            <v>0</v>
          </cell>
          <cell r="G2683">
            <v>0</v>
          </cell>
        </row>
        <row r="2685">
          <cell r="A2685" t="str">
            <v>C</v>
          </cell>
          <cell r="B2685" t="str">
            <v>PAINTING</v>
          </cell>
          <cell r="C2685" t="str">
            <v>Sqm</v>
          </cell>
          <cell r="D2685">
            <v>3.2780800000000005</v>
          </cell>
          <cell r="E2685">
            <v>0</v>
          </cell>
          <cell r="F2685">
            <v>0</v>
          </cell>
          <cell r="G2685">
            <v>0</v>
          </cell>
        </row>
        <row r="2686">
          <cell r="G2686">
            <v>376.27800000000002</v>
          </cell>
        </row>
        <row r="2688">
          <cell r="A2688" t="str">
            <v>D</v>
          </cell>
          <cell r="B2688" t="str">
            <v>Add for water &amp; electrical charges</v>
          </cell>
          <cell r="D2688">
            <v>376.27800000000002</v>
          </cell>
          <cell r="E2688">
            <v>0.01</v>
          </cell>
          <cell r="F2688">
            <v>3.7627800000000002</v>
          </cell>
          <cell r="G2688">
            <v>3.7627800000000002</v>
          </cell>
        </row>
        <row r="2690">
          <cell r="A2690" t="str">
            <v>E</v>
          </cell>
          <cell r="B2690" t="str">
            <v>Add for tools and plants</v>
          </cell>
          <cell r="D2690">
            <v>376.27800000000002</v>
          </cell>
          <cell r="E2690">
            <v>0.03</v>
          </cell>
          <cell r="F2690">
            <v>11.28834</v>
          </cell>
          <cell r="G2690">
            <v>11.28834</v>
          </cell>
        </row>
        <row r="2691">
          <cell r="G2691">
            <v>391.32912000000005</v>
          </cell>
        </row>
        <row r="2693">
          <cell r="A2693" t="str">
            <v>F</v>
          </cell>
          <cell r="B2693" t="str">
            <v>Add contractor's profit</v>
          </cell>
          <cell r="D2693">
            <v>391.32912000000005</v>
          </cell>
          <cell r="E2693">
            <v>0.15</v>
          </cell>
          <cell r="F2693">
            <v>58.699368000000007</v>
          </cell>
          <cell r="G2693">
            <v>58.699368000000007</v>
          </cell>
        </row>
        <row r="2694">
          <cell r="G2694">
            <v>450.02848800000004</v>
          </cell>
        </row>
        <row r="2696">
          <cell r="B2696" t="str">
            <v>Rate per Sqm</v>
          </cell>
          <cell r="G2696">
            <v>356.93883883248731</v>
          </cell>
        </row>
        <row r="2699">
          <cell r="A2699">
            <v>71</v>
          </cell>
          <cell r="B2699" t="str">
            <v>HARD WOOD PARTLY PANELLED PARTLY GLAZED DOOR SHUTTER</v>
          </cell>
          <cell r="E2699" t="str">
            <v>QTY -</v>
          </cell>
          <cell r="F2699">
            <v>1.8517999999999999</v>
          </cell>
          <cell r="G2699" t="str">
            <v>SQM</v>
          </cell>
        </row>
        <row r="2701">
          <cell r="B2701" t="str">
            <v>Shutter Size including deduction</v>
          </cell>
          <cell r="C2701">
            <v>0.93999999999999984</v>
          </cell>
          <cell r="D2701">
            <v>1.9700000000000002</v>
          </cell>
        </row>
        <row r="2702">
          <cell r="B2702" t="str">
            <v>for frame</v>
          </cell>
        </row>
        <row r="2704">
          <cell r="B2704" t="str">
            <v xml:space="preserve">MATERIAL </v>
          </cell>
        </row>
        <row r="2706">
          <cell r="B2706" t="str">
            <v xml:space="preserve">Wood </v>
          </cell>
        </row>
        <row r="2707">
          <cell r="B2707" t="str">
            <v xml:space="preserve">Top &amp; Bottom rail 100mm X 35mm </v>
          </cell>
          <cell r="C2707" t="str">
            <v>Cum</v>
          </cell>
          <cell r="D2707">
            <v>6.5799999999999999E-3</v>
          </cell>
        </row>
        <row r="2708">
          <cell r="B2708" t="str">
            <v>Lock rail 200mm X 35mm</v>
          </cell>
          <cell r="C2708" t="str">
            <v>Cum</v>
          </cell>
          <cell r="D2708">
            <v>6.5799999999999999E-3</v>
          </cell>
        </row>
        <row r="2709">
          <cell r="B2709" t="str">
            <v>Vertical styles 100mm X 35mm</v>
          </cell>
          <cell r="C2709" t="str">
            <v>Cum</v>
          </cell>
          <cell r="D2709">
            <v>1.3790000000000004E-2</v>
          </cell>
        </row>
        <row r="2710">
          <cell r="B2710" t="str">
            <v xml:space="preserve">Total wood </v>
          </cell>
          <cell r="D2710">
            <v>2.6950000000000002E-2</v>
          </cell>
        </row>
        <row r="2712">
          <cell r="B2712" t="str">
            <v>Panel size</v>
          </cell>
          <cell r="D2712">
            <v>0.76999999999999991</v>
          </cell>
          <cell r="E2712">
            <v>0.76500000000000012</v>
          </cell>
        </row>
        <row r="2714">
          <cell r="B2714" t="str">
            <v xml:space="preserve">9mm BWP marine ply </v>
          </cell>
          <cell r="D2714">
            <v>0.58905000000000007</v>
          </cell>
        </row>
        <row r="2716">
          <cell r="B2716" t="str">
            <v>Glass panel 4mm thk frosted glass</v>
          </cell>
          <cell r="D2716">
            <v>0.58905000000000007</v>
          </cell>
        </row>
        <row r="2718">
          <cell r="B2718" t="str">
            <v>Painting</v>
          </cell>
          <cell r="D2718">
            <v>3.7035999999999998</v>
          </cell>
        </row>
        <row r="2721">
          <cell r="B2721" t="str">
            <v>HARD WOOD PARTLY PANELLED PARTLY GLAZED DOOR SHUTTER</v>
          </cell>
          <cell r="E2721" t="str">
            <v>QTY -</v>
          </cell>
          <cell r="F2721">
            <v>1.8517999999999999</v>
          </cell>
          <cell r="G2721" t="str">
            <v>SQM</v>
          </cell>
        </row>
        <row r="2723">
          <cell r="A2723" t="str">
            <v>A</v>
          </cell>
          <cell r="B2723" t="str">
            <v>MATERIAL</v>
          </cell>
        </row>
        <row r="2725">
          <cell r="B2725" t="str">
            <v xml:space="preserve">Wood </v>
          </cell>
          <cell r="C2725" t="str">
            <v>Cum</v>
          </cell>
          <cell r="D2725">
            <v>2.6950000000000002E-2</v>
          </cell>
          <cell r="E2725">
            <v>35315</v>
          </cell>
          <cell r="F2725">
            <v>951.73925000000008</v>
          </cell>
        </row>
        <row r="2726">
          <cell r="B2726" t="str">
            <v xml:space="preserve">9mm thk BWP marine ply </v>
          </cell>
          <cell r="C2726" t="str">
            <v>Sqm</v>
          </cell>
          <cell r="D2726">
            <v>0.58905000000000007</v>
          </cell>
          <cell r="E2726">
            <v>0</v>
          </cell>
          <cell r="F2726">
            <v>0</v>
          </cell>
        </row>
        <row r="2727">
          <cell r="B2727" t="str">
            <v>4mm thk frosted glass</v>
          </cell>
          <cell r="C2727" t="str">
            <v>Sqm</v>
          </cell>
          <cell r="D2727">
            <v>0.58905000000000007</v>
          </cell>
          <cell r="E2727">
            <v>0</v>
          </cell>
          <cell r="F2727">
            <v>0</v>
          </cell>
        </row>
        <row r="2728">
          <cell r="B2728" t="str">
            <v>Iron oxidised hinges</v>
          </cell>
          <cell r="C2728" t="str">
            <v>No</v>
          </cell>
          <cell r="D2728">
            <v>3</v>
          </cell>
          <cell r="E2728">
            <v>0</v>
          </cell>
          <cell r="F2728">
            <v>0</v>
          </cell>
        </row>
        <row r="2729">
          <cell r="B2729" t="str">
            <v>Mortice lock with handle</v>
          </cell>
          <cell r="C2729" t="str">
            <v>No</v>
          </cell>
          <cell r="D2729">
            <v>1</v>
          </cell>
          <cell r="E2729">
            <v>0</v>
          </cell>
          <cell r="F2729">
            <v>0</v>
          </cell>
        </row>
        <row r="2730">
          <cell r="B2730" t="str">
            <v>Iron oxide tower bolts</v>
          </cell>
          <cell r="C2730" t="str">
            <v>No</v>
          </cell>
          <cell r="D2730">
            <v>1</v>
          </cell>
          <cell r="E2730">
            <v>0</v>
          </cell>
          <cell r="F2730">
            <v>0</v>
          </cell>
        </row>
        <row r="2731">
          <cell r="B2731" t="str">
            <v>Door stoper</v>
          </cell>
          <cell r="C2731" t="str">
            <v>No</v>
          </cell>
          <cell r="D2731">
            <v>1</v>
          </cell>
          <cell r="E2731">
            <v>0</v>
          </cell>
          <cell r="F2731">
            <v>0</v>
          </cell>
        </row>
        <row r="2732">
          <cell r="F2732">
            <v>951.73925000000008</v>
          </cell>
          <cell r="G2732">
            <v>951.73925000000008</v>
          </cell>
        </row>
        <row r="2734">
          <cell r="A2734" t="str">
            <v>B</v>
          </cell>
          <cell r="B2734" t="str">
            <v>LABOUR</v>
          </cell>
          <cell r="C2734" t="str">
            <v>Sqm</v>
          </cell>
          <cell r="D2734">
            <v>1.8517999999999999</v>
          </cell>
          <cell r="E2734">
            <v>0</v>
          </cell>
          <cell r="F2734">
            <v>0</v>
          </cell>
          <cell r="G2734">
            <v>0</v>
          </cell>
        </row>
        <row r="2736">
          <cell r="A2736" t="str">
            <v>C</v>
          </cell>
          <cell r="B2736" t="str">
            <v>PAINTING</v>
          </cell>
          <cell r="C2736" t="str">
            <v>Sqm</v>
          </cell>
          <cell r="D2736">
            <v>3.7035999999999998</v>
          </cell>
          <cell r="E2736">
            <v>0</v>
          </cell>
          <cell r="F2736">
            <v>0</v>
          </cell>
          <cell r="G2736">
            <v>0</v>
          </cell>
        </row>
        <row r="2737">
          <cell r="G2737">
            <v>951.73925000000008</v>
          </cell>
        </row>
        <row r="2739">
          <cell r="A2739" t="str">
            <v>D</v>
          </cell>
          <cell r="B2739" t="str">
            <v>Add for water &amp; electrical charges</v>
          </cell>
          <cell r="D2739">
            <v>951.73925000000008</v>
          </cell>
          <cell r="E2739">
            <v>0.01</v>
          </cell>
          <cell r="F2739">
            <v>9.5173925000000015</v>
          </cell>
          <cell r="G2739">
            <v>9.5173925000000015</v>
          </cell>
        </row>
        <row r="2741">
          <cell r="A2741" t="str">
            <v>E</v>
          </cell>
          <cell r="B2741" t="str">
            <v>Add for tools and plants</v>
          </cell>
          <cell r="D2741">
            <v>951.73925000000008</v>
          </cell>
          <cell r="E2741">
            <v>0.03</v>
          </cell>
          <cell r="F2741">
            <v>28.552177500000003</v>
          </cell>
          <cell r="G2741">
            <v>28.552177500000003</v>
          </cell>
        </row>
        <row r="2742">
          <cell r="G2742">
            <v>989.80882000000008</v>
          </cell>
        </row>
        <row r="2744">
          <cell r="A2744" t="str">
            <v>F</v>
          </cell>
          <cell r="B2744" t="str">
            <v>Add contractor's profit</v>
          </cell>
          <cell r="D2744">
            <v>989.80882000000008</v>
          </cell>
          <cell r="E2744">
            <v>0.15</v>
          </cell>
          <cell r="F2744">
            <v>148.47132300000001</v>
          </cell>
          <cell r="G2744">
            <v>148.47132300000001</v>
          </cell>
        </row>
        <row r="2745">
          <cell r="G2745">
            <v>1138.2801430000002</v>
          </cell>
        </row>
        <row r="2747">
          <cell r="B2747" t="str">
            <v>Rate per Sqm</v>
          </cell>
          <cell r="G2747">
            <v>614.68848849767812</v>
          </cell>
        </row>
        <row r="2750">
          <cell r="A2750">
            <v>72</v>
          </cell>
          <cell r="B2750" t="str">
            <v>HARD WOOD FULLY GLAZED DOOR SHUTTER</v>
          </cell>
          <cell r="E2750" t="str">
            <v>QTY -</v>
          </cell>
          <cell r="F2750">
            <v>1.4578000000000002</v>
          </cell>
          <cell r="G2750" t="str">
            <v>SQM</v>
          </cell>
        </row>
        <row r="2752">
          <cell r="B2752" t="str">
            <v>Shutter Size including deduction</v>
          </cell>
          <cell r="C2752">
            <v>0.74</v>
          </cell>
          <cell r="D2752">
            <v>1.9700000000000002</v>
          </cell>
        </row>
        <row r="2753">
          <cell r="B2753" t="str">
            <v>for frame</v>
          </cell>
        </row>
        <row r="2755">
          <cell r="B2755" t="str">
            <v>MATERIAL</v>
          </cell>
        </row>
        <row r="2757">
          <cell r="B2757" t="str">
            <v xml:space="preserve">Wood </v>
          </cell>
        </row>
        <row r="2758">
          <cell r="B2758" t="str">
            <v xml:space="preserve">Top rail 100mm X 40mm </v>
          </cell>
          <cell r="C2758" t="str">
            <v>Cum</v>
          </cell>
          <cell r="D2758">
            <v>2.96E-3</v>
          </cell>
        </row>
        <row r="2759">
          <cell r="B2759" t="str">
            <v>Bottom &amp; lock rail 200mm X 40mm</v>
          </cell>
          <cell r="C2759" t="str">
            <v>Cum</v>
          </cell>
          <cell r="D2759">
            <v>1.184E-2</v>
          </cell>
        </row>
        <row r="2760">
          <cell r="B2760" t="str">
            <v>Vertical styles 100mm X 40mm</v>
          </cell>
          <cell r="C2760" t="str">
            <v>Cum</v>
          </cell>
          <cell r="D2760">
            <v>1.5760000000000003E-2</v>
          </cell>
        </row>
        <row r="2761">
          <cell r="B2761" t="str">
            <v xml:space="preserve">Total wood </v>
          </cell>
          <cell r="D2761">
            <v>3.0560000000000004E-2</v>
          </cell>
        </row>
        <row r="2763">
          <cell r="B2763" t="str">
            <v>Panel size</v>
          </cell>
          <cell r="D2763">
            <v>0.57000000000000006</v>
          </cell>
          <cell r="E2763">
            <v>0.76500000000000012</v>
          </cell>
        </row>
        <row r="2765">
          <cell r="B2765" t="str">
            <v xml:space="preserve">5mm thk clear glass </v>
          </cell>
          <cell r="D2765">
            <v>0.87210000000000021</v>
          </cell>
        </row>
        <row r="2767">
          <cell r="B2767" t="str">
            <v>Painting</v>
          </cell>
          <cell r="D2767">
            <v>2.3324800000000003</v>
          </cell>
        </row>
        <row r="2770">
          <cell r="B2770" t="str">
            <v>HARD WOOD FULLY GLAZED DOOR SHUTTER</v>
          </cell>
          <cell r="E2770" t="str">
            <v>QTY -</v>
          </cell>
          <cell r="F2770">
            <v>1.4578000000000002</v>
          </cell>
          <cell r="G2770" t="str">
            <v>SQM</v>
          </cell>
        </row>
        <row r="2772">
          <cell r="B2772" t="str">
            <v xml:space="preserve">MATERIAL </v>
          </cell>
        </row>
        <row r="2774">
          <cell r="B2774" t="str">
            <v xml:space="preserve">Wood </v>
          </cell>
          <cell r="C2774" t="str">
            <v>Cum</v>
          </cell>
          <cell r="D2774">
            <v>3.0560000000000004E-2</v>
          </cell>
          <cell r="E2774">
            <v>35315</v>
          </cell>
          <cell r="F2774">
            <v>1079.2264000000002</v>
          </cell>
        </row>
        <row r="2775">
          <cell r="B2775" t="str">
            <v xml:space="preserve">5mm thk clear glass </v>
          </cell>
          <cell r="C2775" t="str">
            <v>Sqm</v>
          </cell>
          <cell r="D2775">
            <v>0.87210000000000021</v>
          </cell>
          <cell r="E2775">
            <v>0</v>
          </cell>
          <cell r="F2775">
            <v>0</v>
          </cell>
        </row>
        <row r="2776">
          <cell r="B2776" t="str">
            <v>Iron oxidised hinges</v>
          </cell>
          <cell r="C2776" t="str">
            <v>No</v>
          </cell>
          <cell r="D2776">
            <v>3</v>
          </cell>
          <cell r="E2776">
            <v>0</v>
          </cell>
          <cell r="F2776">
            <v>0</v>
          </cell>
        </row>
        <row r="2777">
          <cell r="B2777" t="str">
            <v>Iron oxidised tower bolts</v>
          </cell>
          <cell r="C2777" t="str">
            <v>No</v>
          </cell>
          <cell r="D2777">
            <v>1</v>
          </cell>
          <cell r="E2777">
            <v>0</v>
          </cell>
          <cell r="F2777">
            <v>0</v>
          </cell>
        </row>
        <row r="2778">
          <cell r="B2778" t="str">
            <v>Iron oxidised aldrop 250mm long</v>
          </cell>
          <cell r="C2778" t="str">
            <v>No</v>
          </cell>
          <cell r="D2778">
            <v>2</v>
          </cell>
          <cell r="E2778">
            <v>0</v>
          </cell>
          <cell r="F2778">
            <v>0</v>
          </cell>
        </row>
        <row r="2779">
          <cell r="F2779">
            <v>1079.2264000000002</v>
          </cell>
          <cell r="G2779">
            <v>1079.2264000000002</v>
          </cell>
        </row>
        <row r="2781">
          <cell r="A2781" t="str">
            <v>B</v>
          </cell>
          <cell r="B2781" t="str">
            <v>LABOUR</v>
          </cell>
          <cell r="C2781" t="str">
            <v>Sqm</v>
          </cell>
          <cell r="D2781">
            <v>1.4578000000000002</v>
          </cell>
          <cell r="E2781">
            <v>0</v>
          </cell>
          <cell r="F2781">
            <v>0</v>
          </cell>
          <cell r="G2781">
            <v>0</v>
          </cell>
        </row>
        <row r="2783">
          <cell r="A2783" t="str">
            <v>C</v>
          </cell>
          <cell r="B2783" t="str">
            <v>PAINTING</v>
          </cell>
          <cell r="C2783" t="str">
            <v>Sqm</v>
          </cell>
          <cell r="D2783">
            <v>2.3324800000000003</v>
          </cell>
          <cell r="E2783">
            <v>0</v>
          </cell>
          <cell r="F2783">
            <v>0</v>
          </cell>
          <cell r="G2783">
            <v>0</v>
          </cell>
        </row>
        <row r="2784">
          <cell r="G2784">
            <v>1079.2264000000002</v>
          </cell>
        </row>
        <row r="2786">
          <cell r="A2786" t="str">
            <v>D</v>
          </cell>
          <cell r="B2786" t="str">
            <v>Add for water &amp; electrical charges</v>
          </cell>
          <cell r="D2786">
            <v>1079.2264000000002</v>
          </cell>
          <cell r="E2786">
            <v>0.01</v>
          </cell>
          <cell r="F2786">
            <v>10.792264000000003</v>
          </cell>
          <cell r="G2786">
            <v>10.792264000000003</v>
          </cell>
        </row>
        <row r="2788">
          <cell r="A2788" t="str">
            <v>E</v>
          </cell>
          <cell r="B2788" t="str">
            <v>Add for tools and plants</v>
          </cell>
          <cell r="D2788">
            <v>1079.2264000000002</v>
          </cell>
          <cell r="E2788">
            <v>0.03</v>
          </cell>
          <cell r="F2788">
            <v>32.376792000000009</v>
          </cell>
          <cell r="G2788">
            <v>32.376792000000009</v>
          </cell>
        </row>
        <row r="2789">
          <cell r="G2789">
            <v>1122.3954560000002</v>
          </cell>
        </row>
        <row r="2791">
          <cell r="A2791" t="str">
            <v>F</v>
          </cell>
          <cell r="B2791" t="str">
            <v>Add contractor's profit</v>
          </cell>
          <cell r="D2791">
            <v>1122.3954560000002</v>
          </cell>
          <cell r="E2791">
            <v>0.15</v>
          </cell>
          <cell r="F2791">
            <v>168.35931840000003</v>
          </cell>
          <cell r="G2791">
            <v>168.35931840000003</v>
          </cell>
        </row>
        <row r="2792">
          <cell r="G2792">
            <v>1290.7547744000003</v>
          </cell>
        </row>
        <row r="2794">
          <cell r="B2794" t="str">
            <v>Rate per Sqm</v>
          </cell>
          <cell r="G2794">
            <v>885.41279626834967</v>
          </cell>
        </row>
        <row r="2797">
          <cell r="A2797">
            <v>74</v>
          </cell>
          <cell r="B2797" t="str">
            <v>40MM THK FLUSH DOOR SHUTTER</v>
          </cell>
          <cell r="E2797" t="str">
            <v>QTY -</v>
          </cell>
          <cell r="F2797">
            <v>1.8900000000000001</v>
          </cell>
          <cell r="G2797" t="str">
            <v>SQM</v>
          </cell>
        </row>
        <row r="2799">
          <cell r="B2799" t="str">
            <v>MATERIAL</v>
          </cell>
        </row>
        <row r="2801">
          <cell r="B2801" t="str">
            <v>40MM flush door shutter</v>
          </cell>
          <cell r="C2801" t="str">
            <v>Sqm</v>
          </cell>
          <cell r="D2801">
            <v>1.8900000000000001</v>
          </cell>
          <cell r="E2801">
            <v>2117</v>
          </cell>
          <cell r="F2801">
            <v>4001.13</v>
          </cell>
        </row>
        <row r="2802">
          <cell r="B2802" t="str">
            <v>Hard wares</v>
          </cell>
          <cell r="C2802" t="str">
            <v>LS</v>
          </cell>
          <cell r="F2802">
            <v>750</v>
          </cell>
        </row>
        <row r="2803">
          <cell r="F2803">
            <v>4751.13</v>
          </cell>
          <cell r="G2803">
            <v>4751.13</v>
          </cell>
        </row>
        <row r="2805">
          <cell r="A2805" t="str">
            <v>B</v>
          </cell>
          <cell r="B2805" t="str">
            <v>LABOUR</v>
          </cell>
          <cell r="C2805" t="str">
            <v>Sqm</v>
          </cell>
          <cell r="D2805">
            <v>1.8900000000000001</v>
          </cell>
          <cell r="E2805">
            <v>90</v>
          </cell>
          <cell r="F2805">
            <v>170.10000000000002</v>
          </cell>
          <cell r="G2805">
            <v>170.10000000000002</v>
          </cell>
        </row>
        <row r="2807">
          <cell r="A2807" t="str">
            <v>C</v>
          </cell>
          <cell r="B2807" t="str">
            <v>PAINTING</v>
          </cell>
          <cell r="C2807" t="str">
            <v>Sqm</v>
          </cell>
          <cell r="D2807">
            <v>4.5360000000000005</v>
          </cell>
          <cell r="E2807">
            <v>45</v>
          </cell>
          <cell r="F2807">
            <v>204.12000000000003</v>
          </cell>
          <cell r="G2807">
            <v>204.12000000000003</v>
          </cell>
        </row>
        <row r="2808">
          <cell r="G2808">
            <v>5125.3500000000004</v>
          </cell>
        </row>
        <row r="2810">
          <cell r="A2810" t="str">
            <v>D</v>
          </cell>
          <cell r="B2810" t="str">
            <v>Add for water &amp; electrical charges</v>
          </cell>
          <cell r="D2810">
            <v>5125.3500000000004</v>
          </cell>
          <cell r="E2810">
            <v>0.01</v>
          </cell>
          <cell r="F2810">
            <v>51.253500000000003</v>
          </cell>
          <cell r="G2810">
            <v>51.253500000000003</v>
          </cell>
        </row>
        <row r="2812">
          <cell r="A2812" t="str">
            <v>E</v>
          </cell>
          <cell r="B2812" t="str">
            <v>Add for tools and plants</v>
          </cell>
          <cell r="D2812">
            <v>5125.3500000000004</v>
          </cell>
          <cell r="E2812">
            <v>0.03</v>
          </cell>
          <cell r="F2812">
            <v>153.76050000000001</v>
          </cell>
          <cell r="G2812">
            <v>153.76050000000001</v>
          </cell>
        </row>
        <row r="2813">
          <cell r="G2813">
            <v>5330.3640000000005</v>
          </cell>
        </row>
        <row r="2815">
          <cell r="A2815" t="str">
            <v>F</v>
          </cell>
          <cell r="B2815" t="str">
            <v>Add contractor's profit</v>
          </cell>
          <cell r="D2815">
            <v>5330.3640000000005</v>
          </cell>
          <cell r="E2815">
            <v>0.15</v>
          </cell>
          <cell r="F2815">
            <v>799.55460000000005</v>
          </cell>
          <cell r="G2815">
            <v>799.55460000000005</v>
          </cell>
        </row>
        <row r="2816">
          <cell r="G2816">
            <v>6129.9186000000009</v>
          </cell>
        </row>
        <row r="2818">
          <cell r="A2818" t="str">
            <v>F</v>
          </cell>
          <cell r="B2818" t="str">
            <v xml:space="preserve">WCT </v>
          </cell>
          <cell r="D2818">
            <v>6129.9186000000009</v>
          </cell>
          <cell r="E2818">
            <v>0.04</v>
          </cell>
          <cell r="F2818">
            <v>245.19674400000005</v>
          </cell>
          <cell r="G2818">
            <v>245.19674400000005</v>
          </cell>
        </row>
        <row r="2819">
          <cell r="G2819">
            <v>6375.1153440000007</v>
          </cell>
        </row>
        <row r="2821">
          <cell r="B2821" t="str">
            <v>Rate per Sqm</v>
          </cell>
          <cell r="D2821">
            <v>6375.1153440000007</v>
          </cell>
          <cell r="E2821">
            <v>1.8900000000000001</v>
          </cell>
          <cell r="F2821">
            <v>3373.0769015873016</v>
          </cell>
          <cell r="G2821">
            <v>3374</v>
          </cell>
        </row>
        <row r="2825">
          <cell r="A2825">
            <v>75</v>
          </cell>
          <cell r="B2825" t="str">
            <v>40MM THK FLUSH DOOR SHUTTER</v>
          </cell>
          <cell r="E2825" t="str">
            <v>QTY -</v>
          </cell>
          <cell r="F2825">
            <v>1.8900000000000001</v>
          </cell>
          <cell r="G2825" t="str">
            <v>SQM</v>
          </cell>
        </row>
        <row r="2827">
          <cell r="B2827" t="str">
            <v>MATERIAL</v>
          </cell>
        </row>
        <row r="2829">
          <cell r="B2829" t="str">
            <v>40MM flush door shutter including hardwares</v>
          </cell>
          <cell r="C2829" t="str">
            <v>Sqm</v>
          </cell>
          <cell r="D2829">
            <v>1.8900000000000001</v>
          </cell>
          <cell r="E2829">
            <v>635</v>
          </cell>
          <cell r="F2829">
            <v>1200.1500000000001</v>
          </cell>
        </row>
        <row r="2831">
          <cell r="F2831">
            <v>1200.1500000000001</v>
          </cell>
          <cell r="G2831">
            <v>1200.1500000000001</v>
          </cell>
        </row>
        <row r="2833">
          <cell r="A2833" t="str">
            <v>B</v>
          </cell>
          <cell r="B2833" t="str">
            <v>LABOUR (for fixing)</v>
          </cell>
          <cell r="C2833" t="str">
            <v>Sqm</v>
          </cell>
          <cell r="D2833">
            <v>1.8900000000000001</v>
          </cell>
          <cell r="E2833">
            <v>90</v>
          </cell>
          <cell r="F2833">
            <v>170.10000000000002</v>
          </cell>
          <cell r="G2833">
            <v>170.10000000000002</v>
          </cell>
        </row>
        <row r="2835">
          <cell r="A2835" t="str">
            <v>C</v>
          </cell>
          <cell r="B2835" t="str">
            <v>PAINTING</v>
          </cell>
          <cell r="C2835" t="str">
            <v>Sqm</v>
          </cell>
          <cell r="D2835">
            <v>4.5360000000000005</v>
          </cell>
          <cell r="E2835">
            <v>40</v>
          </cell>
          <cell r="F2835">
            <v>181.44000000000003</v>
          </cell>
          <cell r="G2835">
            <v>181.44000000000003</v>
          </cell>
        </row>
        <row r="2836">
          <cell r="G2836">
            <v>1551.69</v>
          </cell>
        </row>
        <row r="2838">
          <cell r="A2838" t="str">
            <v>D</v>
          </cell>
          <cell r="B2838" t="str">
            <v>Add for water &amp; electrical charges</v>
          </cell>
          <cell r="D2838">
            <v>1551.69</v>
          </cell>
          <cell r="E2838">
            <v>0.01</v>
          </cell>
          <cell r="F2838">
            <v>15.516900000000001</v>
          </cell>
          <cell r="G2838">
            <v>15.516900000000001</v>
          </cell>
        </row>
        <row r="2840">
          <cell r="A2840" t="str">
            <v>E</v>
          </cell>
          <cell r="B2840" t="str">
            <v>Add for tools and plants</v>
          </cell>
          <cell r="D2840">
            <v>1551.69</v>
          </cell>
          <cell r="E2840">
            <v>0.03</v>
          </cell>
          <cell r="F2840">
            <v>46.550699999999999</v>
          </cell>
          <cell r="G2840">
            <v>46.550699999999999</v>
          </cell>
        </row>
        <row r="2841">
          <cell r="G2841">
            <v>1613.7576000000001</v>
          </cell>
        </row>
        <row r="2843">
          <cell r="A2843" t="str">
            <v>F</v>
          </cell>
          <cell r="B2843" t="str">
            <v>Add contractor's profit</v>
          </cell>
          <cell r="D2843">
            <v>1613.7576000000001</v>
          </cell>
          <cell r="E2843">
            <v>0.15</v>
          </cell>
          <cell r="F2843">
            <v>242.06364000000002</v>
          </cell>
          <cell r="G2843">
            <v>242.06364000000002</v>
          </cell>
        </row>
        <row r="2844">
          <cell r="G2844">
            <v>1855.8212400000002</v>
          </cell>
        </row>
        <row r="2846">
          <cell r="A2846" t="str">
            <v>F</v>
          </cell>
          <cell r="B2846" t="str">
            <v xml:space="preserve">WCT </v>
          </cell>
          <cell r="D2846">
            <v>1855.8212400000002</v>
          </cell>
          <cell r="E2846">
            <v>0.04</v>
          </cell>
          <cell r="F2846">
            <v>74.232849600000009</v>
          </cell>
          <cell r="G2846">
            <v>74.232849600000009</v>
          </cell>
        </row>
        <row r="2847">
          <cell r="G2847">
            <v>1930.0540896000002</v>
          </cell>
        </row>
        <row r="2849">
          <cell r="B2849" t="str">
            <v>Rate per Sqm</v>
          </cell>
          <cell r="D2849">
            <v>1930.0540896000002</v>
          </cell>
          <cell r="E2849">
            <v>1.8900000000000001</v>
          </cell>
          <cell r="F2849">
            <v>1021.1926400000001</v>
          </cell>
          <cell r="G2849">
            <v>1022</v>
          </cell>
        </row>
        <row r="2852">
          <cell r="A2852">
            <v>74</v>
          </cell>
          <cell r="B2852" t="str">
            <v>35MM THK FLUSH DOOR SHUTTER</v>
          </cell>
          <cell r="E2852" t="str">
            <v>QTY -</v>
          </cell>
          <cell r="F2852">
            <v>1.8900000000000001</v>
          </cell>
          <cell r="G2852" t="str">
            <v>SQM</v>
          </cell>
        </row>
        <row r="2854">
          <cell r="B2854" t="str">
            <v>MATERIAL</v>
          </cell>
        </row>
        <row r="2856">
          <cell r="B2856" t="str">
            <v>35MM flush door shutter</v>
          </cell>
          <cell r="C2856" t="str">
            <v>Sqm</v>
          </cell>
          <cell r="D2856">
            <v>1.8900000000000001</v>
          </cell>
          <cell r="E2856">
            <v>900</v>
          </cell>
          <cell r="F2856">
            <v>1701</v>
          </cell>
        </row>
        <row r="2857">
          <cell r="B2857" t="str">
            <v>Hard wares</v>
          </cell>
          <cell r="C2857" t="str">
            <v>L S</v>
          </cell>
          <cell r="F2857">
            <v>350</v>
          </cell>
        </row>
        <row r="2858">
          <cell r="F2858">
            <v>2051</v>
          </cell>
          <cell r="G2858">
            <v>2051</v>
          </cell>
        </row>
        <row r="2860">
          <cell r="A2860" t="str">
            <v>B</v>
          </cell>
          <cell r="B2860" t="str">
            <v>LABOUR (For fixing)</v>
          </cell>
          <cell r="C2860" t="str">
            <v>Sqm</v>
          </cell>
          <cell r="D2860">
            <v>1.8900000000000001</v>
          </cell>
          <cell r="E2860">
            <v>90</v>
          </cell>
          <cell r="F2860">
            <v>170.10000000000002</v>
          </cell>
          <cell r="G2860">
            <v>170.10000000000002</v>
          </cell>
        </row>
        <row r="2862">
          <cell r="A2862" t="str">
            <v>C</v>
          </cell>
          <cell r="B2862" t="str">
            <v>PAINTING</v>
          </cell>
          <cell r="C2862" t="str">
            <v>Sqm</v>
          </cell>
          <cell r="D2862">
            <v>4.5360000000000005</v>
          </cell>
          <cell r="E2862">
            <v>40</v>
          </cell>
          <cell r="F2862">
            <v>181.44000000000003</v>
          </cell>
          <cell r="G2862">
            <v>181.44000000000003</v>
          </cell>
        </row>
        <row r="2863">
          <cell r="G2863">
            <v>2402.54</v>
          </cell>
        </row>
        <row r="2865">
          <cell r="A2865" t="str">
            <v>D</v>
          </cell>
          <cell r="B2865" t="str">
            <v>Add for water &amp; electrical charges</v>
          </cell>
          <cell r="D2865">
            <v>2402.54</v>
          </cell>
          <cell r="E2865">
            <v>0.01</v>
          </cell>
          <cell r="F2865">
            <v>24.025400000000001</v>
          </cell>
          <cell r="G2865">
            <v>24.025400000000001</v>
          </cell>
        </row>
        <row r="2867">
          <cell r="A2867" t="str">
            <v>E</v>
          </cell>
          <cell r="B2867" t="str">
            <v>Add for tools and plants</v>
          </cell>
          <cell r="D2867">
            <v>2402.54</v>
          </cell>
          <cell r="E2867">
            <v>0.03</v>
          </cell>
          <cell r="F2867">
            <v>72.0762</v>
          </cell>
          <cell r="G2867">
            <v>72.0762</v>
          </cell>
        </row>
        <row r="2868">
          <cell r="G2868">
            <v>2498.6415999999999</v>
          </cell>
        </row>
        <row r="2870">
          <cell r="A2870" t="str">
            <v>F</v>
          </cell>
          <cell r="B2870" t="str">
            <v>Add contractor's profit</v>
          </cell>
          <cell r="D2870">
            <v>2498.6415999999999</v>
          </cell>
          <cell r="E2870">
            <v>0.15</v>
          </cell>
          <cell r="F2870">
            <v>374.79623999999995</v>
          </cell>
          <cell r="G2870">
            <v>374.79623999999995</v>
          </cell>
        </row>
        <row r="2871">
          <cell r="G2871">
            <v>2873.4378400000001</v>
          </cell>
        </row>
        <row r="2873">
          <cell r="A2873" t="str">
            <v>F</v>
          </cell>
          <cell r="B2873" t="str">
            <v xml:space="preserve">WCT </v>
          </cell>
          <cell r="D2873">
            <v>2873.4378400000001</v>
          </cell>
          <cell r="E2873">
            <v>0.04</v>
          </cell>
          <cell r="F2873">
            <v>114.9375136</v>
          </cell>
          <cell r="G2873">
            <v>114.9375136</v>
          </cell>
        </row>
        <row r="2874">
          <cell r="G2874">
            <v>2988.3753535999999</v>
          </cell>
        </row>
        <row r="2876">
          <cell r="B2876" t="str">
            <v>Rate per Sqm</v>
          </cell>
          <cell r="D2876">
            <v>2988.3753535999999</v>
          </cell>
          <cell r="E2876">
            <v>1.8900000000000001</v>
          </cell>
          <cell r="F2876">
            <v>1581.1509807407406</v>
          </cell>
          <cell r="G2876">
            <v>1582</v>
          </cell>
        </row>
        <row r="2879">
          <cell r="A2879">
            <v>75</v>
          </cell>
          <cell r="B2879" t="str">
            <v>45MM THK FLUSH DOOR SHUTTER DOUBLE LEAF</v>
          </cell>
          <cell r="E2879" t="str">
            <v>QTY -</v>
          </cell>
          <cell r="F2879">
            <v>3.1500000000000004</v>
          </cell>
          <cell r="G2879" t="str">
            <v>SQM</v>
          </cell>
        </row>
        <row r="2881">
          <cell r="B2881" t="str">
            <v>MATERIAL</v>
          </cell>
        </row>
        <row r="2883">
          <cell r="B2883" t="str">
            <v>45MM flush door shutter</v>
          </cell>
          <cell r="C2883" t="str">
            <v>Sqm</v>
          </cell>
          <cell r="D2883">
            <v>3.1500000000000004</v>
          </cell>
          <cell r="E2883">
            <v>0</v>
          </cell>
          <cell r="F2883">
            <v>0</v>
          </cell>
        </row>
        <row r="2884">
          <cell r="B2884" t="str">
            <v>Beading</v>
          </cell>
          <cell r="C2884" t="str">
            <v>Rmt</v>
          </cell>
          <cell r="D2884">
            <v>7.2</v>
          </cell>
          <cell r="E2884">
            <v>0</v>
          </cell>
          <cell r="F2884">
            <v>0</v>
          </cell>
        </row>
        <row r="2885">
          <cell r="B2885" t="str">
            <v xml:space="preserve">Brass hinges </v>
          </cell>
          <cell r="C2885" t="str">
            <v>No</v>
          </cell>
          <cell r="D2885">
            <v>4</v>
          </cell>
          <cell r="E2885">
            <v>25</v>
          </cell>
          <cell r="F2885">
            <v>100</v>
          </cell>
        </row>
        <row r="2886">
          <cell r="B2886" t="str">
            <v>Brass oxidised handle</v>
          </cell>
          <cell r="C2886" t="str">
            <v>No</v>
          </cell>
          <cell r="D2886">
            <v>2</v>
          </cell>
          <cell r="E2886">
            <v>60</v>
          </cell>
          <cell r="F2886">
            <v>120</v>
          </cell>
        </row>
        <row r="2887">
          <cell r="B2887" t="str">
            <v>Brass oxidised tower bolt</v>
          </cell>
          <cell r="C2887" t="str">
            <v>No</v>
          </cell>
          <cell r="D2887">
            <v>1</v>
          </cell>
          <cell r="E2887">
            <v>30</v>
          </cell>
          <cell r="F2887">
            <v>30</v>
          </cell>
        </row>
        <row r="2888">
          <cell r="B2888" t="str">
            <v>Aldrop</v>
          </cell>
          <cell r="C2888" t="str">
            <v>No</v>
          </cell>
          <cell r="D2888">
            <v>2</v>
          </cell>
          <cell r="E2888">
            <v>200</v>
          </cell>
          <cell r="F2888">
            <v>400</v>
          </cell>
        </row>
        <row r="2889">
          <cell r="B2889" t="str">
            <v>Door stopper</v>
          </cell>
          <cell r="C2889" t="str">
            <v>No</v>
          </cell>
          <cell r="D2889">
            <v>2</v>
          </cell>
          <cell r="E2889">
            <v>35</v>
          </cell>
          <cell r="F2889">
            <v>70</v>
          </cell>
        </row>
        <row r="2890">
          <cell r="F2890">
            <v>720</v>
          </cell>
        </row>
        <row r="2892">
          <cell r="A2892" t="str">
            <v>B</v>
          </cell>
          <cell r="B2892" t="str">
            <v>LABOUR</v>
          </cell>
          <cell r="C2892" t="str">
            <v>Sqm</v>
          </cell>
          <cell r="D2892">
            <v>3.1500000000000004</v>
          </cell>
          <cell r="E2892">
            <v>0</v>
          </cell>
          <cell r="F2892">
            <v>0</v>
          </cell>
          <cell r="G2892">
            <v>0</v>
          </cell>
        </row>
        <row r="2894">
          <cell r="A2894" t="str">
            <v>C</v>
          </cell>
          <cell r="B2894" t="str">
            <v>PAINTING</v>
          </cell>
          <cell r="C2894" t="str">
            <v>Sqm</v>
          </cell>
          <cell r="D2894">
            <v>7.5600000000000005</v>
          </cell>
          <cell r="E2894">
            <v>0</v>
          </cell>
          <cell r="F2894">
            <v>0</v>
          </cell>
          <cell r="G2894">
            <v>0</v>
          </cell>
        </row>
        <row r="2895">
          <cell r="G2895">
            <v>0</v>
          </cell>
        </row>
        <row r="2897">
          <cell r="A2897" t="str">
            <v>D</v>
          </cell>
          <cell r="B2897" t="str">
            <v>Add for water &amp; electrical charges</v>
          </cell>
          <cell r="D2897">
            <v>0</v>
          </cell>
          <cell r="E2897">
            <v>0.01</v>
          </cell>
          <cell r="F2897">
            <v>0</v>
          </cell>
          <cell r="G2897">
            <v>0</v>
          </cell>
        </row>
        <row r="2899">
          <cell r="A2899" t="str">
            <v>E</v>
          </cell>
          <cell r="B2899" t="str">
            <v>Add for tools and plants</v>
          </cell>
          <cell r="D2899">
            <v>0</v>
          </cell>
          <cell r="E2899">
            <v>0.03</v>
          </cell>
          <cell r="F2899">
            <v>0</v>
          </cell>
          <cell r="G2899">
            <v>0</v>
          </cell>
        </row>
        <row r="2900">
          <cell r="G2900">
            <v>0</v>
          </cell>
        </row>
        <row r="2902">
          <cell r="A2902" t="str">
            <v>F</v>
          </cell>
          <cell r="B2902" t="str">
            <v>Add contractor's profit</v>
          </cell>
          <cell r="D2902">
            <v>0</v>
          </cell>
          <cell r="E2902">
            <v>0.15</v>
          </cell>
          <cell r="F2902">
            <v>0</v>
          </cell>
          <cell r="G2902">
            <v>0</v>
          </cell>
        </row>
        <row r="2903">
          <cell r="G2903">
            <v>0</v>
          </cell>
        </row>
        <row r="2905">
          <cell r="B2905" t="str">
            <v>Rate per Sqm</v>
          </cell>
          <cell r="G2905">
            <v>0</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Cost"/>
      <sheetName val="BOM"/>
      <sheetName val="Costing"/>
      <sheetName val="Price Schedule"/>
      <sheetName val="FORM7"/>
    </sheetNames>
    <sheetDataSet>
      <sheetData sheetId="0"/>
      <sheetData sheetId="1"/>
      <sheetData sheetId="2" refreshError="1">
        <row r="45">
          <cell r="F45">
            <v>3580</v>
          </cell>
          <cell r="H45">
            <v>1630</v>
          </cell>
        </row>
      </sheetData>
      <sheetData sheetId="3"/>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 Panel Summary"/>
      <sheetName val="Cos"/>
      <sheetName val="RISING MAINS"/>
      <sheetName val="DB"/>
      <sheetName val="EST"/>
      <sheetName val="ITC"/>
      <sheetName val="LAYING OF CABLE"/>
      <sheetName val="cable termination"/>
      <sheetName val="PT_WIRING &amp; raceway"/>
      <sheetName val="cable tray"/>
      <sheetName val="Summary"/>
      <sheetName val="labour rates"/>
      <sheetName val="LIGHTINING"/>
      <sheetName val="CAB-Cu"/>
      <sheetName val="cab-Al"/>
      <sheetName val="EXTERNAL &amp; HDPE Pipe"/>
      <sheetName val="LIGHT FIXTURE"/>
      <sheetName val="Lift"/>
      <sheetName val="UPS"/>
      <sheetName val="Costing"/>
    </sheetNames>
    <sheetDataSet>
      <sheetData sheetId="0"/>
      <sheetData sheetId="1"/>
      <sheetData sheetId="2"/>
      <sheetData sheetId="3"/>
      <sheetData sheetId="4"/>
      <sheetData sheetId="5"/>
      <sheetData sheetId="6"/>
      <sheetData sheetId="7"/>
      <sheetData sheetId="8"/>
      <sheetData sheetId="9"/>
      <sheetData sheetId="10"/>
      <sheetData sheetId="11">
        <row r="2">
          <cell r="C2">
            <v>293.02999999999997</v>
          </cell>
        </row>
        <row r="5">
          <cell r="C5">
            <v>209.63</v>
          </cell>
        </row>
        <row r="6">
          <cell r="C6">
            <v>247.95</v>
          </cell>
        </row>
      </sheetData>
      <sheetData sheetId="12"/>
      <sheetData sheetId="13"/>
      <sheetData sheetId="14"/>
      <sheetData sheetId="15"/>
      <sheetData sheetId="16"/>
      <sheetData sheetId="17"/>
      <sheetData sheetId="18"/>
      <sheetData sheetId="1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25"/>
      <sheetName val="Sheet4"/>
      <sheetName val="PLAN_FEB97"/>
      <sheetName val="Rollup"/>
      <sheetName val="Construction"/>
      <sheetName val="NPV"/>
      <sheetName val="Design"/>
      <sheetName val="Headings"/>
      <sheetName val="labour rates"/>
      <sheetName val="Beam at Ground flr lvl(Steel)"/>
    </sheetNames>
    <sheetDataSet>
      <sheetData sheetId="0" refreshError="1"/>
      <sheetData sheetId="1" refreshError="1"/>
      <sheetData sheetId="2" refreshError="1">
        <row r="2">
          <cell r="A2">
            <v>100000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Data"/>
      <sheetName val="IO LIST"/>
      <sheetName val="Design"/>
      <sheetName val="#REF"/>
      <sheetName val="Basement Budget"/>
      <sheetName val="PROG_DATA"/>
      <sheetName val="RES-PLANNING"/>
      <sheetName val="Fill this out first..."/>
      <sheetName val="labour coeff"/>
      <sheetName val="Sheet2"/>
      <sheetName val="Intro"/>
      <sheetName val="Extra Item"/>
      <sheetName val="Database"/>
      <sheetName val="SCHEDULE"/>
      <sheetName val="schedule nos"/>
      <sheetName val="Pay_Sep06"/>
      <sheetName val="INPUT SHEET"/>
      <sheetName val="Site Dev BOQ"/>
      <sheetName val="Voucher"/>
      <sheetName val="horizontal"/>
      <sheetName val="Financials"/>
      <sheetName val="Cash Flow Working"/>
      <sheetName val="loadcal"/>
      <sheetName val="Publicbuilding"/>
      <sheetName val="Break up Sheet"/>
      <sheetName val="Headings"/>
      <sheetName val="Costing"/>
      <sheetName val="BASIS -DEC 08"/>
      <sheetName val="leads"/>
      <sheetName val="Assumptions"/>
      <sheetName val="Labour"/>
      <sheetName val="Material"/>
      <sheetName val="Plant &amp;  Machinery"/>
      <sheetName val="Cover sheet"/>
      <sheetName val="Main-Material"/>
      <sheetName val="CFForecast detail"/>
      <sheetName val="Data sheet"/>
      <sheetName val="analysis"/>
      <sheetName val="Estimate"/>
      <sheetName val="Material "/>
      <sheetName val="Labour &amp; Plant"/>
      <sheetName val="SALIENT"/>
      <sheetName val="Name List"/>
      <sheetName val="LIST OF MAKES"/>
      <sheetName val="FORM7"/>
      <sheetName val="Project Budget Worksheet"/>
      <sheetName val="NZB Datas"/>
      <sheetName val="Detail"/>
      <sheetName val="Cost summary"/>
      <sheetName val="Timesheet"/>
      <sheetName val="Non-Factory"/>
      <sheetName val="ABP inputs"/>
      <sheetName val="Synergy Sales Budget"/>
      <sheetName val="EMC"/>
      <sheetName val="PCS DATA"/>
      <sheetName val="NT LBH"/>
      <sheetName val="RCC,Ret. Wall"/>
      <sheetName val="Column steel"/>
      <sheetName val="電気設備表"/>
      <sheetName val="PLAN_FEB97"/>
      <sheetName val="lookup"/>
      <sheetName val="Dimensions"/>
      <sheetName val="NSR_E"/>
      <sheetName val="TOT_COST"/>
      <sheetName val="L.L Rates"/>
      <sheetName val="Sheet5"/>
    </sheetNames>
    <sheetDataSet>
      <sheetData sheetId="0" refreshError="1">
        <row r="6">
          <cell r="P6">
            <v>2626</v>
          </cell>
        </row>
        <row r="7">
          <cell r="P7">
            <v>2800</v>
          </cell>
        </row>
        <row r="8">
          <cell r="P8">
            <v>193.98</v>
          </cell>
        </row>
        <row r="22">
          <cell r="P22">
            <v>836.68499999999995</v>
          </cell>
        </row>
        <row r="23">
          <cell r="P23">
            <v>571.68499999999995</v>
          </cell>
        </row>
        <row r="31">
          <cell r="P31">
            <v>171.57999999999998</v>
          </cell>
        </row>
        <row r="32">
          <cell r="P32">
            <v>29500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BOQ"/>
      <sheetName val="BOQ_CHK_DA"/>
      <sheetName val="REV-EST"/>
      <sheetName val="EST-SER"/>
      <sheetName val="RA-MKT"/>
      <sheetName val="RA-MKT-REV"/>
      <sheetName val="RA-CPWD"/>
      <sheetName val="RA-CPWD-REV"/>
      <sheetName val="BOQ"/>
      <sheetName val="Meas.-FIN"/>
      <sheetName val="Meas.-STRUCT"/>
      <sheetName val="PILING-11.12.07"/>
      <sheetName val="SUB-STRUCT-11.12.07"/>
      <sheetName val="SUPER-STRUCT-11.12.07"/>
      <sheetName val="ESTIMATE"/>
      <sheetName val="Builtup Area"/>
      <sheetName val="Assumptions"/>
      <sheetName val="PLAN_FEB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lactdetails_grid"/>
      <sheetName val="Sheet2"/>
      <sheetName val="Project Budget Worksheet"/>
      <sheetName val="Lead"/>
      <sheetName val="RA-markate"/>
      <sheetName val="Builtup Area"/>
    </sheetNames>
    <sheetDataSet>
      <sheetData sheetId="0" refreshError="1"/>
      <sheetData sheetId="1">
        <row r="3">
          <cell r="B3" t="str">
            <v>A01.00 - EXCAVATION</v>
          </cell>
        </row>
      </sheetData>
      <sheetData sheetId="2" refreshError="1"/>
      <sheetData sheetId="3" refreshError="1"/>
      <sheetData sheetId="4" refreshError="1"/>
      <sheetData sheetId="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Kristal Court"/>
      <sheetName val="Sheet1"/>
      <sheetName val="Sheet3 (2)"/>
    </sheetNames>
    <sheetDataSet>
      <sheetData sheetId="0" refreshError="1"/>
      <sheetData sheetId="1" refreshError="1"/>
      <sheetData sheetId="2" refreshError="1"/>
      <sheetData sheetId="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UMMARY"/>
      <sheetName val="IMPROVEMENTS"/>
      <sheetName val="VARIANCES"/>
      <sheetName val="DESIGN COMPONENT"/>
      <sheetName val="CONSTRUCTION COMPONENT"/>
      <sheetName val="DCAG"/>
      <sheetName val="Construction Preambles"/>
      <sheetName val="Construction Information"/>
      <sheetName val="ASSET RENEWAL COMPONENT"/>
      <sheetName val="Substructure(Model)"/>
      <sheetName val="Frame,Floors,Roof,Stairs(Model)"/>
      <sheetName val="Ext. Walls,Windows,Doors(Model)"/>
      <sheetName val="Internal Walls,Doors(Model)"/>
      <sheetName val="Finishes(Model)"/>
      <sheetName val="Fittings &amp; Furnishings(Model)"/>
      <sheetName val="Plumbing Services(Model)"/>
      <sheetName val="Mechanical Part 1(Model)"/>
      <sheetName val="Mechanical Part 2(Model)"/>
      <sheetName val="Mechanical Part 3(Model)"/>
      <sheetName val="Electrical(Model)"/>
      <sheetName val="Special &amp; BWICS(Model)"/>
      <sheetName val="Siteworks(Model)"/>
      <sheetName val="Drainage,Ext.Services(Model)"/>
      <sheetName val="Preliminaries(Model)"/>
      <sheetName val="Substructure(Bid)"/>
      <sheetName val="Frame,Floors,Roof,Stairs(Bid)"/>
      <sheetName val="Ext. Walls,Windows,Doors(Bid)"/>
      <sheetName val="Internal Walls,Doors(Bid)"/>
      <sheetName val="Finishes(Bid)"/>
      <sheetName val="Fittings &amp; Furnishings(Bid)"/>
      <sheetName val="Plumbing Services(Bid)"/>
      <sheetName val="Mechanical Part 1(Bid)"/>
      <sheetName val="Mechanical Part 2(Bid)"/>
      <sheetName val="Mechanical Part 3(Bid)"/>
      <sheetName val="Electrical(Bid)"/>
      <sheetName val="Siteworks(Bid)"/>
      <sheetName val="Drainage,Ext.Services(Bid)"/>
      <sheetName val="Special &amp; BWICS(Bid)"/>
      <sheetName val="Preliminaries(Bid)"/>
      <sheetName val="FACILITIES COMPONENT"/>
      <sheetName val="ESTATE SERVICES"/>
      <sheetName val="EQUIPMENT MAINTENANCE"/>
      <sheetName val="GROUNDS &amp; GARDENS MAINTENANCE"/>
      <sheetName val="INFORMATION TECHNOLOGY"/>
      <sheetName val="TRANSPORT SERVICES"/>
      <sheetName val="SECURITY &amp; CAR PARKING SERVICES"/>
      <sheetName val="CATERING SERVICES"/>
      <sheetName val="CAR PARKING SERVICES"/>
      <sheetName val="TELECOMMUNICATIONS"/>
      <sheetName val="ENERGY &amp; UTILITIES"/>
      <sheetName val="WASTE DISPOSAL SERVICES"/>
      <sheetName val="LINEN SERVICES"/>
      <sheetName val="RECEPTION SERVICES"/>
      <sheetName val="PORTERING SERVICES"/>
      <sheetName val="DOMESTIC SERVICES"/>
      <sheetName val="STERILE SUPPLY SERVICES,SSD"/>
      <sheetName val="HELPDESK SERVICE"/>
      <sheetName val="COURIER SERVICES"/>
      <sheetName val="PEST CONTROL SERVICES"/>
      <sheetName val="STORES SERVICES"/>
      <sheetName val="POSTAL SERVICES"/>
      <sheetName val="RESIDENTIAL SERVICES"/>
      <sheetName val="DAY NURSERY &amp; CRECHE SERVICES"/>
      <sheetName val="WARD HOSTESS SERVICES"/>
      <sheetName val="RISK COMPONENT"/>
      <sheetName val="Risk Matrix"/>
      <sheetName val="FINANCE COMPONENT"/>
      <sheetName val="Summary"/>
      <sheetName val="Appendix A.1"/>
      <sheetName val="Appendix A.2"/>
      <sheetName val="Appendix A.3"/>
      <sheetName val="Appendix A.4"/>
      <sheetName val="Appendix A.5"/>
      <sheetName val="Appendix A.6"/>
      <sheetName val="Appendix A.7"/>
      <sheetName val="Input"/>
      <sheetName val="Model"/>
      <sheetName val="Components"/>
      <sheetName val="Fill this out first..."/>
      <sheetName val="Data"/>
      <sheetName val="Lead"/>
      <sheetName val="SITE OVERHEADS"/>
      <sheetName val="A1-mod-w"/>
      <sheetName val="Sheet3 (2)"/>
      <sheetName val="Kristal Court"/>
      <sheetName val="Project Budget Worksheet"/>
      <sheetName val="Dire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tatement"/>
      <sheetName val="RA-markate"/>
      <sheetName val="RA_markate"/>
      <sheetName val="Sheet3 (2)"/>
      <sheetName val="Inc.St.-Link"/>
      <sheetName val="Portfolio Summary"/>
      <sheetName val="Builtup Area"/>
      <sheetName val="Fill this out first..."/>
    </sheetNames>
    <sheetDataSet>
      <sheetData sheetId="0"/>
      <sheetData sheetId="1" refreshError="1">
        <row r="389">
          <cell r="A389" t="str">
            <v>SECTION</v>
          </cell>
          <cell r="B389" t="str">
            <v>PART</v>
          </cell>
        </row>
        <row r="391">
          <cell r="A391">
            <v>1</v>
          </cell>
        </row>
        <row r="392">
          <cell r="A392" t="str">
            <v>1.</v>
          </cell>
          <cell r="B392">
            <v>1</v>
          </cell>
        </row>
        <row r="394">
          <cell r="A394" t="str">
            <v>1.</v>
          </cell>
          <cell r="B394">
            <v>1.1000000000000001</v>
          </cell>
        </row>
        <row r="396">
          <cell r="A396" t="str">
            <v>A</v>
          </cell>
        </row>
        <row r="401">
          <cell r="A401" t="str">
            <v>B</v>
          </cell>
        </row>
        <row r="403">
          <cell r="A403" t="str">
            <v>C</v>
          </cell>
        </row>
        <row r="406">
          <cell r="A406" t="str">
            <v>D</v>
          </cell>
        </row>
        <row r="414">
          <cell r="A414" t="str">
            <v>1.</v>
          </cell>
          <cell r="B414">
            <v>1.2000000000000002</v>
          </cell>
        </row>
        <row r="418">
          <cell r="A418" t="str">
            <v>A</v>
          </cell>
        </row>
        <row r="423">
          <cell r="A423" t="str">
            <v>B</v>
          </cell>
        </row>
        <row r="425">
          <cell r="A425" t="str">
            <v>C</v>
          </cell>
        </row>
        <row r="427">
          <cell r="A427" t="str">
            <v>D</v>
          </cell>
        </row>
        <row r="430">
          <cell r="A430" t="str">
            <v>E</v>
          </cell>
        </row>
        <row r="438">
          <cell r="A438" t="str">
            <v>1.</v>
          </cell>
          <cell r="B438">
            <v>1.3000000000000003</v>
          </cell>
        </row>
        <row r="442">
          <cell r="A442" t="str">
            <v>A</v>
          </cell>
        </row>
        <row r="447">
          <cell r="A447" t="str">
            <v>B</v>
          </cell>
        </row>
        <row r="449">
          <cell r="A449" t="str">
            <v>C</v>
          </cell>
        </row>
        <row r="451">
          <cell r="A451" t="str">
            <v>D</v>
          </cell>
        </row>
        <row r="454">
          <cell r="A454" t="str">
            <v>E</v>
          </cell>
        </row>
        <row r="462">
          <cell r="A462" t="str">
            <v>1.</v>
          </cell>
          <cell r="B462">
            <v>2</v>
          </cell>
        </row>
        <row r="464">
          <cell r="A464" t="str">
            <v>1.</v>
          </cell>
          <cell r="B464">
            <v>2.1</v>
          </cell>
        </row>
        <row r="466">
          <cell r="A466" t="str">
            <v>A</v>
          </cell>
        </row>
        <row r="471">
          <cell r="A471" t="str">
            <v>B</v>
          </cell>
        </row>
        <row r="473">
          <cell r="A473" t="str">
            <v>C</v>
          </cell>
        </row>
        <row r="476">
          <cell r="A476" t="str">
            <v>D</v>
          </cell>
        </row>
        <row r="486">
          <cell r="A486" t="str">
            <v>1.2.2</v>
          </cell>
        </row>
        <row r="488">
          <cell r="A488" t="str">
            <v>A</v>
          </cell>
        </row>
        <row r="494">
          <cell r="A494" t="str">
            <v>B</v>
          </cell>
        </row>
        <row r="496">
          <cell r="A496" t="str">
            <v>C</v>
          </cell>
        </row>
        <row r="498">
          <cell r="A498" t="str">
            <v>D</v>
          </cell>
        </row>
        <row r="501">
          <cell r="A501" t="str">
            <v>E</v>
          </cell>
        </row>
        <row r="511">
          <cell r="A511" t="str">
            <v>1.2.3</v>
          </cell>
        </row>
        <row r="513">
          <cell r="A513" t="str">
            <v>A</v>
          </cell>
        </row>
        <row r="519">
          <cell r="A519" t="str">
            <v>B</v>
          </cell>
        </row>
        <row r="521">
          <cell r="A521" t="str">
            <v>C</v>
          </cell>
        </row>
        <row r="523">
          <cell r="A523" t="str">
            <v>D</v>
          </cell>
        </row>
        <row r="526">
          <cell r="A526" t="str">
            <v>E</v>
          </cell>
        </row>
        <row r="534">
          <cell r="A534">
            <v>1.3</v>
          </cell>
        </row>
        <row r="536">
          <cell r="A536" t="str">
            <v>1.3.1</v>
          </cell>
        </row>
        <row r="538">
          <cell r="A538" t="str">
            <v>A</v>
          </cell>
        </row>
        <row r="544">
          <cell r="A544" t="str">
            <v>B</v>
          </cell>
        </row>
        <row r="546">
          <cell r="A546" t="str">
            <v>C</v>
          </cell>
        </row>
        <row r="549">
          <cell r="A549" t="str">
            <v>D</v>
          </cell>
        </row>
        <row r="559">
          <cell r="A559" t="str">
            <v>1.3.2</v>
          </cell>
        </row>
        <row r="561">
          <cell r="A561" t="str">
            <v>A</v>
          </cell>
        </row>
        <row r="566">
          <cell r="A566" t="str">
            <v>B</v>
          </cell>
        </row>
        <row r="568">
          <cell r="A568" t="str">
            <v>C</v>
          </cell>
        </row>
        <row r="570">
          <cell r="A570" t="str">
            <v>D</v>
          </cell>
        </row>
        <row r="573">
          <cell r="A573" t="str">
            <v>E</v>
          </cell>
        </row>
        <row r="583">
          <cell r="A583" t="str">
            <v>1.3.3</v>
          </cell>
        </row>
        <row r="585">
          <cell r="A585" t="str">
            <v>A</v>
          </cell>
        </row>
        <row r="590">
          <cell r="A590" t="str">
            <v>B</v>
          </cell>
        </row>
        <row r="592">
          <cell r="A592" t="str">
            <v>C</v>
          </cell>
        </row>
        <row r="594">
          <cell r="A594" t="str">
            <v>D</v>
          </cell>
        </row>
        <row r="597">
          <cell r="A597" t="str">
            <v>E</v>
          </cell>
        </row>
        <row r="605">
          <cell r="A605">
            <v>1.4</v>
          </cell>
        </row>
        <row r="607">
          <cell r="A607" t="str">
            <v>1.4.1</v>
          </cell>
        </row>
        <row r="609">
          <cell r="A609" t="str">
            <v>A</v>
          </cell>
        </row>
        <row r="617">
          <cell r="A617" t="str">
            <v>B</v>
          </cell>
        </row>
        <row r="619">
          <cell r="A619" t="str">
            <v>C</v>
          </cell>
        </row>
        <row r="622">
          <cell r="A622" t="str">
            <v>D</v>
          </cell>
        </row>
        <row r="632">
          <cell r="A632" t="str">
            <v>1.4.2</v>
          </cell>
        </row>
        <row r="634">
          <cell r="A634" t="str">
            <v>A</v>
          </cell>
        </row>
        <row r="642">
          <cell r="A642" t="str">
            <v>B</v>
          </cell>
        </row>
        <row r="644">
          <cell r="A644" t="str">
            <v>C</v>
          </cell>
        </row>
        <row r="646">
          <cell r="A646" t="str">
            <v>D</v>
          </cell>
        </row>
        <row r="649">
          <cell r="A649" t="str">
            <v>E</v>
          </cell>
        </row>
        <row r="659">
          <cell r="A659" t="str">
            <v>1.4.3</v>
          </cell>
        </row>
        <row r="661">
          <cell r="A661" t="str">
            <v>A</v>
          </cell>
        </row>
        <row r="669">
          <cell r="A669" t="str">
            <v>B</v>
          </cell>
        </row>
        <row r="671">
          <cell r="A671" t="str">
            <v>C</v>
          </cell>
        </row>
        <row r="673">
          <cell r="A673" t="str">
            <v>D</v>
          </cell>
        </row>
        <row r="676">
          <cell r="A676" t="str">
            <v>E</v>
          </cell>
        </row>
        <row r="684">
          <cell r="A684">
            <v>1.5</v>
          </cell>
        </row>
        <row r="686">
          <cell r="A686" t="str">
            <v>1.5.1</v>
          </cell>
        </row>
        <row r="688">
          <cell r="A688" t="str">
            <v>A</v>
          </cell>
        </row>
        <row r="699">
          <cell r="A699" t="str">
            <v>B</v>
          </cell>
        </row>
        <row r="701">
          <cell r="A701" t="str">
            <v>C</v>
          </cell>
        </row>
        <row r="704">
          <cell r="A704" t="str">
            <v>D</v>
          </cell>
        </row>
        <row r="714">
          <cell r="A714" t="str">
            <v>1.5.2</v>
          </cell>
        </row>
        <row r="716">
          <cell r="A716" t="str">
            <v>A</v>
          </cell>
        </row>
        <row r="727">
          <cell r="A727" t="str">
            <v>B</v>
          </cell>
        </row>
        <row r="729">
          <cell r="A729" t="str">
            <v>C</v>
          </cell>
        </row>
        <row r="731">
          <cell r="A731" t="str">
            <v>D</v>
          </cell>
        </row>
        <row r="734">
          <cell r="A734" t="str">
            <v>E</v>
          </cell>
        </row>
        <row r="744">
          <cell r="A744" t="str">
            <v>1.5.3</v>
          </cell>
        </row>
        <row r="746">
          <cell r="A746" t="str">
            <v>A</v>
          </cell>
        </row>
        <row r="754">
          <cell r="A754" t="str">
            <v>B</v>
          </cell>
        </row>
        <row r="756">
          <cell r="A756" t="str">
            <v>C</v>
          </cell>
        </row>
        <row r="758">
          <cell r="A758" t="str">
            <v>D</v>
          </cell>
        </row>
        <row r="761">
          <cell r="A761" t="str">
            <v>E</v>
          </cell>
        </row>
        <row r="769">
          <cell r="A769">
            <v>1.6</v>
          </cell>
        </row>
        <row r="771">
          <cell r="A771" t="str">
            <v>1.6.1</v>
          </cell>
        </row>
        <row r="773">
          <cell r="A773" t="str">
            <v>A</v>
          </cell>
        </row>
        <row r="782">
          <cell r="A782" t="str">
            <v>B</v>
          </cell>
        </row>
        <row r="784">
          <cell r="A784" t="str">
            <v>C</v>
          </cell>
        </row>
        <row r="787">
          <cell r="A787" t="str">
            <v>D</v>
          </cell>
        </row>
        <row r="795">
          <cell r="A795">
            <v>1.6</v>
          </cell>
        </row>
        <row r="797">
          <cell r="A797" t="str">
            <v>1.6.2</v>
          </cell>
        </row>
        <row r="799">
          <cell r="A799" t="str">
            <v>A</v>
          </cell>
        </row>
        <row r="808">
          <cell r="A808" t="str">
            <v>B</v>
          </cell>
        </row>
        <row r="810">
          <cell r="A810" t="str">
            <v>C</v>
          </cell>
        </row>
        <row r="812">
          <cell r="A812" t="str">
            <v>D</v>
          </cell>
        </row>
        <row r="815">
          <cell r="A815" t="str">
            <v>E</v>
          </cell>
        </row>
        <row r="823">
          <cell r="A823">
            <v>1.6</v>
          </cell>
        </row>
        <row r="825">
          <cell r="A825" t="str">
            <v>1.6.3</v>
          </cell>
        </row>
        <row r="827">
          <cell r="A827" t="str">
            <v>A</v>
          </cell>
        </row>
        <row r="836">
          <cell r="A836" t="str">
            <v>B</v>
          </cell>
        </row>
        <row r="838">
          <cell r="A838" t="str">
            <v>C</v>
          </cell>
        </row>
        <row r="840">
          <cell r="A840" t="str">
            <v>D</v>
          </cell>
        </row>
        <row r="843">
          <cell r="A843" t="str">
            <v>E</v>
          </cell>
        </row>
        <row r="851">
          <cell r="A851">
            <v>1.7</v>
          </cell>
        </row>
        <row r="852">
          <cell r="A852" t="str">
            <v>1.7.1</v>
          </cell>
        </row>
        <row r="854">
          <cell r="A854" t="str">
            <v>1.7.1.1</v>
          </cell>
        </row>
        <row r="856">
          <cell r="A856" t="str">
            <v>A</v>
          </cell>
        </row>
        <row r="864">
          <cell r="A864" t="str">
            <v>B</v>
          </cell>
        </row>
        <row r="866">
          <cell r="A866" t="str">
            <v>C</v>
          </cell>
        </row>
        <row r="869">
          <cell r="A869" t="str">
            <v>D</v>
          </cell>
        </row>
        <row r="877">
          <cell r="A877" t="str">
            <v>1.7.1.2</v>
          </cell>
        </row>
        <row r="881">
          <cell r="A881" t="str">
            <v>A</v>
          </cell>
        </row>
        <row r="889">
          <cell r="A889" t="str">
            <v>B</v>
          </cell>
        </row>
        <row r="891">
          <cell r="A891" t="str">
            <v>C</v>
          </cell>
        </row>
        <row r="893">
          <cell r="A893" t="str">
            <v>D</v>
          </cell>
        </row>
        <row r="896">
          <cell r="A896" t="str">
            <v>E</v>
          </cell>
        </row>
        <row r="904">
          <cell r="A904" t="str">
            <v>1.7.1.3</v>
          </cell>
        </row>
        <row r="908">
          <cell r="A908" t="str">
            <v>A</v>
          </cell>
        </row>
        <row r="916">
          <cell r="A916" t="str">
            <v>B</v>
          </cell>
        </row>
        <row r="918">
          <cell r="A918" t="str">
            <v>C</v>
          </cell>
        </row>
        <row r="920">
          <cell r="A920" t="str">
            <v>D</v>
          </cell>
        </row>
        <row r="923">
          <cell r="A923" t="str">
            <v>E</v>
          </cell>
        </row>
        <row r="931">
          <cell r="A931" t="str">
            <v>1.7.2</v>
          </cell>
        </row>
        <row r="933">
          <cell r="A933" t="str">
            <v>1.7.2.1</v>
          </cell>
        </row>
        <row r="935">
          <cell r="A935" t="str">
            <v>A</v>
          </cell>
        </row>
        <row r="943">
          <cell r="A943" t="str">
            <v>B</v>
          </cell>
        </row>
        <row r="945">
          <cell r="A945" t="str">
            <v>C</v>
          </cell>
        </row>
        <row r="948">
          <cell r="A948" t="str">
            <v>D</v>
          </cell>
        </row>
        <row r="956">
          <cell r="A956" t="str">
            <v>1.7.2.2</v>
          </cell>
        </row>
        <row r="960">
          <cell r="A960" t="str">
            <v>A</v>
          </cell>
        </row>
        <row r="968">
          <cell r="A968" t="str">
            <v>B</v>
          </cell>
        </row>
        <row r="970">
          <cell r="A970" t="str">
            <v>C</v>
          </cell>
        </row>
        <row r="972">
          <cell r="A972" t="str">
            <v>D</v>
          </cell>
        </row>
        <row r="975">
          <cell r="A975" t="str">
            <v>E</v>
          </cell>
        </row>
        <row r="983">
          <cell r="A983" t="str">
            <v>1.7.2.3</v>
          </cell>
        </row>
        <row r="987">
          <cell r="A987" t="str">
            <v>A</v>
          </cell>
        </row>
        <row r="995">
          <cell r="A995" t="str">
            <v>B</v>
          </cell>
        </row>
        <row r="997">
          <cell r="A997" t="str">
            <v>C</v>
          </cell>
        </row>
        <row r="999">
          <cell r="A999" t="str">
            <v>D</v>
          </cell>
        </row>
        <row r="1002">
          <cell r="A1002" t="str">
            <v>E</v>
          </cell>
        </row>
        <row r="1010">
          <cell r="A1010" t="str">
            <v>1.7.3</v>
          </cell>
        </row>
        <row r="1012">
          <cell r="A1012" t="str">
            <v>1.7.3.1</v>
          </cell>
        </row>
        <row r="1014">
          <cell r="A1014" t="str">
            <v>A</v>
          </cell>
        </row>
        <row r="1022">
          <cell r="A1022" t="str">
            <v>B</v>
          </cell>
        </row>
        <row r="1024">
          <cell r="A1024" t="str">
            <v>C</v>
          </cell>
        </row>
        <row r="1027">
          <cell r="A1027" t="str">
            <v>D</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top 2B cer"/>
      <sheetName val="CIVIL abs II B CER  "/>
      <sheetName val="SC meas"/>
      <sheetName val="2B SPECIA_completed "/>
      <sheetName val="2B SPEC_BALANCE"/>
      <sheetName val="CUSTOMER WORKS "/>
      <sheetName val="Sales rate sheet"/>
      <sheetName val="2b BACKFILLING"/>
      <sheetName val="ANTI TERMITE sol"/>
      <sheetName val="PCC"/>
      <sheetName val="RCC,FDN"/>
      <sheetName val="RCC,COL"/>
      <sheetName val="RCC SEPTIC TANK"/>
      <sheetName val="RCC SLAB"/>
      <sheetName val="F.ESCAPE ST.RCC"/>
      <sheetName val="RCC,Ret. Wall"/>
      <sheetName val="RCC,WALL"/>
      <sheetName val="CABL TRE,RCC"/>
      <sheetName val="rcc lintels"/>
      <sheetName val="TUNNEL,RCC"/>
      <sheetName val="SWD  RCC"/>
      <sheetName val="RCC PLINTH BEAM "/>
      <sheetName val="sump,RCC"/>
      <sheetName val="SHU,FDN"/>
      <sheetName val="SHU,COL"/>
      <sheetName val="SHU,WALL"/>
      <sheetName val="SWD shu"/>
      <sheetName val="SHU PLINTH BEAMS "/>
      <sheetName val="ShUTTER LINTEL"/>
      <sheetName val="SHU,SLAB  "/>
      <sheetName val="shu.re.wall"/>
      <sheetName val="shu,stair"/>
      <sheetName val="s.tank sh"/>
      <sheetName val="TUNNEL,SHU"/>
      <sheetName val="cabl tren,shu"/>
      <sheetName val="SUMP,SHUT"/>
      <sheetName val="prestressing"/>
      <sheetName val="precast"/>
      <sheetName val="BLOCKWORK"/>
      <sheetName val="Plastering"/>
      <sheetName val="Brickbat jelly"/>
      <sheetName val="IPS"/>
      <sheetName val="Screed"/>
      <sheetName val="POP"/>
      <sheetName val="WATERP."/>
      <sheetName val="MIsc_POLYETH. SHEET"/>
      <sheetName val="structural"/>
      <sheetName val="TEMP."/>
      <sheetName val="Drawings "/>
      <sheetName val="rework claim status "/>
      <sheetName val="project data sheet"/>
      <sheetName val="figures"/>
      <sheetName val="hanging restaurant area modi"/>
      <sheetName val=" ROAD &amp; WALL _2B"/>
      <sheetName val="2B landscaping meas sheet"/>
      <sheetName val="land_irri_plant_old"/>
      <sheetName val="2B Signages"/>
      <sheetName val="irri_plant_latest"/>
      <sheetName val="RA-markate"/>
      <sheetName val="Fill this out first..."/>
      <sheetName val="strand"/>
      <sheetName val="ABP inputs"/>
      <sheetName val="Synergy Sales Budget"/>
      <sheetName val="Project Budget Worksheet"/>
      <sheetName val="Lead"/>
      <sheetName val="Break up Sheet"/>
      <sheetName val="RES-PLANNING"/>
      <sheetName val="IO LIST"/>
      <sheetName val="Sheet3 (2)"/>
      <sheetName val="Field Values"/>
      <sheetName val="Supplier"/>
      <sheetName val="2B_JUNE 2K3"/>
      <sheetName val="Material "/>
      <sheetName val="Civil Boq"/>
      <sheetName val="estimate"/>
      <sheetName val="Abstract - Single Lin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mailto:wt./mtr.@" TargetMode="External"/><Relationship Id="rId7" Type="http://schemas.openxmlformats.org/officeDocument/2006/relationships/printerSettings" Target="../printerSettings/printerSettings10.bin"/><Relationship Id="rId2" Type="http://schemas.openxmlformats.org/officeDocument/2006/relationships/hyperlink" Target="mailto:wt./mtr.@" TargetMode="External"/><Relationship Id="rId1" Type="http://schemas.openxmlformats.org/officeDocument/2006/relationships/hyperlink" Target="mailto:wt./mtr.@" TargetMode="External"/><Relationship Id="rId6" Type="http://schemas.openxmlformats.org/officeDocument/2006/relationships/hyperlink" Target="mailto:wt./mtr.@" TargetMode="External"/><Relationship Id="rId5" Type="http://schemas.openxmlformats.org/officeDocument/2006/relationships/hyperlink" Target="mailto:wt./mtr.@" TargetMode="External"/><Relationship Id="rId10" Type="http://schemas.openxmlformats.org/officeDocument/2006/relationships/comments" Target="../comments1.xml"/><Relationship Id="rId4" Type="http://schemas.openxmlformats.org/officeDocument/2006/relationships/hyperlink" Target="mailto:wt./mtr.@" TargetMode="External"/><Relationship Id="rId9"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wt./mt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499984740745262"/>
  </sheetPr>
  <dimension ref="A1:K40"/>
  <sheetViews>
    <sheetView view="pageBreakPreview" topLeftCell="A13" zoomScale="55" zoomScaleSheetLayoutView="55" workbookViewId="0">
      <selection activeCell="J10" sqref="J10"/>
    </sheetView>
  </sheetViews>
  <sheetFormatPr defaultColWidth="18.140625" defaultRowHeight="23.25"/>
  <cols>
    <col min="1" max="1" width="23" style="69" customWidth="1"/>
    <col min="2" max="2" width="28.85546875" style="69" customWidth="1"/>
    <col min="3" max="3" width="46.42578125" style="69" bestFit="1" customWidth="1"/>
    <col min="4" max="4" width="18.140625" style="69"/>
    <col min="5" max="5" width="27.28515625" style="69" bestFit="1" customWidth="1"/>
    <col min="6" max="6" width="26.5703125" style="70" bestFit="1" customWidth="1"/>
    <col min="7" max="7" width="26.5703125" style="71" bestFit="1" customWidth="1"/>
    <col min="8" max="8" width="18.140625" style="69"/>
    <col min="9" max="9" width="25.5703125" style="69" bestFit="1" customWidth="1"/>
    <col min="10" max="10" width="29.28515625" style="69" bestFit="1" customWidth="1"/>
    <col min="11" max="12" width="18.140625" style="69"/>
    <col min="13" max="13" width="25.140625" style="69" bestFit="1" customWidth="1"/>
    <col min="14" max="16384" width="18.140625" style="69"/>
  </cols>
  <sheetData>
    <row r="1" spans="1:7" ht="24.95" customHeight="1"/>
    <row r="2" spans="1:7" ht="24.95" customHeight="1"/>
    <row r="3" spans="1:7" ht="24.95" customHeight="1"/>
    <row r="4" spans="1:7" ht="24.95" customHeight="1"/>
    <row r="5" spans="1:7" ht="24.95" customHeight="1"/>
    <row r="6" spans="1:7" ht="24.95" customHeight="1"/>
    <row r="7" spans="1:7" ht="24.95" customHeight="1"/>
    <row r="8" spans="1:7" ht="24.95" customHeight="1" thickBot="1"/>
    <row r="9" spans="1:7" s="72" customFormat="1" ht="35.1" customHeight="1" thickBot="1">
      <c r="A9" s="1451" t="s">
        <v>62</v>
      </c>
      <c r="B9" s="1452"/>
      <c r="C9" s="1452"/>
      <c r="D9" s="1452"/>
      <c r="E9" s="1452"/>
      <c r="F9" s="1452"/>
      <c r="G9" s="1453"/>
    </row>
    <row r="10" spans="1:7" ht="30" customHeight="1">
      <c r="A10" s="73" t="s">
        <v>15</v>
      </c>
      <c r="B10" s="1454" t="s">
        <v>78</v>
      </c>
      <c r="C10" s="1454"/>
      <c r="D10" s="1454"/>
      <c r="E10" s="1454"/>
      <c r="F10" s="74" t="s">
        <v>16</v>
      </c>
      <c r="G10" s="75">
        <v>42943</v>
      </c>
    </row>
    <row r="11" spans="1:7">
      <c r="A11" s="73" t="s">
        <v>17</v>
      </c>
      <c r="B11" s="1455" t="s">
        <v>55</v>
      </c>
      <c r="C11" s="1455"/>
      <c r="D11" s="1455"/>
      <c r="E11" s="1455"/>
      <c r="F11" s="76" t="s">
        <v>18</v>
      </c>
      <c r="G11" s="77" t="s">
        <v>1545</v>
      </c>
    </row>
    <row r="12" spans="1:7" ht="49.5" customHeight="1" thickBot="1">
      <c r="A12" s="73" t="s">
        <v>19</v>
      </c>
      <c r="B12" s="1455" t="s">
        <v>169</v>
      </c>
      <c r="C12" s="1455"/>
      <c r="D12" s="1455"/>
      <c r="E12" s="1455"/>
      <c r="F12" s="78" t="s">
        <v>20</v>
      </c>
      <c r="G12" s="77" t="s">
        <v>1546</v>
      </c>
    </row>
    <row r="13" spans="1:7" ht="33.75" thickBot="1">
      <c r="A13" s="1448" t="s">
        <v>21</v>
      </c>
      <c r="B13" s="1449"/>
      <c r="C13" s="1449"/>
      <c r="D13" s="1449"/>
      <c r="E13" s="1449"/>
      <c r="F13" s="1449"/>
      <c r="G13" s="1450"/>
    </row>
    <row r="14" spans="1:7" s="72" customFormat="1" ht="30" customHeight="1">
      <c r="A14" s="1440" t="s">
        <v>22</v>
      </c>
      <c r="B14" s="1441"/>
      <c r="C14" s="1442" t="s">
        <v>94</v>
      </c>
      <c r="D14" s="1442"/>
      <c r="E14" s="1442"/>
      <c r="F14" s="1442"/>
      <c r="G14" s="1443"/>
    </row>
    <row r="15" spans="1:7" ht="30" customHeight="1">
      <c r="A15" s="1444" t="s">
        <v>23</v>
      </c>
      <c r="B15" s="1445"/>
      <c r="C15" s="327" t="s">
        <v>1293</v>
      </c>
      <c r="D15" s="567"/>
      <c r="E15" s="79"/>
      <c r="F15" s="80"/>
      <c r="G15" s="81"/>
    </row>
    <row r="16" spans="1:7" ht="30" customHeight="1">
      <c r="A16" s="82" t="s">
        <v>60</v>
      </c>
      <c r="B16" s="565"/>
      <c r="C16" s="83">
        <v>42744</v>
      </c>
      <c r="D16" s="567"/>
      <c r="E16" s="79"/>
      <c r="F16" s="80"/>
      <c r="G16" s="81"/>
    </row>
    <row r="17" spans="1:11" ht="30" customHeight="1">
      <c r="A17" s="82" t="s">
        <v>61</v>
      </c>
      <c r="B17" s="565"/>
      <c r="C17" s="83">
        <v>42886</v>
      </c>
      <c r="D17" s="567"/>
      <c r="E17" s="79"/>
      <c r="F17" s="80"/>
      <c r="G17" s="81"/>
    </row>
    <row r="18" spans="1:11" ht="30" customHeight="1">
      <c r="A18" s="1444" t="s">
        <v>24</v>
      </c>
      <c r="B18" s="1445"/>
      <c r="C18" s="84" t="str">
        <f>G11</f>
        <v>RA-5th</v>
      </c>
      <c r="D18" s="566"/>
      <c r="E18" s="566"/>
      <c r="F18" s="80"/>
      <c r="G18" s="81"/>
    </row>
    <row r="19" spans="1:11" ht="45" customHeight="1" thickBot="1">
      <c r="A19" s="1444" t="s">
        <v>25</v>
      </c>
      <c r="B19" s="1445"/>
      <c r="C19" s="1446" t="str">
        <f>C35</f>
        <v>Rupees One Crore Thirty One Lacs Fifty Six Thousand Eight Hundred And Three Only</v>
      </c>
      <c r="D19" s="1446"/>
      <c r="E19" s="1446"/>
      <c r="F19" s="1446"/>
      <c r="G19" s="1447"/>
    </row>
    <row r="20" spans="1:11" ht="24" hidden="1" thickBot="1">
      <c r="A20" s="1432" t="s">
        <v>26</v>
      </c>
      <c r="B20" s="1433"/>
      <c r="C20" s="1433"/>
      <c r="D20" s="1433"/>
      <c r="E20" s="1433"/>
      <c r="F20" s="1433"/>
      <c r="G20" s="1434"/>
    </row>
    <row r="21" spans="1:11" ht="35.1" customHeight="1">
      <c r="A21" s="85" t="s">
        <v>63</v>
      </c>
      <c r="B21" s="1436" t="s">
        <v>27</v>
      </c>
      <c r="C21" s="1437"/>
      <c r="D21" s="1438"/>
      <c r="E21" s="86" t="s">
        <v>28</v>
      </c>
      <c r="F21" s="87" t="s">
        <v>10</v>
      </c>
      <c r="G21" s="88" t="s">
        <v>29</v>
      </c>
    </row>
    <row r="22" spans="1:11" s="93" customFormat="1">
      <c r="A22" s="89" t="s">
        <v>30</v>
      </c>
      <c r="B22" s="1435" t="s">
        <v>31</v>
      </c>
      <c r="C22" s="1435"/>
      <c r="D22" s="1435"/>
      <c r="E22" s="90"/>
      <c r="F22" s="91"/>
      <c r="G22" s="92"/>
      <c r="J22" s="94"/>
      <c r="K22" s="94"/>
    </row>
    <row r="23" spans="1:11" s="99" customFormat="1" ht="39.950000000000003" customHeight="1">
      <c r="A23" s="95" t="s">
        <v>32</v>
      </c>
      <c r="B23" s="1439" t="s">
        <v>92</v>
      </c>
      <c r="C23" s="1439"/>
      <c r="D23" s="1439"/>
      <c r="E23" s="96">
        <f>SUMMARY!C8</f>
        <v>48396290</v>
      </c>
      <c r="F23" s="96">
        <f>SUMMARY!D8</f>
        <v>4169464</v>
      </c>
      <c r="G23" s="98">
        <f>SUMMARY!E8</f>
        <v>52565754</v>
      </c>
      <c r="J23" s="100"/>
      <c r="K23" s="100"/>
    </row>
    <row r="24" spans="1:11" s="99" customFormat="1" ht="39.950000000000003" customHeight="1">
      <c r="A24" s="101" t="s">
        <v>56</v>
      </c>
      <c r="B24" s="1439" t="s">
        <v>93</v>
      </c>
      <c r="C24" s="1439"/>
      <c r="D24" s="1439"/>
      <c r="E24" s="96">
        <f>SUMMARY!C9</f>
        <v>6356799</v>
      </c>
      <c r="F24" s="96">
        <f>SUMMARY!D9</f>
        <v>374938</v>
      </c>
      <c r="G24" s="98">
        <f>SUMMARY!E9</f>
        <v>6731737</v>
      </c>
      <c r="J24" s="100"/>
      <c r="K24" s="102"/>
    </row>
    <row r="25" spans="1:11" s="99" customFormat="1" ht="39.950000000000003" customHeight="1">
      <c r="A25" s="101" t="s">
        <v>164</v>
      </c>
      <c r="B25" s="1439" t="s">
        <v>163</v>
      </c>
      <c r="C25" s="1439"/>
      <c r="D25" s="1439"/>
      <c r="E25" s="96">
        <f>SUMMARY!C15</f>
        <v>1638599</v>
      </c>
      <c r="F25" s="96">
        <f>SUMMARY!D15</f>
        <v>4857744</v>
      </c>
      <c r="G25" s="98">
        <f>SUMMARY!E15</f>
        <v>6496343</v>
      </c>
      <c r="J25" s="100"/>
      <c r="K25" s="102"/>
    </row>
    <row r="26" spans="1:11" s="99" customFormat="1" ht="39.950000000000003" customHeight="1">
      <c r="A26" s="103"/>
      <c r="B26" s="1461" t="s">
        <v>73</v>
      </c>
      <c r="C26" s="1461"/>
      <c r="D26" s="1461"/>
      <c r="E26" s="104">
        <f>SUM(E23:E25)</f>
        <v>56391688</v>
      </c>
      <c r="F26" s="104">
        <f>SUM(F23:F25)</f>
        <v>9402146</v>
      </c>
      <c r="G26" s="586">
        <f>SUM(G23:G25)</f>
        <v>65793834</v>
      </c>
      <c r="H26" s="105"/>
      <c r="J26" s="102"/>
      <c r="K26" s="100"/>
    </row>
    <row r="27" spans="1:11" s="99" customFormat="1" ht="39.950000000000003" customHeight="1">
      <c r="A27" s="106" t="s">
        <v>33</v>
      </c>
      <c r="B27" s="1439" t="s">
        <v>1296</v>
      </c>
      <c r="C27" s="1439"/>
      <c r="D27" s="1439"/>
      <c r="E27" s="96">
        <f>ROUND(E26*5.56%,0)</f>
        <v>3135378</v>
      </c>
      <c r="F27" s="96">
        <f>ROUND(F26*5.56%,0)</f>
        <v>522759</v>
      </c>
      <c r="G27" s="587">
        <f>ROUND(G26*5.656%,0)</f>
        <v>3721299</v>
      </c>
    </row>
    <row r="28" spans="1:11" s="99" customFormat="1" ht="35.1" customHeight="1">
      <c r="A28" s="106" t="s">
        <v>34</v>
      </c>
      <c r="B28" s="1490" t="s">
        <v>72</v>
      </c>
      <c r="C28" s="1491"/>
      <c r="D28" s="1492"/>
      <c r="E28" s="104">
        <f>E26-E27</f>
        <v>53256310</v>
      </c>
      <c r="F28" s="107">
        <f>F26-F27</f>
        <v>8879387</v>
      </c>
      <c r="G28" s="108">
        <f>G26-G27</f>
        <v>62072535</v>
      </c>
      <c r="H28" s="105"/>
    </row>
    <row r="29" spans="1:11" s="93" customFormat="1" ht="28.5" customHeight="1">
      <c r="A29" s="109" t="s">
        <v>35</v>
      </c>
      <c r="B29" s="1493" t="s">
        <v>36</v>
      </c>
      <c r="C29" s="1493"/>
      <c r="D29" s="1493"/>
      <c r="E29" s="110"/>
      <c r="F29" s="111"/>
      <c r="G29" s="112"/>
    </row>
    <row r="30" spans="1:11" s="99" customFormat="1" ht="39.950000000000003" customHeight="1">
      <c r="A30" s="101" t="s">
        <v>74</v>
      </c>
      <c r="B30" s="1439" t="s">
        <v>81</v>
      </c>
      <c r="C30" s="1439"/>
      <c r="D30" s="1439"/>
      <c r="E30" s="97">
        <f>ROUND(E26*5%,0)</f>
        <v>2819584</v>
      </c>
      <c r="F30" s="97">
        <f>ROUND(F26*5%,0)</f>
        <v>470107</v>
      </c>
      <c r="G30" s="98">
        <f>ROUND(G26*5%,0)</f>
        <v>3289692</v>
      </c>
    </row>
    <row r="31" spans="1:11" s="99" customFormat="1" ht="39.950000000000003" customHeight="1">
      <c r="A31" s="101" t="s">
        <v>75</v>
      </c>
      <c r="B31" s="1439" t="s">
        <v>82</v>
      </c>
      <c r="C31" s="1439"/>
      <c r="D31" s="1439"/>
      <c r="E31" s="97">
        <f>ROUND(E28*2%,0)</f>
        <v>1065126</v>
      </c>
      <c r="F31" s="97">
        <f>ROUND(F28*2%,0)</f>
        <v>177588</v>
      </c>
      <c r="G31" s="98">
        <f>ROUND(G28*2%,0)</f>
        <v>1241451</v>
      </c>
    </row>
    <row r="32" spans="1:11" s="99" customFormat="1" ht="39.950000000000003" customHeight="1">
      <c r="A32" s="101" t="s">
        <v>76</v>
      </c>
      <c r="B32" s="1439" t="s">
        <v>83</v>
      </c>
      <c r="C32" s="1439"/>
      <c r="D32" s="1439"/>
      <c r="E32" s="97">
        <f>ROUND(E28*6%,0)</f>
        <v>3195379</v>
      </c>
      <c r="F32" s="97">
        <f>ROUND(F28*6%,0)</f>
        <v>532763</v>
      </c>
      <c r="G32" s="98">
        <f>ROUND(G28*6%,0)</f>
        <v>3724352</v>
      </c>
    </row>
    <row r="33" spans="1:10" s="99" customFormat="1" ht="39.950000000000003" customHeight="1">
      <c r="A33" s="103"/>
      <c r="B33" s="1461" t="s">
        <v>77</v>
      </c>
      <c r="C33" s="1461"/>
      <c r="D33" s="1461"/>
      <c r="E33" s="107">
        <f>SUM(E30:E32)</f>
        <v>7080089</v>
      </c>
      <c r="F33" s="107">
        <f>SUM(F30:F32)</f>
        <v>1180458</v>
      </c>
      <c r="G33" s="108">
        <f>SUM(G30:G32)</f>
        <v>8255495</v>
      </c>
    </row>
    <row r="34" spans="1:10" s="93" customFormat="1" ht="39.950000000000003" customHeight="1">
      <c r="A34" s="113" t="s">
        <v>37</v>
      </c>
      <c r="B34" s="1462" t="s">
        <v>79</v>
      </c>
      <c r="C34" s="1462"/>
      <c r="D34" s="1462"/>
      <c r="E34" s="104">
        <f>E28-E33</f>
        <v>46176221</v>
      </c>
      <c r="F34" s="104">
        <f>F28-F33</f>
        <v>7698929</v>
      </c>
      <c r="G34" s="108">
        <f>G28-G33</f>
        <v>53817040</v>
      </c>
    </row>
    <row r="35" spans="1:10" s="72" customFormat="1" ht="45" customHeight="1" thickBot="1">
      <c r="A35" s="1467" t="s">
        <v>80</v>
      </c>
      <c r="B35" s="1468"/>
      <c r="C35" s="1469" t="s">
        <v>2134</v>
      </c>
      <c r="D35" s="1470"/>
      <c r="E35" s="1470"/>
      <c r="F35" s="1470"/>
      <c r="G35" s="1471"/>
    </row>
    <row r="36" spans="1:10" ht="33.75" customHeight="1" thickBot="1">
      <c r="A36" s="1484" t="s">
        <v>38</v>
      </c>
      <c r="B36" s="1485"/>
      <c r="C36" s="1486"/>
      <c r="D36" s="1487" t="s">
        <v>39</v>
      </c>
      <c r="E36" s="1488"/>
      <c r="F36" s="1488"/>
      <c r="G36" s="1489"/>
      <c r="J36" s="114"/>
    </row>
    <row r="37" spans="1:10" ht="27.95" customHeight="1">
      <c r="A37" s="1476"/>
      <c r="B37" s="1477"/>
      <c r="C37" s="1480"/>
      <c r="D37" s="1482"/>
      <c r="E37" s="1464"/>
      <c r="F37" s="1463"/>
      <c r="G37" s="1464"/>
    </row>
    <row r="38" spans="1:10" ht="27.95" customHeight="1" thickBot="1">
      <c r="A38" s="1478"/>
      <c r="B38" s="1479"/>
      <c r="C38" s="1481"/>
      <c r="D38" s="1483"/>
      <c r="E38" s="1466"/>
      <c r="F38" s="1465"/>
      <c r="G38" s="1466"/>
    </row>
    <row r="39" spans="1:10" s="116" customFormat="1" ht="31.5" customHeight="1" thickBot="1">
      <c r="A39" s="1458" t="s">
        <v>70</v>
      </c>
      <c r="B39" s="1459"/>
      <c r="C39" s="115" t="s">
        <v>1544</v>
      </c>
      <c r="D39" s="1472" t="s">
        <v>58</v>
      </c>
      <c r="E39" s="1473"/>
      <c r="F39" s="1474" t="s">
        <v>59</v>
      </c>
      <c r="G39" s="1475"/>
    </row>
    <row r="40" spans="1:10" ht="52.5" customHeight="1" thickBot="1">
      <c r="A40" s="1456" t="s">
        <v>43</v>
      </c>
      <c r="B40" s="1460"/>
      <c r="C40" s="117" t="s">
        <v>40</v>
      </c>
      <c r="D40" s="1456" t="s">
        <v>57</v>
      </c>
      <c r="E40" s="1457"/>
      <c r="F40" s="1456" t="s">
        <v>44</v>
      </c>
      <c r="G40" s="1457"/>
    </row>
  </sheetData>
  <mergeCells count="40">
    <mergeCell ref="B26:D26"/>
    <mergeCell ref="A36:C36"/>
    <mergeCell ref="D36:G36"/>
    <mergeCell ref="B28:D28"/>
    <mergeCell ref="B27:D27"/>
    <mergeCell ref="B32:D32"/>
    <mergeCell ref="B29:D29"/>
    <mergeCell ref="B30:D30"/>
    <mergeCell ref="B31:D31"/>
    <mergeCell ref="D40:E40"/>
    <mergeCell ref="F40:G40"/>
    <mergeCell ref="A39:B39"/>
    <mergeCell ref="A40:B40"/>
    <mergeCell ref="B33:D33"/>
    <mergeCell ref="B34:D34"/>
    <mergeCell ref="F37:G38"/>
    <mergeCell ref="A35:B35"/>
    <mergeCell ref="C35:G35"/>
    <mergeCell ref="D39:E39"/>
    <mergeCell ref="F39:G39"/>
    <mergeCell ref="A37:B38"/>
    <mergeCell ref="C37:C38"/>
    <mergeCell ref="D37:E38"/>
    <mergeCell ref="A13:G13"/>
    <mergeCell ref="A9:G9"/>
    <mergeCell ref="B10:E10"/>
    <mergeCell ref="B11:E11"/>
    <mergeCell ref="B12:E12"/>
    <mergeCell ref="A20:G20"/>
    <mergeCell ref="B22:D22"/>
    <mergeCell ref="B21:D21"/>
    <mergeCell ref="B25:D25"/>
    <mergeCell ref="A14:B14"/>
    <mergeCell ref="C14:G14"/>
    <mergeCell ref="A15:B15"/>
    <mergeCell ref="A18:B18"/>
    <mergeCell ref="A19:B19"/>
    <mergeCell ref="C19:G19"/>
    <mergeCell ref="B23:D23"/>
    <mergeCell ref="B24:D24"/>
  </mergeCells>
  <printOptions horizontalCentered="1"/>
  <pageMargins left="0.5" right="0.25" top="1" bottom="0.75" header="0.3" footer="0.3"/>
  <pageSetup scale="50"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X1617"/>
  <sheetViews>
    <sheetView view="pageBreakPreview" zoomScale="80" zoomScaleSheetLayoutView="80" workbookViewId="0">
      <pane ySplit="6" topLeftCell="A1610" activePane="bottomLeft" state="frozen"/>
      <selection pane="bottomLeft" activeCell="V1613" sqref="V1613"/>
    </sheetView>
  </sheetViews>
  <sheetFormatPr defaultRowHeight="15" outlineLevelRow="1"/>
  <cols>
    <col min="1" max="1" width="4.85546875" customWidth="1"/>
    <col min="2" max="2" width="38.140625" customWidth="1"/>
    <col min="3" max="3" width="5.28515625" customWidth="1"/>
    <col min="4" max="4" width="6" style="767" customWidth="1"/>
    <col min="5" max="5" width="10.5703125" customWidth="1"/>
    <col min="6" max="6" width="5.28515625" style="844" customWidth="1"/>
    <col min="7" max="7" width="6.7109375" style="236" customWidth="1"/>
    <col min="8" max="8" width="6.28515625" style="236" customWidth="1"/>
    <col min="9" max="9" width="6.5703125" style="236" bestFit="1" customWidth="1"/>
    <col min="10" max="10" width="11.28515625" style="236" customWidth="1"/>
    <col min="11" max="11" width="9.85546875" style="236" bestFit="1" customWidth="1"/>
    <col min="12" max="13" width="6.5703125" style="236" bestFit="1" customWidth="1"/>
    <col min="14" max="15" width="9.85546875" customWidth="1"/>
    <col min="16" max="16" width="12.7109375" customWidth="1"/>
    <col min="17" max="17" width="13" customWidth="1"/>
    <col min="18" max="18" width="9.28515625" customWidth="1"/>
    <col min="19" max="20" width="8.5703125" customWidth="1"/>
    <col min="21" max="21" width="8.42578125" customWidth="1"/>
    <col min="22" max="22" width="8" customWidth="1"/>
    <col min="23" max="23" width="10.140625" bestFit="1" customWidth="1"/>
    <col min="24" max="24" width="9.28515625" bestFit="1" customWidth="1"/>
  </cols>
  <sheetData>
    <row r="1" spans="1:23" ht="37.5" customHeight="1">
      <c r="A1" s="1531" t="s">
        <v>2078</v>
      </c>
      <c r="B1" s="1532"/>
      <c r="C1" s="1532"/>
      <c r="D1" s="1532"/>
      <c r="E1" s="1532"/>
      <c r="F1" s="1532"/>
      <c r="G1" s="1532"/>
      <c r="H1" s="1532"/>
      <c r="I1" s="1532"/>
      <c r="J1" s="1532"/>
      <c r="K1" s="1532"/>
      <c r="L1" s="1532"/>
      <c r="M1" s="1532"/>
      <c r="N1" s="1532"/>
      <c r="O1" s="1532"/>
      <c r="P1" s="1532"/>
      <c r="Q1" s="1532"/>
      <c r="R1" s="1532"/>
      <c r="S1" s="1532"/>
      <c r="T1" s="1532"/>
      <c r="U1" s="1532"/>
      <c r="V1" s="1533"/>
    </row>
    <row r="2" spans="1:23" s="179" customFormat="1" ht="18.75">
      <c r="A2" s="822" t="s">
        <v>375</v>
      </c>
      <c r="B2" s="823"/>
      <c r="C2" s="823"/>
      <c r="D2" s="824"/>
      <c r="E2" s="823"/>
      <c r="F2" s="824"/>
      <c r="G2" s="823"/>
      <c r="H2" s="823"/>
      <c r="I2" s="823"/>
      <c r="J2" s="825"/>
      <c r="K2" s="825"/>
      <c r="L2" s="825"/>
      <c r="M2" s="825"/>
      <c r="N2" s="825"/>
      <c r="O2" s="825"/>
      <c r="P2" s="825"/>
      <c r="Q2" s="825"/>
      <c r="R2" s="825"/>
      <c r="S2" s="825"/>
      <c r="T2" s="825"/>
      <c r="U2" s="825"/>
      <c r="V2" s="826"/>
    </row>
    <row r="3" spans="1:23" ht="16.5">
      <c r="A3" s="1534" t="s">
        <v>376</v>
      </c>
      <c r="B3" s="1534"/>
      <c r="C3" s="1534"/>
      <c r="D3" s="1535"/>
      <c r="E3" s="1535"/>
      <c r="F3" s="1535"/>
      <c r="G3" s="1535"/>
      <c r="H3" s="831"/>
      <c r="I3" s="832"/>
      <c r="J3" s="833"/>
      <c r="K3" s="833"/>
      <c r="L3" s="833"/>
      <c r="M3" s="674"/>
      <c r="N3" s="827"/>
      <c r="O3" s="827"/>
      <c r="P3" s="828"/>
      <c r="Q3" s="828"/>
      <c r="R3" s="828"/>
      <c r="S3" s="676" t="s">
        <v>377</v>
      </c>
      <c r="T3" s="1536">
        <v>42986</v>
      </c>
      <c r="U3" s="1536"/>
      <c r="V3" s="829"/>
    </row>
    <row r="4" spans="1:23" ht="16.5">
      <c r="A4" s="1537" t="s">
        <v>1727</v>
      </c>
      <c r="B4" s="1538"/>
      <c r="C4" s="1538"/>
      <c r="D4" s="1538"/>
      <c r="E4" s="1538"/>
      <c r="F4" s="1538"/>
      <c r="G4" s="1538"/>
      <c r="H4" s="834"/>
      <c r="I4" s="835"/>
      <c r="J4" s="675" t="s">
        <v>378</v>
      </c>
      <c r="K4" s="676"/>
      <c r="L4" s="1539" t="s">
        <v>1547</v>
      </c>
      <c r="M4" s="1539"/>
      <c r="N4" s="1539"/>
      <c r="O4" s="830"/>
      <c r="P4" s="828"/>
      <c r="Q4" s="828"/>
      <c r="R4" s="828"/>
      <c r="S4" s="828"/>
      <c r="T4" s="828"/>
      <c r="U4" s="828"/>
      <c r="V4" s="829"/>
    </row>
    <row r="5" spans="1:23" ht="30" customHeight="1">
      <c r="A5" s="1540" t="s">
        <v>593</v>
      </c>
      <c r="B5" s="1540" t="s">
        <v>379</v>
      </c>
      <c r="C5" s="1541" t="s">
        <v>1548</v>
      </c>
      <c r="D5" s="1541"/>
      <c r="E5" s="1541"/>
      <c r="F5" s="1541" t="s">
        <v>1549</v>
      </c>
      <c r="G5" s="1541"/>
      <c r="H5" s="1541"/>
      <c r="I5" s="1530" t="s">
        <v>383</v>
      </c>
      <c r="J5" s="1530"/>
      <c r="K5" s="1530"/>
      <c r="L5" s="1530"/>
      <c r="M5" s="1530"/>
      <c r="N5" s="1526" t="s">
        <v>385</v>
      </c>
      <c r="O5" s="1528" t="s">
        <v>1550</v>
      </c>
      <c r="P5" s="1530" t="s">
        <v>386</v>
      </c>
      <c r="Q5" s="1530"/>
      <c r="R5" s="1530"/>
      <c r="S5" s="1530"/>
      <c r="T5" s="1530"/>
      <c r="U5" s="1530"/>
      <c r="V5" s="1530"/>
    </row>
    <row r="6" spans="1:23" ht="54.75" customHeight="1">
      <c r="A6" s="1540"/>
      <c r="B6" s="1540"/>
      <c r="C6" s="677" t="s">
        <v>1551</v>
      </c>
      <c r="D6" s="678" t="s">
        <v>1552</v>
      </c>
      <c r="E6" s="679" t="s">
        <v>1553</v>
      </c>
      <c r="F6" s="680" t="s">
        <v>1554</v>
      </c>
      <c r="G6" s="681" t="s">
        <v>1555</v>
      </c>
      <c r="H6" s="682" t="s">
        <v>1556</v>
      </c>
      <c r="I6" s="852" t="s">
        <v>30</v>
      </c>
      <c r="J6" s="852" t="s">
        <v>33</v>
      </c>
      <c r="K6" s="852" t="s">
        <v>34</v>
      </c>
      <c r="L6" s="852" t="s">
        <v>35</v>
      </c>
      <c r="M6" s="852" t="s">
        <v>37</v>
      </c>
      <c r="N6" s="1527"/>
      <c r="O6" s="1529"/>
      <c r="P6" s="853">
        <v>8</v>
      </c>
      <c r="Q6" s="853">
        <v>10</v>
      </c>
      <c r="R6" s="853">
        <v>12</v>
      </c>
      <c r="S6" s="853">
        <v>16</v>
      </c>
      <c r="T6" s="853">
        <v>20</v>
      </c>
      <c r="U6" s="683">
        <v>25</v>
      </c>
      <c r="V6" s="853">
        <v>32</v>
      </c>
      <c r="W6" s="684"/>
    </row>
    <row r="7" spans="1:23" s="236" customFormat="1" ht="16.5" hidden="1" outlineLevel="1">
      <c r="A7" s="201" t="s">
        <v>387</v>
      </c>
      <c r="B7" s="202" t="s">
        <v>388</v>
      </c>
      <c r="C7" s="196"/>
      <c r="D7" s="685"/>
      <c r="E7" s="196"/>
      <c r="F7" s="685"/>
      <c r="G7" s="203"/>
      <c r="H7" s="197"/>
      <c r="I7" s="234"/>
      <c r="J7" s="234"/>
      <c r="K7" s="234"/>
      <c r="L7" s="234"/>
      <c r="M7" s="234"/>
      <c r="N7" s="686" t="str">
        <f t="shared" ref="N7" si="0">IF(A7=8,ROUND(((L7+M7)*D7*E7*F7)/1000,3),"-")</f>
        <v>-</v>
      </c>
      <c r="O7" s="686" t="str">
        <f t="shared" ref="O7" si="1">IF(A7=10,ROUND(((L7+M7)*D7*E7*F7)/1000,3),"-")</f>
        <v>-</v>
      </c>
      <c r="P7" s="686" t="str">
        <f t="shared" ref="P7" si="2">IF(A7=12,ROUND(((L7+M7)*D7*E7*F7)/1000,3),"-")</f>
        <v>-</v>
      </c>
      <c r="Q7" s="686" t="str">
        <f t="shared" ref="Q7" si="3">IF(A7=16,ROUND(((L7+M7)*D7*E7*F7)/1000,3),"-")</f>
        <v>-</v>
      </c>
      <c r="R7" s="686" t="str">
        <f t="shared" ref="R7" si="4">IF(A7=20,ROUND(((L7+M7)*D7*E7*F7)/1000,3),"-")</f>
        <v>-</v>
      </c>
      <c r="S7" s="686" t="str">
        <f t="shared" ref="S7" si="5">IF(A7=25,ROUND(((L7+M7)*D7*E7*F7)/1000,3),"-")</f>
        <v>-</v>
      </c>
      <c r="T7" s="687" t="str">
        <f t="shared" ref="T7" si="6">IF(A7=32,ROUND(((L7+M7)*D7*E7*F7)/1000,3),"-")</f>
        <v>-</v>
      </c>
      <c r="U7" s="688"/>
      <c r="V7" s="200"/>
      <c r="W7" s="689"/>
    </row>
    <row r="8" spans="1:23" s="236" customFormat="1" ht="30.75" hidden="1" outlineLevel="1">
      <c r="A8" s="237">
        <v>1</v>
      </c>
      <c r="B8" s="238" t="s">
        <v>389</v>
      </c>
      <c r="C8" s="196"/>
      <c r="D8" s="685"/>
      <c r="E8" s="196"/>
      <c r="F8" s="685"/>
      <c r="G8" s="204"/>
      <c r="H8" s="203"/>
      <c r="I8" s="234"/>
      <c r="J8" s="234"/>
      <c r="K8" s="234"/>
      <c r="L8" s="234"/>
      <c r="M8" s="234"/>
      <c r="N8" s="235"/>
      <c r="O8" s="235"/>
      <c r="P8" s="200"/>
      <c r="Q8" s="200"/>
      <c r="R8" s="200"/>
      <c r="S8" s="200"/>
      <c r="T8" s="200"/>
      <c r="U8" s="688"/>
      <c r="V8" s="200"/>
      <c r="W8" s="689"/>
    </row>
    <row r="9" spans="1:23" s="236" customFormat="1" ht="30.75" hidden="1" outlineLevel="1">
      <c r="A9" s="205" t="s">
        <v>390</v>
      </c>
      <c r="B9" s="206" t="s">
        <v>391</v>
      </c>
      <c r="C9" s="240"/>
      <c r="D9" s="690"/>
      <c r="E9" s="240"/>
      <c r="F9" s="836"/>
      <c r="G9" s="239"/>
      <c r="H9" s="203"/>
      <c r="I9" s="234"/>
      <c r="J9" s="234"/>
      <c r="K9" s="234"/>
      <c r="L9" s="234"/>
      <c r="M9" s="234"/>
      <c r="N9" s="235"/>
      <c r="O9" s="235"/>
      <c r="P9" s="200"/>
      <c r="Q9" s="200"/>
      <c r="R9" s="200"/>
      <c r="S9" s="200"/>
      <c r="T9" s="200"/>
      <c r="U9" s="688"/>
      <c r="V9" s="200"/>
      <c r="W9" s="689"/>
    </row>
    <row r="10" spans="1:23" s="236" customFormat="1" ht="26.25" hidden="1" customHeight="1" outlineLevel="1">
      <c r="A10" s="239">
        <v>1</v>
      </c>
      <c r="B10" s="239" t="s">
        <v>392</v>
      </c>
      <c r="C10" s="240">
        <v>10</v>
      </c>
      <c r="D10" s="690"/>
      <c r="E10" s="691" t="s">
        <v>1557</v>
      </c>
      <c r="F10" s="836">
        <v>1</v>
      </c>
      <c r="G10" s="239">
        <v>1</v>
      </c>
      <c r="H10" s="203">
        <v>2</v>
      </c>
      <c r="I10" s="241">
        <v>100</v>
      </c>
      <c r="J10" s="234"/>
      <c r="K10" s="234">
        <v>3610</v>
      </c>
      <c r="L10" s="234"/>
      <c r="M10" s="241">
        <v>100</v>
      </c>
      <c r="N10" s="692">
        <f t="shared" ref="N10" si="7">IF(E10="L Shape",(I10+J10)-(C10*2*1),IF(E10="U Shape",(I10+J10+K10)-(C10*2*2),IF(E10="Rectangle",(I10+J10+K10+L10)+(C10*10*2)-(C10*2*5),IF(E10="Straight",J10-(C10*0),IF(E10="Chair",(I10+J10+K10+L10+M10)-(C10*2*4),IF(E10="U2 Shape",(I10+J10+K10+L10+M10)-(C10*2*4),IF(E10="U3 Shape",(I10+J10+K10+L10)-(C10*2*3),IF(E10="Z Shape",(I10+J10+K10)-(C10*2*2),IF(E10="Triangle",(I10+J10+K10)+(C10*10*2)-(C10*2*4),IF(E10="Trapezoid2",(I10+I10+J10+K10+K10+L10)+(C10*10*2)-(C10*2*7),IF(E10="Trapezoid",(I10+J10+K10+L10)+(C10*10*2)-(C10*2*5),IF(E10="Link",J10+(C10*10*2),IF(E10="U5 Shape",(I10+J10+K10+L10)-(C10*2*3),IF(E10="DU2 Shape",(I10+J10+K10+L10)-(C10*2*4),IF(E10="SU Shape",(I10+J10+K10)-(C10*2*2),"-")))))))))))))))</f>
        <v>3670</v>
      </c>
      <c r="O10" s="692">
        <f>IF(N10&lt;12001,C10*49*0,IF(N10&lt;24001,C10*49*1,IF(N10&lt;36001,C10*49*2,IF(N10&lt;48001,C10*49*3,IF(N10&lt;60001,C10*49*4,IF(N10&lt;72001,(C10*49*5),IF(N10&lt;84001,(C10*49*6),IF(N10&lt;96001,(C10*49*7),IF(N10&lt;108001,(C10*49*8),IF(N10&lt;120001,(C10*49*9),IF(N10&lt;132001,(C10*49*10),IF(N10&lt;144001,(C10*49*11),""))))))))))))</f>
        <v>0</v>
      </c>
      <c r="P10" s="693" t="str">
        <f t="shared" ref="P10" si="8">IF(C10=8,ROUND(((N10+O10)*F10*G10*H10)/1000,3),"-")</f>
        <v>-</v>
      </c>
      <c r="Q10" s="693">
        <f t="shared" ref="Q10" si="9">IF(C10=10,ROUND(((N10+O10)*F10*G10*H10)/1000,3),"-")</f>
        <v>7.34</v>
      </c>
      <c r="R10" s="693" t="str">
        <f t="shared" ref="R10" si="10">IF(C10=12,ROUND(((N10+O10)*F10*G10*H10)/1000,3),"-")</f>
        <v>-</v>
      </c>
      <c r="S10" s="693" t="str">
        <f t="shared" ref="S10" si="11">IF(C10=16,ROUND(((N10+O10)*F10*G10*H10)/1000,3),"-")</f>
        <v>-</v>
      </c>
      <c r="T10" s="693" t="str">
        <f t="shared" ref="T10" si="12">IF(C10=20,ROUND(((N10+O10)*F10*G10*H10)/1000,3),"-")</f>
        <v>-</v>
      </c>
      <c r="U10" s="694" t="str">
        <f t="shared" ref="U10" si="13">IF(C10=25,ROUND(((N10+O10)*F10*G10*H10)/1000,3),"-")</f>
        <v>-</v>
      </c>
      <c r="V10" s="695" t="str">
        <f t="shared" ref="V10" si="14">IF(C10=32,ROUND(((N10+O10)*F10*G10*H10)/1000,3),"-")</f>
        <v>-</v>
      </c>
      <c r="W10" s="689"/>
    </row>
    <row r="11" spans="1:23" s="236" customFormat="1" ht="24.95" hidden="1" customHeight="1" outlineLevel="1">
      <c r="A11" s="239"/>
      <c r="B11" s="239" t="s">
        <v>393</v>
      </c>
      <c r="C11" s="240">
        <v>10</v>
      </c>
      <c r="D11" s="690"/>
      <c r="E11" s="691" t="s">
        <v>1557</v>
      </c>
      <c r="F11" s="836">
        <v>1</v>
      </c>
      <c r="G11" s="239">
        <v>1</v>
      </c>
      <c r="H11" s="203">
        <v>2</v>
      </c>
      <c r="I11" s="241">
        <v>100</v>
      </c>
      <c r="J11" s="234"/>
      <c r="K11" s="234">
        <v>3610</v>
      </c>
      <c r="L11" s="234"/>
      <c r="M11" s="241">
        <v>100</v>
      </c>
      <c r="N11" s="235" t="e">
        <f>(((I11+J11+K11+L11+M11)-C11*#REF!*2)/1000)</f>
        <v>#REF!</v>
      </c>
      <c r="O11" s="235"/>
      <c r="P11" s="200">
        <f t="shared" ref="P11:P74" si="15">+IF(C11=8,G11*H11*N11,0)</f>
        <v>0</v>
      </c>
      <c r="Q11" s="200" t="e">
        <f t="shared" ref="Q11:Q74" si="16">+IF(C11=10,G11*H11*N11,0)</f>
        <v>#REF!</v>
      </c>
      <c r="R11" s="200">
        <f t="shared" ref="R11:R74" si="17">+IF(C11=12,G11*H11*N11,0)</f>
        <v>0</v>
      </c>
      <c r="S11" s="200">
        <f t="shared" ref="S11:S74" si="18">+IF(C11=16,G11*H11*N11,0)</f>
        <v>0</v>
      </c>
      <c r="T11" s="200">
        <f t="shared" ref="T11:T74" si="19">+IF(C11=20,G11*H11*N11,0)</f>
        <v>0</v>
      </c>
      <c r="U11" s="688">
        <f t="shared" ref="U11:U74" si="20">+IF(C11=25,G11*H11*N11,0)</f>
        <v>0</v>
      </c>
      <c r="V11" s="200">
        <f t="shared" ref="V11:V74" si="21">+IF(C11=32,G11*H11*N11,0)</f>
        <v>0</v>
      </c>
      <c r="W11" s="689"/>
    </row>
    <row r="12" spans="1:23" s="236" customFormat="1" ht="24.95" hidden="1" customHeight="1" outlineLevel="1">
      <c r="A12" s="239"/>
      <c r="B12" s="239" t="s">
        <v>394</v>
      </c>
      <c r="C12" s="240">
        <v>8</v>
      </c>
      <c r="D12" s="690"/>
      <c r="E12" s="691" t="s">
        <v>1558</v>
      </c>
      <c r="F12" s="836">
        <v>1</v>
      </c>
      <c r="G12" s="239">
        <v>1</v>
      </c>
      <c r="H12" s="203">
        <f>(3610/200)+1</f>
        <v>19.05</v>
      </c>
      <c r="I12" s="234"/>
      <c r="J12" s="234"/>
      <c r="K12" s="234">
        <v>820</v>
      </c>
      <c r="L12" s="234"/>
      <c r="M12" s="234"/>
      <c r="N12" s="235" t="e">
        <f>(((I12+J12+K12+L12+M12)-C12*#REF!*2)/1000)</f>
        <v>#REF!</v>
      </c>
      <c r="O12" s="235"/>
      <c r="P12" s="200" t="e">
        <f t="shared" si="15"/>
        <v>#REF!</v>
      </c>
      <c r="Q12" s="200">
        <f t="shared" si="16"/>
        <v>0</v>
      </c>
      <c r="R12" s="200">
        <f t="shared" si="17"/>
        <v>0</v>
      </c>
      <c r="S12" s="200">
        <f t="shared" si="18"/>
        <v>0</v>
      </c>
      <c r="T12" s="200">
        <f t="shared" si="19"/>
        <v>0</v>
      </c>
      <c r="U12" s="688">
        <f t="shared" si="20"/>
        <v>0</v>
      </c>
      <c r="V12" s="200">
        <f t="shared" si="21"/>
        <v>0</v>
      </c>
      <c r="W12" s="689"/>
    </row>
    <row r="13" spans="1:23" s="236" customFormat="1" ht="24.95" hidden="1" customHeight="1" outlineLevel="1">
      <c r="A13" s="239">
        <v>2</v>
      </c>
      <c r="B13" s="239" t="s">
        <v>392</v>
      </c>
      <c r="C13" s="240">
        <v>10</v>
      </c>
      <c r="D13" s="690"/>
      <c r="E13" s="240"/>
      <c r="F13" s="836">
        <v>1</v>
      </c>
      <c r="G13" s="239">
        <v>2</v>
      </c>
      <c r="H13" s="203">
        <v>2</v>
      </c>
      <c r="I13" s="241">
        <v>100</v>
      </c>
      <c r="J13" s="234"/>
      <c r="K13" s="234">
        <v>1610</v>
      </c>
      <c r="L13" s="234"/>
      <c r="M13" s="241">
        <v>100</v>
      </c>
      <c r="N13" s="235" t="e">
        <f>(((I13+J13+K13+L13+M13)-C13*#REF!*2)/1000)</f>
        <v>#REF!</v>
      </c>
      <c r="O13" s="235"/>
      <c r="P13" s="200">
        <f t="shared" si="15"/>
        <v>0</v>
      </c>
      <c r="Q13" s="200" t="e">
        <f t="shared" si="16"/>
        <v>#REF!</v>
      </c>
      <c r="R13" s="200">
        <f t="shared" si="17"/>
        <v>0</v>
      </c>
      <c r="S13" s="200">
        <f t="shared" si="18"/>
        <v>0</v>
      </c>
      <c r="T13" s="200">
        <f t="shared" si="19"/>
        <v>0</v>
      </c>
      <c r="U13" s="688">
        <f t="shared" si="20"/>
        <v>0</v>
      </c>
      <c r="V13" s="200">
        <f t="shared" si="21"/>
        <v>0</v>
      </c>
      <c r="W13" s="689"/>
    </row>
    <row r="14" spans="1:23" s="236" customFormat="1" ht="24.95" hidden="1" customHeight="1" outlineLevel="1">
      <c r="A14" s="239"/>
      <c r="B14" s="239" t="s">
        <v>393</v>
      </c>
      <c r="C14" s="240">
        <v>10</v>
      </c>
      <c r="D14" s="690"/>
      <c r="E14" s="240"/>
      <c r="F14" s="836">
        <v>1</v>
      </c>
      <c r="G14" s="239">
        <v>2</v>
      </c>
      <c r="H14" s="203">
        <v>2</v>
      </c>
      <c r="I14" s="241">
        <v>100</v>
      </c>
      <c r="J14" s="234"/>
      <c r="K14" s="234">
        <v>1610</v>
      </c>
      <c r="L14" s="234"/>
      <c r="M14" s="241">
        <v>100</v>
      </c>
      <c r="N14" s="235" t="e">
        <f>(((I14+J14+K14+L14+M14)-C14*#REF!*2)/1000)</f>
        <v>#REF!</v>
      </c>
      <c r="O14" s="235"/>
      <c r="P14" s="200">
        <f t="shared" si="15"/>
        <v>0</v>
      </c>
      <c r="Q14" s="200" t="e">
        <f t="shared" si="16"/>
        <v>#REF!</v>
      </c>
      <c r="R14" s="200">
        <f t="shared" si="17"/>
        <v>0</v>
      </c>
      <c r="S14" s="200">
        <f t="shared" si="18"/>
        <v>0</v>
      </c>
      <c r="T14" s="200">
        <f t="shared" si="19"/>
        <v>0</v>
      </c>
      <c r="U14" s="688">
        <f t="shared" si="20"/>
        <v>0</v>
      </c>
      <c r="V14" s="200">
        <f t="shared" si="21"/>
        <v>0</v>
      </c>
      <c r="W14" s="689"/>
    </row>
    <row r="15" spans="1:23" s="236" customFormat="1" ht="24.95" hidden="1" customHeight="1" outlineLevel="1">
      <c r="A15" s="239"/>
      <c r="B15" s="239" t="s">
        <v>394</v>
      </c>
      <c r="C15" s="240">
        <v>8</v>
      </c>
      <c r="D15" s="690"/>
      <c r="E15" s="240"/>
      <c r="F15" s="836">
        <v>1</v>
      </c>
      <c r="G15" s="239">
        <v>2</v>
      </c>
      <c r="H15" s="203">
        <f>(1610/200)+1</f>
        <v>9.0500000000000007</v>
      </c>
      <c r="I15" s="234"/>
      <c r="J15" s="234"/>
      <c r="K15" s="234">
        <v>820</v>
      </c>
      <c r="L15" s="234"/>
      <c r="M15" s="234"/>
      <c r="N15" s="235" t="e">
        <f>(((I15+J15+K15+L15+M15)-C15*#REF!*2)/1000)</f>
        <v>#REF!</v>
      </c>
      <c r="O15" s="235"/>
      <c r="P15" s="200" t="e">
        <f t="shared" si="15"/>
        <v>#REF!</v>
      </c>
      <c r="Q15" s="200">
        <f t="shared" si="16"/>
        <v>0</v>
      </c>
      <c r="R15" s="200">
        <f t="shared" si="17"/>
        <v>0</v>
      </c>
      <c r="S15" s="200">
        <f t="shared" si="18"/>
        <v>0</v>
      </c>
      <c r="T15" s="200">
        <f t="shared" si="19"/>
        <v>0</v>
      </c>
      <c r="U15" s="688">
        <f t="shared" si="20"/>
        <v>0</v>
      </c>
      <c r="V15" s="200">
        <f t="shared" si="21"/>
        <v>0</v>
      </c>
      <c r="W15" s="689"/>
    </row>
    <row r="16" spans="1:23" s="236" customFormat="1" ht="24.95" hidden="1" customHeight="1" outlineLevel="1">
      <c r="A16" s="239">
        <v>3</v>
      </c>
      <c r="B16" s="239" t="s">
        <v>392</v>
      </c>
      <c r="C16" s="240">
        <v>10</v>
      </c>
      <c r="D16" s="690"/>
      <c r="E16" s="240"/>
      <c r="F16" s="836">
        <v>1</v>
      </c>
      <c r="G16" s="239">
        <v>1</v>
      </c>
      <c r="H16" s="203">
        <v>2</v>
      </c>
      <c r="I16" s="241">
        <v>100</v>
      </c>
      <c r="J16" s="234"/>
      <c r="K16" s="234">
        <v>1080</v>
      </c>
      <c r="L16" s="234"/>
      <c r="M16" s="241">
        <v>100</v>
      </c>
      <c r="N16" s="235" t="e">
        <f>(((I16+J16+K16+L16+M16)-C16*#REF!*2)/1000)</f>
        <v>#REF!</v>
      </c>
      <c r="O16" s="235"/>
      <c r="P16" s="200">
        <f t="shared" si="15"/>
        <v>0</v>
      </c>
      <c r="Q16" s="200" t="e">
        <f t="shared" si="16"/>
        <v>#REF!</v>
      </c>
      <c r="R16" s="200">
        <f t="shared" si="17"/>
        <v>0</v>
      </c>
      <c r="S16" s="200">
        <f t="shared" si="18"/>
        <v>0</v>
      </c>
      <c r="T16" s="200">
        <f t="shared" si="19"/>
        <v>0</v>
      </c>
      <c r="U16" s="688">
        <f t="shared" si="20"/>
        <v>0</v>
      </c>
      <c r="V16" s="200">
        <f t="shared" si="21"/>
        <v>0</v>
      </c>
      <c r="W16" s="689"/>
    </row>
    <row r="17" spans="1:23" s="236" customFormat="1" ht="24.95" hidden="1" customHeight="1" outlineLevel="1">
      <c r="A17" s="239"/>
      <c r="B17" s="239" t="s">
        <v>393</v>
      </c>
      <c r="C17" s="240">
        <v>10</v>
      </c>
      <c r="D17" s="690"/>
      <c r="E17" s="240"/>
      <c r="F17" s="836">
        <v>1</v>
      </c>
      <c r="G17" s="239">
        <v>1</v>
      </c>
      <c r="H17" s="203">
        <v>2</v>
      </c>
      <c r="I17" s="241">
        <v>100</v>
      </c>
      <c r="J17" s="234"/>
      <c r="K17" s="234">
        <v>1080</v>
      </c>
      <c r="L17" s="234"/>
      <c r="M17" s="241">
        <v>100</v>
      </c>
      <c r="N17" s="235" t="e">
        <f>(((I17+J17+K17+L17+M17)-C17*#REF!*2)/1000)</f>
        <v>#REF!</v>
      </c>
      <c r="O17" s="235"/>
      <c r="P17" s="200">
        <f t="shared" si="15"/>
        <v>0</v>
      </c>
      <c r="Q17" s="200" t="e">
        <f t="shared" si="16"/>
        <v>#REF!</v>
      </c>
      <c r="R17" s="200">
        <f t="shared" si="17"/>
        <v>0</v>
      </c>
      <c r="S17" s="200">
        <f t="shared" si="18"/>
        <v>0</v>
      </c>
      <c r="T17" s="200">
        <f t="shared" si="19"/>
        <v>0</v>
      </c>
      <c r="U17" s="688">
        <f t="shared" si="20"/>
        <v>0</v>
      </c>
      <c r="V17" s="200">
        <f t="shared" si="21"/>
        <v>0</v>
      </c>
      <c r="W17" s="689"/>
    </row>
    <row r="18" spans="1:23" s="236" customFormat="1" ht="24.95" hidden="1" customHeight="1" outlineLevel="1">
      <c r="A18" s="239"/>
      <c r="B18" s="239" t="s">
        <v>394</v>
      </c>
      <c r="C18" s="240">
        <v>8</v>
      </c>
      <c r="D18" s="690"/>
      <c r="E18" s="240"/>
      <c r="F18" s="836">
        <v>1</v>
      </c>
      <c r="G18" s="239">
        <v>1</v>
      </c>
      <c r="H18" s="203">
        <f>(1080/200)+1</f>
        <v>6.4</v>
      </c>
      <c r="I18" s="234"/>
      <c r="J18" s="234"/>
      <c r="K18" s="234">
        <v>820</v>
      </c>
      <c r="L18" s="234"/>
      <c r="M18" s="234"/>
      <c r="N18" s="235" t="e">
        <f>(((I18+J18+K18+L18+M18)-C18*#REF!*2)/1000)</f>
        <v>#REF!</v>
      </c>
      <c r="O18" s="235"/>
      <c r="P18" s="200" t="e">
        <f t="shared" si="15"/>
        <v>#REF!</v>
      </c>
      <c r="Q18" s="200">
        <f t="shared" si="16"/>
        <v>0</v>
      </c>
      <c r="R18" s="200">
        <f t="shared" si="17"/>
        <v>0</v>
      </c>
      <c r="S18" s="200">
        <f t="shared" si="18"/>
        <v>0</v>
      </c>
      <c r="T18" s="200">
        <f t="shared" si="19"/>
        <v>0</v>
      </c>
      <c r="U18" s="688">
        <f t="shared" si="20"/>
        <v>0</v>
      </c>
      <c r="V18" s="200">
        <f t="shared" si="21"/>
        <v>0</v>
      </c>
      <c r="W18" s="689"/>
    </row>
    <row r="19" spans="1:23" s="236" customFormat="1" ht="24.95" hidden="1" customHeight="1" outlineLevel="1">
      <c r="A19" s="239">
        <v>4</v>
      </c>
      <c r="B19" s="239" t="s">
        <v>392</v>
      </c>
      <c r="C19" s="240">
        <v>10</v>
      </c>
      <c r="D19" s="690"/>
      <c r="E19" s="240"/>
      <c r="F19" s="836">
        <v>1</v>
      </c>
      <c r="G19" s="239">
        <v>1</v>
      </c>
      <c r="H19" s="203">
        <v>2</v>
      </c>
      <c r="I19" s="241">
        <v>100</v>
      </c>
      <c r="J19" s="234"/>
      <c r="K19" s="234">
        <v>780</v>
      </c>
      <c r="L19" s="234"/>
      <c r="M19" s="241">
        <v>100</v>
      </c>
      <c r="N19" s="235" t="e">
        <f>(((I19+J19+K19+L19+M19)-C19*#REF!*2)/1000)</f>
        <v>#REF!</v>
      </c>
      <c r="O19" s="235"/>
      <c r="P19" s="200">
        <f t="shared" si="15"/>
        <v>0</v>
      </c>
      <c r="Q19" s="200" t="e">
        <f t="shared" si="16"/>
        <v>#REF!</v>
      </c>
      <c r="R19" s="200">
        <f t="shared" si="17"/>
        <v>0</v>
      </c>
      <c r="S19" s="200">
        <f t="shared" si="18"/>
        <v>0</v>
      </c>
      <c r="T19" s="200">
        <f t="shared" si="19"/>
        <v>0</v>
      </c>
      <c r="U19" s="688">
        <f t="shared" si="20"/>
        <v>0</v>
      </c>
      <c r="V19" s="200">
        <f t="shared" si="21"/>
        <v>0</v>
      </c>
      <c r="W19" s="689"/>
    </row>
    <row r="20" spans="1:23" s="236" customFormat="1" ht="24.95" hidden="1" customHeight="1" outlineLevel="1">
      <c r="A20" s="239"/>
      <c r="B20" s="239" t="s">
        <v>393</v>
      </c>
      <c r="C20" s="240">
        <v>10</v>
      </c>
      <c r="D20" s="690"/>
      <c r="E20" s="240"/>
      <c r="F20" s="836">
        <v>1</v>
      </c>
      <c r="G20" s="239">
        <v>1</v>
      </c>
      <c r="H20" s="203">
        <v>2</v>
      </c>
      <c r="I20" s="241">
        <v>100</v>
      </c>
      <c r="J20" s="234"/>
      <c r="K20" s="234">
        <v>780</v>
      </c>
      <c r="L20" s="234"/>
      <c r="M20" s="241">
        <v>100</v>
      </c>
      <c r="N20" s="235" t="e">
        <f>(((I20+J20+K20+L20+M20)-C20*#REF!*2)/1000)</f>
        <v>#REF!</v>
      </c>
      <c r="O20" s="235"/>
      <c r="P20" s="200">
        <f t="shared" si="15"/>
        <v>0</v>
      </c>
      <c r="Q20" s="200" t="e">
        <f t="shared" si="16"/>
        <v>#REF!</v>
      </c>
      <c r="R20" s="200">
        <f t="shared" si="17"/>
        <v>0</v>
      </c>
      <c r="S20" s="200">
        <f t="shared" si="18"/>
        <v>0</v>
      </c>
      <c r="T20" s="200">
        <f t="shared" si="19"/>
        <v>0</v>
      </c>
      <c r="U20" s="688">
        <f t="shared" si="20"/>
        <v>0</v>
      </c>
      <c r="V20" s="200">
        <f t="shared" si="21"/>
        <v>0</v>
      </c>
      <c r="W20" s="689"/>
    </row>
    <row r="21" spans="1:23" s="236" customFormat="1" ht="24.95" hidden="1" customHeight="1" outlineLevel="1">
      <c r="A21" s="239"/>
      <c r="B21" s="239" t="s">
        <v>394</v>
      </c>
      <c r="C21" s="240">
        <v>8</v>
      </c>
      <c r="D21" s="690"/>
      <c r="E21" s="240"/>
      <c r="F21" s="836">
        <v>1</v>
      </c>
      <c r="G21" s="239">
        <v>1</v>
      </c>
      <c r="H21" s="203">
        <f>(830/200)+1</f>
        <v>5.15</v>
      </c>
      <c r="I21" s="234"/>
      <c r="J21" s="234"/>
      <c r="K21" s="234">
        <v>820</v>
      </c>
      <c r="L21" s="234"/>
      <c r="M21" s="234"/>
      <c r="N21" s="235" t="e">
        <f>(((I21+J21+K21+L21+M21)-C21*#REF!*2)/1000)</f>
        <v>#REF!</v>
      </c>
      <c r="O21" s="235"/>
      <c r="P21" s="200" t="e">
        <f t="shared" si="15"/>
        <v>#REF!</v>
      </c>
      <c r="Q21" s="200">
        <f t="shared" si="16"/>
        <v>0</v>
      </c>
      <c r="R21" s="200">
        <f t="shared" si="17"/>
        <v>0</v>
      </c>
      <c r="S21" s="200">
        <f t="shared" si="18"/>
        <v>0</v>
      </c>
      <c r="T21" s="200">
        <f t="shared" si="19"/>
        <v>0</v>
      </c>
      <c r="U21" s="688">
        <f t="shared" si="20"/>
        <v>0</v>
      </c>
      <c r="V21" s="200">
        <f t="shared" si="21"/>
        <v>0</v>
      </c>
      <c r="W21" s="689"/>
    </row>
    <row r="22" spans="1:23" s="236" customFormat="1" ht="24.95" hidden="1" customHeight="1" outlineLevel="1">
      <c r="A22" s="239">
        <v>5</v>
      </c>
      <c r="B22" s="239" t="s">
        <v>392</v>
      </c>
      <c r="C22" s="240">
        <v>10</v>
      </c>
      <c r="D22" s="690"/>
      <c r="E22" s="240"/>
      <c r="F22" s="836">
        <v>1</v>
      </c>
      <c r="G22" s="239">
        <v>3</v>
      </c>
      <c r="H22" s="203">
        <v>2</v>
      </c>
      <c r="I22" s="241">
        <v>100</v>
      </c>
      <c r="J22" s="234"/>
      <c r="K22" s="234">
        <v>1910</v>
      </c>
      <c r="L22" s="234"/>
      <c r="M22" s="241">
        <v>100</v>
      </c>
      <c r="N22" s="235" t="e">
        <f>(((I22+J22+K22+L22+M22)-C22*#REF!*2)/1000)</f>
        <v>#REF!</v>
      </c>
      <c r="O22" s="235"/>
      <c r="P22" s="200">
        <f t="shared" si="15"/>
        <v>0</v>
      </c>
      <c r="Q22" s="200" t="e">
        <f t="shared" si="16"/>
        <v>#REF!</v>
      </c>
      <c r="R22" s="200">
        <f t="shared" si="17"/>
        <v>0</v>
      </c>
      <c r="S22" s="200">
        <f t="shared" si="18"/>
        <v>0</v>
      </c>
      <c r="T22" s="200">
        <f t="shared" si="19"/>
        <v>0</v>
      </c>
      <c r="U22" s="688">
        <f t="shared" si="20"/>
        <v>0</v>
      </c>
      <c r="V22" s="200">
        <f t="shared" si="21"/>
        <v>0</v>
      </c>
      <c r="W22" s="689"/>
    </row>
    <row r="23" spans="1:23" s="236" customFormat="1" ht="24.95" hidden="1" customHeight="1" outlineLevel="1">
      <c r="A23" s="239"/>
      <c r="B23" s="239" t="s">
        <v>393</v>
      </c>
      <c r="C23" s="240">
        <v>10</v>
      </c>
      <c r="D23" s="690"/>
      <c r="E23" s="240"/>
      <c r="F23" s="836">
        <v>1</v>
      </c>
      <c r="G23" s="239">
        <v>3</v>
      </c>
      <c r="H23" s="203">
        <v>2</v>
      </c>
      <c r="I23" s="241">
        <v>100</v>
      </c>
      <c r="J23" s="234"/>
      <c r="K23" s="234">
        <v>1910</v>
      </c>
      <c r="L23" s="234"/>
      <c r="M23" s="241">
        <v>100</v>
      </c>
      <c r="N23" s="235" t="e">
        <f>(((I23+J23+K23+L23+M23)-C23*#REF!*2)/1000)</f>
        <v>#REF!</v>
      </c>
      <c r="O23" s="235"/>
      <c r="P23" s="200">
        <f t="shared" si="15"/>
        <v>0</v>
      </c>
      <c r="Q23" s="200" t="e">
        <f t="shared" si="16"/>
        <v>#REF!</v>
      </c>
      <c r="R23" s="200">
        <f t="shared" si="17"/>
        <v>0</v>
      </c>
      <c r="S23" s="200">
        <f t="shared" si="18"/>
        <v>0</v>
      </c>
      <c r="T23" s="200">
        <f t="shared" si="19"/>
        <v>0</v>
      </c>
      <c r="U23" s="688">
        <f t="shared" si="20"/>
        <v>0</v>
      </c>
      <c r="V23" s="200">
        <f t="shared" si="21"/>
        <v>0</v>
      </c>
      <c r="W23" s="689"/>
    </row>
    <row r="24" spans="1:23" s="236" customFormat="1" ht="24.95" hidden="1" customHeight="1" outlineLevel="1">
      <c r="A24" s="239"/>
      <c r="B24" s="239" t="s">
        <v>394</v>
      </c>
      <c r="C24" s="240">
        <v>8</v>
      </c>
      <c r="D24" s="690"/>
      <c r="E24" s="240"/>
      <c r="F24" s="836">
        <v>1</v>
      </c>
      <c r="G24" s="239">
        <v>3</v>
      </c>
      <c r="H24" s="203">
        <f>(1910/200)+1</f>
        <v>10.55</v>
      </c>
      <c r="I24" s="234"/>
      <c r="J24" s="234"/>
      <c r="K24" s="234">
        <v>820</v>
      </c>
      <c r="L24" s="234"/>
      <c r="M24" s="234"/>
      <c r="N24" s="235" t="e">
        <f>(((I24+J24+K24+L24+M24)-C24*#REF!*2)/1000)</f>
        <v>#REF!</v>
      </c>
      <c r="O24" s="235"/>
      <c r="P24" s="200" t="e">
        <f t="shared" si="15"/>
        <v>#REF!</v>
      </c>
      <c r="Q24" s="200">
        <f t="shared" si="16"/>
        <v>0</v>
      </c>
      <c r="R24" s="200">
        <f t="shared" si="17"/>
        <v>0</v>
      </c>
      <c r="S24" s="200">
        <f t="shared" si="18"/>
        <v>0</v>
      </c>
      <c r="T24" s="200">
        <f t="shared" si="19"/>
        <v>0</v>
      </c>
      <c r="U24" s="688">
        <f t="shared" si="20"/>
        <v>0</v>
      </c>
      <c r="V24" s="200">
        <f t="shared" si="21"/>
        <v>0</v>
      </c>
      <c r="W24" s="689"/>
    </row>
    <row r="25" spans="1:23" s="236" customFormat="1" ht="24.95" hidden="1" customHeight="1" outlineLevel="1">
      <c r="A25" s="239">
        <v>6</v>
      </c>
      <c r="B25" s="239" t="s">
        <v>392</v>
      </c>
      <c r="C25" s="240">
        <v>10</v>
      </c>
      <c r="D25" s="690"/>
      <c r="E25" s="240"/>
      <c r="F25" s="836">
        <v>1</v>
      </c>
      <c r="G25" s="239">
        <v>1</v>
      </c>
      <c r="H25" s="203">
        <v>2</v>
      </c>
      <c r="I25" s="241">
        <v>100</v>
      </c>
      <c r="J25" s="234"/>
      <c r="K25" s="234">
        <v>2510</v>
      </c>
      <c r="L25" s="234"/>
      <c r="M25" s="241">
        <v>100</v>
      </c>
      <c r="N25" s="235" t="e">
        <f>(((I25+J25+K25+L25+M25)-C25*#REF!*2)/1000)</f>
        <v>#REF!</v>
      </c>
      <c r="O25" s="235"/>
      <c r="P25" s="200">
        <f t="shared" si="15"/>
        <v>0</v>
      </c>
      <c r="Q25" s="200" t="e">
        <f t="shared" si="16"/>
        <v>#REF!</v>
      </c>
      <c r="R25" s="200">
        <f t="shared" si="17"/>
        <v>0</v>
      </c>
      <c r="S25" s="200">
        <f t="shared" si="18"/>
        <v>0</v>
      </c>
      <c r="T25" s="200">
        <f t="shared" si="19"/>
        <v>0</v>
      </c>
      <c r="U25" s="688">
        <f t="shared" si="20"/>
        <v>0</v>
      </c>
      <c r="V25" s="200">
        <f t="shared" si="21"/>
        <v>0</v>
      </c>
      <c r="W25" s="689"/>
    </row>
    <row r="26" spans="1:23" s="236" customFormat="1" ht="24.95" hidden="1" customHeight="1" outlineLevel="1">
      <c r="A26" s="239"/>
      <c r="B26" s="239" t="s">
        <v>393</v>
      </c>
      <c r="C26" s="240">
        <v>10</v>
      </c>
      <c r="D26" s="690"/>
      <c r="E26" s="240"/>
      <c r="F26" s="836">
        <v>1</v>
      </c>
      <c r="G26" s="239">
        <v>1</v>
      </c>
      <c r="H26" s="203">
        <v>2</v>
      </c>
      <c r="I26" s="241">
        <v>100</v>
      </c>
      <c r="J26" s="234"/>
      <c r="K26" s="234">
        <v>2510</v>
      </c>
      <c r="L26" s="234"/>
      <c r="M26" s="241">
        <v>100</v>
      </c>
      <c r="N26" s="235" t="e">
        <f>(((I26+J26+K26+L26+M26)-C26*#REF!*2)/1000)</f>
        <v>#REF!</v>
      </c>
      <c r="O26" s="235"/>
      <c r="P26" s="200">
        <f t="shared" si="15"/>
        <v>0</v>
      </c>
      <c r="Q26" s="200" t="e">
        <f t="shared" si="16"/>
        <v>#REF!</v>
      </c>
      <c r="R26" s="200">
        <f t="shared" si="17"/>
        <v>0</v>
      </c>
      <c r="S26" s="200">
        <f t="shared" si="18"/>
        <v>0</v>
      </c>
      <c r="T26" s="200">
        <f t="shared" si="19"/>
        <v>0</v>
      </c>
      <c r="U26" s="688">
        <f t="shared" si="20"/>
        <v>0</v>
      </c>
      <c r="V26" s="200">
        <f t="shared" si="21"/>
        <v>0</v>
      </c>
      <c r="W26" s="689"/>
    </row>
    <row r="27" spans="1:23" s="236" customFormat="1" ht="24.95" hidden="1" customHeight="1" outlineLevel="1">
      <c r="A27" s="239"/>
      <c r="B27" s="239" t="s">
        <v>394</v>
      </c>
      <c r="C27" s="240">
        <v>8</v>
      </c>
      <c r="D27" s="690"/>
      <c r="E27" s="240"/>
      <c r="F27" s="836">
        <v>1</v>
      </c>
      <c r="G27" s="239">
        <v>1</v>
      </c>
      <c r="H27" s="203">
        <f>(2510/200)+1</f>
        <v>13.55</v>
      </c>
      <c r="I27" s="234"/>
      <c r="J27" s="234"/>
      <c r="K27" s="234">
        <v>820</v>
      </c>
      <c r="L27" s="234"/>
      <c r="M27" s="234"/>
      <c r="N27" s="235" t="e">
        <f>(((I27+J27+K27+L27+M27)-C27*#REF!*2)/1000)</f>
        <v>#REF!</v>
      </c>
      <c r="O27" s="235"/>
      <c r="P27" s="200" t="e">
        <f t="shared" si="15"/>
        <v>#REF!</v>
      </c>
      <c r="Q27" s="200">
        <f t="shared" si="16"/>
        <v>0</v>
      </c>
      <c r="R27" s="200">
        <f t="shared" si="17"/>
        <v>0</v>
      </c>
      <c r="S27" s="200">
        <f t="shared" si="18"/>
        <v>0</v>
      </c>
      <c r="T27" s="200">
        <f t="shared" si="19"/>
        <v>0</v>
      </c>
      <c r="U27" s="688">
        <f t="shared" si="20"/>
        <v>0</v>
      </c>
      <c r="V27" s="200">
        <f t="shared" si="21"/>
        <v>0</v>
      </c>
      <c r="W27" s="689"/>
    </row>
    <row r="28" spans="1:23" s="236" customFormat="1" ht="24.95" hidden="1" customHeight="1" outlineLevel="1">
      <c r="A28" s="239">
        <v>7</v>
      </c>
      <c r="B28" s="239" t="s">
        <v>392</v>
      </c>
      <c r="C28" s="240">
        <v>10</v>
      </c>
      <c r="D28" s="690"/>
      <c r="E28" s="240"/>
      <c r="F28" s="836">
        <v>1</v>
      </c>
      <c r="G28" s="239">
        <v>1</v>
      </c>
      <c r="H28" s="203">
        <v>2</v>
      </c>
      <c r="I28" s="241">
        <v>100</v>
      </c>
      <c r="J28" s="234"/>
      <c r="K28" s="234">
        <v>1380</v>
      </c>
      <c r="L28" s="234"/>
      <c r="M28" s="241">
        <v>100</v>
      </c>
      <c r="N28" s="235" t="e">
        <f>(((I28+J28+K28+L28+M28)-C28*#REF!*2)/1000)</f>
        <v>#REF!</v>
      </c>
      <c r="O28" s="235"/>
      <c r="P28" s="200">
        <f t="shared" si="15"/>
        <v>0</v>
      </c>
      <c r="Q28" s="200" t="e">
        <f t="shared" si="16"/>
        <v>#REF!</v>
      </c>
      <c r="R28" s="200">
        <f t="shared" si="17"/>
        <v>0</v>
      </c>
      <c r="S28" s="200">
        <f t="shared" si="18"/>
        <v>0</v>
      </c>
      <c r="T28" s="200">
        <f t="shared" si="19"/>
        <v>0</v>
      </c>
      <c r="U28" s="688">
        <f t="shared" si="20"/>
        <v>0</v>
      </c>
      <c r="V28" s="200">
        <f t="shared" si="21"/>
        <v>0</v>
      </c>
      <c r="W28" s="689"/>
    </row>
    <row r="29" spans="1:23" s="236" customFormat="1" ht="24.95" hidden="1" customHeight="1" outlineLevel="1">
      <c r="A29" s="239"/>
      <c r="B29" s="239" t="s">
        <v>393</v>
      </c>
      <c r="C29" s="240">
        <v>10</v>
      </c>
      <c r="D29" s="690"/>
      <c r="E29" s="240"/>
      <c r="F29" s="836">
        <v>1</v>
      </c>
      <c r="G29" s="239">
        <v>1</v>
      </c>
      <c r="H29" s="203">
        <v>2</v>
      </c>
      <c r="I29" s="241">
        <v>100</v>
      </c>
      <c r="J29" s="234"/>
      <c r="K29" s="234">
        <v>1380</v>
      </c>
      <c r="L29" s="234"/>
      <c r="M29" s="241">
        <v>100</v>
      </c>
      <c r="N29" s="235" t="e">
        <f>(((I29+J29+K29+L29+M29)-C29*#REF!*2)/1000)</f>
        <v>#REF!</v>
      </c>
      <c r="O29" s="235"/>
      <c r="P29" s="200">
        <f t="shared" si="15"/>
        <v>0</v>
      </c>
      <c r="Q29" s="200" t="e">
        <f t="shared" si="16"/>
        <v>#REF!</v>
      </c>
      <c r="R29" s="200">
        <f t="shared" si="17"/>
        <v>0</v>
      </c>
      <c r="S29" s="200">
        <f t="shared" si="18"/>
        <v>0</v>
      </c>
      <c r="T29" s="200">
        <f t="shared" si="19"/>
        <v>0</v>
      </c>
      <c r="U29" s="688">
        <f t="shared" si="20"/>
        <v>0</v>
      </c>
      <c r="V29" s="200">
        <f t="shared" si="21"/>
        <v>0</v>
      </c>
      <c r="W29" s="689"/>
    </row>
    <row r="30" spans="1:23" s="236" customFormat="1" ht="24.95" hidden="1" customHeight="1" outlineLevel="1">
      <c r="A30" s="239"/>
      <c r="B30" s="239" t="s">
        <v>394</v>
      </c>
      <c r="C30" s="240">
        <v>8</v>
      </c>
      <c r="D30" s="690"/>
      <c r="E30" s="240"/>
      <c r="F30" s="836">
        <v>1</v>
      </c>
      <c r="G30" s="239">
        <v>1</v>
      </c>
      <c r="H30" s="203">
        <f>(1430/200)+1</f>
        <v>8.15</v>
      </c>
      <c r="I30" s="234"/>
      <c r="J30" s="234"/>
      <c r="K30" s="234">
        <v>820</v>
      </c>
      <c r="L30" s="234"/>
      <c r="M30" s="234"/>
      <c r="N30" s="235" t="e">
        <f>(((I30+J30+K30+L30+M30)-C30*#REF!*2)/1000)</f>
        <v>#REF!</v>
      </c>
      <c r="O30" s="235"/>
      <c r="P30" s="200" t="e">
        <f t="shared" si="15"/>
        <v>#REF!</v>
      </c>
      <c r="Q30" s="200">
        <f t="shared" si="16"/>
        <v>0</v>
      </c>
      <c r="R30" s="200">
        <f t="shared" si="17"/>
        <v>0</v>
      </c>
      <c r="S30" s="200">
        <f t="shared" si="18"/>
        <v>0</v>
      </c>
      <c r="T30" s="200">
        <f t="shared" si="19"/>
        <v>0</v>
      </c>
      <c r="U30" s="688">
        <f t="shared" si="20"/>
        <v>0</v>
      </c>
      <c r="V30" s="200">
        <f t="shared" si="21"/>
        <v>0</v>
      </c>
      <c r="W30" s="689"/>
    </row>
    <row r="31" spans="1:23" s="236" customFormat="1" ht="24.95" hidden="1" customHeight="1" outlineLevel="1">
      <c r="A31" s="239">
        <v>8</v>
      </c>
      <c r="B31" s="239" t="s">
        <v>392</v>
      </c>
      <c r="C31" s="240">
        <v>10</v>
      </c>
      <c r="D31" s="690"/>
      <c r="E31" s="240"/>
      <c r="F31" s="836">
        <v>1</v>
      </c>
      <c r="G31" s="239">
        <v>1</v>
      </c>
      <c r="H31" s="203">
        <v>2</v>
      </c>
      <c r="I31" s="241">
        <v>100</v>
      </c>
      <c r="J31" s="234"/>
      <c r="K31" s="241">
        <v>5940</v>
      </c>
      <c r="L31" s="234"/>
      <c r="M31" s="241">
        <v>100</v>
      </c>
      <c r="N31" s="235" t="e">
        <f>(((I31+J31+K31+L31+M31)-C31*#REF!*2)/1000)</f>
        <v>#REF!</v>
      </c>
      <c r="O31" s="235"/>
      <c r="P31" s="200">
        <f t="shared" si="15"/>
        <v>0</v>
      </c>
      <c r="Q31" s="200" t="e">
        <f t="shared" si="16"/>
        <v>#REF!</v>
      </c>
      <c r="R31" s="200">
        <f t="shared" si="17"/>
        <v>0</v>
      </c>
      <c r="S31" s="200">
        <f t="shared" si="18"/>
        <v>0</v>
      </c>
      <c r="T31" s="200">
        <f t="shared" si="19"/>
        <v>0</v>
      </c>
      <c r="U31" s="688">
        <f t="shared" si="20"/>
        <v>0</v>
      </c>
      <c r="V31" s="200">
        <f t="shared" si="21"/>
        <v>0</v>
      </c>
      <c r="W31" s="689"/>
    </row>
    <row r="32" spans="1:23" s="236" customFormat="1" ht="24.95" hidden="1" customHeight="1" outlineLevel="1">
      <c r="A32" s="239"/>
      <c r="B32" s="239" t="s">
        <v>393</v>
      </c>
      <c r="C32" s="240">
        <v>10</v>
      </c>
      <c r="D32" s="690"/>
      <c r="E32" s="240"/>
      <c r="F32" s="836">
        <v>1</v>
      </c>
      <c r="G32" s="239">
        <v>1</v>
      </c>
      <c r="H32" s="203">
        <v>2</v>
      </c>
      <c r="I32" s="241">
        <v>100</v>
      </c>
      <c r="J32" s="234"/>
      <c r="K32" s="241">
        <v>5940</v>
      </c>
      <c r="L32" s="234"/>
      <c r="M32" s="241">
        <v>100</v>
      </c>
      <c r="N32" s="235" t="e">
        <f>(((I32+J32+K32+L32+M32)-C32*#REF!*2)/1000)</f>
        <v>#REF!</v>
      </c>
      <c r="O32" s="235"/>
      <c r="P32" s="200">
        <f t="shared" si="15"/>
        <v>0</v>
      </c>
      <c r="Q32" s="200" t="e">
        <f t="shared" si="16"/>
        <v>#REF!</v>
      </c>
      <c r="R32" s="200">
        <f t="shared" si="17"/>
        <v>0</v>
      </c>
      <c r="S32" s="200">
        <f t="shared" si="18"/>
        <v>0</v>
      </c>
      <c r="T32" s="200">
        <f t="shared" si="19"/>
        <v>0</v>
      </c>
      <c r="U32" s="688">
        <f t="shared" si="20"/>
        <v>0</v>
      </c>
      <c r="V32" s="200">
        <f t="shared" si="21"/>
        <v>0</v>
      </c>
      <c r="W32" s="689"/>
    </row>
    <row r="33" spans="1:23" s="236" customFormat="1" ht="24.95" hidden="1" customHeight="1" outlineLevel="1">
      <c r="A33" s="239"/>
      <c r="B33" s="239" t="s">
        <v>394</v>
      </c>
      <c r="C33" s="240">
        <v>8</v>
      </c>
      <c r="D33" s="690"/>
      <c r="E33" s="240"/>
      <c r="F33" s="836">
        <v>1</v>
      </c>
      <c r="G33" s="239">
        <v>1</v>
      </c>
      <c r="H33" s="203">
        <f>(6010/200)+1</f>
        <v>31.05</v>
      </c>
      <c r="I33" s="234"/>
      <c r="J33" s="234"/>
      <c r="K33" s="234">
        <v>820</v>
      </c>
      <c r="L33" s="234"/>
      <c r="M33" s="234"/>
      <c r="N33" s="235" t="e">
        <f>(((I33+J33+K33+L33+M33)-C33*#REF!*2)/1000)</f>
        <v>#REF!</v>
      </c>
      <c r="O33" s="235"/>
      <c r="P33" s="200" t="e">
        <f t="shared" si="15"/>
        <v>#REF!</v>
      </c>
      <c r="Q33" s="200">
        <f t="shared" si="16"/>
        <v>0</v>
      </c>
      <c r="R33" s="200">
        <f t="shared" si="17"/>
        <v>0</v>
      </c>
      <c r="S33" s="200">
        <f t="shared" si="18"/>
        <v>0</v>
      </c>
      <c r="T33" s="200">
        <f t="shared" si="19"/>
        <v>0</v>
      </c>
      <c r="U33" s="688">
        <f t="shared" si="20"/>
        <v>0</v>
      </c>
      <c r="V33" s="200">
        <f t="shared" si="21"/>
        <v>0</v>
      </c>
      <c r="W33" s="689"/>
    </row>
    <row r="34" spans="1:23" s="236" customFormat="1" ht="24.95" hidden="1" customHeight="1" outlineLevel="1">
      <c r="A34" s="205" t="s">
        <v>395</v>
      </c>
      <c r="B34" s="206" t="s">
        <v>396</v>
      </c>
      <c r="C34" s="240"/>
      <c r="D34" s="690"/>
      <c r="E34" s="240"/>
      <c r="F34" s="836"/>
      <c r="G34" s="239"/>
      <c r="H34" s="203"/>
      <c r="I34" s="234"/>
      <c r="J34" s="234"/>
      <c r="K34" s="234"/>
      <c r="L34" s="234"/>
      <c r="M34" s="234"/>
      <c r="N34" s="235" t="e">
        <f>(((I34+J34+K34+L34+M34)-C34*#REF!*2)/1000)</f>
        <v>#REF!</v>
      </c>
      <c r="O34" s="235"/>
      <c r="P34" s="200">
        <f t="shared" si="15"/>
        <v>0</v>
      </c>
      <c r="Q34" s="200">
        <f t="shared" si="16"/>
        <v>0</v>
      </c>
      <c r="R34" s="200">
        <f t="shared" si="17"/>
        <v>0</v>
      </c>
      <c r="S34" s="200">
        <f t="shared" si="18"/>
        <v>0</v>
      </c>
      <c r="T34" s="200">
        <f t="shared" si="19"/>
        <v>0</v>
      </c>
      <c r="U34" s="688">
        <f t="shared" si="20"/>
        <v>0</v>
      </c>
      <c r="V34" s="200">
        <f t="shared" si="21"/>
        <v>0</v>
      </c>
      <c r="W34" s="689"/>
    </row>
    <row r="35" spans="1:23" s="236" customFormat="1" ht="24.95" hidden="1" customHeight="1" outlineLevel="1">
      <c r="A35" s="239">
        <v>1</v>
      </c>
      <c r="B35" s="239" t="s">
        <v>392</v>
      </c>
      <c r="C35" s="240">
        <v>10</v>
      </c>
      <c r="D35" s="690"/>
      <c r="E35" s="240"/>
      <c r="F35" s="836"/>
      <c r="G35" s="239">
        <v>1</v>
      </c>
      <c r="H35" s="203">
        <v>2</v>
      </c>
      <c r="I35" s="241">
        <v>100</v>
      </c>
      <c r="J35" s="234"/>
      <c r="K35" s="241">
        <v>2920</v>
      </c>
      <c r="L35" s="234"/>
      <c r="M35" s="241">
        <v>100</v>
      </c>
      <c r="N35" s="235" t="e">
        <f>(((I35+J35+K35+L35+M35)-C35*#REF!*2)/1000)</f>
        <v>#REF!</v>
      </c>
      <c r="O35" s="235"/>
      <c r="P35" s="200">
        <f t="shared" si="15"/>
        <v>0</v>
      </c>
      <c r="Q35" s="200" t="e">
        <f t="shared" si="16"/>
        <v>#REF!</v>
      </c>
      <c r="R35" s="200">
        <f t="shared" si="17"/>
        <v>0</v>
      </c>
      <c r="S35" s="200">
        <f t="shared" si="18"/>
        <v>0</v>
      </c>
      <c r="T35" s="200">
        <f t="shared" si="19"/>
        <v>0</v>
      </c>
      <c r="U35" s="688">
        <f t="shared" si="20"/>
        <v>0</v>
      </c>
      <c r="V35" s="200">
        <f t="shared" si="21"/>
        <v>0</v>
      </c>
      <c r="W35" s="689"/>
    </row>
    <row r="36" spans="1:23" s="236" customFormat="1" ht="24.95" hidden="1" customHeight="1" outlineLevel="1">
      <c r="A36" s="239"/>
      <c r="B36" s="239" t="s">
        <v>393</v>
      </c>
      <c r="C36" s="240">
        <v>10</v>
      </c>
      <c r="D36" s="690"/>
      <c r="E36" s="240"/>
      <c r="F36" s="836"/>
      <c r="G36" s="239">
        <v>1</v>
      </c>
      <c r="H36" s="203">
        <v>2</v>
      </c>
      <c r="I36" s="241">
        <v>100</v>
      </c>
      <c r="J36" s="234"/>
      <c r="K36" s="241">
        <v>2920</v>
      </c>
      <c r="L36" s="234"/>
      <c r="M36" s="241">
        <v>100</v>
      </c>
      <c r="N36" s="235" t="e">
        <f>(((I36+J36+K36+L36+M36)-C36*#REF!*2)/1000)</f>
        <v>#REF!</v>
      </c>
      <c r="O36" s="235"/>
      <c r="P36" s="200">
        <f t="shared" si="15"/>
        <v>0</v>
      </c>
      <c r="Q36" s="200" t="e">
        <f t="shared" si="16"/>
        <v>#REF!</v>
      </c>
      <c r="R36" s="200">
        <f t="shared" si="17"/>
        <v>0</v>
      </c>
      <c r="S36" s="200">
        <f t="shared" si="18"/>
        <v>0</v>
      </c>
      <c r="T36" s="200">
        <f t="shared" si="19"/>
        <v>0</v>
      </c>
      <c r="U36" s="688">
        <f t="shared" si="20"/>
        <v>0</v>
      </c>
      <c r="V36" s="200">
        <f t="shared" si="21"/>
        <v>0</v>
      </c>
      <c r="W36" s="689"/>
    </row>
    <row r="37" spans="1:23" s="236" customFormat="1" ht="24.95" hidden="1" customHeight="1" outlineLevel="1">
      <c r="A37" s="239"/>
      <c r="B37" s="239" t="s">
        <v>394</v>
      </c>
      <c r="C37" s="240">
        <v>8</v>
      </c>
      <c r="D37" s="690"/>
      <c r="E37" s="240"/>
      <c r="F37" s="836"/>
      <c r="G37" s="239">
        <v>1</v>
      </c>
      <c r="H37" s="203">
        <f>(2925/200)+1</f>
        <v>15.625</v>
      </c>
      <c r="I37" s="234"/>
      <c r="J37" s="234"/>
      <c r="K37" s="234">
        <v>820</v>
      </c>
      <c r="L37" s="234"/>
      <c r="M37" s="234"/>
      <c r="N37" s="235" t="e">
        <f>(((I37+J37+K37+L37+M37)-C37*#REF!*2)/1000)</f>
        <v>#REF!</v>
      </c>
      <c r="O37" s="235"/>
      <c r="P37" s="200" t="e">
        <f t="shared" si="15"/>
        <v>#REF!</v>
      </c>
      <c r="Q37" s="200">
        <f t="shared" si="16"/>
        <v>0</v>
      </c>
      <c r="R37" s="200">
        <f t="shared" si="17"/>
        <v>0</v>
      </c>
      <c r="S37" s="200">
        <f t="shared" si="18"/>
        <v>0</v>
      </c>
      <c r="T37" s="200">
        <f t="shared" si="19"/>
        <v>0</v>
      </c>
      <c r="U37" s="688">
        <f t="shared" si="20"/>
        <v>0</v>
      </c>
      <c r="V37" s="200">
        <f t="shared" si="21"/>
        <v>0</v>
      </c>
      <c r="W37" s="689"/>
    </row>
    <row r="38" spans="1:23" s="236" customFormat="1" ht="24.95" hidden="1" customHeight="1" outlineLevel="1">
      <c r="A38" s="239">
        <v>2</v>
      </c>
      <c r="B38" s="239" t="s">
        <v>392</v>
      </c>
      <c r="C38" s="240">
        <v>10</v>
      </c>
      <c r="D38" s="690"/>
      <c r="E38" s="240"/>
      <c r="F38" s="836"/>
      <c r="G38" s="239">
        <v>3</v>
      </c>
      <c r="H38" s="203">
        <v>2</v>
      </c>
      <c r="I38" s="241">
        <v>100</v>
      </c>
      <c r="J38" s="234"/>
      <c r="K38" s="234">
        <v>1095</v>
      </c>
      <c r="L38" s="234"/>
      <c r="M38" s="241">
        <v>100</v>
      </c>
      <c r="N38" s="235" t="e">
        <f>(((I38+J38+K38+L38+M38)-C38*#REF!*2)/1000)</f>
        <v>#REF!</v>
      </c>
      <c r="O38" s="235"/>
      <c r="P38" s="200">
        <f t="shared" si="15"/>
        <v>0</v>
      </c>
      <c r="Q38" s="200" t="e">
        <f t="shared" si="16"/>
        <v>#REF!</v>
      </c>
      <c r="R38" s="200">
        <f t="shared" si="17"/>
        <v>0</v>
      </c>
      <c r="S38" s="200">
        <f t="shared" si="18"/>
        <v>0</v>
      </c>
      <c r="T38" s="200">
        <f t="shared" si="19"/>
        <v>0</v>
      </c>
      <c r="U38" s="688">
        <f t="shared" si="20"/>
        <v>0</v>
      </c>
      <c r="V38" s="200">
        <f t="shared" si="21"/>
        <v>0</v>
      </c>
      <c r="W38" s="689"/>
    </row>
    <row r="39" spans="1:23" s="236" customFormat="1" ht="24.95" hidden="1" customHeight="1" outlineLevel="1">
      <c r="A39" s="239"/>
      <c r="B39" s="239" t="s">
        <v>393</v>
      </c>
      <c r="C39" s="240">
        <v>10</v>
      </c>
      <c r="D39" s="690"/>
      <c r="E39" s="240"/>
      <c r="F39" s="836"/>
      <c r="G39" s="239">
        <v>3</v>
      </c>
      <c r="H39" s="203">
        <v>2</v>
      </c>
      <c r="I39" s="241">
        <v>100</v>
      </c>
      <c r="J39" s="234"/>
      <c r="K39" s="234">
        <v>1095</v>
      </c>
      <c r="L39" s="234"/>
      <c r="M39" s="241">
        <v>100</v>
      </c>
      <c r="N39" s="235" t="e">
        <f>(((I39+J39+K39+L39+M39)-C39*#REF!*2)/1000)</f>
        <v>#REF!</v>
      </c>
      <c r="O39" s="235"/>
      <c r="P39" s="200">
        <f t="shared" si="15"/>
        <v>0</v>
      </c>
      <c r="Q39" s="200" t="e">
        <f t="shared" si="16"/>
        <v>#REF!</v>
      </c>
      <c r="R39" s="200">
        <f t="shared" si="17"/>
        <v>0</v>
      </c>
      <c r="S39" s="200">
        <f t="shared" si="18"/>
        <v>0</v>
      </c>
      <c r="T39" s="200">
        <f t="shared" si="19"/>
        <v>0</v>
      </c>
      <c r="U39" s="688">
        <f t="shared" si="20"/>
        <v>0</v>
      </c>
      <c r="V39" s="200">
        <f t="shared" si="21"/>
        <v>0</v>
      </c>
      <c r="W39" s="689"/>
    </row>
    <row r="40" spans="1:23" s="236" customFormat="1" ht="24.95" hidden="1" customHeight="1" outlineLevel="1">
      <c r="A40" s="239"/>
      <c r="B40" s="239" t="s">
        <v>394</v>
      </c>
      <c r="C40" s="240">
        <v>8</v>
      </c>
      <c r="D40" s="690"/>
      <c r="E40" s="240"/>
      <c r="F40" s="836"/>
      <c r="G40" s="239">
        <v>3</v>
      </c>
      <c r="H40" s="203">
        <f>(1095/200)+1</f>
        <v>6.4749999999999996</v>
      </c>
      <c r="I40" s="234"/>
      <c r="J40" s="234"/>
      <c r="K40" s="234">
        <v>820</v>
      </c>
      <c r="L40" s="234"/>
      <c r="M40" s="234"/>
      <c r="N40" s="235" t="e">
        <f>(((I40+J40+K40+L40+M40)-C40*#REF!*2)/1000)</f>
        <v>#REF!</v>
      </c>
      <c r="O40" s="235"/>
      <c r="P40" s="200" t="e">
        <f t="shared" si="15"/>
        <v>#REF!</v>
      </c>
      <c r="Q40" s="200">
        <f t="shared" si="16"/>
        <v>0</v>
      </c>
      <c r="R40" s="200">
        <f t="shared" si="17"/>
        <v>0</v>
      </c>
      <c r="S40" s="200">
        <f t="shared" si="18"/>
        <v>0</v>
      </c>
      <c r="T40" s="200">
        <f t="shared" si="19"/>
        <v>0</v>
      </c>
      <c r="U40" s="688">
        <f t="shared" si="20"/>
        <v>0</v>
      </c>
      <c r="V40" s="200">
        <f t="shared" si="21"/>
        <v>0</v>
      </c>
      <c r="W40" s="689"/>
    </row>
    <row r="41" spans="1:23" s="236" customFormat="1" ht="24.95" hidden="1" customHeight="1" outlineLevel="1">
      <c r="A41" s="239">
        <v>3</v>
      </c>
      <c r="B41" s="239" t="s">
        <v>392</v>
      </c>
      <c r="C41" s="240">
        <v>10</v>
      </c>
      <c r="D41" s="690"/>
      <c r="E41" s="240"/>
      <c r="F41" s="836"/>
      <c r="G41" s="239">
        <v>1</v>
      </c>
      <c r="H41" s="203">
        <v>2</v>
      </c>
      <c r="I41" s="241">
        <v>100</v>
      </c>
      <c r="J41" s="234"/>
      <c r="K41" s="234">
        <v>2010</v>
      </c>
      <c r="L41" s="234"/>
      <c r="M41" s="241">
        <v>100</v>
      </c>
      <c r="N41" s="235" t="e">
        <f>(((I41+J41+K41+L41+M41)-C41*#REF!*2)/1000)</f>
        <v>#REF!</v>
      </c>
      <c r="O41" s="235"/>
      <c r="P41" s="200">
        <f t="shared" si="15"/>
        <v>0</v>
      </c>
      <c r="Q41" s="200" t="e">
        <f t="shared" si="16"/>
        <v>#REF!</v>
      </c>
      <c r="R41" s="200">
        <f t="shared" si="17"/>
        <v>0</v>
      </c>
      <c r="S41" s="200">
        <f t="shared" si="18"/>
        <v>0</v>
      </c>
      <c r="T41" s="200">
        <f t="shared" si="19"/>
        <v>0</v>
      </c>
      <c r="U41" s="688">
        <f t="shared" si="20"/>
        <v>0</v>
      </c>
      <c r="V41" s="200">
        <f t="shared" si="21"/>
        <v>0</v>
      </c>
      <c r="W41" s="689"/>
    </row>
    <row r="42" spans="1:23" s="236" customFormat="1" ht="24.95" hidden="1" customHeight="1" outlineLevel="1">
      <c r="A42" s="239"/>
      <c r="B42" s="239" t="s">
        <v>393</v>
      </c>
      <c r="C42" s="240">
        <v>10</v>
      </c>
      <c r="D42" s="690"/>
      <c r="E42" s="240"/>
      <c r="F42" s="836"/>
      <c r="G42" s="239">
        <v>1</v>
      </c>
      <c r="H42" s="203">
        <v>2</v>
      </c>
      <c r="I42" s="241">
        <v>100</v>
      </c>
      <c r="J42" s="234"/>
      <c r="K42" s="234">
        <v>2010</v>
      </c>
      <c r="L42" s="234"/>
      <c r="M42" s="241">
        <v>100</v>
      </c>
      <c r="N42" s="235" t="e">
        <f>(((I42+J42+K42+L42+M42)-C42*#REF!*2)/1000)</f>
        <v>#REF!</v>
      </c>
      <c r="O42" s="235"/>
      <c r="P42" s="200">
        <f t="shared" si="15"/>
        <v>0</v>
      </c>
      <c r="Q42" s="200" t="e">
        <f t="shared" si="16"/>
        <v>#REF!</v>
      </c>
      <c r="R42" s="200">
        <f t="shared" si="17"/>
        <v>0</v>
      </c>
      <c r="S42" s="200">
        <f t="shared" si="18"/>
        <v>0</v>
      </c>
      <c r="T42" s="200">
        <f t="shared" si="19"/>
        <v>0</v>
      </c>
      <c r="U42" s="688">
        <f t="shared" si="20"/>
        <v>0</v>
      </c>
      <c r="V42" s="200">
        <f t="shared" si="21"/>
        <v>0</v>
      </c>
      <c r="W42" s="689"/>
    </row>
    <row r="43" spans="1:23" s="236" customFormat="1" ht="24.95" hidden="1" customHeight="1" outlineLevel="1">
      <c r="A43" s="239"/>
      <c r="B43" s="239" t="s">
        <v>394</v>
      </c>
      <c r="C43" s="240">
        <v>8</v>
      </c>
      <c r="D43" s="690"/>
      <c r="E43" s="240"/>
      <c r="F43" s="836"/>
      <c r="G43" s="239">
        <v>1</v>
      </c>
      <c r="H43" s="203">
        <f>(2010/200)+1</f>
        <v>11.05</v>
      </c>
      <c r="I43" s="234"/>
      <c r="J43" s="234"/>
      <c r="K43" s="234">
        <v>820</v>
      </c>
      <c r="L43" s="234"/>
      <c r="M43" s="234"/>
      <c r="N43" s="235" t="e">
        <f>(((I43+J43+K43+L43+M43)-C43*#REF!*2)/1000)</f>
        <v>#REF!</v>
      </c>
      <c r="O43" s="235"/>
      <c r="P43" s="200" t="e">
        <f t="shared" si="15"/>
        <v>#REF!</v>
      </c>
      <c r="Q43" s="200">
        <f t="shared" si="16"/>
        <v>0</v>
      </c>
      <c r="R43" s="200">
        <f t="shared" si="17"/>
        <v>0</v>
      </c>
      <c r="S43" s="200">
        <f t="shared" si="18"/>
        <v>0</v>
      </c>
      <c r="T43" s="200">
        <f t="shared" si="19"/>
        <v>0</v>
      </c>
      <c r="U43" s="688">
        <f t="shared" si="20"/>
        <v>0</v>
      </c>
      <c r="V43" s="200">
        <f t="shared" si="21"/>
        <v>0</v>
      </c>
      <c r="W43" s="689"/>
    </row>
    <row r="44" spans="1:23" s="236" customFormat="1" ht="24.95" hidden="1" customHeight="1" outlineLevel="1">
      <c r="A44" s="239">
        <v>4</v>
      </c>
      <c r="B44" s="239" t="s">
        <v>392</v>
      </c>
      <c r="C44" s="240">
        <v>10</v>
      </c>
      <c r="D44" s="690"/>
      <c r="E44" s="240"/>
      <c r="F44" s="836"/>
      <c r="G44" s="239">
        <v>2</v>
      </c>
      <c r="H44" s="203">
        <v>2</v>
      </c>
      <c r="I44" s="241">
        <v>100</v>
      </c>
      <c r="J44" s="234"/>
      <c r="K44" s="241">
        <v>1025</v>
      </c>
      <c r="L44" s="234"/>
      <c r="M44" s="241">
        <v>100</v>
      </c>
      <c r="N44" s="235" t="e">
        <f>(((I44+J44+K44+L44+M44)-C44*#REF!*2)/1000)</f>
        <v>#REF!</v>
      </c>
      <c r="O44" s="235"/>
      <c r="P44" s="200">
        <f t="shared" si="15"/>
        <v>0</v>
      </c>
      <c r="Q44" s="200" t="e">
        <f t="shared" si="16"/>
        <v>#REF!</v>
      </c>
      <c r="R44" s="200">
        <f t="shared" si="17"/>
        <v>0</v>
      </c>
      <c r="S44" s="200">
        <f t="shared" si="18"/>
        <v>0</v>
      </c>
      <c r="T44" s="200">
        <f t="shared" si="19"/>
        <v>0</v>
      </c>
      <c r="U44" s="688">
        <f t="shared" si="20"/>
        <v>0</v>
      </c>
      <c r="V44" s="200">
        <f t="shared" si="21"/>
        <v>0</v>
      </c>
      <c r="W44" s="689"/>
    </row>
    <row r="45" spans="1:23" s="236" customFormat="1" ht="24.95" hidden="1" customHeight="1" outlineLevel="1">
      <c r="A45" s="239"/>
      <c r="B45" s="239" t="s">
        <v>393</v>
      </c>
      <c r="C45" s="240">
        <v>10</v>
      </c>
      <c r="D45" s="690"/>
      <c r="E45" s="240"/>
      <c r="F45" s="836"/>
      <c r="G45" s="239">
        <v>2</v>
      </c>
      <c r="H45" s="203">
        <v>2</v>
      </c>
      <c r="I45" s="241">
        <v>100</v>
      </c>
      <c r="J45" s="234"/>
      <c r="K45" s="241">
        <v>1025</v>
      </c>
      <c r="L45" s="234"/>
      <c r="M45" s="241">
        <v>100</v>
      </c>
      <c r="N45" s="235" t="e">
        <f>(((I45+J45+K45+L45+M45)-C45*#REF!*2)/1000)</f>
        <v>#REF!</v>
      </c>
      <c r="O45" s="235"/>
      <c r="P45" s="200">
        <f t="shared" si="15"/>
        <v>0</v>
      </c>
      <c r="Q45" s="200" t="e">
        <f t="shared" si="16"/>
        <v>#REF!</v>
      </c>
      <c r="R45" s="200">
        <f t="shared" si="17"/>
        <v>0</v>
      </c>
      <c r="S45" s="200">
        <f t="shared" si="18"/>
        <v>0</v>
      </c>
      <c r="T45" s="200">
        <f t="shared" si="19"/>
        <v>0</v>
      </c>
      <c r="U45" s="688">
        <f t="shared" si="20"/>
        <v>0</v>
      </c>
      <c r="V45" s="200">
        <f t="shared" si="21"/>
        <v>0</v>
      </c>
      <c r="W45" s="689"/>
    </row>
    <row r="46" spans="1:23" s="236" customFormat="1" ht="24.95" hidden="1" customHeight="1" outlineLevel="1">
      <c r="A46" s="239"/>
      <c r="B46" s="239" t="s">
        <v>394</v>
      </c>
      <c r="C46" s="240">
        <v>8</v>
      </c>
      <c r="D46" s="690"/>
      <c r="E46" s="240"/>
      <c r="F46" s="836"/>
      <c r="G46" s="239">
        <v>2</v>
      </c>
      <c r="H46" s="203">
        <f>(1145/200)+1</f>
        <v>6.7249999999999996</v>
      </c>
      <c r="I46" s="234"/>
      <c r="J46" s="234"/>
      <c r="K46" s="234">
        <v>820</v>
      </c>
      <c r="L46" s="234"/>
      <c r="M46" s="234"/>
      <c r="N46" s="235" t="e">
        <f>(((I46+J46+K46+L46+M46)-C46*#REF!*2)/1000)</f>
        <v>#REF!</v>
      </c>
      <c r="O46" s="235"/>
      <c r="P46" s="200" t="e">
        <f t="shared" si="15"/>
        <v>#REF!</v>
      </c>
      <c r="Q46" s="200">
        <f t="shared" si="16"/>
        <v>0</v>
      </c>
      <c r="R46" s="200">
        <f t="shared" si="17"/>
        <v>0</v>
      </c>
      <c r="S46" s="200">
        <f t="shared" si="18"/>
        <v>0</v>
      </c>
      <c r="T46" s="200">
        <f t="shared" si="19"/>
        <v>0</v>
      </c>
      <c r="U46" s="688">
        <f t="shared" si="20"/>
        <v>0</v>
      </c>
      <c r="V46" s="200">
        <f t="shared" si="21"/>
        <v>0</v>
      </c>
      <c r="W46" s="689"/>
    </row>
    <row r="47" spans="1:23" s="236" customFormat="1" ht="24.95" hidden="1" customHeight="1" outlineLevel="1">
      <c r="A47" s="239">
        <v>5</v>
      </c>
      <c r="B47" s="239" t="s">
        <v>392</v>
      </c>
      <c r="C47" s="240">
        <v>10</v>
      </c>
      <c r="D47" s="690"/>
      <c r="E47" s="240"/>
      <c r="F47" s="836"/>
      <c r="G47" s="239">
        <v>2</v>
      </c>
      <c r="H47" s="203">
        <v>2</v>
      </c>
      <c r="I47" s="241">
        <v>100</v>
      </c>
      <c r="J47" s="234"/>
      <c r="K47" s="234">
        <v>2695</v>
      </c>
      <c r="L47" s="234"/>
      <c r="M47" s="241">
        <v>100</v>
      </c>
      <c r="N47" s="235" t="e">
        <f>(((I47+J47+K47+L47+M47)-C47*#REF!*2)/1000)</f>
        <v>#REF!</v>
      </c>
      <c r="O47" s="235"/>
      <c r="P47" s="200">
        <f t="shared" si="15"/>
        <v>0</v>
      </c>
      <c r="Q47" s="200" t="e">
        <f t="shared" si="16"/>
        <v>#REF!</v>
      </c>
      <c r="R47" s="200">
        <f t="shared" si="17"/>
        <v>0</v>
      </c>
      <c r="S47" s="200">
        <f t="shared" si="18"/>
        <v>0</v>
      </c>
      <c r="T47" s="200">
        <f t="shared" si="19"/>
        <v>0</v>
      </c>
      <c r="U47" s="688">
        <f t="shared" si="20"/>
        <v>0</v>
      </c>
      <c r="V47" s="200">
        <f t="shared" si="21"/>
        <v>0</v>
      </c>
      <c r="W47" s="689"/>
    </row>
    <row r="48" spans="1:23" s="236" customFormat="1" ht="24.95" hidden="1" customHeight="1" outlineLevel="1">
      <c r="A48" s="239"/>
      <c r="B48" s="239" t="s">
        <v>393</v>
      </c>
      <c r="C48" s="240">
        <v>10</v>
      </c>
      <c r="D48" s="690"/>
      <c r="E48" s="240"/>
      <c r="F48" s="836"/>
      <c r="G48" s="239">
        <v>2</v>
      </c>
      <c r="H48" s="203">
        <v>2</v>
      </c>
      <c r="I48" s="241">
        <v>100</v>
      </c>
      <c r="J48" s="234"/>
      <c r="K48" s="234">
        <v>2695</v>
      </c>
      <c r="L48" s="234"/>
      <c r="M48" s="241">
        <v>100</v>
      </c>
      <c r="N48" s="235" t="e">
        <f>(((I48+J48+K48+L48+M48)-C48*#REF!*2)/1000)</f>
        <v>#REF!</v>
      </c>
      <c r="O48" s="235"/>
      <c r="P48" s="200">
        <f t="shared" si="15"/>
        <v>0</v>
      </c>
      <c r="Q48" s="200" t="e">
        <f t="shared" si="16"/>
        <v>#REF!</v>
      </c>
      <c r="R48" s="200">
        <f t="shared" si="17"/>
        <v>0</v>
      </c>
      <c r="S48" s="200">
        <f t="shared" si="18"/>
        <v>0</v>
      </c>
      <c r="T48" s="200">
        <f t="shared" si="19"/>
        <v>0</v>
      </c>
      <c r="U48" s="688">
        <f t="shared" si="20"/>
        <v>0</v>
      </c>
      <c r="V48" s="200">
        <f t="shared" si="21"/>
        <v>0</v>
      </c>
      <c r="W48" s="689"/>
    </row>
    <row r="49" spans="1:23" s="236" customFormat="1" ht="24.95" hidden="1" customHeight="1" outlineLevel="1">
      <c r="A49" s="239"/>
      <c r="B49" s="239" t="s">
        <v>394</v>
      </c>
      <c r="C49" s="240">
        <v>8</v>
      </c>
      <c r="D49" s="690"/>
      <c r="E49" s="240"/>
      <c r="F49" s="836"/>
      <c r="G49" s="239">
        <v>2</v>
      </c>
      <c r="H49" s="203">
        <f>(2695/200)+1</f>
        <v>14.475</v>
      </c>
      <c r="I49" s="234"/>
      <c r="J49" s="234"/>
      <c r="K49" s="234">
        <v>820</v>
      </c>
      <c r="L49" s="234"/>
      <c r="M49" s="234"/>
      <c r="N49" s="235" t="e">
        <f>(((I49+J49+K49+L49+M49)-C49*#REF!*2)/1000)</f>
        <v>#REF!</v>
      </c>
      <c r="O49" s="235"/>
      <c r="P49" s="200" t="e">
        <f t="shared" si="15"/>
        <v>#REF!</v>
      </c>
      <c r="Q49" s="200">
        <f t="shared" si="16"/>
        <v>0</v>
      </c>
      <c r="R49" s="200">
        <f t="shared" si="17"/>
        <v>0</v>
      </c>
      <c r="S49" s="200">
        <f t="shared" si="18"/>
        <v>0</v>
      </c>
      <c r="T49" s="200">
        <f t="shared" si="19"/>
        <v>0</v>
      </c>
      <c r="U49" s="688">
        <f t="shared" si="20"/>
        <v>0</v>
      </c>
      <c r="V49" s="200">
        <f t="shared" si="21"/>
        <v>0</v>
      </c>
      <c r="W49" s="689"/>
    </row>
    <row r="50" spans="1:23" s="236" customFormat="1" ht="24.95" hidden="1" customHeight="1" outlineLevel="1">
      <c r="A50" s="239">
        <v>6</v>
      </c>
      <c r="B50" s="239" t="s">
        <v>392</v>
      </c>
      <c r="C50" s="240">
        <v>10</v>
      </c>
      <c r="D50" s="690"/>
      <c r="E50" s="240"/>
      <c r="F50" s="836"/>
      <c r="G50" s="239">
        <v>2</v>
      </c>
      <c r="H50" s="203">
        <v>2</v>
      </c>
      <c r="I50" s="241">
        <v>100</v>
      </c>
      <c r="J50" s="234"/>
      <c r="K50" s="234">
        <v>2695</v>
      </c>
      <c r="L50" s="234"/>
      <c r="M50" s="241">
        <v>100</v>
      </c>
      <c r="N50" s="235" t="e">
        <f>(((I50+J50+K50+L50+M50)-C50*#REF!*2)/1000)</f>
        <v>#REF!</v>
      </c>
      <c r="O50" s="235"/>
      <c r="P50" s="200">
        <f t="shared" si="15"/>
        <v>0</v>
      </c>
      <c r="Q50" s="200" t="e">
        <f t="shared" si="16"/>
        <v>#REF!</v>
      </c>
      <c r="R50" s="200">
        <f t="shared" si="17"/>
        <v>0</v>
      </c>
      <c r="S50" s="200">
        <f t="shared" si="18"/>
        <v>0</v>
      </c>
      <c r="T50" s="200">
        <f t="shared" si="19"/>
        <v>0</v>
      </c>
      <c r="U50" s="688">
        <f t="shared" si="20"/>
        <v>0</v>
      </c>
      <c r="V50" s="200">
        <f t="shared" si="21"/>
        <v>0</v>
      </c>
      <c r="W50" s="689"/>
    </row>
    <row r="51" spans="1:23" s="236" customFormat="1" ht="24.95" hidden="1" customHeight="1" outlineLevel="1">
      <c r="A51" s="239"/>
      <c r="B51" s="239" t="s">
        <v>393</v>
      </c>
      <c r="C51" s="240">
        <v>10</v>
      </c>
      <c r="D51" s="690"/>
      <c r="E51" s="240"/>
      <c r="F51" s="836"/>
      <c r="G51" s="239">
        <v>2</v>
      </c>
      <c r="H51" s="203">
        <v>2</v>
      </c>
      <c r="I51" s="241">
        <v>100</v>
      </c>
      <c r="J51" s="234"/>
      <c r="K51" s="234">
        <v>2695</v>
      </c>
      <c r="L51" s="234"/>
      <c r="M51" s="241">
        <v>100</v>
      </c>
      <c r="N51" s="235" t="e">
        <f>(((I51+J51+K51+L51+M51)-C51*#REF!*2)/1000)</f>
        <v>#REF!</v>
      </c>
      <c r="O51" s="235"/>
      <c r="P51" s="200">
        <f t="shared" si="15"/>
        <v>0</v>
      </c>
      <c r="Q51" s="200" t="e">
        <f t="shared" si="16"/>
        <v>#REF!</v>
      </c>
      <c r="R51" s="200">
        <f t="shared" si="17"/>
        <v>0</v>
      </c>
      <c r="S51" s="200">
        <f t="shared" si="18"/>
        <v>0</v>
      </c>
      <c r="T51" s="200">
        <f t="shared" si="19"/>
        <v>0</v>
      </c>
      <c r="U51" s="688">
        <f t="shared" si="20"/>
        <v>0</v>
      </c>
      <c r="V51" s="200">
        <f t="shared" si="21"/>
        <v>0</v>
      </c>
      <c r="W51" s="689"/>
    </row>
    <row r="52" spans="1:23" s="236" customFormat="1" ht="24.95" hidden="1" customHeight="1" outlineLevel="1">
      <c r="A52" s="239"/>
      <c r="B52" s="239" t="s">
        <v>394</v>
      </c>
      <c r="C52" s="240">
        <v>8</v>
      </c>
      <c r="D52" s="690"/>
      <c r="E52" s="240"/>
      <c r="F52" s="836"/>
      <c r="G52" s="239">
        <v>2</v>
      </c>
      <c r="H52" s="203">
        <f>(2695/200)+1</f>
        <v>14.475</v>
      </c>
      <c r="I52" s="234"/>
      <c r="J52" s="234"/>
      <c r="K52" s="234">
        <v>820</v>
      </c>
      <c r="L52" s="234"/>
      <c r="M52" s="234"/>
      <c r="N52" s="235" t="e">
        <f>(((I52+J52+K52+L52+M52)-C52*#REF!*2)/1000)</f>
        <v>#REF!</v>
      </c>
      <c r="O52" s="235"/>
      <c r="P52" s="200" t="e">
        <f t="shared" si="15"/>
        <v>#REF!</v>
      </c>
      <c r="Q52" s="200">
        <f t="shared" si="16"/>
        <v>0</v>
      </c>
      <c r="R52" s="200">
        <f t="shared" si="17"/>
        <v>0</v>
      </c>
      <c r="S52" s="200">
        <f t="shared" si="18"/>
        <v>0</v>
      </c>
      <c r="T52" s="200">
        <f t="shared" si="19"/>
        <v>0</v>
      </c>
      <c r="U52" s="688">
        <f t="shared" si="20"/>
        <v>0</v>
      </c>
      <c r="V52" s="200">
        <f t="shared" si="21"/>
        <v>0</v>
      </c>
      <c r="W52" s="689"/>
    </row>
    <row r="53" spans="1:23" s="236" customFormat="1" ht="24.95" hidden="1" customHeight="1" outlineLevel="1">
      <c r="A53" s="239">
        <v>7</v>
      </c>
      <c r="B53" s="239" t="s">
        <v>392</v>
      </c>
      <c r="C53" s="240">
        <v>10</v>
      </c>
      <c r="D53" s="690"/>
      <c r="E53" s="240"/>
      <c r="F53" s="836"/>
      <c r="G53" s="239">
        <v>2</v>
      </c>
      <c r="H53" s="203">
        <v>2</v>
      </c>
      <c r="I53" s="241">
        <v>100</v>
      </c>
      <c r="J53" s="234"/>
      <c r="K53" s="234">
        <v>2010</v>
      </c>
      <c r="L53" s="234"/>
      <c r="M53" s="241">
        <v>100</v>
      </c>
      <c r="N53" s="235" t="e">
        <f>(((I53+J53+K53+L53+M53)-C53*#REF!*2)/1000)</f>
        <v>#REF!</v>
      </c>
      <c r="O53" s="235"/>
      <c r="P53" s="200">
        <f t="shared" si="15"/>
        <v>0</v>
      </c>
      <c r="Q53" s="200" t="e">
        <f t="shared" si="16"/>
        <v>#REF!</v>
      </c>
      <c r="R53" s="200">
        <f t="shared" si="17"/>
        <v>0</v>
      </c>
      <c r="S53" s="200">
        <f t="shared" si="18"/>
        <v>0</v>
      </c>
      <c r="T53" s="200">
        <f t="shared" si="19"/>
        <v>0</v>
      </c>
      <c r="U53" s="688">
        <f t="shared" si="20"/>
        <v>0</v>
      </c>
      <c r="V53" s="200">
        <f t="shared" si="21"/>
        <v>0</v>
      </c>
      <c r="W53" s="689"/>
    </row>
    <row r="54" spans="1:23" s="236" customFormat="1" ht="24.95" hidden="1" customHeight="1" outlineLevel="1">
      <c r="A54" s="239"/>
      <c r="B54" s="239" t="s">
        <v>393</v>
      </c>
      <c r="C54" s="240">
        <v>10</v>
      </c>
      <c r="D54" s="690"/>
      <c r="E54" s="240"/>
      <c r="F54" s="836"/>
      <c r="G54" s="239">
        <v>2</v>
      </c>
      <c r="H54" s="203">
        <v>2</v>
      </c>
      <c r="I54" s="241">
        <v>100</v>
      </c>
      <c r="J54" s="234"/>
      <c r="K54" s="234">
        <v>2010</v>
      </c>
      <c r="L54" s="234"/>
      <c r="M54" s="241">
        <v>100</v>
      </c>
      <c r="N54" s="235" t="e">
        <f>(((I54+J54+K54+L54+M54)-C54*#REF!*2)/1000)</f>
        <v>#REF!</v>
      </c>
      <c r="O54" s="235"/>
      <c r="P54" s="200">
        <f t="shared" si="15"/>
        <v>0</v>
      </c>
      <c r="Q54" s="200" t="e">
        <f t="shared" si="16"/>
        <v>#REF!</v>
      </c>
      <c r="R54" s="200">
        <f t="shared" si="17"/>
        <v>0</v>
      </c>
      <c r="S54" s="200">
        <f t="shared" si="18"/>
        <v>0</v>
      </c>
      <c r="T54" s="200">
        <f t="shared" si="19"/>
        <v>0</v>
      </c>
      <c r="U54" s="688">
        <f t="shared" si="20"/>
        <v>0</v>
      </c>
      <c r="V54" s="200">
        <f t="shared" si="21"/>
        <v>0</v>
      </c>
      <c r="W54" s="689"/>
    </row>
    <row r="55" spans="1:23" s="236" customFormat="1" ht="24.95" hidden="1" customHeight="1" outlineLevel="1">
      <c r="A55" s="239"/>
      <c r="B55" s="239" t="s">
        <v>394</v>
      </c>
      <c r="C55" s="240">
        <v>8</v>
      </c>
      <c r="D55" s="690"/>
      <c r="E55" s="240"/>
      <c r="F55" s="836"/>
      <c r="G55" s="239">
        <v>2</v>
      </c>
      <c r="H55" s="203">
        <f>(2010/200)+1</f>
        <v>11.05</v>
      </c>
      <c r="I55" s="234"/>
      <c r="J55" s="234"/>
      <c r="K55" s="234">
        <v>820</v>
      </c>
      <c r="L55" s="234"/>
      <c r="M55" s="234"/>
      <c r="N55" s="235" t="e">
        <f>(((I55+J55+K55+L55+M55)-C55*#REF!*2)/1000)</f>
        <v>#REF!</v>
      </c>
      <c r="O55" s="235"/>
      <c r="P55" s="200" t="e">
        <f t="shared" si="15"/>
        <v>#REF!</v>
      </c>
      <c r="Q55" s="200">
        <f t="shared" si="16"/>
        <v>0</v>
      </c>
      <c r="R55" s="200">
        <f t="shared" si="17"/>
        <v>0</v>
      </c>
      <c r="S55" s="200">
        <f t="shared" si="18"/>
        <v>0</v>
      </c>
      <c r="T55" s="200">
        <f t="shared" si="19"/>
        <v>0</v>
      </c>
      <c r="U55" s="688">
        <f t="shared" si="20"/>
        <v>0</v>
      </c>
      <c r="V55" s="200">
        <f t="shared" si="21"/>
        <v>0</v>
      </c>
      <c r="W55" s="689"/>
    </row>
    <row r="56" spans="1:23" s="236" customFormat="1" ht="24.95" hidden="1" customHeight="1" outlineLevel="1">
      <c r="A56" s="237" t="s">
        <v>390</v>
      </c>
      <c r="B56" s="238" t="s">
        <v>389</v>
      </c>
      <c r="C56" s="240"/>
      <c r="D56" s="690"/>
      <c r="E56" s="240"/>
      <c r="F56" s="836"/>
      <c r="G56" s="239"/>
      <c r="H56" s="203"/>
      <c r="I56" s="234"/>
      <c r="J56" s="234"/>
      <c r="K56" s="234"/>
      <c r="L56" s="234"/>
      <c r="M56" s="234"/>
      <c r="N56" s="235" t="e">
        <f>(((I56+J56+K56+L56+M56)-C56*#REF!*2)/1000)</f>
        <v>#REF!</v>
      </c>
      <c r="O56" s="235"/>
      <c r="P56" s="200">
        <f t="shared" si="15"/>
        <v>0</v>
      </c>
      <c r="Q56" s="200">
        <f t="shared" si="16"/>
        <v>0</v>
      </c>
      <c r="R56" s="200">
        <f t="shared" si="17"/>
        <v>0</v>
      </c>
      <c r="S56" s="200">
        <f t="shared" si="18"/>
        <v>0</v>
      </c>
      <c r="T56" s="200">
        <f t="shared" si="19"/>
        <v>0</v>
      </c>
      <c r="U56" s="688">
        <f t="shared" si="20"/>
        <v>0</v>
      </c>
      <c r="V56" s="200">
        <f t="shared" si="21"/>
        <v>0</v>
      </c>
      <c r="W56" s="689"/>
    </row>
    <row r="57" spans="1:23" s="236" customFormat="1" ht="24.95" hidden="1" customHeight="1" outlineLevel="1">
      <c r="A57" s="205" t="s">
        <v>397</v>
      </c>
      <c r="B57" s="206" t="s">
        <v>391</v>
      </c>
      <c r="C57" s="240"/>
      <c r="D57" s="690"/>
      <c r="E57" s="240"/>
      <c r="F57" s="836"/>
      <c r="G57" s="239"/>
      <c r="H57" s="203"/>
      <c r="I57" s="234"/>
      <c r="J57" s="234"/>
      <c r="K57" s="234"/>
      <c r="L57" s="234"/>
      <c r="M57" s="234"/>
      <c r="N57" s="235" t="e">
        <f>(((I57+J57+K57+L57+M57)-C57*#REF!*2)/1000)</f>
        <v>#REF!</v>
      </c>
      <c r="O57" s="235"/>
      <c r="P57" s="200">
        <f t="shared" si="15"/>
        <v>0</v>
      </c>
      <c r="Q57" s="200">
        <f t="shared" si="16"/>
        <v>0</v>
      </c>
      <c r="R57" s="200">
        <f t="shared" si="17"/>
        <v>0</v>
      </c>
      <c r="S57" s="200">
        <f t="shared" si="18"/>
        <v>0</v>
      </c>
      <c r="T57" s="200">
        <f t="shared" si="19"/>
        <v>0</v>
      </c>
      <c r="U57" s="688">
        <f t="shared" si="20"/>
        <v>0</v>
      </c>
      <c r="V57" s="200">
        <f t="shared" si="21"/>
        <v>0</v>
      </c>
      <c r="W57" s="689"/>
    </row>
    <row r="58" spans="1:23" s="236" customFormat="1" ht="24.95" hidden="1" customHeight="1" outlineLevel="1">
      <c r="A58" s="239">
        <v>1</v>
      </c>
      <c r="B58" s="239" t="s">
        <v>392</v>
      </c>
      <c r="C58" s="240">
        <v>10</v>
      </c>
      <c r="D58" s="690"/>
      <c r="E58" s="240"/>
      <c r="F58" s="836"/>
      <c r="G58" s="239">
        <v>1</v>
      </c>
      <c r="H58" s="203">
        <v>2</v>
      </c>
      <c r="I58" s="241">
        <v>100</v>
      </c>
      <c r="J58" s="234"/>
      <c r="K58" s="241">
        <v>6840</v>
      </c>
      <c r="L58" s="234"/>
      <c r="M58" s="241">
        <v>100</v>
      </c>
      <c r="N58" s="235" t="e">
        <f>(((I58+J58+K58+L58+M58)-C58*#REF!*2)/1000)</f>
        <v>#REF!</v>
      </c>
      <c r="O58" s="235"/>
      <c r="P58" s="200">
        <f t="shared" si="15"/>
        <v>0</v>
      </c>
      <c r="Q58" s="200" t="e">
        <f t="shared" si="16"/>
        <v>#REF!</v>
      </c>
      <c r="R58" s="200">
        <f t="shared" si="17"/>
        <v>0</v>
      </c>
      <c r="S58" s="200">
        <f t="shared" si="18"/>
        <v>0</v>
      </c>
      <c r="T58" s="200">
        <f t="shared" si="19"/>
        <v>0</v>
      </c>
      <c r="U58" s="688">
        <f t="shared" si="20"/>
        <v>0</v>
      </c>
      <c r="V58" s="200">
        <f t="shared" si="21"/>
        <v>0</v>
      </c>
      <c r="W58" s="689"/>
    </row>
    <row r="59" spans="1:23" s="236" customFormat="1" ht="24.95" hidden="1" customHeight="1" outlineLevel="1">
      <c r="A59" s="239"/>
      <c r="B59" s="239" t="s">
        <v>393</v>
      </c>
      <c r="C59" s="240">
        <v>10</v>
      </c>
      <c r="D59" s="690"/>
      <c r="E59" s="240"/>
      <c r="F59" s="836"/>
      <c r="G59" s="239">
        <v>1</v>
      </c>
      <c r="H59" s="203">
        <v>2</v>
      </c>
      <c r="I59" s="241">
        <v>100</v>
      </c>
      <c r="J59" s="234"/>
      <c r="K59" s="241">
        <v>6840</v>
      </c>
      <c r="L59" s="234"/>
      <c r="M59" s="241">
        <v>100</v>
      </c>
      <c r="N59" s="235" t="e">
        <f>(((I59+J59+K59+L59+M59)-C59*#REF!*2)/1000)</f>
        <v>#REF!</v>
      </c>
      <c r="O59" s="235"/>
      <c r="P59" s="200">
        <f t="shared" si="15"/>
        <v>0</v>
      </c>
      <c r="Q59" s="200" t="e">
        <f t="shared" si="16"/>
        <v>#REF!</v>
      </c>
      <c r="R59" s="200">
        <f t="shared" si="17"/>
        <v>0</v>
      </c>
      <c r="S59" s="200">
        <f t="shared" si="18"/>
        <v>0</v>
      </c>
      <c r="T59" s="200">
        <f t="shared" si="19"/>
        <v>0</v>
      </c>
      <c r="U59" s="688">
        <f t="shared" si="20"/>
        <v>0</v>
      </c>
      <c r="V59" s="200">
        <f t="shared" si="21"/>
        <v>0</v>
      </c>
      <c r="W59" s="689"/>
    </row>
    <row r="60" spans="1:23" s="236" customFormat="1" ht="24.95" hidden="1" customHeight="1" outlineLevel="1">
      <c r="A60" s="239"/>
      <c r="B60" s="239" t="s">
        <v>394</v>
      </c>
      <c r="C60" s="240">
        <v>8</v>
      </c>
      <c r="D60" s="690"/>
      <c r="E60" s="240"/>
      <c r="F60" s="836"/>
      <c r="G60" s="239">
        <v>1</v>
      </c>
      <c r="H60" s="249">
        <v>35</v>
      </c>
      <c r="I60" s="234"/>
      <c r="J60" s="234"/>
      <c r="K60" s="234">
        <v>820</v>
      </c>
      <c r="L60" s="234"/>
      <c r="M60" s="234"/>
      <c r="N60" s="235" t="e">
        <f>(((I60+J60+K60+L60+M60)-C60*#REF!*2)/1000)</f>
        <v>#REF!</v>
      </c>
      <c r="O60" s="235"/>
      <c r="P60" s="200" t="e">
        <f t="shared" si="15"/>
        <v>#REF!</v>
      </c>
      <c r="Q60" s="200">
        <f t="shared" si="16"/>
        <v>0</v>
      </c>
      <c r="R60" s="200">
        <f t="shared" si="17"/>
        <v>0</v>
      </c>
      <c r="S60" s="200">
        <f t="shared" si="18"/>
        <v>0</v>
      </c>
      <c r="T60" s="200">
        <f t="shared" si="19"/>
        <v>0</v>
      </c>
      <c r="U60" s="688">
        <f t="shared" si="20"/>
        <v>0</v>
      </c>
      <c r="V60" s="200">
        <f t="shared" si="21"/>
        <v>0</v>
      </c>
      <c r="W60" s="689"/>
    </row>
    <row r="61" spans="1:23" s="236" customFormat="1" ht="24.95" hidden="1" customHeight="1" outlineLevel="1">
      <c r="A61" s="239">
        <v>2</v>
      </c>
      <c r="B61" s="239" t="s">
        <v>392</v>
      </c>
      <c r="C61" s="240">
        <v>10</v>
      </c>
      <c r="D61" s="690"/>
      <c r="E61" s="240"/>
      <c r="F61" s="836"/>
      <c r="G61" s="239">
        <v>1</v>
      </c>
      <c r="H61" s="203">
        <v>2</v>
      </c>
      <c r="I61" s="241">
        <v>100</v>
      </c>
      <c r="J61" s="234"/>
      <c r="K61" s="241">
        <v>1740</v>
      </c>
      <c r="L61" s="234"/>
      <c r="M61" s="241">
        <v>100</v>
      </c>
      <c r="N61" s="235" t="e">
        <f>(((I61+J61+K61+L61+M61)-C61*#REF!*2)/1000)</f>
        <v>#REF!</v>
      </c>
      <c r="O61" s="235"/>
      <c r="P61" s="200">
        <f t="shared" si="15"/>
        <v>0</v>
      </c>
      <c r="Q61" s="200" t="e">
        <f t="shared" si="16"/>
        <v>#REF!</v>
      </c>
      <c r="R61" s="200">
        <f t="shared" si="17"/>
        <v>0</v>
      </c>
      <c r="S61" s="200">
        <f t="shared" si="18"/>
        <v>0</v>
      </c>
      <c r="T61" s="200">
        <f t="shared" si="19"/>
        <v>0</v>
      </c>
      <c r="U61" s="688">
        <f t="shared" si="20"/>
        <v>0</v>
      </c>
      <c r="V61" s="200">
        <f t="shared" si="21"/>
        <v>0</v>
      </c>
      <c r="W61" s="689"/>
    </row>
    <row r="62" spans="1:23" s="236" customFormat="1" ht="24.95" hidden="1" customHeight="1" outlineLevel="1">
      <c r="A62" s="239"/>
      <c r="B62" s="239" t="s">
        <v>393</v>
      </c>
      <c r="C62" s="240">
        <v>10</v>
      </c>
      <c r="D62" s="690"/>
      <c r="E62" s="240"/>
      <c r="F62" s="836"/>
      <c r="G62" s="239">
        <v>1</v>
      </c>
      <c r="H62" s="203">
        <v>2</v>
      </c>
      <c r="I62" s="241">
        <v>100</v>
      </c>
      <c r="J62" s="234"/>
      <c r="K62" s="241">
        <v>1740</v>
      </c>
      <c r="L62" s="234"/>
      <c r="M62" s="241">
        <v>100</v>
      </c>
      <c r="N62" s="235" t="e">
        <f>(((I62+J62+K62+L62+M62)-C62*#REF!*2)/1000)</f>
        <v>#REF!</v>
      </c>
      <c r="O62" s="235"/>
      <c r="P62" s="200">
        <f t="shared" si="15"/>
        <v>0</v>
      </c>
      <c r="Q62" s="200" t="e">
        <f t="shared" si="16"/>
        <v>#REF!</v>
      </c>
      <c r="R62" s="200">
        <f t="shared" si="17"/>
        <v>0</v>
      </c>
      <c r="S62" s="200">
        <f t="shared" si="18"/>
        <v>0</v>
      </c>
      <c r="T62" s="200">
        <f t="shared" si="19"/>
        <v>0</v>
      </c>
      <c r="U62" s="688">
        <f t="shared" si="20"/>
        <v>0</v>
      </c>
      <c r="V62" s="200">
        <f t="shared" si="21"/>
        <v>0</v>
      </c>
      <c r="W62" s="689"/>
    </row>
    <row r="63" spans="1:23" s="236" customFormat="1" ht="24.95" hidden="1" customHeight="1" outlineLevel="1">
      <c r="A63" s="239"/>
      <c r="B63" s="239" t="s">
        <v>394</v>
      </c>
      <c r="C63" s="240">
        <v>8</v>
      </c>
      <c r="D63" s="690"/>
      <c r="E63" s="240"/>
      <c r="F63" s="836"/>
      <c r="G63" s="239">
        <v>1</v>
      </c>
      <c r="H63" s="249">
        <v>10</v>
      </c>
      <c r="I63" s="234"/>
      <c r="J63" s="234"/>
      <c r="K63" s="234">
        <v>820</v>
      </c>
      <c r="L63" s="234"/>
      <c r="M63" s="234"/>
      <c r="N63" s="235" t="e">
        <f>(((I63+J63+K63+L63+M63)-C63*#REF!*2)/1000)</f>
        <v>#REF!</v>
      </c>
      <c r="O63" s="235"/>
      <c r="P63" s="200" t="e">
        <f t="shared" si="15"/>
        <v>#REF!</v>
      </c>
      <c r="Q63" s="200">
        <f t="shared" si="16"/>
        <v>0</v>
      </c>
      <c r="R63" s="200">
        <f t="shared" si="17"/>
        <v>0</v>
      </c>
      <c r="S63" s="200">
        <f t="shared" si="18"/>
        <v>0</v>
      </c>
      <c r="T63" s="200">
        <f t="shared" si="19"/>
        <v>0</v>
      </c>
      <c r="U63" s="688">
        <f t="shared" si="20"/>
        <v>0</v>
      </c>
      <c r="V63" s="200">
        <f t="shared" si="21"/>
        <v>0</v>
      </c>
      <c r="W63" s="689"/>
    </row>
    <row r="64" spans="1:23" s="236" customFormat="1" ht="24.95" hidden="1" customHeight="1" outlineLevel="1">
      <c r="A64" s="239">
        <v>3</v>
      </c>
      <c r="B64" s="239" t="s">
        <v>392</v>
      </c>
      <c r="C64" s="240">
        <v>10</v>
      </c>
      <c r="D64" s="690"/>
      <c r="E64" s="240"/>
      <c r="F64" s="836"/>
      <c r="G64" s="239">
        <v>1</v>
      </c>
      <c r="H64" s="203">
        <v>2</v>
      </c>
      <c r="I64" s="241">
        <v>100</v>
      </c>
      <c r="J64" s="234"/>
      <c r="K64" s="234">
        <v>4610</v>
      </c>
      <c r="L64" s="234"/>
      <c r="M64" s="241">
        <v>100</v>
      </c>
      <c r="N64" s="235" t="e">
        <f>(((I64+J64+K64+L64+M64)-C64*#REF!*2)/1000)</f>
        <v>#REF!</v>
      </c>
      <c r="O64" s="235"/>
      <c r="P64" s="200">
        <f t="shared" si="15"/>
        <v>0</v>
      </c>
      <c r="Q64" s="200" t="e">
        <f t="shared" si="16"/>
        <v>#REF!</v>
      </c>
      <c r="R64" s="200">
        <f t="shared" si="17"/>
        <v>0</v>
      </c>
      <c r="S64" s="200">
        <f t="shared" si="18"/>
        <v>0</v>
      </c>
      <c r="T64" s="200">
        <f t="shared" si="19"/>
        <v>0</v>
      </c>
      <c r="U64" s="688">
        <f t="shared" si="20"/>
        <v>0</v>
      </c>
      <c r="V64" s="200">
        <f t="shared" si="21"/>
        <v>0</v>
      </c>
      <c r="W64" s="689"/>
    </row>
    <row r="65" spans="1:23" s="236" customFormat="1" ht="24.95" hidden="1" customHeight="1" outlineLevel="1">
      <c r="A65" s="239"/>
      <c r="B65" s="239" t="s">
        <v>393</v>
      </c>
      <c r="C65" s="240">
        <v>10</v>
      </c>
      <c r="D65" s="690"/>
      <c r="E65" s="240"/>
      <c r="F65" s="836"/>
      <c r="G65" s="239">
        <v>1</v>
      </c>
      <c r="H65" s="203">
        <v>2</v>
      </c>
      <c r="I65" s="241">
        <v>100</v>
      </c>
      <c r="J65" s="234"/>
      <c r="K65" s="234">
        <v>4610</v>
      </c>
      <c r="L65" s="234"/>
      <c r="M65" s="241">
        <v>100</v>
      </c>
      <c r="N65" s="235" t="e">
        <f>(((I65+J65+K65+L65+M65)-C65*#REF!*2)/1000)</f>
        <v>#REF!</v>
      </c>
      <c r="O65" s="235"/>
      <c r="P65" s="200">
        <f t="shared" si="15"/>
        <v>0</v>
      </c>
      <c r="Q65" s="200" t="e">
        <f t="shared" si="16"/>
        <v>#REF!</v>
      </c>
      <c r="R65" s="200">
        <f t="shared" si="17"/>
        <v>0</v>
      </c>
      <c r="S65" s="200">
        <f t="shared" si="18"/>
        <v>0</v>
      </c>
      <c r="T65" s="200">
        <f t="shared" si="19"/>
        <v>0</v>
      </c>
      <c r="U65" s="688">
        <f t="shared" si="20"/>
        <v>0</v>
      </c>
      <c r="V65" s="200">
        <f t="shared" si="21"/>
        <v>0</v>
      </c>
      <c r="W65" s="689"/>
    </row>
    <row r="66" spans="1:23" s="236" customFormat="1" ht="24.95" hidden="1" customHeight="1" outlineLevel="1">
      <c r="A66" s="239"/>
      <c r="B66" s="239" t="s">
        <v>394</v>
      </c>
      <c r="C66" s="240">
        <v>8</v>
      </c>
      <c r="D66" s="690"/>
      <c r="E66" s="240"/>
      <c r="F66" s="836"/>
      <c r="G66" s="239">
        <v>1</v>
      </c>
      <c r="H66" s="203">
        <f>(4610/200)+1</f>
        <v>24.05</v>
      </c>
      <c r="I66" s="234"/>
      <c r="J66" s="234"/>
      <c r="K66" s="234">
        <v>820</v>
      </c>
      <c r="L66" s="234"/>
      <c r="M66" s="234"/>
      <c r="N66" s="235" t="e">
        <f>(((I66+J66+K66+L66+M66)-C66*#REF!*2)/1000)</f>
        <v>#REF!</v>
      </c>
      <c r="O66" s="235"/>
      <c r="P66" s="200" t="e">
        <f t="shared" si="15"/>
        <v>#REF!</v>
      </c>
      <c r="Q66" s="200">
        <f t="shared" si="16"/>
        <v>0</v>
      </c>
      <c r="R66" s="200">
        <f t="shared" si="17"/>
        <v>0</v>
      </c>
      <c r="S66" s="200">
        <f t="shared" si="18"/>
        <v>0</v>
      </c>
      <c r="T66" s="200">
        <f t="shared" si="19"/>
        <v>0</v>
      </c>
      <c r="U66" s="688">
        <f t="shared" si="20"/>
        <v>0</v>
      </c>
      <c r="V66" s="200">
        <f t="shared" si="21"/>
        <v>0</v>
      </c>
      <c r="W66" s="689"/>
    </row>
    <row r="67" spans="1:23" s="236" customFormat="1" ht="24.95" hidden="1" customHeight="1" outlineLevel="1">
      <c r="A67" s="239">
        <v>4</v>
      </c>
      <c r="B67" s="239" t="s">
        <v>392</v>
      </c>
      <c r="C67" s="240">
        <v>10</v>
      </c>
      <c r="D67" s="690"/>
      <c r="E67" s="240"/>
      <c r="F67" s="836"/>
      <c r="G67" s="239">
        <v>1</v>
      </c>
      <c r="H67" s="203">
        <v>2</v>
      </c>
      <c r="I67" s="241">
        <v>100</v>
      </c>
      <c r="J67" s="234"/>
      <c r="K67" s="234">
        <v>5570</v>
      </c>
      <c r="L67" s="234"/>
      <c r="M67" s="241">
        <v>100</v>
      </c>
      <c r="N67" s="235" t="e">
        <f>(((I67+J67+K67+L67+M67)-C67*#REF!*2)/1000)</f>
        <v>#REF!</v>
      </c>
      <c r="O67" s="235"/>
      <c r="P67" s="200">
        <f t="shared" si="15"/>
        <v>0</v>
      </c>
      <c r="Q67" s="200" t="e">
        <f t="shared" si="16"/>
        <v>#REF!</v>
      </c>
      <c r="R67" s="200">
        <f t="shared" si="17"/>
        <v>0</v>
      </c>
      <c r="S67" s="200">
        <f t="shared" si="18"/>
        <v>0</v>
      </c>
      <c r="T67" s="200">
        <f t="shared" si="19"/>
        <v>0</v>
      </c>
      <c r="U67" s="688">
        <f t="shared" si="20"/>
        <v>0</v>
      </c>
      <c r="V67" s="200">
        <f t="shared" si="21"/>
        <v>0</v>
      </c>
      <c r="W67" s="689"/>
    </row>
    <row r="68" spans="1:23" s="236" customFormat="1" ht="24.95" hidden="1" customHeight="1" outlineLevel="1">
      <c r="A68" s="239"/>
      <c r="B68" s="239" t="s">
        <v>393</v>
      </c>
      <c r="C68" s="240">
        <v>10</v>
      </c>
      <c r="D68" s="690"/>
      <c r="E68" s="240"/>
      <c r="F68" s="836"/>
      <c r="G68" s="239">
        <v>1</v>
      </c>
      <c r="H68" s="203">
        <v>2</v>
      </c>
      <c r="I68" s="241">
        <v>100</v>
      </c>
      <c r="J68" s="234"/>
      <c r="K68" s="234">
        <v>5570</v>
      </c>
      <c r="L68" s="234"/>
      <c r="M68" s="241">
        <v>100</v>
      </c>
      <c r="N68" s="235" t="e">
        <f>(((I68+J68+K68+L68+M68)-C68*#REF!*2)/1000)</f>
        <v>#REF!</v>
      </c>
      <c r="O68" s="235"/>
      <c r="P68" s="200">
        <f t="shared" si="15"/>
        <v>0</v>
      </c>
      <c r="Q68" s="200" t="e">
        <f t="shared" si="16"/>
        <v>#REF!</v>
      </c>
      <c r="R68" s="200">
        <f t="shared" si="17"/>
        <v>0</v>
      </c>
      <c r="S68" s="200">
        <f t="shared" si="18"/>
        <v>0</v>
      </c>
      <c r="T68" s="200">
        <f t="shared" si="19"/>
        <v>0</v>
      </c>
      <c r="U68" s="688">
        <f t="shared" si="20"/>
        <v>0</v>
      </c>
      <c r="V68" s="200">
        <f t="shared" si="21"/>
        <v>0</v>
      </c>
      <c r="W68" s="689"/>
    </row>
    <row r="69" spans="1:23" s="236" customFormat="1" ht="24.95" hidden="1" customHeight="1" outlineLevel="1">
      <c r="A69" s="239"/>
      <c r="B69" s="239" t="s">
        <v>394</v>
      </c>
      <c r="C69" s="240">
        <v>8</v>
      </c>
      <c r="D69" s="690"/>
      <c r="E69" s="240"/>
      <c r="F69" s="836"/>
      <c r="G69" s="239">
        <v>1</v>
      </c>
      <c r="H69" s="203">
        <f>(5570/200)+1</f>
        <v>28.85</v>
      </c>
      <c r="I69" s="234"/>
      <c r="J69" s="234"/>
      <c r="K69" s="234">
        <v>820</v>
      </c>
      <c r="L69" s="234"/>
      <c r="M69" s="234"/>
      <c r="N69" s="235" t="e">
        <f>(((I69+J69+K69+L69+M69)-C69*#REF!*2)/1000)</f>
        <v>#REF!</v>
      </c>
      <c r="O69" s="235"/>
      <c r="P69" s="200" t="e">
        <f t="shared" si="15"/>
        <v>#REF!</v>
      </c>
      <c r="Q69" s="200">
        <f t="shared" si="16"/>
        <v>0</v>
      </c>
      <c r="R69" s="200">
        <f t="shared" si="17"/>
        <v>0</v>
      </c>
      <c r="S69" s="200">
        <f t="shared" si="18"/>
        <v>0</v>
      </c>
      <c r="T69" s="200">
        <f t="shared" si="19"/>
        <v>0</v>
      </c>
      <c r="U69" s="688">
        <f t="shared" si="20"/>
        <v>0</v>
      </c>
      <c r="V69" s="200">
        <f t="shared" si="21"/>
        <v>0</v>
      </c>
      <c r="W69" s="689"/>
    </row>
    <row r="70" spans="1:23" s="236" customFormat="1" ht="24.95" hidden="1" customHeight="1" outlineLevel="1">
      <c r="A70" s="239">
        <v>5</v>
      </c>
      <c r="B70" s="239" t="s">
        <v>392</v>
      </c>
      <c r="C70" s="240">
        <v>10</v>
      </c>
      <c r="D70" s="690"/>
      <c r="E70" s="240"/>
      <c r="F70" s="836"/>
      <c r="G70" s="239">
        <v>1</v>
      </c>
      <c r="H70" s="203">
        <v>2</v>
      </c>
      <c r="I70" s="241">
        <v>100</v>
      </c>
      <c r="J70" s="234"/>
      <c r="K70" s="234">
        <v>780</v>
      </c>
      <c r="L70" s="234"/>
      <c r="M70" s="241">
        <v>100</v>
      </c>
      <c r="N70" s="235" t="e">
        <f>(((I70+J70+K70+L70+M70)-C70*#REF!*2)/1000)</f>
        <v>#REF!</v>
      </c>
      <c r="O70" s="235"/>
      <c r="P70" s="200">
        <f t="shared" si="15"/>
        <v>0</v>
      </c>
      <c r="Q70" s="200" t="e">
        <f t="shared" si="16"/>
        <v>#REF!</v>
      </c>
      <c r="R70" s="200">
        <f t="shared" si="17"/>
        <v>0</v>
      </c>
      <c r="S70" s="200">
        <f t="shared" si="18"/>
        <v>0</v>
      </c>
      <c r="T70" s="200">
        <f t="shared" si="19"/>
        <v>0</v>
      </c>
      <c r="U70" s="688">
        <f t="shared" si="20"/>
        <v>0</v>
      </c>
      <c r="V70" s="200">
        <f t="shared" si="21"/>
        <v>0</v>
      </c>
      <c r="W70" s="689"/>
    </row>
    <row r="71" spans="1:23" s="236" customFormat="1" ht="24.95" hidden="1" customHeight="1" outlineLevel="1">
      <c r="A71" s="239"/>
      <c r="B71" s="239" t="s">
        <v>393</v>
      </c>
      <c r="C71" s="240">
        <v>10</v>
      </c>
      <c r="D71" s="690"/>
      <c r="E71" s="240"/>
      <c r="F71" s="836"/>
      <c r="G71" s="239">
        <v>1</v>
      </c>
      <c r="H71" s="203">
        <v>2</v>
      </c>
      <c r="I71" s="241">
        <v>100</v>
      </c>
      <c r="J71" s="234"/>
      <c r="K71" s="234">
        <v>780</v>
      </c>
      <c r="L71" s="234"/>
      <c r="M71" s="241">
        <v>100</v>
      </c>
      <c r="N71" s="235" t="e">
        <f>(((I71+J71+K71+L71+M71)-C71*#REF!*2)/1000)</f>
        <v>#REF!</v>
      </c>
      <c r="O71" s="235"/>
      <c r="P71" s="200">
        <f t="shared" si="15"/>
        <v>0</v>
      </c>
      <c r="Q71" s="200" t="e">
        <f t="shared" si="16"/>
        <v>#REF!</v>
      </c>
      <c r="R71" s="200">
        <f t="shared" si="17"/>
        <v>0</v>
      </c>
      <c r="S71" s="200">
        <f t="shared" si="18"/>
        <v>0</v>
      </c>
      <c r="T71" s="200">
        <f t="shared" si="19"/>
        <v>0</v>
      </c>
      <c r="U71" s="688">
        <f t="shared" si="20"/>
        <v>0</v>
      </c>
      <c r="V71" s="200">
        <f t="shared" si="21"/>
        <v>0</v>
      </c>
      <c r="W71" s="689"/>
    </row>
    <row r="72" spans="1:23" s="236" customFormat="1" ht="24.95" hidden="1" customHeight="1" outlineLevel="1">
      <c r="A72" s="239"/>
      <c r="B72" s="239" t="s">
        <v>394</v>
      </c>
      <c r="C72" s="240">
        <v>8</v>
      </c>
      <c r="D72" s="690"/>
      <c r="E72" s="240"/>
      <c r="F72" s="836"/>
      <c r="G72" s="239">
        <v>1</v>
      </c>
      <c r="H72" s="203">
        <f>(780/200)+1</f>
        <v>4.9000000000000004</v>
      </c>
      <c r="I72" s="241">
        <v>100</v>
      </c>
      <c r="J72" s="234"/>
      <c r="K72" s="234">
        <v>820</v>
      </c>
      <c r="L72" s="234"/>
      <c r="M72" s="234"/>
      <c r="N72" s="235" t="e">
        <f>(((I72+J72+K72+L72+M72)-C72*#REF!*2)/1000)</f>
        <v>#REF!</v>
      </c>
      <c r="O72" s="235"/>
      <c r="P72" s="200" t="e">
        <f t="shared" si="15"/>
        <v>#REF!</v>
      </c>
      <c r="Q72" s="200">
        <f t="shared" si="16"/>
        <v>0</v>
      </c>
      <c r="R72" s="200">
        <f t="shared" si="17"/>
        <v>0</v>
      </c>
      <c r="S72" s="200">
        <f t="shared" si="18"/>
        <v>0</v>
      </c>
      <c r="T72" s="200">
        <f t="shared" si="19"/>
        <v>0</v>
      </c>
      <c r="U72" s="688">
        <f t="shared" si="20"/>
        <v>0</v>
      </c>
      <c r="V72" s="200">
        <f t="shared" si="21"/>
        <v>0</v>
      </c>
      <c r="W72" s="689"/>
    </row>
    <row r="73" spans="1:23" s="247" customFormat="1" ht="24.95" hidden="1" customHeight="1" outlineLevel="1">
      <c r="A73" s="242">
        <v>6</v>
      </c>
      <c r="B73" s="242" t="s">
        <v>392</v>
      </c>
      <c r="C73" s="243">
        <v>10</v>
      </c>
      <c r="D73" s="696"/>
      <c r="E73" s="243"/>
      <c r="F73" s="696"/>
      <c r="G73" s="242">
        <f t="shared" ref="G73:G75" si="22">1*0</f>
        <v>0</v>
      </c>
      <c r="H73" s="244">
        <v>2</v>
      </c>
      <c r="I73" s="245">
        <v>100</v>
      </c>
      <c r="J73" s="246"/>
      <c r="K73" s="246">
        <v>3815</v>
      </c>
      <c r="L73" s="246"/>
      <c r="M73" s="245">
        <v>100</v>
      </c>
      <c r="N73" s="235" t="e">
        <f>(((I73+J73+K73+L73+M73)-C73*#REF!*2)/1000)</f>
        <v>#REF!</v>
      </c>
      <c r="O73" s="235"/>
      <c r="P73" s="200">
        <f t="shared" si="15"/>
        <v>0</v>
      </c>
      <c r="Q73" s="200" t="e">
        <f t="shared" si="16"/>
        <v>#REF!</v>
      </c>
      <c r="R73" s="200">
        <f t="shared" si="17"/>
        <v>0</v>
      </c>
      <c r="S73" s="200">
        <f t="shared" si="18"/>
        <v>0</v>
      </c>
      <c r="T73" s="200">
        <f t="shared" si="19"/>
        <v>0</v>
      </c>
      <c r="U73" s="688">
        <f t="shared" si="20"/>
        <v>0</v>
      </c>
      <c r="V73" s="200">
        <f t="shared" si="21"/>
        <v>0</v>
      </c>
      <c r="W73" s="697"/>
    </row>
    <row r="74" spans="1:23" s="247" customFormat="1" ht="24.95" hidden="1" customHeight="1" outlineLevel="1">
      <c r="A74" s="242"/>
      <c r="B74" s="242" t="s">
        <v>393</v>
      </c>
      <c r="C74" s="243">
        <v>10</v>
      </c>
      <c r="D74" s="696"/>
      <c r="E74" s="243"/>
      <c r="F74" s="696"/>
      <c r="G74" s="242">
        <f t="shared" si="22"/>
        <v>0</v>
      </c>
      <c r="H74" s="244">
        <v>2</v>
      </c>
      <c r="I74" s="245">
        <v>100</v>
      </c>
      <c r="J74" s="246"/>
      <c r="K74" s="246">
        <v>3815</v>
      </c>
      <c r="L74" s="246"/>
      <c r="M74" s="245">
        <v>100</v>
      </c>
      <c r="N74" s="235" t="e">
        <f>(((I74+J74+K74+L74+M74)-C74*#REF!*2)/1000)</f>
        <v>#REF!</v>
      </c>
      <c r="O74" s="235"/>
      <c r="P74" s="200">
        <f t="shared" si="15"/>
        <v>0</v>
      </c>
      <c r="Q74" s="200" t="e">
        <f t="shared" si="16"/>
        <v>#REF!</v>
      </c>
      <c r="R74" s="200">
        <f t="shared" si="17"/>
        <v>0</v>
      </c>
      <c r="S74" s="200">
        <f t="shared" si="18"/>
        <v>0</v>
      </c>
      <c r="T74" s="200">
        <f t="shared" si="19"/>
        <v>0</v>
      </c>
      <c r="U74" s="688">
        <f t="shared" si="20"/>
        <v>0</v>
      </c>
      <c r="V74" s="200">
        <f t="shared" si="21"/>
        <v>0</v>
      </c>
      <c r="W74" s="697"/>
    </row>
    <row r="75" spans="1:23" s="247" customFormat="1" ht="24.95" hidden="1" customHeight="1" outlineLevel="1">
      <c r="A75" s="242"/>
      <c r="B75" s="242" t="s">
        <v>394</v>
      </c>
      <c r="C75" s="243">
        <v>8</v>
      </c>
      <c r="D75" s="696"/>
      <c r="E75" s="243"/>
      <c r="F75" s="696"/>
      <c r="G75" s="242">
        <f t="shared" si="22"/>
        <v>0</v>
      </c>
      <c r="H75" s="244">
        <f>(3815/200)+1</f>
        <v>20.074999999999999</v>
      </c>
      <c r="I75" s="246"/>
      <c r="J75" s="246"/>
      <c r="K75" s="246">
        <v>820</v>
      </c>
      <c r="L75" s="246"/>
      <c r="M75" s="246"/>
      <c r="N75" s="235" t="e">
        <f>(((I75+J75+K75+L75+M75)-C75*#REF!*2)/1000)</f>
        <v>#REF!</v>
      </c>
      <c r="O75" s="235"/>
      <c r="P75" s="200" t="e">
        <f t="shared" ref="P75:P138" si="23">+IF(C75=8,G75*H75*N75,0)</f>
        <v>#REF!</v>
      </c>
      <c r="Q75" s="200">
        <f t="shared" ref="Q75:Q138" si="24">+IF(C75=10,G75*H75*N75,0)</f>
        <v>0</v>
      </c>
      <c r="R75" s="200">
        <f t="shared" ref="R75:R138" si="25">+IF(C75=12,G75*H75*N75,0)</f>
        <v>0</v>
      </c>
      <c r="S75" s="200">
        <f t="shared" ref="S75:S138" si="26">+IF(C75=16,G75*H75*N75,0)</f>
        <v>0</v>
      </c>
      <c r="T75" s="200">
        <f t="shared" ref="T75:T138" si="27">+IF(C75=20,G75*H75*N75,0)</f>
        <v>0</v>
      </c>
      <c r="U75" s="688">
        <f t="shared" ref="U75:U138" si="28">+IF(C75=25,G75*H75*N75,0)</f>
        <v>0</v>
      </c>
      <c r="V75" s="200">
        <f t="shared" ref="V75:V138" si="29">+IF(C75=32,G75*H75*N75,0)</f>
        <v>0</v>
      </c>
      <c r="W75" s="697"/>
    </row>
    <row r="76" spans="1:23" s="236" customFormat="1" ht="24.95" hidden="1" customHeight="1" outlineLevel="1">
      <c r="A76" s="239">
        <v>7</v>
      </c>
      <c r="B76" s="239" t="s">
        <v>392</v>
      </c>
      <c r="C76" s="240">
        <v>10</v>
      </c>
      <c r="D76" s="690"/>
      <c r="E76" s="240"/>
      <c r="F76" s="836"/>
      <c r="G76" s="239">
        <v>1</v>
      </c>
      <c r="H76" s="203">
        <v>2</v>
      </c>
      <c r="I76" s="241">
        <v>100</v>
      </c>
      <c r="J76" s="234"/>
      <c r="K76" s="234">
        <v>1980</v>
      </c>
      <c r="L76" s="234"/>
      <c r="M76" s="241">
        <v>100</v>
      </c>
      <c r="N76" s="235" t="e">
        <f>(((I76+J76+K76+L76+M76)-C76*#REF!*2)/1000)</f>
        <v>#REF!</v>
      </c>
      <c r="O76" s="235"/>
      <c r="P76" s="200">
        <f t="shared" si="23"/>
        <v>0</v>
      </c>
      <c r="Q76" s="200" t="e">
        <f t="shared" si="24"/>
        <v>#REF!</v>
      </c>
      <c r="R76" s="200">
        <f t="shared" si="25"/>
        <v>0</v>
      </c>
      <c r="S76" s="200">
        <f t="shared" si="26"/>
        <v>0</v>
      </c>
      <c r="T76" s="200">
        <f t="shared" si="27"/>
        <v>0</v>
      </c>
      <c r="U76" s="688">
        <f t="shared" si="28"/>
        <v>0</v>
      </c>
      <c r="V76" s="200">
        <f t="shared" si="29"/>
        <v>0</v>
      </c>
      <c r="W76" s="689"/>
    </row>
    <row r="77" spans="1:23" s="236" customFormat="1" ht="24.95" hidden="1" customHeight="1" outlineLevel="1">
      <c r="A77" s="239"/>
      <c r="B77" s="239" t="s">
        <v>393</v>
      </c>
      <c r="C77" s="240">
        <v>10</v>
      </c>
      <c r="D77" s="690"/>
      <c r="E77" s="240"/>
      <c r="F77" s="836"/>
      <c r="G77" s="239">
        <v>1</v>
      </c>
      <c r="H77" s="203">
        <v>2</v>
      </c>
      <c r="I77" s="241">
        <v>100</v>
      </c>
      <c r="J77" s="234"/>
      <c r="K77" s="234">
        <v>1980</v>
      </c>
      <c r="L77" s="234"/>
      <c r="M77" s="241">
        <v>100</v>
      </c>
      <c r="N77" s="235" t="e">
        <f>(((I77+J77+K77+L77+M77)-C77*#REF!*2)/1000)</f>
        <v>#REF!</v>
      </c>
      <c r="O77" s="235"/>
      <c r="P77" s="200">
        <f t="shared" si="23"/>
        <v>0</v>
      </c>
      <c r="Q77" s="200" t="e">
        <f t="shared" si="24"/>
        <v>#REF!</v>
      </c>
      <c r="R77" s="200">
        <f t="shared" si="25"/>
        <v>0</v>
      </c>
      <c r="S77" s="200">
        <f t="shared" si="26"/>
        <v>0</v>
      </c>
      <c r="T77" s="200">
        <f t="shared" si="27"/>
        <v>0</v>
      </c>
      <c r="U77" s="688">
        <f t="shared" si="28"/>
        <v>0</v>
      </c>
      <c r="V77" s="200">
        <f t="shared" si="29"/>
        <v>0</v>
      </c>
      <c r="W77" s="689"/>
    </row>
    <row r="78" spans="1:23" s="236" customFormat="1" ht="24.95" hidden="1" customHeight="1" outlineLevel="1">
      <c r="A78" s="239"/>
      <c r="B78" s="239" t="s">
        <v>394</v>
      </c>
      <c r="C78" s="240">
        <v>8</v>
      </c>
      <c r="D78" s="690"/>
      <c r="E78" s="240"/>
      <c r="F78" s="836"/>
      <c r="G78" s="239">
        <v>1</v>
      </c>
      <c r="H78" s="203">
        <f>(1980/200)+1</f>
        <v>10.9</v>
      </c>
      <c r="I78" s="234"/>
      <c r="J78" s="234"/>
      <c r="K78" s="234">
        <v>820</v>
      </c>
      <c r="L78" s="234"/>
      <c r="M78" s="234"/>
      <c r="N78" s="235" t="e">
        <f>(((I78+J78+K78+L78+M78)-C78*#REF!*2)/1000)</f>
        <v>#REF!</v>
      </c>
      <c r="O78" s="235"/>
      <c r="P78" s="200" t="e">
        <f t="shared" si="23"/>
        <v>#REF!</v>
      </c>
      <c r="Q78" s="200">
        <f t="shared" si="24"/>
        <v>0</v>
      </c>
      <c r="R78" s="200">
        <f t="shared" si="25"/>
        <v>0</v>
      </c>
      <c r="S78" s="200">
        <f t="shared" si="26"/>
        <v>0</v>
      </c>
      <c r="T78" s="200">
        <f t="shared" si="27"/>
        <v>0</v>
      </c>
      <c r="U78" s="688">
        <f t="shared" si="28"/>
        <v>0</v>
      </c>
      <c r="V78" s="200">
        <f t="shared" si="29"/>
        <v>0</v>
      </c>
      <c r="W78" s="689"/>
    </row>
    <row r="79" spans="1:23" s="236" customFormat="1" ht="24.95" hidden="1" customHeight="1" outlineLevel="1">
      <c r="A79" s="239">
        <v>8</v>
      </c>
      <c r="B79" s="239" t="s">
        <v>392</v>
      </c>
      <c r="C79" s="240">
        <v>10</v>
      </c>
      <c r="D79" s="690"/>
      <c r="E79" s="240"/>
      <c r="F79" s="836"/>
      <c r="G79" s="239">
        <v>1</v>
      </c>
      <c r="H79" s="203">
        <v>2</v>
      </c>
      <c r="I79" s="241">
        <v>100</v>
      </c>
      <c r="J79" s="234"/>
      <c r="K79" s="234">
        <v>7070</v>
      </c>
      <c r="L79" s="234"/>
      <c r="M79" s="241">
        <v>100</v>
      </c>
      <c r="N79" s="235" t="e">
        <f>(((I79+J79+K79+L79+M79)-C79*#REF!*2)/1000)</f>
        <v>#REF!</v>
      </c>
      <c r="O79" s="235"/>
      <c r="P79" s="200">
        <f t="shared" si="23"/>
        <v>0</v>
      </c>
      <c r="Q79" s="200" t="e">
        <f t="shared" si="24"/>
        <v>#REF!</v>
      </c>
      <c r="R79" s="200">
        <f t="shared" si="25"/>
        <v>0</v>
      </c>
      <c r="S79" s="200">
        <f t="shared" si="26"/>
        <v>0</v>
      </c>
      <c r="T79" s="200">
        <f t="shared" si="27"/>
        <v>0</v>
      </c>
      <c r="U79" s="688">
        <f t="shared" si="28"/>
        <v>0</v>
      </c>
      <c r="V79" s="200">
        <f t="shared" si="29"/>
        <v>0</v>
      </c>
      <c r="W79" s="689"/>
    </row>
    <row r="80" spans="1:23" s="236" customFormat="1" ht="24.95" hidden="1" customHeight="1" outlineLevel="1">
      <c r="A80" s="239"/>
      <c r="B80" s="239" t="s">
        <v>393</v>
      </c>
      <c r="C80" s="240">
        <v>10</v>
      </c>
      <c r="D80" s="690"/>
      <c r="E80" s="240"/>
      <c r="F80" s="836"/>
      <c r="G80" s="239">
        <v>1</v>
      </c>
      <c r="H80" s="203">
        <v>2</v>
      </c>
      <c r="I80" s="241">
        <v>100</v>
      </c>
      <c r="J80" s="234"/>
      <c r="K80" s="234">
        <v>7070</v>
      </c>
      <c r="L80" s="234"/>
      <c r="M80" s="241">
        <v>100</v>
      </c>
      <c r="N80" s="235" t="e">
        <f>(((I80+J80+K80+L80+M80)-C80*#REF!*2)/1000)</f>
        <v>#REF!</v>
      </c>
      <c r="O80" s="235"/>
      <c r="P80" s="200">
        <f t="shared" si="23"/>
        <v>0</v>
      </c>
      <c r="Q80" s="200" t="e">
        <f t="shared" si="24"/>
        <v>#REF!</v>
      </c>
      <c r="R80" s="200">
        <f t="shared" si="25"/>
        <v>0</v>
      </c>
      <c r="S80" s="200">
        <f t="shared" si="26"/>
        <v>0</v>
      </c>
      <c r="T80" s="200">
        <f t="shared" si="27"/>
        <v>0</v>
      </c>
      <c r="U80" s="688">
        <f t="shared" si="28"/>
        <v>0</v>
      </c>
      <c r="V80" s="200">
        <f t="shared" si="29"/>
        <v>0</v>
      </c>
      <c r="W80" s="689"/>
    </row>
    <row r="81" spans="1:23" s="236" customFormat="1" ht="24.95" hidden="1" customHeight="1" outlineLevel="1">
      <c r="A81" s="239"/>
      <c r="B81" s="239" t="s">
        <v>394</v>
      </c>
      <c r="C81" s="240">
        <v>8</v>
      </c>
      <c r="D81" s="690"/>
      <c r="E81" s="240"/>
      <c r="F81" s="836"/>
      <c r="G81" s="239">
        <v>1</v>
      </c>
      <c r="H81" s="203">
        <f>(7070/200)+1</f>
        <v>36.35</v>
      </c>
      <c r="I81" s="234"/>
      <c r="J81" s="234"/>
      <c r="K81" s="234">
        <v>820</v>
      </c>
      <c r="L81" s="234"/>
      <c r="M81" s="234"/>
      <c r="N81" s="235" t="e">
        <f>(((I81+J81+K81+L81+M81)-C81*#REF!*2)/1000)</f>
        <v>#REF!</v>
      </c>
      <c r="O81" s="235"/>
      <c r="P81" s="200" t="e">
        <f t="shared" si="23"/>
        <v>#REF!</v>
      </c>
      <c r="Q81" s="200">
        <f t="shared" si="24"/>
        <v>0</v>
      </c>
      <c r="R81" s="200">
        <f t="shared" si="25"/>
        <v>0</v>
      </c>
      <c r="S81" s="200">
        <f t="shared" si="26"/>
        <v>0</v>
      </c>
      <c r="T81" s="200">
        <f t="shared" si="27"/>
        <v>0</v>
      </c>
      <c r="U81" s="688">
        <f t="shared" si="28"/>
        <v>0</v>
      </c>
      <c r="V81" s="200">
        <f t="shared" si="29"/>
        <v>0</v>
      </c>
      <c r="W81" s="689"/>
    </row>
    <row r="82" spans="1:23" s="236" customFormat="1" ht="24.95" hidden="1" customHeight="1" outlineLevel="1">
      <c r="A82" s="239">
        <v>9</v>
      </c>
      <c r="B82" s="239" t="s">
        <v>392</v>
      </c>
      <c r="C82" s="240">
        <v>10</v>
      </c>
      <c r="D82" s="690"/>
      <c r="E82" s="240"/>
      <c r="F82" s="836"/>
      <c r="G82" s="239">
        <v>1</v>
      </c>
      <c r="H82" s="203">
        <v>2</v>
      </c>
      <c r="I82" s="241">
        <v>100</v>
      </c>
      <c r="J82" s="234"/>
      <c r="K82" s="234">
        <v>8870</v>
      </c>
      <c r="L82" s="234"/>
      <c r="M82" s="241">
        <v>100</v>
      </c>
      <c r="N82" s="235" t="e">
        <f>(((I82+J82+K82+L82+M82)-C82*#REF!*2)/1000)</f>
        <v>#REF!</v>
      </c>
      <c r="O82" s="235"/>
      <c r="P82" s="200">
        <f t="shared" si="23"/>
        <v>0</v>
      </c>
      <c r="Q82" s="200" t="e">
        <f t="shared" si="24"/>
        <v>#REF!</v>
      </c>
      <c r="R82" s="200">
        <f t="shared" si="25"/>
        <v>0</v>
      </c>
      <c r="S82" s="200">
        <f t="shared" si="26"/>
        <v>0</v>
      </c>
      <c r="T82" s="200">
        <f t="shared" si="27"/>
        <v>0</v>
      </c>
      <c r="U82" s="688">
        <f t="shared" si="28"/>
        <v>0</v>
      </c>
      <c r="V82" s="200">
        <f t="shared" si="29"/>
        <v>0</v>
      </c>
      <c r="W82" s="689"/>
    </row>
    <row r="83" spans="1:23" s="236" customFormat="1" ht="24.95" hidden="1" customHeight="1" outlineLevel="1">
      <c r="A83" s="239"/>
      <c r="B83" s="239" t="s">
        <v>393</v>
      </c>
      <c r="C83" s="240">
        <v>10</v>
      </c>
      <c r="D83" s="690"/>
      <c r="E83" s="240"/>
      <c r="F83" s="836"/>
      <c r="G83" s="239">
        <v>1</v>
      </c>
      <c r="H83" s="203">
        <v>2</v>
      </c>
      <c r="I83" s="241">
        <v>100</v>
      </c>
      <c r="J83" s="234"/>
      <c r="K83" s="234">
        <v>8870</v>
      </c>
      <c r="L83" s="234"/>
      <c r="M83" s="241">
        <v>100</v>
      </c>
      <c r="N83" s="235" t="e">
        <f>(((I83+J83+K83+L83+M83)-C83*#REF!*2)/1000)</f>
        <v>#REF!</v>
      </c>
      <c r="O83" s="235"/>
      <c r="P83" s="200">
        <f t="shared" si="23"/>
        <v>0</v>
      </c>
      <c r="Q83" s="200" t="e">
        <f t="shared" si="24"/>
        <v>#REF!</v>
      </c>
      <c r="R83" s="200">
        <f t="shared" si="25"/>
        <v>0</v>
      </c>
      <c r="S83" s="200">
        <f t="shared" si="26"/>
        <v>0</v>
      </c>
      <c r="T83" s="200">
        <f t="shared" si="27"/>
        <v>0</v>
      </c>
      <c r="U83" s="688">
        <f t="shared" si="28"/>
        <v>0</v>
      </c>
      <c r="V83" s="200">
        <f t="shared" si="29"/>
        <v>0</v>
      </c>
      <c r="W83" s="689"/>
    </row>
    <row r="84" spans="1:23" s="236" customFormat="1" ht="24.95" hidden="1" customHeight="1" outlineLevel="1">
      <c r="A84" s="239"/>
      <c r="B84" s="239" t="s">
        <v>394</v>
      </c>
      <c r="C84" s="240">
        <v>8</v>
      </c>
      <c r="D84" s="690"/>
      <c r="E84" s="240"/>
      <c r="F84" s="836"/>
      <c r="G84" s="239">
        <v>1</v>
      </c>
      <c r="H84" s="203">
        <f>(8870/200)+1</f>
        <v>45.35</v>
      </c>
      <c r="I84" s="234"/>
      <c r="J84" s="234"/>
      <c r="K84" s="234">
        <v>820</v>
      </c>
      <c r="L84" s="234"/>
      <c r="M84" s="234"/>
      <c r="N84" s="235" t="e">
        <f>(((I84+J84+K84+L84+M84)-C84*#REF!*2)/1000)</f>
        <v>#REF!</v>
      </c>
      <c r="O84" s="235"/>
      <c r="P84" s="200" t="e">
        <f t="shared" si="23"/>
        <v>#REF!</v>
      </c>
      <c r="Q84" s="200">
        <f t="shared" si="24"/>
        <v>0</v>
      </c>
      <c r="R84" s="200">
        <f t="shared" si="25"/>
        <v>0</v>
      </c>
      <c r="S84" s="200">
        <f t="shared" si="26"/>
        <v>0</v>
      </c>
      <c r="T84" s="200">
        <f t="shared" si="27"/>
        <v>0</v>
      </c>
      <c r="U84" s="688">
        <f t="shared" si="28"/>
        <v>0</v>
      </c>
      <c r="V84" s="200">
        <f t="shared" si="29"/>
        <v>0</v>
      </c>
      <c r="W84" s="689"/>
    </row>
    <row r="85" spans="1:23" s="236" customFormat="1" ht="24.95" hidden="1" customHeight="1" outlineLevel="1">
      <c r="A85" s="239">
        <v>10</v>
      </c>
      <c r="B85" s="239" t="s">
        <v>392</v>
      </c>
      <c r="C85" s="240">
        <v>10</v>
      </c>
      <c r="D85" s="690"/>
      <c r="E85" s="240"/>
      <c r="F85" s="836"/>
      <c r="G85" s="239">
        <v>1</v>
      </c>
      <c r="H85" s="203">
        <v>2</v>
      </c>
      <c r="I85" s="241">
        <v>100</v>
      </c>
      <c r="J85" s="234"/>
      <c r="K85" s="234">
        <v>6215</v>
      </c>
      <c r="L85" s="234"/>
      <c r="M85" s="241">
        <v>100</v>
      </c>
      <c r="N85" s="235" t="e">
        <f>(((I85+J85+K85+L85+M85)-C85*#REF!*2)/1000)</f>
        <v>#REF!</v>
      </c>
      <c r="O85" s="235"/>
      <c r="P85" s="200">
        <f t="shared" si="23"/>
        <v>0</v>
      </c>
      <c r="Q85" s="200" t="e">
        <f t="shared" si="24"/>
        <v>#REF!</v>
      </c>
      <c r="R85" s="200">
        <f t="shared" si="25"/>
        <v>0</v>
      </c>
      <c r="S85" s="200">
        <f t="shared" si="26"/>
        <v>0</v>
      </c>
      <c r="T85" s="200">
        <f t="shared" si="27"/>
        <v>0</v>
      </c>
      <c r="U85" s="688">
        <f t="shared" si="28"/>
        <v>0</v>
      </c>
      <c r="V85" s="200">
        <f t="shared" si="29"/>
        <v>0</v>
      </c>
      <c r="W85" s="689"/>
    </row>
    <row r="86" spans="1:23" s="236" customFormat="1" ht="24.95" hidden="1" customHeight="1" outlineLevel="1">
      <c r="A86" s="239"/>
      <c r="B86" s="239" t="s">
        <v>393</v>
      </c>
      <c r="C86" s="240">
        <v>10</v>
      </c>
      <c r="D86" s="690"/>
      <c r="E86" s="240"/>
      <c r="F86" s="836"/>
      <c r="G86" s="239">
        <v>1</v>
      </c>
      <c r="H86" s="203">
        <v>2</v>
      </c>
      <c r="I86" s="241">
        <v>100</v>
      </c>
      <c r="J86" s="234"/>
      <c r="K86" s="234">
        <v>6215</v>
      </c>
      <c r="L86" s="234"/>
      <c r="M86" s="241">
        <v>100</v>
      </c>
      <c r="N86" s="235" t="e">
        <f>(((I86+J86+K86+L86+M86)-C86*#REF!*2)/1000)</f>
        <v>#REF!</v>
      </c>
      <c r="O86" s="235"/>
      <c r="P86" s="200">
        <f t="shared" si="23"/>
        <v>0</v>
      </c>
      <c r="Q86" s="200" t="e">
        <f t="shared" si="24"/>
        <v>#REF!</v>
      </c>
      <c r="R86" s="200">
        <f t="shared" si="25"/>
        <v>0</v>
      </c>
      <c r="S86" s="200">
        <f t="shared" si="26"/>
        <v>0</v>
      </c>
      <c r="T86" s="200">
        <f t="shared" si="27"/>
        <v>0</v>
      </c>
      <c r="U86" s="688">
        <f t="shared" si="28"/>
        <v>0</v>
      </c>
      <c r="V86" s="200">
        <f t="shared" si="29"/>
        <v>0</v>
      </c>
      <c r="W86" s="689"/>
    </row>
    <row r="87" spans="1:23" s="236" customFormat="1" ht="24.95" hidden="1" customHeight="1" outlineLevel="1">
      <c r="A87" s="239"/>
      <c r="B87" s="239" t="s">
        <v>394</v>
      </c>
      <c r="C87" s="240">
        <v>8</v>
      </c>
      <c r="D87" s="690"/>
      <c r="E87" s="240"/>
      <c r="F87" s="836"/>
      <c r="G87" s="239">
        <v>1</v>
      </c>
      <c r="H87" s="203">
        <f>(6215/200)+1</f>
        <v>32.075000000000003</v>
      </c>
      <c r="I87" s="234"/>
      <c r="J87" s="234"/>
      <c r="K87" s="234">
        <v>820</v>
      </c>
      <c r="L87" s="234"/>
      <c r="M87" s="234"/>
      <c r="N87" s="235" t="e">
        <f>(((I87+J87+K87+L87+M87)-C87*#REF!*2)/1000)</f>
        <v>#REF!</v>
      </c>
      <c r="O87" s="235"/>
      <c r="P87" s="200" t="e">
        <f t="shared" si="23"/>
        <v>#REF!</v>
      </c>
      <c r="Q87" s="200">
        <f t="shared" si="24"/>
        <v>0</v>
      </c>
      <c r="R87" s="200">
        <f t="shared" si="25"/>
        <v>0</v>
      </c>
      <c r="S87" s="200">
        <f t="shared" si="26"/>
        <v>0</v>
      </c>
      <c r="T87" s="200">
        <f t="shared" si="27"/>
        <v>0</v>
      </c>
      <c r="U87" s="688">
        <f t="shared" si="28"/>
        <v>0</v>
      </c>
      <c r="V87" s="200">
        <f t="shared" si="29"/>
        <v>0</v>
      </c>
      <c r="W87" s="689"/>
    </row>
    <row r="88" spans="1:23" s="236" customFormat="1" ht="24.95" hidden="1" customHeight="1" outlineLevel="1">
      <c r="A88" s="239">
        <v>11</v>
      </c>
      <c r="B88" s="239" t="s">
        <v>392</v>
      </c>
      <c r="C88" s="240">
        <v>10</v>
      </c>
      <c r="D88" s="690"/>
      <c r="E88" s="240"/>
      <c r="F88" s="836"/>
      <c r="G88" s="239">
        <v>1</v>
      </c>
      <c r="H88" s="203">
        <v>2</v>
      </c>
      <c r="I88" s="241">
        <v>100</v>
      </c>
      <c r="J88" s="234"/>
      <c r="K88" s="241">
        <v>11100</v>
      </c>
      <c r="L88" s="234"/>
      <c r="M88" s="241">
        <v>100</v>
      </c>
      <c r="N88" s="235" t="e">
        <f>(((I88+J88+K88+L88+M88)-C88*#REF!*2)/1000)</f>
        <v>#REF!</v>
      </c>
      <c r="O88" s="235"/>
      <c r="P88" s="200">
        <f t="shared" si="23"/>
        <v>0</v>
      </c>
      <c r="Q88" s="200" t="e">
        <f t="shared" si="24"/>
        <v>#REF!</v>
      </c>
      <c r="R88" s="200">
        <f t="shared" si="25"/>
        <v>0</v>
      </c>
      <c r="S88" s="200">
        <f t="shared" si="26"/>
        <v>0</v>
      </c>
      <c r="T88" s="200">
        <f t="shared" si="27"/>
        <v>0</v>
      </c>
      <c r="U88" s="688">
        <f t="shared" si="28"/>
        <v>0</v>
      </c>
      <c r="V88" s="200">
        <f t="shared" si="29"/>
        <v>0</v>
      </c>
      <c r="W88" s="689"/>
    </row>
    <row r="89" spans="1:23" s="236" customFormat="1" ht="24.95" hidden="1" customHeight="1" outlineLevel="1">
      <c r="A89" s="239"/>
      <c r="B89" s="239" t="s">
        <v>393</v>
      </c>
      <c r="C89" s="240">
        <v>10</v>
      </c>
      <c r="D89" s="690"/>
      <c r="E89" s="240"/>
      <c r="F89" s="836"/>
      <c r="G89" s="239">
        <v>1</v>
      </c>
      <c r="H89" s="203">
        <v>2</v>
      </c>
      <c r="I89" s="241">
        <v>100</v>
      </c>
      <c r="J89" s="234"/>
      <c r="K89" s="241">
        <v>11100</v>
      </c>
      <c r="L89" s="234"/>
      <c r="M89" s="241">
        <v>100</v>
      </c>
      <c r="N89" s="235" t="e">
        <f>(((I89+J89+K89+L89+M89)-C89*#REF!*2)/1000)</f>
        <v>#REF!</v>
      </c>
      <c r="O89" s="235"/>
      <c r="P89" s="200">
        <f t="shared" si="23"/>
        <v>0</v>
      </c>
      <c r="Q89" s="200" t="e">
        <f t="shared" si="24"/>
        <v>#REF!</v>
      </c>
      <c r="R89" s="200">
        <f t="shared" si="25"/>
        <v>0</v>
      </c>
      <c r="S89" s="200">
        <f t="shared" si="26"/>
        <v>0</v>
      </c>
      <c r="T89" s="200">
        <f t="shared" si="27"/>
        <v>0</v>
      </c>
      <c r="U89" s="688">
        <f t="shared" si="28"/>
        <v>0</v>
      </c>
      <c r="V89" s="200">
        <f t="shared" si="29"/>
        <v>0</v>
      </c>
      <c r="W89" s="689"/>
    </row>
    <row r="90" spans="1:23" s="236" customFormat="1" ht="24.95" hidden="1" customHeight="1" outlineLevel="1">
      <c r="A90" s="239"/>
      <c r="B90" s="239" t="s">
        <v>394</v>
      </c>
      <c r="C90" s="240">
        <v>8</v>
      </c>
      <c r="D90" s="690"/>
      <c r="E90" s="240"/>
      <c r="F90" s="836"/>
      <c r="G90" s="239">
        <v>1</v>
      </c>
      <c r="H90" s="203">
        <f>(11170/200)+1</f>
        <v>56.85</v>
      </c>
      <c r="I90" s="234"/>
      <c r="J90" s="234"/>
      <c r="K90" s="234">
        <v>820</v>
      </c>
      <c r="L90" s="234"/>
      <c r="M90" s="234"/>
      <c r="N90" s="235" t="e">
        <f>(((I90+J90+K90+L90+M90)-C90*#REF!*2)/1000)</f>
        <v>#REF!</v>
      </c>
      <c r="O90" s="235"/>
      <c r="P90" s="200" t="e">
        <f t="shared" si="23"/>
        <v>#REF!</v>
      </c>
      <c r="Q90" s="200">
        <f t="shared" si="24"/>
        <v>0</v>
      </c>
      <c r="R90" s="200">
        <f t="shared" si="25"/>
        <v>0</v>
      </c>
      <c r="S90" s="200">
        <f t="shared" si="26"/>
        <v>0</v>
      </c>
      <c r="T90" s="200">
        <f t="shared" si="27"/>
        <v>0</v>
      </c>
      <c r="U90" s="688">
        <f t="shared" si="28"/>
        <v>0</v>
      </c>
      <c r="V90" s="200">
        <f t="shared" si="29"/>
        <v>0</v>
      </c>
      <c r="W90" s="689"/>
    </row>
    <row r="91" spans="1:23" s="236" customFormat="1" ht="24.95" hidden="1" customHeight="1" outlineLevel="1">
      <c r="A91" s="205" t="s">
        <v>398</v>
      </c>
      <c r="B91" s="206" t="s">
        <v>396</v>
      </c>
      <c r="C91" s="240"/>
      <c r="D91" s="690"/>
      <c r="E91" s="240"/>
      <c r="F91" s="836"/>
      <c r="G91" s="239"/>
      <c r="H91" s="203"/>
      <c r="I91" s="234"/>
      <c r="J91" s="234"/>
      <c r="K91" s="234"/>
      <c r="L91" s="234"/>
      <c r="M91" s="234"/>
      <c r="N91" s="235" t="e">
        <f>(((I91+J91+K91+L91+M91)-C91*#REF!*2)/1000)</f>
        <v>#REF!</v>
      </c>
      <c r="O91" s="235"/>
      <c r="P91" s="200">
        <f t="shared" si="23"/>
        <v>0</v>
      </c>
      <c r="Q91" s="200">
        <f t="shared" si="24"/>
        <v>0</v>
      </c>
      <c r="R91" s="200">
        <f t="shared" si="25"/>
        <v>0</v>
      </c>
      <c r="S91" s="200">
        <f t="shared" si="26"/>
        <v>0</v>
      </c>
      <c r="T91" s="200">
        <f t="shared" si="27"/>
        <v>0</v>
      </c>
      <c r="U91" s="688">
        <f t="shared" si="28"/>
        <v>0</v>
      </c>
      <c r="V91" s="200">
        <f t="shared" si="29"/>
        <v>0</v>
      </c>
      <c r="W91" s="689"/>
    </row>
    <row r="92" spans="1:23" s="236" customFormat="1" ht="24.95" hidden="1" customHeight="1" outlineLevel="1">
      <c r="A92" s="239">
        <v>1</v>
      </c>
      <c r="B92" s="239" t="s">
        <v>392</v>
      </c>
      <c r="C92" s="240">
        <v>10</v>
      </c>
      <c r="D92" s="690"/>
      <c r="E92" s="240"/>
      <c r="F92" s="836"/>
      <c r="G92" s="239">
        <v>5</v>
      </c>
      <c r="H92" s="203">
        <v>2</v>
      </c>
      <c r="I92" s="241">
        <v>100</v>
      </c>
      <c r="J92" s="234"/>
      <c r="K92" s="241">
        <v>1020</v>
      </c>
      <c r="L92" s="234"/>
      <c r="M92" s="241">
        <v>100</v>
      </c>
      <c r="N92" s="235" t="e">
        <f>(((I92+J92+K92+L92+M92)-C92*#REF!*2)/1000)</f>
        <v>#REF!</v>
      </c>
      <c r="O92" s="235"/>
      <c r="P92" s="200">
        <f t="shared" si="23"/>
        <v>0</v>
      </c>
      <c r="Q92" s="200" t="e">
        <f t="shared" si="24"/>
        <v>#REF!</v>
      </c>
      <c r="R92" s="200">
        <f t="shared" si="25"/>
        <v>0</v>
      </c>
      <c r="S92" s="200">
        <f t="shared" si="26"/>
        <v>0</v>
      </c>
      <c r="T92" s="200">
        <f t="shared" si="27"/>
        <v>0</v>
      </c>
      <c r="U92" s="688">
        <f t="shared" si="28"/>
        <v>0</v>
      </c>
      <c r="V92" s="200">
        <f t="shared" si="29"/>
        <v>0</v>
      </c>
      <c r="W92" s="689"/>
    </row>
    <row r="93" spans="1:23" s="236" customFormat="1" ht="24.95" hidden="1" customHeight="1" outlineLevel="1">
      <c r="A93" s="239"/>
      <c r="B93" s="239" t="s">
        <v>393</v>
      </c>
      <c r="C93" s="240">
        <v>10</v>
      </c>
      <c r="D93" s="690"/>
      <c r="E93" s="240"/>
      <c r="F93" s="836"/>
      <c r="G93" s="239">
        <v>5</v>
      </c>
      <c r="H93" s="203">
        <v>2</v>
      </c>
      <c r="I93" s="241">
        <v>100</v>
      </c>
      <c r="J93" s="234"/>
      <c r="K93" s="241">
        <v>1020</v>
      </c>
      <c r="L93" s="234"/>
      <c r="M93" s="241">
        <v>100</v>
      </c>
      <c r="N93" s="235" t="e">
        <f>(((I93+J93+K93+L93+M93)-C93*#REF!*2)/1000)</f>
        <v>#REF!</v>
      </c>
      <c r="O93" s="235"/>
      <c r="P93" s="200">
        <f t="shared" si="23"/>
        <v>0</v>
      </c>
      <c r="Q93" s="200" t="e">
        <f t="shared" si="24"/>
        <v>#REF!</v>
      </c>
      <c r="R93" s="200">
        <f t="shared" si="25"/>
        <v>0</v>
      </c>
      <c r="S93" s="200">
        <f t="shared" si="26"/>
        <v>0</v>
      </c>
      <c r="T93" s="200">
        <f t="shared" si="27"/>
        <v>0</v>
      </c>
      <c r="U93" s="688">
        <f t="shared" si="28"/>
        <v>0</v>
      </c>
      <c r="V93" s="200">
        <f t="shared" si="29"/>
        <v>0</v>
      </c>
      <c r="W93" s="689"/>
    </row>
    <row r="94" spans="1:23" s="236" customFormat="1" ht="24.95" hidden="1" customHeight="1" outlineLevel="1">
      <c r="A94" s="239"/>
      <c r="B94" s="239" t="s">
        <v>394</v>
      </c>
      <c r="C94" s="240">
        <v>8</v>
      </c>
      <c r="D94" s="690"/>
      <c r="E94" s="240"/>
      <c r="F94" s="836"/>
      <c r="G94" s="239">
        <v>5</v>
      </c>
      <c r="H94" s="203">
        <f>(1095/200)+1</f>
        <v>6.4749999999999996</v>
      </c>
      <c r="I94" s="234"/>
      <c r="J94" s="234"/>
      <c r="K94" s="234">
        <v>820</v>
      </c>
      <c r="L94" s="234"/>
      <c r="M94" s="234"/>
      <c r="N94" s="235" t="e">
        <f>(((I94+J94+K94+L94+M94)-C94*#REF!*2)/1000)</f>
        <v>#REF!</v>
      </c>
      <c r="O94" s="235"/>
      <c r="P94" s="200" t="e">
        <f t="shared" si="23"/>
        <v>#REF!</v>
      </c>
      <c r="Q94" s="200">
        <f t="shared" si="24"/>
        <v>0</v>
      </c>
      <c r="R94" s="200">
        <f t="shared" si="25"/>
        <v>0</v>
      </c>
      <c r="S94" s="200">
        <f t="shared" si="26"/>
        <v>0</v>
      </c>
      <c r="T94" s="200">
        <f t="shared" si="27"/>
        <v>0</v>
      </c>
      <c r="U94" s="688">
        <f t="shared" si="28"/>
        <v>0</v>
      </c>
      <c r="V94" s="200">
        <f t="shared" si="29"/>
        <v>0</v>
      </c>
      <c r="W94" s="689"/>
    </row>
    <row r="95" spans="1:23" s="236" customFormat="1" ht="24.95" hidden="1" customHeight="1" outlineLevel="1">
      <c r="A95" s="239">
        <v>2</v>
      </c>
      <c r="B95" s="239" t="s">
        <v>392</v>
      </c>
      <c r="C95" s="240">
        <v>10</v>
      </c>
      <c r="D95" s="690"/>
      <c r="E95" s="240"/>
      <c r="F95" s="836"/>
      <c r="G95" s="239">
        <v>4</v>
      </c>
      <c r="H95" s="203">
        <v>2</v>
      </c>
      <c r="I95" s="241">
        <v>100</v>
      </c>
      <c r="J95" s="234"/>
      <c r="K95" s="234">
        <v>2010</v>
      </c>
      <c r="L95" s="234"/>
      <c r="M95" s="241">
        <v>100</v>
      </c>
      <c r="N95" s="235" t="e">
        <f>(((I95+J95+K95+L95+M95)-C95*#REF!*2)/1000)</f>
        <v>#REF!</v>
      </c>
      <c r="O95" s="235"/>
      <c r="P95" s="200">
        <f t="shared" si="23"/>
        <v>0</v>
      </c>
      <c r="Q95" s="200" t="e">
        <f t="shared" si="24"/>
        <v>#REF!</v>
      </c>
      <c r="R95" s="200">
        <f t="shared" si="25"/>
        <v>0</v>
      </c>
      <c r="S95" s="200">
        <f t="shared" si="26"/>
        <v>0</v>
      </c>
      <c r="T95" s="200">
        <f t="shared" si="27"/>
        <v>0</v>
      </c>
      <c r="U95" s="688">
        <f t="shared" si="28"/>
        <v>0</v>
      </c>
      <c r="V95" s="200">
        <f t="shared" si="29"/>
        <v>0</v>
      </c>
      <c r="W95" s="689"/>
    </row>
    <row r="96" spans="1:23" s="236" customFormat="1" ht="24.95" hidden="1" customHeight="1" outlineLevel="1">
      <c r="A96" s="239"/>
      <c r="B96" s="239" t="s">
        <v>393</v>
      </c>
      <c r="C96" s="240">
        <v>10</v>
      </c>
      <c r="D96" s="690"/>
      <c r="E96" s="240"/>
      <c r="F96" s="836"/>
      <c r="G96" s="239">
        <v>4</v>
      </c>
      <c r="H96" s="203">
        <v>2</v>
      </c>
      <c r="I96" s="241">
        <v>100</v>
      </c>
      <c r="J96" s="234"/>
      <c r="K96" s="234">
        <v>2010</v>
      </c>
      <c r="L96" s="234"/>
      <c r="M96" s="241">
        <v>100</v>
      </c>
      <c r="N96" s="235" t="e">
        <f>(((I96+J96+K96+L96+M96)-C96*#REF!*2)/1000)</f>
        <v>#REF!</v>
      </c>
      <c r="O96" s="235"/>
      <c r="P96" s="200">
        <f t="shared" si="23"/>
        <v>0</v>
      </c>
      <c r="Q96" s="200" t="e">
        <f t="shared" si="24"/>
        <v>#REF!</v>
      </c>
      <c r="R96" s="200">
        <f t="shared" si="25"/>
        <v>0</v>
      </c>
      <c r="S96" s="200">
        <f t="shared" si="26"/>
        <v>0</v>
      </c>
      <c r="T96" s="200">
        <f t="shared" si="27"/>
        <v>0</v>
      </c>
      <c r="U96" s="688">
        <f t="shared" si="28"/>
        <v>0</v>
      </c>
      <c r="V96" s="200">
        <f t="shared" si="29"/>
        <v>0</v>
      </c>
      <c r="W96" s="689"/>
    </row>
    <row r="97" spans="1:23" s="236" customFormat="1" ht="24.95" hidden="1" customHeight="1" outlineLevel="1">
      <c r="A97" s="239"/>
      <c r="B97" s="239" t="s">
        <v>394</v>
      </c>
      <c r="C97" s="240">
        <v>8</v>
      </c>
      <c r="D97" s="690"/>
      <c r="E97" s="240"/>
      <c r="F97" s="836"/>
      <c r="G97" s="239">
        <v>4</v>
      </c>
      <c r="H97" s="203">
        <f>(2010/200)+1</f>
        <v>11.05</v>
      </c>
      <c r="I97" s="234"/>
      <c r="J97" s="234"/>
      <c r="K97" s="234">
        <v>820</v>
      </c>
      <c r="L97" s="234"/>
      <c r="M97" s="234"/>
      <c r="N97" s="235" t="e">
        <f>(((I97+J97+K97+L97+M97)-C97*#REF!*2)/1000)</f>
        <v>#REF!</v>
      </c>
      <c r="O97" s="235"/>
      <c r="P97" s="200" t="e">
        <f t="shared" si="23"/>
        <v>#REF!</v>
      </c>
      <c r="Q97" s="200">
        <f t="shared" si="24"/>
        <v>0</v>
      </c>
      <c r="R97" s="200">
        <f t="shared" si="25"/>
        <v>0</v>
      </c>
      <c r="S97" s="200">
        <f t="shared" si="26"/>
        <v>0</v>
      </c>
      <c r="T97" s="200">
        <f t="shared" si="27"/>
        <v>0</v>
      </c>
      <c r="U97" s="688">
        <f t="shared" si="28"/>
        <v>0</v>
      </c>
      <c r="V97" s="200">
        <f t="shared" si="29"/>
        <v>0</v>
      </c>
      <c r="W97" s="689"/>
    </row>
    <row r="98" spans="1:23" s="236" customFormat="1" ht="24.95" hidden="1" customHeight="1" outlineLevel="1">
      <c r="A98" s="239">
        <v>3</v>
      </c>
      <c r="B98" s="239" t="s">
        <v>392</v>
      </c>
      <c r="C98" s="240">
        <v>10</v>
      </c>
      <c r="D98" s="690"/>
      <c r="E98" s="240"/>
      <c r="F98" s="836"/>
      <c r="G98" s="239">
        <v>3</v>
      </c>
      <c r="H98" s="203">
        <v>2</v>
      </c>
      <c r="I98" s="241">
        <v>100</v>
      </c>
      <c r="J98" s="234"/>
      <c r="K98" s="234">
        <v>2925</v>
      </c>
      <c r="L98" s="234"/>
      <c r="M98" s="241">
        <v>100</v>
      </c>
      <c r="N98" s="235" t="e">
        <f>(((I98+J98+K98+L98+M98)-C98*#REF!*2)/1000)</f>
        <v>#REF!</v>
      </c>
      <c r="O98" s="235"/>
      <c r="P98" s="200">
        <f t="shared" si="23"/>
        <v>0</v>
      </c>
      <c r="Q98" s="200" t="e">
        <f t="shared" si="24"/>
        <v>#REF!</v>
      </c>
      <c r="R98" s="200">
        <f t="shared" si="25"/>
        <v>0</v>
      </c>
      <c r="S98" s="200">
        <f t="shared" si="26"/>
        <v>0</v>
      </c>
      <c r="T98" s="200">
        <f t="shared" si="27"/>
        <v>0</v>
      </c>
      <c r="U98" s="688">
        <f t="shared" si="28"/>
        <v>0</v>
      </c>
      <c r="V98" s="200">
        <f t="shared" si="29"/>
        <v>0</v>
      </c>
      <c r="W98" s="689"/>
    </row>
    <row r="99" spans="1:23" s="236" customFormat="1" ht="24.95" hidden="1" customHeight="1" outlineLevel="1">
      <c r="A99" s="239"/>
      <c r="B99" s="239" t="s">
        <v>393</v>
      </c>
      <c r="C99" s="240">
        <v>10</v>
      </c>
      <c r="D99" s="690"/>
      <c r="E99" s="240"/>
      <c r="F99" s="836"/>
      <c r="G99" s="239">
        <v>3</v>
      </c>
      <c r="H99" s="203">
        <v>2</v>
      </c>
      <c r="I99" s="241">
        <v>100</v>
      </c>
      <c r="J99" s="234"/>
      <c r="K99" s="234">
        <v>2925</v>
      </c>
      <c r="L99" s="234"/>
      <c r="M99" s="241">
        <v>100</v>
      </c>
      <c r="N99" s="235" t="e">
        <f>(((I99+J99+K99+L99+M99)-C99*#REF!*2)/1000)</f>
        <v>#REF!</v>
      </c>
      <c r="O99" s="235"/>
      <c r="P99" s="200">
        <f t="shared" si="23"/>
        <v>0</v>
      </c>
      <c r="Q99" s="200" t="e">
        <f t="shared" si="24"/>
        <v>#REF!</v>
      </c>
      <c r="R99" s="200">
        <f t="shared" si="25"/>
        <v>0</v>
      </c>
      <c r="S99" s="200">
        <f t="shared" si="26"/>
        <v>0</v>
      </c>
      <c r="T99" s="200">
        <f t="shared" si="27"/>
        <v>0</v>
      </c>
      <c r="U99" s="688">
        <f t="shared" si="28"/>
        <v>0</v>
      </c>
      <c r="V99" s="200">
        <f t="shared" si="29"/>
        <v>0</v>
      </c>
      <c r="W99" s="689"/>
    </row>
    <row r="100" spans="1:23" s="236" customFormat="1" ht="24.95" hidden="1" customHeight="1" outlineLevel="1">
      <c r="A100" s="239"/>
      <c r="B100" s="239" t="s">
        <v>394</v>
      </c>
      <c r="C100" s="240">
        <v>8</v>
      </c>
      <c r="D100" s="690"/>
      <c r="E100" s="240"/>
      <c r="F100" s="836"/>
      <c r="G100" s="239">
        <v>3</v>
      </c>
      <c r="H100" s="203">
        <f>(2925/200)+1</f>
        <v>15.625</v>
      </c>
      <c r="I100" s="234"/>
      <c r="J100" s="234"/>
      <c r="K100" s="234">
        <v>820</v>
      </c>
      <c r="L100" s="234"/>
      <c r="M100" s="234"/>
      <c r="N100" s="235" t="e">
        <f>(((I100+J100+K100+L100+M100)-C100*#REF!*2)/1000)</f>
        <v>#REF!</v>
      </c>
      <c r="O100" s="235"/>
      <c r="P100" s="200" t="e">
        <f t="shared" si="23"/>
        <v>#REF!</v>
      </c>
      <c r="Q100" s="200">
        <f t="shared" si="24"/>
        <v>0</v>
      </c>
      <c r="R100" s="200">
        <f t="shared" si="25"/>
        <v>0</v>
      </c>
      <c r="S100" s="200">
        <f t="shared" si="26"/>
        <v>0</v>
      </c>
      <c r="T100" s="200">
        <f t="shared" si="27"/>
        <v>0</v>
      </c>
      <c r="U100" s="688">
        <f t="shared" si="28"/>
        <v>0</v>
      </c>
      <c r="V100" s="200">
        <f t="shared" si="29"/>
        <v>0</v>
      </c>
      <c r="W100" s="689"/>
    </row>
    <row r="101" spans="1:23" s="236" customFormat="1" ht="24.95" hidden="1" customHeight="1" outlineLevel="1">
      <c r="A101" s="239">
        <v>4</v>
      </c>
      <c r="B101" s="239" t="s">
        <v>392</v>
      </c>
      <c r="C101" s="240">
        <v>10</v>
      </c>
      <c r="D101" s="690"/>
      <c r="E101" s="240"/>
      <c r="F101" s="836"/>
      <c r="G101" s="239">
        <v>3</v>
      </c>
      <c r="H101" s="203">
        <v>2</v>
      </c>
      <c r="I101" s="241">
        <v>100</v>
      </c>
      <c r="J101" s="234"/>
      <c r="K101" s="241">
        <v>3770</v>
      </c>
      <c r="L101" s="234"/>
      <c r="M101" s="241">
        <v>100</v>
      </c>
      <c r="N101" s="235" t="e">
        <f>(((I101+J101+K101+L101+M101)-C101*#REF!*2)/1000)</f>
        <v>#REF!</v>
      </c>
      <c r="O101" s="235"/>
      <c r="P101" s="200">
        <f t="shared" si="23"/>
        <v>0</v>
      </c>
      <c r="Q101" s="200" t="e">
        <f t="shared" si="24"/>
        <v>#REF!</v>
      </c>
      <c r="R101" s="200">
        <f t="shared" si="25"/>
        <v>0</v>
      </c>
      <c r="S101" s="200">
        <f t="shared" si="26"/>
        <v>0</v>
      </c>
      <c r="T101" s="200">
        <f t="shared" si="27"/>
        <v>0</v>
      </c>
      <c r="U101" s="688">
        <f t="shared" si="28"/>
        <v>0</v>
      </c>
      <c r="V101" s="200">
        <f t="shared" si="29"/>
        <v>0</v>
      </c>
      <c r="W101" s="689"/>
    </row>
    <row r="102" spans="1:23" s="236" customFormat="1" ht="24.95" hidden="1" customHeight="1" outlineLevel="1">
      <c r="A102" s="239"/>
      <c r="B102" s="239" t="s">
        <v>393</v>
      </c>
      <c r="C102" s="240">
        <v>10</v>
      </c>
      <c r="D102" s="690"/>
      <c r="E102" s="240"/>
      <c r="F102" s="836"/>
      <c r="G102" s="239">
        <v>3</v>
      </c>
      <c r="H102" s="203">
        <v>2</v>
      </c>
      <c r="I102" s="241">
        <v>100</v>
      </c>
      <c r="J102" s="234"/>
      <c r="K102" s="241">
        <v>3770</v>
      </c>
      <c r="L102" s="234"/>
      <c r="M102" s="241">
        <v>100</v>
      </c>
      <c r="N102" s="235" t="e">
        <f>(((I102+J102+K102+L102+M102)-C102*#REF!*2)/1000)</f>
        <v>#REF!</v>
      </c>
      <c r="O102" s="235"/>
      <c r="P102" s="200">
        <f t="shared" si="23"/>
        <v>0</v>
      </c>
      <c r="Q102" s="200" t="e">
        <f t="shared" si="24"/>
        <v>#REF!</v>
      </c>
      <c r="R102" s="200">
        <f t="shared" si="25"/>
        <v>0</v>
      </c>
      <c r="S102" s="200">
        <f t="shared" si="26"/>
        <v>0</v>
      </c>
      <c r="T102" s="200">
        <f t="shared" si="27"/>
        <v>0</v>
      </c>
      <c r="U102" s="688">
        <f t="shared" si="28"/>
        <v>0</v>
      </c>
      <c r="V102" s="200">
        <f t="shared" si="29"/>
        <v>0</v>
      </c>
      <c r="W102" s="689"/>
    </row>
    <row r="103" spans="1:23" s="236" customFormat="1" ht="24.95" hidden="1" customHeight="1" outlineLevel="1">
      <c r="A103" s="239"/>
      <c r="B103" s="239" t="s">
        <v>394</v>
      </c>
      <c r="C103" s="240">
        <v>8</v>
      </c>
      <c r="D103" s="690"/>
      <c r="E103" s="240"/>
      <c r="F103" s="836"/>
      <c r="G103" s="239">
        <v>3</v>
      </c>
      <c r="H103" s="203">
        <f>(3890/200)+1</f>
        <v>20.45</v>
      </c>
      <c r="I103" s="234"/>
      <c r="J103" s="234"/>
      <c r="K103" s="234">
        <v>820</v>
      </c>
      <c r="L103" s="234"/>
      <c r="M103" s="234"/>
      <c r="N103" s="235" t="e">
        <f>(((I103+J103+K103+L103+M103)-C103*#REF!*2)/1000)</f>
        <v>#REF!</v>
      </c>
      <c r="O103" s="235"/>
      <c r="P103" s="200" t="e">
        <f t="shared" si="23"/>
        <v>#REF!</v>
      </c>
      <c r="Q103" s="200">
        <f t="shared" si="24"/>
        <v>0</v>
      </c>
      <c r="R103" s="200">
        <f t="shared" si="25"/>
        <v>0</v>
      </c>
      <c r="S103" s="200">
        <f t="shared" si="26"/>
        <v>0</v>
      </c>
      <c r="T103" s="200">
        <f t="shared" si="27"/>
        <v>0</v>
      </c>
      <c r="U103" s="688">
        <f t="shared" si="28"/>
        <v>0</v>
      </c>
      <c r="V103" s="200">
        <f t="shared" si="29"/>
        <v>0</v>
      </c>
      <c r="W103" s="689"/>
    </row>
    <row r="104" spans="1:23" s="236" customFormat="1" ht="24.95" hidden="1" customHeight="1" outlineLevel="1">
      <c r="A104" s="207">
        <v>5</v>
      </c>
      <c r="B104" s="208" t="s">
        <v>399</v>
      </c>
      <c r="C104" s="240">
        <v>12</v>
      </c>
      <c r="D104" s="690"/>
      <c r="E104" s="240"/>
      <c r="F104" s="836"/>
      <c r="G104" s="239">
        <v>4</v>
      </c>
      <c r="H104" s="203">
        <v>3</v>
      </c>
      <c r="I104" s="241">
        <v>100</v>
      </c>
      <c r="J104" s="234"/>
      <c r="K104" s="234">
        <v>2950</v>
      </c>
      <c r="L104" s="234"/>
      <c r="M104" s="241">
        <v>100</v>
      </c>
      <c r="N104" s="235" t="e">
        <f>(((I104+J104+K104+L104+M104)-C104*#REF!*2)/1000)</f>
        <v>#REF!</v>
      </c>
      <c r="O104" s="235"/>
      <c r="P104" s="200">
        <f t="shared" si="23"/>
        <v>0</v>
      </c>
      <c r="Q104" s="200">
        <f t="shared" si="24"/>
        <v>0</v>
      </c>
      <c r="R104" s="200" t="e">
        <f t="shared" si="25"/>
        <v>#REF!</v>
      </c>
      <c r="S104" s="200">
        <f t="shared" si="26"/>
        <v>0</v>
      </c>
      <c r="T104" s="200">
        <f t="shared" si="27"/>
        <v>0</v>
      </c>
      <c r="U104" s="688">
        <f t="shared" si="28"/>
        <v>0</v>
      </c>
      <c r="V104" s="200">
        <f t="shared" si="29"/>
        <v>0</v>
      </c>
      <c r="W104" s="689"/>
    </row>
    <row r="105" spans="1:23" s="236" customFormat="1" ht="24.95" hidden="1" customHeight="1" outlineLevel="1">
      <c r="A105" s="239"/>
      <c r="B105" s="239" t="s">
        <v>393</v>
      </c>
      <c r="C105" s="240">
        <v>12</v>
      </c>
      <c r="D105" s="690"/>
      <c r="E105" s="240"/>
      <c r="F105" s="836"/>
      <c r="G105" s="239">
        <v>4</v>
      </c>
      <c r="H105" s="203">
        <v>3</v>
      </c>
      <c r="I105" s="241">
        <v>100</v>
      </c>
      <c r="J105" s="234"/>
      <c r="K105" s="234">
        <v>2950</v>
      </c>
      <c r="L105" s="234"/>
      <c r="M105" s="241">
        <v>100</v>
      </c>
      <c r="N105" s="235" t="e">
        <f>(((I105+J105+K105+L105+M105)-C105*#REF!*2)/1000)</f>
        <v>#REF!</v>
      </c>
      <c r="O105" s="235"/>
      <c r="P105" s="200">
        <f t="shared" si="23"/>
        <v>0</v>
      </c>
      <c r="Q105" s="200">
        <f t="shared" si="24"/>
        <v>0</v>
      </c>
      <c r="R105" s="200" t="e">
        <f t="shared" si="25"/>
        <v>#REF!</v>
      </c>
      <c r="S105" s="200">
        <f t="shared" si="26"/>
        <v>0</v>
      </c>
      <c r="T105" s="200">
        <f t="shared" si="27"/>
        <v>0</v>
      </c>
      <c r="U105" s="688">
        <f t="shared" si="28"/>
        <v>0</v>
      </c>
      <c r="V105" s="200">
        <f t="shared" si="29"/>
        <v>0</v>
      </c>
      <c r="W105" s="689"/>
    </row>
    <row r="106" spans="1:23" s="236" customFormat="1" ht="24.95" hidden="1" customHeight="1" outlineLevel="1">
      <c r="A106" s="239"/>
      <c r="B106" s="239" t="s">
        <v>400</v>
      </c>
      <c r="C106" s="240">
        <v>8</v>
      </c>
      <c r="D106" s="690"/>
      <c r="E106" s="240"/>
      <c r="F106" s="836"/>
      <c r="G106" s="239">
        <v>4</v>
      </c>
      <c r="H106" s="203">
        <f>(2950/200)+1</f>
        <v>15.75</v>
      </c>
      <c r="I106" s="234"/>
      <c r="J106" s="234"/>
      <c r="K106" s="234">
        <v>1280</v>
      </c>
      <c r="L106" s="234"/>
      <c r="M106" s="234"/>
      <c r="N106" s="235" t="e">
        <f>(((I106+J106+K106+L106+M106)-C106*#REF!*2)/1000)</f>
        <v>#REF!</v>
      </c>
      <c r="O106" s="235"/>
      <c r="P106" s="200" t="e">
        <f t="shared" si="23"/>
        <v>#REF!</v>
      </c>
      <c r="Q106" s="200">
        <f t="shared" si="24"/>
        <v>0</v>
      </c>
      <c r="R106" s="200">
        <f t="shared" si="25"/>
        <v>0</v>
      </c>
      <c r="S106" s="200">
        <f t="shared" si="26"/>
        <v>0</v>
      </c>
      <c r="T106" s="200">
        <f t="shared" si="27"/>
        <v>0</v>
      </c>
      <c r="U106" s="688">
        <f t="shared" si="28"/>
        <v>0</v>
      </c>
      <c r="V106" s="200">
        <f t="shared" si="29"/>
        <v>0</v>
      </c>
      <c r="W106" s="689"/>
    </row>
    <row r="107" spans="1:23" s="236" customFormat="1" ht="24.95" hidden="1" customHeight="1" outlineLevel="1">
      <c r="A107" s="237">
        <v>2</v>
      </c>
      <c r="B107" s="238" t="s">
        <v>401</v>
      </c>
      <c r="C107" s="240"/>
      <c r="D107" s="690"/>
      <c r="E107" s="240"/>
      <c r="F107" s="836"/>
      <c r="G107" s="239"/>
      <c r="H107" s="203"/>
      <c r="I107" s="234"/>
      <c r="J107" s="234"/>
      <c r="K107" s="234"/>
      <c r="L107" s="234"/>
      <c r="M107" s="234"/>
      <c r="N107" s="235" t="e">
        <f>(((I107+J107+K107+L107+M107)-C107*#REF!*2)/1000)</f>
        <v>#REF!</v>
      </c>
      <c r="O107" s="235"/>
      <c r="P107" s="200">
        <f t="shared" si="23"/>
        <v>0</v>
      </c>
      <c r="Q107" s="200">
        <f t="shared" si="24"/>
        <v>0</v>
      </c>
      <c r="R107" s="200">
        <f t="shared" si="25"/>
        <v>0</v>
      </c>
      <c r="S107" s="200">
        <f t="shared" si="26"/>
        <v>0</v>
      </c>
      <c r="T107" s="200">
        <f t="shared" si="27"/>
        <v>0</v>
      </c>
      <c r="U107" s="688">
        <f t="shared" si="28"/>
        <v>0</v>
      </c>
      <c r="V107" s="200">
        <f t="shared" si="29"/>
        <v>0</v>
      </c>
      <c r="W107" s="689"/>
    </row>
    <row r="108" spans="1:23" s="236" customFormat="1" ht="24.95" hidden="1" customHeight="1" outlineLevel="1">
      <c r="A108" s="205" t="s">
        <v>402</v>
      </c>
      <c r="B108" s="205" t="s">
        <v>403</v>
      </c>
      <c r="C108" s="240"/>
      <c r="D108" s="690"/>
      <c r="E108" s="240"/>
      <c r="F108" s="836"/>
      <c r="G108" s="239"/>
      <c r="H108" s="203"/>
      <c r="I108" s="234"/>
      <c r="J108" s="234"/>
      <c r="K108" s="234"/>
      <c r="L108" s="234"/>
      <c r="M108" s="234"/>
      <c r="N108" s="235" t="e">
        <f>(((I108+J108+K108+L108+M108)-C108*#REF!*2)/1000)</f>
        <v>#REF!</v>
      </c>
      <c r="O108" s="235"/>
      <c r="P108" s="200">
        <f t="shared" si="23"/>
        <v>0</v>
      </c>
      <c r="Q108" s="200">
        <f t="shared" si="24"/>
        <v>0</v>
      </c>
      <c r="R108" s="200">
        <f t="shared" si="25"/>
        <v>0</v>
      </c>
      <c r="S108" s="200">
        <f t="shared" si="26"/>
        <v>0</v>
      </c>
      <c r="T108" s="200">
        <f t="shared" si="27"/>
        <v>0</v>
      </c>
      <c r="U108" s="688">
        <f t="shared" si="28"/>
        <v>0</v>
      </c>
      <c r="V108" s="200">
        <f t="shared" si="29"/>
        <v>0</v>
      </c>
      <c r="W108" s="689"/>
    </row>
    <row r="109" spans="1:23" s="236" customFormat="1" ht="24.95" hidden="1" customHeight="1" outlineLevel="1">
      <c r="A109" s="205" t="s">
        <v>404</v>
      </c>
      <c r="B109" s="206" t="s">
        <v>391</v>
      </c>
      <c r="C109" s="240"/>
      <c r="D109" s="690"/>
      <c r="E109" s="240"/>
      <c r="F109" s="836"/>
      <c r="G109" s="239"/>
      <c r="H109" s="203"/>
      <c r="I109" s="234"/>
      <c r="J109" s="234"/>
      <c r="K109" s="234"/>
      <c r="L109" s="234"/>
      <c r="M109" s="234"/>
      <c r="N109" s="235" t="e">
        <f>(((I109+J109+K109+L109+M109)-C109*#REF!*2)/1000)</f>
        <v>#REF!</v>
      </c>
      <c r="O109" s="235"/>
      <c r="P109" s="200">
        <f t="shared" si="23"/>
        <v>0</v>
      </c>
      <c r="Q109" s="200">
        <f t="shared" si="24"/>
        <v>0</v>
      </c>
      <c r="R109" s="200">
        <f t="shared" si="25"/>
        <v>0</v>
      </c>
      <c r="S109" s="200">
        <f t="shared" si="26"/>
        <v>0</v>
      </c>
      <c r="T109" s="200">
        <f t="shared" si="27"/>
        <v>0</v>
      </c>
      <c r="U109" s="688">
        <f t="shared" si="28"/>
        <v>0</v>
      </c>
      <c r="V109" s="200">
        <f t="shared" si="29"/>
        <v>0</v>
      </c>
      <c r="W109" s="689"/>
    </row>
    <row r="110" spans="1:23" s="236" customFormat="1" ht="24.95" hidden="1" customHeight="1" outlineLevel="1">
      <c r="A110" s="239">
        <v>1</v>
      </c>
      <c r="B110" s="239" t="s">
        <v>392</v>
      </c>
      <c r="C110" s="240">
        <v>10</v>
      </c>
      <c r="D110" s="690"/>
      <c r="E110" s="240"/>
      <c r="F110" s="836"/>
      <c r="G110" s="239">
        <v>1</v>
      </c>
      <c r="H110" s="203">
        <v>2</v>
      </c>
      <c r="I110" s="241">
        <v>100</v>
      </c>
      <c r="J110" s="234"/>
      <c r="K110" s="241">
        <v>9210</v>
      </c>
      <c r="L110" s="234"/>
      <c r="M110" s="241">
        <v>100</v>
      </c>
      <c r="N110" s="235" t="e">
        <f>(((I110+J110+K110+L110+M110)-C110*#REF!*2)/1000)</f>
        <v>#REF!</v>
      </c>
      <c r="O110" s="235"/>
      <c r="P110" s="200">
        <f t="shared" si="23"/>
        <v>0</v>
      </c>
      <c r="Q110" s="200" t="e">
        <f t="shared" si="24"/>
        <v>#REF!</v>
      </c>
      <c r="R110" s="200">
        <f t="shared" si="25"/>
        <v>0</v>
      </c>
      <c r="S110" s="200">
        <f t="shared" si="26"/>
        <v>0</v>
      </c>
      <c r="T110" s="200">
        <f t="shared" si="27"/>
        <v>0</v>
      </c>
      <c r="U110" s="688">
        <f t="shared" si="28"/>
        <v>0</v>
      </c>
      <c r="V110" s="200">
        <f t="shared" si="29"/>
        <v>0</v>
      </c>
      <c r="W110" s="689"/>
    </row>
    <row r="111" spans="1:23" s="236" customFormat="1" ht="24.95" hidden="1" customHeight="1" outlineLevel="1">
      <c r="A111" s="239"/>
      <c r="B111" s="239" t="s">
        <v>393</v>
      </c>
      <c r="C111" s="240">
        <v>10</v>
      </c>
      <c r="D111" s="690"/>
      <c r="E111" s="240"/>
      <c r="F111" s="836"/>
      <c r="G111" s="239">
        <v>1</v>
      </c>
      <c r="H111" s="203">
        <v>2</v>
      </c>
      <c r="I111" s="241">
        <v>100</v>
      </c>
      <c r="J111" s="234"/>
      <c r="K111" s="241">
        <v>9210</v>
      </c>
      <c r="L111" s="234"/>
      <c r="M111" s="241">
        <v>100</v>
      </c>
      <c r="N111" s="235" t="e">
        <f>(((I111+J111+K111+L111+M111)-C111*#REF!*2)/1000)</f>
        <v>#REF!</v>
      </c>
      <c r="O111" s="235"/>
      <c r="P111" s="200">
        <f t="shared" si="23"/>
        <v>0</v>
      </c>
      <c r="Q111" s="200" t="e">
        <f t="shared" si="24"/>
        <v>#REF!</v>
      </c>
      <c r="R111" s="200">
        <f t="shared" si="25"/>
        <v>0</v>
      </c>
      <c r="S111" s="200">
        <f t="shared" si="26"/>
        <v>0</v>
      </c>
      <c r="T111" s="200">
        <f t="shared" si="27"/>
        <v>0</v>
      </c>
      <c r="U111" s="688">
        <f t="shared" si="28"/>
        <v>0</v>
      </c>
      <c r="V111" s="200">
        <f t="shared" si="29"/>
        <v>0</v>
      </c>
      <c r="W111" s="689"/>
    </row>
    <row r="112" spans="1:23" s="236" customFormat="1" ht="24.95" hidden="1" customHeight="1" outlineLevel="1">
      <c r="A112" s="239"/>
      <c r="B112" s="239" t="s">
        <v>394</v>
      </c>
      <c r="C112" s="240">
        <v>8</v>
      </c>
      <c r="D112" s="690"/>
      <c r="E112" s="240"/>
      <c r="F112" s="836"/>
      <c r="G112" s="239">
        <v>1</v>
      </c>
      <c r="H112" s="203">
        <f>(9280/200)+1</f>
        <v>47.4</v>
      </c>
      <c r="I112" s="234"/>
      <c r="J112" s="234"/>
      <c r="K112" s="234">
        <v>820</v>
      </c>
      <c r="L112" s="234"/>
      <c r="M112" s="234"/>
      <c r="N112" s="235" t="e">
        <f>(((I112+J112+K112+L112+M112)-C112*#REF!*2)/1000)</f>
        <v>#REF!</v>
      </c>
      <c r="O112" s="235"/>
      <c r="P112" s="200" t="e">
        <f t="shared" si="23"/>
        <v>#REF!</v>
      </c>
      <c r="Q112" s="200">
        <f t="shared" si="24"/>
        <v>0</v>
      </c>
      <c r="R112" s="200">
        <f t="shared" si="25"/>
        <v>0</v>
      </c>
      <c r="S112" s="200">
        <f t="shared" si="26"/>
        <v>0</v>
      </c>
      <c r="T112" s="200">
        <f t="shared" si="27"/>
        <v>0</v>
      </c>
      <c r="U112" s="688">
        <f t="shared" si="28"/>
        <v>0</v>
      </c>
      <c r="V112" s="200">
        <f t="shared" si="29"/>
        <v>0</v>
      </c>
      <c r="W112" s="689"/>
    </row>
    <row r="113" spans="1:23" s="236" customFormat="1" ht="24.95" hidden="1" customHeight="1" outlineLevel="1">
      <c r="A113" s="239">
        <v>2</v>
      </c>
      <c r="B113" s="239" t="s">
        <v>392</v>
      </c>
      <c r="C113" s="240">
        <v>10</v>
      </c>
      <c r="D113" s="690"/>
      <c r="E113" s="240"/>
      <c r="F113" s="836"/>
      <c r="G113" s="239">
        <v>1</v>
      </c>
      <c r="H113" s="203">
        <v>2</v>
      </c>
      <c r="I113" s="241">
        <v>100</v>
      </c>
      <c r="J113" s="234"/>
      <c r="K113" s="234">
        <v>4380</v>
      </c>
      <c r="L113" s="234"/>
      <c r="M113" s="241">
        <v>100</v>
      </c>
      <c r="N113" s="235" t="e">
        <f>(((I113+J113+K113+L113+M113)-C113*#REF!*2)/1000)</f>
        <v>#REF!</v>
      </c>
      <c r="O113" s="235"/>
      <c r="P113" s="200">
        <f t="shared" si="23"/>
        <v>0</v>
      </c>
      <c r="Q113" s="200" t="e">
        <f t="shared" si="24"/>
        <v>#REF!</v>
      </c>
      <c r="R113" s="200">
        <f t="shared" si="25"/>
        <v>0</v>
      </c>
      <c r="S113" s="200">
        <f t="shared" si="26"/>
        <v>0</v>
      </c>
      <c r="T113" s="200">
        <f t="shared" si="27"/>
        <v>0</v>
      </c>
      <c r="U113" s="688">
        <f t="shared" si="28"/>
        <v>0</v>
      </c>
      <c r="V113" s="200">
        <f t="shared" si="29"/>
        <v>0</v>
      </c>
      <c r="W113" s="689"/>
    </row>
    <row r="114" spans="1:23" s="236" customFormat="1" ht="24.95" hidden="1" customHeight="1" outlineLevel="1">
      <c r="A114" s="239"/>
      <c r="B114" s="239" t="s">
        <v>393</v>
      </c>
      <c r="C114" s="240">
        <v>10</v>
      </c>
      <c r="D114" s="690"/>
      <c r="E114" s="240"/>
      <c r="F114" s="836"/>
      <c r="G114" s="239">
        <v>1</v>
      </c>
      <c r="H114" s="203">
        <v>2</v>
      </c>
      <c r="I114" s="241">
        <v>100</v>
      </c>
      <c r="J114" s="234"/>
      <c r="K114" s="234">
        <v>4380</v>
      </c>
      <c r="L114" s="234"/>
      <c r="M114" s="241">
        <v>100</v>
      </c>
      <c r="N114" s="235" t="e">
        <f>(((I114+J114+K114+L114+M114)-C114*#REF!*2)/1000)</f>
        <v>#REF!</v>
      </c>
      <c r="O114" s="235"/>
      <c r="P114" s="200">
        <f t="shared" si="23"/>
        <v>0</v>
      </c>
      <c r="Q114" s="200" t="e">
        <f t="shared" si="24"/>
        <v>#REF!</v>
      </c>
      <c r="R114" s="200">
        <f t="shared" si="25"/>
        <v>0</v>
      </c>
      <c r="S114" s="200">
        <f t="shared" si="26"/>
        <v>0</v>
      </c>
      <c r="T114" s="200">
        <f t="shared" si="27"/>
        <v>0</v>
      </c>
      <c r="U114" s="688">
        <f t="shared" si="28"/>
        <v>0</v>
      </c>
      <c r="V114" s="200">
        <f t="shared" si="29"/>
        <v>0</v>
      </c>
      <c r="W114" s="689"/>
    </row>
    <row r="115" spans="1:23" s="236" customFormat="1" ht="24.95" hidden="1" customHeight="1" outlineLevel="1">
      <c r="A115" s="239"/>
      <c r="B115" s="239" t="s">
        <v>394</v>
      </c>
      <c r="C115" s="240">
        <v>8</v>
      </c>
      <c r="D115" s="690"/>
      <c r="E115" s="240"/>
      <c r="F115" s="836"/>
      <c r="G115" s="239">
        <v>1</v>
      </c>
      <c r="H115" s="203">
        <f>(4380/200)+1</f>
        <v>22.9</v>
      </c>
      <c r="I115" s="234"/>
      <c r="J115" s="234"/>
      <c r="K115" s="234">
        <v>820</v>
      </c>
      <c r="L115" s="234"/>
      <c r="M115" s="234"/>
      <c r="N115" s="235" t="e">
        <f>(((I115+J115+K115+L115+M115)-C115*#REF!*2)/1000)</f>
        <v>#REF!</v>
      </c>
      <c r="O115" s="235"/>
      <c r="P115" s="200" t="e">
        <f t="shared" si="23"/>
        <v>#REF!</v>
      </c>
      <c r="Q115" s="200">
        <f t="shared" si="24"/>
        <v>0</v>
      </c>
      <c r="R115" s="200">
        <f t="shared" si="25"/>
        <v>0</v>
      </c>
      <c r="S115" s="200">
        <f t="shared" si="26"/>
        <v>0</v>
      </c>
      <c r="T115" s="200">
        <f t="shared" si="27"/>
        <v>0</v>
      </c>
      <c r="U115" s="688">
        <f t="shared" si="28"/>
        <v>0</v>
      </c>
      <c r="V115" s="200">
        <f t="shared" si="29"/>
        <v>0</v>
      </c>
      <c r="W115" s="689"/>
    </row>
    <row r="116" spans="1:23" s="236" customFormat="1" ht="24.95" hidden="1" customHeight="1" outlineLevel="1">
      <c r="A116" s="239">
        <v>3</v>
      </c>
      <c r="B116" s="239" t="s">
        <v>392</v>
      </c>
      <c r="C116" s="240">
        <v>10</v>
      </c>
      <c r="D116" s="690"/>
      <c r="E116" s="240"/>
      <c r="F116" s="836"/>
      <c r="G116" s="239">
        <v>2</v>
      </c>
      <c r="H116" s="203">
        <v>2</v>
      </c>
      <c r="I116" s="241">
        <v>100</v>
      </c>
      <c r="J116" s="234"/>
      <c r="K116" s="234">
        <v>2980</v>
      </c>
      <c r="L116" s="234"/>
      <c r="M116" s="241">
        <v>100</v>
      </c>
      <c r="N116" s="235" t="e">
        <f>(((I116+J116+K116+L116+M116)-C116*#REF!*2)/1000)</f>
        <v>#REF!</v>
      </c>
      <c r="O116" s="235"/>
      <c r="P116" s="200">
        <f t="shared" si="23"/>
        <v>0</v>
      </c>
      <c r="Q116" s="200" t="e">
        <f t="shared" si="24"/>
        <v>#REF!</v>
      </c>
      <c r="R116" s="200">
        <f t="shared" si="25"/>
        <v>0</v>
      </c>
      <c r="S116" s="200">
        <f t="shared" si="26"/>
        <v>0</v>
      </c>
      <c r="T116" s="200">
        <f t="shared" si="27"/>
        <v>0</v>
      </c>
      <c r="U116" s="688">
        <f t="shared" si="28"/>
        <v>0</v>
      </c>
      <c r="V116" s="200">
        <f t="shared" si="29"/>
        <v>0</v>
      </c>
      <c r="W116" s="689"/>
    </row>
    <row r="117" spans="1:23" s="236" customFormat="1" ht="24.95" hidden="1" customHeight="1" outlineLevel="1">
      <c r="A117" s="239"/>
      <c r="B117" s="239" t="s">
        <v>393</v>
      </c>
      <c r="C117" s="240">
        <v>10</v>
      </c>
      <c r="D117" s="690"/>
      <c r="E117" s="240"/>
      <c r="F117" s="836"/>
      <c r="G117" s="239">
        <v>2</v>
      </c>
      <c r="H117" s="203">
        <v>2</v>
      </c>
      <c r="I117" s="241">
        <v>100</v>
      </c>
      <c r="J117" s="234"/>
      <c r="K117" s="234">
        <v>2980</v>
      </c>
      <c r="L117" s="234"/>
      <c r="M117" s="241">
        <v>100</v>
      </c>
      <c r="N117" s="235" t="e">
        <f>(((I117+J117+K117+L117+M117)-C117*#REF!*2)/1000)</f>
        <v>#REF!</v>
      </c>
      <c r="O117" s="235"/>
      <c r="P117" s="200">
        <f t="shared" si="23"/>
        <v>0</v>
      </c>
      <c r="Q117" s="200" t="e">
        <f t="shared" si="24"/>
        <v>#REF!</v>
      </c>
      <c r="R117" s="200">
        <f t="shared" si="25"/>
        <v>0</v>
      </c>
      <c r="S117" s="200">
        <f t="shared" si="26"/>
        <v>0</v>
      </c>
      <c r="T117" s="200">
        <f t="shared" si="27"/>
        <v>0</v>
      </c>
      <c r="U117" s="688">
        <f t="shared" si="28"/>
        <v>0</v>
      </c>
      <c r="V117" s="200">
        <f t="shared" si="29"/>
        <v>0</v>
      </c>
      <c r="W117" s="689"/>
    </row>
    <row r="118" spans="1:23" s="236" customFormat="1" ht="24.95" hidden="1" customHeight="1" outlineLevel="1">
      <c r="A118" s="239"/>
      <c r="B118" s="239" t="s">
        <v>394</v>
      </c>
      <c r="C118" s="240">
        <v>8</v>
      </c>
      <c r="D118" s="690"/>
      <c r="E118" s="240"/>
      <c r="F118" s="836"/>
      <c r="G118" s="239">
        <v>2</v>
      </c>
      <c r="H118" s="203">
        <f>(2980/200)+1</f>
        <v>15.9</v>
      </c>
      <c r="I118" s="234"/>
      <c r="J118" s="234"/>
      <c r="K118" s="234">
        <v>820</v>
      </c>
      <c r="L118" s="234"/>
      <c r="M118" s="234"/>
      <c r="N118" s="235" t="e">
        <f>(((I118+J118+K118+L118+M118)-C118*#REF!*2)/1000)</f>
        <v>#REF!</v>
      </c>
      <c r="O118" s="235"/>
      <c r="P118" s="200" t="e">
        <f t="shared" si="23"/>
        <v>#REF!</v>
      </c>
      <c r="Q118" s="200">
        <f t="shared" si="24"/>
        <v>0</v>
      </c>
      <c r="R118" s="200">
        <f t="shared" si="25"/>
        <v>0</v>
      </c>
      <c r="S118" s="200">
        <f t="shared" si="26"/>
        <v>0</v>
      </c>
      <c r="T118" s="200">
        <f t="shared" si="27"/>
        <v>0</v>
      </c>
      <c r="U118" s="688">
        <f t="shared" si="28"/>
        <v>0</v>
      </c>
      <c r="V118" s="200">
        <f t="shared" si="29"/>
        <v>0</v>
      </c>
      <c r="W118" s="689"/>
    </row>
    <row r="119" spans="1:23" s="236" customFormat="1" ht="24.95" hidden="1" customHeight="1" outlineLevel="1">
      <c r="A119" s="239">
        <v>4</v>
      </c>
      <c r="B119" s="239" t="s">
        <v>392</v>
      </c>
      <c r="C119" s="240">
        <v>10</v>
      </c>
      <c r="D119" s="690"/>
      <c r="E119" s="240"/>
      <c r="F119" s="836"/>
      <c r="G119" s="239">
        <v>2</v>
      </c>
      <c r="H119" s="203">
        <v>2</v>
      </c>
      <c r="I119" s="241">
        <v>100</v>
      </c>
      <c r="J119" s="234"/>
      <c r="K119" s="234">
        <v>1980</v>
      </c>
      <c r="L119" s="234"/>
      <c r="M119" s="241">
        <v>100</v>
      </c>
      <c r="N119" s="235" t="e">
        <f>(((I119+J119+K119+L119+M119)-C119*#REF!*2)/1000)</f>
        <v>#REF!</v>
      </c>
      <c r="O119" s="235"/>
      <c r="P119" s="200">
        <f t="shared" si="23"/>
        <v>0</v>
      </c>
      <c r="Q119" s="200" t="e">
        <f t="shared" si="24"/>
        <v>#REF!</v>
      </c>
      <c r="R119" s="200">
        <f t="shared" si="25"/>
        <v>0</v>
      </c>
      <c r="S119" s="200">
        <f t="shared" si="26"/>
        <v>0</v>
      </c>
      <c r="T119" s="200">
        <f t="shared" si="27"/>
        <v>0</v>
      </c>
      <c r="U119" s="688">
        <f t="shared" si="28"/>
        <v>0</v>
      </c>
      <c r="V119" s="200">
        <f t="shared" si="29"/>
        <v>0</v>
      </c>
      <c r="W119" s="689"/>
    </row>
    <row r="120" spans="1:23" s="236" customFormat="1" ht="24.95" hidden="1" customHeight="1" outlineLevel="1">
      <c r="A120" s="239"/>
      <c r="B120" s="239" t="s">
        <v>393</v>
      </c>
      <c r="C120" s="240">
        <v>10</v>
      </c>
      <c r="D120" s="690"/>
      <c r="E120" s="240"/>
      <c r="F120" s="836"/>
      <c r="G120" s="239">
        <v>2</v>
      </c>
      <c r="H120" s="203">
        <v>2</v>
      </c>
      <c r="I120" s="241">
        <v>100</v>
      </c>
      <c r="J120" s="234"/>
      <c r="K120" s="234">
        <v>1980</v>
      </c>
      <c r="L120" s="234"/>
      <c r="M120" s="241">
        <v>100</v>
      </c>
      <c r="N120" s="235" t="e">
        <f>(((I120+J120+K120+L120+M120)-C120*#REF!*2)/1000)</f>
        <v>#REF!</v>
      </c>
      <c r="O120" s="235"/>
      <c r="P120" s="200">
        <f t="shared" si="23"/>
        <v>0</v>
      </c>
      <c r="Q120" s="200" t="e">
        <f t="shared" si="24"/>
        <v>#REF!</v>
      </c>
      <c r="R120" s="200">
        <f t="shared" si="25"/>
        <v>0</v>
      </c>
      <c r="S120" s="200">
        <f t="shared" si="26"/>
        <v>0</v>
      </c>
      <c r="T120" s="200">
        <f t="shared" si="27"/>
        <v>0</v>
      </c>
      <c r="U120" s="688">
        <f t="shared" si="28"/>
        <v>0</v>
      </c>
      <c r="V120" s="200">
        <f t="shared" si="29"/>
        <v>0</v>
      </c>
      <c r="W120" s="689"/>
    </row>
    <row r="121" spans="1:23" s="236" customFormat="1" ht="24.95" hidden="1" customHeight="1" outlineLevel="1">
      <c r="A121" s="239"/>
      <c r="B121" s="239" t="s">
        <v>394</v>
      </c>
      <c r="C121" s="240">
        <v>8</v>
      </c>
      <c r="D121" s="690"/>
      <c r="E121" s="240"/>
      <c r="F121" s="836"/>
      <c r="G121" s="239">
        <v>2</v>
      </c>
      <c r="H121" s="203">
        <f>(1980/200)+1</f>
        <v>10.9</v>
      </c>
      <c r="I121" s="234"/>
      <c r="J121" s="234"/>
      <c r="K121" s="234">
        <v>820</v>
      </c>
      <c r="L121" s="234"/>
      <c r="M121" s="234"/>
      <c r="N121" s="235" t="e">
        <f>(((I121+J121+K121+L121+M121)-C121*#REF!*2)/1000)</f>
        <v>#REF!</v>
      </c>
      <c r="O121" s="235"/>
      <c r="P121" s="200" t="e">
        <f t="shared" si="23"/>
        <v>#REF!</v>
      </c>
      <c r="Q121" s="200">
        <f t="shared" si="24"/>
        <v>0</v>
      </c>
      <c r="R121" s="200">
        <f t="shared" si="25"/>
        <v>0</v>
      </c>
      <c r="S121" s="200">
        <f t="shared" si="26"/>
        <v>0</v>
      </c>
      <c r="T121" s="200">
        <f t="shared" si="27"/>
        <v>0</v>
      </c>
      <c r="U121" s="688">
        <f t="shared" si="28"/>
        <v>0</v>
      </c>
      <c r="V121" s="200">
        <f t="shared" si="29"/>
        <v>0</v>
      </c>
      <c r="W121" s="689"/>
    </row>
    <row r="122" spans="1:23" s="236" customFormat="1" ht="24.95" hidden="1" customHeight="1" outlineLevel="1">
      <c r="A122" s="239">
        <v>5</v>
      </c>
      <c r="B122" s="239" t="s">
        <v>392</v>
      </c>
      <c r="C122" s="240">
        <v>10</v>
      </c>
      <c r="D122" s="690"/>
      <c r="E122" s="240"/>
      <c r="F122" s="836"/>
      <c r="G122" s="239">
        <v>1</v>
      </c>
      <c r="H122" s="203">
        <v>2</v>
      </c>
      <c r="I122" s="241">
        <v>100</v>
      </c>
      <c r="J122" s="234"/>
      <c r="K122" s="234">
        <v>1180</v>
      </c>
      <c r="L122" s="234"/>
      <c r="M122" s="241">
        <v>100</v>
      </c>
      <c r="N122" s="235" t="e">
        <f>(((I122+J122+K122+L122+M122)-C122*#REF!*2)/1000)</f>
        <v>#REF!</v>
      </c>
      <c r="O122" s="235"/>
      <c r="P122" s="200">
        <f t="shared" si="23"/>
        <v>0</v>
      </c>
      <c r="Q122" s="200" t="e">
        <f t="shared" si="24"/>
        <v>#REF!</v>
      </c>
      <c r="R122" s="200">
        <f t="shared" si="25"/>
        <v>0</v>
      </c>
      <c r="S122" s="200">
        <f t="shared" si="26"/>
        <v>0</v>
      </c>
      <c r="T122" s="200">
        <f t="shared" si="27"/>
        <v>0</v>
      </c>
      <c r="U122" s="688">
        <f t="shared" si="28"/>
        <v>0</v>
      </c>
      <c r="V122" s="200">
        <f t="shared" si="29"/>
        <v>0</v>
      </c>
      <c r="W122" s="689"/>
    </row>
    <row r="123" spans="1:23" s="236" customFormat="1" ht="24.95" hidden="1" customHeight="1" outlineLevel="1">
      <c r="A123" s="239"/>
      <c r="B123" s="239" t="s">
        <v>393</v>
      </c>
      <c r="C123" s="240">
        <v>10</v>
      </c>
      <c r="D123" s="690"/>
      <c r="E123" s="240"/>
      <c r="F123" s="836"/>
      <c r="G123" s="239">
        <v>1</v>
      </c>
      <c r="H123" s="203">
        <v>2</v>
      </c>
      <c r="I123" s="241">
        <v>100</v>
      </c>
      <c r="J123" s="234"/>
      <c r="K123" s="234">
        <v>1180</v>
      </c>
      <c r="L123" s="234"/>
      <c r="M123" s="241">
        <v>100</v>
      </c>
      <c r="N123" s="235" t="e">
        <f>(((I123+J123+K123+L123+M123)-C123*#REF!*2)/1000)</f>
        <v>#REF!</v>
      </c>
      <c r="O123" s="235"/>
      <c r="P123" s="200">
        <f t="shared" si="23"/>
        <v>0</v>
      </c>
      <c r="Q123" s="200" t="e">
        <f t="shared" si="24"/>
        <v>#REF!</v>
      </c>
      <c r="R123" s="200">
        <f t="shared" si="25"/>
        <v>0</v>
      </c>
      <c r="S123" s="200">
        <f t="shared" si="26"/>
        <v>0</v>
      </c>
      <c r="T123" s="200">
        <f t="shared" si="27"/>
        <v>0</v>
      </c>
      <c r="U123" s="688">
        <f t="shared" si="28"/>
        <v>0</v>
      </c>
      <c r="V123" s="200">
        <f t="shared" si="29"/>
        <v>0</v>
      </c>
      <c r="W123" s="689"/>
    </row>
    <row r="124" spans="1:23" s="236" customFormat="1" ht="24.95" hidden="1" customHeight="1" outlineLevel="1">
      <c r="A124" s="239"/>
      <c r="B124" s="239" t="s">
        <v>394</v>
      </c>
      <c r="C124" s="240">
        <v>8</v>
      </c>
      <c r="D124" s="690"/>
      <c r="E124" s="240"/>
      <c r="F124" s="836"/>
      <c r="G124" s="239">
        <v>1</v>
      </c>
      <c r="H124" s="203">
        <f>(1180/200)+1</f>
        <v>6.9</v>
      </c>
      <c r="I124" s="234"/>
      <c r="J124" s="234"/>
      <c r="K124" s="234">
        <v>820</v>
      </c>
      <c r="L124" s="234"/>
      <c r="M124" s="234"/>
      <c r="N124" s="235" t="e">
        <f>(((I124+J124+K124+L124+M124)-C124*#REF!*2)/1000)</f>
        <v>#REF!</v>
      </c>
      <c r="O124" s="235"/>
      <c r="P124" s="200" t="e">
        <f t="shared" si="23"/>
        <v>#REF!</v>
      </c>
      <c r="Q124" s="200">
        <f t="shared" si="24"/>
        <v>0</v>
      </c>
      <c r="R124" s="200">
        <f t="shared" si="25"/>
        <v>0</v>
      </c>
      <c r="S124" s="200">
        <f t="shared" si="26"/>
        <v>0</v>
      </c>
      <c r="T124" s="200">
        <f t="shared" si="27"/>
        <v>0</v>
      </c>
      <c r="U124" s="688">
        <f t="shared" si="28"/>
        <v>0</v>
      </c>
      <c r="V124" s="200">
        <f t="shared" si="29"/>
        <v>0</v>
      </c>
      <c r="W124" s="689"/>
    </row>
    <row r="125" spans="1:23" s="247" customFormat="1" ht="24.95" hidden="1" customHeight="1" outlineLevel="1">
      <c r="A125" s="242">
        <v>6</v>
      </c>
      <c r="B125" s="242" t="s">
        <v>392</v>
      </c>
      <c r="C125" s="243">
        <v>10</v>
      </c>
      <c r="D125" s="696"/>
      <c r="E125" s="243"/>
      <c r="F125" s="696"/>
      <c r="G125" s="242">
        <f t="shared" ref="G125:G127" si="30">1*0</f>
        <v>0</v>
      </c>
      <c r="H125" s="244">
        <v>2</v>
      </c>
      <c r="I125" s="245">
        <v>100</v>
      </c>
      <c r="J125" s="246"/>
      <c r="K125" s="246">
        <v>3645</v>
      </c>
      <c r="L125" s="246"/>
      <c r="M125" s="245">
        <v>100</v>
      </c>
      <c r="N125" s="235" t="e">
        <f>(((I125+J125+K125+L125+M125)-C125*#REF!*2)/1000)</f>
        <v>#REF!</v>
      </c>
      <c r="O125" s="235"/>
      <c r="P125" s="200">
        <f t="shared" si="23"/>
        <v>0</v>
      </c>
      <c r="Q125" s="200" t="e">
        <f t="shared" si="24"/>
        <v>#REF!</v>
      </c>
      <c r="R125" s="200">
        <f t="shared" si="25"/>
        <v>0</v>
      </c>
      <c r="S125" s="200">
        <f t="shared" si="26"/>
        <v>0</v>
      </c>
      <c r="T125" s="200">
        <f t="shared" si="27"/>
        <v>0</v>
      </c>
      <c r="U125" s="688">
        <f t="shared" si="28"/>
        <v>0</v>
      </c>
      <c r="V125" s="200">
        <f t="shared" si="29"/>
        <v>0</v>
      </c>
      <c r="W125" s="697"/>
    </row>
    <row r="126" spans="1:23" s="247" customFormat="1" ht="24.95" hidden="1" customHeight="1" outlineLevel="1">
      <c r="A126" s="242"/>
      <c r="B126" s="242" t="s">
        <v>393</v>
      </c>
      <c r="C126" s="243">
        <v>10</v>
      </c>
      <c r="D126" s="696"/>
      <c r="E126" s="243"/>
      <c r="F126" s="696"/>
      <c r="G126" s="242">
        <f t="shared" si="30"/>
        <v>0</v>
      </c>
      <c r="H126" s="244">
        <v>2</v>
      </c>
      <c r="I126" s="245">
        <v>100</v>
      </c>
      <c r="J126" s="246"/>
      <c r="K126" s="246">
        <v>3645</v>
      </c>
      <c r="L126" s="246"/>
      <c r="M126" s="245">
        <v>100</v>
      </c>
      <c r="N126" s="235" t="e">
        <f>(((I126+J126+K126+L126+M126)-C126*#REF!*2)/1000)</f>
        <v>#REF!</v>
      </c>
      <c r="O126" s="235"/>
      <c r="P126" s="200">
        <f t="shared" si="23"/>
        <v>0</v>
      </c>
      <c r="Q126" s="200" t="e">
        <f t="shared" si="24"/>
        <v>#REF!</v>
      </c>
      <c r="R126" s="200">
        <f t="shared" si="25"/>
        <v>0</v>
      </c>
      <c r="S126" s="200">
        <f t="shared" si="26"/>
        <v>0</v>
      </c>
      <c r="T126" s="200">
        <f t="shared" si="27"/>
        <v>0</v>
      </c>
      <c r="U126" s="688">
        <f t="shared" si="28"/>
        <v>0</v>
      </c>
      <c r="V126" s="200">
        <f t="shared" si="29"/>
        <v>0</v>
      </c>
      <c r="W126" s="697"/>
    </row>
    <row r="127" spans="1:23" s="247" customFormat="1" ht="24.95" hidden="1" customHeight="1" outlineLevel="1">
      <c r="A127" s="242"/>
      <c r="B127" s="242" t="s">
        <v>394</v>
      </c>
      <c r="C127" s="243">
        <v>8</v>
      </c>
      <c r="D127" s="696"/>
      <c r="E127" s="243"/>
      <c r="F127" s="696"/>
      <c r="G127" s="242">
        <f t="shared" si="30"/>
        <v>0</v>
      </c>
      <c r="H127" s="244">
        <f>(3645/200)+1</f>
        <v>19.225000000000001</v>
      </c>
      <c r="I127" s="246"/>
      <c r="J127" s="246"/>
      <c r="K127" s="246">
        <v>820</v>
      </c>
      <c r="L127" s="246"/>
      <c r="M127" s="246"/>
      <c r="N127" s="235" t="e">
        <f>(((I127+J127+K127+L127+M127)-C127*#REF!*2)/1000)</f>
        <v>#REF!</v>
      </c>
      <c r="O127" s="235"/>
      <c r="P127" s="200" t="e">
        <f t="shared" si="23"/>
        <v>#REF!</v>
      </c>
      <c r="Q127" s="200">
        <f t="shared" si="24"/>
        <v>0</v>
      </c>
      <c r="R127" s="200">
        <f t="shared" si="25"/>
        <v>0</v>
      </c>
      <c r="S127" s="200">
        <f t="shared" si="26"/>
        <v>0</v>
      </c>
      <c r="T127" s="200">
        <f t="shared" si="27"/>
        <v>0</v>
      </c>
      <c r="U127" s="688">
        <f t="shared" si="28"/>
        <v>0</v>
      </c>
      <c r="V127" s="200">
        <f t="shared" si="29"/>
        <v>0</v>
      </c>
      <c r="W127" s="697"/>
    </row>
    <row r="128" spans="1:23" s="247" customFormat="1" ht="24.95" hidden="1" customHeight="1" outlineLevel="1">
      <c r="A128" s="242">
        <v>7</v>
      </c>
      <c r="B128" s="242" t="s">
        <v>392</v>
      </c>
      <c r="C128" s="243">
        <v>10</v>
      </c>
      <c r="D128" s="696"/>
      <c r="E128" s="243"/>
      <c r="F128" s="696"/>
      <c r="G128" s="242">
        <f>1*0</f>
        <v>0</v>
      </c>
      <c r="H128" s="244">
        <v>2</v>
      </c>
      <c r="I128" s="245">
        <v>100</v>
      </c>
      <c r="J128" s="246"/>
      <c r="K128" s="246">
        <v>5445</v>
      </c>
      <c r="L128" s="246"/>
      <c r="M128" s="245">
        <v>100</v>
      </c>
      <c r="N128" s="235" t="e">
        <f>(((I128+J128+K128+L128+M128)-C128*#REF!*2)/1000)</f>
        <v>#REF!</v>
      </c>
      <c r="O128" s="235"/>
      <c r="P128" s="200">
        <f t="shared" si="23"/>
        <v>0</v>
      </c>
      <c r="Q128" s="200" t="e">
        <f t="shared" si="24"/>
        <v>#REF!</v>
      </c>
      <c r="R128" s="200">
        <f t="shared" si="25"/>
        <v>0</v>
      </c>
      <c r="S128" s="200">
        <f t="shared" si="26"/>
        <v>0</v>
      </c>
      <c r="T128" s="200">
        <f t="shared" si="27"/>
        <v>0</v>
      </c>
      <c r="U128" s="688">
        <f t="shared" si="28"/>
        <v>0</v>
      </c>
      <c r="V128" s="200">
        <f t="shared" si="29"/>
        <v>0</v>
      </c>
      <c r="W128" s="697"/>
    </row>
    <row r="129" spans="1:23" s="247" customFormat="1" ht="24.95" hidden="1" customHeight="1" outlineLevel="1">
      <c r="A129" s="242"/>
      <c r="B129" s="242" t="s">
        <v>393</v>
      </c>
      <c r="C129" s="243">
        <v>10</v>
      </c>
      <c r="D129" s="696"/>
      <c r="E129" s="243"/>
      <c r="F129" s="696"/>
      <c r="G129" s="242">
        <f t="shared" ref="G129:G130" si="31">1*0</f>
        <v>0</v>
      </c>
      <c r="H129" s="244">
        <v>2</v>
      </c>
      <c r="I129" s="245">
        <v>100</v>
      </c>
      <c r="J129" s="246"/>
      <c r="K129" s="246">
        <v>5445</v>
      </c>
      <c r="L129" s="246"/>
      <c r="M129" s="245">
        <v>100</v>
      </c>
      <c r="N129" s="235" t="e">
        <f>(((I129+J129+K129+L129+M129)-C129*#REF!*2)/1000)</f>
        <v>#REF!</v>
      </c>
      <c r="O129" s="235"/>
      <c r="P129" s="200">
        <f t="shared" si="23"/>
        <v>0</v>
      </c>
      <c r="Q129" s="200" t="e">
        <f t="shared" si="24"/>
        <v>#REF!</v>
      </c>
      <c r="R129" s="200">
        <f t="shared" si="25"/>
        <v>0</v>
      </c>
      <c r="S129" s="200">
        <f t="shared" si="26"/>
        <v>0</v>
      </c>
      <c r="T129" s="200">
        <f t="shared" si="27"/>
        <v>0</v>
      </c>
      <c r="U129" s="688">
        <f t="shared" si="28"/>
        <v>0</v>
      </c>
      <c r="V129" s="200">
        <f t="shared" si="29"/>
        <v>0</v>
      </c>
      <c r="W129" s="697"/>
    </row>
    <row r="130" spans="1:23" s="247" customFormat="1" ht="24.95" hidden="1" customHeight="1" outlineLevel="1">
      <c r="A130" s="242"/>
      <c r="B130" s="242" t="s">
        <v>394</v>
      </c>
      <c r="C130" s="243">
        <v>8</v>
      </c>
      <c r="D130" s="696"/>
      <c r="E130" s="243"/>
      <c r="F130" s="696"/>
      <c r="G130" s="242">
        <f t="shared" si="31"/>
        <v>0</v>
      </c>
      <c r="H130" s="244">
        <f>(5445/200)+1</f>
        <v>28.225000000000001</v>
      </c>
      <c r="I130" s="246"/>
      <c r="J130" s="246"/>
      <c r="K130" s="246">
        <v>820</v>
      </c>
      <c r="L130" s="246"/>
      <c r="M130" s="246"/>
      <c r="N130" s="235" t="e">
        <f>(((I130+J130+K130+L130+M130)-C130*#REF!*2)/1000)</f>
        <v>#REF!</v>
      </c>
      <c r="O130" s="235"/>
      <c r="P130" s="200" t="e">
        <f t="shared" si="23"/>
        <v>#REF!</v>
      </c>
      <c r="Q130" s="200">
        <f t="shared" si="24"/>
        <v>0</v>
      </c>
      <c r="R130" s="200">
        <f t="shared" si="25"/>
        <v>0</v>
      </c>
      <c r="S130" s="200">
        <f t="shared" si="26"/>
        <v>0</v>
      </c>
      <c r="T130" s="200">
        <f t="shared" si="27"/>
        <v>0</v>
      </c>
      <c r="U130" s="688">
        <f t="shared" si="28"/>
        <v>0</v>
      </c>
      <c r="V130" s="200">
        <f t="shared" si="29"/>
        <v>0</v>
      </c>
      <c r="W130" s="697"/>
    </row>
    <row r="131" spans="1:23" s="236" customFormat="1" ht="24.95" hidden="1" customHeight="1" outlineLevel="1">
      <c r="A131" s="239">
        <v>8</v>
      </c>
      <c r="B131" s="239" t="s">
        <v>392</v>
      </c>
      <c r="C131" s="240">
        <v>10</v>
      </c>
      <c r="D131" s="690"/>
      <c r="E131" s="240"/>
      <c r="F131" s="836"/>
      <c r="G131" s="239">
        <v>1</v>
      </c>
      <c r="H131" s="203">
        <v>2</v>
      </c>
      <c r="I131" s="241">
        <v>100</v>
      </c>
      <c r="J131" s="234"/>
      <c r="K131" s="234">
        <v>6180</v>
      </c>
      <c r="L131" s="234"/>
      <c r="M131" s="241">
        <v>100</v>
      </c>
      <c r="N131" s="235" t="e">
        <f>(((I131+J131+K131+L131+M131)-C131*#REF!*2)/1000)</f>
        <v>#REF!</v>
      </c>
      <c r="O131" s="235"/>
      <c r="P131" s="200">
        <f t="shared" si="23"/>
        <v>0</v>
      </c>
      <c r="Q131" s="200" t="e">
        <f t="shared" si="24"/>
        <v>#REF!</v>
      </c>
      <c r="R131" s="200">
        <f t="shared" si="25"/>
        <v>0</v>
      </c>
      <c r="S131" s="200">
        <f t="shared" si="26"/>
        <v>0</v>
      </c>
      <c r="T131" s="200">
        <f t="shared" si="27"/>
        <v>0</v>
      </c>
      <c r="U131" s="688">
        <f t="shared" si="28"/>
        <v>0</v>
      </c>
      <c r="V131" s="200">
        <f t="shared" si="29"/>
        <v>0</v>
      </c>
      <c r="W131" s="689"/>
    </row>
    <row r="132" spans="1:23" s="236" customFormat="1" ht="24.95" hidden="1" customHeight="1" outlineLevel="1">
      <c r="A132" s="239"/>
      <c r="B132" s="239" t="s">
        <v>393</v>
      </c>
      <c r="C132" s="240">
        <v>10</v>
      </c>
      <c r="D132" s="690"/>
      <c r="E132" s="240"/>
      <c r="F132" s="836"/>
      <c r="G132" s="239">
        <v>1</v>
      </c>
      <c r="H132" s="203">
        <v>2</v>
      </c>
      <c r="I132" s="241">
        <v>100</v>
      </c>
      <c r="J132" s="234"/>
      <c r="K132" s="234">
        <v>6180</v>
      </c>
      <c r="L132" s="234"/>
      <c r="M132" s="241">
        <v>100</v>
      </c>
      <c r="N132" s="235" t="e">
        <f>(((I132+J132+K132+L132+M132)-C132*#REF!*2)/1000)</f>
        <v>#REF!</v>
      </c>
      <c r="O132" s="235"/>
      <c r="P132" s="200">
        <f t="shared" si="23"/>
        <v>0</v>
      </c>
      <c r="Q132" s="200" t="e">
        <f t="shared" si="24"/>
        <v>#REF!</v>
      </c>
      <c r="R132" s="200">
        <f t="shared" si="25"/>
        <v>0</v>
      </c>
      <c r="S132" s="200">
        <f t="shared" si="26"/>
        <v>0</v>
      </c>
      <c r="T132" s="200">
        <f t="shared" si="27"/>
        <v>0</v>
      </c>
      <c r="U132" s="688">
        <f t="shared" si="28"/>
        <v>0</v>
      </c>
      <c r="V132" s="200">
        <f t="shared" si="29"/>
        <v>0</v>
      </c>
      <c r="W132" s="689"/>
    </row>
    <row r="133" spans="1:23" s="236" customFormat="1" ht="24.95" hidden="1" customHeight="1" outlineLevel="1">
      <c r="A133" s="239"/>
      <c r="B133" s="239" t="s">
        <v>394</v>
      </c>
      <c r="C133" s="240">
        <v>8</v>
      </c>
      <c r="D133" s="690"/>
      <c r="E133" s="240"/>
      <c r="F133" s="836"/>
      <c r="G133" s="239">
        <v>1</v>
      </c>
      <c r="H133" s="203">
        <f>(6180/200)+1</f>
        <v>31.9</v>
      </c>
      <c r="I133" s="234"/>
      <c r="J133" s="234"/>
      <c r="K133" s="234">
        <v>820</v>
      </c>
      <c r="L133" s="234"/>
      <c r="M133" s="234"/>
      <c r="N133" s="235" t="e">
        <f>(((I133+J133+K133+L133+M133)-C133*#REF!*2)/1000)</f>
        <v>#REF!</v>
      </c>
      <c r="O133" s="235"/>
      <c r="P133" s="200" t="e">
        <f t="shared" si="23"/>
        <v>#REF!</v>
      </c>
      <c r="Q133" s="200">
        <f t="shared" si="24"/>
        <v>0</v>
      </c>
      <c r="R133" s="200">
        <f t="shared" si="25"/>
        <v>0</v>
      </c>
      <c r="S133" s="200">
        <f t="shared" si="26"/>
        <v>0</v>
      </c>
      <c r="T133" s="200">
        <f t="shared" si="27"/>
        <v>0</v>
      </c>
      <c r="U133" s="688">
        <f t="shared" si="28"/>
        <v>0</v>
      </c>
      <c r="V133" s="200">
        <f t="shared" si="29"/>
        <v>0</v>
      </c>
      <c r="W133" s="689"/>
    </row>
    <row r="134" spans="1:23" s="247" customFormat="1" ht="24.95" hidden="1" customHeight="1" outlineLevel="1">
      <c r="A134" s="242">
        <v>9</v>
      </c>
      <c r="B134" s="242" t="s">
        <v>392</v>
      </c>
      <c r="C134" s="243">
        <v>10</v>
      </c>
      <c r="D134" s="696"/>
      <c r="E134" s="243"/>
      <c r="F134" s="696"/>
      <c r="G134" s="242">
        <f t="shared" ref="G134:G136" si="32">1*0</f>
        <v>0</v>
      </c>
      <c r="H134" s="244">
        <v>2</v>
      </c>
      <c r="I134" s="245">
        <v>100</v>
      </c>
      <c r="J134" s="246"/>
      <c r="K134" s="246">
        <v>1645</v>
      </c>
      <c r="L134" s="246"/>
      <c r="M134" s="245">
        <v>100</v>
      </c>
      <c r="N134" s="235" t="e">
        <f>(((I134+J134+K134+L134+M134)-C134*#REF!*2)/1000)</f>
        <v>#REF!</v>
      </c>
      <c r="O134" s="235"/>
      <c r="P134" s="200">
        <f t="shared" si="23"/>
        <v>0</v>
      </c>
      <c r="Q134" s="200" t="e">
        <f t="shared" si="24"/>
        <v>#REF!</v>
      </c>
      <c r="R134" s="200">
        <f t="shared" si="25"/>
        <v>0</v>
      </c>
      <c r="S134" s="200">
        <f t="shared" si="26"/>
        <v>0</v>
      </c>
      <c r="T134" s="200">
        <f t="shared" si="27"/>
        <v>0</v>
      </c>
      <c r="U134" s="688">
        <f t="shared" si="28"/>
        <v>0</v>
      </c>
      <c r="V134" s="200">
        <f t="shared" si="29"/>
        <v>0</v>
      </c>
      <c r="W134" s="697"/>
    </row>
    <row r="135" spans="1:23" s="247" customFormat="1" ht="24.95" hidden="1" customHeight="1" outlineLevel="1">
      <c r="A135" s="242"/>
      <c r="B135" s="242" t="s">
        <v>393</v>
      </c>
      <c r="C135" s="243">
        <v>10</v>
      </c>
      <c r="D135" s="696"/>
      <c r="E135" s="243"/>
      <c r="F135" s="696"/>
      <c r="G135" s="242">
        <f t="shared" si="32"/>
        <v>0</v>
      </c>
      <c r="H135" s="244">
        <v>2</v>
      </c>
      <c r="I135" s="245">
        <v>100</v>
      </c>
      <c r="J135" s="246"/>
      <c r="K135" s="246">
        <v>1645</v>
      </c>
      <c r="L135" s="246"/>
      <c r="M135" s="245">
        <v>100</v>
      </c>
      <c r="N135" s="235" t="e">
        <f>(((I135+J135+K135+L135+M135)-C135*#REF!*2)/1000)</f>
        <v>#REF!</v>
      </c>
      <c r="O135" s="235"/>
      <c r="P135" s="200">
        <f t="shared" si="23"/>
        <v>0</v>
      </c>
      <c r="Q135" s="200" t="e">
        <f t="shared" si="24"/>
        <v>#REF!</v>
      </c>
      <c r="R135" s="200">
        <f t="shared" si="25"/>
        <v>0</v>
      </c>
      <c r="S135" s="200">
        <f t="shared" si="26"/>
        <v>0</v>
      </c>
      <c r="T135" s="200">
        <f t="shared" si="27"/>
        <v>0</v>
      </c>
      <c r="U135" s="688">
        <f t="shared" si="28"/>
        <v>0</v>
      </c>
      <c r="V135" s="200">
        <f t="shared" si="29"/>
        <v>0</v>
      </c>
      <c r="W135" s="697"/>
    </row>
    <row r="136" spans="1:23" s="247" customFormat="1" ht="24.95" hidden="1" customHeight="1" outlineLevel="1">
      <c r="A136" s="242"/>
      <c r="B136" s="242" t="s">
        <v>394</v>
      </c>
      <c r="C136" s="243">
        <v>8</v>
      </c>
      <c r="D136" s="696"/>
      <c r="E136" s="243"/>
      <c r="F136" s="696"/>
      <c r="G136" s="242">
        <f t="shared" si="32"/>
        <v>0</v>
      </c>
      <c r="H136" s="244">
        <f>(1645/200)+1</f>
        <v>9.2249999999999996</v>
      </c>
      <c r="I136" s="246"/>
      <c r="J136" s="246"/>
      <c r="K136" s="246">
        <v>820</v>
      </c>
      <c r="L136" s="246"/>
      <c r="M136" s="246"/>
      <c r="N136" s="235" t="e">
        <f>(((I136+J136+K136+L136+M136)-C136*#REF!*2)/1000)</f>
        <v>#REF!</v>
      </c>
      <c r="O136" s="235"/>
      <c r="P136" s="200" t="e">
        <f t="shared" si="23"/>
        <v>#REF!</v>
      </c>
      <c r="Q136" s="200">
        <f t="shared" si="24"/>
        <v>0</v>
      </c>
      <c r="R136" s="200">
        <f t="shared" si="25"/>
        <v>0</v>
      </c>
      <c r="S136" s="200">
        <f t="shared" si="26"/>
        <v>0</v>
      </c>
      <c r="T136" s="200">
        <f t="shared" si="27"/>
        <v>0</v>
      </c>
      <c r="U136" s="688">
        <f t="shared" si="28"/>
        <v>0</v>
      </c>
      <c r="V136" s="200">
        <f t="shared" si="29"/>
        <v>0</v>
      </c>
      <c r="W136" s="697"/>
    </row>
    <row r="137" spans="1:23" s="236" customFormat="1" ht="24.95" hidden="1" customHeight="1" outlineLevel="1">
      <c r="A137" s="239">
        <v>10</v>
      </c>
      <c r="B137" s="239" t="s">
        <v>392</v>
      </c>
      <c r="C137" s="240">
        <v>10</v>
      </c>
      <c r="D137" s="690"/>
      <c r="E137" s="240"/>
      <c r="F137" s="836"/>
      <c r="G137" s="239">
        <v>1</v>
      </c>
      <c r="H137" s="203">
        <v>2</v>
      </c>
      <c r="I137" s="241">
        <v>100</v>
      </c>
      <c r="J137" s="234"/>
      <c r="K137" s="234">
        <v>2880</v>
      </c>
      <c r="L137" s="234"/>
      <c r="M137" s="241">
        <v>100</v>
      </c>
      <c r="N137" s="235" t="e">
        <f>(((I137+J137+K137+L137+M137)-C137*#REF!*2)/1000)</f>
        <v>#REF!</v>
      </c>
      <c r="O137" s="235"/>
      <c r="P137" s="200">
        <f t="shared" si="23"/>
        <v>0</v>
      </c>
      <c r="Q137" s="200" t="e">
        <f t="shared" si="24"/>
        <v>#REF!</v>
      </c>
      <c r="R137" s="200">
        <f t="shared" si="25"/>
        <v>0</v>
      </c>
      <c r="S137" s="200">
        <f t="shared" si="26"/>
        <v>0</v>
      </c>
      <c r="T137" s="200">
        <f t="shared" si="27"/>
        <v>0</v>
      </c>
      <c r="U137" s="688">
        <f t="shared" si="28"/>
        <v>0</v>
      </c>
      <c r="V137" s="200">
        <f t="shared" si="29"/>
        <v>0</v>
      </c>
      <c r="W137" s="689"/>
    </row>
    <row r="138" spans="1:23" s="236" customFormat="1" ht="24.95" hidden="1" customHeight="1" outlineLevel="1">
      <c r="A138" s="239"/>
      <c r="B138" s="239" t="s">
        <v>393</v>
      </c>
      <c r="C138" s="240">
        <v>10</v>
      </c>
      <c r="D138" s="690"/>
      <c r="E138" s="240"/>
      <c r="F138" s="836"/>
      <c r="G138" s="239">
        <v>1</v>
      </c>
      <c r="H138" s="203">
        <v>2</v>
      </c>
      <c r="I138" s="241">
        <v>100</v>
      </c>
      <c r="J138" s="234"/>
      <c r="K138" s="234">
        <v>2880</v>
      </c>
      <c r="L138" s="234"/>
      <c r="M138" s="241">
        <v>100</v>
      </c>
      <c r="N138" s="235" t="e">
        <f>(((I138+J138+K138+L138+M138)-C138*#REF!*2)/1000)</f>
        <v>#REF!</v>
      </c>
      <c r="O138" s="235"/>
      <c r="P138" s="200">
        <f t="shared" si="23"/>
        <v>0</v>
      </c>
      <c r="Q138" s="200" t="e">
        <f t="shared" si="24"/>
        <v>#REF!</v>
      </c>
      <c r="R138" s="200">
        <f t="shared" si="25"/>
        <v>0</v>
      </c>
      <c r="S138" s="200">
        <f t="shared" si="26"/>
        <v>0</v>
      </c>
      <c r="T138" s="200">
        <f t="shared" si="27"/>
        <v>0</v>
      </c>
      <c r="U138" s="688">
        <f t="shared" si="28"/>
        <v>0</v>
      </c>
      <c r="V138" s="200">
        <f t="shared" si="29"/>
        <v>0</v>
      </c>
      <c r="W138" s="689"/>
    </row>
    <row r="139" spans="1:23" s="236" customFormat="1" ht="24.95" hidden="1" customHeight="1" outlineLevel="1">
      <c r="A139" s="239"/>
      <c r="B139" s="239" t="s">
        <v>394</v>
      </c>
      <c r="C139" s="240">
        <v>8</v>
      </c>
      <c r="D139" s="690"/>
      <c r="E139" s="240"/>
      <c r="F139" s="836"/>
      <c r="G139" s="239">
        <v>1</v>
      </c>
      <c r="H139" s="203">
        <f>(2880/200)+1</f>
        <v>15.4</v>
      </c>
      <c r="I139" s="234"/>
      <c r="J139" s="234"/>
      <c r="K139" s="234">
        <v>820</v>
      </c>
      <c r="L139" s="234"/>
      <c r="M139" s="234"/>
      <c r="N139" s="235" t="e">
        <f>(((I139+J139+K139+L139+M139)-C139*#REF!*2)/1000)</f>
        <v>#REF!</v>
      </c>
      <c r="O139" s="235"/>
      <c r="P139" s="200" t="e">
        <f t="shared" ref="P139:P202" si="33">+IF(C139=8,G139*H139*N139,0)</f>
        <v>#REF!</v>
      </c>
      <c r="Q139" s="200">
        <f t="shared" ref="Q139:Q202" si="34">+IF(C139=10,G139*H139*N139,0)</f>
        <v>0</v>
      </c>
      <c r="R139" s="200">
        <f t="shared" ref="R139:R202" si="35">+IF(C139=12,G139*H139*N139,0)</f>
        <v>0</v>
      </c>
      <c r="S139" s="200">
        <f t="shared" ref="S139:S202" si="36">+IF(C139=16,G139*H139*N139,0)</f>
        <v>0</v>
      </c>
      <c r="T139" s="200">
        <f t="shared" ref="T139:T202" si="37">+IF(C139=20,G139*H139*N139,0)</f>
        <v>0</v>
      </c>
      <c r="U139" s="688">
        <f t="shared" ref="U139:U202" si="38">+IF(C139=25,G139*H139*N139,0)</f>
        <v>0</v>
      </c>
      <c r="V139" s="200">
        <f t="shared" ref="V139:V202" si="39">+IF(C139=32,G139*H139*N139,0)</f>
        <v>0</v>
      </c>
      <c r="W139" s="689"/>
    </row>
    <row r="140" spans="1:23" s="247" customFormat="1" ht="24.95" hidden="1" customHeight="1" outlineLevel="1">
      <c r="A140" s="242">
        <v>9</v>
      </c>
      <c r="B140" s="242" t="s">
        <v>392</v>
      </c>
      <c r="C140" s="243">
        <v>10</v>
      </c>
      <c r="D140" s="696"/>
      <c r="E140" s="243"/>
      <c r="F140" s="696"/>
      <c r="G140" s="242">
        <f t="shared" ref="G140:G142" si="40">1*0</f>
        <v>0</v>
      </c>
      <c r="H140" s="244">
        <v>2</v>
      </c>
      <c r="I140" s="245">
        <v>100</v>
      </c>
      <c r="J140" s="246"/>
      <c r="K140" s="246">
        <v>1945</v>
      </c>
      <c r="L140" s="246"/>
      <c r="M140" s="245">
        <v>100</v>
      </c>
      <c r="N140" s="235" t="e">
        <f>(((I140+J140+K140+L140+M140)-C140*#REF!*2)/1000)</f>
        <v>#REF!</v>
      </c>
      <c r="O140" s="235"/>
      <c r="P140" s="200">
        <f t="shared" si="33"/>
        <v>0</v>
      </c>
      <c r="Q140" s="200" t="e">
        <f t="shared" si="34"/>
        <v>#REF!</v>
      </c>
      <c r="R140" s="200">
        <f t="shared" si="35"/>
        <v>0</v>
      </c>
      <c r="S140" s="200">
        <f t="shared" si="36"/>
        <v>0</v>
      </c>
      <c r="T140" s="200">
        <f t="shared" si="37"/>
        <v>0</v>
      </c>
      <c r="U140" s="688">
        <f t="shared" si="38"/>
        <v>0</v>
      </c>
      <c r="V140" s="200">
        <f t="shared" si="39"/>
        <v>0</v>
      </c>
      <c r="W140" s="697"/>
    </row>
    <row r="141" spans="1:23" s="247" customFormat="1" ht="24.95" hidden="1" customHeight="1" outlineLevel="1">
      <c r="A141" s="242"/>
      <c r="B141" s="242" t="s">
        <v>393</v>
      </c>
      <c r="C141" s="243">
        <v>10</v>
      </c>
      <c r="D141" s="696"/>
      <c r="E141" s="243"/>
      <c r="F141" s="696"/>
      <c r="G141" s="242">
        <f t="shared" si="40"/>
        <v>0</v>
      </c>
      <c r="H141" s="244">
        <v>2</v>
      </c>
      <c r="I141" s="245">
        <v>100</v>
      </c>
      <c r="J141" s="246"/>
      <c r="K141" s="246">
        <v>1945</v>
      </c>
      <c r="L141" s="246"/>
      <c r="M141" s="245">
        <v>100</v>
      </c>
      <c r="N141" s="235" t="e">
        <f>(((I141+J141+K141+L141+M141)-C141*#REF!*2)/1000)</f>
        <v>#REF!</v>
      </c>
      <c r="O141" s="235"/>
      <c r="P141" s="200">
        <f t="shared" si="33"/>
        <v>0</v>
      </c>
      <c r="Q141" s="200" t="e">
        <f t="shared" si="34"/>
        <v>#REF!</v>
      </c>
      <c r="R141" s="200">
        <f t="shared" si="35"/>
        <v>0</v>
      </c>
      <c r="S141" s="200">
        <f t="shared" si="36"/>
        <v>0</v>
      </c>
      <c r="T141" s="200">
        <f t="shared" si="37"/>
        <v>0</v>
      </c>
      <c r="U141" s="688">
        <f t="shared" si="38"/>
        <v>0</v>
      </c>
      <c r="V141" s="200">
        <f t="shared" si="39"/>
        <v>0</v>
      </c>
      <c r="W141" s="697"/>
    </row>
    <row r="142" spans="1:23" s="247" customFormat="1" ht="24.95" hidden="1" customHeight="1" outlineLevel="1">
      <c r="A142" s="242"/>
      <c r="B142" s="242" t="s">
        <v>394</v>
      </c>
      <c r="C142" s="243">
        <v>8</v>
      </c>
      <c r="D142" s="696"/>
      <c r="E142" s="243"/>
      <c r="F142" s="696"/>
      <c r="G142" s="242">
        <f t="shared" si="40"/>
        <v>0</v>
      </c>
      <c r="H142" s="244">
        <f>(1745/200)+1</f>
        <v>9.7249999999999996</v>
      </c>
      <c r="I142" s="246"/>
      <c r="J142" s="246"/>
      <c r="K142" s="246">
        <v>820</v>
      </c>
      <c r="L142" s="246"/>
      <c r="M142" s="246"/>
      <c r="N142" s="235" t="e">
        <f>(((I142+J142+K142+L142+M142)-C142*#REF!*2)/1000)</f>
        <v>#REF!</v>
      </c>
      <c r="O142" s="235"/>
      <c r="P142" s="200" t="e">
        <f t="shared" si="33"/>
        <v>#REF!</v>
      </c>
      <c r="Q142" s="200">
        <f t="shared" si="34"/>
        <v>0</v>
      </c>
      <c r="R142" s="200">
        <f t="shared" si="35"/>
        <v>0</v>
      </c>
      <c r="S142" s="200">
        <f t="shared" si="36"/>
        <v>0</v>
      </c>
      <c r="T142" s="200">
        <f t="shared" si="37"/>
        <v>0</v>
      </c>
      <c r="U142" s="688">
        <f t="shared" si="38"/>
        <v>0</v>
      </c>
      <c r="V142" s="200">
        <f t="shared" si="39"/>
        <v>0</v>
      </c>
      <c r="W142" s="697"/>
    </row>
    <row r="143" spans="1:23" s="236" customFormat="1" ht="24.95" hidden="1" customHeight="1" outlineLevel="1">
      <c r="A143" s="239">
        <v>11</v>
      </c>
      <c r="B143" s="239" t="s">
        <v>392</v>
      </c>
      <c r="C143" s="240">
        <v>10</v>
      </c>
      <c r="D143" s="690"/>
      <c r="E143" s="240"/>
      <c r="F143" s="836"/>
      <c r="G143" s="239">
        <v>1</v>
      </c>
      <c r="H143" s="203">
        <v>2</v>
      </c>
      <c r="I143" s="241">
        <v>100</v>
      </c>
      <c r="J143" s="234"/>
      <c r="K143" s="234">
        <v>1380</v>
      </c>
      <c r="L143" s="234"/>
      <c r="M143" s="241">
        <v>100</v>
      </c>
      <c r="N143" s="235" t="e">
        <f>(((I143+J143+K143+L143+M143)-C143*#REF!*2)/1000)</f>
        <v>#REF!</v>
      </c>
      <c r="O143" s="235"/>
      <c r="P143" s="200">
        <f t="shared" si="33"/>
        <v>0</v>
      </c>
      <c r="Q143" s="200" t="e">
        <f t="shared" si="34"/>
        <v>#REF!</v>
      </c>
      <c r="R143" s="200">
        <f t="shared" si="35"/>
        <v>0</v>
      </c>
      <c r="S143" s="200">
        <f t="shared" si="36"/>
        <v>0</v>
      </c>
      <c r="T143" s="200">
        <f t="shared" si="37"/>
        <v>0</v>
      </c>
      <c r="U143" s="688">
        <f t="shared" si="38"/>
        <v>0</v>
      </c>
      <c r="V143" s="200">
        <f t="shared" si="39"/>
        <v>0</v>
      </c>
      <c r="W143" s="689"/>
    </row>
    <row r="144" spans="1:23" s="236" customFormat="1" ht="24.95" hidden="1" customHeight="1" outlineLevel="1">
      <c r="A144" s="239"/>
      <c r="B144" s="239" t="s">
        <v>393</v>
      </c>
      <c r="C144" s="240">
        <v>10</v>
      </c>
      <c r="D144" s="690"/>
      <c r="E144" s="240"/>
      <c r="F144" s="836"/>
      <c r="G144" s="239">
        <v>1</v>
      </c>
      <c r="H144" s="203">
        <v>2</v>
      </c>
      <c r="I144" s="241">
        <v>100</v>
      </c>
      <c r="J144" s="234"/>
      <c r="K144" s="234">
        <v>1380</v>
      </c>
      <c r="L144" s="234"/>
      <c r="M144" s="241">
        <v>100</v>
      </c>
      <c r="N144" s="235" t="e">
        <f>(((I144+J144+K144+L144+M144)-C144*#REF!*2)/1000)</f>
        <v>#REF!</v>
      </c>
      <c r="O144" s="235"/>
      <c r="P144" s="200">
        <f t="shared" si="33"/>
        <v>0</v>
      </c>
      <c r="Q144" s="200" t="e">
        <f t="shared" si="34"/>
        <v>#REF!</v>
      </c>
      <c r="R144" s="200">
        <f t="shared" si="35"/>
        <v>0</v>
      </c>
      <c r="S144" s="200">
        <f t="shared" si="36"/>
        <v>0</v>
      </c>
      <c r="T144" s="200">
        <f t="shared" si="37"/>
        <v>0</v>
      </c>
      <c r="U144" s="688">
        <f t="shared" si="38"/>
        <v>0</v>
      </c>
      <c r="V144" s="200">
        <f t="shared" si="39"/>
        <v>0</v>
      </c>
      <c r="W144" s="689"/>
    </row>
    <row r="145" spans="1:23" s="236" customFormat="1" ht="24.95" hidden="1" customHeight="1" outlineLevel="1">
      <c r="A145" s="239"/>
      <c r="B145" s="239" t="s">
        <v>394</v>
      </c>
      <c r="C145" s="240">
        <v>8</v>
      </c>
      <c r="D145" s="690"/>
      <c r="E145" s="240"/>
      <c r="F145" s="836"/>
      <c r="G145" s="239">
        <v>1</v>
      </c>
      <c r="H145" s="203">
        <f>(1380/200)+1</f>
        <v>7.9</v>
      </c>
      <c r="I145" s="234"/>
      <c r="J145" s="234"/>
      <c r="K145" s="234">
        <v>820</v>
      </c>
      <c r="L145" s="234"/>
      <c r="M145" s="234"/>
      <c r="N145" s="235" t="e">
        <f>(((I145+J145+K145+L145+M145)-C145*#REF!*2)/1000)</f>
        <v>#REF!</v>
      </c>
      <c r="O145" s="235"/>
      <c r="P145" s="200" t="e">
        <f t="shared" si="33"/>
        <v>#REF!</v>
      </c>
      <c r="Q145" s="200">
        <f t="shared" si="34"/>
        <v>0</v>
      </c>
      <c r="R145" s="200">
        <f t="shared" si="35"/>
        <v>0</v>
      </c>
      <c r="S145" s="200">
        <f t="shared" si="36"/>
        <v>0</v>
      </c>
      <c r="T145" s="200">
        <f t="shared" si="37"/>
        <v>0</v>
      </c>
      <c r="U145" s="688">
        <f t="shared" si="38"/>
        <v>0</v>
      </c>
      <c r="V145" s="200">
        <f t="shared" si="39"/>
        <v>0</v>
      </c>
      <c r="W145" s="689"/>
    </row>
    <row r="146" spans="1:23" s="236" customFormat="1" ht="24.95" hidden="1" customHeight="1" outlineLevel="1">
      <c r="A146" s="239">
        <v>12</v>
      </c>
      <c r="B146" s="239" t="s">
        <v>392</v>
      </c>
      <c r="C146" s="240">
        <v>10</v>
      </c>
      <c r="D146" s="690"/>
      <c r="E146" s="240"/>
      <c r="F146" s="836"/>
      <c r="G146" s="239">
        <v>1</v>
      </c>
      <c r="H146" s="203">
        <v>2</v>
      </c>
      <c r="I146" s="241">
        <v>100</v>
      </c>
      <c r="J146" s="234"/>
      <c r="K146" s="234">
        <v>4680</v>
      </c>
      <c r="L146" s="234"/>
      <c r="M146" s="241">
        <v>100</v>
      </c>
      <c r="N146" s="235" t="e">
        <f>(((I146+J146+K146+L146+M146)-C146*#REF!*2)/1000)</f>
        <v>#REF!</v>
      </c>
      <c r="O146" s="235"/>
      <c r="P146" s="200">
        <f t="shared" si="33"/>
        <v>0</v>
      </c>
      <c r="Q146" s="200" t="e">
        <f t="shared" si="34"/>
        <v>#REF!</v>
      </c>
      <c r="R146" s="200">
        <f t="shared" si="35"/>
        <v>0</v>
      </c>
      <c r="S146" s="200">
        <f t="shared" si="36"/>
        <v>0</v>
      </c>
      <c r="T146" s="200">
        <f t="shared" si="37"/>
        <v>0</v>
      </c>
      <c r="U146" s="688">
        <f t="shared" si="38"/>
        <v>0</v>
      </c>
      <c r="V146" s="200">
        <f t="shared" si="39"/>
        <v>0</v>
      </c>
      <c r="W146" s="689"/>
    </row>
    <row r="147" spans="1:23" s="236" customFormat="1" ht="24.95" hidden="1" customHeight="1" outlineLevel="1">
      <c r="A147" s="239"/>
      <c r="B147" s="239" t="s">
        <v>393</v>
      </c>
      <c r="C147" s="240">
        <v>10</v>
      </c>
      <c r="D147" s="690"/>
      <c r="E147" s="240"/>
      <c r="F147" s="836"/>
      <c r="G147" s="239">
        <v>1</v>
      </c>
      <c r="H147" s="203">
        <v>2</v>
      </c>
      <c r="I147" s="241">
        <v>100</v>
      </c>
      <c r="J147" s="234"/>
      <c r="K147" s="234">
        <v>4680</v>
      </c>
      <c r="L147" s="234"/>
      <c r="M147" s="241">
        <v>100</v>
      </c>
      <c r="N147" s="235" t="e">
        <f>(((I147+J147+K147+L147+M147)-C147*#REF!*2)/1000)</f>
        <v>#REF!</v>
      </c>
      <c r="O147" s="235"/>
      <c r="P147" s="200">
        <f t="shared" si="33"/>
        <v>0</v>
      </c>
      <c r="Q147" s="200" t="e">
        <f t="shared" si="34"/>
        <v>#REF!</v>
      </c>
      <c r="R147" s="200">
        <f t="shared" si="35"/>
        <v>0</v>
      </c>
      <c r="S147" s="200">
        <f t="shared" si="36"/>
        <v>0</v>
      </c>
      <c r="T147" s="200">
        <f t="shared" si="37"/>
        <v>0</v>
      </c>
      <c r="U147" s="688">
        <f t="shared" si="38"/>
        <v>0</v>
      </c>
      <c r="V147" s="200">
        <f t="shared" si="39"/>
        <v>0</v>
      </c>
      <c r="W147" s="689"/>
    </row>
    <row r="148" spans="1:23" s="236" customFormat="1" ht="24.95" hidden="1" customHeight="1" outlineLevel="1">
      <c r="A148" s="239"/>
      <c r="B148" s="239" t="s">
        <v>394</v>
      </c>
      <c r="C148" s="240">
        <v>8</v>
      </c>
      <c r="D148" s="690"/>
      <c r="E148" s="240"/>
      <c r="F148" s="836"/>
      <c r="G148" s="239">
        <v>1</v>
      </c>
      <c r="H148" s="203">
        <f>(4680/200)+1</f>
        <v>24.4</v>
      </c>
      <c r="I148" s="234"/>
      <c r="J148" s="234"/>
      <c r="K148" s="234">
        <v>820</v>
      </c>
      <c r="L148" s="234"/>
      <c r="M148" s="234"/>
      <c r="N148" s="235" t="e">
        <f>(((I148+J148+K148+L148+M148)-C148*#REF!*2)/1000)</f>
        <v>#REF!</v>
      </c>
      <c r="O148" s="235"/>
      <c r="P148" s="200" t="e">
        <f t="shared" si="33"/>
        <v>#REF!</v>
      </c>
      <c r="Q148" s="200">
        <f t="shared" si="34"/>
        <v>0</v>
      </c>
      <c r="R148" s="200">
        <f t="shared" si="35"/>
        <v>0</v>
      </c>
      <c r="S148" s="200">
        <f t="shared" si="36"/>
        <v>0</v>
      </c>
      <c r="T148" s="200">
        <f t="shared" si="37"/>
        <v>0</v>
      </c>
      <c r="U148" s="688">
        <f t="shared" si="38"/>
        <v>0</v>
      </c>
      <c r="V148" s="200">
        <f t="shared" si="39"/>
        <v>0</v>
      </c>
      <c r="W148" s="689"/>
    </row>
    <row r="149" spans="1:23" s="236" customFormat="1" ht="24.95" hidden="1" customHeight="1" outlineLevel="1">
      <c r="A149" s="239">
        <v>13</v>
      </c>
      <c r="B149" s="239" t="s">
        <v>392</v>
      </c>
      <c r="C149" s="240">
        <v>10</v>
      </c>
      <c r="D149" s="690"/>
      <c r="E149" s="240"/>
      <c r="F149" s="836"/>
      <c r="G149" s="239">
        <v>1</v>
      </c>
      <c r="H149" s="203">
        <v>2</v>
      </c>
      <c r="I149" s="241">
        <v>100</v>
      </c>
      <c r="J149" s="234"/>
      <c r="K149" s="241">
        <v>7910</v>
      </c>
      <c r="L149" s="234"/>
      <c r="M149" s="241">
        <v>100</v>
      </c>
      <c r="N149" s="235" t="e">
        <f>(((I149+J149+K149+L149+M149)-C149*#REF!*2)/1000)</f>
        <v>#REF!</v>
      </c>
      <c r="O149" s="235"/>
      <c r="P149" s="200">
        <f t="shared" si="33"/>
        <v>0</v>
      </c>
      <c r="Q149" s="200" t="e">
        <f t="shared" si="34"/>
        <v>#REF!</v>
      </c>
      <c r="R149" s="200">
        <f t="shared" si="35"/>
        <v>0</v>
      </c>
      <c r="S149" s="200">
        <f t="shared" si="36"/>
        <v>0</v>
      </c>
      <c r="T149" s="200">
        <f t="shared" si="37"/>
        <v>0</v>
      </c>
      <c r="U149" s="688">
        <f t="shared" si="38"/>
        <v>0</v>
      </c>
      <c r="V149" s="200">
        <f t="shared" si="39"/>
        <v>0</v>
      </c>
      <c r="W149" s="689"/>
    </row>
    <row r="150" spans="1:23" s="236" customFormat="1" ht="24.95" hidden="1" customHeight="1" outlineLevel="1">
      <c r="A150" s="239"/>
      <c r="B150" s="239" t="s">
        <v>393</v>
      </c>
      <c r="C150" s="240">
        <v>10</v>
      </c>
      <c r="D150" s="690"/>
      <c r="E150" s="240"/>
      <c r="F150" s="836"/>
      <c r="G150" s="239">
        <v>1</v>
      </c>
      <c r="H150" s="203">
        <v>2</v>
      </c>
      <c r="I150" s="241">
        <v>100</v>
      </c>
      <c r="J150" s="234"/>
      <c r="K150" s="241">
        <v>7910</v>
      </c>
      <c r="L150" s="234"/>
      <c r="M150" s="241">
        <v>100</v>
      </c>
      <c r="N150" s="235" t="e">
        <f>(((I150+J150+K150+L150+M150)-C150*#REF!*2)/1000)</f>
        <v>#REF!</v>
      </c>
      <c r="O150" s="235"/>
      <c r="P150" s="200">
        <f t="shared" si="33"/>
        <v>0</v>
      </c>
      <c r="Q150" s="200" t="e">
        <f t="shared" si="34"/>
        <v>#REF!</v>
      </c>
      <c r="R150" s="200">
        <f t="shared" si="35"/>
        <v>0</v>
      </c>
      <c r="S150" s="200">
        <f t="shared" si="36"/>
        <v>0</v>
      </c>
      <c r="T150" s="200">
        <f t="shared" si="37"/>
        <v>0</v>
      </c>
      <c r="U150" s="688">
        <f t="shared" si="38"/>
        <v>0</v>
      </c>
      <c r="V150" s="200">
        <f t="shared" si="39"/>
        <v>0</v>
      </c>
      <c r="W150" s="689"/>
    </row>
    <row r="151" spans="1:23" s="236" customFormat="1" ht="24.95" hidden="1" customHeight="1" outlineLevel="1">
      <c r="A151" s="239"/>
      <c r="B151" s="239" t="s">
        <v>394</v>
      </c>
      <c r="C151" s="240">
        <v>8</v>
      </c>
      <c r="D151" s="690"/>
      <c r="E151" s="240"/>
      <c r="F151" s="836"/>
      <c r="G151" s="239">
        <v>1</v>
      </c>
      <c r="H151" s="203">
        <f>(7980/200)+1</f>
        <v>40.9</v>
      </c>
      <c r="I151" s="234"/>
      <c r="J151" s="234"/>
      <c r="K151" s="234">
        <v>820</v>
      </c>
      <c r="L151" s="234"/>
      <c r="M151" s="234"/>
      <c r="N151" s="235" t="e">
        <f>(((I151+J151+K151+L151+M151)-C151*#REF!*2)/1000)</f>
        <v>#REF!</v>
      </c>
      <c r="O151" s="235"/>
      <c r="P151" s="200" t="e">
        <f t="shared" si="33"/>
        <v>#REF!</v>
      </c>
      <c r="Q151" s="200">
        <f t="shared" si="34"/>
        <v>0</v>
      </c>
      <c r="R151" s="200">
        <f t="shared" si="35"/>
        <v>0</v>
      </c>
      <c r="S151" s="200">
        <f t="shared" si="36"/>
        <v>0</v>
      </c>
      <c r="T151" s="200">
        <f t="shared" si="37"/>
        <v>0</v>
      </c>
      <c r="U151" s="688">
        <f t="shared" si="38"/>
        <v>0</v>
      </c>
      <c r="V151" s="200">
        <f t="shared" si="39"/>
        <v>0</v>
      </c>
      <c r="W151" s="689"/>
    </row>
    <row r="152" spans="1:23" s="236" customFormat="1" ht="24.95" hidden="1" customHeight="1" outlineLevel="1">
      <c r="A152" s="207">
        <v>14</v>
      </c>
      <c r="B152" s="208" t="s">
        <v>399</v>
      </c>
      <c r="C152" s="240">
        <v>12</v>
      </c>
      <c r="D152" s="690"/>
      <c r="E152" s="240"/>
      <c r="F152" s="836"/>
      <c r="G152" s="239">
        <v>4</v>
      </c>
      <c r="H152" s="203">
        <v>3</v>
      </c>
      <c r="I152" s="241">
        <v>100</v>
      </c>
      <c r="J152" s="234"/>
      <c r="K152" s="234">
        <v>2950</v>
      </c>
      <c r="L152" s="234"/>
      <c r="M152" s="241">
        <v>100</v>
      </c>
      <c r="N152" s="235" t="e">
        <f>(((I152+J152+K152+L152+M152)-C152*#REF!*2)/1000)</f>
        <v>#REF!</v>
      </c>
      <c r="O152" s="235"/>
      <c r="P152" s="200">
        <f t="shared" si="33"/>
        <v>0</v>
      </c>
      <c r="Q152" s="200">
        <f t="shared" si="34"/>
        <v>0</v>
      </c>
      <c r="R152" s="200" t="e">
        <f t="shared" si="35"/>
        <v>#REF!</v>
      </c>
      <c r="S152" s="200">
        <f t="shared" si="36"/>
        <v>0</v>
      </c>
      <c r="T152" s="200">
        <f t="shared" si="37"/>
        <v>0</v>
      </c>
      <c r="U152" s="688">
        <f t="shared" si="38"/>
        <v>0</v>
      </c>
      <c r="V152" s="200">
        <f t="shared" si="39"/>
        <v>0</v>
      </c>
      <c r="W152" s="689"/>
    </row>
    <row r="153" spans="1:23" s="236" customFormat="1" ht="24.95" hidden="1" customHeight="1" outlineLevel="1">
      <c r="A153" s="239"/>
      <c r="B153" s="239" t="s">
        <v>393</v>
      </c>
      <c r="C153" s="240">
        <v>12</v>
      </c>
      <c r="D153" s="690"/>
      <c r="E153" s="240"/>
      <c r="F153" s="836"/>
      <c r="G153" s="239">
        <v>4</v>
      </c>
      <c r="H153" s="203">
        <v>3</v>
      </c>
      <c r="I153" s="241">
        <v>100</v>
      </c>
      <c r="J153" s="234"/>
      <c r="K153" s="234">
        <v>2950</v>
      </c>
      <c r="L153" s="234"/>
      <c r="M153" s="241">
        <v>100</v>
      </c>
      <c r="N153" s="235" t="e">
        <f>(((I153+J153+K153+L153+M153)-C153*#REF!*2)/1000)</f>
        <v>#REF!</v>
      </c>
      <c r="O153" s="235"/>
      <c r="P153" s="200">
        <f t="shared" si="33"/>
        <v>0</v>
      </c>
      <c r="Q153" s="200">
        <f t="shared" si="34"/>
        <v>0</v>
      </c>
      <c r="R153" s="200" t="e">
        <f t="shared" si="35"/>
        <v>#REF!</v>
      </c>
      <c r="S153" s="200">
        <f t="shared" si="36"/>
        <v>0</v>
      </c>
      <c r="T153" s="200">
        <f t="shared" si="37"/>
        <v>0</v>
      </c>
      <c r="U153" s="688">
        <f t="shared" si="38"/>
        <v>0</v>
      </c>
      <c r="V153" s="200">
        <f t="shared" si="39"/>
        <v>0</v>
      </c>
      <c r="W153" s="689"/>
    </row>
    <row r="154" spans="1:23" s="236" customFormat="1" ht="24.95" hidden="1" customHeight="1" outlineLevel="1">
      <c r="A154" s="239"/>
      <c r="B154" s="239" t="s">
        <v>400</v>
      </c>
      <c r="C154" s="240">
        <v>8</v>
      </c>
      <c r="D154" s="690"/>
      <c r="E154" s="240"/>
      <c r="F154" s="836"/>
      <c r="G154" s="239">
        <v>4</v>
      </c>
      <c r="H154" s="203">
        <f>(2950/200)+1</f>
        <v>15.75</v>
      </c>
      <c r="I154" s="234"/>
      <c r="J154" s="234"/>
      <c r="K154" s="234">
        <v>1280</v>
      </c>
      <c r="L154" s="234"/>
      <c r="M154" s="234"/>
      <c r="N154" s="235" t="e">
        <f>(((I154+J154+K154+L154+M154)-C154*#REF!*2)/1000)</f>
        <v>#REF!</v>
      </c>
      <c r="O154" s="235"/>
      <c r="P154" s="200" t="e">
        <f t="shared" si="33"/>
        <v>#REF!</v>
      </c>
      <c r="Q154" s="200">
        <f t="shared" si="34"/>
        <v>0</v>
      </c>
      <c r="R154" s="200">
        <f t="shared" si="35"/>
        <v>0</v>
      </c>
      <c r="S154" s="200">
        <f t="shared" si="36"/>
        <v>0</v>
      </c>
      <c r="T154" s="200">
        <f t="shared" si="37"/>
        <v>0</v>
      </c>
      <c r="U154" s="688">
        <f t="shared" si="38"/>
        <v>0</v>
      </c>
      <c r="V154" s="200">
        <f t="shared" si="39"/>
        <v>0</v>
      </c>
      <c r="W154" s="689"/>
    </row>
    <row r="155" spans="1:23" s="236" customFormat="1" ht="24.95" hidden="1" customHeight="1" outlineLevel="1">
      <c r="A155" s="205" t="s">
        <v>405</v>
      </c>
      <c r="B155" s="206" t="s">
        <v>396</v>
      </c>
      <c r="C155" s="240"/>
      <c r="D155" s="690"/>
      <c r="E155" s="240"/>
      <c r="F155" s="836"/>
      <c r="G155" s="239"/>
      <c r="H155" s="203"/>
      <c r="I155" s="234"/>
      <c r="J155" s="234"/>
      <c r="K155" s="234"/>
      <c r="L155" s="234"/>
      <c r="M155" s="234"/>
      <c r="N155" s="235" t="e">
        <f>(((I155+J155+K155+L155+M155)-C155*#REF!*2)/1000)</f>
        <v>#REF!</v>
      </c>
      <c r="O155" s="235"/>
      <c r="P155" s="200">
        <f t="shared" si="33"/>
        <v>0</v>
      </c>
      <c r="Q155" s="200">
        <f t="shared" si="34"/>
        <v>0</v>
      </c>
      <c r="R155" s="200">
        <f t="shared" si="35"/>
        <v>0</v>
      </c>
      <c r="S155" s="200">
        <f t="shared" si="36"/>
        <v>0</v>
      </c>
      <c r="T155" s="200">
        <f t="shared" si="37"/>
        <v>0</v>
      </c>
      <c r="U155" s="688">
        <f t="shared" si="38"/>
        <v>0</v>
      </c>
      <c r="V155" s="200">
        <f t="shared" si="39"/>
        <v>0</v>
      </c>
      <c r="W155" s="689"/>
    </row>
    <row r="156" spans="1:23" s="236" customFormat="1" ht="24.95" hidden="1" customHeight="1" outlineLevel="1">
      <c r="A156" s="239">
        <v>1</v>
      </c>
      <c r="B156" s="239" t="s">
        <v>392</v>
      </c>
      <c r="C156" s="240">
        <v>10</v>
      </c>
      <c r="D156" s="690"/>
      <c r="E156" s="240"/>
      <c r="F156" s="836"/>
      <c r="G156" s="239">
        <v>8</v>
      </c>
      <c r="H156" s="203">
        <v>2</v>
      </c>
      <c r="I156" s="241">
        <v>100</v>
      </c>
      <c r="J156" s="234"/>
      <c r="K156" s="234">
        <v>1095</v>
      </c>
      <c r="L156" s="234"/>
      <c r="M156" s="241">
        <v>100</v>
      </c>
      <c r="N156" s="235" t="e">
        <f>(((I156+J156+K156+L156+M156)-C156*#REF!*2)/1000)</f>
        <v>#REF!</v>
      </c>
      <c r="O156" s="235"/>
      <c r="P156" s="200">
        <f t="shared" si="33"/>
        <v>0</v>
      </c>
      <c r="Q156" s="200" t="e">
        <f t="shared" si="34"/>
        <v>#REF!</v>
      </c>
      <c r="R156" s="200">
        <f t="shared" si="35"/>
        <v>0</v>
      </c>
      <c r="S156" s="200">
        <f t="shared" si="36"/>
        <v>0</v>
      </c>
      <c r="T156" s="200">
        <f t="shared" si="37"/>
        <v>0</v>
      </c>
      <c r="U156" s="688">
        <f t="shared" si="38"/>
        <v>0</v>
      </c>
      <c r="V156" s="200">
        <f t="shared" si="39"/>
        <v>0</v>
      </c>
      <c r="W156" s="689"/>
    </row>
    <row r="157" spans="1:23" s="236" customFormat="1" ht="24.95" hidden="1" customHeight="1" outlineLevel="1">
      <c r="A157" s="239"/>
      <c r="B157" s="239" t="s">
        <v>393</v>
      </c>
      <c r="C157" s="240">
        <v>10</v>
      </c>
      <c r="D157" s="690"/>
      <c r="E157" s="240"/>
      <c r="F157" s="836"/>
      <c r="G157" s="239">
        <v>8</v>
      </c>
      <c r="H157" s="203">
        <v>2</v>
      </c>
      <c r="I157" s="241">
        <v>100</v>
      </c>
      <c r="J157" s="234"/>
      <c r="K157" s="234">
        <v>1095</v>
      </c>
      <c r="L157" s="234"/>
      <c r="M157" s="241">
        <v>100</v>
      </c>
      <c r="N157" s="235" t="e">
        <f>(((I157+J157+K157+L157+M157)-C157*#REF!*2)/1000)</f>
        <v>#REF!</v>
      </c>
      <c r="O157" s="235"/>
      <c r="P157" s="200">
        <f t="shared" si="33"/>
        <v>0</v>
      </c>
      <c r="Q157" s="200" t="e">
        <f t="shared" si="34"/>
        <v>#REF!</v>
      </c>
      <c r="R157" s="200">
        <f t="shared" si="35"/>
        <v>0</v>
      </c>
      <c r="S157" s="200">
        <f t="shared" si="36"/>
        <v>0</v>
      </c>
      <c r="T157" s="200">
        <f t="shared" si="37"/>
        <v>0</v>
      </c>
      <c r="U157" s="688">
        <f t="shared" si="38"/>
        <v>0</v>
      </c>
      <c r="V157" s="200">
        <f t="shared" si="39"/>
        <v>0</v>
      </c>
      <c r="W157" s="689"/>
    </row>
    <row r="158" spans="1:23" s="236" customFormat="1" ht="24.95" hidden="1" customHeight="1" outlineLevel="1">
      <c r="A158" s="239"/>
      <c r="B158" s="239" t="s">
        <v>394</v>
      </c>
      <c r="C158" s="240">
        <v>8</v>
      </c>
      <c r="D158" s="690"/>
      <c r="E158" s="240"/>
      <c r="F158" s="836"/>
      <c r="G158" s="239">
        <v>8</v>
      </c>
      <c r="H158" s="203">
        <f>(1095/200)+1</f>
        <v>6.4749999999999996</v>
      </c>
      <c r="I158" s="234"/>
      <c r="J158" s="234"/>
      <c r="K158" s="234">
        <v>820</v>
      </c>
      <c r="L158" s="234"/>
      <c r="M158" s="234"/>
      <c r="N158" s="235" t="e">
        <f>(((I158+J158+K158+L158+M158)-C158*#REF!*2)/1000)</f>
        <v>#REF!</v>
      </c>
      <c r="O158" s="235"/>
      <c r="P158" s="200" t="e">
        <f t="shared" si="33"/>
        <v>#REF!</v>
      </c>
      <c r="Q158" s="200">
        <f t="shared" si="34"/>
        <v>0</v>
      </c>
      <c r="R158" s="200">
        <f t="shared" si="35"/>
        <v>0</v>
      </c>
      <c r="S158" s="200">
        <f t="shared" si="36"/>
        <v>0</v>
      </c>
      <c r="T158" s="200">
        <f t="shared" si="37"/>
        <v>0</v>
      </c>
      <c r="U158" s="688">
        <f t="shared" si="38"/>
        <v>0</v>
      </c>
      <c r="V158" s="200">
        <f t="shared" si="39"/>
        <v>0</v>
      </c>
      <c r="W158" s="689"/>
    </row>
    <row r="159" spans="1:23" s="236" customFormat="1" ht="24.95" hidden="1" customHeight="1" outlineLevel="1">
      <c r="A159" s="239">
        <v>2</v>
      </c>
      <c r="B159" s="239" t="s">
        <v>392</v>
      </c>
      <c r="C159" s="240">
        <v>10</v>
      </c>
      <c r="D159" s="690"/>
      <c r="E159" s="240"/>
      <c r="F159" s="836"/>
      <c r="G159" s="239">
        <v>1</v>
      </c>
      <c r="H159" s="203">
        <v>2</v>
      </c>
      <c r="I159" s="241">
        <v>100</v>
      </c>
      <c r="J159" s="234"/>
      <c r="K159" s="234">
        <v>2350</v>
      </c>
      <c r="L159" s="234"/>
      <c r="M159" s="241">
        <v>100</v>
      </c>
      <c r="N159" s="235" t="e">
        <f>(((I159+J159+K159+L159+M159)-C159*#REF!*2)/1000)</f>
        <v>#REF!</v>
      </c>
      <c r="O159" s="235"/>
      <c r="P159" s="200">
        <f t="shared" si="33"/>
        <v>0</v>
      </c>
      <c r="Q159" s="200" t="e">
        <f t="shared" si="34"/>
        <v>#REF!</v>
      </c>
      <c r="R159" s="200">
        <f t="shared" si="35"/>
        <v>0</v>
      </c>
      <c r="S159" s="200">
        <f t="shared" si="36"/>
        <v>0</v>
      </c>
      <c r="T159" s="200">
        <f t="shared" si="37"/>
        <v>0</v>
      </c>
      <c r="U159" s="688">
        <f t="shared" si="38"/>
        <v>0</v>
      </c>
      <c r="V159" s="200">
        <f t="shared" si="39"/>
        <v>0</v>
      </c>
      <c r="W159" s="689"/>
    </row>
    <row r="160" spans="1:23" s="236" customFormat="1" ht="24.95" hidden="1" customHeight="1" outlineLevel="1">
      <c r="A160" s="239"/>
      <c r="B160" s="239" t="s">
        <v>393</v>
      </c>
      <c r="C160" s="240">
        <v>10</v>
      </c>
      <c r="D160" s="690"/>
      <c r="E160" s="240"/>
      <c r="F160" s="836"/>
      <c r="G160" s="239">
        <v>1</v>
      </c>
      <c r="H160" s="203">
        <v>2</v>
      </c>
      <c r="I160" s="241">
        <v>100</v>
      </c>
      <c r="J160" s="234"/>
      <c r="K160" s="234">
        <v>2350</v>
      </c>
      <c r="L160" s="234"/>
      <c r="M160" s="241">
        <v>100</v>
      </c>
      <c r="N160" s="235" t="e">
        <f>(((I160+J160+K160+L160+M160)-C160*#REF!*2)/1000)</f>
        <v>#REF!</v>
      </c>
      <c r="O160" s="235"/>
      <c r="P160" s="200">
        <f t="shared" si="33"/>
        <v>0</v>
      </c>
      <c r="Q160" s="200" t="e">
        <f t="shared" si="34"/>
        <v>#REF!</v>
      </c>
      <c r="R160" s="200">
        <f t="shared" si="35"/>
        <v>0</v>
      </c>
      <c r="S160" s="200">
        <f t="shared" si="36"/>
        <v>0</v>
      </c>
      <c r="T160" s="200">
        <f t="shared" si="37"/>
        <v>0</v>
      </c>
      <c r="U160" s="688">
        <f t="shared" si="38"/>
        <v>0</v>
      </c>
      <c r="V160" s="200">
        <f t="shared" si="39"/>
        <v>0</v>
      </c>
      <c r="W160" s="689"/>
    </row>
    <row r="161" spans="1:23" s="236" customFormat="1" ht="24.95" hidden="1" customHeight="1" outlineLevel="1">
      <c r="A161" s="239"/>
      <c r="B161" s="239" t="s">
        <v>394</v>
      </c>
      <c r="C161" s="240">
        <v>8</v>
      </c>
      <c r="D161" s="690"/>
      <c r="E161" s="240"/>
      <c r="F161" s="836"/>
      <c r="G161" s="239">
        <v>1</v>
      </c>
      <c r="H161" s="203">
        <f>(2350/200)+1</f>
        <v>12.75</v>
      </c>
      <c r="I161" s="234"/>
      <c r="J161" s="234"/>
      <c r="K161" s="234">
        <v>820</v>
      </c>
      <c r="L161" s="234"/>
      <c r="M161" s="234"/>
      <c r="N161" s="235" t="e">
        <f>(((I161+J161+K161+L161+M161)-C161*#REF!*2)/1000)</f>
        <v>#REF!</v>
      </c>
      <c r="O161" s="235"/>
      <c r="P161" s="200" t="e">
        <f t="shared" si="33"/>
        <v>#REF!</v>
      </c>
      <c r="Q161" s="200">
        <f t="shared" si="34"/>
        <v>0</v>
      </c>
      <c r="R161" s="200">
        <f t="shared" si="35"/>
        <v>0</v>
      </c>
      <c r="S161" s="200">
        <f t="shared" si="36"/>
        <v>0</v>
      </c>
      <c r="T161" s="200">
        <f t="shared" si="37"/>
        <v>0</v>
      </c>
      <c r="U161" s="688">
        <f t="shared" si="38"/>
        <v>0</v>
      </c>
      <c r="V161" s="200">
        <f t="shared" si="39"/>
        <v>0</v>
      </c>
      <c r="W161" s="689"/>
    </row>
    <row r="162" spans="1:23" s="236" customFormat="1" ht="24.95" hidden="1" customHeight="1" outlineLevel="1">
      <c r="A162" s="239">
        <v>3</v>
      </c>
      <c r="B162" s="239" t="s">
        <v>392</v>
      </c>
      <c r="C162" s="240">
        <v>10</v>
      </c>
      <c r="D162" s="690"/>
      <c r="E162" s="240"/>
      <c r="F162" s="836"/>
      <c r="G162" s="239">
        <v>1</v>
      </c>
      <c r="H162" s="203">
        <v>2</v>
      </c>
      <c r="I162" s="241">
        <v>100</v>
      </c>
      <c r="J162" s="234"/>
      <c r="K162" s="234">
        <v>2315</v>
      </c>
      <c r="L162" s="234"/>
      <c r="M162" s="241">
        <v>100</v>
      </c>
      <c r="N162" s="235" t="e">
        <f>(((I162+J162+K162+L162+M162)-C162*#REF!*2)/1000)</f>
        <v>#REF!</v>
      </c>
      <c r="O162" s="235"/>
      <c r="P162" s="200">
        <f t="shared" si="33"/>
        <v>0</v>
      </c>
      <c r="Q162" s="200" t="e">
        <f t="shared" si="34"/>
        <v>#REF!</v>
      </c>
      <c r="R162" s="200">
        <f t="shared" si="35"/>
        <v>0</v>
      </c>
      <c r="S162" s="200">
        <f t="shared" si="36"/>
        <v>0</v>
      </c>
      <c r="T162" s="200">
        <f t="shared" si="37"/>
        <v>0</v>
      </c>
      <c r="U162" s="688">
        <f t="shared" si="38"/>
        <v>0</v>
      </c>
      <c r="V162" s="200">
        <f t="shared" si="39"/>
        <v>0</v>
      </c>
      <c r="W162" s="689"/>
    </row>
    <row r="163" spans="1:23" s="236" customFormat="1" ht="24.95" hidden="1" customHeight="1" outlineLevel="1">
      <c r="A163" s="239"/>
      <c r="B163" s="239" t="s">
        <v>393</v>
      </c>
      <c r="C163" s="240">
        <v>10</v>
      </c>
      <c r="D163" s="690"/>
      <c r="E163" s="240"/>
      <c r="F163" s="836"/>
      <c r="G163" s="239">
        <v>1</v>
      </c>
      <c r="H163" s="203">
        <v>2</v>
      </c>
      <c r="I163" s="241">
        <v>100</v>
      </c>
      <c r="J163" s="234"/>
      <c r="K163" s="234">
        <v>2315</v>
      </c>
      <c r="L163" s="234"/>
      <c r="M163" s="241">
        <v>100</v>
      </c>
      <c r="N163" s="235" t="e">
        <f>(((I163+J163+K163+L163+M163)-C163*#REF!*2)/1000)</f>
        <v>#REF!</v>
      </c>
      <c r="O163" s="235"/>
      <c r="P163" s="200">
        <f t="shared" si="33"/>
        <v>0</v>
      </c>
      <c r="Q163" s="200" t="e">
        <f t="shared" si="34"/>
        <v>#REF!</v>
      </c>
      <c r="R163" s="200">
        <f t="shared" si="35"/>
        <v>0</v>
      </c>
      <c r="S163" s="200">
        <f t="shared" si="36"/>
        <v>0</v>
      </c>
      <c r="T163" s="200">
        <f t="shared" si="37"/>
        <v>0</v>
      </c>
      <c r="U163" s="688">
        <f t="shared" si="38"/>
        <v>0</v>
      </c>
      <c r="V163" s="200">
        <f t="shared" si="39"/>
        <v>0</v>
      </c>
      <c r="W163" s="689"/>
    </row>
    <row r="164" spans="1:23" s="236" customFormat="1" ht="24.95" hidden="1" customHeight="1" outlineLevel="1">
      <c r="A164" s="239"/>
      <c r="B164" s="239" t="s">
        <v>394</v>
      </c>
      <c r="C164" s="240">
        <v>8</v>
      </c>
      <c r="D164" s="690"/>
      <c r="E164" s="240"/>
      <c r="F164" s="836"/>
      <c r="G164" s="239">
        <v>1</v>
      </c>
      <c r="H164" s="203">
        <f>(2315/200)+1</f>
        <v>12.574999999999999</v>
      </c>
      <c r="I164" s="234"/>
      <c r="J164" s="234"/>
      <c r="K164" s="234">
        <v>820</v>
      </c>
      <c r="L164" s="234"/>
      <c r="M164" s="234"/>
      <c r="N164" s="235" t="e">
        <f>(((I164+J164+K164+L164+M164)-C164*#REF!*2)/1000)</f>
        <v>#REF!</v>
      </c>
      <c r="O164" s="235"/>
      <c r="P164" s="200" t="e">
        <f t="shared" si="33"/>
        <v>#REF!</v>
      </c>
      <c r="Q164" s="200">
        <f t="shared" si="34"/>
        <v>0</v>
      </c>
      <c r="R164" s="200">
        <f t="shared" si="35"/>
        <v>0</v>
      </c>
      <c r="S164" s="200">
        <f t="shared" si="36"/>
        <v>0</v>
      </c>
      <c r="T164" s="200">
        <f t="shared" si="37"/>
        <v>0</v>
      </c>
      <c r="U164" s="688">
        <f t="shared" si="38"/>
        <v>0</v>
      </c>
      <c r="V164" s="200">
        <f t="shared" si="39"/>
        <v>0</v>
      </c>
      <c r="W164" s="689"/>
    </row>
    <row r="165" spans="1:23" s="236" customFormat="1" ht="24.95" hidden="1" customHeight="1" outlineLevel="1">
      <c r="A165" s="239">
        <v>4</v>
      </c>
      <c r="B165" s="239" t="s">
        <v>392</v>
      </c>
      <c r="C165" s="240">
        <v>10</v>
      </c>
      <c r="D165" s="690"/>
      <c r="E165" s="240"/>
      <c r="F165" s="836"/>
      <c r="G165" s="239">
        <v>2</v>
      </c>
      <c r="H165" s="203">
        <v>2</v>
      </c>
      <c r="I165" s="241">
        <v>100</v>
      </c>
      <c r="J165" s="234"/>
      <c r="K165" s="234">
        <v>2925</v>
      </c>
      <c r="L165" s="234"/>
      <c r="M165" s="241">
        <v>100</v>
      </c>
      <c r="N165" s="235" t="e">
        <f>(((I165+J165+K165+L165+M165)-C165*#REF!*2)/1000)</f>
        <v>#REF!</v>
      </c>
      <c r="O165" s="235"/>
      <c r="P165" s="200">
        <f t="shared" si="33"/>
        <v>0</v>
      </c>
      <c r="Q165" s="200" t="e">
        <f t="shared" si="34"/>
        <v>#REF!</v>
      </c>
      <c r="R165" s="200">
        <f t="shared" si="35"/>
        <v>0</v>
      </c>
      <c r="S165" s="200">
        <f t="shared" si="36"/>
        <v>0</v>
      </c>
      <c r="T165" s="200">
        <f t="shared" si="37"/>
        <v>0</v>
      </c>
      <c r="U165" s="688">
        <f t="shared" si="38"/>
        <v>0</v>
      </c>
      <c r="V165" s="200">
        <f t="shared" si="39"/>
        <v>0</v>
      </c>
      <c r="W165" s="689"/>
    </row>
    <row r="166" spans="1:23" s="236" customFormat="1" ht="24.95" hidden="1" customHeight="1" outlineLevel="1">
      <c r="A166" s="239"/>
      <c r="B166" s="239" t="s">
        <v>393</v>
      </c>
      <c r="C166" s="240">
        <v>10</v>
      </c>
      <c r="D166" s="690"/>
      <c r="E166" s="240"/>
      <c r="F166" s="836"/>
      <c r="G166" s="239">
        <v>2</v>
      </c>
      <c r="H166" s="203">
        <v>2</v>
      </c>
      <c r="I166" s="241">
        <v>100</v>
      </c>
      <c r="J166" s="234"/>
      <c r="K166" s="234">
        <v>2925</v>
      </c>
      <c r="L166" s="234"/>
      <c r="M166" s="241">
        <v>100</v>
      </c>
      <c r="N166" s="235" t="e">
        <f>(((I166+J166+K166+L166+M166)-C166*#REF!*2)/1000)</f>
        <v>#REF!</v>
      </c>
      <c r="O166" s="235"/>
      <c r="P166" s="200">
        <f t="shared" si="33"/>
        <v>0</v>
      </c>
      <c r="Q166" s="200" t="e">
        <f t="shared" si="34"/>
        <v>#REF!</v>
      </c>
      <c r="R166" s="200">
        <f t="shared" si="35"/>
        <v>0</v>
      </c>
      <c r="S166" s="200">
        <f t="shared" si="36"/>
        <v>0</v>
      </c>
      <c r="T166" s="200">
        <f t="shared" si="37"/>
        <v>0</v>
      </c>
      <c r="U166" s="688">
        <f t="shared" si="38"/>
        <v>0</v>
      </c>
      <c r="V166" s="200">
        <f t="shared" si="39"/>
        <v>0</v>
      </c>
      <c r="W166" s="689"/>
    </row>
    <row r="167" spans="1:23" s="236" customFormat="1" ht="24.95" hidden="1" customHeight="1" outlineLevel="1">
      <c r="A167" s="239"/>
      <c r="B167" s="239" t="s">
        <v>394</v>
      </c>
      <c r="C167" s="240">
        <v>8</v>
      </c>
      <c r="D167" s="690"/>
      <c r="E167" s="240"/>
      <c r="F167" s="836"/>
      <c r="G167" s="239">
        <v>2</v>
      </c>
      <c r="H167" s="203">
        <f>(2925/200)+1</f>
        <v>15.625</v>
      </c>
      <c r="I167" s="234"/>
      <c r="J167" s="234"/>
      <c r="K167" s="234">
        <v>820</v>
      </c>
      <c r="L167" s="234"/>
      <c r="M167" s="234"/>
      <c r="N167" s="235" t="e">
        <f>(((I167+J167+K167+L167+M167)-C167*#REF!*2)/1000)</f>
        <v>#REF!</v>
      </c>
      <c r="O167" s="235"/>
      <c r="P167" s="200" t="e">
        <f t="shared" si="33"/>
        <v>#REF!</v>
      </c>
      <c r="Q167" s="200">
        <f t="shared" si="34"/>
        <v>0</v>
      </c>
      <c r="R167" s="200">
        <f t="shared" si="35"/>
        <v>0</v>
      </c>
      <c r="S167" s="200">
        <f t="shared" si="36"/>
        <v>0</v>
      </c>
      <c r="T167" s="200">
        <f t="shared" si="37"/>
        <v>0</v>
      </c>
      <c r="U167" s="688">
        <f t="shared" si="38"/>
        <v>0</v>
      </c>
      <c r="V167" s="200">
        <f t="shared" si="39"/>
        <v>0</v>
      </c>
      <c r="W167" s="689"/>
    </row>
    <row r="168" spans="1:23" s="236" customFormat="1" ht="24.95" hidden="1" customHeight="1" outlineLevel="1">
      <c r="A168" s="239">
        <v>5</v>
      </c>
      <c r="B168" s="239" t="s">
        <v>392</v>
      </c>
      <c r="C168" s="240">
        <v>10</v>
      </c>
      <c r="D168" s="690"/>
      <c r="E168" s="240"/>
      <c r="F168" s="836"/>
      <c r="G168" s="239">
        <v>3</v>
      </c>
      <c r="H168" s="203">
        <v>2</v>
      </c>
      <c r="I168" s="241">
        <v>100</v>
      </c>
      <c r="J168" s="234"/>
      <c r="K168" s="234">
        <v>2045</v>
      </c>
      <c r="L168" s="234"/>
      <c r="M168" s="241">
        <v>100</v>
      </c>
      <c r="N168" s="235" t="e">
        <f>(((I168+J168+K168+L168+M168)-C168*#REF!*2)/1000)</f>
        <v>#REF!</v>
      </c>
      <c r="O168" s="235"/>
      <c r="P168" s="200">
        <f t="shared" si="33"/>
        <v>0</v>
      </c>
      <c r="Q168" s="200" t="e">
        <f t="shared" si="34"/>
        <v>#REF!</v>
      </c>
      <c r="R168" s="200">
        <f t="shared" si="35"/>
        <v>0</v>
      </c>
      <c r="S168" s="200">
        <f t="shared" si="36"/>
        <v>0</v>
      </c>
      <c r="T168" s="200">
        <f t="shared" si="37"/>
        <v>0</v>
      </c>
      <c r="U168" s="688">
        <f t="shared" si="38"/>
        <v>0</v>
      </c>
      <c r="V168" s="200">
        <f t="shared" si="39"/>
        <v>0</v>
      </c>
      <c r="W168" s="689"/>
    </row>
    <row r="169" spans="1:23" s="236" customFormat="1" ht="24.95" hidden="1" customHeight="1" outlineLevel="1">
      <c r="A169" s="239"/>
      <c r="B169" s="239" t="s">
        <v>393</v>
      </c>
      <c r="C169" s="240">
        <v>10</v>
      </c>
      <c r="D169" s="690"/>
      <c r="E169" s="240"/>
      <c r="F169" s="836"/>
      <c r="G169" s="239">
        <v>3</v>
      </c>
      <c r="H169" s="203">
        <v>2</v>
      </c>
      <c r="I169" s="241">
        <v>100</v>
      </c>
      <c r="J169" s="234"/>
      <c r="K169" s="234">
        <v>2045</v>
      </c>
      <c r="L169" s="234"/>
      <c r="M169" s="241">
        <v>100</v>
      </c>
      <c r="N169" s="235" t="e">
        <f>(((I169+J169+K169+L169+M169)-C169*#REF!*2)/1000)</f>
        <v>#REF!</v>
      </c>
      <c r="O169" s="235"/>
      <c r="P169" s="200">
        <f t="shared" si="33"/>
        <v>0</v>
      </c>
      <c r="Q169" s="200" t="e">
        <f t="shared" si="34"/>
        <v>#REF!</v>
      </c>
      <c r="R169" s="200">
        <f t="shared" si="35"/>
        <v>0</v>
      </c>
      <c r="S169" s="200">
        <f t="shared" si="36"/>
        <v>0</v>
      </c>
      <c r="T169" s="200">
        <f t="shared" si="37"/>
        <v>0</v>
      </c>
      <c r="U169" s="688">
        <f t="shared" si="38"/>
        <v>0</v>
      </c>
      <c r="V169" s="200">
        <f t="shared" si="39"/>
        <v>0</v>
      </c>
      <c r="W169" s="689"/>
    </row>
    <row r="170" spans="1:23" s="236" customFormat="1" ht="24.95" hidden="1" customHeight="1" outlineLevel="1">
      <c r="A170" s="239"/>
      <c r="B170" s="239" t="s">
        <v>394</v>
      </c>
      <c r="C170" s="240">
        <v>8</v>
      </c>
      <c r="D170" s="690"/>
      <c r="E170" s="240"/>
      <c r="F170" s="836"/>
      <c r="G170" s="239">
        <v>3</v>
      </c>
      <c r="H170" s="203">
        <f>(2045/200)+1</f>
        <v>11.225</v>
      </c>
      <c r="I170" s="234"/>
      <c r="J170" s="234"/>
      <c r="K170" s="234">
        <v>820</v>
      </c>
      <c r="L170" s="234"/>
      <c r="M170" s="234"/>
      <c r="N170" s="235" t="e">
        <f>(((I170+J170+K170+L170+M170)-C170*#REF!*2)/1000)</f>
        <v>#REF!</v>
      </c>
      <c r="O170" s="235"/>
      <c r="P170" s="200" t="e">
        <f t="shared" si="33"/>
        <v>#REF!</v>
      </c>
      <c r="Q170" s="200">
        <f t="shared" si="34"/>
        <v>0</v>
      </c>
      <c r="R170" s="200">
        <f t="shared" si="35"/>
        <v>0</v>
      </c>
      <c r="S170" s="200">
        <f t="shared" si="36"/>
        <v>0</v>
      </c>
      <c r="T170" s="200">
        <f t="shared" si="37"/>
        <v>0</v>
      </c>
      <c r="U170" s="688">
        <f t="shared" si="38"/>
        <v>0</v>
      </c>
      <c r="V170" s="200">
        <f t="shared" si="39"/>
        <v>0</v>
      </c>
      <c r="W170" s="689"/>
    </row>
    <row r="171" spans="1:23" s="236" customFormat="1" ht="24.95" hidden="1" customHeight="1" outlineLevel="1">
      <c r="A171" s="239">
        <v>6</v>
      </c>
      <c r="B171" s="239" t="s">
        <v>392</v>
      </c>
      <c r="C171" s="240">
        <v>10</v>
      </c>
      <c r="D171" s="690"/>
      <c r="E171" s="240"/>
      <c r="F171" s="836"/>
      <c r="G171" s="239">
        <v>1</v>
      </c>
      <c r="H171" s="203">
        <v>2</v>
      </c>
      <c r="I171" s="241">
        <v>100</v>
      </c>
      <c r="J171" s="234"/>
      <c r="K171" s="234">
        <v>2010</v>
      </c>
      <c r="L171" s="234"/>
      <c r="M171" s="241">
        <v>100</v>
      </c>
      <c r="N171" s="235" t="e">
        <f>(((I171+J171+K171+L171+M171)-C171*#REF!*2)/1000)</f>
        <v>#REF!</v>
      </c>
      <c r="O171" s="235"/>
      <c r="P171" s="200">
        <f t="shared" si="33"/>
        <v>0</v>
      </c>
      <c r="Q171" s="200" t="e">
        <f t="shared" si="34"/>
        <v>#REF!</v>
      </c>
      <c r="R171" s="200">
        <f t="shared" si="35"/>
        <v>0</v>
      </c>
      <c r="S171" s="200">
        <f t="shared" si="36"/>
        <v>0</v>
      </c>
      <c r="T171" s="200">
        <f t="shared" si="37"/>
        <v>0</v>
      </c>
      <c r="U171" s="688">
        <f t="shared" si="38"/>
        <v>0</v>
      </c>
      <c r="V171" s="200">
        <f t="shared" si="39"/>
        <v>0</v>
      </c>
      <c r="W171" s="689"/>
    </row>
    <row r="172" spans="1:23" s="236" customFormat="1" ht="24.95" hidden="1" customHeight="1" outlineLevel="1">
      <c r="A172" s="239"/>
      <c r="B172" s="239" t="s">
        <v>393</v>
      </c>
      <c r="C172" s="240">
        <v>10</v>
      </c>
      <c r="D172" s="690"/>
      <c r="E172" s="240"/>
      <c r="F172" s="836"/>
      <c r="G172" s="239">
        <v>1</v>
      </c>
      <c r="H172" s="203">
        <v>2</v>
      </c>
      <c r="I172" s="241">
        <v>100</v>
      </c>
      <c r="J172" s="234"/>
      <c r="K172" s="234">
        <v>2010</v>
      </c>
      <c r="L172" s="234"/>
      <c r="M172" s="241">
        <v>100</v>
      </c>
      <c r="N172" s="235" t="e">
        <f>(((I172+J172+K172+L172+M172)-C172*#REF!*2)/1000)</f>
        <v>#REF!</v>
      </c>
      <c r="O172" s="235"/>
      <c r="P172" s="200">
        <f t="shared" si="33"/>
        <v>0</v>
      </c>
      <c r="Q172" s="200" t="e">
        <f t="shared" si="34"/>
        <v>#REF!</v>
      </c>
      <c r="R172" s="200">
        <f t="shared" si="35"/>
        <v>0</v>
      </c>
      <c r="S172" s="200">
        <f t="shared" si="36"/>
        <v>0</v>
      </c>
      <c r="T172" s="200">
        <f t="shared" si="37"/>
        <v>0</v>
      </c>
      <c r="U172" s="688">
        <f t="shared" si="38"/>
        <v>0</v>
      </c>
      <c r="V172" s="200">
        <f t="shared" si="39"/>
        <v>0</v>
      </c>
      <c r="W172" s="689"/>
    </row>
    <row r="173" spans="1:23" s="236" customFormat="1" ht="24.95" hidden="1" customHeight="1" outlineLevel="1">
      <c r="A173" s="239"/>
      <c r="B173" s="239" t="s">
        <v>394</v>
      </c>
      <c r="C173" s="240">
        <v>8</v>
      </c>
      <c r="D173" s="690"/>
      <c r="E173" s="240"/>
      <c r="F173" s="836"/>
      <c r="G173" s="239">
        <v>1</v>
      </c>
      <c r="H173" s="203">
        <f>(2010/200)+1</f>
        <v>11.05</v>
      </c>
      <c r="I173" s="234"/>
      <c r="J173" s="234"/>
      <c r="K173" s="234">
        <v>820</v>
      </c>
      <c r="L173" s="234"/>
      <c r="M173" s="234"/>
      <c r="N173" s="235" t="e">
        <f>(((I173+J173+K173+L173+M173)-C173*#REF!*2)/1000)</f>
        <v>#REF!</v>
      </c>
      <c r="O173" s="235"/>
      <c r="P173" s="200" t="e">
        <f t="shared" si="33"/>
        <v>#REF!</v>
      </c>
      <c r="Q173" s="200">
        <f t="shared" si="34"/>
        <v>0</v>
      </c>
      <c r="R173" s="200">
        <f t="shared" si="35"/>
        <v>0</v>
      </c>
      <c r="S173" s="200">
        <f t="shared" si="36"/>
        <v>0</v>
      </c>
      <c r="T173" s="200">
        <f t="shared" si="37"/>
        <v>0</v>
      </c>
      <c r="U173" s="688">
        <f t="shared" si="38"/>
        <v>0</v>
      </c>
      <c r="V173" s="200">
        <f t="shared" si="39"/>
        <v>0</v>
      </c>
      <c r="W173" s="689"/>
    </row>
    <row r="174" spans="1:23" s="236" customFormat="1" ht="24.95" hidden="1" customHeight="1" outlineLevel="1">
      <c r="A174" s="209" t="s">
        <v>406</v>
      </c>
      <c r="B174" s="209" t="s">
        <v>403</v>
      </c>
      <c r="C174" s="240"/>
      <c r="D174" s="690"/>
      <c r="E174" s="240"/>
      <c r="F174" s="836"/>
      <c r="G174" s="239"/>
      <c r="H174" s="203"/>
      <c r="I174" s="234"/>
      <c r="J174" s="234"/>
      <c r="K174" s="234"/>
      <c r="L174" s="234"/>
      <c r="M174" s="234"/>
      <c r="N174" s="235" t="e">
        <f>(((I174+J174+K174+L174+M174)-C174*#REF!*2)/1000)</f>
        <v>#REF!</v>
      </c>
      <c r="O174" s="235"/>
      <c r="P174" s="200">
        <f t="shared" si="33"/>
        <v>0</v>
      </c>
      <c r="Q174" s="200">
        <f t="shared" si="34"/>
        <v>0</v>
      </c>
      <c r="R174" s="200">
        <f t="shared" si="35"/>
        <v>0</v>
      </c>
      <c r="S174" s="200">
        <f t="shared" si="36"/>
        <v>0</v>
      </c>
      <c r="T174" s="200">
        <f t="shared" si="37"/>
        <v>0</v>
      </c>
      <c r="U174" s="688">
        <f t="shared" si="38"/>
        <v>0</v>
      </c>
      <c r="V174" s="200">
        <f t="shared" si="39"/>
        <v>0</v>
      </c>
      <c r="W174" s="689"/>
    </row>
    <row r="175" spans="1:23" s="236" customFormat="1" ht="24.95" hidden="1" customHeight="1" outlineLevel="1">
      <c r="A175" s="205" t="s">
        <v>407</v>
      </c>
      <c r="B175" s="206" t="s">
        <v>391</v>
      </c>
      <c r="C175" s="240"/>
      <c r="D175" s="690"/>
      <c r="E175" s="240"/>
      <c r="F175" s="836"/>
      <c r="G175" s="239"/>
      <c r="H175" s="203"/>
      <c r="I175" s="234"/>
      <c r="J175" s="234"/>
      <c r="K175" s="234"/>
      <c r="L175" s="234"/>
      <c r="M175" s="234"/>
      <c r="N175" s="235" t="e">
        <f>(((I175+J175+K175+L175+M175)-C175*#REF!*2)/1000)</f>
        <v>#REF!</v>
      </c>
      <c r="O175" s="235"/>
      <c r="P175" s="200">
        <f t="shared" si="33"/>
        <v>0</v>
      </c>
      <c r="Q175" s="200">
        <f t="shared" si="34"/>
        <v>0</v>
      </c>
      <c r="R175" s="200">
        <f t="shared" si="35"/>
        <v>0</v>
      </c>
      <c r="S175" s="200">
        <f t="shared" si="36"/>
        <v>0</v>
      </c>
      <c r="T175" s="200">
        <f t="shared" si="37"/>
        <v>0</v>
      </c>
      <c r="U175" s="688">
        <f t="shared" si="38"/>
        <v>0</v>
      </c>
      <c r="V175" s="200">
        <f t="shared" si="39"/>
        <v>0</v>
      </c>
      <c r="W175" s="689"/>
    </row>
    <row r="176" spans="1:23" s="236" customFormat="1" ht="24.95" hidden="1" customHeight="1" outlineLevel="1">
      <c r="A176" s="239">
        <v>1</v>
      </c>
      <c r="B176" s="239" t="s">
        <v>392</v>
      </c>
      <c r="C176" s="240">
        <v>10</v>
      </c>
      <c r="D176" s="690"/>
      <c r="E176" s="240"/>
      <c r="F176" s="836"/>
      <c r="G176" s="239">
        <v>1</v>
      </c>
      <c r="H176" s="203">
        <v>2</v>
      </c>
      <c r="I176" s="241">
        <v>100</v>
      </c>
      <c r="J176" s="234"/>
      <c r="K176" s="241">
        <v>8410</v>
      </c>
      <c r="L176" s="234"/>
      <c r="M176" s="241">
        <v>100</v>
      </c>
      <c r="N176" s="235" t="e">
        <f>(((I176+J176+K176+L176+M176)-C176*#REF!*2)/1000)</f>
        <v>#REF!</v>
      </c>
      <c r="O176" s="235"/>
      <c r="P176" s="200">
        <f t="shared" si="33"/>
        <v>0</v>
      </c>
      <c r="Q176" s="200" t="e">
        <f t="shared" si="34"/>
        <v>#REF!</v>
      </c>
      <c r="R176" s="200">
        <f t="shared" si="35"/>
        <v>0</v>
      </c>
      <c r="S176" s="200">
        <f t="shared" si="36"/>
        <v>0</v>
      </c>
      <c r="T176" s="200">
        <f t="shared" si="37"/>
        <v>0</v>
      </c>
      <c r="U176" s="688">
        <f t="shared" si="38"/>
        <v>0</v>
      </c>
      <c r="V176" s="200">
        <f t="shared" si="39"/>
        <v>0</v>
      </c>
      <c r="W176" s="689"/>
    </row>
    <row r="177" spans="1:23" s="236" customFormat="1" ht="24.95" hidden="1" customHeight="1" outlineLevel="1">
      <c r="A177" s="239"/>
      <c r="B177" s="239" t="s">
        <v>393</v>
      </c>
      <c r="C177" s="240">
        <v>10</v>
      </c>
      <c r="D177" s="690"/>
      <c r="E177" s="240"/>
      <c r="F177" s="836"/>
      <c r="G177" s="239">
        <v>1</v>
      </c>
      <c r="H177" s="203">
        <v>2</v>
      </c>
      <c r="I177" s="241">
        <v>100</v>
      </c>
      <c r="J177" s="234"/>
      <c r="K177" s="241">
        <v>8410</v>
      </c>
      <c r="L177" s="234"/>
      <c r="M177" s="241">
        <v>100</v>
      </c>
      <c r="N177" s="235" t="e">
        <f>(((I177+J177+K177+L177+M177)-C177*#REF!*2)/1000)</f>
        <v>#REF!</v>
      </c>
      <c r="O177" s="235"/>
      <c r="P177" s="200">
        <f t="shared" si="33"/>
        <v>0</v>
      </c>
      <c r="Q177" s="200" t="e">
        <f t="shared" si="34"/>
        <v>#REF!</v>
      </c>
      <c r="R177" s="200">
        <f t="shared" si="35"/>
        <v>0</v>
      </c>
      <c r="S177" s="200">
        <f t="shared" si="36"/>
        <v>0</v>
      </c>
      <c r="T177" s="200">
        <f t="shared" si="37"/>
        <v>0</v>
      </c>
      <c r="U177" s="688">
        <f t="shared" si="38"/>
        <v>0</v>
      </c>
      <c r="V177" s="200">
        <f t="shared" si="39"/>
        <v>0</v>
      </c>
      <c r="W177" s="689"/>
    </row>
    <row r="178" spans="1:23" s="236" customFormat="1" ht="24.95" hidden="1" customHeight="1" outlineLevel="1">
      <c r="A178" s="239"/>
      <c r="B178" s="239" t="s">
        <v>394</v>
      </c>
      <c r="C178" s="240">
        <v>8</v>
      </c>
      <c r="D178" s="690"/>
      <c r="E178" s="240"/>
      <c r="F178" s="836"/>
      <c r="G178" s="239">
        <v>1</v>
      </c>
      <c r="H178" s="203">
        <f>(K176/200)+1</f>
        <v>43.05</v>
      </c>
      <c r="I178" s="234"/>
      <c r="J178" s="234"/>
      <c r="K178" s="234">
        <v>820</v>
      </c>
      <c r="L178" s="234"/>
      <c r="M178" s="234"/>
      <c r="N178" s="235" t="e">
        <f>(((I178+J178+K178+L178+M178)-C178*#REF!*2)/1000)</f>
        <v>#REF!</v>
      </c>
      <c r="O178" s="235"/>
      <c r="P178" s="200" t="e">
        <f t="shared" si="33"/>
        <v>#REF!</v>
      </c>
      <c r="Q178" s="200">
        <f t="shared" si="34"/>
        <v>0</v>
      </c>
      <c r="R178" s="200">
        <f t="shared" si="35"/>
        <v>0</v>
      </c>
      <c r="S178" s="200">
        <f t="shared" si="36"/>
        <v>0</v>
      </c>
      <c r="T178" s="200">
        <f t="shared" si="37"/>
        <v>0</v>
      </c>
      <c r="U178" s="688">
        <f t="shared" si="38"/>
        <v>0</v>
      </c>
      <c r="V178" s="200">
        <f t="shared" si="39"/>
        <v>0</v>
      </c>
      <c r="W178" s="689"/>
    </row>
    <row r="179" spans="1:23" s="236" customFormat="1" ht="24.95" hidden="1" customHeight="1" outlineLevel="1">
      <c r="A179" s="239">
        <v>2</v>
      </c>
      <c r="B179" s="239" t="s">
        <v>392</v>
      </c>
      <c r="C179" s="240">
        <v>10</v>
      </c>
      <c r="D179" s="690"/>
      <c r="E179" s="240"/>
      <c r="F179" s="836"/>
      <c r="G179" s="239">
        <v>1</v>
      </c>
      <c r="H179" s="203">
        <v>2</v>
      </c>
      <c r="I179" s="241">
        <v>100</v>
      </c>
      <c r="J179" s="234"/>
      <c r="K179" s="234">
        <v>1380</v>
      </c>
      <c r="L179" s="234"/>
      <c r="M179" s="241">
        <v>100</v>
      </c>
      <c r="N179" s="235" t="e">
        <f>(((I179+J179+K179+L179+M179)-C179*#REF!*2)/1000)</f>
        <v>#REF!</v>
      </c>
      <c r="O179" s="235"/>
      <c r="P179" s="200">
        <f t="shared" si="33"/>
        <v>0</v>
      </c>
      <c r="Q179" s="200" t="e">
        <f t="shared" si="34"/>
        <v>#REF!</v>
      </c>
      <c r="R179" s="200">
        <f t="shared" si="35"/>
        <v>0</v>
      </c>
      <c r="S179" s="200">
        <f t="shared" si="36"/>
        <v>0</v>
      </c>
      <c r="T179" s="200">
        <f t="shared" si="37"/>
        <v>0</v>
      </c>
      <c r="U179" s="688">
        <f t="shared" si="38"/>
        <v>0</v>
      </c>
      <c r="V179" s="200">
        <f t="shared" si="39"/>
        <v>0</v>
      </c>
      <c r="W179" s="689"/>
    </row>
    <row r="180" spans="1:23" s="236" customFormat="1" ht="24.95" hidden="1" customHeight="1" outlineLevel="1">
      <c r="A180" s="239"/>
      <c r="B180" s="239" t="s">
        <v>393</v>
      </c>
      <c r="C180" s="240">
        <v>10</v>
      </c>
      <c r="D180" s="690"/>
      <c r="E180" s="240"/>
      <c r="F180" s="836"/>
      <c r="G180" s="239">
        <v>1</v>
      </c>
      <c r="H180" s="203">
        <v>2</v>
      </c>
      <c r="I180" s="241">
        <v>100</v>
      </c>
      <c r="J180" s="234"/>
      <c r="K180" s="234">
        <v>1380</v>
      </c>
      <c r="L180" s="234"/>
      <c r="M180" s="241">
        <v>100</v>
      </c>
      <c r="N180" s="235" t="e">
        <f>(((I180+J180+K180+L180+M180)-C180*#REF!*2)/1000)</f>
        <v>#REF!</v>
      </c>
      <c r="O180" s="235"/>
      <c r="P180" s="200">
        <f t="shared" si="33"/>
        <v>0</v>
      </c>
      <c r="Q180" s="200" t="e">
        <f t="shared" si="34"/>
        <v>#REF!</v>
      </c>
      <c r="R180" s="200">
        <f t="shared" si="35"/>
        <v>0</v>
      </c>
      <c r="S180" s="200">
        <f t="shared" si="36"/>
        <v>0</v>
      </c>
      <c r="T180" s="200">
        <f t="shared" si="37"/>
        <v>0</v>
      </c>
      <c r="U180" s="688">
        <f t="shared" si="38"/>
        <v>0</v>
      </c>
      <c r="V180" s="200">
        <f t="shared" si="39"/>
        <v>0</v>
      </c>
      <c r="W180" s="689"/>
    </row>
    <row r="181" spans="1:23" s="236" customFormat="1" ht="24.95" hidden="1" customHeight="1" outlineLevel="1">
      <c r="A181" s="239"/>
      <c r="B181" s="239" t="s">
        <v>394</v>
      </c>
      <c r="C181" s="240">
        <v>8</v>
      </c>
      <c r="D181" s="690"/>
      <c r="E181" s="240"/>
      <c r="F181" s="836"/>
      <c r="G181" s="239">
        <v>1</v>
      </c>
      <c r="H181" s="203">
        <f>(K179/200)+1</f>
        <v>7.9</v>
      </c>
      <c r="I181" s="234"/>
      <c r="J181" s="234"/>
      <c r="K181" s="234">
        <v>820</v>
      </c>
      <c r="L181" s="234"/>
      <c r="M181" s="234"/>
      <c r="N181" s="235" t="e">
        <f>(((I181+J181+K181+L181+M181)-C181*#REF!*2)/1000)</f>
        <v>#REF!</v>
      </c>
      <c r="O181" s="235"/>
      <c r="P181" s="200" t="e">
        <f t="shared" si="33"/>
        <v>#REF!</v>
      </c>
      <c r="Q181" s="200">
        <f t="shared" si="34"/>
        <v>0</v>
      </c>
      <c r="R181" s="200">
        <f t="shared" si="35"/>
        <v>0</v>
      </c>
      <c r="S181" s="200">
        <f t="shared" si="36"/>
        <v>0</v>
      </c>
      <c r="T181" s="200">
        <f t="shared" si="37"/>
        <v>0</v>
      </c>
      <c r="U181" s="688">
        <f t="shared" si="38"/>
        <v>0</v>
      </c>
      <c r="V181" s="200">
        <f t="shared" si="39"/>
        <v>0</v>
      </c>
      <c r="W181" s="689"/>
    </row>
    <row r="182" spans="1:23" s="236" customFormat="1" ht="24.95" hidden="1" customHeight="1" outlineLevel="1">
      <c r="A182" s="239">
        <v>3</v>
      </c>
      <c r="B182" s="239" t="s">
        <v>392</v>
      </c>
      <c r="C182" s="240">
        <v>10</v>
      </c>
      <c r="D182" s="690"/>
      <c r="E182" s="240"/>
      <c r="F182" s="836"/>
      <c r="G182" s="239">
        <v>1</v>
      </c>
      <c r="H182" s="203">
        <v>2</v>
      </c>
      <c r="I182" s="241">
        <v>100</v>
      </c>
      <c r="J182" s="234"/>
      <c r="K182" s="234">
        <v>1380</v>
      </c>
      <c r="L182" s="234"/>
      <c r="M182" s="241">
        <v>100</v>
      </c>
      <c r="N182" s="235" t="e">
        <f>(((I182+J182+K182+L182+M182)-C182*#REF!*2)/1000)</f>
        <v>#REF!</v>
      </c>
      <c r="O182" s="235"/>
      <c r="P182" s="200">
        <f t="shared" si="33"/>
        <v>0</v>
      </c>
      <c r="Q182" s="200" t="e">
        <f t="shared" si="34"/>
        <v>#REF!</v>
      </c>
      <c r="R182" s="200">
        <f t="shared" si="35"/>
        <v>0</v>
      </c>
      <c r="S182" s="200">
        <f t="shared" si="36"/>
        <v>0</v>
      </c>
      <c r="T182" s="200">
        <f t="shared" si="37"/>
        <v>0</v>
      </c>
      <c r="U182" s="688">
        <f t="shared" si="38"/>
        <v>0</v>
      </c>
      <c r="V182" s="200">
        <f t="shared" si="39"/>
        <v>0</v>
      </c>
      <c r="W182" s="689"/>
    </row>
    <row r="183" spans="1:23" s="236" customFormat="1" ht="24.95" hidden="1" customHeight="1" outlineLevel="1">
      <c r="A183" s="239"/>
      <c r="B183" s="239" t="s">
        <v>393</v>
      </c>
      <c r="C183" s="240">
        <v>10</v>
      </c>
      <c r="D183" s="690"/>
      <c r="E183" s="240"/>
      <c r="F183" s="836"/>
      <c r="G183" s="239">
        <v>1</v>
      </c>
      <c r="H183" s="203">
        <v>2</v>
      </c>
      <c r="I183" s="241">
        <v>100</v>
      </c>
      <c r="J183" s="234"/>
      <c r="K183" s="234">
        <v>1380</v>
      </c>
      <c r="L183" s="234"/>
      <c r="M183" s="241">
        <v>100</v>
      </c>
      <c r="N183" s="235" t="e">
        <f>(((I183+J183+K183+L183+M183)-C183*#REF!*2)/1000)</f>
        <v>#REF!</v>
      </c>
      <c r="O183" s="235"/>
      <c r="P183" s="200">
        <f t="shared" si="33"/>
        <v>0</v>
      </c>
      <c r="Q183" s="200" t="e">
        <f t="shared" si="34"/>
        <v>#REF!</v>
      </c>
      <c r="R183" s="200">
        <f t="shared" si="35"/>
        <v>0</v>
      </c>
      <c r="S183" s="200">
        <f t="shared" si="36"/>
        <v>0</v>
      </c>
      <c r="T183" s="200">
        <f t="shared" si="37"/>
        <v>0</v>
      </c>
      <c r="U183" s="688">
        <f t="shared" si="38"/>
        <v>0</v>
      </c>
      <c r="V183" s="200">
        <f t="shared" si="39"/>
        <v>0</v>
      </c>
      <c r="W183" s="689"/>
    </row>
    <row r="184" spans="1:23" s="236" customFormat="1" ht="24.95" hidden="1" customHeight="1" outlineLevel="1">
      <c r="A184" s="239"/>
      <c r="B184" s="239" t="s">
        <v>394</v>
      </c>
      <c r="C184" s="240">
        <v>8</v>
      </c>
      <c r="D184" s="690"/>
      <c r="E184" s="240"/>
      <c r="F184" s="836"/>
      <c r="G184" s="239">
        <v>1</v>
      </c>
      <c r="H184" s="203">
        <f>(1380/200)+1</f>
        <v>7.9</v>
      </c>
      <c r="I184" s="234"/>
      <c r="J184" s="234"/>
      <c r="K184" s="234">
        <v>820</v>
      </c>
      <c r="L184" s="234"/>
      <c r="M184" s="234"/>
      <c r="N184" s="235" t="e">
        <f>(((I184+J184+K184+L184+M184)-C184*#REF!*2)/1000)</f>
        <v>#REF!</v>
      </c>
      <c r="O184" s="235"/>
      <c r="P184" s="200" t="e">
        <f t="shared" si="33"/>
        <v>#REF!</v>
      </c>
      <c r="Q184" s="200">
        <f t="shared" si="34"/>
        <v>0</v>
      </c>
      <c r="R184" s="200">
        <f t="shared" si="35"/>
        <v>0</v>
      </c>
      <c r="S184" s="200">
        <f t="shared" si="36"/>
        <v>0</v>
      </c>
      <c r="T184" s="200">
        <f t="shared" si="37"/>
        <v>0</v>
      </c>
      <c r="U184" s="688">
        <f t="shared" si="38"/>
        <v>0</v>
      </c>
      <c r="V184" s="200">
        <f t="shared" si="39"/>
        <v>0</v>
      </c>
      <c r="W184" s="689"/>
    </row>
    <row r="185" spans="1:23" s="247" customFormat="1" ht="24.95" hidden="1" customHeight="1" outlineLevel="1">
      <c r="A185" s="242">
        <v>4</v>
      </c>
      <c r="B185" s="242" t="s">
        <v>392</v>
      </c>
      <c r="C185" s="243">
        <v>10</v>
      </c>
      <c r="D185" s="696"/>
      <c r="E185" s="243"/>
      <c r="F185" s="696"/>
      <c r="G185" s="242">
        <f t="shared" ref="G185:G187" si="41">1*0</f>
        <v>0</v>
      </c>
      <c r="H185" s="244">
        <v>2</v>
      </c>
      <c r="I185" s="245">
        <v>100</v>
      </c>
      <c r="J185" s="246"/>
      <c r="K185" s="246">
        <v>3645</v>
      </c>
      <c r="L185" s="246"/>
      <c r="M185" s="245">
        <v>100</v>
      </c>
      <c r="N185" s="235" t="e">
        <f>(((I185+J185+K185+L185+M185)-C185*#REF!*2)/1000)</f>
        <v>#REF!</v>
      </c>
      <c r="O185" s="235"/>
      <c r="P185" s="200">
        <f t="shared" si="33"/>
        <v>0</v>
      </c>
      <c r="Q185" s="200" t="e">
        <f t="shared" si="34"/>
        <v>#REF!</v>
      </c>
      <c r="R185" s="200">
        <f t="shared" si="35"/>
        <v>0</v>
      </c>
      <c r="S185" s="200">
        <f t="shared" si="36"/>
        <v>0</v>
      </c>
      <c r="T185" s="200">
        <f t="shared" si="37"/>
        <v>0</v>
      </c>
      <c r="U185" s="688">
        <f t="shared" si="38"/>
        <v>0</v>
      </c>
      <c r="V185" s="200">
        <f t="shared" si="39"/>
        <v>0</v>
      </c>
      <c r="W185" s="697"/>
    </row>
    <row r="186" spans="1:23" s="247" customFormat="1" ht="24.95" hidden="1" customHeight="1" outlineLevel="1">
      <c r="A186" s="242"/>
      <c r="B186" s="242" t="s">
        <v>393</v>
      </c>
      <c r="C186" s="243">
        <v>10</v>
      </c>
      <c r="D186" s="696"/>
      <c r="E186" s="243"/>
      <c r="F186" s="696"/>
      <c r="G186" s="242">
        <f t="shared" si="41"/>
        <v>0</v>
      </c>
      <c r="H186" s="244">
        <v>2</v>
      </c>
      <c r="I186" s="245">
        <v>100</v>
      </c>
      <c r="J186" s="246"/>
      <c r="K186" s="246">
        <v>3645</v>
      </c>
      <c r="L186" s="246"/>
      <c r="M186" s="245">
        <v>100</v>
      </c>
      <c r="N186" s="235" t="e">
        <f>(((I186+J186+K186+L186+M186)-C186*#REF!*2)/1000)</f>
        <v>#REF!</v>
      </c>
      <c r="O186" s="235"/>
      <c r="P186" s="200">
        <f t="shared" si="33"/>
        <v>0</v>
      </c>
      <c r="Q186" s="200" t="e">
        <f t="shared" si="34"/>
        <v>#REF!</v>
      </c>
      <c r="R186" s="200">
        <f t="shared" si="35"/>
        <v>0</v>
      </c>
      <c r="S186" s="200">
        <f t="shared" si="36"/>
        <v>0</v>
      </c>
      <c r="T186" s="200">
        <f t="shared" si="37"/>
        <v>0</v>
      </c>
      <c r="U186" s="688">
        <f t="shared" si="38"/>
        <v>0</v>
      </c>
      <c r="V186" s="200">
        <f t="shared" si="39"/>
        <v>0</v>
      </c>
      <c r="W186" s="697"/>
    </row>
    <row r="187" spans="1:23" s="247" customFormat="1" ht="24.95" hidden="1" customHeight="1" outlineLevel="1">
      <c r="A187" s="242"/>
      <c r="B187" s="242" t="s">
        <v>394</v>
      </c>
      <c r="C187" s="243">
        <v>8</v>
      </c>
      <c r="D187" s="696"/>
      <c r="E187" s="243"/>
      <c r="F187" s="696"/>
      <c r="G187" s="242">
        <f t="shared" si="41"/>
        <v>0</v>
      </c>
      <c r="H187" s="244">
        <f>(K185/200)+1</f>
        <v>19.225000000000001</v>
      </c>
      <c r="I187" s="246"/>
      <c r="J187" s="246"/>
      <c r="K187" s="246">
        <v>820</v>
      </c>
      <c r="L187" s="246"/>
      <c r="M187" s="246"/>
      <c r="N187" s="235" t="e">
        <f>(((I187+J187+K187+L187+M187)-C187*#REF!*2)/1000)</f>
        <v>#REF!</v>
      </c>
      <c r="O187" s="235"/>
      <c r="P187" s="200" t="e">
        <f t="shared" si="33"/>
        <v>#REF!</v>
      </c>
      <c r="Q187" s="200">
        <f t="shared" si="34"/>
        <v>0</v>
      </c>
      <c r="R187" s="200">
        <f t="shared" si="35"/>
        <v>0</v>
      </c>
      <c r="S187" s="200">
        <f t="shared" si="36"/>
        <v>0</v>
      </c>
      <c r="T187" s="200">
        <f t="shared" si="37"/>
        <v>0</v>
      </c>
      <c r="U187" s="688">
        <f t="shared" si="38"/>
        <v>0</v>
      </c>
      <c r="V187" s="200">
        <f t="shared" si="39"/>
        <v>0</v>
      </c>
      <c r="W187" s="697"/>
    </row>
    <row r="188" spans="1:23" s="236" customFormat="1" ht="24.95" hidden="1" customHeight="1" outlineLevel="1">
      <c r="A188" s="239">
        <v>5</v>
      </c>
      <c r="B188" s="239" t="s">
        <v>392</v>
      </c>
      <c r="C188" s="240">
        <v>10</v>
      </c>
      <c r="D188" s="690"/>
      <c r="E188" s="240"/>
      <c r="F188" s="836"/>
      <c r="G188" s="239">
        <v>1</v>
      </c>
      <c r="H188" s="203">
        <v>2</v>
      </c>
      <c r="I188" s="241">
        <v>100</v>
      </c>
      <c r="J188" s="234"/>
      <c r="K188" s="234">
        <v>5180</v>
      </c>
      <c r="L188" s="234"/>
      <c r="M188" s="241">
        <v>100</v>
      </c>
      <c r="N188" s="235" t="e">
        <f>(((I188+J188+K188+L188+M188)-C188*#REF!*2)/1000)</f>
        <v>#REF!</v>
      </c>
      <c r="O188" s="235"/>
      <c r="P188" s="200">
        <f t="shared" si="33"/>
        <v>0</v>
      </c>
      <c r="Q188" s="200" t="e">
        <f t="shared" si="34"/>
        <v>#REF!</v>
      </c>
      <c r="R188" s="200">
        <f t="shared" si="35"/>
        <v>0</v>
      </c>
      <c r="S188" s="200">
        <f t="shared" si="36"/>
        <v>0</v>
      </c>
      <c r="T188" s="200">
        <f t="shared" si="37"/>
        <v>0</v>
      </c>
      <c r="U188" s="688">
        <f t="shared" si="38"/>
        <v>0</v>
      </c>
      <c r="V188" s="200">
        <f t="shared" si="39"/>
        <v>0</v>
      </c>
      <c r="W188" s="689"/>
    </row>
    <row r="189" spans="1:23" s="236" customFormat="1" ht="24.95" hidden="1" customHeight="1" outlineLevel="1">
      <c r="A189" s="239"/>
      <c r="B189" s="239" t="s">
        <v>393</v>
      </c>
      <c r="C189" s="240">
        <v>10</v>
      </c>
      <c r="D189" s="690"/>
      <c r="E189" s="240"/>
      <c r="F189" s="836"/>
      <c r="G189" s="239">
        <v>1</v>
      </c>
      <c r="H189" s="203">
        <v>2</v>
      </c>
      <c r="I189" s="241">
        <v>100</v>
      </c>
      <c r="J189" s="234"/>
      <c r="K189" s="234">
        <v>5180</v>
      </c>
      <c r="L189" s="234"/>
      <c r="M189" s="241">
        <v>100</v>
      </c>
      <c r="N189" s="235" t="e">
        <f>(((I189+J189+K189+L189+M189)-C189*#REF!*2)/1000)</f>
        <v>#REF!</v>
      </c>
      <c r="O189" s="235"/>
      <c r="P189" s="200">
        <f t="shared" si="33"/>
        <v>0</v>
      </c>
      <c r="Q189" s="200" t="e">
        <f t="shared" si="34"/>
        <v>#REF!</v>
      </c>
      <c r="R189" s="200">
        <f t="shared" si="35"/>
        <v>0</v>
      </c>
      <c r="S189" s="200">
        <f t="shared" si="36"/>
        <v>0</v>
      </c>
      <c r="T189" s="200">
        <f t="shared" si="37"/>
        <v>0</v>
      </c>
      <c r="U189" s="688">
        <f t="shared" si="38"/>
        <v>0</v>
      </c>
      <c r="V189" s="200">
        <f t="shared" si="39"/>
        <v>0</v>
      </c>
      <c r="W189" s="689"/>
    </row>
    <row r="190" spans="1:23" s="236" customFormat="1" ht="24.95" hidden="1" customHeight="1" outlineLevel="1">
      <c r="A190" s="239"/>
      <c r="B190" s="239" t="s">
        <v>394</v>
      </c>
      <c r="C190" s="240">
        <v>8</v>
      </c>
      <c r="D190" s="690"/>
      <c r="E190" s="240"/>
      <c r="F190" s="836"/>
      <c r="G190" s="239">
        <v>1</v>
      </c>
      <c r="H190" s="203">
        <f>(K188/200)+1</f>
        <v>26.9</v>
      </c>
      <c r="I190" s="234"/>
      <c r="J190" s="234"/>
      <c r="K190" s="234">
        <v>820</v>
      </c>
      <c r="L190" s="234"/>
      <c r="M190" s="234"/>
      <c r="N190" s="235" t="e">
        <f>(((I190+J190+K190+L190+M190)-C190*#REF!*2)/1000)</f>
        <v>#REF!</v>
      </c>
      <c r="O190" s="235"/>
      <c r="P190" s="200" t="e">
        <f t="shared" si="33"/>
        <v>#REF!</v>
      </c>
      <c r="Q190" s="200">
        <f t="shared" si="34"/>
        <v>0</v>
      </c>
      <c r="R190" s="200">
        <f t="shared" si="35"/>
        <v>0</v>
      </c>
      <c r="S190" s="200">
        <f t="shared" si="36"/>
        <v>0</v>
      </c>
      <c r="T190" s="200">
        <f t="shared" si="37"/>
        <v>0</v>
      </c>
      <c r="U190" s="688">
        <f t="shared" si="38"/>
        <v>0</v>
      </c>
      <c r="V190" s="200">
        <f t="shared" si="39"/>
        <v>0</v>
      </c>
      <c r="W190" s="689"/>
    </row>
    <row r="191" spans="1:23" s="247" customFormat="1" ht="24.95" hidden="1" customHeight="1" outlineLevel="1">
      <c r="A191" s="242">
        <v>6</v>
      </c>
      <c r="B191" s="242" t="s">
        <v>392</v>
      </c>
      <c r="C191" s="243">
        <v>10</v>
      </c>
      <c r="D191" s="696"/>
      <c r="E191" s="243"/>
      <c r="F191" s="696"/>
      <c r="G191" s="242">
        <f t="shared" ref="G191:G196" si="42">1*0</f>
        <v>0</v>
      </c>
      <c r="H191" s="244">
        <v>2</v>
      </c>
      <c r="I191" s="245">
        <v>100</v>
      </c>
      <c r="J191" s="246"/>
      <c r="K191" s="246">
        <v>445</v>
      </c>
      <c r="L191" s="246"/>
      <c r="M191" s="245">
        <v>100</v>
      </c>
      <c r="N191" s="235" t="e">
        <f>(((I191+J191+K191+L191+M191)-C191*#REF!*2)/1000)</f>
        <v>#REF!</v>
      </c>
      <c r="O191" s="235"/>
      <c r="P191" s="200">
        <f t="shared" si="33"/>
        <v>0</v>
      </c>
      <c r="Q191" s="200" t="e">
        <f t="shared" si="34"/>
        <v>#REF!</v>
      </c>
      <c r="R191" s="200">
        <f t="shared" si="35"/>
        <v>0</v>
      </c>
      <c r="S191" s="200">
        <f t="shared" si="36"/>
        <v>0</v>
      </c>
      <c r="T191" s="200">
        <f t="shared" si="37"/>
        <v>0</v>
      </c>
      <c r="U191" s="688">
        <f t="shared" si="38"/>
        <v>0</v>
      </c>
      <c r="V191" s="200">
        <f t="shared" si="39"/>
        <v>0</v>
      </c>
      <c r="W191" s="697"/>
    </row>
    <row r="192" spans="1:23" s="247" customFormat="1" ht="24.95" hidden="1" customHeight="1" outlineLevel="1">
      <c r="A192" s="242"/>
      <c r="B192" s="242" t="s">
        <v>393</v>
      </c>
      <c r="C192" s="243">
        <v>10</v>
      </c>
      <c r="D192" s="696"/>
      <c r="E192" s="243"/>
      <c r="F192" s="696"/>
      <c r="G192" s="242">
        <f t="shared" si="42"/>
        <v>0</v>
      </c>
      <c r="H192" s="244">
        <v>2</v>
      </c>
      <c r="I192" s="245">
        <v>100</v>
      </c>
      <c r="J192" s="246"/>
      <c r="K192" s="246">
        <v>445</v>
      </c>
      <c r="L192" s="246"/>
      <c r="M192" s="245">
        <v>100</v>
      </c>
      <c r="N192" s="235" t="e">
        <f>(((I192+J192+K192+L192+M192)-C192*#REF!*2)/1000)</f>
        <v>#REF!</v>
      </c>
      <c r="O192" s="235"/>
      <c r="P192" s="200">
        <f t="shared" si="33"/>
        <v>0</v>
      </c>
      <c r="Q192" s="200" t="e">
        <f t="shared" si="34"/>
        <v>#REF!</v>
      </c>
      <c r="R192" s="200">
        <f t="shared" si="35"/>
        <v>0</v>
      </c>
      <c r="S192" s="200">
        <f t="shared" si="36"/>
        <v>0</v>
      </c>
      <c r="T192" s="200">
        <f t="shared" si="37"/>
        <v>0</v>
      </c>
      <c r="U192" s="688">
        <f t="shared" si="38"/>
        <v>0</v>
      </c>
      <c r="V192" s="200">
        <f t="shared" si="39"/>
        <v>0</v>
      </c>
      <c r="W192" s="697"/>
    </row>
    <row r="193" spans="1:23" s="247" customFormat="1" ht="24.95" hidden="1" customHeight="1" outlineLevel="1">
      <c r="A193" s="242"/>
      <c r="B193" s="242" t="s">
        <v>394</v>
      </c>
      <c r="C193" s="243">
        <v>8</v>
      </c>
      <c r="D193" s="696"/>
      <c r="E193" s="243"/>
      <c r="F193" s="696"/>
      <c r="G193" s="242">
        <f t="shared" si="42"/>
        <v>0</v>
      </c>
      <c r="H193" s="244">
        <f>(K191/200)+1</f>
        <v>3.2250000000000001</v>
      </c>
      <c r="I193" s="246"/>
      <c r="J193" s="246"/>
      <c r="K193" s="246">
        <v>820</v>
      </c>
      <c r="L193" s="246"/>
      <c r="M193" s="246"/>
      <c r="N193" s="235" t="e">
        <f>(((I193+J193+K193+L193+M193)-C193*#REF!*2)/1000)</f>
        <v>#REF!</v>
      </c>
      <c r="O193" s="235"/>
      <c r="P193" s="200" t="e">
        <f t="shared" si="33"/>
        <v>#REF!</v>
      </c>
      <c r="Q193" s="200">
        <f t="shared" si="34"/>
        <v>0</v>
      </c>
      <c r="R193" s="200">
        <f t="shared" si="35"/>
        <v>0</v>
      </c>
      <c r="S193" s="200">
        <f t="shared" si="36"/>
        <v>0</v>
      </c>
      <c r="T193" s="200">
        <f t="shared" si="37"/>
        <v>0</v>
      </c>
      <c r="U193" s="688">
        <f t="shared" si="38"/>
        <v>0</v>
      </c>
      <c r="V193" s="200">
        <f t="shared" si="39"/>
        <v>0</v>
      </c>
      <c r="W193" s="697"/>
    </row>
    <row r="194" spans="1:23" s="247" customFormat="1" ht="24.95" hidden="1" customHeight="1" outlineLevel="1">
      <c r="A194" s="242">
        <v>7</v>
      </c>
      <c r="B194" s="242" t="s">
        <v>392</v>
      </c>
      <c r="C194" s="243">
        <v>10</v>
      </c>
      <c r="D194" s="696"/>
      <c r="E194" s="243"/>
      <c r="F194" s="696"/>
      <c r="G194" s="242">
        <f t="shared" si="42"/>
        <v>0</v>
      </c>
      <c r="H194" s="244">
        <v>2</v>
      </c>
      <c r="I194" s="245">
        <v>100</v>
      </c>
      <c r="J194" s="246"/>
      <c r="K194" s="246">
        <v>645</v>
      </c>
      <c r="L194" s="246"/>
      <c r="M194" s="245">
        <v>100</v>
      </c>
      <c r="N194" s="235" t="e">
        <f>(((I194+J194+K194+L194+M194)-C194*#REF!*2)/1000)</f>
        <v>#REF!</v>
      </c>
      <c r="O194" s="235"/>
      <c r="P194" s="200">
        <f t="shared" si="33"/>
        <v>0</v>
      </c>
      <c r="Q194" s="200" t="e">
        <f t="shared" si="34"/>
        <v>#REF!</v>
      </c>
      <c r="R194" s="200">
        <f t="shared" si="35"/>
        <v>0</v>
      </c>
      <c r="S194" s="200">
        <f t="shared" si="36"/>
        <v>0</v>
      </c>
      <c r="T194" s="200">
        <f t="shared" si="37"/>
        <v>0</v>
      </c>
      <c r="U194" s="688">
        <f t="shared" si="38"/>
        <v>0</v>
      </c>
      <c r="V194" s="200">
        <f t="shared" si="39"/>
        <v>0</v>
      </c>
      <c r="W194" s="697"/>
    </row>
    <row r="195" spans="1:23" s="247" customFormat="1" ht="24.95" hidden="1" customHeight="1" outlineLevel="1">
      <c r="A195" s="242"/>
      <c r="B195" s="242" t="s">
        <v>393</v>
      </c>
      <c r="C195" s="243">
        <v>10</v>
      </c>
      <c r="D195" s="696"/>
      <c r="E195" s="243"/>
      <c r="F195" s="696"/>
      <c r="G195" s="242">
        <f t="shared" si="42"/>
        <v>0</v>
      </c>
      <c r="H195" s="244">
        <v>2</v>
      </c>
      <c r="I195" s="245">
        <v>100</v>
      </c>
      <c r="J195" s="246"/>
      <c r="K195" s="246">
        <v>645</v>
      </c>
      <c r="L195" s="246"/>
      <c r="M195" s="245">
        <v>100</v>
      </c>
      <c r="N195" s="235" t="e">
        <f>(((I195+J195+K195+L195+M195)-C195*#REF!*2)/1000)</f>
        <v>#REF!</v>
      </c>
      <c r="O195" s="235"/>
      <c r="P195" s="200">
        <f t="shared" si="33"/>
        <v>0</v>
      </c>
      <c r="Q195" s="200" t="e">
        <f t="shared" si="34"/>
        <v>#REF!</v>
      </c>
      <c r="R195" s="200">
        <f t="shared" si="35"/>
        <v>0</v>
      </c>
      <c r="S195" s="200">
        <f t="shared" si="36"/>
        <v>0</v>
      </c>
      <c r="T195" s="200">
        <f t="shared" si="37"/>
        <v>0</v>
      </c>
      <c r="U195" s="688">
        <f t="shared" si="38"/>
        <v>0</v>
      </c>
      <c r="V195" s="200">
        <f t="shared" si="39"/>
        <v>0</v>
      </c>
      <c r="W195" s="697"/>
    </row>
    <row r="196" spans="1:23" s="247" customFormat="1" ht="24.95" hidden="1" customHeight="1" outlineLevel="1">
      <c r="A196" s="242"/>
      <c r="B196" s="242" t="s">
        <v>394</v>
      </c>
      <c r="C196" s="243">
        <v>8</v>
      </c>
      <c r="D196" s="696"/>
      <c r="E196" s="243"/>
      <c r="F196" s="696"/>
      <c r="G196" s="242">
        <f t="shared" si="42"/>
        <v>0</v>
      </c>
      <c r="H196" s="244">
        <f>(K194/200)+1</f>
        <v>4.2249999999999996</v>
      </c>
      <c r="I196" s="246"/>
      <c r="J196" s="246"/>
      <c r="K196" s="246">
        <v>820</v>
      </c>
      <c r="L196" s="246"/>
      <c r="M196" s="246"/>
      <c r="N196" s="235" t="e">
        <f>(((I196+J196+K196+L196+M196)-C196*#REF!*2)/1000)</f>
        <v>#REF!</v>
      </c>
      <c r="O196" s="235"/>
      <c r="P196" s="200" t="e">
        <f t="shared" si="33"/>
        <v>#REF!</v>
      </c>
      <c r="Q196" s="200">
        <f t="shared" si="34"/>
        <v>0</v>
      </c>
      <c r="R196" s="200">
        <f t="shared" si="35"/>
        <v>0</v>
      </c>
      <c r="S196" s="200">
        <f t="shared" si="36"/>
        <v>0</v>
      </c>
      <c r="T196" s="200">
        <f t="shared" si="37"/>
        <v>0</v>
      </c>
      <c r="U196" s="688">
        <f t="shared" si="38"/>
        <v>0</v>
      </c>
      <c r="V196" s="200">
        <f t="shared" si="39"/>
        <v>0</v>
      </c>
      <c r="W196" s="697"/>
    </row>
    <row r="197" spans="1:23" s="236" customFormat="1" ht="24.95" hidden="1" customHeight="1" outlineLevel="1">
      <c r="A197" s="239">
        <v>8</v>
      </c>
      <c r="B197" s="239" t="s">
        <v>392</v>
      </c>
      <c r="C197" s="240">
        <v>10</v>
      </c>
      <c r="D197" s="690"/>
      <c r="E197" s="240"/>
      <c r="F197" s="836"/>
      <c r="G197" s="239">
        <v>1</v>
      </c>
      <c r="H197" s="203">
        <v>2</v>
      </c>
      <c r="I197" s="241">
        <v>100</v>
      </c>
      <c r="J197" s="234"/>
      <c r="K197" s="234">
        <v>3180</v>
      </c>
      <c r="L197" s="234"/>
      <c r="M197" s="241">
        <v>100</v>
      </c>
      <c r="N197" s="235" t="e">
        <f>(((I197+J197+K197+L197+M197)-C197*#REF!*2)/1000)</f>
        <v>#REF!</v>
      </c>
      <c r="O197" s="235"/>
      <c r="P197" s="200">
        <f t="shared" si="33"/>
        <v>0</v>
      </c>
      <c r="Q197" s="200" t="e">
        <f t="shared" si="34"/>
        <v>#REF!</v>
      </c>
      <c r="R197" s="200">
        <f t="shared" si="35"/>
        <v>0</v>
      </c>
      <c r="S197" s="200">
        <f t="shared" si="36"/>
        <v>0</v>
      </c>
      <c r="T197" s="200">
        <f t="shared" si="37"/>
        <v>0</v>
      </c>
      <c r="U197" s="688">
        <f t="shared" si="38"/>
        <v>0</v>
      </c>
      <c r="V197" s="200">
        <f t="shared" si="39"/>
        <v>0</v>
      </c>
      <c r="W197" s="689"/>
    </row>
    <row r="198" spans="1:23" s="236" customFormat="1" ht="24.95" hidden="1" customHeight="1" outlineLevel="1">
      <c r="A198" s="239"/>
      <c r="B198" s="239" t="s">
        <v>393</v>
      </c>
      <c r="C198" s="240">
        <v>10</v>
      </c>
      <c r="D198" s="690"/>
      <c r="E198" s="240"/>
      <c r="F198" s="836"/>
      <c r="G198" s="239">
        <v>1</v>
      </c>
      <c r="H198" s="203">
        <v>2</v>
      </c>
      <c r="I198" s="241">
        <v>100</v>
      </c>
      <c r="J198" s="234"/>
      <c r="K198" s="234">
        <v>3180</v>
      </c>
      <c r="L198" s="234"/>
      <c r="M198" s="241">
        <v>100</v>
      </c>
      <c r="N198" s="235" t="e">
        <f>(((I198+J198+K198+L198+M198)-C198*#REF!*2)/1000)</f>
        <v>#REF!</v>
      </c>
      <c r="O198" s="235"/>
      <c r="P198" s="200">
        <f t="shared" si="33"/>
        <v>0</v>
      </c>
      <c r="Q198" s="200" t="e">
        <f t="shared" si="34"/>
        <v>#REF!</v>
      </c>
      <c r="R198" s="200">
        <f t="shared" si="35"/>
        <v>0</v>
      </c>
      <c r="S198" s="200">
        <f t="shared" si="36"/>
        <v>0</v>
      </c>
      <c r="T198" s="200">
        <f t="shared" si="37"/>
        <v>0</v>
      </c>
      <c r="U198" s="688">
        <f t="shared" si="38"/>
        <v>0</v>
      </c>
      <c r="V198" s="200">
        <f t="shared" si="39"/>
        <v>0</v>
      </c>
      <c r="W198" s="689"/>
    </row>
    <row r="199" spans="1:23" s="236" customFormat="1" ht="24.95" hidden="1" customHeight="1" outlineLevel="1">
      <c r="A199" s="239"/>
      <c r="B199" s="239" t="s">
        <v>394</v>
      </c>
      <c r="C199" s="240">
        <v>8</v>
      </c>
      <c r="D199" s="690"/>
      <c r="E199" s="240"/>
      <c r="F199" s="836"/>
      <c r="G199" s="239">
        <v>1</v>
      </c>
      <c r="H199" s="203">
        <f>(K197/200)+1</f>
        <v>16.899999999999999</v>
      </c>
      <c r="I199" s="234"/>
      <c r="J199" s="234"/>
      <c r="K199" s="234">
        <v>820</v>
      </c>
      <c r="L199" s="234"/>
      <c r="M199" s="234"/>
      <c r="N199" s="235" t="e">
        <f>(((I199+J199+K199+L199+M199)-C199*#REF!*2)/1000)</f>
        <v>#REF!</v>
      </c>
      <c r="O199" s="235"/>
      <c r="P199" s="200" t="e">
        <f t="shared" si="33"/>
        <v>#REF!</v>
      </c>
      <c r="Q199" s="200">
        <f t="shared" si="34"/>
        <v>0</v>
      </c>
      <c r="R199" s="200">
        <f t="shared" si="35"/>
        <v>0</v>
      </c>
      <c r="S199" s="200">
        <f t="shared" si="36"/>
        <v>0</v>
      </c>
      <c r="T199" s="200">
        <f t="shared" si="37"/>
        <v>0</v>
      </c>
      <c r="U199" s="688">
        <f t="shared" si="38"/>
        <v>0</v>
      </c>
      <c r="V199" s="200">
        <f t="shared" si="39"/>
        <v>0</v>
      </c>
      <c r="W199" s="689"/>
    </row>
    <row r="200" spans="1:23" s="236" customFormat="1" ht="24.95" hidden="1" customHeight="1" outlineLevel="1">
      <c r="A200" s="239">
        <v>9</v>
      </c>
      <c r="B200" s="239" t="s">
        <v>392</v>
      </c>
      <c r="C200" s="240">
        <v>10</v>
      </c>
      <c r="D200" s="690"/>
      <c r="E200" s="240"/>
      <c r="F200" s="836"/>
      <c r="G200" s="239">
        <v>1</v>
      </c>
      <c r="H200" s="203">
        <v>2</v>
      </c>
      <c r="I200" s="241">
        <v>100</v>
      </c>
      <c r="J200" s="234"/>
      <c r="K200" s="234">
        <v>4380</v>
      </c>
      <c r="L200" s="234"/>
      <c r="M200" s="241">
        <v>100</v>
      </c>
      <c r="N200" s="235" t="e">
        <f>(((I200+J200+K200+L200+M200)-C200*#REF!*2)/1000)</f>
        <v>#REF!</v>
      </c>
      <c r="O200" s="235"/>
      <c r="P200" s="200">
        <f t="shared" si="33"/>
        <v>0</v>
      </c>
      <c r="Q200" s="200" t="e">
        <f t="shared" si="34"/>
        <v>#REF!</v>
      </c>
      <c r="R200" s="200">
        <f t="shared" si="35"/>
        <v>0</v>
      </c>
      <c r="S200" s="200">
        <f t="shared" si="36"/>
        <v>0</v>
      </c>
      <c r="T200" s="200">
        <f t="shared" si="37"/>
        <v>0</v>
      </c>
      <c r="U200" s="688">
        <f t="shared" si="38"/>
        <v>0</v>
      </c>
      <c r="V200" s="200">
        <f t="shared" si="39"/>
        <v>0</v>
      </c>
      <c r="W200" s="689"/>
    </row>
    <row r="201" spans="1:23" s="236" customFormat="1" ht="24.95" hidden="1" customHeight="1" outlineLevel="1">
      <c r="A201" s="239"/>
      <c r="B201" s="239" t="s">
        <v>393</v>
      </c>
      <c r="C201" s="240">
        <v>10</v>
      </c>
      <c r="D201" s="690"/>
      <c r="E201" s="240"/>
      <c r="F201" s="836"/>
      <c r="G201" s="239">
        <v>1</v>
      </c>
      <c r="H201" s="203">
        <v>2</v>
      </c>
      <c r="I201" s="241">
        <v>100</v>
      </c>
      <c r="J201" s="234"/>
      <c r="K201" s="234">
        <v>4380</v>
      </c>
      <c r="L201" s="234"/>
      <c r="M201" s="241">
        <v>100</v>
      </c>
      <c r="N201" s="235" t="e">
        <f>(((I201+J201+K201+L201+M201)-C201*#REF!*2)/1000)</f>
        <v>#REF!</v>
      </c>
      <c r="O201" s="235"/>
      <c r="P201" s="200">
        <f t="shared" si="33"/>
        <v>0</v>
      </c>
      <c r="Q201" s="200" t="e">
        <f t="shared" si="34"/>
        <v>#REF!</v>
      </c>
      <c r="R201" s="200">
        <f t="shared" si="35"/>
        <v>0</v>
      </c>
      <c r="S201" s="200">
        <f t="shared" si="36"/>
        <v>0</v>
      </c>
      <c r="T201" s="200">
        <f t="shared" si="37"/>
        <v>0</v>
      </c>
      <c r="U201" s="688">
        <f t="shared" si="38"/>
        <v>0</v>
      </c>
      <c r="V201" s="200">
        <f t="shared" si="39"/>
        <v>0</v>
      </c>
      <c r="W201" s="689"/>
    </row>
    <row r="202" spans="1:23" s="236" customFormat="1" ht="24.95" hidden="1" customHeight="1" outlineLevel="1">
      <c r="A202" s="239"/>
      <c r="B202" s="239" t="s">
        <v>394</v>
      </c>
      <c r="C202" s="240">
        <v>8</v>
      </c>
      <c r="D202" s="690"/>
      <c r="E202" s="240"/>
      <c r="F202" s="836"/>
      <c r="G202" s="239">
        <v>1</v>
      </c>
      <c r="H202" s="203">
        <f>(K200/200)+1</f>
        <v>22.9</v>
      </c>
      <c r="I202" s="234"/>
      <c r="J202" s="234"/>
      <c r="K202" s="234">
        <v>820</v>
      </c>
      <c r="L202" s="234"/>
      <c r="M202" s="234"/>
      <c r="N202" s="235" t="e">
        <f>(((I202+J202+K202+L202+M202)-C202*#REF!*2)/1000)</f>
        <v>#REF!</v>
      </c>
      <c r="O202" s="235"/>
      <c r="P202" s="200" t="e">
        <f t="shared" si="33"/>
        <v>#REF!</v>
      </c>
      <c r="Q202" s="200">
        <f t="shared" si="34"/>
        <v>0</v>
      </c>
      <c r="R202" s="200">
        <f t="shared" si="35"/>
        <v>0</v>
      </c>
      <c r="S202" s="200">
        <f t="shared" si="36"/>
        <v>0</v>
      </c>
      <c r="T202" s="200">
        <f t="shared" si="37"/>
        <v>0</v>
      </c>
      <c r="U202" s="688">
        <f t="shared" si="38"/>
        <v>0</v>
      </c>
      <c r="V202" s="200">
        <f t="shared" si="39"/>
        <v>0</v>
      </c>
      <c r="W202" s="689"/>
    </row>
    <row r="203" spans="1:23" s="236" customFormat="1" ht="24.95" hidden="1" customHeight="1" outlineLevel="1">
      <c r="A203" s="239">
        <v>10</v>
      </c>
      <c r="B203" s="239" t="s">
        <v>392</v>
      </c>
      <c r="C203" s="240">
        <v>10</v>
      </c>
      <c r="D203" s="690"/>
      <c r="E203" s="240"/>
      <c r="F203" s="836"/>
      <c r="G203" s="239">
        <v>1</v>
      </c>
      <c r="H203" s="203">
        <v>2</v>
      </c>
      <c r="I203" s="241">
        <v>100</v>
      </c>
      <c r="J203" s="234"/>
      <c r="K203" s="241">
        <v>3380</v>
      </c>
      <c r="L203" s="234"/>
      <c r="M203" s="241">
        <v>100</v>
      </c>
      <c r="N203" s="235" t="e">
        <f>(((I203+J203+K203+L203+M203)-C203*#REF!*2)/1000)</f>
        <v>#REF!</v>
      </c>
      <c r="O203" s="235"/>
      <c r="P203" s="200">
        <f t="shared" ref="P203:P266" si="43">+IF(C203=8,G203*H203*N203,0)</f>
        <v>0</v>
      </c>
      <c r="Q203" s="200" t="e">
        <f t="shared" ref="Q203:Q266" si="44">+IF(C203=10,G203*H203*N203,0)</f>
        <v>#REF!</v>
      </c>
      <c r="R203" s="200">
        <f t="shared" ref="R203:R266" si="45">+IF(C203=12,G203*H203*N203,0)</f>
        <v>0</v>
      </c>
      <c r="S203" s="200">
        <f t="shared" ref="S203:S266" si="46">+IF(C203=16,G203*H203*N203,0)</f>
        <v>0</v>
      </c>
      <c r="T203" s="200">
        <f t="shared" ref="T203:T266" si="47">+IF(C203=20,G203*H203*N203,0)</f>
        <v>0</v>
      </c>
      <c r="U203" s="688">
        <f t="shared" ref="U203:U266" si="48">+IF(C203=25,G203*H203*N203,0)</f>
        <v>0</v>
      </c>
      <c r="V203" s="200">
        <f t="shared" ref="V203:V266" si="49">+IF(C203=32,G203*H203*N203,0)</f>
        <v>0</v>
      </c>
      <c r="W203" s="689"/>
    </row>
    <row r="204" spans="1:23" s="236" customFormat="1" ht="24.95" hidden="1" customHeight="1" outlineLevel="1">
      <c r="A204" s="239"/>
      <c r="B204" s="239" t="s">
        <v>393</v>
      </c>
      <c r="C204" s="240">
        <v>10</v>
      </c>
      <c r="D204" s="690"/>
      <c r="E204" s="240"/>
      <c r="F204" s="836"/>
      <c r="G204" s="239">
        <v>1</v>
      </c>
      <c r="H204" s="203">
        <v>2</v>
      </c>
      <c r="I204" s="241">
        <v>100</v>
      </c>
      <c r="J204" s="234"/>
      <c r="K204" s="241">
        <v>3380</v>
      </c>
      <c r="L204" s="234"/>
      <c r="M204" s="241">
        <v>100</v>
      </c>
      <c r="N204" s="235" t="e">
        <f>(((I204+J204+K204+L204+M204)-C204*#REF!*2)/1000)</f>
        <v>#REF!</v>
      </c>
      <c r="O204" s="235"/>
      <c r="P204" s="200">
        <f t="shared" si="43"/>
        <v>0</v>
      </c>
      <c r="Q204" s="200" t="e">
        <f t="shared" si="44"/>
        <v>#REF!</v>
      </c>
      <c r="R204" s="200">
        <f t="shared" si="45"/>
        <v>0</v>
      </c>
      <c r="S204" s="200">
        <f t="shared" si="46"/>
        <v>0</v>
      </c>
      <c r="T204" s="200">
        <f t="shared" si="47"/>
        <v>0</v>
      </c>
      <c r="U204" s="688">
        <f t="shared" si="48"/>
        <v>0</v>
      </c>
      <c r="V204" s="200">
        <f t="shared" si="49"/>
        <v>0</v>
      </c>
      <c r="W204" s="689"/>
    </row>
    <row r="205" spans="1:23" s="236" customFormat="1" ht="24.95" hidden="1" customHeight="1" outlineLevel="1">
      <c r="A205" s="239"/>
      <c r="B205" s="239" t="s">
        <v>394</v>
      </c>
      <c r="C205" s="240">
        <v>8</v>
      </c>
      <c r="D205" s="690"/>
      <c r="E205" s="240"/>
      <c r="F205" s="836"/>
      <c r="G205" s="239">
        <v>1</v>
      </c>
      <c r="H205" s="249">
        <f>(K203/200)+1</f>
        <v>17.899999999999999</v>
      </c>
      <c r="I205" s="234"/>
      <c r="J205" s="234"/>
      <c r="K205" s="234">
        <v>820</v>
      </c>
      <c r="L205" s="234"/>
      <c r="M205" s="234"/>
      <c r="N205" s="235" t="e">
        <f>(((I205+J205+K205+L205+M205)-C205*#REF!*2)/1000)</f>
        <v>#REF!</v>
      </c>
      <c r="O205" s="235"/>
      <c r="P205" s="200" t="e">
        <f t="shared" si="43"/>
        <v>#REF!</v>
      </c>
      <c r="Q205" s="200">
        <f t="shared" si="44"/>
        <v>0</v>
      </c>
      <c r="R205" s="200">
        <f t="shared" si="45"/>
        <v>0</v>
      </c>
      <c r="S205" s="200">
        <f t="shared" si="46"/>
        <v>0</v>
      </c>
      <c r="T205" s="200">
        <f t="shared" si="47"/>
        <v>0</v>
      </c>
      <c r="U205" s="688">
        <f t="shared" si="48"/>
        <v>0</v>
      </c>
      <c r="V205" s="200">
        <f t="shared" si="49"/>
        <v>0</v>
      </c>
      <c r="W205" s="689"/>
    </row>
    <row r="206" spans="1:23" s="247" customFormat="1" ht="24.95" hidden="1" customHeight="1" outlineLevel="1">
      <c r="A206" s="242">
        <v>11</v>
      </c>
      <c r="B206" s="242" t="s">
        <v>392</v>
      </c>
      <c r="C206" s="243">
        <v>10</v>
      </c>
      <c r="D206" s="696"/>
      <c r="E206" s="243"/>
      <c r="F206" s="696"/>
      <c r="G206" s="242">
        <f t="shared" ref="G206:G208" si="50">1*0</f>
        <v>0</v>
      </c>
      <c r="H206" s="244">
        <v>2</v>
      </c>
      <c r="I206" s="245">
        <v>100</v>
      </c>
      <c r="J206" s="246"/>
      <c r="K206" s="246">
        <v>3445</v>
      </c>
      <c r="L206" s="246"/>
      <c r="M206" s="245">
        <v>100</v>
      </c>
      <c r="N206" s="235" t="e">
        <f>(((I206+J206+K206+L206+M206)-C206*#REF!*2)/1000)</f>
        <v>#REF!</v>
      </c>
      <c r="O206" s="235"/>
      <c r="P206" s="200">
        <f t="shared" si="43"/>
        <v>0</v>
      </c>
      <c r="Q206" s="200" t="e">
        <f t="shared" si="44"/>
        <v>#REF!</v>
      </c>
      <c r="R206" s="200">
        <f t="shared" si="45"/>
        <v>0</v>
      </c>
      <c r="S206" s="200">
        <f t="shared" si="46"/>
        <v>0</v>
      </c>
      <c r="T206" s="200">
        <f t="shared" si="47"/>
        <v>0</v>
      </c>
      <c r="U206" s="688">
        <f t="shared" si="48"/>
        <v>0</v>
      </c>
      <c r="V206" s="200">
        <f t="shared" si="49"/>
        <v>0</v>
      </c>
      <c r="W206" s="697"/>
    </row>
    <row r="207" spans="1:23" s="247" customFormat="1" ht="24.95" hidden="1" customHeight="1" outlineLevel="1">
      <c r="A207" s="242"/>
      <c r="B207" s="242" t="s">
        <v>393</v>
      </c>
      <c r="C207" s="243">
        <v>10</v>
      </c>
      <c r="D207" s="696"/>
      <c r="E207" s="243"/>
      <c r="F207" s="696"/>
      <c r="G207" s="242">
        <f t="shared" si="50"/>
        <v>0</v>
      </c>
      <c r="H207" s="244">
        <v>2</v>
      </c>
      <c r="I207" s="245">
        <v>100</v>
      </c>
      <c r="J207" s="246"/>
      <c r="K207" s="246">
        <v>3445</v>
      </c>
      <c r="L207" s="246"/>
      <c r="M207" s="245">
        <v>100</v>
      </c>
      <c r="N207" s="235" t="e">
        <f>(((I207+J207+K207+L207+M207)-C207*#REF!*2)/1000)</f>
        <v>#REF!</v>
      </c>
      <c r="O207" s="235"/>
      <c r="P207" s="200">
        <f t="shared" si="43"/>
        <v>0</v>
      </c>
      <c r="Q207" s="200" t="e">
        <f t="shared" si="44"/>
        <v>#REF!</v>
      </c>
      <c r="R207" s="200">
        <f t="shared" si="45"/>
        <v>0</v>
      </c>
      <c r="S207" s="200">
        <f t="shared" si="46"/>
        <v>0</v>
      </c>
      <c r="T207" s="200">
        <f t="shared" si="47"/>
        <v>0</v>
      </c>
      <c r="U207" s="688">
        <f t="shared" si="48"/>
        <v>0</v>
      </c>
      <c r="V207" s="200">
        <f t="shared" si="49"/>
        <v>0</v>
      </c>
      <c r="W207" s="697"/>
    </row>
    <row r="208" spans="1:23" s="247" customFormat="1" ht="24.95" hidden="1" customHeight="1" outlineLevel="1">
      <c r="A208" s="242"/>
      <c r="B208" s="242" t="s">
        <v>394</v>
      </c>
      <c r="C208" s="243">
        <v>8</v>
      </c>
      <c r="D208" s="696"/>
      <c r="E208" s="243"/>
      <c r="F208" s="696"/>
      <c r="G208" s="242">
        <f t="shared" si="50"/>
        <v>0</v>
      </c>
      <c r="H208" s="244">
        <f>(K206/200)+1</f>
        <v>18.225000000000001</v>
      </c>
      <c r="I208" s="246"/>
      <c r="J208" s="246"/>
      <c r="K208" s="246">
        <v>820</v>
      </c>
      <c r="L208" s="246"/>
      <c r="M208" s="246"/>
      <c r="N208" s="235" t="e">
        <f>(((I208+J208+K208+L208+M208)-C208*#REF!*2)/1000)</f>
        <v>#REF!</v>
      </c>
      <c r="O208" s="235"/>
      <c r="P208" s="200" t="e">
        <f t="shared" si="43"/>
        <v>#REF!</v>
      </c>
      <c r="Q208" s="200">
        <f t="shared" si="44"/>
        <v>0</v>
      </c>
      <c r="R208" s="200">
        <f t="shared" si="45"/>
        <v>0</v>
      </c>
      <c r="S208" s="200">
        <f t="shared" si="46"/>
        <v>0</v>
      </c>
      <c r="T208" s="200">
        <f t="shared" si="47"/>
        <v>0</v>
      </c>
      <c r="U208" s="688">
        <f t="shared" si="48"/>
        <v>0</v>
      </c>
      <c r="V208" s="200">
        <f t="shared" si="49"/>
        <v>0</v>
      </c>
      <c r="W208" s="697"/>
    </row>
    <row r="209" spans="1:23" s="236" customFormat="1" ht="24.95" hidden="1" customHeight="1" outlineLevel="1">
      <c r="A209" s="239">
        <v>12</v>
      </c>
      <c r="B209" s="239" t="s">
        <v>392</v>
      </c>
      <c r="C209" s="240">
        <v>10</v>
      </c>
      <c r="D209" s="690"/>
      <c r="E209" s="240"/>
      <c r="F209" s="836"/>
      <c r="G209" s="239">
        <v>1</v>
      </c>
      <c r="H209" s="203">
        <v>2</v>
      </c>
      <c r="I209" s="241">
        <v>100</v>
      </c>
      <c r="J209" s="234"/>
      <c r="K209" s="234">
        <v>1380</v>
      </c>
      <c r="L209" s="234"/>
      <c r="M209" s="241">
        <v>100</v>
      </c>
      <c r="N209" s="235" t="e">
        <f>(((I209+J209+K209+L209+M209)-C209*#REF!*2)/1000)</f>
        <v>#REF!</v>
      </c>
      <c r="O209" s="235"/>
      <c r="P209" s="200">
        <f t="shared" si="43"/>
        <v>0</v>
      </c>
      <c r="Q209" s="200" t="e">
        <f t="shared" si="44"/>
        <v>#REF!</v>
      </c>
      <c r="R209" s="200">
        <f t="shared" si="45"/>
        <v>0</v>
      </c>
      <c r="S209" s="200">
        <f t="shared" si="46"/>
        <v>0</v>
      </c>
      <c r="T209" s="200">
        <f t="shared" si="47"/>
        <v>0</v>
      </c>
      <c r="U209" s="688">
        <f t="shared" si="48"/>
        <v>0</v>
      </c>
      <c r="V209" s="200">
        <f t="shared" si="49"/>
        <v>0</v>
      </c>
      <c r="W209" s="689"/>
    </row>
    <row r="210" spans="1:23" s="236" customFormat="1" ht="24.95" hidden="1" customHeight="1" outlineLevel="1">
      <c r="A210" s="239"/>
      <c r="B210" s="239" t="s">
        <v>393</v>
      </c>
      <c r="C210" s="240">
        <v>10</v>
      </c>
      <c r="D210" s="690"/>
      <c r="E210" s="240"/>
      <c r="F210" s="836"/>
      <c r="G210" s="239">
        <v>1</v>
      </c>
      <c r="H210" s="203">
        <v>2</v>
      </c>
      <c r="I210" s="241">
        <v>100</v>
      </c>
      <c r="J210" s="234"/>
      <c r="K210" s="234">
        <v>1380</v>
      </c>
      <c r="L210" s="234"/>
      <c r="M210" s="241">
        <v>100</v>
      </c>
      <c r="N210" s="235" t="e">
        <f>(((I210+J210+K210+L210+M210)-C210*#REF!*2)/1000)</f>
        <v>#REF!</v>
      </c>
      <c r="O210" s="235"/>
      <c r="P210" s="200">
        <f t="shared" si="43"/>
        <v>0</v>
      </c>
      <c r="Q210" s="200" t="e">
        <f t="shared" si="44"/>
        <v>#REF!</v>
      </c>
      <c r="R210" s="200">
        <f t="shared" si="45"/>
        <v>0</v>
      </c>
      <c r="S210" s="200">
        <f t="shared" si="46"/>
        <v>0</v>
      </c>
      <c r="T210" s="200">
        <f t="shared" si="47"/>
        <v>0</v>
      </c>
      <c r="U210" s="688">
        <f t="shared" si="48"/>
        <v>0</v>
      </c>
      <c r="V210" s="200">
        <f t="shared" si="49"/>
        <v>0</v>
      </c>
      <c r="W210" s="689"/>
    </row>
    <row r="211" spans="1:23" s="236" customFormat="1" ht="24.95" hidden="1" customHeight="1" outlineLevel="1">
      <c r="A211" s="239"/>
      <c r="B211" s="239" t="s">
        <v>394</v>
      </c>
      <c r="C211" s="240">
        <v>8</v>
      </c>
      <c r="D211" s="690"/>
      <c r="E211" s="240"/>
      <c r="F211" s="836"/>
      <c r="G211" s="239">
        <v>1</v>
      </c>
      <c r="H211" s="203">
        <f>(K209/200)+1</f>
        <v>7.9</v>
      </c>
      <c r="I211" s="234"/>
      <c r="J211" s="234"/>
      <c r="K211" s="234">
        <v>820</v>
      </c>
      <c r="L211" s="234"/>
      <c r="M211" s="234"/>
      <c r="N211" s="235" t="e">
        <f>(((I211+J211+K211+L211+M211)-C211*#REF!*2)/1000)</f>
        <v>#REF!</v>
      </c>
      <c r="O211" s="235"/>
      <c r="P211" s="200" t="e">
        <f t="shared" si="43"/>
        <v>#REF!</v>
      </c>
      <c r="Q211" s="200">
        <f t="shared" si="44"/>
        <v>0</v>
      </c>
      <c r="R211" s="200">
        <f t="shared" si="45"/>
        <v>0</v>
      </c>
      <c r="S211" s="200">
        <f t="shared" si="46"/>
        <v>0</v>
      </c>
      <c r="T211" s="200">
        <f t="shared" si="47"/>
        <v>0</v>
      </c>
      <c r="U211" s="688">
        <f t="shared" si="48"/>
        <v>0</v>
      </c>
      <c r="V211" s="200">
        <f t="shared" si="49"/>
        <v>0</v>
      </c>
      <c r="W211" s="689"/>
    </row>
    <row r="212" spans="1:23" s="236" customFormat="1" ht="24.95" hidden="1" customHeight="1" outlineLevel="1">
      <c r="A212" s="239">
        <v>13</v>
      </c>
      <c r="B212" s="239" t="s">
        <v>392</v>
      </c>
      <c r="C212" s="240">
        <v>10</v>
      </c>
      <c r="D212" s="690"/>
      <c r="E212" s="240"/>
      <c r="F212" s="836"/>
      <c r="G212" s="239">
        <v>1</v>
      </c>
      <c r="H212" s="203">
        <v>2</v>
      </c>
      <c r="I212" s="241">
        <v>100</v>
      </c>
      <c r="J212" s="234"/>
      <c r="K212" s="234">
        <v>8180</v>
      </c>
      <c r="L212" s="234"/>
      <c r="M212" s="241">
        <v>100</v>
      </c>
      <c r="N212" s="235" t="e">
        <f>(((I212+J212+K212+L212+M212)-C212*#REF!*2)/1000)</f>
        <v>#REF!</v>
      </c>
      <c r="O212" s="235"/>
      <c r="P212" s="200">
        <f t="shared" si="43"/>
        <v>0</v>
      </c>
      <c r="Q212" s="200" t="e">
        <f t="shared" si="44"/>
        <v>#REF!</v>
      </c>
      <c r="R212" s="200">
        <f t="shared" si="45"/>
        <v>0</v>
      </c>
      <c r="S212" s="200">
        <f t="shared" si="46"/>
        <v>0</v>
      </c>
      <c r="T212" s="200">
        <f t="shared" si="47"/>
        <v>0</v>
      </c>
      <c r="U212" s="688">
        <f t="shared" si="48"/>
        <v>0</v>
      </c>
      <c r="V212" s="200">
        <f t="shared" si="49"/>
        <v>0</v>
      </c>
      <c r="W212" s="689"/>
    </row>
    <row r="213" spans="1:23" s="236" customFormat="1" ht="24.95" hidden="1" customHeight="1" outlineLevel="1">
      <c r="A213" s="239"/>
      <c r="B213" s="239" t="s">
        <v>393</v>
      </c>
      <c r="C213" s="240">
        <v>10</v>
      </c>
      <c r="D213" s="690"/>
      <c r="E213" s="240"/>
      <c r="F213" s="836"/>
      <c r="G213" s="239">
        <v>1</v>
      </c>
      <c r="H213" s="203">
        <v>2</v>
      </c>
      <c r="I213" s="241">
        <v>100</v>
      </c>
      <c r="J213" s="234"/>
      <c r="K213" s="234">
        <v>8180</v>
      </c>
      <c r="L213" s="234"/>
      <c r="M213" s="241">
        <v>100</v>
      </c>
      <c r="N213" s="235" t="e">
        <f>(((I213+J213+K213+L213+M213)-C213*#REF!*2)/1000)</f>
        <v>#REF!</v>
      </c>
      <c r="O213" s="235"/>
      <c r="P213" s="200">
        <f t="shared" si="43"/>
        <v>0</v>
      </c>
      <c r="Q213" s="200" t="e">
        <f t="shared" si="44"/>
        <v>#REF!</v>
      </c>
      <c r="R213" s="200">
        <f t="shared" si="45"/>
        <v>0</v>
      </c>
      <c r="S213" s="200">
        <f t="shared" si="46"/>
        <v>0</v>
      </c>
      <c r="T213" s="200">
        <f t="shared" si="47"/>
        <v>0</v>
      </c>
      <c r="U213" s="688">
        <f t="shared" si="48"/>
        <v>0</v>
      </c>
      <c r="V213" s="200">
        <f t="shared" si="49"/>
        <v>0</v>
      </c>
      <c r="W213" s="689"/>
    </row>
    <row r="214" spans="1:23" s="236" customFormat="1" ht="24.95" hidden="1" customHeight="1" outlineLevel="1">
      <c r="A214" s="239"/>
      <c r="B214" s="239" t="s">
        <v>394</v>
      </c>
      <c r="C214" s="240">
        <v>8</v>
      </c>
      <c r="D214" s="690"/>
      <c r="E214" s="240"/>
      <c r="F214" s="836"/>
      <c r="G214" s="239">
        <v>1</v>
      </c>
      <c r="H214" s="203">
        <f>(K212/200)+1</f>
        <v>41.9</v>
      </c>
      <c r="I214" s="234"/>
      <c r="J214" s="234"/>
      <c r="K214" s="234">
        <v>820</v>
      </c>
      <c r="L214" s="234"/>
      <c r="M214" s="234"/>
      <c r="N214" s="235" t="e">
        <f>(((I214+J214+K214+L214+M214)-C214*#REF!*2)/1000)</f>
        <v>#REF!</v>
      </c>
      <c r="O214" s="235"/>
      <c r="P214" s="200" t="e">
        <f t="shared" si="43"/>
        <v>#REF!</v>
      </c>
      <c r="Q214" s="200">
        <f t="shared" si="44"/>
        <v>0</v>
      </c>
      <c r="R214" s="200">
        <f t="shared" si="45"/>
        <v>0</v>
      </c>
      <c r="S214" s="200">
        <f t="shared" si="46"/>
        <v>0</v>
      </c>
      <c r="T214" s="200">
        <f t="shared" si="47"/>
        <v>0</v>
      </c>
      <c r="U214" s="688">
        <f t="shared" si="48"/>
        <v>0</v>
      </c>
      <c r="V214" s="200">
        <f t="shared" si="49"/>
        <v>0</v>
      </c>
      <c r="W214" s="689"/>
    </row>
    <row r="215" spans="1:23" s="236" customFormat="1" ht="24.95" hidden="1" customHeight="1" outlineLevel="1">
      <c r="A215" s="239">
        <v>14</v>
      </c>
      <c r="B215" s="239" t="s">
        <v>392</v>
      </c>
      <c r="C215" s="240">
        <v>10</v>
      </c>
      <c r="D215" s="690"/>
      <c r="E215" s="240"/>
      <c r="F215" s="836"/>
      <c r="G215" s="239">
        <v>1</v>
      </c>
      <c r="H215" s="203">
        <v>2</v>
      </c>
      <c r="I215" s="241">
        <v>100</v>
      </c>
      <c r="J215" s="234"/>
      <c r="K215" s="241">
        <v>10210</v>
      </c>
      <c r="L215" s="234"/>
      <c r="M215" s="241">
        <v>100</v>
      </c>
      <c r="N215" s="235" t="e">
        <f>(((I215+J215+K215+L215+M215)-C215*#REF!*2)/1000)</f>
        <v>#REF!</v>
      </c>
      <c r="O215" s="235"/>
      <c r="P215" s="200">
        <f t="shared" si="43"/>
        <v>0</v>
      </c>
      <c r="Q215" s="200" t="e">
        <f t="shared" si="44"/>
        <v>#REF!</v>
      </c>
      <c r="R215" s="200">
        <f t="shared" si="45"/>
        <v>0</v>
      </c>
      <c r="S215" s="200">
        <f t="shared" si="46"/>
        <v>0</v>
      </c>
      <c r="T215" s="200">
        <f t="shared" si="47"/>
        <v>0</v>
      </c>
      <c r="U215" s="688">
        <f t="shared" si="48"/>
        <v>0</v>
      </c>
      <c r="V215" s="200">
        <f t="shared" si="49"/>
        <v>0</v>
      </c>
      <c r="W215" s="689"/>
    </row>
    <row r="216" spans="1:23" s="236" customFormat="1" ht="24.95" hidden="1" customHeight="1" outlineLevel="1">
      <c r="A216" s="239"/>
      <c r="B216" s="239" t="s">
        <v>393</v>
      </c>
      <c r="C216" s="240">
        <v>10</v>
      </c>
      <c r="D216" s="690"/>
      <c r="E216" s="240"/>
      <c r="F216" s="836"/>
      <c r="G216" s="239">
        <v>1</v>
      </c>
      <c r="H216" s="203">
        <v>2</v>
      </c>
      <c r="I216" s="241">
        <v>100</v>
      </c>
      <c r="J216" s="234"/>
      <c r="K216" s="241">
        <v>10210</v>
      </c>
      <c r="L216" s="234"/>
      <c r="M216" s="241">
        <v>100</v>
      </c>
      <c r="N216" s="235" t="e">
        <f>(((I216+J216+K216+L216+M216)-C216*#REF!*2)/1000)</f>
        <v>#REF!</v>
      </c>
      <c r="O216" s="235"/>
      <c r="P216" s="200">
        <f t="shared" si="43"/>
        <v>0</v>
      </c>
      <c r="Q216" s="200" t="e">
        <f t="shared" si="44"/>
        <v>#REF!</v>
      </c>
      <c r="R216" s="200">
        <f t="shared" si="45"/>
        <v>0</v>
      </c>
      <c r="S216" s="200">
        <f t="shared" si="46"/>
        <v>0</v>
      </c>
      <c r="T216" s="200">
        <f t="shared" si="47"/>
        <v>0</v>
      </c>
      <c r="U216" s="688">
        <f t="shared" si="48"/>
        <v>0</v>
      </c>
      <c r="V216" s="200">
        <f t="shared" si="49"/>
        <v>0</v>
      </c>
      <c r="W216" s="689"/>
    </row>
    <row r="217" spans="1:23" s="236" customFormat="1" ht="24.95" hidden="1" customHeight="1" outlineLevel="1">
      <c r="A217" s="239"/>
      <c r="B217" s="239" t="s">
        <v>394</v>
      </c>
      <c r="C217" s="240">
        <v>8</v>
      </c>
      <c r="D217" s="690"/>
      <c r="E217" s="240"/>
      <c r="F217" s="836"/>
      <c r="G217" s="239">
        <v>1</v>
      </c>
      <c r="H217" s="203">
        <f>(K215/200)+1</f>
        <v>52.05</v>
      </c>
      <c r="I217" s="234"/>
      <c r="J217" s="234"/>
      <c r="K217" s="234">
        <v>820</v>
      </c>
      <c r="L217" s="234"/>
      <c r="M217" s="234"/>
      <c r="N217" s="235" t="e">
        <f>(((I217+J217+K217+L217+M217)-C217*#REF!*2)/1000)</f>
        <v>#REF!</v>
      </c>
      <c r="O217" s="235"/>
      <c r="P217" s="200" t="e">
        <f t="shared" si="43"/>
        <v>#REF!</v>
      </c>
      <c r="Q217" s="200">
        <f t="shared" si="44"/>
        <v>0</v>
      </c>
      <c r="R217" s="200">
        <f t="shared" si="45"/>
        <v>0</v>
      </c>
      <c r="S217" s="200">
        <f t="shared" si="46"/>
        <v>0</v>
      </c>
      <c r="T217" s="200">
        <f t="shared" si="47"/>
        <v>0</v>
      </c>
      <c r="U217" s="688">
        <f t="shared" si="48"/>
        <v>0</v>
      </c>
      <c r="V217" s="200">
        <f t="shared" si="49"/>
        <v>0</v>
      </c>
      <c r="W217" s="689"/>
    </row>
    <row r="218" spans="1:23" s="236" customFormat="1" ht="24.95" hidden="1" customHeight="1" outlineLevel="1">
      <c r="A218" s="207">
        <v>15</v>
      </c>
      <c r="B218" s="208" t="s">
        <v>399</v>
      </c>
      <c r="C218" s="240">
        <v>12</v>
      </c>
      <c r="D218" s="690"/>
      <c r="E218" s="240"/>
      <c r="F218" s="836"/>
      <c r="G218" s="239">
        <v>4</v>
      </c>
      <c r="H218" s="203">
        <v>3</v>
      </c>
      <c r="I218" s="241">
        <v>100</v>
      </c>
      <c r="J218" s="234"/>
      <c r="K218" s="234">
        <v>2950</v>
      </c>
      <c r="L218" s="234"/>
      <c r="M218" s="241">
        <v>100</v>
      </c>
      <c r="N218" s="235" t="e">
        <f>(((I218+J218+K218+L218+M218)-C218*#REF!*2)/1000)</f>
        <v>#REF!</v>
      </c>
      <c r="O218" s="235"/>
      <c r="P218" s="200">
        <f t="shared" si="43"/>
        <v>0</v>
      </c>
      <c r="Q218" s="200">
        <f t="shared" si="44"/>
        <v>0</v>
      </c>
      <c r="R218" s="200" t="e">
        <f t="shared" si="45"/>
        <v>#REF!</v>
      </c>
      <c r="S218" s="200">
        <f t="shared" si="46"/>
        <v>0</v>
      </c>
      <c r="T218" s="200">
        <f t="shared" si="47"/>
        <v>0</v>
      </c>
      <c r="U218" s="688">
        <f t="shared" si="48"/>
        <v>0</v>
      </c>
      <c r="V218" s="200">
        <f t="shared" si="49"/>
        <v>0</v>
      </c>
      <c r="W218" s="689"/>
    </row>
    <row r="219" spans="1:23" s="236" customFormat="1" ht="24.95" hidden="1" customHeight="1" outlineLevel="1">
      <c r="A219" s="239"/>
      <c r="B219" s="239" t="s">
        <v>393</v>
      </c>
      <c r="C219" s="240">
        <v>12</v>
      </c>
      <c r="D219" s="690"/>
      <c r="E219" s="240"/>
      <c r="F219" s="836"/>
      <c r="G219" s="239">
        <v>4</v>
      </c>
      <c r="H219" s="203">
        <v>3</v>
      </c>
      <c r="I219" s="241">
        <v>100</v>
      </c>
      <c r="J219" s="234"/>
      <c r="K219" s="234">
        <v>2950</v>
      </c>
      <c r="L219" s="234"/>
      <c r="M219" s="241">
        <v>100</v>
      </c>
      <c r="N219" s="235" t="e">
        <f>(((I219+J219+K219+L219+M219)-C219*#REF!*2)/1000)</f>
        <v>#REF!</v>
      </c>
      <c r="O219" s="235"/>
      <c r="P219" s="200">
        <f t="shared" si="43"/>
        <v>0</v>
      </c>
      <c r="Q219" s="200">
        <f t="shared" si="44"/>
        <v>0</v>
      </c>
      <c r="R219" s="200" t="e">
        <f t="shared" si="45"/>
        <v>#REF!</v>
      </c>
      <c r="S219" s="200">
        <f t="shared" si="46"/>
        <v>0</v>
      </c>
      <c r="T219" s="200">
        <f t="shared" si="47"/>
        <v>0</v>
      </c>
      <c r="U219" s="688">
        <f t="shared" si="48"/>
        <v>0</v>
      </c>
      <c r="V219" s="200">
        <f t="shared" si="49"/>
        <v>0</v>
      </c>
      <c r="W219" s="689"/>
    </row>
    <row r="220" spans="1:23" s="236" customFormat="1" ht="24.95" hidden="1" customHeight="1" outlineLevel="1">
      <c r="A220" s="239"/>
      <c r="B220" s="239" t="s">
        <v>400</v>
      </c>
      <c r="C220" s="240">
        <v>8</v>
      </c>
      <c r="D220" s="690"/>
      <c r="E220" s="240"/>
      <c r="F220" s="836"/>
      <c r="G220" s="239">
        <v>4</v>
      </c>
      <c r="H220" s="203">
        <f>(2950/200)+1</f>
        <v>15.75</v>
      </c>
      <c r="I220" s="234"/>
      <c r="J220" s="234"/>
      <c r="K220" s="234">
        <v>1280</v>
      </c>
      <c r="L220" s="234"/>
      <c r="M220" s="234"/>
      <c r="N220" s="235" t="e">
        <f>(((I220+J220+K220+L220+M220)-C220*#REF!*2)/1000)</f>
        <v>#REF!</v>
      </c>
      <c r="O220" s="235"/>
      <c r="P220" s="200" t="e">
        <f t="shared" si="43"/>
        <v>#REF!</v>
      </c>
      <c r="Q220" s="200">
        <f t="shared" si="44"/>
        <v>0</v>
      </c>
      <c r="R220" s="200">
        <f t="shared" si="45"/>
        <v>0</v>
      </c>
      <c r="S220" s="200">
        <f t="shared" si="46"/>
        <v>0</v>
      </c>
      <c r="T220" s="200">
        <f t="shared" si="47"/>
        <v>0</v>
      </c>
      <c r="U220" s="688">
        <f t="shared" si="48"/>
        <v>0</v>
      </c>
      <c r="V220" s="200">
        <f t="shared" si="49"/>
        <v>0</v>
      </c>
      <c r="W220" s="689"/>
    </row>
    <row r="221" spans="1:23" s="236" customFormat="1" ht="24.95" hidden="1" customHeight="1" outlineLevel="1">
      <c r="A221" s="205" t="s">
        <v>408</v>
      </c>
      <c r="B221" s="206" t="s">
        <v>396</v>
      </c>
      <c r="C221" s="240"/>
      <c r="D221" s="690"/>
      <c r="E221" s="240"/>
      <c r="F221" s="836"/>
      <c r="G221" s="239"/>
      <c r="H221" s="203"/>
      <c r="I221" s="234"/>
      <c r="J221" s="234"/>
      <c r="K221" s="234"/>
      <c r="L221" s="234"/>
      <c r="M221" s="234"/>
      <c r="N221" s="235" t="e">
        <f>(((I221+J221+K221+L221+M221)-C221*#REF!*2)/1000)</f>
        <v>#REF!</v>
      </c>
      <c r="O221" s="235"/>
      <c r="P221" s="200">
        <f t="shared" si="43"/>
        <v>0</v>
      </c>
      <c r="Q221" s="200">
        <f t="shared" si="44"/>
        <v>0</v>
      </c>
      <c r="R221" s="200">
        <f t="shared" si="45"/>
        <v>0</v>
      </c>
      <c r="S221" s="200">
        <f t="shared" si="46"/>
        <v>0</v>
      </c>
      <c r="T221" s="200">
        <f t="shared" si="47"/>
        <v>0</v>
      </c>
      <c r="U221" s="688">
        <f t="shared" si="48"/>
        <v>0</v>
      </c>
      <c r="V221" s="200">
        <f t="shared" si="49"/>
        <v>0</v>
      </c>
      <c r="W221" s="689"/>
    </row>
    <row r="222" spans="1:23" s="236" customFormat="1" ht="24.95" hidden="1" customHeight="1" outlineLevel="1">
      <c r="A222" s="239">
        <v>1</v>
      </c>
      <c r="B222" s="239" t="s">
        <v>392</v>
      </c>
      <c r="C222" s="240">
        <v>10</v>
      </c>
      <c r="D222" s="690"/>
      <c r="E222" s="240"/>
      <c r="F222" s="836"/>
      <c r="G222" s="239">
        <v>6</v>
      </c>
      <c r="H222" s="203">
        <v>2</v>
      </c>
      <c r="I222" s="241">
        <v>100</v>
      </c>
      <c r="J222" s="234"/>
      <c r="K222" s="241">
        <v>1025</v>
      </c>
      <c r="L222" s="234"/>
      <c r="M222" s="241">
        <v>100</v>
      </c>
      <c r="N222" s="235" t="e">
        <f>(((I222+J222+K222+L222+M222)-C222*#REF!*2)/1000)</f>
        <v>#REF!</v>
      </c>
      <c r="O222" s="235"/>
      <c r="P222" s="200">
        <f t="shared" si="43"/>
        <v>0</v>
      </c>
      <c r="Q222" s="200" t="e">
        <f t="shared" si="44"/>
        <v>#REF!</v>
      </c>
      <c r="R222" s="200">
        <f t="shared" si="45"/>
        <v>0</v>
      </c>
      <c r="S222" s="200">
        <f t="shared" si="46"/>
        <v>0</v>
      </c>
      <c r="T222" s="200">
        <f t="shared" si="47"/>
        <v>0</v>
      </c>
      <c r="U222" s="688">
        <f t="shared" si="48"/>
        <v>0</v>
      </c>
      <c r="V222" s="200">
        <f t="shared" si="49"/>
        <v>0</v>
      </c>
      <c r="W222" s="689"/>
    </row>
    <row r="223" spans="1:23" s="236" customFormat="1" ht="24.95" hidden="1" customHeight="1" outlineLevel="1">
      <c r="A223" s="239"/>
      <c r="B223" s="239" t="s">
        <v>393</v>
      </c>
      <c r="C223" s="240">
        <v>10</v>
      </c>
      <c r="D223" s="690"/>
      <c r="E223" s="240"/>
      <c r="F223" s="836"/>
      <c r="G223" s="239">
        <v>6</v>
      </c>
      <c r="H223" s="203">
        <v>2</v>
      </c>
      <c r="I223" s="241">
        <v>100</v>
      </c>
      <c r="J223" s="234"/>
      <c r="K223" s="241">
        <v>1025</v>
      </c>
      <c r="L223" s="234"/>
      <c r="M223" s="241">
        <v>100</v>
      </c>
      <c r="N223" s="235" t="e">
        <f>(((I223+J223+K223+L223+M223)-C223*#REF!*2)/1000)</f>
        <v>#REF!</v>
      </c>
      <c r="O223" s="235"/>
      <c r="P223" s="200">
        <f t="shared" si="43"/>
        <v>0</v>
      </c>
      <c r="Q223" s="200" t="e">
        <f t="shared" si="44"/>
        <v>#REF!</v>
      </c>
      <c r="R223" s="200">
        <f t="shared" si="45"/>
        <v>0</v>
      </c>
      <c r="S223" s="200">
        <f t="shared" si="46"/>
        <v>0</v>
      </c>
      <c r="T223" s="200">
        <f t="shared" si="47"/>
        <v>0</v>
      </c>
      <c r="U223" s="688">
        <f t="shared" si="48"/>
        <v>0</v>
      </c>
      <c r="V223" s="200">
        <f t="shared" si="49"/>
        <v>0</v>
      </c>
      <c r="W223" s="689"/>
    </row>
    <row r="224" spans="1:23" s="236" customFormat="1" ht="24.95" hidden="1" customHeight="1" outlineLevel="1">
      <c r="A224" s="239"/>
      <c r="B224" s="239" t="s">
        <v>394</v>
      </c>
      <c r="C224" s="240">
        <v>8</v>
      </c>
      <c r="D224" s="690"/>
      <c r="E224" s="240"/>
      <c r="F224" s="836"/>
      <c r="G224" s="239">
        <v>6</v>
      </c>
      <c r="H224" s="203">
        <f>(K222/200)+1</f>
        <v>6.125</v>
      </c>
      <c r="I224" s="234"/>
      <c r="J224" s="234"/>
      <c r="K224" s="234">
        <v>820</v>
      </c>
      <c r="L224" s="234"/>
      <c r="M224" s="234"/>
      <c r="N224" s="235" t="e">
        <f>(((I224+J224+K224+L224+M224)-C224*#REF!*2)/1000)</f>
        <v>#REF!</v>
      </c>
      <c r="O224" s="235"/>
      <c r="P224" s="200" t="e">
        <f t="shared" si="43"/>
        <v>#REF!</v>
      </c>
      <c r="Q224" s="200">
        <f t="shared" si="44"/>
        <v>0</v>
      </c>
      <c r="R224" s="200">
        <f t="shared" si="45"/>
        <v>0</v>
      </c>
      <c r="S224" s="200">
        <f t="shared" si="46"/>
        <v>0</v>
      </c>
      <c r="T224" s="200">
        <f t="shared" si="47"/>
        <v>0</v>
      </c>
      <c r="U224" s="688">
        <f t="shared" si="48"/>
        <v>0</v>
      </c>
      <c r="V224" s="200">
        <f t="shared" si="49"/>
        <v>0</v>
      </c>
      <c r="W224" s="689"/>
    </row>
    <row r="225" spans="1:23" s="236" customFormat="1" ht="24.95" hidden="1" customHeight="1" outlineLevel="1">
      <c r="A225" s="239">
        <v>2</v>
      </c>
      <c r="B225" s="239" t="s">
        <v>392</v>
      </c>
      <c r="C225" s="240">
        <v>10</v>
      </c>
      <c r="D225" s="690"/>
      <c r="E225" s="240"/>
      <c r="F225" s="836"/>
      <c r="G225" s="239">
        <v>4</v>
      </c>
      <c r="H225" s="203">
        <v>2</v>
      </c>
      <c r="I225" s="241">
        <v>100</v>
      </c>
      <c r="J225" s="234"/>
      <c r="K225" s="234">
        <v>2045</v>
      </c>
      <c r="L225" s="234"/>
      <c r="M225" s="241">
        <v>100</v>
      </c>
      <c r="N225" s="235" t="e">
        <f>(((I225+J225+K225+L225+M225)-C225*#REF!*2)/1000)</f>
        <v>#REF!</v>
      </c>
      <c r="O225" s="235"/>
      <c r="P225" s="200">
        <f t="shared" si="43"/>
        <v>0</v>
      </c>
      <c r="Q225" s="200" t="e">
        <f t="shared" si="44"/>
        <v>#REF!</v>
      </c>
      <c r="R225" s="200">
        <f t="shared" si="45"/>
        <v>0</v>
      </c>
      <c r="S225" s="200">
        <f t="shared" si="46"/>
        <v>0</v>
      </c>
      <c r="T225" s="200">
        <f t="shared" si="47"/>
        <v>0</v>
      </c>
      <c r="U225" s="688">
        <f t="shared" si="48"/>
        <v>0</v>
      </c>
      <c r="V225" s="200">
        <f t="shared" si="49"/>
        <v>0</v>
      </c>
      <c r="W225" s="689"/>
    </row>
    <row r="226" spans="1:23" s="236" customFormat="1" ht="24.95" hidden="1" customHeight="1" outlineLevel="1">
      <c r="A226" s="239"/>
      <c r="B226" s="239" t="s">
        <v>393</v>
      </c>
      <c r="C226" s="240">
        <v>10</v>
      </c>
      <c r="D226" s="690"/>
      <c r="E226" s="240"/>
      <c r="F226" s="836"/>
      <c r="G226" s="239">
        <v>4</v>
      </c>
      <c r="H226" s="203">
        <v>2</v>
      </c>
      <c r="I226" s="241">
        <v>100</v>
      </c>
      <c r="J226" s="234"/>
      <c r="K226" s="234">
        <v>2045</v>
      </c>
      <c r="L226" s="234"/>
      <c r="M226" s="241">
        <v>100</v>
      </c>
      <c r="N226" s="235" t="e">
        <f>(((I226+J226+K226+L226+M226)-C226*#REF!*2)/1000)</f>
        <v>#REF!</v>
      </c>
      <c r="O226" s="235"/>
      <c r="P226" s="200">
        <f t="shared" si="43"/>
        <v>0</v>
      </c>
      <c r="Q226" s="200" t="e">
        <f t="shared" si="44"/>
        <v>#REF!</v>
      </c>
      <c r="R226" s="200">
        <f t="shared" si="45"/>
        <v>0</v>
      </c>
      <c r="S226" s="200">
        <f t="shared" si="46"/>
        <v>0</v>
      </c>
      <c r="T226" s="200">
        <f t="shared" si="47"/>
        <v>0</v>
      </c>
      <c r="U226" s="688">
        <f t="shared" si="48"/>
        <v>0</v>
      </c>
      <c r="V226" s="200">
        <f t="shared" si="49"/>
        <v>0</v>
      </c>
      <c r="W226" s="689"/>
    </row>
    <row r="227" spans="1:23" s="236" customFormat="1" ht="24.95" hidden="1" customHeight="1" outlineLevel="1">
      <c r="A227" s="239"/>
      <c r="B227" s="239" t="s">
        <v>394</v>
      </c>
      <c r="C227" s="240">
        <v>8</v>
      </c>
      <c r="D227" s="690"/>
      <c r="E227" s="240"/>
      <c r="F227" s="836"/>
      <c r="G227" s="239">
        <v>4</v>
      </c>
      <c r="H227" s="203">
        <f>(K225/200)+1</f>
        <v>11.225</v>
      </c>
      <c r="I227" s="234"/>
      <c r="J227" s="234"/>
      <c r="K227" s="234">
        <v>820</v>
      </c>
      <c r="L227" s="234"/>
      <c r="M227" s="234"/>
      <c r="N227" s="235" t="e">
        <f>(((I227+J227+K227+L227+M227)-C227*#REF!*2)/1000)</f>
        <v>#REF!</v>
      </c>
      <c r="O227" s="235"/>
      <c r="P227" s="200" t="e">
        <f t="shared" si="43"/>
        <v>#REF!</v>
      </c>
      <c r="Q227" s="200">
        <f t="shared" si="44"/>
        <v>0</v>
      </c>
      <c r="R227" s="200">
        <f t="shared" si="45"/>
        <v>0</v>
      </c>
      <c r="S227" s="200">
        <f t="shared" si="46"/>
        <v>0</v>
      </c>
      <c r="T227" s="200">
        <f t="shared" si="47"/>
        <v>0</v>
      </c>
      <c r="U227" s="688">
        <f t="shared" si="48"/>
        <v>0</v>
      </c>
      <c r="V227" s="200">
        <f t="shared" si="49"/>
        <v>0</v>
      </c>
      <c r="W227" s="689"/>
    </row>
    <row r="228" spans="1:23" s="236" customFormat="1" ht="24.95" hidden="1" customHeight="1" outlineLevel="1">
      <c r="A228" s="239">
        <v>3</v>
      </c>
      <c r="B228" s="239" t="s">
        <v>392</v>
      </c>
      <c r="C228" s="240">
        <v>10</v>
      </c>
      <c r="D228" s="690"/>
      <c r="E228" s="240"/>
      <c r="F228" s="836"/>
      <c r="G228" s="239">
        <v>2</v>
      </c>
      <c r="H228" s="203">
        <v>2</v>
      </c>
      <c r="I228" s="241">
        <v>100</v>
      </c>
      <c r="J228" s="234"/>
      <c r="K228" s="234">
        <v>2925</v>
      </c>
      <c r="L228" s="234"/>
      <c r="M228" s="241">
        <v>100</v>
      </c>
      <c r="N228" s="235" t="e">
        <f>(((I228+J228+K228+L228+M228)-C228*#REF!*2)/1000)</f>
        <v>#REF!</v>
      </c>
      <c r="O228" s="235"/>
      <c r="P228" s="200">
        <f t="shared" si="43"/>
        <v>0</v>
      </c>
      <c r="Q228" s="200" t="e">
        <f t="shared" si="44"/>
        <v>#REF!</v>
      </c>
      <c r="R228" s="200">
        <f t="shared" si="45"/>
        <v>0</v>
      </c>
      <c r="S228" s="200">
        <f t="shared" si="46"/>
        <v>0</v>
      </c>
      <c r="T228" s="200">
        <f t="shared" si="47"/>
        <v>0</v>
      </c>
      <c r="U228" s="688">
        <f t="shared" si="48"/>
        <v>0</v>
      </c>
      <c r="V228" s="200">
        <f t="shared" si="49"/>
        <v>0</v>
      </c>
      <c r="W228" s="689"/>
    </row>
    <row r="229" spans="1:23" s="236" customFormat="1" ht="24.95" hidden="1" customHeight="1" outlineLevel="1">
      <c r="A229" s="239"/>
      <c r="B229" s="239" t="s">
        <v>393</v>
      </c>
      <c r="C229" s="240">
        <v>10</v>
      </c>
      <c r="D229" s="690"/>
      <c r="E229" s="240"/>
      <c r="F229" s="836"/>
      <c r="G229" s="239">
        <v>2</v>
      </c>
      <c r="H229" s="203">
        <v>2</v>
      </c>
      <c r="I229" s="241">
        <v>100</v>
      </c>
      <c r="J229" s="234"/>
      <c r="K229" s="234">
        <v>2925</v>
      </c>
      <c r="L229" s="234"/>
      <c r="M229" s="241">
        <v>100</v>
      </c>
      <c r="N229" s="235" t="e">
        <f>(((I229+J229+K229+L229+M229)-C229*#REF!*2)/1000)</f>
        <v>#REF!</v>
      </c>
      <c r="O229" s="235"/>
      <c r="P229" s="200">
        <f t="shared" si="43"/>
        <v>0</v>
      </c>
      <c r="Q229" s="200" t="e">
        <f t="shared" si="44"/>
        <v>#REF!</v>
      </c>
      <c r="R229" s="200">
        <f t="shared" si="45"/>
        <v>0</v>
      </c>
      <c r="S229" s="200">
        <f t="shared" si="46"/>
        <v>0</v>
      </c>
      <c r="T229" s="200">
        <f t="shared" si="47"/>
        <v>0</v>
      </c>
      <c r="U229" s="688">
        <f t="shared" si="48"/>
        <v>0</v>
      </c>
      <c r="V229" s="200">
        <f t="shared" si="49"/>
        <v>0</v>
      </c>
      <c r="W229" s="689"/>
    </row>
    <row r="230" spans="1:23" s="236" customFormat="1" ht="24.95" hidden="1" customHeight="1" outlineLevel="1">
      <c r="A230" s="239"/>
      <c r="B230" s="239" t="s">
        <v>394</v>
      </c>
      <c r="C230" s="240">
        <v>8</v>
      </c>
      <c r="D230" s="690"/>
      <c r="E230" s="240"/>
      <c r="F230" s="836"/>
      <c r="G230" s="239">
        <v>2</v>
      </c>
      <c r="H230" s="203">
        <f>(K228/200)+1</f>
        <v>15.625</v>
      </c>
      <c r="I230" s="234"/>
      <c r="J230" s="234"/>
      <c r="K230" s="234">
        <v>820</v>
      </c>
      <c r="L230" s="234"/>
      <c r="M230" s="234"/>
      <c r="N230" s="235" t="e">
        <f>(((I230+J230+K230+L230+M230)-C230*#REF!*2)/1000)</f>
        <v>#REF!</v>
      </c>
      <c r="O230" s="235"/>
      <c r="P230" s="200" t="e">
        <f t="shared" si="43"/>
        <v>#REF!</v>
      </c>
      <c r="Q230" s="200">
        <f t="shared" si="44"/>
        <v>0</v>
      </c>
      <c r="R230" s="200">
        <f t="shared" si="45"/>
        <v>0</v>
      </c>
      <c r="S230" s="200">
        <f t="shared" si="46"/>
        <v>0</v>
      </c>
      <c r="T230" s="200">
        <f t="shared" si="47"/>
        <v>0</v>
      </c>
      <c r="U230" s="688">
        <f t="shared" si="48"/>
        <v>0</v>
      </c>
      <c r="V230" s="200">
        <f t="shared" si="49"/>
        <v>0</v>
      </c>
      <c r="W230" s="689"/>
    </row>
    <row r="231" spans="1:23" s="236" customFormat="1" ht="24.95" hidden="1" customHeight="1" outlineLevel="1">
      <c r="A231" s="205" t="s">
        <v>409</v>
      </c>
      <c r="B231" s="205" t="s">
        <v>403</v>
      </c>
      <c r="C231" s="240"/>
      <c r="D231" s="690"/>
      <c r="E231" s="240"/>
      <c r="F231" s="836"/>
      <c r="G231" s="239"/>
      <c r="H231" s="203"/>
      <c r="I231" s="234"/>
      <c r="J231" s="234"/>
      <c r="K231" s="234"/>
      <c r="L231" s="234"/>
      <c r="M231" s="234"/>
      <c r="N231" s="235" t="e">
        <f>(((I231+J231+K231+L231+M231)-C231*#REF!*2)/1000)</f>
        <v>#REF!</v>
      </c>
      <c r="O231" s="235"/>
      <c r="P231" s="200">
        <f t="shared" si="43"/>
        <v>0</v>
      </c>
      <c r="Q231" s="200">
        <f t="shared" si="44"/>
        <v>0</v>
      </c>
      <c r="R231" s="200">
        <f t="shared" si="45"/>
        <v>0</v>
      </c>
      <c r="S231" s="200">
        <f t="shared" si="46"/>
        <v>0</v>
      </c>
      <c r="T231" s="200">
        <f t="shared" si="47"/>
        <v>0</v>
      </c>
      <c r="U231" s="688">
        <f t="shared" si="48"/>
        <v>0</v>
      </c>
      <c r="V231" s="200">
        <f t="shared" si="49"/>
        <v>0</v>
      </c>
      <c r="W231" s="689"/>
    </row>
    <row r="232" spans="1:23" s="236" customFormat="1" ht="24.95" hidden="1" customHeight="1" outlineLevel="1">
      <c r="A232" s="205" t="s">
        <v>410</v>
      </c>
      <c r="B232" s="206" t="s">
        <v>391</v>
      </c>
      <c r="C232" s="240"/>
      <c r="D232" s="690"/>
      <c r="E232" s="240"/>
      <c r="F232" s="836"/>
      <c r="G232" s="239"/>
      <c r="H232" s="203"/>
      <c r="I232" s="234"/>
      <c r="J232" s="234"/>
      <c r="K232" s="234"/>
      <c r="L232" s="234"/>
      <c r="M232" s="234"/>
      <c r="N232" s="235" t="e">
        <f>(((I232+J232+K232+L232+M232)-C232*#REF!*2)/1000)</f>
        <v>#REF!</v>
      </c>
      <c r="O232" s="235"/>
      <c r="P232" s="200">
        <f t="shared" si="43"/>
        <v>0</v>
      </c>
      <c r="Q232" s="200">
        <f t="shared" si="44"/>
        <v>0</v>
      </c>
      <c r="R232" s="200">
        <f t="shared" si="45"/>
        <v>0</v>
      </c>
      <c r="S232" s="200">
        <f t="shared" si="46"/>
        <v>0</v>
      </c>
      <c r="T232" s="200">
        <f t="shared" si="47"/>
        <v>0</v>
      </c>
      <c r="U232" s="688">
        <f t="shared" si="48"/>
        <v>0</v>
      </c>
      <c r="V232" s="200">
        <f t="shared" si="49"/>
        <v>0</v>
      </c>
      <c r="W232" s="689"/>
    </row>
    <row r="233" spans="1:23" s="236" customFormat="1" ht="24.95" hidden="1" customHeight="1" outlineLevel="1">
      <c r="A233" s="239">
        <v>1</v>
      </c>
      <c r="B233" s="239" t="s">
        <v>392</v>
      </c>
      <c r="C233" s="240">
        <v>10</v>
      </c>
      <c r="D233" s="690"/>
      <c r="E233" s="240"/>
      <c r="F233" s="836"/>
      <c r="G233" s="239">
        <v>1</v>
      </c>
      <c r="H233" s="203">
        <v>2</v>
      </c>
      <c r="I233" s="241">
        <v>100</v>
      </c>
      <c r="J233" s="234"/>
      <c r="K233" s="241">
        <v>7190</v>
      </c>
      <c r="L233" s="234"/>
      <c r="M233" s="241">
        <v>100</v>
      </c>
      <c r="N233" s="235" t="e">
        <f>(((I233+J233+K233+L233+M233)-C233*#REF!*2)/1000)</f>
        <v>#REF!</v>
      </c>
      <c r="O233" s="235"/>
      <c r="P233" s="200">
        <f t="shared" si="43"/>
        <v>0</v>
      </c>
      <c r="Q233" s="200" t="e">
        <f t="shared" si="44"/>
        <v>#REF!</v>
      </c>
      <c r="R233" s="200">
        <f t="shared" si="45"/>
        <v>0</v>
      </c>
      <c r="S233" s="200">
        <f t="shared" si="46"/>
        <v>0</v>
      </c>
      <c r="T233" s="200">
        <f t="shared" si="47"/>
        <v>0</v>
      </c>
      <c r="U233" s="688">
        <f t="shared" si="48"/>
        <v>0</v>
      </c>
      <c r="V233" s="200">
        <f t="shared" si="49"/>
        <v>0</v>
      </c>
      <c r="W233" s="689"/>
    </row>
    <row r="234" spans="1:23" s="236" customFormat="1" ht="24.95" hidden="1" customHeight="1" outlineLevel="1">
      <c r="A234" s="239"/>
      <c r="B234" s="239" t="s">
        <v>393</v>
      </c>
      <c r="C234" s="240">
        <v>10</v>
      </c>
      <c r="D234" s="690"/>
      <c r="E234" s="240"/>
      <c r="F234" s="836"/>
      <c r="G234" s="239">
        <v>1</v>
      </c>
      <c r="H234" s="203">
        <v>2</v>
      </c>
      <c r="I234" s="241">
        <v>100</v>
      </c>
      <c r="J234" s="234"/>
      <c r="K234" s="241">
        <v>7190</v>
      </c>
      <c r="L234" s="234"/>
      <c r="M234" s="241">
        <v>100</v>
      </c>
      <c r="N234" s="235" t="e">
        <f>(((I234+J234+K234+L234+M234)-C234*#REF!*2)/1000)</f>
        <v>#REF!</v>
      </c>
      <c r="O234" s="235"/>
      <c r="P234" s="200">
        <f t="shared" si="43"/>
        <v>0</v>
      </c>
      <c r="Q234" s="200" t="e">
        <f t="shared" si="44"/>
        <v>#REF!</v>
      </c>
      <c r="R234" s="200">
        <f t="shared" si="45"/>
        <v>0</v>
      </c>
      <c r="S234" s="200">
        <f t="shared" si="46"/>
        <v>0</v>
      </c>
      <c r="T234" s="200">
        <f t="shared" si="47"/>
        <v>0</v>
      </c>
      <c r="U234" s="688">
        <f t="shared" si="48"/>
        <v>0</v>
      </c>
      <c r="V234" s="200">
        <f t="shared" si="49"/>
        <v>0</v>
      </c>
      <c r="W234" s="689"/>
    </row>
    <row r="235" spans="1:23" s="236" customFormat="1" ht="24.95" hidden="1" customHeight="1" outlineLevel="1">
      <c r="A235" s="239"/>
      <c r="B235" s="239" t="s">
        <v>394</v>
      </c>
      <c r="C235" s="240">
        <v>8</v>
      </c>
      <c r="D235" s="690"/>
      <c r="E235" s="240"/>
      <c r="F235" s="836"/>
      <c r="G235" s="239">
        <v>1</v>
      </c>
      <c r="H235" s="203">
        <f>(K233/200)+1</f>
        <v>36.950000000000003</v>
      </c>
      <c r="I235" s="234"/>
      <c r="J235" s="234"/>
      <c r="K235" s="234">
        <v>820</v>
      </c>
      <c r="L235" s="234"/>
      <c r="M235" s="234"/>
      <c r="N235" s="235" t="e">
        <f>(((I235+J235+K235+L235+M235)-C235*#REF!*2)/1000)</f>
        <v>#REF!</v>
      </c>
      <c r="O235" s="235"/>
      <c r="P235" s="200" t="e">
        <f t="shared" si="43"/>
        <v>#REF!</v>
      </c>
      <c r="Q235" s="200">
        <f t="shared" si="44"/>
        <v>0</v>
      </c>
      <c r="R235" s="200">
        <f t="shared" si="45"/>
        <v>0</v>
      </c>
      <c r="S235" s="200">
        <f t="shared" si="46"/>
        <v>0</v>
      </c>
      <c r="T235" s="200">
        <f t="shared" si="47"/>
        <v>0</v>
      </c>
      <c r="U235" s="688">
        <f t="shared" si="48"/>
        <v>0</v>
      </c>
      <c r="V235" s="200">
        <f t="shared" si="49"/>
        <v>0</v>
      </c>
      <c r="W235" s="689"/>
    </row>
    <row r="236" spans="1:23" s="236" customFormat="1" ht="24.95" hidden="1" customHeight="1" outlineLevel="1">
      <c r="A236" s="239">
        <v>2</v>
      </c>
      <c r="B236" s="239" t="s">
        <v>392</v>
      </c>
      <c r="C236" s="240">
        <v>10</v>
      </c>
      <c r="D236" s="690"/>
      <c r="E236" s="240"/>
      <c r="F236" s="836"/>
      <c r="G236" s="239">
        <v>1</v>
      </c>
      <c r="H236" s="203">
        <v>2</v>
      </c>
      <c r="I236" s="241">
        <v>100</v>
      </c>
      <c r="J236" s="234"/>
      <c r="K236" s="234">
        <v>5180</v>
      </c>
      <c r="L236" s="234"/>
      <c r="M236" s="241">
        <v>100</v>
      </c>
      <c r="N236" s="235" t="e">
        <f>(((I236+J236+K236+L236+M236)-C236*#REF!*2)/1000)</f>
        <v>#REF!</v>
      </c>
      <c r="O236" s="235"/>
      <c r="P236" s="200">
        <f t="shared" si="43"/>
        <v>0</v>
      </c>
      <c r="Q236" s="200" t="e">
        <f t="shared" si="44"/>
        <v>#REF!</v>
      </c>
      <c r="R236" s="200">
        <f t="shared" si="45"/>
        <v>0</v>
      </c>
      <c r="S236" s="200">
        <f t="shared" si="46"/>
        <v>0</v>
      </c>
      <c r="T236" s="200">
        <f t="shared" si="47"/>
        <v>0</v>
      </c>
      <c r="U236" s="688">
        <f t="shared" si="48"/>
        <v>0</v>
      </c>
      <c r="V236" s="200">
        <f t="shared" si="49"/>
        <v>0</v>
      </c>
      <c r="W236" s="689"/>
    </row>
    <row r="237" spans="1:23" s="236" customFormat="1" ht="24.95" hidden="1" customHeight="1" outlineLevel="1">
      <c r="A237" s="239"/>
      <c r="B237" s="239" t="s">
        <v>393</v>
      </c>
      <c r="C237" s="240">
        <v>10</v>
      </c>
      <c r="D237" s="690"/>
      <c r="E237" s="240"/>
      <c r="F237" s="836"/>
      <c r="G237" s="239">
        <v>1</v>
      </c>
      <c r="H237" s="203">
        <v>2</v>
      </c>
      <c r="I237" s="241">
        <v>100</v>
      </c>
      <c r="J237" s="234"/>
      <c r="K237" s="234">
        <v>5180</v>
      </c>
      <c r="L237" s="234"/>
      <c r="M237" s="241">
        <v>100</v>
      </c>
      <c r="N237" s="235" t="e">
        <f>(((I237+J237+K237+L237+M237)-C237*#REF!*2)/1000)</f>
        <v>#REF!</v>
      </c>
      <c r="O237" s="235"/>
      <c r="P237" s="200">
        <f t="shared" si="43"/>
        <v>0</v>
      </c>
      <c r="Q237" s="200" t="e">
        <f t="shared" si="44"/>
        <v>#REF!</v>
      </c>
      <c r="R237" s="200">
        <f t="shared" si="45"/>
        <v>0</v>
      </c>
      <c r="S237" s="200">
        <f t="shared" si="46"/>
        <v>0</v>
      </c>
      <c r="T237" s="200">
        <f t="shared" si="47"/>
        <v>0</v>
      </c>
      <c r="U237" s="688">
        <f t="shared" si="48"/>
        <v>0</v>
      </c>
      <c r="V237" s="200">
        <f t="shared" si="49"/>
        <v>0</v>
      </c>
      <c r="W237" s="689"/>
    </row>
    <row r="238" spans="1:23" s="236" customFormat="1" ht="24.95" hidden="1" customHeight="1" outlineLevel="1">
      <c r="A238" s="239"/>
      <c r="B238" s="239" t="s">
        <v>394</v>
      </c>
      <c r="C238" s="240">
        <v>8</v>
      </c>
      <c r="D238" s="690"/>
      <c r="E238" s="240"/>
      <c r="F238" s="836"/>
      <c r="G238" s="239">
        <v>1</v>
      </c>
      <c r="H238" s="203">
        <f>(K236/200)+1</f>
        <v>26.9</v>
      </c>
      <c r="I238" s="234"/>
      <c r="J238" s="234"/>
      <c r="K238" s="234">
        <v>820</v>
      </c>
      <c r="L238" s="234"/>
      <c r="M238" s="234"/>
      <c r="N238" s="235" t="e">
        <f>(((I238+J238+K238+L238+M238)-C238*#REF!*2)/1000)</f>
        <v>#REF!</v>
      </c>
      <c r="O238" s="235"/>
      <c r="P238" s="200" t="e">
        <f t="shared" si="43"/>
        <v>#REF!</v>
      </c>
      <c r="Q238" s="200">
        <f t="shared" si="44"/>
        <v>0</v>
      </c>
      <c r="R238" s="200">
        <f t="shared" si="45"/>
        <v>0</v>
      </c>
      <c r="S238" s="200">
        <f t="shared" si="46"/>
        <v>0</v>
      </c>
      <c r="T238" s="200">
        <f t="shared" si="47"/>
        <v>0</v>
      </c>
      <c r="U238" s="688">
        <f t="shared" si="48"/>
        <v>0</v>
      </c>
      <c r="V238" s="200">
        <f t="shared" si="49"/>
        <v>0</v>
      </c>
      <c r="W238" s="689"/>
    </row>
    <row r="239" spans="1:23" s="247" customFormat="1" ht="24.95" hidden="1" customHeight="1" outlineLevel="1">
      <c r="A239" s="242">
        <v>3</v>
      </c>
      <c r="B239" s="242" t="s">
        <v>392</v>
      </c>
      <c r="C239" s="243">
        <v>10</v>
      </c>
      <c r="D239" s="696"/>
      <c r="E239" s="243"/>
      <c r="F239" s="696"/>
      <c r="G239" s="242">
        <f t="shared" ref="G239:G241" si="51">1*0</f>
        <v>0</v>
      </c>
      <c r="H239" s="244">
        <v>2</v>
      </c>
      <c r="I239" s="245">
        <v>100</v>
      </c>
      <c r="J239" s="246"/>
      <c r="K239" s="246">
        <v>1445</v>
      </c>
      <c r="L239" s="246"/>
      <c r="M239" s="245">
        <v>100</v>
      </c>
      <c r="N239" s="235" t="e">
        <f>(((I239+J239+K239+L239+M239)-C239*#REF!*2)/1000)</f>
        <v>#REF!</v>
      </c>
      <c r="O239" s="235"/>
      <c r="P239" s="200">
        <f t="shared" si="43"/>
        <v>0</v>
      </c>
      <c r="Q239" s="200" t="e">
        <f t="shared" si="44"/>
        <v>#REF!</v>
      </c>
      <c r="R239" s="200">
        <f t="shared" si="45"/>
        <v>0</v>
      </c>
      <c r="S239" s="200">
        <f t="shared" si="46"/>
        <v>0</v>
      </c>
      <c r="T239" s="200">
        <f t="shared" si="47"/>
        <v>0</v>
      </c>
      <c r="U239" s="688">
        <f t="shared" si="48"/>
        <v>0</v>
      </c>
      <c r="V239" s="200">
        <f t="shared" si="49"/>
        <v>0</v>
      </c>
      <c r="W239" s="697"/>
    </row>
    <row r="240" spans="1:23" s="247" customFormat="1" ht="24.95" hidden="1" customHeight="1" outlineLevel="1">
      <c r="A240" s="242"/>
      <c r="B240" s="242" t="s">
        <v>393</v>
      </c>
      <c r="C240" s="243">
        <v>10</v>
      </c>
      <c r="D240" s="696"/>
      <c r="E240" s="243"/>
      <c r="F240" s="696"/>
      <c r="G240" s="242">
        <f t="shared" si="51"/>
        <v>0</v>
      </c>
      <c r="H240" s="244">
        <v>2</v>
      </c>
      <c r="I240" s="245">
        <v>100</v>
      </c>
      <c r="J240" s="246"/>
      <c r="K240" s="246">
        <v>1445</v>
      </c>
      <c r="L240" s="246"/>
      <c r="M240" s="245">
        <v>100</v>
      </c>
      <c r="N240" s="235" t="e">
        <f>(((I240+J240+K240+L240+M240)-C240*#REF!*2)/1000)</f>
        <v>#REF!</v>
      </c>
      <c r="O240" s="235"/>
      <c r="P240" s="200">
        <f t="shared" si="43"/>
        <v>0</v>
      </c>
      <c r="Q240" s="200" t="e">
        <f t="shared" si="44"/>
        <v>#REF!</v>
      </c>
      <c r="R240" s="200">
        <f t="shared" si="45"/>
        <v>0</v>
      </c>
      <c r="S240" s="200">
        <f t="shared" si="46"/>
        <v>0</v>
      </c>
      <c r="T240" s="200">
        <f t="shared" si="47"/>
        <v>0</v>
      </c>
      <c r="U240" s="688">
        <f t="shared" si="48"/>
        <v>0</v>
      </c>
      <c r="V240" s="200">
        <f t="shared" si="49"/>
        <v>0</v>
      </c>
      <c r="W240" s="697"/>
    </row>
    <row r="241" spans="1:23" s="247" customFormat="1" ht="24.95" hidden="1" customHeight="1" outlineLevel="1">
      <c r="A241" s="242"/>
      <c r="B241" s="242" t="s">
        <v>394</v>
      </c>
      <c r="C241" s="243">
        <v>8</v>
      </c>
      <c r="D241" s="696"/>
      <c r="E241" s="243"/>
      <c r="F241" s="696"/>
      <c r="G241" s="242">
        <f t="shared" si="51"/>
        <v>0</v>
      </c>
      <c r="H241" s="244">
        <f>(K239/200)+1</f>
        <v>8.2249999999999996</v>
      </c>
      <c r="I241" s="246"/>
      <c r="J241" s="246"/>
      <c r="K241" s="246">
        <v>820</v>
      </c>
      <c r="L241" s="246"/>
      <c r="M241" s="246"/>
      <c r="N241" s="235" t="e">
        <f>(((I241+J241+K241+L241+M241)-C241*#REF!*2)/1000)</f>
        <v>#REF!</v>
      </c>
      <c r="O241" s="235"/>
      <c r="P241" s="200" t="e">
        <f t="shared" si="43"/>
        <v>#REF!</v>
      </c>
      <c r="Q241" s="200">
        <f t="shared" si="44"/>
        <v>0</v>
      </c>
      <c r="R241" s="200">
        <f t="shared" si="45"/>
        <v>0</v>
      </c>
      <c r="S241" s="200">
        <f t="shared" si="46"/>
        <v>0</v>
      </c>
      <c r="T241" s="200">
        <f t="shared" si="47"/>
        <v>0</v>
      </c>
      <c r="U241" s="688">
        <f t="shared" si="48"/>
        <v>0</v>
      </c>
      <c r="V241" s="200">
        <f t="shared" si="49"/>
        <v>0</v>
      </c>
      <c r="W241" s="697"/>
    </row>
    <row r="242" spans="1:23" s="236" customFormat="1" ht="24.95" hidden="1" customHeight="1" outlineLevel="1">
      <c r="A242" s="239">
        <v>4</v>
      </c>
      <c r="B242" s="239" t="s">
        <v>392</v>
      </c>
      <c r="C242" s="240">
        <v>10</v>
      </c>
      <c r="D242" s="690"/>
      <c r="E242" s="240"/>
      <c r="F242" s="836"/>
      <c r="G242" s="239">
        <v>1</v>
      </c>
      <c r="H242" s="203">
        <v>2</v>
      </c>
      <c r="I242" s="241">
        <v>100</v>
      </c>
      <c r="J242" s="234"/>
      <c r="K242" s="234">
        <v>1180</v>
      </c>
      <c r="L242" s="234"/>
      <c r="M242" s="241">
        <v>100</v>
      </c>
      <c r="N242" s="235" t="e">
        <f>(((I242+J242+K242+L242+M242)-C242*#REF!*2)/1000)</f>
        <v>#REF!</v>
      </c>
      <c r="O242" s="235"/>
      <c r="P242" s="200">
        <f t="shared" si="43"/>
        <v>0</v>
      </c>
      <c r="Q242" s="200" t="e">
        <f t="shared" si="44"/>
        <v>#REF!</v>
      </c>
      <c r="R242" s="200">
        <f t="shared" si="45"/>
        <v>0</v>
      </c>
      <c r="S242" s="200">
        <f t="shared" si="46"/>
        <v>0</v>
      </c>
      <c r="T242" s="200">
        <f t="shared" si="47"/>
        <v>0</v>
      </c>
      <c r="U242" s="688">
        <f t="shared" si="48"/>
        <v>0</v>
      </c>
      <c r="V242" s="200">
        <f t="shared" si="49"/>
        <v>0</v>
      </c>
      <c r="W242" s="689"/>
    </row>
    <row r="243" spans="1:23" s="236" customFormat="1" ht="24.95" hidden="1" customHeight="1" outlineLevel="1">
      <c r="A243" s="239"/>
      <c r="B243" s="239" t="s">
        <v>393</v>
      </c>
      <c r="C243" s="240">
        <v>10</v>
      </c>
      <c r="D243" s="690"/>
      <c r="E243" s="240"/>
      <c r="F243" s="836"/>
      <c r="G243" s="239">
        <v>1</v>
      </c>
      <c r="H243" s="203">
        <v>2</v>
      </c>
      <c r="I243" s="241">
        <v>100</v>
      </c>
      <c r="J243" s="234"/>
      <c r="K243" s="234">
        <v>1180</v>
      </c>
      <c r="L243" s="234"/>
      <c r="M243" s="241">
        <v>100</v>
      </c>
      <c r="N243" s="235" t="e">
        <f>(((I243+J243+K243+L243+M243)-C243*#REF!*2)/1000)</f>
        <v>#REF!</v>
      </c>
      <c r="O243" s="235"/>
      <c r="P243" s="200">
        <f t="shared" si="43"/>
        <v>0</v>
      </c>
      <c r="Q243" s="200" t="e">
        <f t="shared" si="44"/>
        <v>#REF!</v>
      </c>
      <c r="R243" s="200">
        <f t="shared" si="45"/>
        <v>0</v>
      </c>
      <c r="S243" s="200">
        <f t="shared" si="46"/>
        <v>0</v>
      </c>
      <c r="T243" s="200">
        <f t="shared" si="47"/>
        <v>0</v>
      </c>
      <c r="U243" s="688">
        <f t="shared" si="48"/>
        <v>0</v>
      </c>
      <c r="V243" s="200">
        <f t="shared" si="49"/>
        <v>0</v>
      </c>
      <c r="W243" s="689"/>
    </row>
    <row r="244" spans="1:23" s="236" customFormat="1" ht="24.95" hidden="1" customHeight="1" outlineLevel="1">
      <c r="A244" s="239"/>
      <c r="B244" s="239" t="s">
        <v>394</v>
      </c>
      <c r="C244" s="240">
        <v>8</v>
      </c>
      <c r="D244" s="690"/>
      <c r="E244" s="240"/>
      <c r="F244" s="836"/>
      <c r="G244" s="239">
        <v>1</v>
      </c>
      <c r="H244" s="203">
        <f>(K242/200)+1</f>
        <v>6.9</v>
      </c>
      <c r="I244" s="234"/>
      <c r="J244" s="234"/>
      <c r="K244" s="234">
        <v>820</v>
      </c>
      <c r="L244" s="234"/>
      <c r="M244" s="234"/>
      <c r="N244" s="235" t="e">
        <f>(((I244+J244+K244+L244+M244)-C244*#REF!*2)/1000)</f>
        <v>#REF!</v>
      </c>
      <c r="O244" s="235"/>
      <c r="P244" s="200" t="e">
        <f t="shared" si="43"/>
        <v>#REF!</v>
      </c>
      <c r="Q244" s="200">
        <f t="shared" si="44"/>
        <v>0</v>
      </c>
      <c r="R244" s="200">
        <f t="shared" si="45"/>
        <v>0</v>
      </c>
      <c r="S244" s="200">
        <f t="shared" si="46"/>
        <v>0</v>
      </c>
      <c r="T244" s="200">
        <f t="shared" si="47"/>
        <v>0</v>
      </c>
      <c r="U244" s="688">
        <f t="shared" si="48"/>
        <v>0</v>
      </c>
      <c r="V244" s="200">
        <f t="shared" si="49"/>
        <v>0</v>
      </c>
      <c r="W244" s="689"/>
    </row>
    <row r="245" spans="1:23" s="236" customFormat="1" ht="24.95" hidden="1" customHeight="1" outlineLevel="1">
      <c r="A245" s="239">
        <v>5</v>
      </c>
      <c r="B245" s="239" t="s">
        <v>392</v>
      </c>
      <c r="C245" s="240">
        <v>10</v>
      </c>
      <c r="D245" s="690"/>
      <c r="E245" s="240"/>
      <c r="F245" s="836"/>
      <c r="G245" s="239">
        <v>1</v>
      </c>
      <c r="H245" s="203">
        <v>2</v>
      </c>
      <c r="I245" s="241">
        <v>100</v>
      </c>
      <c r="J245" s="234"/>
      <c r="K245" s="234">
        <v>3180</v>
      </c>
      <c r="L245" s="234"/>
      <c r="M245" s="241">
        <v>100</v>
      </c>
      <c r="N245" s="235" t="e">
        <f>(((I245+J245+K245+L245+M245)-C245*#REF!*2)/1000)</f>
        <v>#REF!</v>
      </c>
      <c r="O245" s="235"/>
      <c r="P245" s="200">
        <f t="shared" si="43"/>
        <v>0</v>
      </c>
      <c r="Q245" s="200" t="e">
        <f t="shared" si="44"/>
        <v>#REF!</v>
      </c>
      <c r="R245" s="200">
        <f t="shared" si="45"/>
        <v>0</v>
      </c>
      <c r="S245" s="200">
        <f t="shared" si="46"/>
        <v>0</v>
      </c>
      <c r="T245" s="200">
        <f t="shared" si="47"/>
        <v>0</v>
      </c>
      <c r="U245" s="688">
        <f t="shared" si="48"/>
        <v>0</v>
      </c>
      <c r="V245" s="200">
        <f t="shared" si="49"/>
        <v>0</v>
      </c>
      <c r="W245" s="689"/>
    </row>
    <row r="246" spans="1:23" s="236" customFormat="1" ht="24.95" hidden="1" customHeight="1" outlineLevel="1">
      <c r="A246" s="239"/>
      <c r="B246" s="239" t="s">
        <v>393</v>
      </c>
      <c r="C246" s="240">
        <v>10</v>
      </c>
      <c r="D246" s="690"/>
      <c r="E246" s="240"/>
      <c r="F246" s="836"/>
      <c r="G246" s="239">
        <v>1</v>
      </c>
      <c r="H246" s="203">
        <v>2</v>
      </c>
      <c r="I246" s="241">
        <v>100</v>
      </c>
      <c r="J246" s="234"/>
      <c r="K246" s="234">
        <v>3180</v>
      </c>
      <c r="L246" s="234"/>
      <c r="M246" s="241">
        <v>100</v>
      </c>
      <c r="N246" s="235" t="e">
        <f>(((I246+J246+K246+L246+M246)-C246*#REF!*2)/1000)</f>
        <v>#REF!</v>
      </c>
      <c r="O246" s="235"/>
      <c r="P246" s="200">
        <f t="shared" si="43"/>
        <v>0</v>
      </c>
      <c r="Q246" s="200" t="e">
        <f t="shared" si="44"/>
        <v>#REF!</v>
      </c>
      <c r="R246" s="200">
        <f t="shared" si="45"/>
        <v>0</v>
      </c>
      <c r="S246" s="200">
        <f t="shared" si="46"/>
        <v>0</v>
      </c>
      <c r="T246" s="200">
        <f t="shared" si="47"/>
        <v>0</v>
      </c>
      <c r="U246" s="688">
        <f t="shared" si="48"/>
        <v>0</v>
      </c>
      <c r="V246" s="200">
        <f t="shared" si="49"/>
        <v>0</v>
      </c>
      <c r="W246" s="689"/>
    </row>
    <row r="247" spans="1:23" s="236" customFormat="1" ht="24.95" hidden="1" customHeight="1" outlineLevel="1">
      <c r="A247" s="239"/>
      <c r="B247" s="239" t="s">
        <v>394</v>
      </c>
      <c r="C247" s="240">
        <v>8</v>
      </c>
      <c r="D247" s="690"/>
      <c r="E247" s="240"/>
      <c r="F247" s="836"/>
      <c r="G247" s="239">
        <v>1</v>
      </c>
      <c r="H247" s="203">
        <f>(K245/200)+1</f>
        <v>16.899999999999999</v>
      </c>
      <c r="I247" s="234"/>
      <c r="J247" s="234"/>
      <c r="K247" s="234">
        <v>820</v>
      </c>
      <c r="L247" s="234"/>
      <c r="M247" s="234"/>
      <c r="N247" s="235" t="e">
        <f>(((I247+J247+K247+L247+M247)-C247*#REF!*2)/1000)</f>
        <v>#REF!</v>
      </c>
      <c r="O247" s="235"/>
      <c r="P247" s="200" t="e">
        <f t="shared" si="43"/>
        <v>#REF!</v>
      </c>
      <c r="Q247" s="200">
        <f t="shared" si="44"/>
        <v>0</v>
      </c>
      <c r="R247" s="200">
        <f t="shared" si="45"/>
        <v>0</v>
      </c>
      <c r="S247" s="200">
        <f t="shared" si="46"/>
        <v>0</v>
      </c>
      <c r="T247" s="200">
        <f t="shared" si="47"/>
        <v>0</v>
      </c>
      <c r="U247" s="688">
        <f t="shared" si="48"/>
        <v>0</v>
      </c>
      <c r="V247" s="200">
        <f t="shared" si="49"/>
        <v>0</v>
      </c>
      <c r="W247" s="689"/>
    </row>
    <row r="248" spans="1:23" s="236" customFormat="1" ht="24.95" hidden="1" customHeight="1" outlineLevel="1">
      <c r="A248" s="239">
        <v>6</v>
      </c>
      <c r="B248" s="239" t="s">
        <v>392</v>
      </c>
      <c r="C248" s="240">
        <v>10</v>
      </c>
      <c r="D248" s="690"/>
      <c r="E248" s="240"/>
      <c r="F248" s="836"/>
      <c r="G248" s="239">
        <v>4</v>
      </c>
      <c r="H248" s="203">
        <v>2</v>
      </c>
      <c r="I248" s="241">
        <v>100</v>
      </c>
      <c r="J248" s="234"/>
      <c r="K248" s="234">
        <v>3180</v>
      </c>
      <c r="L248" s="234"/>
      <c r="M248" s="241">
        <v>100</v>
      </c>
      <c r="N248" s="235" t="e">
        <f>(((I248+J248+K248+L248+M248)-C248*#REF!*2)/1000)</f>
        <v>#REF!</v>
      </c>
      <c r="O248" s="235"/>
      <c r="P248" s="200">
        <f t="shared" si="43"/>
        <v>0</v>
      </c>
      <c r="Q248" s="200" t="e">
        <f t="shared" si="44"/>
        <v>#REF!</v>
      </c>
      <c r="R248" s="200">
        <f t="shared" si="45"/>
        <v>0</v>
      </c>
      <c r="S248" s="200">
        <f t="shared" si="46"/>
        <v>0</v>
      </c>
      <c r="T248" s="200">
        <f t="shared" si="47"/>
        <v>0</v>
      </c>
      <c r="U248" s="688">
        <f t="shared" si="48"/>
        <v>0</v>
      </c>
      <c r="V248" s="200">
        <f t="shared" si="49"/>
        <v>0</v>
      </c>
      <c r="W248" s="689"/>
    </row>
    <row r="249" spans="1:23" s="236" customFormat="1" ht="24.95" hidden="1" customHeight="1" outlineLevel="1">
      <c r="A249" s="239"/>
      <c r="B249" s="239" t="s">
        <v>393</v>
      </c>
      <c r="C249" s="240">
        <v>10</v>
      </c>
      <c r="D249" s="690"/>
      <c r="E249" s="240"/>
      <c r="F249" s="836"/>
      <c r="G249" s="239">
        <v>4</v>
      </c>
      <c r="H249" s="203">
        <v>2</v>
      </c>
      <c r="I249" s="241">
        <v>100</v>
      </c>
      <c r="J249" s="234"/>
      <c r="K249" s="234">
        <v>3180</v>
      </c>
      <c r="L249" s="234"/>
      <c r="M249" s="241">
        <v>100</v>
      </c>
      <c r="N249" s="235" t="e">
        <f>(((I249+J249+K249+L249+M249)-C249*#REF!*2)/1000)</f>
        <v>#REF!</v>
      </c>
      <c r="O249" s="235"/>
      <c r="P249" s="200">
        <f t="shared" si="43"/>
        <v>0</v>
      </c>
      <c r="Q249" s="200" t="e">
        <f t="shared" si="44"/>
        <v>#REF!</v>
      </c>
      <c r="R249" s="200">
        <f t="shared" si="45"/>
        <v>0</v>
      </c>
      <c r="S249" s="200">
        <f t="shared" si="46"/>
        <v>0</v>
      </c>
      <c r="T249" s="200">
        <f t="shared" si="47"/>
        <v>0</v>
      </c>
      <c r="U249" s="688">
        <f t="shared" si="48"/>
        <v>0</v>
      </c>
      <c r="V249" s="200">
        <f t="shared" si="49"/>
        <v>0</v>
      </c>
      <c r="W249" s="689"/>
    </row>
    <row r="250" spans="1:23" s="236" customFormat="1" ht="24.95" hidden="1" customHeight="1" outlineLevel="1">
      <c r="A250" s="239"/>
      <c r="B250" s="239" t="s">
        <v>394</v>
      </c>
      <c r="C250" s="240">
        <v>8</v>
      </c>
      <c r="D250" s="690"/>
      <c r="E250" s="240"/>
      <c r="F250" s="836"/>
      <c r="G250" s="239">
        <v>4</v>
      </c>
      <c r="H250" s="203">
        <f>(K248/200)+1</f>
        <v>16.899999999999999</v>
      </c>
      <c r="I250" s="234"/>
      <c r="J250" s="234"/>
      <c r="K250" s="234">
        <v>820</v>
      </c>
      <c r="L250" s="234"/>
      <c r="M250" s="234"/>
      <c r="N250" s="235" t="e">
        <f>(((I250+J250+K250+L250+M250)-C250*#REF!*2)/1000)</f>
        <v>#REF!</v>
      </c>
      <c r="O250" s="235"/>
      <c r="P250" s="200" t="e">
        <f t="shared" si="43"/>
        <v>#REF!</v>
      </c>
      <c r="Q250" s="200">
        <f t="shared" si="44"/>
        <v>0</v>
      </c>
      <c r="R250" s="200">
        <f t="shared" si="45"/>
        <v>0</v>
      </c>
      <c r="S250" s="200">
        <f t="shared" si="46"/>
        <v>0</v>
      </c>
      <c r="T250" s="200">
        <f t="shared" si="47"/>
        <v>0</v>
      </c>
      <c r="U250" s="688">
        <f t="shared" si="48"/>
        <v>0</v>
      </c>
      <c r="V250" s="200">
        <f t="shared" si="49"/>
        <v>0</v>
      </c>
      <c r="W250" s="689"/>
    </row>
    <row r="251" spans="1:23" s="247" customFormat="1" ht="24.95" hidden="1" customHeight="1" outlineLevel="1">
      <c r="A251" s="242">
        <v>7</v>
      </c>
      <c r="B251" s="242" t="s">
        <v>392</v>
      </c>
      <c r="C251" s="243">
        <v>10</v>
      </c>
      <c r="D251" s="696"/>
      <c r="E251" s="243"/>
      <c r="F251" s="696"/>
      <c r="G251" s="242">
        <f t="shared" ref="G251:G253" si="52">1*0</f>
        <v>0</v>
      </c>
      <c r="H251" s="244">
        <v>2</v>
      </c>
      <c r="I251" s="245">
        <v>100</v>
      </c>
      <c r="J251" s="246"/>
      <c r="K251" s="246">
        <v>2445</v>
      </c>
      <c r="L251" s="246"/>
      <c r="M251" s="245">
        <v>100</v>
      </c>
      <c r="N251" s="235" t="e">
        <f>(((I251+J251+K251+L251+M251)-C251*#REF!*2)/1000)</f>
        <v>#REF!</v>
      </c>
      <c r="O251" s="235"/>
      <c r="P251" s="200">
        <f t="shared" si="43"/>
        <v>0</v>
      </c>
      <c r="Q251" s="200" t="e">
        <f t="shared" si="44"/>
        <v>#REF!</v>
      </c>
      <c r="R251" s="200">
        <f t="shared" si="45"/>
        <v>0</v>
      </c>
      <c r="S251" s="200">
        <f t="shared" si="46"/>
        <v>0</v>
      </c>
      <c r="T251" s="200">
        <f t="shared" si="47"/>
        <v>0</v>
      </c>
      <c r="U251" s="688">
        <f t="shared" si="48"/>
        <v>0</v>
      </c>
      <c r="V251" s="200">
        <f t="shared" si="49"/>
        <v>0</v>
      </c>
      <c r="W251" s="697"/>
    </row>
    <row r="252" spans="1:23" s="247" customFormat="1" ht="24.95" hidden="1" customHeight="1" outlineLevel="1">
      <c r="A252" s="242"/>
      <c r="B252" s="242" t="s">
        <v>393</v>
      </c>
      <c r="C252" s="243">
        <v>10</v>
      </c>
      <c r="D252" s="696"/>
      <c r="E252" s="243"/>
      <c r="F252" s="696"/>
      <c r="G252" s="242">
        <f t="shared" si="52"/>
        <v>0</v>
      </c>
      <c r="H252" s="244">
        <v>2</v>
      </c>
      <c r="I252" s="245">
        <v>100</v>
      </c>
      <c r="J252" s="246"/>
      <c r="K252" s="246">
        <v>2445</v>
      </c>
      <c r="L252" s="246"/>
      <c r="M252" s="245">
        <v>100</v>
      </c>
      <c r="N252" s="235" t="e">
        <f>(((I252+J252+K252+L252+M252)-C252*#REF!*2)/1000)</f>
        <v>#REF!</v>
      </c>
      <c r="O252" s="235"/>
      <c r="P252" s="200">
        <f t="shared" si="43"/>
        <v>0</v>
      </c>
      <c r="Q252" s="200" t="e">
        <f t="shared" si="44"/>
        <v>#REF!</v>
      </c>
      <c r="R252" s="200">
        <f t="shared" si="45"/>
        <v>0</v>
      </c>
      <c r="S252" s="200">
        <f t="shared" si="46"/>
        <v>0</v>
      </c>
      <c r="T252" s="200">
        <f t="shared" si="47"/>
        <v>0</v>
      </c>
      <c r="U252" s="688">
        <f t="shared" si="48"/>
        <v>0</v>
      </c>
      <c r="V252" s="200">
        <f t="shared" si="49"/>
        <v>0</v>
      </c>
      <c r="W252" s="697"/>
    </row>
    <row r="253" spans="1:23" s="247" customFormat="1" ht="24.95" hidden="1" customHeight="1" outlineLevel="1">
      <c r="A253" s="242"/>
      <c r="B253" s="242" t="s">
        <v>394</v>
      </c>
      <c r="C253" s="243">
        <v>8</v>
      </c>
      <c r="D253" s="696"/>
      <c r="E253" s="243"/>
      <c r="F253" s="696"/>
      <c r="G253" s="242">
        <f t="shared" si="52"/>
        <v>0</v>
      </c>
      <c r="H253" s="244">
        <f>(K251/200)+1</f>
        <v>13.225</v>
      </c>
      <c r="I253" s="246"/>
      <c r="J253" s="246"/>
      <c r="K253" s="246">
        <v>820</v>
      </c>
      <c r="L253" s="246"/>
      <c r="M253" s="246"/>
      <c r="N253" s="235" t="e">
        <f>(((I253+J253+K253+L253+M253)-C253*#REF!*2)/1000)</f>
        <v>#REF!</v>
      </c>
      <c r="O253" s="235"/>
      <c r="P253" s="200" t="e">
        <f t="shared" si="43"/>
        <v>#REF!</v>
      </c>
      <c r="Q253" s="200">
        <f t="shared" si="44"/>
        <v>0</v>
      </c>
      <c r="R253" s="200">
        <f t="shared" si="45"/>
        <v>0</v>
      </c>
      <c r="S253" s="200">
        <f t="shared" si="46"/>
        <v>0</v>
      </c>
      <c r="T253" s="200">
        <f t="shared" si="47"/>
        <v>0</v>
      </c>
      <c r="U253" s="688">
        <f t="shared" si="48"/>
        <v>0</v>
      </c>
      <c r="V253" s="200">
        <f t="shared" si="49"/>
        <v>0</v>
      </c>
      <c r="W253" s="697"/>
    </row>
    <row r="254" spans="1:23" s="236" customFormat="1" ht="24.95" hidden="1" customHeight="1" outlineLevel="1">
      <c r="A254" s="239">
        <v>8</v>
      </c>
      <c r="B254" s="239" t="s">
        <v>392</v>
      </c>
      <c r="C254" s="240">
        <v>10</v>
      </c>
      <c r="D254" s="690"/>
      <c r="E254" s="240"/>
      <c r="F254" s="836"/>
      <c r="G254" s="239">
        <v>1</v>
      </c>
      <c r="H254" s="203">
        <v>2</v>
      </c>
      <c r="I254" s="241">
        <v>100</v>
      </c>
      <c r="J254" s="234"/>
      <c r="K254" s="234">
        <v>2180</v>
      </c>
      <c r="L254" s="234"/>
      <c r="M254" s="241">
        <v>100</v>
      </c>
      <c r="N254" s="235" t="e">
        <f>(((I254+J254+K254+L254+M254)-C254*#REF!*2)/1000)</f>
        <v>#REF!</v>
      </c>
      <c r="O254" s="235"/>
      <c r="P254" s="200">
        <f t="shared" si="43"/>
        <v>0</v>
      </c>
      <c r="Q254" s="200" t="e">
        <f t="shared" si="44"/>
        <v>#REF!</v>
      </c>
      <c r="R254" s="200">
        <f t="shared" si="45"/>
        <v>0</v>
      </c>
      <c r="S254" s="200">
        <f t="shared" si="46"/>
        <v>0</v>
      </c>
      <c r="T254" s="200">
        <f t="shared" si="47"/>
        <v>0</v>
      </c>
      <c r="U254" s="688">
        <f t="shared" si="48"/>
        <v>0</v>
      </c>
      <c r="V254" s="200">
        <f t="shared" si="49"/>
        <v>0</v>
      </c>
      <c r="W254" s="689"/>
    </row>
    <row r="255" spans="1:23" s="236" customFormat="1" ht="24.95" hidden="1" customHeight="1" outlineLevel="1">
      <c r="A255" s="239"/>
      <c r="B255" s="239" t="s">
        <v>393</v>
      </c>
      <c r="C255" s="240">
        <v>10</v>
      </c>
      <c r="D255" s="690"/>
      <c r="E255" s="240"/>
      <c r="F255" s="836"/>
      <c r="G255" s="239">
        <v>1</v>
      </c>
      <c r="H255" s="203">
        <v>2</v>
      </c>
      <c r="I255" s="241">
        <v>100</v>
      </c>
      <c r="J255" s="234"/>
      <c r="K255" s="234">
        <v>2180</v>
      </c>
      <c r="L255" s="234"/>
      <c r="M255" s="241">
        <v>100</v>
      </c>
      <c r="N255" s="235" t="e">
        <f>(((I255+J255+K255+L255+M255)-C255*#REF!*2)/1000)</f>
        <v>#REF!</v>
      </c>
      <c r="O255" s="235"/>
      <c r="P255" s="200">
        <f t="shared" si="43"/>
        <v>0</v>
      </c>
      <c r="Q255" s="200" t="e">
        <f t="shared" si="44"/>
        <v>#REF!</v>
      </c>
      <c r="R255" s="200">
        <f t="shared" si="45"/>
        <v>0</v>
      </c>
      <c r="S255" s="200">
        <f t="shared" si="46"/>
        <v>0</v>
      </c>
      <c r="T255" s="200">
        <f t="shared" si="47"/>
        <v>0</v>
      </c>
      <c r="U255" s="688">
        <f t="shared" si="48"/>
        <v>0</v>
      </c>
      <c r="V255" s="200">
        <f t="shared" si="49"/>
        <v>0</v>
      </c>
      <c r="W255" s="689"/>
    </row>
    <row r="256" spans="1:23" s="236" customFormat="1" ht="24.95" hidden="1" customHeight="1" outlineLevel="1">
      <c r="A256" s="239"/>
      <c r="B256" s="239" t="s">
        <v>394</v>
      </c>
      <c r="C256" s="240">
        <v>8</v>
      </c>
      <c r="D256" s="690"/>
      <c r="E256" s="240"/>
      <c r="F256" s="836"/>
      <c r="G256" s="239">
        <v>1</v>
      </c>
      <c r="H256" s="203">
        <f>(K254/200)+1</f>
        <v>11.9</v>
      </c>
      <c r="I256" s="234"/>
      <c r="J256" s="234"/>
      <c r="K256" s="234">
        <v>820</v>
      </c>
      <c r="L256" s="234"/>
      <c r="M256" s="234"/>
      <c r="N256" s="235" t="e">
        <f>(((I256+J256+K256+L256+M256)-C256*#REF!*2)/1000)</f>
        <v>#REF!</v>
      </c>
      <c r="O256" s="235"/>
      <c r="P256" s="200" t="e">
        <f t="shared" si="43"/>
        <v>#REF!</v>
      </c>
      <c r="Q256" s="200">
        <f t="shared" si="44"/>
        <v>0</v>
      </c>
      <c r="R256" s="200">
        <f t="shared" si="45"/>
        <v>0</v>
      </c>
      <c r="S256" s="200">
        <f t="shared" si="46"/>
        <v>0</v>
      </c>
      <c r="T256" s="200">
        <f t="shared" si="47"/>
        <v>0</v>
      </c>
      <c r="U256" s="688">
        <f t="shared" si="48"/>
        <v>0</v>
      </c>
      <c r="V256" s="200">
        <f t="shared" si="49"/>
        <v>0</v>
      </c>
      <c r="W256" s="689"/>
    </row>
    <row r="257" spans="1:23" s="236" customFormat="1" ht="24.95" hidden="1" customHeight="1" outlineLevel="1">
      <c r="A257" s="239">
        <v>9</v>
      </c>
      <c r="B257" s="239" t="s">
        <v>392</v>
      </c>
      <c r="C257" s="240">
        <v>10</v>
      </c>
      <c r="D257" s="690"/>
      <c r="E257" s="240"/>
      <c r="F257" s="836"/>
      <c r="G257" s="239">
        <v>1</v>
      </c>
      <c r="H257" s="203">
        <v>2</v>
      </c>
      <c r="I257" s="241">
        <v>100</v>
      </c>
      <c r="J257" s="234"/>
      <c r="K257" s="234">
        <v>1180</v>
      </c>
      <c r="L257" s="234"/>
      <c r="M257" s="241">
        <v>100</v>
      </c>
      <c r="N257" s="235" t="e">
        <f>(((I257+J257+K257+L257+M257)-C257*#REF!*2)/1000)</f>
        <v>#REF!</v>
      </c>
      <c r="O257" s="235"/>
      <c r="P257" s="200">
        <f t="shared" si="43"/>
        <v>0</v>
      </c>
      <c r="Q257" s="200" t="e">
        <f t="shared" si="44"/>
        <v>#REF!</v>
      </c>
      <c r="R257" s="200">
        <f t="shared" si="45"/>
        <v>0</v>
      </c>
      <c r="S257" s="200">
        <f t="shared" si="46"/>
        <v>0</v>
      </c>
      <c r="T257" s="200">
        <f t="shared" si="47"/>
        <v>0</v>
      </c>
      <c r="U257" s="688">
        <f t="shared" si="48"/>
        <v>0</v>
      </c>
      <c r="V257" s="200">
        <f t="shared" si="49"/>
        <v>0</v>
      </c>
      <c r="W257" s="689"/>
    </row>
    <row r="258" spans="1:23" s="236" customFormat="1" ht="24.95" hidden="1" customHeight="1" outlineLevel="1">
      <c r="A258" s="239"/>
      <c r="B258" s="239" t="s">
        <v>393</v>
      </c>
      <c r="C258" s="240">
        <v>10</v>
      </c>
      <c r="D258" s="690"/>
      <c r="E258" s="240"/>
      <c r="F258" s="836"/>
      <c r="G258" s="239">
        <v>1</v>
      </c>
      <c r="H258" s="203">
        <v>2</v>
      </c>
      <c r="I258" s="241">
        <v>100</v>
      </c>
      <c r="J258" s="234"/>
      <c r="K258" s="234">
        <v>1180</v>
      </c>
      <c r="L258" s="234"/>
      <c r="M258" s="241">
        <v>100</v>
      </c>
      <c r="N258" s="235" t="e">
        <f>(((I258+J258+K258+L258+M258)-C258*#REF!*2)/1000)</f>
        <v>#REF!</v>
      </c>
      <c r="O258" s="235"/>
      <c r="P258" s="200">
        <f t="shared" si="43"/>
        <v>0</v>
      </c>
      <c r="Q258" s="200" t="e">
        <f t="shared" si="44"/>
        <v>#REF!</v>
      </c>
      <c r="R258" s="200">
        <f t="shared" si="45"/>
        <v>0</v>
      </c>
      <c r="S258" s="200">
        <f t="shared" si="46"/>
        <v>0</v>
      </c>
      <c r="T258" s="200">
        <f t="shared" si="47"/>
        <v>0</v>
      </c>
      <c r="U258" s="688">
        <f t="shared" si="48"/>
        <v>0</v>
      </c>
      <c r="V258" s="200">
        <f t="shared" si="49"/>
        <v>0</v>
      </c>
      <c r="W258" s="689"/>
    </row>
    <row r="259" spans="1:23" s="236" customFormat="1" ht="24.95" hidden="1" customHeight="1" outlineLevel="1">
      <c r="A259" s="239"/>
      <c r="B259" s="239" t="s">
        <v>394</v>
      </c>
      <c r="C259" s="240">
        <v>8</v>
      </c>
      <c r="D259" s="690"/>
      <c r="E259" s="240"/>
      <c r="F259" s="836"/>
      <c r="G259" s="239">
        <v>1</v>
      </c>
      <c r="H259" s="203">
        <f>(K257/200)+1</f>
        <v>6.9</v>
      </c>
      <c r="I259" s="234"/>
      <c r="J259" s="234"/>
      <c r="K259" s="234">
        <v>820</v>
      </c>
      <c r="L259" s="234"/>
      <c r="M259" s="234"/>
      <c r="N259" s="235" t="e">
        <f>(((I259+J259+K259+L259+M259)-C259*#REF!*2)/1000)</f>
        <v>#REF!</v>
      </c>
      <c r="O259" s="235"/>
      <c r="P259" s="200" t="e">
        <f t="shared" si="43"/>
        <v>#REF!</v>
      </c>
      <c r="Q259" s="200">
        <f t="shared" si="44"/>
        <v>0</v>
      </c>
      <c r="R259" s="200">
        <f t="shared" si="45"/>
        <v>0</v>
      </c>
      <c r="S259" s="200">
        <f t="shared" si="46"/>
        <v>0</v>
      </c>
      <c r="T259" s="200">
        <f t="shared" si="47"/>
        <v>0</v>
      </c>
      <c r="U259" s="688">
        <f t="shared" si="48"/>
        <v>0</v>
      </c>
      <c r="V259" s="200">
        <f t="shared" si="49"/>
        <v>0</v>
      </c>
      <c r="W259" s="689"/>
    </row>
    <row r="260" spans="1:23" s="236" customFormat="1" ht="24.95" hidden="1" customHeight="1" outlineLevel="1">
      <c r="A260" s="239">
        <v>10</v>
      </c>
      <c r="B260" s="239" t="s">
        <v>392</v>
      </c>
      <c r="C260" s="240">
        <v>10</v>
      </c>
      <c r="D260" s="690"/>
      <c r="E260" s="240"/>
      <c r="F260" s="836"/>
      <c r="G260" s="239">
        <v>1</v>
      </c>
      <c r="H260" s="203">
        <v>2</v>
      </c>
      <c r="I260" s="241">
        <v>100</v>
      </c>
      <c r="J260" s="234"/>
      <c r="K260" s="234">
        <v>4180</v>
      </c>
      <c r="L260" s="234"/>
      <c r="M260" s="241">
        <v>100</v>
      </c>
      <c r="N260" s="235" t="e">
        <f>(((I260+J260+K260+L260+M260)-C260*#REF!*2)/1000)</f>
        <v>#REF!</v>
      </c>
      <c r="O260" s="235"/>
      <c r="P260" s="200">
        <f t="shared" si="43"/>
        <v>0</v>
      </c>
      <c r="Q260" s="200" t="e">
        <f t="shared" si="44"/>
        <v>#REF!</v>
      </c>
      <c r="R260" s="200">
        <f t="shared" si="45"/>
        <v>0</v>
      </c>
      <c r="S260" s="200">
        <f t="shared" si="46"/>
        <v>0</v>
      </c>
      <c r="T260" s="200">
        <f t="shared" si="47"/>
        <v>0</v>
      </c>
      <c r="U260" s="688">
        <f t="shared" si="48"/>
        <v>0</v>
      </c>
      <c r="V260" s="200">
        <f t="shared" si="49"/>
        <v>0</v>
      </c>
      <c r="W260" s="689"/>
    </row>
    <row r="261" spans="1:23" s="236" customFormat="1" ht="24.95" hidden="1" customHeight="1" outlineLevel="1">
      <c r="A261" s="239"/>
      <c r="B261" s="239" t="s">
        <v>393</v>
      </c>
      <c r="C261" s="240">
        <v>10</v>
      </c>
      <c r="D261" s="690"/>
      <c r="E261" s="240"/>
      <c r="F261" s="836"/>
      <c r="G261" s="239">
        <v>1</v>
      </c>
      <c r="H261" s="203">
        <v>2</v>
      </c>
      <c r="I261" s="241">
        <v>100</v>
      </c>
      <c r="J261" s="234"/>
      <c r="K261" s="234">
        <v>4180</v>
      </c>
      <c r="L261" s="234"/>
      <c r="M261" s="241">
        <v>100</v>
      </c>
      <c r="N261" s="235" t="e">
        <f>(((I261+J261+K261+L261+M261)-C261*#REF!*2)/1000)</f>
        <v>#REF!</v>
      </c>
      <c r="O261" s="235"/>
      <c r="P261" s="200">
        <f t="shared" si="43"/>
        <v>0</v>
      </c>
      <c r="Q261" s="200" t="e">
        <f t="shared" si="44"/>
        <v>#REF!</v>
      </c>
      <c r="R261" s="200">
        <f t="shared" si="45"/>
        <v>0</v>
      </c>
      <c r="S261" s="200">
        <f t="shared" si="46"/>
        <v>0</v>
      </c>
      <c r="T261" s="200">
        <f t="shared" si="47"/>
        <v>0</v>
      </c>
      <c r="U261" s="688">
        <f t="shared" si="48"/>
        <v>0</v>
      </c>
      <c r="V261" s="200">
        <f t="shared" si="49"/>
        <v>0</v>
      </c>
      <c r="W261" s="689"/>
    </row>
    <row r="262" spans="1:23" s="236" customFormat="1" ht="24.95" hidden="1" customHeight="1" outlineLevel="1">
      <c r="A262" s="239"/>
      <c r="B262" s="239" t="s">
        <v>394</v>
      </c>
      <c r="C262" s="240">
        <v>8</v>
      </c>
      <c r="D262" s="690"/>
      <c r="E262" s="240"/>
      <c r="F262" s="836"/>
      <c r="G262" s="239">
        <v>1</v>
      </c>
      <c r="H262" s="203">
        <f>(K260/200)+1</f>
        <v>21.9</v>
      </c>
      <c r="I262" s="234"/>
      <c r="J262" s="234"/>
      <c r="K262" s="234">
        <v>820</v>
      </c>
      <c r="L262" s="234"/>
      <c r="M262" s="234"/>
      <c r="N262" s="235" t="e">
        <f>(((I262+J262+K262+L262+M262)-C262*#REF!*2)/1000)</f>
        <v>#REF!</v>
      </c>
      <c r="O262" s="235"/>
      <c r="P262" s="200" t="e">
        <f t="shared" si="43"/>
        <v>#REF!</v>
      </c>
      <c r="Q262" s="200">
        <f t="shared" si="44"/>
        <v>0</v>
      </c>
      <c r="R262" s="200">
        <f t="shared" si="45"/>
        <v>0</v>
      </c>
      <c r="S262" s="200">
        <f t="shared" si="46"/>
        <v>0</v>
      </c>
      <c r="T262" s="200">
        <f t="shared" si="47"/>
        <v>0</v>
      </c>
      <c r="U262" s="688">
        <f t="shared" si="48"/>
        <v>0</v>
      </c>
      <c r="V262" s="200">
        <f t="shared" si="49"/>
        <v>0</v>
      </c>
      <c r="W262" s="689"/>
    </row>
    <row r="263" spans="1:23" s="247" customFormat="1" ht="24.95" hidden="1" customHeight="1" outlineLevel="1">
      <c r="A263" s="242">
        <v>11</v>
      </c>
      <c r="B263" s="242" t="s">
        <v>392</v>
      </c>
      <c r="C263" s="243">
        <v>10</v>
      </c>
      <c r="D263" s="696"/>
      <c r="E263" s="243"/>
      <c r="F263" s="696"/>
      <c r="G263" s="242">
        <f t="shared" ref="G263:G265" si="53">1*0</f>
        <v>0</v>
      </c>
      <c r="H263" s="244">
        <v>2</v>
      </c>
      <c r="I263" s="245">
        <v>100</v>
      </c>
      <c r="J263" s="246"/>
      <c r="K263" s="246">
        <v>445</v>
      </c>
      <c r="L263" s="246"/>
      <c r="M263" s="245">
        <v>100</v>
      </c>
      <c r="N263" s="235" t="e">
        <f>(((I263+J263+K263+L263+M263)-C263*#REF!*2)/1000)</f>
        <v>#REF!</v>
      </c>
      <c r="O263" s="235"/>
      <c r="P263" s="200">
        <f t="shared" si="43"/>
        <v>0</v>
      </c>
      <c r="Q263" s="200" t="e">
        <f t="shared" si="44"/>
        <v>#REF!</v>
      </c>
      <c r="R263" s="200">
        <f t="shared" si="45"/>
        <v>0</v>
      </c>
      <c r="S263" s="200">
        <f t="shared" si="46"/>
        <v>0</v>
      </c>
      <c r="T263" s="200">
        <f t="shared" si="47"/>
        <v>0</v>
      </c>
      <c r="U263" s="688">
        <f t="shared" si="48"/>
        <v>0</v>
      </c>
      <c r="V263" s="200">
        <f t="shared" si="49"/>
        <v>0</v>
      </c>
      <c r="W263" s="697"/>
    </row>
    <row r="264" spans="1:23" s="247" customFormat="1" ht="24.95" hidden="1" customHeight="1" outlineLevel="1">
      <c r="A264" s="242"/>
      <c r="B264" s="242" t="s">
        <v>393</v>
      </c>
      <c r="C264" s="243">
        <v>10</v>
      </c>
      <c r="D264" s="696"/>
      <c r="E264" s="243"/>
      <c r="F264" s="696"/>
      <c r="G264" s="242">
        <f t="shared" si="53"/>
        <v>0</v>
      </c>
      <c r="H264" s="244">
        <v>2</v>
      </c>
      <c r="I264" s="245">
        <v>100</v>
      </c>
      <c r="J264" s="246"/>
      <c r="K264" s="246">
        <v>445</v>
      </c>
      <c r="L264" s="246"/>
      <c r="M264" s="245">
        <v>100</v>
      </c>
      <c r="N264" s="235" t="e">
        <f>(((I264+J264+K264+L264+M264)-C264*#REF!*2)/1000)</f>
        <v>#REF!</v>
      </c>
      <c r="O264" s="235"/>
      <c r="P264" s="200">
        <f t="shared" si="43"/>
        <v>0</v>
      </c>
      <c r="Q264" s="200" t="e">
        <f t="shared" si="44"/>
        <v>#REF!</v>
      </c>
      <c r="R264" s="200">
        <f t="shared" si="45"/>
        <v>0</v>
      </c>
      <c r="S264" s="200">
        <f t="shared" si="46"/>
        <v>0</v>
      </c>
      <c r="T264" s="200">
        <f t="shared" si="47"/>
        <v>0</v>
      </c>
      <c r="U264" s="688">
        <f t="shared" si="48"/>
        <v>0</v>
      </c>
      <c r="V264" s="200">
        <f t="shared" si="49"/>
        <v>0</v>
      </c>
      <c r="W264" s="697"/>
    </row>
    <row r="265" spans="1:23" s="247" customFormat="1" ht="24.95" hidden="1" customHeight="1" outlineLevel="1">
      <c r="A265" s="242"/>
      <c r="B265" s="242" t="s">
        <v>394</v>
      </c>
      <c r="C265" s="243">
        <v>8</v>
      </c>
      <c r="D265" s="696"/>
      <c r="E265" s="243"/>
      <c r="F265" s="696"/>
      <c r="G265" s="242">
        <f t="shared" si="53"/>
        <v>0</v>
      </c>
      <c r="H265" s="244">
        <f>(K263/200)+1</f>
        <v>3.2250000000000001</v>
      </c>
      <c r="I265" s="246"/>
      <c r="J265" s="246"/>
      <c r="K265" s="246">
        <v>820</v>
      </c>
      <c r="L265" s="246"/>
      <c r="M265" s="246"/>
      <c r="N265" s="235" t="e">
        <f>(((I265+J265+K265+L265+M265)-C265*#REF!*2)/1000)</f>
        <v>#REF!</v>
      </c>
      <c r="O265" s="235"/>
      <c r="P265" s="200" t="e">
        <f t="shared" si="43"/>
        <v>#REF!</v>
      </c>
      <c r="Q265" s="200">
        <f t="shared" si="44"/>
        <v>0</v>
      </c>
      <c r="R265" s="200">
        <f t="shared" si="45"/>
        <v>0</v>
      </c>
      <c r="S265" s="200">
        <f t="shared" si="46"/>
        <v>0</v>
      </c>
      <c r="T265" s="200">
        <f t="shared" si="47"/>
        <v>0</v>
      </c>
      <c r="U265" s="688">
        <f t="shared" si="48"/>
        <v>0</v>
      </c>
      <c r="V265" s="200">
        <f t="shared" si="49"/>
        <v>0</v>
      </c>
      <c r="W265" s="697"/>
    </row>
    <row r="266" spans="1:23" s="236" customFormat="1" ht="24.95" hidden="1" customHeight="1" outlineLevel="1">
      <c r="A266" s="239">
        <v>12</v>
      </c>
      <c r="B266" s="239" t="s">
        <v>392</v>
      </c>
      <c r="C266" s="240">
        <v>10</v>
      </c>
      <c r="D266" s="690"/>
      <c r="E266" s="240"/>
      <c r="F266" s="836"/>
      <c r="G266" s="239">
        <v>1</v>
      </c>
      <c r="H266" s="203">
        <v>2</v>
      </c>
      <c r="I266" s="241">
        <v>100</v>
      </c>
      <c r="J266" s="234"/>
      <c r="K266" s="241">
        <v>5210</v>
      </c>
      <c r="L266" s="234"/>
      <c r="M266" s="241">
        <v>100</v>
      </c>
      <c r="N266" s="235" t="e">
        <f>(((I266+J266+K266+L266+M266)-C266*#REF!*2)/1000)</f>
        <v>#REF!</v>
      </c>
      <c r="O266" s="235"/>
      <c r="P266" s="200">
        <f t="shared" si="43"/>
        <v>0</v>
      </c>
      <c r="Q266" s="200" t="e">
        <f t="shared" si="44"/>
        <v>#REF!</v>
      </c>
      <c r="R266" s="200">
        <f t="shared" si="45"/>
        <v>0</v>
      </c>
      <c r="S266" s="200">
        <f t="shared" si="46"/>
        <v>0</v>
      </c>
      <c r="T266" s="200">
        <f t="shared" si="47"/>
        <v>0</v>
      </c>
      <c r="U266" s="688">
        <f t="shared" si="48"/>
        <v>0</v>
      </c>
      <c r="V266" s="200">
        <f t="shared" si="49"/>
        <v>0</v>
      </c>
      <c r="W266" s="689"/>
    </row>
    <row r="267" spans="1:23" s="236" customFormat="1" ht="24.95" hidden="1" customHeight="1" outlineLevel="1">
      <c r="A267" s="239"/>
      <c r="B267" s="239" t="s">
        <v>393</v>
      </c>
      <c r="C267" s="240">
        <v>10</v>
      </c>
      <c r="D267" s="690"/>
      <c r="E267" s="240"/>
      <c r="F267" s="836"/>
      <c r="G267" s="239">
        <v>1</v>
      </c>
      <c r="H267" s="203">
        <v>2</v>
      </c>
      <c r="I267" s="241">
        <v>100</v>
      </c>
      <c r="J267" s="234"/>
      <c r="K267" s="241">
        <v>5210</v>
      </c>
      <c r="L267" s="234"/>
      <c r="M267" s="241">
        <v>100</v>
      </c>
      <c r="N267" s="235" t="e">
        <f>(((I267+J267+K267+L267+M267)-C267*#REF!*2)/1000)</f>
        <v>#REF!</v>
      </c>
      <c r="O267" s="235"/>
      <c r="P267" s="200">
        <f t="shared" ref="P267:P330" si="54">+IF(C267=8,G267*H267*N267,0)</f>
        <v>0</v>
      </c>
      <c r="Q267" s="200" t="e">
        <f t="shared" ref="Q267:Q330" si="55">+IF(C267=10,G267*H267*N267,0)</f>
        <v>#REF!</v>
      </c>
      <c r="R267" s="200">
        <f t="shared" ref="R267:R330" si="56">+IF(C267=12,G267*H267*N267,0)</f>
        <v>0</v>
      </c>
      <c r="S267" s="200">
        <f t="shared" ref="S267:S330" si="57">+IF(C267=16,G267*H267*N267,0)</f>
        <v>0</v>
      </c>
      <c r="T267" s="200">
        <f t="shared" ref="T267:T330" si="58">+IF(C267=20,G267*H267*N267,0)</f>
        <v>0</v>
      </c>
      <c r="U267" s="688">
        <f t="shared" ref="U267:U330" si="59">+IF(C267=25,G267*H267*N267,0)</f>
        <v>0</v>
      </c>
      <c r="V267" s="200">
        <f t="shared" ref="V267:V330" si="60">+IF(C267=32,G267*H267*N267,0)</f>
        <v>0</v>
      </c>
      <c r="W267" s="689"/>
    </row>
    <row r="268" spans="1:23" s="236" customFormat="1" ht="24.95" hidden="1" customHeight="1" outlineLevel="1">
      <c r="A268" s="239"/>
      <c r="B268" s="239" t="s">
        <v>394</v>
      </c>
      <c r="C268" s="240">
        <v>8</v>
      </c>
      <c r="D268" s="690"/>
      <c r="E268" s="240"/>
      <c r="F268" s="836"/>
      <c r="G268" s="239">
        <v>1</v>
      </c>
      <c r="H268" s="203">
        <f>(K266/200)+1</f>
        <v>27.05</v>
      </c>
      <c r="I268" s="234"/>
      <c r="J268" s="234"/>
      <c r="K268" s="234">
        <v>820</v>
      </c>
      <c r="L268" s="234"/>
      <c r="M268" s="234"/>
      <c r="N268" s="235" t="e">
        <f>(((I268+J268+K268+L268+M268)-C268*#REF!*2)/1000)</f>
        <v>#REF!</v>
      </c>
      <c r="O268" s="235"/>
      <c r="P268" s="200" t="e">
        <f t="shared" si="54"/>
        <v>#REF!</v>
      </c>
      <c r="Q268" s="200">
        <f t="shared" si="55"/>
        <v>0</v>
      </c>
      <c r="R268" s="200">
        <f t="shared" si="56"/>
        <v>0</v>
      </c>
      <c r="S268" s="200">
        <f t="shared" si="57"/>
        <v>0</v>
      </c>
      <c r="T268" s="200">
        <f t="shared" si="58"/>
        <v>0</v>
      </c>
      <c r="U268" s="688">
        <f t="shared" si="59"/>
        <v>0</v>
      </c>
      <c r="V268" s="200">
        <f t="shared" si="60"/>
        <v>0</v>
      </c>
      <c r="W268" s="689"/>
    </row>
    <row r="269" spans="1:23" s="236" customFormat="1" ht="24.95" hidden="1" customHeight="1" outlineLevel="1">
      <c r="A269" s="207">
        <v>13</v>
      </c>
      <c r="B269" s="208" t="s">
        <v>399</v>
      </c>
      <c r="C269" s="240">
        <v>12</v>
      </c>
      <c r="D269" s="690"/>
      <c r="E269" s="240"/>
      <c r="F269" s="836"/>
      <c r="G269" s="250">
        <v>1</v>
      </c>
      <c r="H269" s="203">
        <v>3</v>
      </c>
      <c r="I269" s="241">
        <v>100</v>
      </c>
      <c r="J269" s="234"/>
      <c r="K269" s="241">
        <v>2925</v>
      </c>
      <c r="L269" s="234"/>
      <c r="M269" s="241">
        <v>100</v>
      </c>
      <c r="N269" s="235" t="e">
        <f>(((I269+J269+K269+L269+M269)-C269*#REF!*2)/1000)</f>
        <v>#REF!</v>
      </c>
      <c r="O269" s="235"/>
      <c r="P269" s="200">
        <f t="shared" si="54"/>
        <v>0</v>
      </c>
      <c r="Q269" s="200">
        <f t="shared" si="55"/>
        <v>0</v>
      </c>
      <c r="R269" s="200" t="e">
        <f t="shared" si="56"/>
        <v>#REF!</v>
      </c>
      <c r="S269" s="200">
        <f t="shared" si="57"/>
        <v>0</v>
      </c>
      <c r="T269" s="200">
        <f t="shared" si="58"/>
        <v>0</v>
      </c>
      <c r="U269" s="688">
        <f t="shared" si="59"/>
        <v>0</v>
      </c>
      <c r="V269" s="200">
        <f t="shared" si="60"/>
        <v>0</v>
      </c>
      <c r="W269" s="689"/>
    </row>
    <row r="270" spans="1:23" s="236" customFormat="1" ht="24.95" hidden="1" customHeight="1" outlineLevel="1">
      <c r="A270" s="239"/>
      <c r="B270" s="239" t="s">
        <v>393</v>
      </c>
      <c r="C270" s="240">
        <v>12</v>
      </c>
      <c r="D270" s="690"/>
      <c r="E270" s="240"/>
      <c r="F270" s="836"/>
      <c r="G270" s="250">
        <v>1</v>
      </c>
      <c r="H270" s="203">
        <v>3</v>
      </c>
      <c r="I270" s="241">
        <v>100</v>
      </c>
      <c r="J270" s="234"/>
      <c r="K270" s="241">
        <v>2925</v>
      </c>
      <c r="L270" s="234"/>
      <c r="M270" s="241">
        <v>100</v>
      </c>
      <c r="N270" s="235" t="e">
        <f>(((I270+J270+K270+L270+M270)-C270*#REF!*2)/1000)</f>
        <v>#REF!</v>
      </c>
      <c r="O270" s="235"/>
      <c r="P270" s="200">
        <f t="shared" si="54"/>
        <v>0</v>
      </c>
      <c r="Q270" s="200">
        <f t="shared" si="55"/>
        <v>0</v>
      </c>
      <c r="R270" s="200" t="e">
        <f t="shared" si="56"/>
        <v>#REF!</v>
      </c>
      <c r="S270" s="200">
        <f t="shared" si="57"/>
        <v>0</v>
      </c>
      <c r="T270" s="200">
        <f t="shared" si="58"/>
        <v>0</v>
      </c>
      <c r="U270" s="688">
        <f t="shared" si="59"/>
        <v>0</v>
      </c>
      <c r="V270" s="200">
        <f t="shared" si="60"/>
        <v>0</v>
      </c>
      <c r="W270" s="689"/>
    </row>
    <row r="271" spans="1:23" s="236" customFormat="1" ht="24.95" hidden="1" customHeight="1" outlineLevel="1">
      <c r="A271" s="239"/>
      <c r="B271" s="239" t="s">
        <v>400</v>
      </c>
      <c r="C271" s="240">
        <v>8</v>
      </c>
      <c r="D271" s="690"/>
      <c r="E271" s="240"/>
      <c r="F271" s="836"/>
      <c r="G271" s="250">
        <v>1</v>
      </c>
      <c r="H271" s="203">
        <f>(2950/200)+1</f>
        <v>15.75</v>
      </c>
      <c r="I271" s="234"/>
      <c r="J271" s="234"/>
      <c r="K271" s="234">
        <v>1280</v>
      </c>
      <c r="L271" s="234"/>
      <c r="M271" s="234"/>
      <c r="N271" s="235" t="e">
        <f>(((I271+J271+K271+L271+M271)-C271*#REF!*2)/1000)</f>
        <v>#REF!</v>
      </c>
      <c r="O271" s="235"/>
      <c r="P271" s="200" t="e">
        <f t="shared" si="54"/>
        <v>#REF!</v>
      </c>
      <c r="Q271" s="200">
        <f t="shared" si="55"/>
        <v>0</v>
      </c>
      <c r="R271" s="200">
        <f t="shared" si="56"/>
        <v>0</v>
      </c>
      <c r="S271" s="200">
        <f t="shared" si="57"/>
        <v>0</v>
      </c>
      <c r="T271" s="200">
        <f t="shared" si="58"/>
        <v>0</v>
      </c>
      <c r="U271" s="688">
        <f t="shared" si="59"/>
        <v>0</v>
      </c>
      <c r="V271" s="200">
        <f t="shared" si="60"/>
        <v>0</v>
      </c>
      <c r="W271" s="689"/>
    </row>
    <row r="272" spans="1:23" s="236" customFormat="1" ht="24.95" hidden="1" customHeight="1" outlineLevel="1">
      <c r="A272" s="205" t="s">
        <v>411</v>
      </c>
      <c r="B272" s="206" t="s">
        <v>396</v>
      </c>
      <c r="C272" s="240"/>
      <c r="D272" s="690"/>
      <c r="E272" s="240"/>
      <c r="F272" s="836"/>
      <c r="G272" s="239"/>
      <c r="H272" s="203"/>
      <c r="I272" s="234"/>
      <c r="J272" s="234"/>
      <c r="K272" s="234"/>
      <c r="L272" s="234"/>
      <c r="M272" s="234"/>
      <c r="N272" s="235" t="e">
        <f>(((I272+J272+K272+L272+M272)-C272*#REF!*2)/1000)</f>
        <v>#REF!</v>
      </c>
      <c r="O272" s="235"/>
      <c r="P272" s="200">
        <f t="shared" si="54"/>
        <v>0</v>
      </c>
      <c r="Q272" s="200">
        <f t="shared" si="55"/>
        <v>0</v>
      </c>
      <c r="R272" s="200">
        <f t="shared" si="56"/>
        <v>0</v>
      </c>
      <c r="S272" s="200">
        <f t="shared" si="57"/>
        <v>0</v>
      </c>
      <c r="T272" s="200">
        <f t="shared" si="58"/>
        <v>0</v>
      </c>
      <c r="U272" s="688">
        <f t="shared" si="59"/>
        <v>0</v>
      </c>
      <c r="V272" s="200">
        <f t="shared" si="60"/>
        <v>0</v>
      </c>
      <c r="W272" s="689"/>
    </row>
    <row r="273" spans="1:23" s="236" customFormat="1" ht="24.95" hidden="1" customHeight="1" outlineLevel="1">
      <c r="A273" s="239">
        <v>1</v>
      </c>
      <c r="B273" s="239" t="s">
        <v>392</v>
      </c>
      <c r="C273" s="240">
        <v>10</v>
      </c>
      <c r="D273" s="690"/>
      <c r="E273" s="240"/>
      <c r="F273" s="836"/>
      <c r="G273" s="239">
        <v>5</v>
      </c>
      <c r="H273" s="203">
        <v>2</v>
      </c>
      <c r="I273" s="241">
        <v>100</v>
      </c>
      <c r="J273" s="234"/>
      <c r="K273" s="241">
        <v>1025</v>
      </c>
      <c r="L273" s="234"/>
      <c r="M273" s="241">
        <v>100</v>
      </c>
      <c r="N273" s="235" t="e">
        <f>(((I273+J273+K273+L273+M273)-C273*#REF!*2)/1000)</f>
        <v>#REF!</v>
      </c>
      <c r="O273" s="235"/>
      <c r="P273" s="200">
        <f t="shared" si="54"/>
        <v>0</v>
      </c>
      <c r="Q273" s="200" t="e">
        <f t="shared" si="55"/>
        <v>#REF!</v>
      </c>
      <c r="R273" s="200">
        <f t="shared" si="56"/>
        <v>0</v>
      </c>
      <c r="S273" s="200">
        <f t="shared" si="57"/>
        <v>0</v>
      </c>
      <c r="T273" s="200">
        <f t="shared" si="58"/>
        <v>0</v>
      </c>
      <c r="U273" s="688">
        <f t="shared" si="59"/>
        <v>0</v>
      </c>
      <c r="V273" s="200">
        <f t="shared" si="60"/>
        <v>0</v>
      </c>
      <c r="W273" s="689"/>
    </row>
    <row r="274" spans="1:23" s="236" customFormat="1" ht="24.95" hidden="1" customHeight="1" outlineLevel="1">
      <c r="A274" s="239"/>
      <c r="B274" s="239" t="s">
        <v>393</v>
      </c>
      <c r="C274" s="240">
        <v>10</v>
      </c>
      <c r="D274" s="690"/>
      <c r="E274" s="240"/>
      <c r="F274" s="836"/>
      <c r="G274" s="239">
        <v>5</v>
      </c>
      <c r="H274" s="203">
        <v>2</v>
      </c>
      <c r="I274" s="241">
        <v>100</v>
      </c>
      <c r="J274" s="234"/>
      <c r="K274" s="241">
        <v>1025</v>
      </c>
      <c r="L274" s="234"/>
      <c r="M274" s="241">
        <v>100</v>
      </c>
      <c r="N274" s="235" t="e">
        <f>(((I274+J274+K274+L274+M274)-C274*#REF!*2)/1000)</f>
        <v>#REF!</v>
      </c>
      <c r="O274" s="235"/>
      <c r="P274" s="200">
        <f t="shared" si="54"/>
        <v>0</v>
      </c>
      <c r="Q274" s="200" t="e">
        <f t="shared" si="55"/>
        <v>#REF!</v>
      </c>
      <c r="R274" s="200">
        <f t="shared" si="56"/>
        <v>0</v>
      </c>
      <c r="S274" s="200">
        <f t="shared" si="57"/>
        <v>0</v>
      </c>
      <c r="T274" s="200">
        <f t="shared" si="58"/>
        <v>0</v>
      </c>
      <c r="U274" s="688">
        <f t="shared" si="59"/>
        <v>0</v>
      </c>
      <c r="V274" s="200">
        <f t="shared" si="60"/>
        <v>0</v>
      </c>
      <c r="W274" s="689"/>
    </row>
    <row r="275" spans="1:23" s="236" customFormat="1" ht="24.95" hidden="1" customHeight="1" outlineLevel="1">
      <c r="A275" s="239"/>
      <c r="B275" s="239" t="s">
        <v>394</v>
      </c>
      <c r="C275" s="240">
        <v>8</v>
      </c>
      <c r="D275" s="690"/>
      <c r="E275" s="240"/>
      <c r="F275" s="836"/>
      <c r="G275" s="239">
        <v>5</v>
      </c>
      <c r="H275" s="203">
        <f>(K273/200)+1</f>
        <v>6.125</v>
      </c>
      <c r="I275" s="234"/>
      <c r="J275" s="234"/>
      <c r="K275" s="234">
        <v>820</v>
      </c>
      <c r="L275" s="234"/>
      <c r="M275" s="234"/>
      <c r="N275" s="235" t="e">
        <f>(((I275+J275+K275+L275+M275)-C275*#REF!*2)/1000)</f>
        <v>#REF!</v>
      </c>
      <c r="O275" s="235"/>
      <c r="P275" s="200" t="e">
        <f t="shared" si="54"/>
        <v>#REF!</v>
      </c>
      <c r="Q275" s="200">
        <f t="shared" si="55"/>
        <v>0</v>
      </c>
      <c r="R275" s="200">
        <f t="shared" si="56"/>
        <v>0</v>
      </c>
      <c r="S275" s="200">
        <f t="shared" si="57"/>
        <v>0</v>
      </c>
      <c r="T275" s="200">
        <f t="shared" si="58"/>
        <v>0</v>
      </c>
      <c r="U275" s="688">
        <f t="shared" si="59"/>
        <v>0</v>
      </c>
      <c r="V275" s="200">
        <f t="shared" si="60"/>
        <v>0</v>
      </c>
      <c r="W275" s="689"/>
    </row>
    <row r="276" spans="1:23" s="236" customFormat="1" ht="24.95" hidden="1" customHeight="1" outlineLevel="1">
      <c r="A276" s="239">
        <v>2</v>
      </c>
      <c r="B276" s="239" t="s">
        <v>392</v>
      </c>
      <c r="C276" s="240">
        <v>10</v>
      </c>
      <c r="D276" s="690"/>
      <c r="E276" s="240"/>
      <c r="F276" s="836"/>
      <c r="G276" s="239">
        <v>6</v>
      </c>
      <c r="H276" s="203">
        <v>2</v>
      </c>
      <c r="I276" s="241">
        <v>100</v>
      </c>
      <c r="J276" s="234"/>
      <c r="K276" s="234">
        <v>2010</v>
      </c>
      <c r="L276" s="234"/>
      <c r="M276" s="241">
        <v>100</v>
      </c>
      <c r="N276" s="235" t="e">
        <f>(((I276+J276+K276+L276+M276)-C276*#REF!*2)/1000)</f>
        <v>#REF!</v>
      </c>
      <c r="O276" s="235"/>
      <c r="P276" s="200">
        <f t="shared" si="54"/>
        <v>0</v>
      </c>
      <c r="Q276" s="200" t="e">
        <f t="shared" si="55"/>
        <v>#REF!</v>
      </c>
      <c r="R276" s="200">
        <f t="shared" si="56"/>
        <v>0</v>
      </c>
      <c r="S276" s="200">
        <f t="shared" si="57"/>
        <v>0</v>
      </c>
      <c r="T276" s="200">
        <f t="shared" si="58"/>
        <v>0</v>
      </c>
      <c r="U276" s="688">
        <f t="shared" si="59"/>
        <v>0</v>
      </c>
      <c r="V276" s="200">
        <f t="shared" si="60"/>
        <v>0</v>
      </c>
      <c r="W276" s="689"/>
    </row>
    <row r="277" spans="1:23" s="236" customFormat="1" ht="24.95" hidden="1" customHeight="1" outlineLevel="1">
      <c r="A277" s="239"/>
      <c r="B277" s="239" t="s">
        <v>393</v>
      </c>
      <c r="C277" s="240">
        <v>10</v>
      </c>
      <c r="D277" s="690"/>
      <c r="E277" s="240"/>
      <c r="F277" s="836"/>
      <c r="G277" s="239">
        <v>6</v>
      </c>
      <c r="H277" s="203">
        <v>2</v>
      </c>
      <c r="I277" s="241">
        <v>100</v>
      </c>
      <c r="J277" s="234"/>
      <c r="K277" s="234">
        <v>2010</v>
      </c>
      <c r="L277" s="234"/>
      <c r="M277" s="241">
        <v>100</v>
      </c>
      <c r="N277" s="235" t="e">
        <f>(((I277+J277+K277+L277+M277)-C277*#REF!*2)/1000)</f>
        <v>#REF!</v>
      </c>
      <c r="O277" s="235"/>
      <c r="P277" s="200">
        <f t="shared" si="54"/>
        <v>0</v>
      </c>
      <c r="Q277" s="200" t="e">
        <f t="shared" si="55"/>
        <v>#REF!</v>
      </c>
      <c r="R277" s="200">
        <f t="shared" si="56"/>
        <v>0</v>
      </c>
      <c r="S277" s="200">
        <f t="shared" si="57"/>
        <v>0</v>
      </c>
      <c r="T277" s="200">
        <f t="shared" si="58"/>
        <v>0</v>
      </c>
      <c r="U277" s="688">
        <f t="shared" si="59"/>
        <v>0</v>
      </c>
      <c r="V277" s="200">
        <f t="shared" si="60"/>
        <v>0</v>
      </c>
      <c r="W277" s="689"/>
    </row>
    <row r="278" spans="1:23" s="236" customFormat="1" ht="24.95" hidden="1" customHeight="1" outlineLevel="1">
      <c r="A278" s="239"/>
      <c r="B278" s="239" t="s">
        <v>394</v>
      </c>
      <c r="C278" s="240">
        <v>8</v>
      </c>
      <c r="D278" s="690"/>
      <c r="E278" s="240"/>
      <c r="F278" s="836"/>
      <c r="G278" s="239">
        <v>6</v>
      </c>
      <c r="H278" s="203">
        <f>(K276/200)+1</f>
        <v>11.05</v>
      </c>
      <c r="I278" s="234"/>
      <c r="J278" s="234"/>
      <c r="K278" s="234">
        <v>820</v>
      </c>
      <c r="L278" s="234"/>
      <c r="M278" s="234"/>
      <c r="N278" s="235" t="e">
        <f>(((I278+J278+K278+L278+M278)-C278*#REF!*2)/1000)</f>
        <v>#REF!</v>
      </c>
      <c r="O278" s="235"/>
      <c r="P278" s="200" t="e">
        <f t="shared" si="54"/>
        <v>#REF!</v>
      </c>
      <c r="Q278" s="200">
        <f t="shared" si="55"/>
        <v>0</v>
      </c>
      <c r="R278" s="200">
        <f t="shared" si="56"/>
        <v>0</v>
      </c>
      <c r="S278" s="200">
        <f t="shared" si="57"/>
        <v>0</v>
      </c>
      <c r="T278" s="200">
        <f t="shared" si="58"/>
        <v>0</v>
      </c>
      <c r="U278" s="688">
        <f t="shared" si="59"/>
        <v>0</v>
      </c>
      <c r="V278" s="200">
        <f t="shared" si="60"/>
        <v>0</v>
      </c>
      <c r="W278" s="689"/>
    </row>
    <row r="279" spans="1:23" s="236" customFormat="1" ht="24.95" hidden="1" customHeight="1" outlineLevel="1">
      <c r="A279" s="239">
        <v>3</v>
      </c>
      <c r="B279" s="239" t="s">
        <v>392</v>
      </c>
      <c r="C279" s="240">
        <v>10</v>
      </c>
      <c r="D279" s="690"/>
      <c r="E279" s="240"/>
      <c r="F279" s="836"/>
      <c r="G279" s="239">
        <v>1</v>
      </c>
      <c r="H279" s="203">
        <v>2</v>
      </c>
      <c r="I279" s="241">
        <v>100</v>
      </c>
      <c r="J279" s="234"/>
      <c r="K279" s="234">
        <v>2925</v>
      </c>
      <c r="L279" s="234"/>
      <c r="M279" s="241">
        <v>100</v>
      </c>
      <c r="N279" s="235" t="e">
        <f>(((I279+J279+K279+L279+M279)-C279*#REF!*2)/1000)</f>
        <v>#REF!</v>
      </c>
      <c r="O279" s="235"/>
      <c r="P279" s="200">
        <f t="shared" si="54"/>
        <v>0</v>
      </c>
      <c r="Q279" s="200" t="e">
        <f t="shared" si="55"/>
        <v>#REF!</v>
      </c>
      <c r="R279" s="200">
        <f t="shared" si="56"/>
        <v>0</v>
      </c>
      <c r="S279" s="200">
        <f t="shared" si="57"/>
        <v>0</v>
      </c>
      <c r="T279" s="200">
        <f t="shared" si="58"/>
        <v>0</v>
      </c>
      <c r="U279" s="688">
        <f t="shared" si="59"/>
        <v>0</v>
      </c>
      <c r="V279" s="200">
        <f t="shared" si="60"/>
        <v>0</v>
      </c>
      <c r="W279" s="689"/>
    </row>
    <row r="280" spans="1:23" s="236" customFormat="1" ht="24.95" hidden="1" customHeight="1" outlineLevel="1">
      <c r="A280" s="239"/>
      <c r="B280" s="239" t="s">
        <v>393</v>
      </c>
      <c r="C280" s="240">
        <v>10</v>
      </c>
      <c r="D280" s="690"/>
      <c r="E280" s="240"/>
      <c r="F280" s="836"/>
      <c r="G280" s="239">
        <v>1</v>
      </c>
      <c r="H280" s="203">
        <v>2</v>
      </c>
      <c r="I280" s="241">
        <v>100</v>
      </c>
      <c r="J280" s="234"/>
      <c r="K280" s="234">
        <v>2925</v>
      </c>
      <c r="L280" s="234"/>
      <c r="M280" s="241">
        <v>100</v>
      </c>
      <c r="N280" s="235" t="e">
        <f>(((I280+J280+K280+L280+M280)-C280*#REF!*2)/1000)</f>
        <v>#REF!</v>
      </c>
      <c r="O280" s="235"/>
      <c r="P280" s="200">
        <f t="shared" si="54"/>
        <v>0</v>
      </c>
      <c r="Q280" s="200" t="e">
        <f t="shared" si="55"/>
        <v>#REF!</v>
      </c>
      <c r="R280" s="200">
        <f t="shared" si="56"/>
        <v>0</v>
      </c>
      <c r="S280" s="200">
        <f t="shared" si="57"/>
        <v>0</v>
      </c>
      <c r="T280" s="200">
        <f t="shared" si="58"/>
        <v>0</v>
      </c>
      <c r="U280" s="688">
        <f t="shared" si="59"/>
        <v>0</v>
      </c>
      <c r="V280" s="200">
        <f t="shared" si="60"/>
        <v>0</v>
      </c>
      <c r="W280" s="689"/>
    </row>
    <row r="281" spans="1:23" s="236" customFormat="1" ht="24.95" hidden="1" customHeight="1" outlineLevel="1">
      <c r="A281" s="239"/>
      <c r="B281" s="239" t="s">
        <v>394</v>
      </c>
      <c r="C281" s="240">
        <v>8</v>
      </c>
      <c r="D281" s="690"/>
      <c r="E281" s="240"/>
      <c r="F281" s="836"/>
      <c r="G281" s="239">
        <v>1</v>
      </c>
      <c r="H281" s="203">
        <f>(K279/200)+1</f>
        <v>15.625</v>
      </c>
      <c r="I281" s="234"/>
      <c r="J281" s="234"/>
      <c r="K281" s="234">
        <v>820</v>
      </c>
      <c r="L281" s="234"/>
      <c r="M281" s="234"/>
      <c r="N281" s="235" t="e">
        <f>(((I281+J281+K281+L281+M281)-C281*#REF!*2)/1000)</f>
        <v>#REF!</v>
      </c>
      <c r="O281" s="235"/>
      <c r="P281" s="200" t="e">
        <f t="shared" si="54"/>
        <v>#REF!</v>
      </c>
      <c r="Q281" s="200">
        <f t="shared" si="55"/>
        <v>0</v>
      </c>
      <c r="R281" s="200">
        <f t="shared" si="56"/>
        <v>0</v>
      </c>
      <c r="S281" s="200">
        <f t="shared" si="57"/>
        <v>0</v>
      </c>
      <c r="T281" s="200">
        <f t="shared" si="58"/>
        <v>0</v>
      </c>
      <c r="U281" s="688">
        <f t="shared" si="59"/>
        <v>0</v>
      </c>
      <c r="V281" s="200">
        <f t="shared" si="60"/>
        <v>0</v>
      </c>
      <c r="W281" s="689"/>
    </row>
    <row r="282" spans="1:23" s="236" customFormat="1" ht="24.95" hidden="1" customHeight="1" outlineLevel="1">
      <c r="A282" s="239">
        <v>4</v>
      </c>
      <c r="B282" s="239" t="s">
        <v>392</v>
      </c>
      <c r="C282" s="240">
        <v>10</v>
      </c>
      <c r="D282" s="690"/>
      <c r="E282" s="240"/>
      <c r="F282" s="836"/>
      <c r="G282" s="239">
        <v>3</v>
      </c>
      <c r="H282" s="203">
        <v>2</v>
      </c>
      <c r="I282" s="241">
        <v>100</v>
      </c>
      <c r="J282" s="234"/>
      <c r="K282" s="241">
        <v>3770</v>
      </c>
      <c r="L282" s="234"/>
      <c r="M282" s="241">
        <v>100</v>
      </c>
      <c r="N282" s="235" t="e">
        <f>(((I282+J282+K282+L282+M282)-C282*#REF!*2)/1000)</f>
        <v>#REF!</v>
      </c>
      <c r="O282" s="235"/>
      <c r="P282" s="200">
        <f t="shared" si="54"/>
        <v>0</v>
      </c>
      <c r="Q282" s="200" t="e">
        <f t="shared" si="55"/>
        <v>#REF!</v>
      </c>
      <c r="R282" s="200">
        <f t="shared" si="56"/>
        <v>0</v>
      </c>
      <c r="S282" s="200">
        <f t="shared" si="57"/>
        <v>0</v>
      </c>
      <c r="T282" s="200">
        <f t="shared" si="58"/>
        <v>0</v>
      </c>
      <c r="U282" s="688">
        <f t="shared" si="59"/>
        <v>0</v>
      </c>
      <c r="V282" s="200">
        <f t="shared" si="60"/>
        <v>0</v>
      </c>
      <c r="W282" s="689"/>
    </row>
    <row r="283" spans="1:23" s="236" customFormat="1" ht="24.95" hidden="1" customHeight="1" outlineLevel="1">
      <c r="A283" s="239"/>
      <c r="B283" s="239" t="s">
        <v>393</v>
      </c>
      <c r="C283" s="240">
        <v>10</v>
      </c>
      <c r="D283" s="690"/>
      <c r="E283" s="240"/>
      <c r="F283" s="836"/>
      <c r="G283" s="239">
        <v>3</v>
      </c>
      <c r="H283" s="203">
        <v>2</v>
      </c>
      <c r="I283" s="241">
        <v>100</v>
      </c>
      <c r="J283" s="234"/>
      <c r="K283" s="241">
        <v>3770</v>
      </c>
      <c r="L283" s="234"/>
      <c r="M283" s="241">
        <v>100</v>
      </c>
      <c r="N283" s="235" t="e">
        <f>(((I283+J283+K283+L283+M283)-C283*#REF!*2)/1000)</f>
        <v>#REF!</v>
      </c>
      <c r="O283" s="235"/>
      <c r="P283" s="200">
        <f t="shared" si="54"/>
        <v>0</v>
      </c>
      <c r="Q283" s="200" t="e">
        <f t="shared" si="55"/>
        <v>#REF!</v>
      </c>
      <c r="R283" s="200">
        <f t="shared" si="56"/>
        <v>0</v>
      </c>
      <c r="S283" s="200">
        <f t="shared" si="57"/>
        <v>0</v>
      </c>
      <c r="T283" s="200">
        <f t="shared" si="58"/>
        <v>0</v>
      </c>
      <c r="U283" s="688">
        <f t="shared" si="59"/>
        <v>0</v>
      </c>
      <c r="V283" s="200">
        <f t="shared" si="60"/>
        <v>0</v>
      </c>
      <c r="W283" s="689"/>
    </row>
    <row r="284" spans="1:23" s="236" customFormat="1" ht="24.95" hidden="1" customHeight="1" outlineLevel="1">
      <c r="A284" s="239"/>
      <c r="B284" s="239" t="s">
        <v>394</v>
      </c>
      <c r="C284" s="240">
        <v>8</v>
      </c>
      <c r="D284" s="690"/>
      <c r="E284" s="240"/>
      <c r="F284" s="836"/>
      <c r="G284" s="239">
        <v>3</v>
      </c>
      <c r="H284" s="203">
        <f>(K282/200)+1</f>
        <v>19.850000000000001</v>
      </c>
      <c r="I284" s="234"/>
      <c r="J284" s="234"/>
      <c r="K284" s="234">
        <v>820</v>
      </c>
      <c r="L284" s="234"/>
      <c r="M284" s="234"/>
      <c r="N284" s="235" t="e">
        <f>(((I284+J284+K284+L284+M284)-C284*#REF!*2)/1000)</f>
        <v>#REF!</v>
      </c>
      <c r="O284" s="235"/>
      <c r="P284" s="200" t="e">
        <f t="shared" si="54"/>
        <v>#REF!</v>
      </c>
      <c r="Q284" s="200">
        <f t="shared" si="55"/>
        <v>0</v>
      </c>
      <c r="R284" s="200">
        <f t="shared" si="56"/>
        <v>0</v>
      </c>
      <c r="S284" s="200">
        <f t="shared" si="57"/>
        <v>0</v>
      </c>
      <c r="T284" s="200">
        <f t="shared" si="58"/>
        <v>0</v>
      </c>
      <c r="U284" s="688">
        <f t="shared" si="59"/>
        <v>0</v>
      </c>
      <c r="V284" s="200">
        <f t="shared" si="60"/>
        <v>0</v>
      </c>
      <c r="W284" s="689"/>
    </row>
    <row r="285" spans="1:23" s="236" customFormat="1" ht="24.95" hidden="1" customHeight="1" outlineLevel="1">
      <c r="A285" s="237">
        <v>3</v>
      </c>
      <c r="B285" s="238" t="s">
        <v>412</v>
      </c>
      <c r="C285" s="240"/>
      <c r="D285" s="690"/>
      <c r="E285" s="240"/>
      <c r="F285" s="836"/>
      <c r="G285" s="239"/>
      <c r="H285" s="203"/>
      <c r="I285" s="234"/>
      <c r="J285" s="234"/>
      <c r="K285" s="234"/>
      <c r="L285" s="234"/>
      <c r="M285" s="234"/>
      <c r="N285" s="235" t="e">
        <f>(((I285+J285+K285+L285+M285)-C285*#REF!*2)/1000)</f>
        <v>#REF!</v>
      </c>
      <c r="O285" s="235"/>
      <c r="P285" s="200">
        <f t="shared" si="54"/>
        <v>0</v>
      </c>
      <c r="Q285" s="200">
        <f t="shared" si="55"/>
        <v>0</v>
      </c>
      <c r="R285" s="200">
        <f t="shared" si="56"/>
        <v>0</v>
      </c>
      <c r="S285" s="200">
        <f t="shared" si="57"/>
        <v>0</v>
      </c>
      <c r="T285" s="200">
        <f t="shared" si="58"/>
        <v>0</v>
      </c>
      <c r="U285" s="688">
        <f t="shared" si="59"/>
        <v>0</v>
      </c>
      <c r="V285" s="200">
        <f t="shared" si="60"/>
        <v>0</v>
      </c>
      <c r="W285" s="689"/>
    </row>
    <row r="286" spans="1:23" s="236" customFormat="1" ht="24.95" hidden="1" customHeight="1" outlineLevel="1">
      <c r="A286" s="205" t="s">
        <v>413</v>
      </c>
      <c r="B286" s="205" t="s">
        <v>403</v>
      </c>
      <c r="C286" s="240"/>
      <c r="D286" s="690"/>
      <c r="E286" s="240"/>
      <c r="F286" s="836"/>
      <c r="G286" s="239"/>
      <c r="H286" s="203"/>
      <c r="I286" s="234"/>
      <c r="J286" s="234"/>
      <c r="K286" s="234"/>
      <c r="L286" s="234"/>
      <c r="M286" s="234"/>
      <c r="N286" s="235" t="e">
        <f>(((I286+J286+K286+L286+M286)-C286*#REF!*2)/1000)</f>
        <v>#REF!</v>
      </c>
      <c r="O286" s="235"/>
      <c r="P286" s="200">
        <f t="shared" si="54"/>
        <v>0</v>
      </c>
      <c r="Q286" s="200">
        <f t="shared" si="55"/>
        <v>0</v>
      </c>
      <c r="R286" s="200">
        <f t="shared" si="56"/>
        <v>0</v>
      </c>
      <c r="S286" s="200">
        <f t="shared" si="57"/>
        <v>0</v>
      </c>
      <c r="T286" s="200">
        <f t="shared" si="58"/>
        <v>0</v>
      </c>
      <c r="U286" s="688">
        <f t="shared" si="59"/>
        <v>0</v>
      </c>
      <c r="V286" s="200">
        <f t="shared" si="60"/>
        <v>0</v>
      </c>
      <c r="W286" s="689"/>
    </row>
    <row r="287" spans="1:23" s="236" customFormat="1" ht="24.95" hidden="1" customHeight="1" outlineLevel="1">
      <c r="A287" s="205" t="s">
        <v>414</v>
      </c>
      <c r="B287" s="206" t="s">
        <v>391</v>
      </c>
      <c r="C287" s="240"/>
      <c r="D287" s="690"/>
      <c r="E287" s="240"/>
      <c r="F287" s="836"/>
      <c r="G287" s="239"/>
      <c r="H287" s="203"/>
      <c r="I287" s="234"/>
      <c r="J287" s="234"/>
      <c r="K287" s="234"/>
      <c r="L287" s="234"/>
      <c r="M287" s="234"/>
      <c r="N287" s="235" t="e">
        <f>(((I287+J287+K287+L287+M287)-C287*#REF!*2)/1000)</f>
        <v>#REF!</v>
      </c>
      <c r="O287" s="235"/>
      <c r="P287" s="200">
        <f t="shared" si="54"/>
        <v>0</v>
      </c>
      <c r="Q287" s="200">
        <f t="shared" si="55"/>
        <v>0</v>
      </c>
      <c r="R287" s="200">
        <f t="shared" si="56"/>
        <v>0</v>
      </c>
      <c r="S287" s="200">
        <f t="shared" si="57"/>
        <v>0</v>
      </c>
      <c r="T287" s="200">
        <f t="shared" si="58"/>
        <v>0</v>
      </c>
      <c r="U287" s="688">
        <f t="shared" si="59"/>
        <v>0</v>
      </c>
      <c r="V287" s="200">
        <f t="shared" si="60"/>
        <v>0</v>
      </c>
      <c r="W287" s="689"/>
    </row>
    <row r="288" spans="1:23" s="236" customFormat="1" ht="24.95" hidden="1" customHeight="1" outlineLevel="1">
      <c r="A288" s="239">
        <v>1</v>
      </c>
      <c r="B288" s="239" t="s">
        <v>392</v>
      </c>
      <c r="C288" s="240">
        <v>10</v>
      </c>
      <c r="D288" s="690"/>
      <c r="E288" s="240"/>
      <c r="F288" s="836"/>
      <c r="G288" s="239">
        <v>1</v>
      </c>
      <c r="H288" s="203">
        <v>2</v>
      </c>
      <c r="I288" s="241">
        <v>100</v>
      </c>
      <c r="J288" s="234"/>
      <c r="K288" s="241">
        <v>4610</v>
      </c>
      <c r="L288" s="234"/>
      <c r="M288" s="241">
        <v>100</v>
      </c>
      <c r="N288" s="235" t="e">
        <f>(((I288+J288+K288+L288+M288)-C288*#REF!*2)/1000)</f>
        <v>#REF!</v>
      </c>
      <c r="O288" s="235"/>
      <c r="P288" s="200">
        <f t="shared" si="54"/>
        <v>0</v>
      </c>
      <c r="Q288" s="200" t="e">
        <f t="shared" si="55"/>
        <v>#REF!</v>
      </c>
      <c r="R288" s="200">
        <f t="shared" si="56"/>
        <v>0</v>
      </c>
      <c r="S288" s="200">
        <f t="shared" si="57"/>
        <v>0</v>
      </c>
      <c r="T288" s="200">
        <f t="shared" si="58"/>
        <v>0</v>
      </c>
      <c r="U288" s="688">
        <f t="shared" si="59"/>
        <v>0</v>
      </c>
      <c r="V288" s="200">
        <f t="shared" si="60"/>
        <v>0</v>
      </c>
      <c r="W288" s="689"/>
    </row>
    <row r="289" spans="1:23" s="236" customFormat="1" ht="24.95" hidden="1" customHeight="1" outlineLevel="1">
      <c r="A289" s="239"/>
      <c r="B289" s="239" t="s">
        <v>393</v>
      </c>
      <c r="C289" s="240">
        <v>10</v>
      </c>
      <c r="D289" s="690"/>
      <c r="E289" s="240"/>
      <c r="F289" s="836"/>
      <c r="G289" s="239">
        <v>1</v>
      </c>
      <c r="H289" s="203">
        <v>2</v>
      </c>
      <c r="I289" s="241">
        <v>100</v>
      </c>
      <c r="J289" s="234"/>
      <c r="K289" s="241">
        <v>4610</v>
      </c>
      <c r="L289" s="234"/>
      <c r="M289" s="241">
        <v>100</v>
      </c>
      <c r="N289" s="235" t="e">
        <f>(((I289+J289+K289+L289+M289)-C289*#REF!*2)/1000)</f>
        <v>#REF!</v>
      </c>
      <c r="O289" s="235"/>
      <c r="P289" s="200">
        <f t="shared" si="54"/>
        <v>0</v>
      </c>
      <c r="Q289" s="200" t="e">
        <f t="shared" si="55"/>
        <v>#REF!</v>
      </c>
      <c r="R289" s="200">
        <f t="shared" si="56"/>
        <v>0</v>
      </c>
      <c r="S289" s="200">
        <f t="shared" si="57"/>
        <v>0</v>
      </c>
      <c r="T289" s="200">
        <f t="shared" si="58"/>
        <v>0</v>
      </c>
      <c r="U289" s="688">
        <f t="shared" si="59"/>
        <v>0</v>
      </c>
      <c r="V289" s="200">
        <f t="shared" si="60"/>
        <v>0</v>
      </c>
      <c r="W289" s="689"/>
    </row>
    <row r="290" spans="1:23" s="236" customFormat="1" ht="24.95" hidden="1" customHeight="1" outlineLevel="1">
      <c r="A290" s="239"/>
      <c r="B290" s="239" t="s">
        <v>394</v>
      </c>
      <c r="C290" s="240">
        <v>8</v>
      </c>
      <c r="D290" s="690"/>
      <c r="E290" s="240"/>
      <c r="F290" s="836"/>
      <c r="G290" s="239">
        <v>1</v>
      </c>
      <c r="H290" s="203">
        <f>(K288/200)+1</f>
        <v>24.05</v>
      </c>
      <c r="I290" s="234"/>
      <c r="J290" s="234"/>
      <c r="K290" s="234">
        <v>820</v>
      </c>
      <c r="L290" s="234"/>
      <c r="M290" s="234"/>
      <c r="N290" s="235" t="e">
        <f>(((I290+J290+K290+L290+M290)-C290*#REF!*2)/1000)</f>
        <v>#REF!</v>
      </c>
      <c r="O290" s="235"/>
      <c r="P290" s="200" t="e">
        <f t="shared" si="54"/>
        <v>#REF!</v>
      </c>
      <c r="Q290" s="200">
        <f t="shared" si="55"/>
        <v>0</v>
      </c>
      <c r="R290" s="200">
        <f t="shared" si="56"/>
        <v>0</v>
      </c>
      <c r="S290" s="200">
        <f t="shared" si="57"/>
        <v>0</v>
      </c>
      <c r="T290" s="200">
        <f t="shared" si="58"/>
        <v>0</v>
      </c>
      <c r="U290" s="688">
        <f t="shared" si="59"/>
        <v>0</v>
      </c>
      <c r="V290" s="200">
        <f t="shared" si="60"/>
        <v>0</v>
      </c>
      <c r="W290" s="689"/>
    </row>
    <row r="291" spans="1:23" s="236" customFormat="1" ht="24.95" hidden="1" customHeight="1" outlineLevel="1">
      <c r="A291" s="239">
        <v>2</v>
      </c>
      <c r="B291" s="239" t="s">
        <v>392</v>
      </c>
      <c r="C291" s="240">
        <v>10</v>
      </c>
      <c r="D291" s="690"/>
      <c r="E291" s="240"/>
      <c r="F291" s="836"/>
      <c r="G291" s="239">
        <v>1</v>
      </c>
      <c r="H291" s="203">
        <v>2</v>
      </c>
      <c r="I291" s="241">
        <v>100</v>
      </c>
      <c r="J291" s="234"/>
      <c r="K291" s="234">
        <v>840</v>
      </c>
      <c r="L291" s="234"/>
      <c r="M291" s="241">
        <v>100</v>
      </c>
      <c r="N291" s="235" t="e">
        <f>(((I291+J291+K291+L291+M291)-C291*#REF!*2)/1000)</f>
        <v>#REF!</v>
      </c>
      <c r="O291" s="235"/>
      <c r="P291" s="200">
        <f t="shared" si="54"/>
        <v>0</v>
      </c>
      <c r="Q291" s="200" t="e">
        <f t="shared" si="55"/>
        <v>#REF!</v>
      </c>
      <c r="R291" s="200">
        <f t="shared" si="56"/>
        <v>0</v>
      </c>
      <c r="S291" s="200">
        <f t="shared" si="57"/>
        <v>0</v>
      </c>
      <c r="T291" s="200">
        <f t="shared" si="58"/>
        <v>0</v>
      </c>
      <c r="U291" s="688">
        <f t="shared" si="59"/>
        <v>0</v>
      </c>
      <c r="V291" s="200">
        <f t="shared" si="60"/>
        <v>0</v>
      </c>
      <c r="W291" s="689"/>
    </row>
    <row r="292" spans="1:23" s="236" customFormat="1" ht="24.95" hidden="1" customHeight="1" outlineLevel="1">
      <c r="A292" s="239"/>
      <c r="B292" s="239" t="s">
        <v>393</v>
      </c>
      <c r="C292" s="240">
        <v>10</v>
      </c>
      <c r="D292" s="690"/>
      <c r="E292" s="240"/>
      <c r="F292" s="836"/>
      <c r="G292" s="239">
        <v>1</v>
      </c>
      <c r="H292" s="203">
        <v>2</v>
      </c>
      <c r="I292" s="241">
        <v>100</v>
      </c>
      <c r="J292" s="234"/>
      <c r="K292" s="234">
        <v>840</v>
      </c>
      <c r="L292" s="234"/>
      <c r="M292" s="241">
        <v>100</v>
      </c>
      <c r="N292" s="235" t="e">
        <f>(((I292+J292+K292+L292+M292)-C292*#REF!*2)/1000)</f>
        <v>#REF!</v>
      </c>
      <c r="O292" s="235"/>
      <c r="P292" s="200">
        <f t="shared" si="54"/>
        <v>0</v>
      </c>
      <c r="Q292" s="200" t="e">
        <f t="shared" si="55"/>
        <v>#REF!</v>
      </c>
      <c r="R292" s="200">
        <f t="shared" si="56"/>
        <v>0</v>
      </c>
      <c r="S292" s="200">
        <f t="shared" si="57"/>
        <v>0</v>
      </c>
      <c r="T292" s="200">
        <f t="shared" si="58"/>
        <v>0</v>
      </c>
      <c r="U292" s="688">
        <f t="shared" si="59"/>
        <v>0</v>
      </c>
      <c r="V292" s="200">
        <f t="shared" si="60"/>
        <v>0</v>
      </c>
      <c r="W292" s="689"/>
    </row>
    <row r="293" spans="1:23" s="236" customFormat="1" ht="24.95" hidden="1" customHeight="1" outlineLevel="1">
      <c r="A293" s="239"/>
      <c r="B293" s="239" t="s">
        <v>394</v>
      </c>
      <c r="C293" s="240">
        <v>8</v>
      </c>
      <c r="D293" s="690"/>
      <c r="E293" s="240"/>
      <c r="F293" s="836"/>
      <c r="G293" s="239">
        <v>1</v>
      </c>
      <c r="H293" s="203">
        <f>(K291/200)+1</f>
        <v>5.2</v>
      </c>
      <c r="I293" s="234"/>
      <c r="J293" s="234"/>
      <c r="K293" s="234">
        <v>820</v>
      </c>
      <c r="L293" s="234"/>
      <c r="M293" s="234"/>
      <c r="N293" s="235" t="e">
        <f>(((I293+J293+K293+L293+M293)-C293*#REF!*2)/1000)</f>
        <v>#REF!</v>
      </c>
      <c r="O293" s="235"/>
      <c r="P293" s="200" t="e">
        <f t="shared" si="54"/>
        <v>#REF!</v>
      </c>
      <c r="Q293" s="200">
        <f t="shared" si="55"/>
        <v>0</v>
      </c>
      <c r="R293" s="200">
        <f t="shared" si="56"/>
        <v>0</v>
      </c>
      <c r="S293" s="200">
        <f t="shared" si="57"/>
        <v>0</v>
      </c>
      <c r="T293" s="200">
        <f t="shared" si="58"/>
        <v>0</v>
      </c>
      <c r="U293" s="688">
        <f t="shared" si="59"/>
        <v>0</v>
      </c>
      <c r="V293" s="200">
        <f t="shared" si="60"/>
        <v>0</v>
      </c>
      <c r="W293" s="689"/>
    </row>
    <row r="294" spans="1:23" s="236" customFormat="1" ht="24.95" hidden="1" customHeight="1" outlineLevel="1">
      <c r="A294" s="239">
        <v>3</v>
      </c>
      <c r="B294" s="239" t="s">
        <v>392</v>
      </c>
      <c r="C294" s="240">
        <v>10</v>
      </c>
      <c r="D294" s="690"/>
      <c r="E294" s="240"/>
      <c r="F294" s="836"/>
      <c r="G294" s="239">
        <v>1</v>
      </c>
      <c r="H294" s="203">
        <v>2</v>
      </c>
      <c r="I294" s="241">
        <v>100</v>
      </c>
      <c r="J294" s="234"/>
      <c r="K294" s="234">
        <v>2380</v>
      </c>
      <c r="L294" s="234"/>
      <c r="M294" s="241">
        <v>100</v>
      </c>
      <c r="N294" s="235" t="e">
        <f>(((I294+J294+K294+L294+M294)-C294*#REF!*2)/1000)</f>
        <v>#REF!</v>
      </c>
      <c r="O294" s="235"/>
      <c r="P294" s="200">
        <f t="shared" si="54"/>
        <v>0</v>
      </c>
      <c r="Q294" s="200" t="e">
        <f t="shared" si="55"/>
        <v>#REF!</v>
      </c>
      <c r="R294" s="200">
        <f t="shared" si="56"/>
        <v>0</v>
      </c>
      <c r="S294" s="200">
        <f t="shared" si="57"/>
        <v>0</v>
      </c>
      <c r="T294" s="200">
        <f t="shared" si="58"/>
        <v>0</v>
      </c>
      <c r="U294" s="688">
        <f t="shared" si="59"/>
        <v>0</v>
      </c>
      <c r="V294" s="200">
        <f t="shared" si="60"/>
        <v>0</v>
      </c>
      <c r="W294" s="689"/>
    </row>
    <row r="295" spans="1:23" s="236" customFormat="1" ht="24.95" hidden="1" customHeight="1" outlineLevel="1">
      <c r="A295" s="239"/>
      <c r="B295" s="239" t="s">
        <v>393</v>
      </c>
      <c r="C295" s="240">
        <v>10</v>
      </c>
      <c r="D295" s="690"/>
      <c r="E295" s="240"/>
      <c r="F295" s="836"/>
      <c r="G295" s="239">
        <v>1</v>
      </c>
      <c r="H295" s="203">
        <v>2</v>
      </c>
      <c r="I295" s="241">
        <v>100</v>
      </c>
      <c r="J295" s="234"/>
      <c r="K295" s="234">
        <v>2380</v>
      </c>
      <c r="L295" s="234"/>
      <c r="M295" s="241">
        <v>100</v>
      </c>
      <c r="N295" s="235" t="e">
        <f>(((I295+J295+K295+L295+M295)-C295*#REF!*2)/1000)</f>
        <v>#REF!</v>
      </c>
      <c r="O295" s="235"/>
      <c r="P295" s="200">
        <f t="shared" si="54"/>
        <v>0</v>
      </c>
      <c r="Q295" s="200" t="e">
        <f t="shared" si="55"/>
        <v>#REF!</v>
      </c>
      <c r="R295" s="200">
        <f t="shared" si="56"/>
        <v>0</v>
      </c>
      <c r="S295" s="200">
        <f t="shared" si="57"/>
        <v>0</v>
      </c>
      <c r="T295" s="200">
        <f t="shared" si="58"/>
        <v>0</v>
      </c>
      <c r="U295" s="688">
        <f t="shared" si="59"/>
        <v>0</v>
      </c>
      <c r="V295" s="200">
        <f t="shared" si="60"/>
        <v>0</v>
      </c>
      <c r="W295" s="689"/>
    </row>
    <row r="296" spans="1:23" s="236" customFormat="1" ht="24.95" hidden="1" customHeight="1" outlineLevel="1">
      <c r="A296" s="239"/>
      <c r="B296" s="239" t="s">
        <v>394</v>
      </c>
      <c r="C296" s="240">
        <v>8</v>
      </c>
      <c r="D296" s="690"/>
      <c r="E296" s="240"/>
      <c r="F296" s="836"/>
      <c r="G296" s="239">
        <v>1</v>
      </c>
      <c r="H296" s="203">
        <f>(K294/200)+1</f>
        <v>12.9</v>
      </c>
      <c r="I296" s="234"/>
      <c r="J296" s="234"/>
      <c r="K296" s="234">
        <v>820</v>
      </c>
      <c r="L296" s="234"/>
      <c r="M296" s="234"/>
      <c r="N296" s="235" t="e">
        <f>(((I296+J296+K296+L296+M296)-C296*#REF!*2)/1000)</f>
        <v>#REF!</v>
      </c>
      <c r="O296" s="235"/>
      <c r="P296" s="200" t="e">
        <f t="shared" si="54"/>
        <v>#REF!</v>
      </c>
      <c r="Q296" s="200">
        <f t="shared" si="55"/>
        <v>0</v>
      </c>
      <c r="R296" s="200">
        <f t="shared" si="56"/>
        <v>0</v>
      </c>
      <c r="S296" s="200">
        <f t="shared" si="57"/>
        <v>0</v>
      </c>
      <c r="T296" s="200">
        <f t="shared" si="58"/>
        <v>0</v>
      </c>
      <c r="U296" s="688">
        <f t="shared" si="59"/>
        <v>0</v>
      </c>
      <c r="V296" s="200">
        <f t="shared" si="60"/>
        <v>0</v>
      </c>
      <c r="W296" s="689"/>
    </row>
    <row r="297" spans="1:23" s="247" customFormat="1" ht="24.95" hidden="1" customHeight="1" outlineLevel="1">
      <c r="A297" s="242">
        <v>4</v>
      </c>
      <c r="B297" s="242" t="s">
        <v>392</v>
      </c>
      <c r="C297" s="243">
        <v>10</v>
      </c>
      <c r="D297" s="696"/>
      <c r="E297" s="243"/>
      <c r="F297" s="696"/>
      <c r="G297" s="242">
        <f t="shared" ref="G297:G305" si="61">1*0</f>
        <v>0</v>
      </c>
      <c r="H297" s="244">
        <v>2</v>
      </c>
      <c r="I297" s="245">
        <v>100</v>
      </c>
      <c r="J297" s="246"/>
      <c r="K297" s="246">
        <v>925</v>
      </c>
      <c r="L297" s="246"/>
      <c r="M297" s="245">
        <v>100</v>
      </c>
      <c r="N297" s="235" t="e">
        <f>(((I297+J297+K297+L297+M297)-C297*#REF!*2)/1000)</f>
        <v>#REF!</v>
      </c>
      <c r="O297" s="235"/>
      <c r="P297" s="200">
        <f t="shared" si="54"/>
        <v>0</v>
      </c>
      <c r="Q297" s="200" t="e">
        <f t="shared" si="55"/>
        <v>#REF!</v>
      </c>
      <c r="R297" s="200">
        <f t="shared" si="56"/>
        <v>0</v>
      </c>
      <c r="S297" s="200">
        <f t="shared" si="57"/>
        <v>0</v>
      </c>
      <c r="T297" s="200">
        <f t="shared" si="58"/>
        <v>0</v>
      </c>
      <c r="U297" s="688">
        <f t="shared" si="59"/>
        <v>0</v>
      </c>
      <c r="V297" s="200">
        <f t="shared" si="60"/>
        <v>0</v>
      </c>
      <c r="W297" s="697"/>
    </row>
    <row r="298" spans="1:23" s="247" customFormat="1" ht="24.95" hidden="1" customHeight="1" outlineLevel="1">
      <c r="A298" s="242"/>
      <c r="B298" s="242" t="s">
        <v>393</v>
      </c>
      <c r="C298" s="243">
        <v>10</v>
      </c>
      <c r="D298" s="696"/>
      <c r="E298" s="243"/>
      <c r="F298" s="696"/>
      <c r="G298" s="242">
        <f t="shared" si="61"/>
        <v>0</v>
      </c>
      <c r="H298" s="244">
        <v>2</v>
      </c>
      <c r="I298" s="245">
        <v>100</v>
      </c>
      <c r="J298" s="246"/>
      <c r="K298" s="246">
        <v>925</v>
      </c>
      <c r="L298" s="246"/>
      <c r="M298" s="245">
        <v>100</v>
      </c>
      <c r="N298" s="235" t="e">
        <f>(((I298+J298+K298+L298+M298)-C298*#REF!*2)/1000)</f>
        <v>#REF!</v>
      </c>
      <c r="O298" s="235"/>
      <c r="P298" s="200">
        <f t="shared" si="54"/>
        <v>0</v>
      </c>
      <c r="Q298" s="200" t="e">
        <f t="shared" si="55"/>
        <v>#REF!</v>
      </c>
      <c r="R298" s="200">
        <f t="shared" si="56"/>
        <v>0</v>
      </c>
      <c r="S298" s="200">
        <f t="shared" si="57"/>
        <v>0</v>
      </c>
      <c r="T298" s="200">
        <f t="shared" si="58"/>
        <v>0</v>
      </c>
      <c r="U298" s="688">
        <f t="shared" si="59"/>
        <v>0</v>
      </c>
      <c r="V298" s="200">
        <f t="shared" si="60"/>
        <v>0</v>
      </c>
      <c r="W298" s="697"/>
    </row>
    <row r="299" spans="1:23" s="247" customFormat="1" ht="24.95" hidden="1" customHeight="1" outlineLevel="1">
      <c r="A299" s="242"/>
      <c r="B299" s="242" t="s">
        <v>394</v>
      </c>
      <c r="C299" s="243">
        <v>8</v>
      </c>
      <c r="D299" s="696"/>
      <c r="E299" s="243"/>
      <c r="F299" s="696"/>
      <c r="G299" s="242">
        <f t="shared" si="61"/>
        <v>0</v>
      </c>
      <c r="H299" s="244">
        <f>(K297/200)+1</f>
        <v>5.625</v>
      </c>
      <c r="I299" s="246"/>
      <c r="J299" s="246"/>
      <c r="K299" s="246">
        <v>820</v>
      </c>
      <c r="L299" s="246"/>
      <c r="M299" s="246"/>
      <c r="N299" s="235" t="e">
        <f>(((I299+J299+K299+L299+M299)-C299*#REF!*2)/1000)</f>
        <v>#REF!</v>
      </c>
      <c r="O299" s="235"/>
      <c r="P299" s="200" t="e">
        <f t="shared" si="54"/>
        <v>#REF!</v>
      </c>
      <c r="Q299" s="200">
        <f t="shared" si="55"/>
        <v>0</v>
      </c>
      <c r="R299" s="200">
        <f t="shared" si="56"/>
        <v>0</v>
      </c>
      <c r="S299" s="200">
        <f t="shared" si="57"/>
        <v>0</v>
      </c>
      <c r="T299" s="200">
        <f t="shared" si="58"/>
        <v>0</v>
      </c>
      <c r="U299" s="688">
        <f t="shared" si="59"/>
        <v>0</v>
      </c>
      <c r="V299" s="200">
        <f t="shared" si="60"/>
        <v>0</v>
      </c>
      <c r="W299" s="697"/>
    </row>
    <row r="300" spans="1:23" s="247" customFormat="1" ht="24.95" hidden="1" customHeight="1" outlineLevel="1">
      <c r="A300" s="242">
        <v>5</v>
      </c>
      <c r="B300" s="242" t="s">
        <v>392</v>
      </c>
      <c r="C300" s="243">
        <v>10</v>
      </c>
      <c r="D300" s="696"/>
      <c r="E300" s="243"/>
      <c r="F300" s="696"/>
      <c r="G300" s="242">
        <f t="shared" si="61"/>
        <v>0</v>
      </c>
      <c r="H300" s="244">
        <v>2</v>
      </c>
      <c r="I300" s="245">
        <v>100</v>
      </c>
      <c r="J300" s="246"/>
      <c r="K300" s="246">
        <v>1205</v>
      </c>
      <c r="L300" s="246"/>
      <c r="M300" s="245">
        <v>100</v>
      </c>
      <c r="N300" s="235" t="e">
        <f>(((I300+J300+K300+L300+M300)-C300*#REF!*2)/1000)</f>
        <v>#REF!</v>
      </c>
      <c r="O300" s="235"/>
      <c r="P300" s="200">
        <f t="shared" si="54"/>
        <v>0</v>
      </c>
      <c r="Q300" s="200" t="e">
        <f t="shared" si="55"/>
        <v>#REF!</v>
      </c>
      <c r="R300" s="200">
        <f t="shared" si="56"/>
        <v>0</v>
      </c>
      <c r="S300" s="200">
        <f t="shared" si="57"/>
        <v>0</v>
      </c>
      <c r="T300" s="200">
        <f t="shared" si="58"/>
        <v>0</v>
      </c>
      <c r="U300" s="688">
        <f t="shared" si="59"/>
        <v>0</v>
      </c>
      <c r="V300" s="200">
        <f t="shared" si="60"/>
        <v>0</v>
      </c>
      <c r="W300" s="697"/>
    </row>
    <row r="301" spans="1:23" s="247" customFormat="1" ht="24.95" hidden="1" customHeight="1" outlineLevel="1">
      <c r="A301" s="242"/>
      <c r="B301" s="242" t="s">
        <v>393</v>
      </c>
      <c r="C301" s="243">
        <v>10</v>
      </c>
      <c r="D301" s="696"/>
      <c r="E301" s="243"/>
      <c r="F301" s="696"/>
      <c r="G301" s="242">
        <f t="shared" si="61"/>
        <v>0</v>
      </c>
      <c r="H301" s="244">
        <v>2</v>
      </c>
      <c r="I301" s="245">
        <v>100</v>
      </c>
      <c r="J301" s="246"/>
      <c r="K301" s="246">
        <v>1205</v>
      </c>
      <c r="L301" s="246"/>
      <c r="M301" s="245">
        <v>100</v>
      </c>
      <c r="N301" s="235" t="e">
        <f>(((I301+J301+K301+L301+M301)-C301*#REF!*2)/1000)</f>
        <v>#REF!</v>
      </c>
      <c r="O301" s="235"/>
      <c r="P301" s="200">
        <f t="shared" si="54"/>
        <v>0</v>
      </c>
      <c r="Q301" s="200" t="e">
        <f t="shared" si="55"/>
        <v>#REF!</v>
      </c>
      <c r="R301" s="200">
        <f t="shared" si="56"/>
        <v>0</v>
      </c>
      <c r="S301" s="200">
        <f t="shared" si="57"/>
        <v>0</v>
      </c>
      <c r="T301" s="200">
        <f t="shared" si="58"/>
        <v>0</v>
      </c>
      <c r="U301" s="688">
        <f t="shared" si="59"/>
        <v>0</v>
      </c>
      <c r="V301" s="200">
        <f t="shared" si="60"/>
        <v>0</v>
      </c>
      <c r="W301" s="697"/>
    </row>
    <row r="302" spans="1:23" s="247" customFormat="1" ht="24.95" hidden="1" customHeight="1" outlineLevel="1">
      <c r="A302" s="242"/>
      <c r="B302" s="242" t="s">
        <v>394</v>
      </c>
      <c r="C302" s="243">
        <v>8</v>
      </c>
      <c r="D302" s="696"/>
      <c r="E302" s="243"/>
      <c r="F302" s="696"/>
      <c r="G302" s="242">
        <f t="shared" si="61"/>
        <v>0</v>
      </c>
      <c r="H302" s="244">
        <f>(K300/200)+1</f>
        <v>7.0250000000000004</v>
      </c>
      <c r="I302" s="246"/>
      <c r="J302" s="246"/>
      <c r="K302" s="246">
        <v>820</v>
      </c>
      <c r="L302" s="246"/>
      <c r="M302" s="246"/>
      <c r="N302" s="235" t="e">
        <f>(((I302+J302+K302+L302+M302)-C302*#REF!*2)/1000)</f>
        <v>#REF!</v>
      </c>
      <c r="O302" s="235"/>
      <c r="P302" s="200" t="e">
        <f t="shared" si="54"/>
        <v>#REF!</v>
      </c>
      <c r="Q302" s="200">
        <f t="shared" si="55"/>
        <v>0</v>
      </c>
      <c r="R302" s="200">
        <f t="shared" si="56"/>
        <v>0</v>
      </c>
      <c r="S302" s="200">
        <f t="shared" si="57"/>
        <v>0</v>
      </c>
      <c r="T302" s="200">
        <f t="shared" si="58"/>
        <v>0</v>
      </c>
      <c r="U302" s="688">
        <f t="shared" si="59"/>
        <v>0</v>
      </c>
      <c r="V302" s="200">
        <f t="shared" si="60"/>
        <v>0</v>
      </c>
      <c r="W302" s="697"/>
    </row>
    <row r="303" spans="1:23" s="247" customFormat="1" ht="24.95" hidden="1" customHeight="1" outlineLevel="1">
      <c r="A303" s="242">
        <v>6</v>
      </c>
      <c r="B303" s="242" t="s">
        <v>392</v>
      </c>
      <c r="C303" s="243">
        <v>10</v>
      </c>
      <c r="D303" s="696"/>
      <c r="E303" s="243"/>
      <c r="F303" s="696"/>
      <c r="G303" s="242">
        <f t="shared" si="61"/>
        <v>0</v>
      </c>
      <c r="H303" s="244">
        <v>2</v>
      </c>
      <c r="I303" s="245">
        <v>100</v>
      </c>
      <c r="J303" s="246"/>
      <c r="K303" s="246">
        <v>1585</v>
      </c>
      <c r="L303" s="246"/>
      <c r="M303" s="245">
        <v>100</v>
      </c>
      <c r="N303" s="235" t="e">
        <f>(((I303+J303+K303+L303+M303)-C303*#REF!*2)/1000)</f>
        <v>#REF!</v>
      </c>
      <c r="O303" s="235"/>
      <c r="P303" s="200">
        <f t="shared" si="54"/>
        <v>0</v>
      </c>
      <c r="Q303" s="200" t="e">
        <f t="shared" si="55"/>
        <v>#REF!</v>
      </c>
      <c r="R303" s="200">
        <f t="shared" si="56"/>
        <v>0</v>
      </c>
      <c r="S303" s="200">
        <f t="shared" si="57"/>
        <v>0</v>
      </c>
      <c r="T303" s="200">
        <f t="shared" si="58"/>
        <v>0</v>
      </c>
      <c r="U303" s="688">
        <f t="shared" si="59"/>
        <v>0</v>
      </c>
      <c r="V303" s="200">
        <f t="shared" si="60"/>
        <v>0</v>
      </c>
      <c r="W303" s="697"/>
    </row>
    <row r="304" spans="1:23" s="247" customFormat="1" ht="24.95" hidden="1" customHeight="1" outlineLevel="1">
      <c r="A304" s="242"/>
      <c r="B304" s="242" t="s">
        <v>393</v>
      </c>
      <c r="C304" s="243">
        <v>10</v>
      </c>
      <c r="D304" s="696"/>
      <c r="E304" s="243"/>
      <c r="F304" s="696"/>
      <c r="G304" s="242">
        <f t="shared" si="61"/>
        <v>0</v>
      </c>
      <c r="H304" s="244">
        <v>2</v>
      </c>
      <c r="I304" s="245">
        <v>100</v>
      </c>
      <c r="J304" s="246"/>
      <c r="K304" s="246">
        <v>1585</v>
      </c>
      <c r="L304" s="246"/>
      <c r="M304" s="245">
        <v>100</v>
      </c>
      <c r="N304" s="235" t="e">
        <f>(((I304+J304+K304+L304+M304)-C304*#REF!*2)/1000)</f>
        <v>#REF!</v>
      </c>
      <c r="O304" s="235"/>
      <c r="P304" s="200">
        <f t="shared" si="54"/>
        <v>0</v>
      </c>
      <c r="Q304" s="200" t="e">
        <f t="shared" si="55"/>
        <v>#REF!</v>
      </c>
      <c r="R304" s="200">
        <f t="shared" si="56"/>
        <v>0</v>
      </c>
      <c r="S304" s="200">
        <f t="shared" si="57"/>
        <v>0</v>
      </c>
      <c r="T304" s="200">
        <f t="shared" si="58"/>
        <v>0</v>
      </c>
      <c r="U304" s="688">
        <f t="shared" si="59"/>
        <v>0</v>
      </c>
      <c r="V304" s="200">
        <f t="shared" si="60"/>
        <v>0</v>
      </c>
      <c r="W304" s="697"/>
    </row>
    <row r="305" spans="1:23" s="247" customFormat="1" ht="24.95" hidden="1" customHeight="1" outlineLevel="1">
      <c r="A305" s="242"/>
      <c r="B305" s="242" t="s">
        <v>394</v>
      </c>
      <c r="C305" s="243">
        <v>8</v>
      </c>
      <c r="D305" s="696"/>
      <c r="E305" s="243"/>
      <c r="F305" s="696"/>
      <c r="G305" s="242">
        <f t="shared" si="61"/>
        <v>0</v>
      </c>
      <c r="H305" s="244">
        <f>(K303/200)+1</f>
        <v>8.9250000000000007</v>
      </c>
      <c r="I305" s="246"/>
      <c r="J305" s="246"/>
      <c r="K305" s="246">
        <v>820</v>
      </c>
      <c r="L305" s="246"/>
      <c r="M305" s="246"/>
      <c r="N305" s="235" t="e">
        <f>(((I305+J305+K305+L305+M305)-C305*#REF!*2)/1000)</f>
        <v>#REF!</v>
      </c>
      <c r="O305" s="235"/>
      <c r="P305" s="200" t="e">
        <f t="shared" si="54"/>
        <v>#REF!</v>
      </c>
      <c r="Q305" s="200">
        <f t="shared" si="55"/>
        <v>0</v>
      </c>
      <c r="R305" s="200">
        <f t="shared" si="56"/>
        <v>0</v>
      </c>
      <c r="S305" s="200">
        <f t="shared" si="57"/>
        <v>0</v>
      </c>
      <c r="T305" s="200">
        <f t="shared" si="58"/>
        <v>0</v>
      </c>
      <c r="U305" s="688">
        <f t="shared" si="59"/>
        <v>0</v>
      </c>
      <c r="V305" s="200">
        <f t="shared" si="60"/>
        <v>0</v>
      </c>
      <c r="W305" s="697"/>
    </row>
    <row r="306" spans="1:23" s="236" customFormat="1" ht="24.95" hidden="1" customHeight="1" outlineLevel="1">
      <c r="A306" s="239">
        <v>7</v>
      </c>
      <c r="B306" s="239" t="s">
        <v>392</v>
      </c>
      <c r="C306" s="240">
        <v>10</v>
      </c>
      <c r="D306" s="690"/>
      <c r="E306" s="240"/>
      <c r="F306" s="836"/>
      <c r="G306" s="239">
        <v>1</v>
      </c>
      <c r="H306" s="203">
        <v>2</v>
      </c>
      <c r="I306" s="241">
        <v>100</v>
      </c>
      <c r="J306" s="234"/>
      <c r="K306" s="234">
        <v>4240</v>
      </c>
      <c r="L306" s="234"/>
      <c r="M306" s="241">
        <v>100</v>
      </c>
      <c r="N306" s="235" t="e">
        <f>(((I306+J306+K306+L306+M306)-C306*#REF!*2)/1000)</f>
        <v>#REF!</v>
      </c>
      <c r="O306" s="235"/>
      <c r="P306" s="200">
        <f t="shared" si="54"/>
        <v>0</v>
      </c>
      <c r="Q306" s="200" t="e">
        <f t="shared" si="55"/>
        <v>#REF!</v>
      </c>
      <c r="R306" s="200">
        <f t="shared" si="56"/>
        <v>0</v>
      </c>
      <c r="S306" s="200">
        <f t="shared" si="57"/>
        <v>0</v>
      </c>
      <c r="T306" s="200">
        <f t="shared" si="58"/>
        <v>0</v>
      </c>
      <c r="U306" s="688">
        <f t="shared" si="59"/>
        <v>0</v>
      </c>
      <c r="V306" s="200">
        <f t="shared" si="60"/>
        <v>0</v>
      </c>
      <c r="W306" s="689"/>
    </row>
    <row r="307" spans="1:23" s="236" customFormat="1" ht="24.95" hidden="1" customHeight="1" outlineLevel="1">
      <c r="A307" s="239"/>
      <c r="B307" s="239" t="s">
        <v>393</v>
      </c>
      <c r="C307" s="240">
        <v>10</v>
      </c>
      <c r="D307" s="690"/>
      <c r="E307" s="240"/>
      <c r="F307" s="836"/>
      <c r="G307" s="239">
        <v>1</v>
      </c>
      <c r="H307" s="203">
        <v>2</v>
      </c>
      <c r="I307" s="241">
        <v>100</v>
      </c>
      <c r="J307" s="234"/>
      <c r="K307" s="234">
        <v>4240</v>
      </c>
      <c r="L307" s="234"/>
      <c r="M307" s="241">
        <v>100</v>
      </c>
      <c r="N307" s="235" t="e">
        <f>(((I307+J307+K307+L307+M307)-C307*#REF!*2)/1000)</f>
        <v>#REF!</v>
      </c>
      <c r="O307" s="235"/>
      <c r="P307" s="200">
        <f t="shared" si="54"/>
        <v>0</v>
      </c>
      <c r="Q307" s="200" t="e">
        <f t="shared" si="55"/>
        <v>#REF!</v>
      </c>
      <c r="R307" s="200">
        <f t="shared" si="56"/>
        <v>0</v>
      </c>
      <c r="S307" s="200">
        <f t="shared" si="57"/>
        <v>0</v>
      </c>
      <c r="T307" s="200">
        <f t="shared" si="58"/>
        <v>0</v>
      </c>
      <c r="U307" s="688">
        <f t="shared" si="59"/>
        <v>0</v>
      </c>
      <c r="V307" s="200">
        <f t="shared" si="60"/>
        <v>0</v>
      </c>
      <c r="W307" s="689"/>
    </row>
    <row r="308" spans="1:23" s="236" customFormat="1" ht="24.95" hidden="1" customHeight="1" outlineLevel="1">
      <c r="A308" s="239"/>
      <c r="B308" s="239" t="s">
        <v>394</v>
      </c>
      <c r="C308" s="240">
        <v>8</v>
      </c>
      <c r="D308" s="690"/>
      <c r="E308" s="240"/>
      <c r="F308" s="836"/>
      <c r="G308" s="239">
        <v>1</v>
      </c>
      <c r="H308" s="203">
        <f>(K306/200)+1</f>
        <v>22.2</v>
      </c>
      <c r="I308" s="234"/>
      <c r="J308" s="234"/>
      <c r="K308" s="234">
        <v>820</v>
      </c>
      <c r="L308" s="234"/>
      <c r="M308" s="234"/>
      <c r="N308" s="235" t="e">
        <f>(((I308+J308+K308+L308+M308)-C308*#REF!*2)/1000)</f>
        <v>#REF!</v>
      </c>
      <c r="O308" s="235"/>
      <c r="P308" s="200" t="e">
        <f t="shared" si="54"/>
        <v>#REF!</v>
      </c>
      <c r="Q308" s="200">
        <f t="shared" si="55"/>
        <v>0</v>
      </c>
      <c r="R308" s="200">
        <f t="shared" si="56"/>
        <v>0</v>
      </c>
      <c r="S308" s="200">
        <f t="shared" si="57"/>
        <v>0</v>
      </c>
      <c r="T308" s="200">
        <f t="shared" si="58"/>
        <v>0</v>
      </c>
      <c r="U308" s="688">
        <f t="shared" si="59"/>
        <v>0</v>
      </c>
      <c r="V308" s="200">
        <f t="shared" si="60"/>
        <v>0</v>
      </c>
      <c r="W308" s="689"/>
    </row>
    <row r="309" spans="1:23" s="236" customFormat="1" ht="24.95" hidden="1" customHeight="1" outlineLevel="1">
      <c r="A309" s="239">
        <v>8</v>
      </c>
      <c r="B309" s="239" t="s">
        <v>392</v>
      </c>
      <c r="C309" s="240">
        <v>10</v>
      </c>
      <c r="D309" s="690"/>
      <c r="E309" s="240"/>
      <c r="F309" s="836"/>
      <c r="G309" s="239">
        <v>1</v>
      </c>
      <c r="H309" s="203">
        <v>2</v>
      </c>
      <c r="I309" s="241">
        <v>100</v>
      </c>
      <c r="J309" s="234"/>
      <c r="K309" s="234">
        <v>560</v>
      </c>
      <c r="L309" s="234"/>
      <c r="M309" s="241">
        <v>100</v>
      </c>
      <c r="N309" s="235" t="e">
        <f>(((I309+J309+K309+L309+M309)-C309*#REF!*2)/1000)</f>
        <v>#REF!</v>
      </c>
      <c r="O309" s="235"/>
      <c r="P309" s="200">
        <f t="shared" si="54"/>
        <v>0</v>
      </c>
      <c r="Q309" s="200" t="e">
        <f t="shared" si="55"/>
        <v>#REF!</v>
      </c>
      <c r="R309" s="200">
        <f t="shared" si="56"/>
        <v>0</v>
      </c>
      <c r="S309" s="200">
        <f t="shared" si="57"/>
        <v>0</v>
      </c>
      <c r="T309" s="200">
        <f t="shared" si="58"/>
        <v>0</v>
      </c>
      <c r="U309" s="688">
        <f t="shared" si="59"/>
        <v>0</v>
      </c>
      <c r="V309" s="200">
        <f t="shared" si="60"/>
        <v>0</v>
      </c>
      <c r="W309" s="689"/>
    </row>
    <row r="310" spans="1:23" s="236" customFormat="1" ht="24.95" hidden="1" customHeight="1" outlineLevel="1">
      <c r="A310" s="239"/>
      <c r="B310" s="239" t="s">
        <v>393</v>
      </c>
      <c r="C310" s="240">
        <v>10</v>
      </c>
      <c r="D310" s="690"/>
      <c r="E310" s="240"/>
      <c r="F310" s="836"/>
      <c r="G310" s="239">
        <v>1</v>
      </c>
      <c r="H310" s="203">
        <v>2</v>
      </c>
      <c r="I310" s="241">
        <v>100</v>
      </c>
      <c r="J310" s="234"/>
      <c r="K310" s="234">
        <v>560</v>
      </c>
      <c r="L310" s="234"/>
      <c r="M310" s="241">
        <v>100</v>
      </c>
      <c r="N310" s="235" t="e">
        <f>(((I310+J310+K310+L310+M310)-C310*#REF!*2)/1000)</f>
        <v>#REF!</v>
      </c>
      <c r="O310" s="235"/>
      <c r="P310" s="200">
        <f t="shared" si="54"/>
        <v>0</v>
      </c>
      <c r="Q310" s="200" t="e">
        <f t="shared" si="55"/>
        <v>#REF!</v>
      </c>
      <c r="R310" s="200">
        <f t="shared" si="56"/>
        <v>0</v>
      </c>
      <c r="S310" s="200">
        <f t="shared" si="57"/>
        <v>0</v>
      </c>
      <c r="T310" s="200">
        <f t="shared" si="58"/>
        <v>0</v>
      </c>
      <c r="U310" s="688">
        <f t="shared" si="59"/>
        <v>0</v>
      </c>
      <c r="V310" s="200">
        <f t="shared" si="60"/>
        <v>0</v>
      </c>
      <c r="W310" s="689"/>
    </row>
    <row r="311" spans="1:23" s="236" customFormat="1" ht="24.95" hidden="1" customHeight="1" outlineLevel="1">
      <c r="A311" s="239"/>
      <c r="B311" s="239" t="s">
        <v>394</v>
      </c>
      <c r="C311" s="240">
        <v>8</v>
      </c>
      <c r="D311" s="690"/>
      <c r="E311" s="240"/>
      <c r="F311" s="836"/>
      <c r="G311" s="239">
        <v>1</v>
      </c>
      <c r="H311" s="203">
        <f>(K309/200)+1</f>
        <v>3.8</v>
      </c>
      <c r="I311" s="234"/>
      <c r="J311" s="234"/>
      <c r="K311" s="234">
        <v>820</v>
      </c>
      <c r="L311" s="234"/>
      <c r="M311" s="234"/>
      <c r="N311" s="235" t="e">
        <f>(((I311+J311+K311+L311+M311)-C311*#REF!*2)/1000)</f>
        <v>#REF!</v>
      </c>
      <c r="O311" s="235"/>
      <c r="P311" s="200" t="e">
        <f t="shared" si="54"/>
        <v>#REF!</v>
      </c>
      <c r="Q311" s="200">
        <f t="shared" si="55"/>
        <v>0</v>
      </c>
      <c r="R311" s="200">
        <f t="shared" si="56"/>
        <v>0</v>
      </c>
      <c r="S311" s="200">
        <f t="shared" si="57"/>
        <v>0</v>
      </c>
      <c r="T311" s="200">
        <f t="shared" si="58"/>
        <v>0</v>
      </c>
      <c r="U311" s="688">
        <f t="shared" si="59"/>
        <v>0</v>
      </c>
      <c r="V311" s="200">
        <f t="shared" si="60"/>
        <v>0</v>
      </c>
      <c r="W311" s="689"/>
    </row>
    <row r="312" spans="1:23" s="236" customFormat="1" ht="24.95" hidden="1" customHeight="1" outlineLevel="1">
      <c r="A312" s="239">
        <v>9</v>
      </c>
      <c r="B312" s="239" t="s">
        <v>392</v>
      </c>
      <c r="C312" s="240">
        <v>10</v>
      </c>
      <c r="D312" s="690"/>
      <c r="E312" s="240"/>
      <c r="F312" s="836"/>
      <c r="G312" s="239">
        <v>1</v>
      </c>
      <c r="H312" s="203">
        <v>2</v>
      </c>
      <c r="I312" s="241">
        <v>100</v>
      </c>
      <c r="J312" s="234"/>
      <c r="K312" s="234">
        <v>1460</v>
      </c>
      <c r="L312" s="234"/>
      <c r="M312" s="241">
        <v>100</v>
      </c>
      <c r="N312" s="235" t="e">
        <f>(((I312+J312+K312+L312+M312)-C312*#REF!*2)/1000)</f>
        <v>#REF!</v>
      </c>
      <c r="O312" s="235"/>
      <c r="P312" s="200">
        <f t="shared" si="54"/>
        <v>0</v>
      </c>
      <c r="Q312" s="200" t="e">
        <f t="shared" si="55"/>
        <v>#REF!</v>
      </c>
      <c r="R312" s="200">
        <f t="shared" si="56"/>
        <v>0</v>
      </c>
      <c r="S312" s="200">
        <f t="shared" si="57"/>
        <v>0</v>
      </c>
      <c r="T312" s="200">
        <f t="shared" si="58"/>
        <v>0</v>
      </c>
      <c r="U312" s="688">
        <f t="shared" si="59"/>
        <v>0</v>
      </c>
      <c r="V312" s="200">
        <f t="shared" si="60"/>
        <v>0</v>
      </c>
      <c r="W312" s="689"/>
    </row>
    <row r="313" spans="1:23" s="236" customFormat="1" ht="24.95" hidden="1" customHeight="1" outlineLevel="1">
      <c r="A313" s="239"/>
      <c r="B313" s="239" t="s">
        <v>393</v>
      </c>
      <c r="C313" s="240">
        <v>10</v>
      </c>
      <c r="D313" s="690"/>
      <c r="E313" s="240"/>
      <c r="F313" s="836"/>
      <c r="G313" s="239">
        <v>1</v>
      </c>
      <c r="H313" s="203">
        <v>2</v>
      </c>
      <c r="I313" s="241">
        <v>100</v>
      </c>
      <c r="J313" s="234"/>
      <c r="K313" s="234">
        <v>1460</v>
      </c>
      <c r="L313" s="234"/>
      <c r="M313" s="241">
        <v>100</v>
      </c>
      <c r="N313" s="235" t="e">
        <f>(((I313+J313+K313+L313+M313)-C313*#REF!*2)/1000)</f>
        <v>#REF!</v>
      </c>
      <c r="O313" s="235"/>
      <c r="P313" s="200">
        <f t="shared" si="54"/>
        <v>0</v>
      </c>
      <c r="Q313" s="200" t="e">
        <f t="shared" si="55"/>
        <v>#REF!</v>
      </c>
      <c r="R313" s="200">
        <f t="shared" si="56"/>
        <v>0</v>
      </c>
      <c r="S313" s="200">
        <f t="shared" si="57"/>
        <v>0</v>
      </c>
      <c r="T313" s="200">
        <f t="shared" si="58"/>
        <v>0</v>
      </c>
      <c r="U313" s="688">
        <f t="shared" si="59"/>
        <v>0</v>
      </c>
      <c r="V313" s="200">
        <f t="shared" si="60"/>
        <v>0</v>
      </c>
      <c r="W313" s="689"/>
    </row>
    <row r="314" spans="1:23" s="236" customFormat="1" ht="24.95" hidden="1" customHeight="1" outlineLevel="1">
      <c r="A314" s="239"/>
      <c r="B314" s="239" t="s">
        <v>394</v>
      </c>
      <c r="C314" s="240">
        <v>8</v>
      </c>
      <c r="D314" s="690"/>
      <c r="E314" s="240"/>
      <c r="F314" s="836"/>
      <c r="G314" s="239">
        <v>1</v>
      </c>
      <c r="H314" s="203">
        <f>(K312/200)+1</f>
        <v>8.3000000000000007</v>
      </c>
      <c r="I314" s="234"/>
      <c r="J314" s="234"/>
      <c r="K314" s="234">
        <v>820</v>
      </c>
      <c r="L314" s="234"/>
      <c r="M314" s="234"/>
      <c r="N314" s="235" t="e">
        <f>(((I314+J314+K314+L314+M314)-C314*#REF!*2)/1000)</f>
        <v>#REF!</v>
      </c>
      <c r="O314" s="235"/>
      <c r="P314" s="200" t="e">
        <f t="shared" si="54"/>
        <v>#REF!</v>
      </c>
      <c r="Q314" s="200">
        <f t="shared" si="55"/>
        <v>0</v>
      </c>
      <c r="R314" s="200">
        <f t="shared" si="56"/>
        <v>0</v>
      </c>
      <c r="S314" s="200">
        <f t="shared" si="57"/>
        <v>0</v>
      </c>
      <c r="T314" s="200">
        <f t="shared" si="58"/>
        <v>0</v>
      </c>
      <c r="U314" s="688">
        <f t="shared" si="59"/>
        <v>0</v>
      </c>
      <c r="V314" s="200">
        <f t="shared" si="60"/>
        <v>0</v>
      </c>
      <c r="W314" s="689"/>
    </row>
    <row r="315" spans="1:23" s="236" customFormat="1" ht="24.95" hidden="1" customHeight="1" outlineLevel="1">
      <c r="A315" s="239">
        <v>10</v>
      </c>
      <c r="B315" s="239" t="s">
        <v>392</v>
      </c>
      <c r="C315" s="240">
        <v>10</v>
      </c>
      <c r="D315" s="690"/>
      <c r="E315" s="240"/>
      <c r="F315" s="836"/>
      <c r="G315" s="239">
        <v>1</v>
      </c>
      <c r="H315" s="203">
        <v>2</v>
      </c>
      <c r="I315" s="241">
        <v>100</v>
      </c>
      <c r="J315" s="234"/>
      <c r="K315" s="241">
        <v>4240</v>
      </c>
      <c r="L315" s="234"/>
      <c r="M315" s="241">
        <v>100</v>
      </c>
      <c r="N315" s="235" t="e">
        <f>(((I315+J315+K315+L315+M315)-C315*#REF!*2)/1000)</f>
        <v>#REF!</v>
      </c>
      <c r="O315" s="235"/>
      <c r="P315" s="200">
        <f t="shared" si="54"/>
        <v>0</v>
      </c>
      <c r="Q315" s="200" t="e">
        <f t="shared" si="55"/>
        <v>#REF!</v>
      </c>
      <c r="R315" s="200">
        <f t="shared" si="56"/>
        <v>0</v>
      </c>
      <c r="S315" s="200">
        <f t="shared" si="57"/>
        <v>0</v>
      </c>
      <c r="T315" s="200">
        <f t="shared" si="58"/>
        <v>0</v>
      </c>
      <c r="U315" s="688">
        <f t="shared" si="59"/>
        <v>0</v>
      </c>
      <c r="V315" s="200">
        <f t="shared" si="60"/>
        <v>0</v>
      </c>
      <c r="W315" s="689"/>
    </row>
    <row r="316" spans="1:23" s="236" customFormat="1" ht="24.95" hidden="1" customHeight="1" outlineLevel="1">
      <c r="A316" s="239"/>
      <c r="B316" s="239" t="s">
        <v>393</v>
      </c>
      <c r="C316" s="240">
        <v>10</v>
      </c>
      <c r="D316" s="690"/>
      <c r="E316" s="240"/>
      <c r="F316" s="836"/>
      <c r="G316" s="239">
        <v>1</v>
      </c>
      <c r="H316" s="203">
        <v>2</v>
      </c>
      <c r="I316" s="241">
        <v>100</v>
      </c>
      <c r="J316" s="234"/>
      <c r="K316" s="241">
        <v>4240</v>
      </c>
      <c r="L316" s="234"/>
      <c r="M316" s="241">
        <v>100</v>
      </c>
      <c r="N316" s="235" t="e">
        <f>(((I316+J316+K316+L316+M316)-C316*#REF!*2)/1000)</f>
        <v>#REF!</v>
      </c>
      <c r="O316" s="235"/>
      <c r="P316" s="200">
        <f t="shared" si="54"/>
        <v>0</v>
      </c>
      <c r="Q316" s="200" t="e">
        <f t="shared" si="55"/>
        <v>#REF!</v>
      </c>
      <c r="R316" s="200">
        <f t="shared" si="56"/>
        <v>0</v>
      </c>
      <c r="S316" s="200">
        <f t="shared" si="57"/>
        <v>0</v>
      </c>
      <c r="T316" s="200">
        <f t="shared" si="58"/>
        <v>0</v>
      </c>
      <c r="U316" s="688">
        <f t="shared" si="59"/>
        <v>0</v>
      </c>
      <c r="V316" s="200">
        <f t="shared" si="60"/>
        <v>0</v>
      </c>
      <c r="W316" s="689"/>
    </row>
    <row r="317" spans="1:23" s="236" customFormat="1" ht="24.95" hidden="1" customHeight="1" outlineLevel="1">
      <c r="A317" s="239"/>
      <c r="B317" s="239" t="s">
        <v>394</v>
      </c>
      <c r="C317" s="240">
        <v>8</v>
      </c>
      <c r="D317" s="690"/>
      <c r="E317" s="240"/>
      <c r="F317" s="836"/>
      <c r="G317" s="239">
        <v>1</v>
      </c>
      <c r="H317" s="249">
        <f>(K315/200)+1</f>
        <v>22.2</v>
      </c>
      <c r="I317" s="234"/>
      <c r="J317" s="234"/>
      <c r="K317" s="234">
        <v>820</v>
      </c>
      <c r="L317" s="234"/>
      <c r="M317" s="234"/>
      <c r="N317" s="235" t="e">
        <f>(((I317+J317+K317+L317+M317)-C317*#REF!*2)/1000)</f>
        <v>#REF!</v>
      </c>
      <c r="O317" s="235"/>
      <c r="P317" s="200" t="e">
        <f t="shared" si="54"/>
        <v>#REF!</v>
      </c>
      <c r="Q317" s="200">
        <f t="shared" si="55"/>
        <v>0</v>
      </c>
      <c r="R317" s="200">
        <f t="shared" si="56"/>
        <v>0</v>
      </c>
      <c r="S317" s="200">
        <f t="shared" si="57"/>
        <v>0</v>
      </c>
      <c r="T317" s="200">
        <f t="shared" si="58"/>
        <v>0</v>
      </c>
      <c r="U317" s="688">
        <f t="shared" si="59"/>
        <v>0</v>
      </c>
      <c r="V317" s="200">
        <f t="shared" si="60"/>
        <v>0</v>
      </c>
      <c r="W317" s="689"/>
    </row>
    <row r="318" spans="1:23" s="247" customFormat="1" ht="24.95" hidden="1" customHeight="1" outlineLevel="1">
      <c r="A318" s="242">
        <v>11</v>
      </c>
      <c r="B318" s="242" t="s">
        <v>392</v>
      </c>
      <c r="C318" s="243">
        <v>10</v>
      </c>
      <c r="D318" s="696"/>
      <c r="E318" s="243"/>
      <c r="F318" s="696"/>
      <c r="G318" s="242">
        <f t="shared" ref="G318:G320" si="62">1*0</f>
        <v>0</v>
      </c>
      <c r="H318" s="244">
        <v>2</v>
      </c>
      <c r="I318" s="245">
        <v>100</v>
      </c>
      <c r="J318" s="246"/>
      <c r="K318" s="246">
        <v>3085</v>
      </c>
      <c r="L318" s="246"/>
      <c r="M318" s="245">
        <v>100</v>
      </c>
      <c r="N318" s="235" t="e">
        <f>(((I318+J318+K318+L318+M318)-C318*#REF!*2)/1000)</f>
        <v>#REF!</v>
      </c>
      <c r="O318" s="235"/>
      <c r="P318" s="200">
        <f t="shared" si="54"/>
        <v>0</v>
      </c>
      <c r="Q318" s="200" t="e">
        <f t="shared" si="55"/>
        <v>#REF!</v>
      </c>
      <c r="R318" s="200">
        <f t="shared" si="56"/>
        <v>0</v>
      </c>
      <c r="S318" s="200">
        <f t="shared" si="57"/>
        <v>0</v>
      </c>
      <c r="T318" s="200">
        <f t="shared" si="58"/>
        <v>0</v>
      </c>
      <c r="U318" s="688">
        <f t="shared" si="59"/>
        <v>0</v>
      </c>
      <c r="V318" s="200">
        <f t="shared" si="60"/>
        <v>0</v>
      </c>
      <c r="W318" s="697"/>
    </row>
    <row r="319" spans="1:23" s="247" customFormat="1" ht="24.95" hidden="1" customHeight="1" outlineLevel="1">
      <c r="A319" s="242"/>
      <c r="B319" s="242" t="s">
        <v>393</v>
      </c>
      <c r="C319" s="243">
        <v>10</v>
      </c>
      <c r="D319" s="696"/>
      <c r="E319" s="243"/>
      <c r="F319" s="696"/>
      <c r="G319" s="242">
        <f t="shared" si="62"/>
        <v>0</v>
      </c>
      <c r="H319" s="244">
        <v>2</v>
      </c>
      <c r="I319" s="245">
        <v>100</v>
      </c>
      <c r="J319" s="246"/>
      <c r="K319" s="246">
        <v>3085</v>
      </c>
      <c r="L319" s="246"/>
      <c r="M319" s="245">
        <v>100</v>
      </c>
      <c r="N319" s="235" t="e">
        <f>(((I319+J319+K319+L319+M319)-C319*#REF!*2)/1000)</f>
        <v>#REF!</v>
      </c>
      <c r="O319" s="235"/>
      <c r="P319" s="200">
        <f t="shared" si="54"/>
        <v>0</v>
      </c>
      <c r="Q319" s="200" t="e">
        <f t="shared" si="55"/>
        <v>#REF!</v>
      </c>
      <c r="R319" s="200">
        <f t="shared" si="56"/>
        <v>0</v>
      </c>
      <c r="S319" s="200">
        <f t="shared" si="57"/>
        <v>0</v>
      </c>
      <c r="T319" s="200">
        <f t="shared" si="58"/>
        <v>0</v>
      </c>
      <c r="U319" s="688">
        <f t="shared" si="59"/>
        <v>0</v>
      </c>
      <c r="V319" s="200">
        <f t="shared" si="60"/>
        <v>0</v>
      </c>
      <c r="W319" s="697"/>
    </row>
    <row r="320" spans="1:23" s="247" customFormat="1" ht="24.95" hidden="1" customHeight="1" outlineLevel="1">
      <c r="A320" s="242"/>
      <c r="B320" s="242" t="s">
        <v>394</v>
      </c>
      <c r="C320" s="243">
        <v>8</v>
      </c>
      <c r="D320" s="696"/>
      <c r="E320" s="243"/>
      <c r="F320" s="696"/>
      <c r="G320" s="242">
        <f t="shared" si="62"/>
        <v>0</v>
      </c>
      <c r="H320" s="244">
        <f>(K318/200)+1</f>
        <v>16.425000000000001</v>
      </c>
      <c r="I320" s="246"/>
      <c r="J320" s="246"/>
      <c r="K320" s="246">
        <v>820</v>
      </c>
      <c r="L320" s="246"/>
      <c r="M320" s="246"/>
      <c r="N320" s="235" t="e">
        <f>(((I320+J320+K320+L320+M320)-C320*#REF!*2)/1000)</f>
        <v>#REF!</v>
      </c>
      <c r="O320" s="235"/>
      <c r="P320" s="200" t="e">
        <f t="shared" si="54"/>
        <v>#REF!</v>
      </c>
      <c r="Q320" s="200">
        <f t="shared" si="55"/>
        <v>0</v>
      </c>
      <c r="R320" s="200">
        <f t="shared" si="56"/>
        <v>0</v>
      </c>
      <c r="S320" s="200">
        <f t="shared" si="57"/>
        <v>0</v>
      </c>
      <c r="T320" s="200">
        <f t="shared" si="58"/>
        <v>0</v>
      </c>
      <c r="U320" s="688">
        <f t="shared" si="59"/>
        <v>0</v>
      </c>
      <c r="V320" s="200">
        <f t="shared" si="60"/>
        <v>0</v>
      </c>
      <c r="W320" s="697"/>
    </row>
    <row r="321" spans="1:23" s="236" customFormat="1" ht="24.95" hidden="1" customHeight="1" outlineLevel="1">
      <c r="A321" s="239">
        <v>12</v>
      </c>
      <c r="B321" s="239" t="s">
        <v>392</v>
      </c>
      <c r="C321" s="240">
        <v>10</v>
      </c>
      <c r="D321" s="690"/>
      <c r="E321" s="240"/>
      <c r="F321" s="836"/>
      <c r="G321" s="239">
        <v>1</v>
      </c>
      <c r="H321" s="203">
        <v>2</v>
      </c>
      <c r="I321" s="241">
        <v>100</v>
      </c>
      <c r="J321" s="234"/>
      <c r="K321" s="234">
        <v>3260</v>
      </c>
      <c r="L321" s="234"/>
      <c r="M321" s="241">
        <v>100</v>
      </c>
      <c r="N321" s="235" t="e">
        <f>(((I321+J321+K321+L321+M321)-C321*#REF!*2)/1000)</f>
        <v>#REF!</v>
      </c>
      <c r="O321" s="235"/>
      <c r="P321" s="200">
        <f t="shared" si="54"/>
        <v>0</v>
      </c>
      <c r="Q321" s="200" t="e">
        <f t="shared" si="55"/>
        <v>#REF!</v>
      </c>
      <c r="R321" s="200">
        <f t="shared" si="56"/>
        <v>0</v>
      </c>
      <c r="S321" s="200">
        <f t="shared" si="57"/>
        <v>0</v>
      </c>
      <c r="T321" s="200">
        <f t="shared" si="58"/>
        <v>0</v>
      </c>
      <c r="U321" s="688">
        <f t="shared" si="59"/>
        <v>0</v>
      </c>
      <c r="V321" s="200">
        <f t="shared" si="60"/>
        <v>0</v>
      </c>
      <c r="W321" s="689"/>
    </row>
    <row r="322" spans="1:23" s="236" customFormat="1" ht="24.95" hidden="1" customHeight="1" outlineLevel="1">
      <c r="A322" s="239"/>
      <c r="B322" s="239" t="s">
        <v>393</v>
      </c>
      <c r="C322" s="240">
        <v>10</v>
      </c>
      <c r="D322" s="690"/>
      <c r="E322" s="240"/>
      <c r="F322" s="836"/>
      <c r="G322" s="239">
        <v>1</v>
      </c>
      <c r="H322" s="203">
        <v>2</v>
      </c>
      <c r="I322" s="241">
        <v>100</v>
      </c>
      <c r="J322" s="234"/>
      <c r="K322" s="234">
        <v>3260</v>
      </c>
      <c r="L322" s="234"/>
      <c r="M322" s="241">
        <v>100</v>
      </c>
      <c r="N322" s="235" t="e">
        <f>(((I322+J322+K322+L322+M322)-C322*#REF!*2)/1000)</f>
        <v>#REF!</v>
      </c>
      <c r="O322" s="235"/>
      <c r="P322" s="200">
        <f t="shared" si="54"/>
        <v>0</v>
      </c>
      <c r="Q322" s="200" t="e">
        <f t="shared" si="55"/>
        <v>#REF!</v>
      </c>
      <c r="R322" s="200">
        <f t="shared" si="56"/>
        <v>0</v>
      </c>
      <c r="S322" s="200">
        <f t="shared" si="57"/>
        <v>0</v>
      </c>
      <c r="T322" s="200">
        <f t="shared" si="58"/>
        <v>0</v>
      </c>
      <c r="U322" s="688">
        <f t="shared" si="59"/>
        <v>0</v>
      </c>
      <c r="V322" s="200">
        <f t="shared" si="60"/>
        <v>0</v>
      </c>
      <c r="W322" s="689"/>
    </row>
    <row r="323" spans="1:23" s="236" customFormat="1" ht="24.95" hidden="1" customHeight="1" outlineLevel="1">
      <c r="A323" s="239"/>
      <c r="B323" s="239" t="s">
        <v>394</v>
      </c>
      <c r="C323" s="240">
        <v>8</v>
      </c>
      <c r="D323" s="690"/>
      <c r="E323" s="240"/>
      <c r="F323" s="836"/>
      <c r="G323" s="239">
        <v>1</v>
      </c>
      <c r="H323" s="203">
        <f>(K321/200)+1</f>
        <v>17.3</v>
      </c>
      <c r="I323" s="234"/>
      <c r="J323" s="234"/>
      <c r="K323" s="234">
        <v>820</v>
      </c>
      <c r="L323" s="234"/>
      <c r="M323" s="234"/>
      <c r="N323" s="235" t="e">
        <f>(((I323+J323+K323+L323+M323)-C323*#REF!*2)/1000)</f>
        <v>#REF!</v>
      </c>
      <c r="O323" s="235"/>
      <c r="P323" s="200" t="e">
        <f t="shared" si="54"/>
        <v>#REF!</v>
      </c>
      <c r="Q323" s="200">
        <f t="shared" si="55"/>
        <v>0</v>
      </c>
      <c r="R323" s="200">
        <f t="shared" si="56"/>
        <v>0</v>
      </c>
      <c r="S323" s="200">
        <f t="shared" si="57"/>
        <v>0</v>
      </c>
      <c r="T323" s="200">
        <f t="shared" si="58"/>
        <v>0</v>
      </c>
      <c r="U323" s="688">
        <f t="shared" si="59"/>
        <v>0</v>
      </c>
      <c r="V323" s="200">
        <f t="shared" si="60"/>
        <v>0</v>
      </c>
      <c r="W323" s="689"/>
    </row>
    <row r="324" spans="1:23" s="236" customFormat="1" ht="24.95" hidden="1" customHeight="1" outlineLevel="1">
      <c r="A324" s="239">
        <v>13</v>
      </c>
      <c r="B324" s="239" t="s">
        <v>392</v>
      </c>
      <c r="C324" s="240">
        <v>10</v>
      </c>
      <c r="D324" s="690"/>
      <c r="E324" s="240"/>
      <c r="F324" s="836"/>
      <c r="G324" s="239">
        <v>1</v>
      </c>
      <c r="H324" s="203">
        <v>2</v>
      </c>
      <c r="I324" s="241">
        <v>100</v>
      </c>
      <c r="J324" s="234"/>
      <c r="K324" s="234">
        <v>780</v>
      </c>
      <c r="L324" s="234"/>
      <c r="M324" s="241">
        <v>100</v>
      </c>
      <c r="N324" s="235" t="e">
        <f>(((I324+J324+K324+L324+M324)-C324*#REF!*2)/1000)</f>
        <v>#REF!</v>
      </c>
      <c r="O324" s="235"/>
      <c r="P324" s="200">
        <f t="shared" si="54"/>
        <v>0</v>
      </c>
      <c r="Q324" s="200" t="e">
        <f t="shared" si="55"/>
        <v>#REF!</v>
      </c>
      <c r="R324" s="200">
        <f t="shared" si="56"/>
        <v>0</v>
      </c>
      <c r="S324" s="200">
        <f t="shared" si="57"/>
        <v>0</v>
      </c>
      <c r="T324" s="200">
        <f t="shared" si="58"/>
        <v>0</v>
      </c>
      <c r="U324" s="688">
        <f t="shared" si="59"/>
        <v>0</v>
      </c>
      <c r="V324" s="200">
        <f t="shared" si="60"/>
        <v>0</v>
      </c>
      <c r="W324" s="689"/>
    </row>
    <row r="325" spans="1:23" s="236" customFormat="1" ht="24.95" hidden="1" customHeight="1" outlineLevel="1">
      <c r="A325" s="239"/>
      <c r="B325" s="239" t="s">
        <v>393</v>
      </c>
      <c r="C325" s="240">
        <v>10</v>
      </c>
      <c r="D325" s="690"/>
      <c r="E325" s="240"/>
      <c r="F325" s="836"/>
      <c r="G325" s="239">
        <v>1</v>
      </c>
      <c r="H325" s="203">
        <v>2</v>
      </c>
      <c r="I325" s="241">
        <v>100</v>
      </c>
      <c r="J325" s="234"/>
      <c r="K325" s="234">
        <v>780</v>
      </c>
      <c r="L325" s="234"/>
      <c r="M325" s="241">
        <v>100</v>
      </c>
      <c r="N325" s="235" t="e">
        <f>(((I325+J325+K325+L325+M325)-C325*#REF!*2)/1000)</f>
        <v>#REF!</v>
      </c>
      <c r="O325" s="235"/>
      <c r="P325" s="200">
        <f t="shared" si="54"/>
        <v>0</v>
      </c>
      <c r="Q325" s="200" t="e">
        <f t="shared" si="55"/>
        <v>#REF!</v>
      </c>
      <c r="R325" s="200">
        <f t="shared" si="56"/>
        <v>0</v>
      </c>
      <c r="S325" s="200">
        <f t="shared" si="57"/>
        <v>0</v>
      </c>
      <c r="T325" s="200">
        <f t="shared" si="58"/>
        <v>0</v>
      </c>
      <c r="U325" s="688">
        <f t="shared" si="59"/>
        <v>0</v>
      </c>
      <c r="V325" s="200">
        <f t="shared" si="60"/>
        <v>0</v>
      </c>
      <c r="W325" s="689"/>
    </row>
    <row r="326" spans="1:23" s="236" customFormat="1" ht="24.95" hidden="1" customHeight="1" outlineLevel="1">
      <c r="A326" s="239"/>
      <c r="B326" s="239" t="s">
        <v>394</v>
      </c>
      <c r="C326" s="240">
        <v>8</v>
      </c>
      <c r="D326" s="690"/>
      <c r="E326" s="240"/>
      <c r="F326" s="836"/>
      <c r="G326" s="239">
        <v>1</v>
      </c>
      <c r="H326" s="203">
        <f>(K324/200)+1</f>
        <v>4.9000000000000004</v>
      </c>
      <c r="I326" s="234"/>
      <c r="J326" s="234"/>
      <c r="K326" s="234">
        <v>820</v>
      </c>
      <c r="L326" s="234"/>
      <c r="M326" s="234"/>
      <c r="N326" s="235" t="e">
        <f>(((I326+J326+K326+L326+M326)-C326*#REF!*2)/1000)</f>
        <v>#REF!</v>
      </c>
      <c r="O326" s="235"/>
      <c r="P326" s="200" t="e">
        <f t="shared" si="54"/>
        <v>#REF!</v>
      </c>
      <c r="Q326" s="200">
        <f t="shared" si="55"/>
        <v>0</v>
      </c>
      <c r="R326" s="200">
        <f t="shared" si="56"/>
        <v>0</v>
      </c>
      <c r="S326" s="200">
        <f t="shared" si="57"/>
        <v>0</v>
      </c>
      <c r="T326" s="200">
        <f t="shared" si="58"/>
        <v>0</v>
      </c>
      <c r="U326" s="688">
        <f t="shared" si="59"/>
        <v>0</v>
      </c>
      <c r="V326" s="200">
        <f t="shared" si="60"/>
        <v>0</v>
      </c>
      <c r="W326" s="689"/>
    </row>
    <row r="327" spans="1:23" s="236" customFormat="1" ht="24.95" hidden="1" customHeight="1" outlineLevel="1">
      <c r="A327" s="239">
        <v>14</v>
      </c>
      <c r="B327" s="239" t="s">
        <v>392</v>
      </c>
      <c r="C327" s="240">
        <v>10</v>
      </c>
      <c r="D327" s="690"/>
      <c r="E327" s="240"/>
      <c r="F327" s="836"/>
      <c r="G327" s="239">
        <v>1</v>
      </c>
      <c r="H327" s="203">
        <v>2</v>
      </c>
      <c r="I327" s="241">
        <v>100</v>
      </c>
      <c r="J327" s="234"/>
      <c r="K327" s="234">
        <v>6340</v>
      </c>
      <c r="L327" s="234"/>
      <c r="M327" s="241">
        <v>100</v>
      </c>
      <c r="N327" s="235" t="e">
        <f>(((I327+J327+K327+L327+M327)-C327*#REF!*2)/1000)</f>
        <v>#REF!</v>
      </c>
      <c r="O327" s="235"/>
      <c r="P327" s="200">
        <f t="shared" si="54"/>
        <v>0</v>
      </c>
      <c r="Q327" s="200" t="e">
        <f t="shared" si="55"/>
        <v>#REF!</v>
      </c>
      <c r="R327" s="200">
        <f t="shared" si="56"/>
        <v>0</v>
      </c>
      <c r="S327" s="200">
        <f t="shared" si="57"/>
        <v>0</v>
      </c>
      <c r="T327" s="200">
        <f t="shared" si="58"/>
        <v>0</v>
      </c>
      <c r="U327" s="688">
        <f t="shared" si="59"/>
        <v>0</v>
      </c>
      <c r="V327" s="200">
        <f t="shared" si="60"/>
        <v>0</v>
      </c>
      <c r="W327" s="689"/>
    </row>
    <row r="328" spans="1:23" s="236" customFormat="1" ht="24.95" hidden="1" customHeight="1" outlineLevel="1">
      <c r="A328" s="239"/>
      <c r="B328" s="239" t="s">
        <v>393</v>
      </c>
      <c r="C328" s="240">
        <v>10</v>
      </c>
      <c r="D328" s="690"/>
      <c r="E328" s="240"/>
      <c r="F328" s="836"/>
      <c r="G328" s="239">
        <v>1</v>
      </c>
      <c r="H328" s="203">
        <v>2</v>
      </c>
      <c r="I328" s="241">
        <v>100</v>
      </c>
      <c r="J328" s="234"/>
      <c r="K328" s="234">
        <v>6340</v>
      </c>
      <c r="L328" s="234"/>
      <c r="M328" s="241">
        <v>100</v>
      </c>
      <c r="N328" s="235" t="e">
        <f>(((I328+J328+K328+L328+M328)-C328*#REF!*2)/1000)</f>
        <v>#REF!</v>
      </c>
      <c r="O328" s="235"/>
      <c r="P328" s="200">
        <f t="shared" si="54"/>
        <v>0</v>
      </c>
      <c r="Q328" s="200" t="e">
        <f t="shared" si="55"/>
        <v>#REF!</v>
      </c>
      <c r="R328" s="200">
        <f t="shared" si="56"/>
        <v>0</v>
      </c>
      <c r="S328" s="200">
        <f t="shared" si="57"/>
        <v>0</v>
      </c>
      <c r="T328" s="200">
        <f t="shared" si="58"/>
        <v>0</v>
      </c>
      <c r="U328" s="688">
        <f t="shared" si="59"/>
        <v>0</v>
      </c>
      <c r="V328" s="200">
        <f t="shared" si="60"/>
        <v>0</v>
      </c>
      <c r="W328" s="689"/>
    </row>
    <row r="329" spans="1:23" s="236" customFormat="1" ht="24.95" hidden="1" customHeight="1" outlineLevel="1">
      <c r="A329" s="239"/>
      <c r="B329" s="239" t="s">
        <v>394</v>
      </c>
      <c r="C329" s="240">
        <v>8</v>
      </c>
      <c r="D329" s="690"/>
      <c r="E329" s="240"/>
      <c r="F329" s="836"/>
      <c r="G329" s="239">
        <v>1</v>
      </c>
      <c r="H329" s="203">
        <f>(K327/200)+1</f>
        <v>32.700000000000003</v>
      </c>
      <c r="I329" s="234"/>
      <c r="J329" s="234"/>
      <c r="K329" s="234">
        <v>820</v>
      </c>
      <c r="L329" s="234"/>
      <c r="M329" s="234"/>
      <c r="N329" s="235" t="e">
        <f>(((I329+J329+K329+L329+M329)-C329*#REF!*2)/1000)</f>
        <v>#REF!</v>
      </c>
      <c r="O329" s="235"/>
      <c r="P329" s="200" t="e">
        <f t="shared" si="54"/>
        <v>#REF!</v>
      </c>
      <c r="Q329" s="200">
        <f t="shared" si="55"/>
        <v>0</v>
      </c>
      <c r="R329" s="200">
        <f t="shared" si="56"/>
        <v>0</v>
      </c>
      <c r="S329" s="200">
        <f t="shared" si="57"/>
        <v>0</v>
      </c>
      <c r="T329" s="200">
        <f t="shared" si="58"/>
        <v>0</v>
      </c>
      <c r="U329" s="688">
        <f t="shared" si="59"/>
        <v>0</v>
      </c>
      <c r="V329" s="200">
        <f t="shared" si="60"/>
        <v>0</v>
      </c>
      <c r="W329" s="689"/>
    </row>
    <row r="330" spans="1:23" s="236" customFormat="1" ht="24.95" hidden="1" customHeight="1" outlineLevel="1">
      <c r="A330" s="239">
        <v>15</v>
      </c>
      <c r="B330" s="239" t="s">
        <v>392</v>
      </c>
      <c r="C330" s="240">
        <v>10</v>
      </c>
      <c r="D330" s="690"/>
      <c r="E330" s="240"/>
      <c r="F330" s="836"/>
      <c r="G330" s="239">
        <v>1</v>
      </c>
      <c r="H330" s="203">
        <v>2</v>
      </c>
      <c r="I330" s="241">
        <v>100</v>
      </c>
      <c r="J330" s="234"/>
      <c r="K330" s="241">
        <v>3580</v>
      </c>
      <c r="L330" s="234"/>
      <c r="M330" s="241">
        <v>100</v>
      </c>
      <c r="N330" s="235" t="e">
        <f>(((I330+J330+K330+L330+M330)-C330*#REF!*2)/1000)</f>
        <v>#REF!</v>
      </c>
      <c r="O330" s="235"/>
      <c r="P330" s="200">
        <f t="shared" si="54"/>
        <v>0</v>
      </c>
      <c r="Q330" s="200" t="e">
        <f t="shared" si="55"/>
        <v>#REF!</v>
      </c>
      <c r="R330" s="200">
        <f t="shared" si="56"/>
        <v>0</v>
      </c>
      <c r="S330" s="200">
        <f t="shared" si="57"/>
        <v>0</v>
      </c>
      <c r="T330" s="200">
        <f t="shared" si="58"/>
        <v>0</v>
      </c>
      <c r="U330" s="688">
        <f t="shared" si="59"/>
        <v>0</v>
      </c>
      <c r="V330" s="200">
        <f t="shared" si="60"/>
        <v>0</v>
      </c>
      <c r="W330" s="689"/>
    </row>
    <row r="331" spans="1:23" s="236" customFormat="1" ht="24.95" hidden="1" customHeight="1" outlineLevel="1">
      <c r="A331" s="239"/>
      <c r="B331" s="239" t="s">
        <v>393</v>
      </c>
      <c r="C331" s="240">
        <v>10</v>
      </c>
      <c r="D331" s="690"/>
      <c r="E331" s="240"/>
      <c r="F331" s="836"/>
      <c r="G331" s="239">
        <v>1</v>
      </c>
      <c r="H331" s="203">
        <v>2</v>
      </c>
      <c r="I331" s="241">
        <v>100</v>
      </c>
      <c r="J331" s="234"/>
      <c r="K331" s="241">
        <v>3580</v>
      </c>
      <c r="L331" s="234"/>
      <c r="M331" s="241">
        <v>100</v>
      </c>
      <c r="N331" s="235" t="e">
        <f>(((I331+J331+K331+L331+M331)-C331*#REF!*2)/1000)</f>
        <v>#REF!</v>
      </c>
      <c r="O331" s="235"/>
      <c r="P331" s="200">
        <f t="shared" ref="P331:P394" si="63">+IF(C331=8,G331*H331*N331,0)</f>
        <v>0</v>
      </c>
      <c r="Q331" s="200" t="e">
        <f t="shared" ref="Q331:Q394" si="64">+IF(C331=10,G331*H331*N331,0)</f>
        <v>#REF!</v>
      </c>
      <c r="R331" s="200">
        <f t="shared" ref="R331:R394" si="65">+IF(C331=12,G331*H331*N331,0)</f>
        <v>0</v>
      </c>
      <c r="S331" s="200">
        <f t="shared" ref="S331:S394" si="66">+IF(C331=16,G331*H331*N331,0)</f>
        <v>0</v>
      </c>
      <c r="T331" s="200">
        <f t="shared" ref="T331:T394" si="67">+IF(C331=20,G331*H331*N331,0)</f>
        <v>0</v>
      </c>
      <c r="U331" s="688">
        <f t="shared" ref="U331:U394" si="68">+IF(C331=25,G331*H331*N331,0)</f>
        <v>0</v>
      </c>
      <c r="V331" s="200">
        <f t="shared" ref="V331:V394" si="69">+IF(C331=32,G331*H331*N331,0)</f>
        <v>0</v>
      </c>
      <c r="W331" s="689"/>
    </row>
    <row r="332" spans="1:23" s="236" customFormat="1" ht="24.95" hidden="1" customHeight="1" outlineLevel="1">
      <c r="A332" s="239"/>
      <c r="B332" s="239" t="s">
        <v>394</v>
      </c>
      <c r="C332" s="240">
        <v>8</v>
      </c>
      <c r="D332" s="690"/>
      <c r="E332" s="240"/>
      <c r="F332" s="836"/>
      <c r="G332" s="239">
        <v>1</v>
      </c>
      <c r="H332" s="203">
        <f>(K330/200)+1</f>
        <v>18.899999999999999</v>
      </c>
      <c r="I332" s="234"/>
      <c r="J332" s="234"/>
      <c r="K332" s="234">
        <v>820</v>
      </c>
      <c r="L332" s="234"/>
      <c r="M332" s="234"/>
      <c r="N332" s="235" t="e">
        <f>(((I332+J332+K332+L332+M332)-C332*#REF!*2)/1000)</f>
        <v>#REF!</v>
      </c>
      <c r="O332" s="235"/>
      <c r="P332" s="200" t="e">
        <f t="shared" si="63"/>
        <v>#REF!</v>
      </c>
      <c r="Q332" s="200">
        <f t="shared" si="64"/>
        <v>0</v>
      </c>
      <c r="R332" s="200">
        <f t="shared" si="65"/>
        <v>0</v>
      </c>
      <c r="S332" s="200">
        <f t="shared" si="66"/>
        <v>0</v>
      </c>
      <c r="T332" s="200">
        <f t="shared" si="67"/>
        <v>0</v>
      </c>
      <c r="U332" s="688">
        <f t="shared" si="68"/>
        <v>0</v>
      </c>
      <c r="V332" s="200">
        <f t="shared" si="69"/>
        <v>0</v>
      </c>
      <c r="W332" s="689"/>
    </row>
    <row r="333" spans="1:23" s="236" customFormat="1" ht="24.95" hidden="1" customHeight="1" outlineLevel="1">
      <c r="A333" s="239">
        <v>16</v>
      </c>
      <c r="B333" s="239" t="s">
        <v>392</v>
      </c>
      <c r="C333" s="240">
        <v>10</v>
      </c>
      <c r="D333" s="690"/>
      <c r="E333" s="240"/>
      <c r="F333" s="836"/>
      <c r="G333" s="239">
        <v>1</v>
      </c>
      <c r="H333" s="203">
        <v>2</v>
      </c>
      <c r="I333" s="241">
        <v>100</v>
      </c>
      <c r="J333" s="234"/>
      <c r="K333" s="234">
        <v>1380</v>
      </c>
      <c r="L333" s="234"/>
      <c r="M333" s="241">
        <v>100</v>
      </c>
      <c r="N333" s="235" t="e">
        <f>(((I333+J333+K333+L333+M333)-C333*#REF!*2)/1000)</f>
        <v>#REF!</v>
      </c>
      <c r="O333" s="235"/>
      <c r="P333" s="200">
        <f t="shared" si="63"/>
        <v>0</v>
      </c>
      <c r="Q333" s="200" t="e">
        <f t="shared" si="64"/>
        <v>#REF!</v>
      </c>
      <c r="R333" s="200">
        <f t="shared" si="65"/>
        <v>0</v>
      </c>
      <c r="S333" s="200">
        <f t="shared" si="66"/>
        <v>0</v>
      </c>
      <c r="T333" s="200">
        <f t="shared" si="67"/>
        <v>0</v>
      </c>
      <c r="U333" s="688">
        <f t="shared" si="68"/>
        <v>0</v>
      </c>
      <c r="V333" s="200">
        <f t="shared" si="69"/>
        <v>0</v>
      </c>
      <c r="W333" s="689"/>
    </row>
    <row r="334" spans="1:23" s="236" customFormat="1" ht="24.95" hidden="1" customHeight="1" outlineLevel="1">
      <c r="A334" s="239"/>
      <c r="B334" s="239" t="s">
        <v>393</v>
      </c>
      <c r="C334" s="240">
        <v>10</v>
      </c>
      <c r="D334" s="690"/>
      <c r="E334" s="240"/>
      <c r="F334" s="836"/>
      <c r="G334" s="239">
        <v>1</v>
      </c>
      <c r="H334" s="203">
        <v>2</v>
      </c>
      <c r="I334" s="241">
        <v>100</v>
      </c>
      <c r="J334" s="234"/>
      <c r="K334" s="234">
        <v>1380</v>
      </c>
      <c r="L334" s="234"/>
      <c r="M334" s="241">
        <v>100</v>
      </c>
      <c r="N334" s="235" t="e">
        <f>(((I334+J334+K334+L334+M334)-C334*#REF!*2)/1000)</f>
        <v>#REF!</v>
      </c>
      <c r="O334" s="235"/>
      <c r="P334" s="200">
        <f t="shared" si="63"/>
        <v>0</v>
      </c>
      <c r="Q334" s="200" t="e">
        <f t="shared" si="64"/>
        <v>#REF!</v>
      </c>
      <c r="R334" s="200">
        <f t="shared" si="65"/>
        <v>0</v>
      </c>
      <c r="S334" s="200">
        <f t="shared" si="66"/>
        <v>0</v>
      </c>
      <c r="T334" s="200">
        <f t="shared" si="67"/>
        <v>0</v>
      </c>
      <c r="U334" s="688">
        <f t="shared" si="68"/>
        <v>0</v>
      </c>
      <c r="V334" s="200">
        <f t="shared" si="69"/>
        <v>0</v>
      </c>
      <c r="W334" s="689"/>
    </row>
    <row r="335" spans="1:23" s="236" customFormat="1" ht="24.95" hidden="1" customHeight="1" outlineLevel="1">
      <c r="A335" s="239"/>
      <c r="B335" s="239" t="s">
        <v>394</v>
      </c>
      <c r="C335" s="240">
        <v>8</v>
      </c>
      <c r="D335" s="690"/>
      <c r="E335" s="240"/>
      <c r="F335" s="836"/>
      <c r="G335" s="239">
        <v>1</v>
      </c>
      <c r="H335" s="203">
        <f>(K333/200)+1</f>
        <v>7.9</v>
      </c>
      <c r="I335" s="234"/>
      <c r="J335" s="234"/>
      <c r="K335" s="234">
        <v>820</v>
      </c>
      <c r="L335" s="234"/>
      <c r="M335" s="234"/>
      <c r="N335" s="235" t="e">
        <f>(((I335+J335+K335+L335+M335)-C335*#REF!*2)/1000)</f>
        <v>#REF!</v>
      </c>
      <c r="O335" s="235"/>
      <c r="P335" s="200" t="e">
        <f t="shared" si="63"/>
        <v>#REF!</v>
      </c>
      <c r="Q335" s="200">
        <f t="shared" si="64"/>
        <v>0</v>
      </c>
      <c r="R335" s="200">
        <f t="shared" si="65"/>
        <v>0</v>
      </c>
      <c r="S335" s="200">
        <f t="shared" si="66"/>
        <v>0</v>
      </c>
      <c r="T335" s="200">
        <f t="shared" si="67"/>
        <v>0</v>
      </c>
      <c r="U335" s="688">
        <f t="shared" si="68"/>
        <v>0</v>
      </c>
      <c r="V335" s="200">
        <f t="shared" si="69"/>
        <v>0</v>
      </c>
      <c r="W335" s="689"/>
    </row>
    <row r="336" spans="1:23" s="236" customFormat="1" ht="24.95" hidden="1" customHeight="1" outlineLevel="1">
      <c r="A336" s="239">
        <v>17</v>
      </c>
      <c r="B336" s="239" t="s">
        <v>392</v>
      </c>
      <c r="C336" s="240">
        <v>10</v>
      </c>
      <c r="D336" s="690"/>
      <c r="E336" s="240"/>
      <c r="F336" s="836"/>
      <c r="G336" s="239">
        <v>1</v>
      </c>
      <c r="H336" s="203">
        <v>2</v>
      </c>
      <c r="I336" s="241">
        <v>100</v>
      </c>
      <c r="J336" s="234"/>
      <c r="K336" s="241">
        <v>9770</v>
      </c>
      <c r="L336" s="234"/>
      <c r="M336" s="241">
        <v>100</v>
      </c>
      <c r="N336" s="235" t="e">
        <f>(((I336+J336+K336+L336+M336)-C336*#REF!*2)/1000)</f>
        <v>#REF!</v>
      </c>
      <c r="O336" s="235"/>
      <c r="P336" s="200">
        <f t="shared" si="63"/>
        <v>0</v>
      </c>
      <c r="Q336" s="200" t="e">
        <f t="shared" si="64"/>
        <v>#REF!</v>
      </c>
      <c r="R336" s="200">
        <f t="shared" si="65"/>
        <v>0</v>
      </c>
      <c r="S336" s="200">
        <f t="shared" si="66"/>
        <v>0</v>
      </c>
      <c r="T336" s="200">
        <f t="shared" si="67"/>
        <v>0</v>
      </c>
      <c r="U336" s="688">
        <f t="shared" si="68"/>
        <v>0</v>
      </c>
      <c r="V336" s="200">
        <f t="shared" si="69"/>
        <v>0</v>
      </c>
      <c r="W336" s="689"/>
    </row>
    <row r="337" spans="1:23" s="236" customFormat="1" ht="24.95" hidden="1" customHeight="1" outlineLevel="1">
      <c r="A337" s="239"/>
      <c r="B337" s="239" t="s">
        <v>393</v>
      </c>
      <c r="C337" s="240">
        <v>10</v>
      </c>
      <c r="D337" s="690"/>
      <c r="E337" s="240"/>
      <c r="F337" s="836"/>
      <c r="G337" s="239">
        <v>1</v>
      </c>
      <c r="H337" s="203">
        <v>2</v>
      </c>
      <c r="I337" s="241">
        <v>100</v>
      </c>
      <c r="J337" s="234"/>
      <c r="K337" s="241">
        <v>9770</v>
      </c>
      <c r="L337" s="234"/>
      <c r="M337" s="241">
        <v>100</v>
      </c>
      <c r="N337" s="235" t="e">
        <f>(((I337+J337+K337+L337+M337)-C337*#REF!*2)/1000)</f>
        <v>#REF!</v>
      </c>
      <c r="O337" s="235"/>
      <c r="P337" s="200">
        <f t="shared" si="63"/>
        <v>0</v>
      </c>
      <c r="Q337" s="200" t="e">
        <f t="shared" si="64"/>
        <v>#REF!</v>
      </c>
      <c r="R337" s="200">
        <f t="shared" si="65"/>
        <v>0</v>
      </c>
      <c r="S337" s="200">
        <f t="shared" si="66"/>
        <v>0</v>
      </c>
      <c r="T337" s="200">
        <f t="shared" si="67"/>
        <v>0</v>
      </c>
      <c r="U337" s="688">
        <f t="shared" si="68"/>
        <v>0</v>
      </c>
      <c r="V337" s="200">
        <f t="shared" si="69"/>
        <v>0</v>
      </c>
      <c r="W337" s="689"/>
    </row>
    <row r="338" spans="1:23" s="236" customFormat="1" ht="24.95" hidden="1" customHeight="1" outlineLevel="1">
      <c r="A338" s="239"/>
      <c r="B338" s="239" t="s">
        <v>394</v>
      </c>
      <c r="C338" s="240">
        <v>8</v>
      </c>
      <c r="D338" s="690"/>
      <c r="E338" s="240"/>
      <c r="F338" s="836"/>
      <c r="G338" s="239">
        <v>1</v>
      </c>
      <c r="H338" s="203">
        <f>(K336/200)+1</f>
        <v>49.85</v>
      </c>
      <c r="I338" s="234"/>
      <c r="J338" s="234"/>
      <c r="K338" s="234">
        <v>820</v>
      </c>
      <c r="L338" s="234"/>
      <c r="M338" s="234"/>
      <c r="N338" s="235" t="e">
        <f>(((I338+J338+K338+L338+M338)-C338*#REF!*2)/1000)</f>
        <v>#REF!</v>
      </c>
      <c r="O338" s="235"/>
      <c r="P338" s="200" t="e">
        <f t="shared" si="63"/>
        <v>#REF!</v>
      </c>
      <c r="Q338" s="200">
        <f t="shared" si="64"/>
        <v>0</v>
      </c>
      <c r="R338" s="200">
        <f t="shared" si="65"/>
        <v>0</v>
      </c>
      <c r="S338" s="200">
        <f t="shared" si="66"/>
        <v>0</v>
      </c>
      <c r="T338" s="200">
        <f t="shared" si="67"/>
        <v>0</v>
      </c>
      <c r="U338" s="688">
        <f t="shared" si="68"/>
        <v>0</v>
      </c>
      <c r="V338" s="200">
        <f t="shared" si="69"/>
        <v>0</v>
      </c>
      <c r="W338" s="689"/>
    </row>
    <row r="339" spans="1:23" s="236" customFormat="1" ht="24.95" hidden="1" customHeight="1" outlineLevel="1">
      <c r="A339" s="207">
        <v>18</v>
      </c>
      <c r="B339" s="208" t="s">
        <v>399</v>
      </c>
      <c r="C339" s="240">
        <v>12</v>
      </c>
      <c r="D339" s="690"/>
      <c r="E339" s="240"/>
      <c r="F339" s="836"/>
      <c r="G339" s="239">
        <v>5</v>
      </c>
      <c r="H339" s="203">
        <v>3</v>
      </c>
      <c r="I339" s="241">
        <v>100</v>
      </c>
      <c r="J339" s="234"/>
      <c r="K339" s="234">
        <v>2950</v>
      </c>
      <c r="L339" s="234"/>
      <c r="M339" s="241">
        <v>100</v>
      </c>
      <c r="N339" s="235" t="e">
        <f>(((I339+J339+K339+L339+M339)-C339*#REF!*2)/1000)</f>
        <v>#REF!</v>
      </c>
      <c r="O339" s="235"/>
      <c r="P339" s="200">
        <f t="shared" si="63"/>
        <v>0</v>
      </c>
      <c r="Q339" s="200">
        <f t="shared" si="64"/>
        <v>0</v>
      </c>
      <c r="R339" s="200" t="e">
        <f t="shared" si="65"/>
        <v>#REF!</v>
      </c>
      <c r="S339" s="200">
        <f t="shared" si="66"/>
        <v>0</v>
      </c>
      <c r="T339" s="200">
        <f t="shared" si="67"/>
        <v>0</v>
      </c>
      <c r="U339" s="688">
        <f t="shared" si="68"/>
        <v>0</v>
      </c>
      <c r="V339" s="200">
        <f t="shared" si="69"/>
        <v>0</v>
      </c>
      <c r="W339" s="689"/>
    </row>
    <row r="340" spans="1:23" s="236" customFormat="1" ht="24.95" hidden="1" customHeight="1" outlineLevel="1">
      <c r="A340" s="239"/>
      <c r="B340" s="239" t="s">
        <v>393</v>
      </c>
      <c r="C340" s="240">
        <v>12</v>
      </c>
      <c r="D340" s="690"/>
      <c r="E340" s="240"/>
      <c r="F340" s="836"/>
      <c r="G340" s="239">
        <v>5</v>
      </c>
      <c r="H340" s="203">
        <v>3</v>
      </c>
      <c r="I340" s="241">
        <v>100</v>
      </c>
      <c r="J340" s="234"/>
      <c r="K340" s="234">
        <v>2950</v>
      </c>
      <c r="L340" s="234"/>
      <c r="M340" s="241">
        <v>100</v>
      </c>
      <c r="N340" s="235" t="e">
        <f>(((I340+J340+K340+L340+M340)-C340*#REF!*2)/1000)</f>
        <v>#REF!</v>
      </c>
      <c r="O340" s="235"/>
      <c r="P340" s="200">
        <f t="shared" si="63"/>
        <v>0</v>
      </c>
      <c r="Q340" s="200">
        <f t="shared" si="64"/>
        <v>0</v>
      </c>
      <c r="R340" s="200" t="e">
        <f t="shared" si="65"/>
        <v>#REF!</v>
      </c>
      <c r="S340" s="200">
        <f t="shared" si="66"/>
        <v>0</v>
      </c>
      <c r="T340" s="200">
        <f t="shared" si="67"/>
        <v>0</v>
      </c>
      <c r="U340" s="688">
        <f t="shared" si="68"/>
        <v>0</v>
      </c>
      <c r="V340" s="200">
        <f t="shared" si="69"/>
        <v>0</v>
      </c>
      <c r="W340" s="689"/>
    </row>
    <row r="341" spans="1:23" s="236" customFormat="1" ht="24.95" hidden="1" customHeight="1" outlineLevel="1">
      <c r="A341" s="239"/>
      <c r="B341" s="239" t="s">
        <v>400</v>
      </c>
      <c r="C341" s="240">
        <v>8</v>
      </c>
      <c r="D341" s="690"/>
      <c r="E341" s="240"/>
      <c r="F341" s="836"/>
      <c r="G341" s="239">
        <v>5</v>
      </c>
      <c r="H341" s="203">
        <f>(K339/200)+1</f>
        <v>15.75</v>
      </c>
      <c r="I341" s="234"/>
      <c r="J341" s="234"/>
      <c r="K341" s="234">
        <v>1280</v>
      </c>
      <c r="L341" s="234"/>
      <c r="M341" s="234"/>
      <c r="N341" s="235" t="e">
        <f>(((I341+J341+K341+L341+M341)-C341*#REF!*2)/1000)</f>
        <v>#REF!</v>
      </c>
      <c r="O341" s="235"/>
      <c r="P341" s="200" t="e">
        <f t="shared" si="63"/>
        <v>#REF!</v>
      </c>
      <c r="Q341" s="200">
        <f t="shared" si="64"/>
        <v>0</v>
      </c>
      <c r="R341" s="200">
        <f t="shared" si="65"/>
        <v>0</v>
      </c>
      <c r="S341" s="200">
        <f t="shared" si="66"/>
        <v>0</v>
      </c>
      <c r="T341" s="200">
        <f t="shared" si="67"/>
        <v>0</v>
      </c>
      <c r="U341" s="688">
        <f t="shared" si="68"/>
        <v>0</v>
      </c>
      <c r="V341" s="200">
        <f t="shared" si="69"/>
        <v>0</v>
      </c>
      <c r="W341" s="689"/>
    </row>
    <row r="342" spans="1:23" s="236" customFormat="1" ht="24.95" hidden="1" customHeight="1" outlineLevel="1">
      <c r="A342" s="205" t="s">
        <v>415</v>
      </c>
      <c r="B342" s="206" t="s">
        <v>396</v>
      </c>
      <c r="C342" s="240"/>
      <c r="D342" s="690"/>
      <c r="E342" s="240"/>
      <c r="F342" s="836"/>
      <c r="G342" s="239"/>
      <c r="H342" s="203"/>
      <c r="I342" s="234"/>
      <c r="J342" s="234"/>
      <c r="K342" s="234"/>
      <c r="L342" s="234"/>
      <c r="M342" s="234"/>
      <c r="N342" s="235" t="e">
        <f>(((I342+J342+K342+L342+M342)-C342*#REF!*2)/1000)</f>
        <v>#REF!</v>
      </c>
      <c r="O342" s="235"/>
      <c r="P342" s="200">
        <f t="shared" si="63"/>
        <v>0</v>
      </c>
      <c r="Q342" s="200">
        <f t="shared" si="64"/>
        <v>0</v>
      </c>
      <c r="R342" s="200">
        <f t="shared" si="65"/>
        <v>0</v>
      </c>
      <c r="S342" s="200">
        <f t="shared" si="66"/>
        <v>0</v>
      </c>
      <c r="T342" s="200">
        <f t="shared" si="67"/>
        <v>0</v>
      </c>
      <c r="U342" s="688">
        <f t="shared" si="68"/>
        <v>0</v>
      </c>
      <c r="V342" s="200">
        <f t="shared" si="69"/>
        <v>0</v>
      </c>
      <c r="W342" s="689"/>
    </row>
    <row r="343" spans="1:23" s="236" customFormat="1" ht="24.95" hidden="1" customHeight="1" outlineLevel="1">
      <c r="A343" s="239">
        <v>1</v>
      </c>
      <c r="B343" s="239" t="s">
        <v>392</v>
      </c>
      <c r="C343" s="240">
        <v>10</v>
      </c>
      <c r="D343" s="690"/>
      <c r="E343" s="240"/>
      <c r="F343" s="836"/>
      <c r="G343" s="239">
        <v>7</v>
      </c>
      <c r="H343" s="203">
        <v>2</v>
      </c>
      <c r="I343" s="241">
        <v>100</v>
      </c>
      <c r="J343" s="234"/>
      <c r="K343" s="241">
        <v>1025</v>
      </c>
      <c r="L343" s="234"/>
      <c r="M343" s="241">
        <v>100</v>
      </c>
      <c r="N343" s="235" t="e">
        <f>(((I343+J343+K343+L343+M343)-C343*#REF!*2)/1000)</f>
        <v>#REF!</v>
      </c>
      <c r="O343" s="235"/>
      <c r="P343" s="200">
        <f t="shared" si="63"/>
        <v>0</v>
      </c>
      <c r="Q343" s="200" t="e">
        <f t="shared" si="64"/>
        <v>#REF!</v>
      </c>
      <c r="R343" s="200">
        <f t="shared" si="65"/>
        <v>0</v>
      </c>
      <c r="S343" s="200">
        <f t="shared" si="66"/>
        <v>0</v>
      </c>
      <c r="T343" s="200">
        <f t="shared" si="67"/>
        <v>0</v>
      </c>
      <c r="U343" s="688">
        <f t="shared" si="68"/>
        <v>0</v>
      </c>
      <c r="V343" s="200">
        <f t="shared" si="69"/>
        <v>0</v>
      </c>
      <c r="W343" s="689"/>
    </row>
    <row r="344" spans="1:23" s="236" customFormat="1" ht="24.95" hidden="1" customHeight="1" outlineLevel="1">
      <c r="A344" s="239"/>
      <c r="B344" s="239" t="s">
        <v>393</v>
      </c>
      <c r="C344" s="240">
        <v>10</v>
      </c>
      <c r="D344" s="690"/>
      <c r="E344" s="240"/>
      <c r="F344" s="836"/>
      <c r="G344" s="239">
        <v>7</v>
      </c>
      <c r="H344" s="203">
        <v>2</v>
      </c>
      <c r="I344" s="241">
        <v>100</v>
      </c>
      <c r="J344" s="234"/>
      <c r="K344" s="241">
        <v>1025</v>
      </c>
      <c r="L344" s="234"/>
      <c r="M344" s="241">
        <v>100</v>
      </c>
      <c r="N344" s="235" t="e">
        <f>(((I344+J344+K344+L344+M344)-C344*#REF!*2)/1000)</f>
        <v>#REF!</v>
      </c>
      <c r="O344" s="235"/>
      <c r="P344" s="200">
        <f t="shared" si="63"/>
        <v>0</v>
      </c>
      <c r="Q344" s="200" t="e">
        <f t="shared" si="64"/>
        <v>#REF!</v>
      </c>
      <c r="R344" s="200">
        <f t="shared" si="65"/>
        <v>0</v>
      </c>
      <c r="S344" s="200">
        <f t="shared" si="66"/>
        <v>0</v>
      </c>
      <c r="T344" s="200">
        <f t="shared" si="67"/>
        <v>0</v>
      </c>
      <c r="U344" s="688">
        <f t="shared" si="68"/>
        <v>0</v>
      </c>
      <c r="V344" s="200">
        <f t="shared" si="69"/>
        <v>0</v>
      </c>
      <c r="W344" s="689"/>
    </row>
    <row r="345" spans="1:23" s="236" customFormat="1" ht="24.95" hidden="1" customHeight="1" outlineLevel="1">
      <c r="A345" s="239"/>
      <c r="B345" s="239" t="s">
        <v>394</v>
      </c>
      <c r="C345" s="240">
        <v>8</v>
      </c>
      <c r="D345" s="690"/>
      <c r="E345" s="240"/>
      <c r="F345" s="836"/>
      <c r="G345" s="239">
        <v>7</v>
      </c>
      <c r="H345" s="203">
        <f>(K343/200)+1</f>
        <v>6.125</v>
      </c>
      <c r="I345" s="234"/>
      <c r="J345" s="234"/>
      <c r="K345" s="234">
        <v>820</v>
      </c>
      <c r="L345" s="234"/>
      <c r="M345" s="234"/>
      <c r="N345" s="235" t="e">
        <f>(((I345+J345+K345+L345+M345)-C345*#REF!*2)/1000)</f>
        <v>#REF!</v>
      </c>
      <c r="O345" s="235"/>
      <c r="P345" s="200" t="e">
        <f t="shared" si="63"/>
        <v>#REF!</v>
      </c>
      <c r="Q345" s="200">
        <f t="shared" si="64"/>
        <v>0</v>
      </c>
      <c r="R345" s="200">
        <f t="shared" si="65"/>
        <v>0</v>
      </c>
      <c r="S345" s="200">
        <f t="shared" si="66"/>
        <v>0</v>
      </c>
      <c r="T345" s="200">
        <f t="shared" si="67"/>
        <v>0</v>
      </c>
      <c r="U345" s="688">
        <f t="shared" si="68"/>
        <v>0</v>
      </c>
      <c r="V345" s="200">
        <f t="shared" si="69"/>
        <v>0</v>
      </c>
      <c r="W345" s="689"/>
    </row>
    <row r="346" spans="1:23" s="236" customFormat="1" ht="24.95" hidden="1" customHeight="1" outlineLevel="1">
      <c r="A346" s="239">
        <v>2</v>
      </c>
      <c r="B346" s="239" t="s">
        <v>392</v>
      </c>
      <c r="C346" s="240">
        <v>10</v>
      </c>
      <c r="D346" s="690"/>
      <c r="E346" s="240"/>
      <c r="F346" s="836"/>
      <c r="G346" s="239">
        <v>1</v>
      </c>
      <c r="H346" s="203">
        <v>2</v>
      </c>
      <c r="I346" s="241">
        <v>100</v>
      </c>
      <c r="J346" s="234"/>
      <c r="K346" s="234">
        <v>2315</v>
      </c>
      <c r="L346" s="234"/>
      <c r="M346" s="241">
        <v>100</v>
      </c>
      <c r="N346" s="235" t="e">
        <f>(((I346+J346+K346+L346+M346)-C346*#REF!*2)/1000)</f>
        <v>#REF!</v>
      </c>
      <c r="O346" s="235"/>
      <c r="P346" s="200">
        <f t="shared" si="63"/>
        <v>0</v>
      </c>
      <c r="Q346" s="200" t="e">
        <f t="shared" si="64"/>
        <v>#REF!</v>
      </c>
      <c r="R346" s="200">
        <f t="shared" si="65"/>
        <v>0</v>
      </c>
      <c r="S346" s="200">
        <f t="shared" si="66"/>
        <v>0</v>
      </c>
      <c r="T346" s="200">
        <f t="shared" si="67"/>
        <v>0</v>
      </c>
      <c r="U346" s="688">
        <f t="shared" si="68"/>
        <v>0</v>
      </c>
      <c r="V346" s="200">
        <f t="shared" si="69"/>
        <v>0</v>
      </c>
      <c r="W346" s="689"/>
    </row>
    <row r="347" spans="1:23" s="236" customFormat="1" ht="24.95" hidden="1" customHeight="1" outlineLevel="1">
      <c r="A347" s="239"/>
      <c r="B347" s="239" t="s">
        <v>393</v>
      </c>
      <c r="C347" s="240">
        <v>10</v>
      </c>
      <c r="D347" s="690"/>
      <c r="E347" s="240"/>
      <c r="F347" s="836"/>
      <c r="G347" s="239">
        <v>1</v>
      </c>
      <c r="H347" s="203">
        <v>2</v>
      </c>
      <c r="I347" s="241">
        <v>100</v>
      </c>
      <c r="J347" s="234"/>
      <c r="K347" s="234">
        <v>2315</v>
      </c>
      <c r="L347" s="234"/>
      <c r="M347" s="241">
        <v>100</v>
      </c>
      <c r="N347" s="235" t="e">
        <f>(((I347+J347+K347+L347+M347)-C347*#REF!*2)/1000)</f>
        <v>#REF!</v>
      </c>
      <c r="O347" s="235"/>
      <c r="P347" s="200">
        <f t="shared" si="63"/>
        <v>0</v>
      </c>
      <c r="Q347" s="200" t="e">
        <f t="shared" si="64"/>
        <v>#REF!</v>
      </c>
      <c r="R347" s="200">
        <f t="shared" si="65"/>
        <v>0</v>
      </c>
      <c r="S347" s="200">
        <f t="shared" si="66"/>
        <v>0</v>
      </c>
      <c r="T347" s="200">
        <f t="shared" si="67"/>
        <v>0</v>
      </c>
      <c r="U347" s="688">
        <f t="shared" si="68"/>
        <v>0</v>
      </c>
      <c r="V347" s="200">
        <f t="shared" si="69"/>
        <v>0</v>
      </c>
      <c r="W347" s="689"/>
    </row>
    <row r="348" spans="1:23" s="236" customFormat="1" ht="24.95" hidden="1" customHeight="1" outlineLevel="1">
      <c r="A348" s="239"/>
      <c r="B348" s="239" t="s">
        <v>394</v>
      </c>
      <c r="C348" s="240">
        <v>8</v>
      </c>
      <c r="D348" s="690"/>
      <c r="E348" s="240"/>
      <c r="F348" s="836"/>
      <c r="G348" s="239">
        <v>1</v>
      </c>
      <c r="H348" s="203">
        <f>(K346/200)+1</f>
        <v>12.574999999999999</v>
      </c>
      <c r="I348" s="234"/>
      <c r="J348" s="234"/>
      <c r="K348" s="234">
        <v>820</v>
      </c>
      <c r="L348" s="234"/>
      <c r="M348" s="234"/>
      <c r="N348" s="235" t="e">
        <f>(((I348+J348+K348+L348+M348)-C348*#REF!*2)/1000)</f>
        <v>#REF!</v>
      </c>
      <c r="O348" s="235"/>
      <c r="P348" s="200" t="e">
        <f t="shared" si="63"/>
        <v>#REF!</v>
      </c>
      <c r="Q348" s="200">
        <f t="shared" si="64"/>
        <v>0</v>
      </c>
      <c r="R348" s="200">
        <f t="shared" si="65"/>
        <v>0</v>
      </c>
      <c r="S348" s="200">
        <f t="shared" si="66"/>
        <v>0</v>
      </c>
      <c r="T348" s="200">
        <f t="shared" si="67"/>
        <v>0</v>
      </c>
      <c r="U348" s="688">
        <f t="shared" si="68"/>
        <v>0</v>
      </c>
      <c r="V348" s="200">
        <f t="shared" si="69"/>
        <v>0</v>
      </c>
      <c r="W348" s="689"/>
    </row>
    <row r="349" spans="1:23" s="236" customFormat="1" ht="24.95" hidden="1" customHeight="1" outlineLevel="1">
      <c r="A349" s="239">
        <v>3</v>
      </c>
      <c r="B349" s="239" t="s">
        <v>392</v>
      </c>
      <c r="C349" s="240">
        <v>10</v>
      </c>
      <c r="D349" s="690"/>
      <c r="E349" s="240"/>
      <c r="F349" s="836"/>
      <c r="G349" s="239">
        <v>1</v>
      </c>
      <c r="H349" s="203">
        <v>2</v>
      </c>
      <c r="I349" s="241">
        <v>100</v>
      </c>
      <c r="J349" s="234"/>
      <c r="K349" s="234">
        <v>1400</v>
      </c>
      <c r="L349" s="234"/>
      <c r="M349" s="241">
        <v>100</v>
      </c>
      <c r="N349" s="235" t="e">
        <f>(((I349+J349+K349+L349+M349)-C349*#REF!*2)/1000)</f>
        <v>#REF!</v>
      </c>
      <c r="O349" s="235"/>
      <c r="P349" s="200">
        <f t="shared" si="63"/>
        <v>0</v>
      </c>
      <c r="Q349" s="200" t="e">
        <f t="shared" si="64"/>
        <v>#REF!</v>
      </c>
      <c r="R349" s="200">
        <f t="shared" si="65"/>
        <v>0</v>
      </c>
      <c r="S349" s="200">
        <f t="shared" si="66"/>
        <v>0</v>
      </c>
      <c r="T349" s="200">
        <f t="shared" si="67"/>
        <v>0</v>
      </c>
      <c r="U349" s="688">
        <f t="shared" si="68"/>
        <v>0</v>
      </c>
      <c r="V349" s="200">
        <f t="shared" si="69"/>
        <v>0</v>
      </c>
      <c r="W349" s="689"/>
    </row>
    <row r="350" spans="1:23" s="236" customFormat="1" ht="24.95" hidden="1" customHeight="1" outlineLevel="1">
      <c r="A350" s="239"/>
      <c r="B350" s="239" t="s">
        <v>393</v>
      </c>
      <c r="C350" s="240">
        <v>10</v>
      </c>
      <c r="D350" s="690"/>
      <c r="E350" s="240"/>
      <c r="F350" s="836"/>
      <c r="G350" s="239">
        <v>1</v>
      </c>
      <c r="H350" s="203">
        <v>2</v>
      </c>
      <c r="I350" s="241">
        <v>100</v>
      </c>
      <c r="J350" s="234"/>
      <c r="K350" s="234">
        <v>1400</v>
      </c>
      <c r="L350" s="234"/>
      <c r="M350" s="241">
        <v>100</v>
      </c>
      <c r="N350" s="235" t="e">
        <f>(((I350+J350+K350+L350+M350)-C350*#REF!*2)/1000)</f>
        <v>#REF!</v>
      </c>
      <c r="O350" s="235"/>
      <c r="P350" s="200">
        <f t="shared" si="63"/>
        <v>0</v>
      </c>
      <c r="Q350" s="200" t="e">
        <f t="shared" si="64"/>
        <v>#REF!</v>
      </c>
      <c r="R350" s="200">
        <f t="shared" si="65"/>
        <v>0</v>
      </c>
      <c r="S350" s="200">
        <f t="shared" si="66"/>
        <v>0</v>
      </c>
      <c r="T350" s="200">
        <f t="shared" si="67"/>
        <v>0</v>
      </c>
      <c r="U350" s="688">
        <f t="shared" si="68"/>
        <v>0</v>
      </c>
      <c r="V350" s="200">
        <f t="shared" si="69"/>
        <v>0</v>
      </c>
      <c r="W350" s="689"/>
    </row>
    <row r="351" spans="1:23" s="236" customFormat="1" ht="24.95" hidden="1" customHeight="1" outlineLevel="1">
      <c r="A351" s="239"/>
      <c r="B351" s="239" t="s">
        <v>394</v>
      </c>
      <c r="C351" s="240">
        <v>8</v>
      </c>
      <c r="D351" s="690"/>
      <c r="E351" s="240"/>
      <c r="F351" s="836"/>
      <c r="G351" s="239">
        <v>1</v>
      </c>
      <c r="H351" s="203">
        <f>(K349/200)+1</f>
        <v>8</v>
      </c>
      <c r="I351" s="234"/>
      <c r="J351" s="234"/>
      <c r="K351" s="234">
        <v>820</v>
      </c>
      <c r="L351" s="234"/>
      <c r="M351" s="234"/>
      <c r="N351" s="235" t="e">
        <f>(((I351+J351+K351+L351+M351)-C351*#REF!*2)/1000)</f>
        <v>#REF!</v>
      </c>
      <c r="O351" s="235"/>
      <c r="P351" s="200" t="e">
        <f t="shared" si="63"/>
        <v>#REF!</v>
      </c>
      <c r="Q351" s="200">
        <f t="shared" si="64"/>
        <v>0</v>
      </c>
      <c r="R351" s="200">
        <f t="shared" si="65"/>
        <v>0</v>
      </c>
      <c r="S351" s="200">
        <f t="shared" si="66"/>
        <v>0</v>
      </c>
      <c r="T351" s="200">
        <f t="shared" si="67"/>
        <v>0</v>
      </c>
      <c r="U351" s="688">
        <f t="shared" si="68"/>
        <v>0</v>
      </c>
      <c r="V351" s="200">
        <f t="shared" si="69"/>
        <v>0</v>
      </c>
      <c r="W351" s="689"/>
    </row>
    <row r="352" spans="1:23" s="236" customFormat="1" ht="24.95" hidden="1" customHeight="1" outlineLevel="1">
      <c r="A352" s="239">
        <v>4</v>
      </c>
      <c r="B352" s="239" t="s">
        <v>392</v>
      </c>
      <c r="C352" s="240">
        <v>10</v>
      </c>
      <c r="D352" s="690"/>
      <c r="E352" s="240"/>
      <c r="F352" s="836"/>
      <c r="G352" s="239">
        <v>5</v>
      </c>
      <c r="H352" s="203">
        <v>2</v>
      </c>
      <c r="I352" s="241">
        <v>100</v>
      </c>
      <c r="J352" s="234"/>
      <c r="K352" s="241">
        <v>2080</v>
      </c>
      <c r="L352" s="234"/>
      <c r="M352" s="241">
        <v>100</v>
      </c>
      <c r="N352" s="235" t="e">
        <f>(((I352+J352+K352+L352+M352)-C352*#REF!*2)/1000)</f>
        <v>#REF!</v>
      </c>
      <c r="O352" s="235"/>
      <c r="P352" s="200">
        <f t="shared" si="63"/>
        <v>0</v>
      </c>
      <c r="Q352" s="200" t="e">
        <f t="shared" si="64"/>
        <v>#REF!</v>
      </c>
      <c r="R352" s="200">
        <f t="shared" si="65"/>
        <v>0</v>
      </c>
      <c r="S352" s="200">
        <f t="shared" si="66"/>
        <v>0</v>
      </c>
      <c r="T352" s="200">
        <f t="shared" si="67"/>
        <v>0</v>
      </c>
      <c r="U352" s="688">
        <f t="shared" si="68"/>
        <v>0</v>
      </c>
      <c r="V352" s="200">
        <f t="shared" si="69"/>
        <v>0</v>
      </c>
      <c r="W352" s="689"/>
    </row>
    <row r="353" spans="1:23" s="236" customFormat="1" ht="24.95" hidden="1" customHeight="1" outlineLevel="1">
      <c r="A353" s="239"/>
      <c r="B353" s="239" t="s">
        <v>393</v>
      </c>
      <c r="C353" s="240">
        <v>10</v>
      </c>
      <c r="D353" s="690"/>
      <c r="E353" s="240"/>
      <c r="F353" s="836"/>
      <c r="G353" s="239">
        <v>5</v>
      </c>
      <c r="H353" s="203">
        <v>2</v>
      </c>
      <c r="I353" s="241">
        <v>100</v>
      </c>
      <c r="J353" s="234"/>
      <c r="K353" s="241">
        <v>2080</v>
      </c>
      <c r="L353" s="234"/>
      <c r="M353" s="241">
        <v>100</v>
      </c>
      <c r="N353" s="235" t="e">
        <f>(((I353+J353+K353+L353+M353)-C353*#REF!*2)/1000)</f>
        <v>#REF!</v>
      </c>
      <c r="O353" s="235"/>
      <c r="P353" s="200">
        <f t="shared" si="63"/>
        <v>0</v>
      </c>
      <c r="Q353" s="200" t="e">
        <f t="shared" si="64"/>
        <v>#REF!</v>
      </c>
      <c r="R353" s="200">
        <f t="shared" si="65"/>
        <v>0</v>
      </c>
      <c r="S353" s="200">
        <f t="shared" si="66"/>
        <v>0</v>
      </c>
      <c r="T353" s="200">
        <f t="shared" si="67"/>
        <v>0</v>
      </c>
      <c r="U353" s="688">
        <f t="shared" si="68"/>
        <v>0</v>
      </c>
      <c r="V353" s="200">
        <f t="shared" si="69"/>
        <v>0</v>
      </c>
      <c r="W353" s="689"/>
    </row>
    <row r="354" spans="1:23" s="236" customFormat="1" ht="24.95" hidden="1" customHeight="1" outlineLevel="1">
      <c r="A354" s="239"/>
      <c r="B354" s="239" t="s">
        <v>394</v>
      </c>
      <c r="C354" s="240">
        <v>8</v>
      </c>
      <c r="D354" s="690"/>
      <c r="E354" s="240"/>
      <c r="F354" s="836"/>
      <c r="G354" s="239">
        <v>5</v>
      </c>
      <c r="H354" s="249">
        <v>16</v>
      </c>
      <c r="I354" s="234"/>
      <c r="J354" s="234"/>
      <c r="K354" s="234">
        <v>820</v>
      </c>
      <c r="L354" s="234"/>
      <c r="M354" s="234"/>
      <c r="N354" s="235" t="e">
        <f>(((I354+J354+K354+L354+M354)-C354*#REF!*2)/1000)</f>
        <v>#REF!</v>
      </c>
      <c r="O354" s="235"/>
      <c r="P354" s="200" t="e">
        <f t="shared" si="63"/>
        <v>#REF!</v>
      </c>
      <c r="Q354" s="200">
        <f t="shared" si="64"/>
        <v>0</v>
      </c>
      <c r="R354" s="200">
        <f t="shared" si="65"/>
        <v>0</v>
      </c>
      <c r="S354" s="200">
        <f t="shared" si="66"/>
        <v>0</v>
      </c>
      <c r="T354" s="200">
        <f t="shared" si="67"/>
        <v>0</v>
      </c>
      <c r="U354" s="688">
        <f t="shared" si="68"/>
        <v>0</v>
      </c>
      <c r="V354" s="200">
        <f t="shared" si="69"/>
        <v>0</v>
      </c>
      <c r="W354" s="689"/>
    </row>
    <row r="355" spans="1:23" s="236" customFormat="1" ht="24.95" hidden="1" customHeight="1" outlineLevel="1">
      <c r="A355" s="239">
        <v>5</v>
      </c>
      <c r="B355" s="239" t="s">
        <v>392</v>
      </c>
      <c r="C355" s="240">
        <v>10</v>
      </c>
      <c r="D355" s="690"/>
      <c r="E355" s="240"/>
      <c r="F355" s="836"/>
      <c r="G355" s="239">
        <v>5</v>
      </c>
      <c r="H355" s="203">
        <v>2</v>
      </c>
      <c r="I355" s="241">
        <v>100</v>
      </c>
      <c r="J355" s="234"/>
      <c r="K355" s="241">
        <v>2080</v>
      </c>
      <c r="L355" s="234"/>
      <c r="M355" s="241">
        <v>100</v>
      </c>
      <c r="N355" s="235" t="e">
        <f>(((I355+J355+K355+L355+M355)-C355*#REF!*2)/1000)</f>
        <v>#REF!</v>
      </c>
      <c r="O355" s="235"/>
      <c r="P355" s="200">
        <f t="shared" si="63"/>
        <v>0</v>
      </c>
      <c r="Q355" s="200" t="e">
        <f t="shared" si="64"/>
        <v>#REF!</v>
      </c>
      <c r="R355" s="200">
        <f t="shared" si="65"/>
        <v>0</v>
      </c>
      <c r="S355" s="200">
        <f t="shared" si="66"/>
        <v>0</v>
      </c>
      <c r="T355" s="200">
        <f t="shared" si="67"/>
        <v>0</v>
      </c>
      <c r="U355" s="688">
        <f t="shared" si="68"/>
        <v>0</v>
      </c>
      <c r="V355" s="200">
        <f t="shared" si="69"/>
        <v>0</v>
      </c>
      <c r="W355" s="689"/>
    </row>
    <row r="356" spans="1:23" s="236" customFormat="1" ht="24.95" hidden="1" customHeight="1" outlineLevel="1">
      <c r="A356" s="239"/>
      <c r="B356" s="239" t="s">
        <v>393</v>
      </c>
      <c r="C356" s="240">
        <v>10</v>
      </c>
      <c r="D356" s="690"/>
      <c r="E356" s="240"/>
      <c r="F356" s="836"/>
      <c r="G356" s="239">
        <v>5</v>
      </c>
      <c r="H356" s="203">
        <v>2</v>
      </c>
      <c r="I356" s="241">
        <v>100</v>
      </c>
      <c r="J356" s="234"/>
      <c r="K356" s="241">
        <v>2080</v>
      </c>
      <c r="L356" s="234"/>
      <c r="M356" s="241">
        <v>100</v>
      </c>
      <c r="N356" s="235" t="e">
        <f>(((I356+J356+K356+L356+M356)-C356*#REF!*2)/1000)</f>
        <v>#REF!</v>
      </c>
      <c r="O356" s="235"/>
      <c r="P356" s="200">
        <f t="shared" si="63"/>
        <v>0</v>
      </c>
      <c r="Q356" s="200" t="e">
        <f t="shared" si="64"/>
        <v>#REF!</v>
      </c>
      <c r="R356" s="200">
        <f t="shared" si="65"/>
        <v>0</v>
      </c>
      <c r="S356" s="200">
        <f t="shared" si="66"/>
        <v>0</v>
      </c>
      <c r="T356" s="200">
        <f t="shared" si="67"/>
        <v>0</v>
      </c>
      <c r="U356" s="688">
        <f t="shared" si="68"/>
        <v>0</v>
      </c>
      <c r="V356" s="200">
        <f t="shared" si="69"/>
        <v>0</v>
      </c>
      <c r="W356" s="689"/>
    </row>
    <row r="357" spans="1:23" s="236" customFormat="1" ht="24.95" hidden="1" customHeight="1" outlineLevel="1">
      <c r="A357" s="239"/>
      <c r="B357" s="239" t="s">
        <v>394</v>
      </c>
      <c r="C357" s="240">
        <v>8</v>
      </c>
      <c r="D357" s="690"/>
      <c r="E357" s="240"/>
      <c r="F357" s="836"/>
      <c r="G357" s="239">
        <v>5</v>
      </c>
      <c r="H357" s="249">
        <f>(K355/200)+1</f>
        <v>11.4</v>
      </c>
      <c r="I357" s="234"/>
      <c r="J357" s="234"/>
      <c r="K357" s="234">
        <v>820</v>
      </c>
      <c r="L357" s="234"/>
      <c r="M357" s="234"/>
      <c r="N357" s="235" t="e">
        <f>(((I357+J357+K357+L357+M357)-C357*#REF!*2)/1000)</f>
        <v>#REF!</v>
      </c>
      <c r="O357" s="235"/>
      <c r="P357" s="200" t="e">
        <f t="shared" si="63"/>
        <v>#REF!</v>
      </c>
      <c r="Q357" s="200">
        <f t="shared" si="64"/>
        <v>0</v>
      </c>
      <c r="R357" s="200">
        <f t="shared" si="65"/>
        <v>0</v>
      </c>
      <c r="S357" s="200">
        <f t="shared" si="66"/>
        <v>0</v>
      </c>
      <c r="T357" s="200">
        <f t="shared" si="67"/>
        <v>0</v>
      </c>
      <c r="U357" s="688">
        <f t="shared" si="68"/>
        <v>0</v>
      </c>
      <c r="V357" s="200">
        <f t="shared" si="69"/>
        <v>0</v>
      </c>
      <c r="W357" s="689"/>
    </row>
    <row r="358" spans="1:23" s="236" customFormat="1" ht="24.95" hidden="1" customHeight="1" outlineLevel="1">
      <c r="A358" s="239">
        <v>6</v>
      </c>
      <c r="B358" s="239" t="s">
        <v>392</v>
      </c>
      <c r="C358" s="240">
        <v>10</v>
      </c>
      <c r="D358" s="690"/>
      <c r="E358" s="240"/>
      <c r="F358" s="836"/>
      <c r="G358" s="239">
        <v>2</v>
      </c>
      <c r="H358" s="203">
        <v>2</v>
      </c>
      <c r="I358" s="241">
        <v>100</v>
      </c>
      <c r="J358" s="234"/>
      <c r="K358" s="234">
        <v>2925</v>
      </c>
      <c r="L358" s="234"/>
      <c r="M358" s="241">
        <v>100</v>
      </c>
      <c r="N358" s="235" t="e">
        <f>(((I358+J358+K358+L358+M358)-C358*#REF!*2)/1000)</f>
        <v>#REF!</v>
      </c>
      <c r="O358" s="235"/>
      <c r="P358" s="200">
        <f t="shared" si="63"/>
        <v>0</v>
      </c>
      <c r="Q358" s="200" t="e">
        <f t="shared" si="64"/>
        <v>#REF!</v>
      </c>
      <c r="R358" s="200">
        <f t="shared" si="65"/>
        <v>0</v>
      </c>
      <c r="S358" s="200">
        <f t="shared" si="66"/>
        <v>0</v>
      </c>
      <c r="T358" s="200">
        <f t="shared" si="67"/>
        <v>0</v>
      </c>
      <c r="U358" s="688">
        <f t="shared" si="68"/>
        <v>0</v>
      </c>
      <c r="V358" s="200">
        <f t="shared" si="69"/>
        <v>0</v>
      </c>
      <c r="W358" s="689"/>
    </row>
    <row r="359" spans="1:23" s="236" customFormat="1" ht="24.95" hidden="1" customHeight="1" outlineLevel="1">
      <c r="A359" s="239"/>
      <c r="B359" s="239" t="s">
        <v>393</v>
      </c>
      <c r="C359" s="240">
        <v>10</v>
      </c>
      <c r="D359" s="690"/>
      <c r="E359" s="240"/>
      <c r="F359" s="836"/>
      <c r="G359" s="239">
        <v>2</v>
      </c>
      <c r="H359" s="203">
        <v>2</v>
      </c>
      <c r="I359" s="241">
        <v>100</v>
      </c>
      <c r="J359" s="234"/>
      <c r="K359" s="234">
        <v>2925</v>
      </c>
      <c r="L359" s="234"/>
      <c r="M359" s="241">
        <v>100</v>
      </c>
      <c r="N359" s="235" t="e">
        <f>(((I359+J359+K359+L359+M359)-C359*#REF!*2)/1000)</f>
        <v>#REF!</v>
      </c>
      <c r="O359" s="235"/>
      <c r="P359" s="200">
        <f t="shared" si="63"/>
        <v>0</v>
      </c>
      <c r="Q359" s="200" t="e">
        <f t="shared" si="64"/>
        <v>#REF!</v>
      </c>
      <c r="R359" s="200">
        <f t="shared" si="65"/>
        <v>0</v>
      </c>
      <c r="S359" s="200">
        <f t="shared" si="66"/>
        <v>0</v>
      </c>
      <c r="T359" s="200">
        <f t="shared" si="67"/>
        <v>0</v>
      </c>
      <c r="U359" s="688">
        <f t="shared" si="68"/>
        <v>0</v>
      </c>
      <c r="V359" s="200">
        <f t="shared" si="69"/>
        <v>0</v>
      </c>
      <c r="W359" s="689"/>
    </row>
    <row r="360" spans="1:23" s="236" customFormat="1" ht="24.95" hidden="1" customHeight="1" outlineLevel="1">
      <c r="A360" s="239"/>
      <c r="B360" s="239" t="s">
        <v>394</v>
      </c>
      <c r="C360" s="240">
        <v>8</v>
      </c>
      <c r="D360" s="690"/>
      <c r="E360" s="240"/>
      <c r="F360" s="836"/>
      <c r="G360" s="239">
        <v>2</v>
      </c>
      <c r="H360" s="203">
        <f>(K358/200)+1</f>
        <v>15.625</v>
      </c>
      <c r="I360" s="234"/>
      <c r="J360" s="234"/>
      <c r="K360" s="234">
        <v>820</v>
      </c>
      <c r="L360" s="234"/>
      <c r="M360" s="234"/>
      <c r="N360" s="235" t="e">
        <f>(((I360+J360+K360+L360+M360)-C360*#REF!*2)/1000)</f>
        <v>#REF!</v>
      </c>
      <c r="O360" s="235"/>
      <c r="P360" s="200" t="e">
        <f t="shared" si="63"/>
        <v>#REF!</v>
      </c>
      <c r="Q360" s="200">
        <f t="shared" si="64"/>
        <v>0</v>
      </c>
      <c r="R360" s="200">
        <f t="shared" si="65"/>
        <v>0</v>
      </c>
      <c r="S360" s="200">
        <f t="shared" si="66"/>
        <v>0</v>
      </c>
      <c r="T360" s="200">
        <f t="shared" si="67"/>
        <v>0</v>
      </c>
      <c r="U360" s="688">
        <f t="shared" si="68"/>
        <v>0</v>
      </c>
      <c r="V360" s="200">
        <f t="shared" si="69"/>
        <v>0</v>
      </c>
      <c r="W360" s="689"/>
    </row>
    <row r="361" spans="1:23" s="236" customFormat="1" ht="24.95" hidden="1" customHeight="1" outlineLevel="1">
      <c r="A361" s="205" t="s">
        <v>416</v>
      </c>
      <c r="B361" s="205" t="s">
        <v>403</v>
      </c>
      <c r="C361" s="240"/>
      <c r="D361" s="690"/>
      <c r="E361" s="240"/>
      <c r="F361" s="836"/>
      <c r="G361" s="239"/>
      <c r="H361" s="203"/>
      <c r="I361" s="234"/>
      <c r="J361" s="234"/>
      <c r="K361" s="234"/>
      <c r="L361" s="234"/>
      <c r="M361" s="234"/>
      <c r="N361" s="235" t="e">
        <f>(((I361+J361+K361+L361+M361)-C361*#REF!*2)/1000)</f>
        <v>#REF!</v>
      </c>
      <c r="O361" s="235"/>
      <c r="P361" s="200">
        <f t="shared" si="63"/>
        <v>0</v>
      </c>
      <c r="Q361" s="200">
        <f t="shared" si="64"/>
        <v>0</v>
      </c>
      <c r="R361" s="200">
        <f t="shared" si="65"/>
        <v>0</v>
      </c>
      <c r="S361" s="200">
        <f t="shared" si="66"/>
        <v>0</v>
      </c>
      <c r="T361" s="200">
        <f t="shared" si="67"/>
        <v>0</v>
      </c>
      <c r="U361" s="688">
        <f t="shared" si="68"/>
        <v>0</v>
      </c>
      <c r="V361" s="200">
        <f t="shared" si="69"/>
        <v>0</v>
      </c>
      <c r="W361" s="689"/>
    </row>
    <row r="362" spans="1:23" s="236" customFormat="1" ht="24.95" hidden="1" customHeight="1" outlineLevel="1">
      <c r="A362" s="205" t="s">
        <v>417</v>
      </c>
      <c r="B362" s="206" t="s">
        <v>391</v>
      </c>
      <c r="C362" s="240"/>
      <c r="D362" s="690"/>
      <c r="E362" s="240"/>
      <c r="F362" s="836"/>
      <c r="G362" s="239"/>
      <c r="H362" s="203"/>
      <c r="I362" s="234"/>
      <c r="J362" s="234"/>
      <c r="K362" s="234"/>
      <c r="L362" s="234"/>
      <c r="M362" s="234"/>
      <c r="N362" s="235" t="e">
        <f>(((I362+J362+K362+L362+M362)-C362*#REF!*2)/1000)</f>
        <v>#REF!</v>
      </c>
      <c r="O362" s="235"/>
      <c r="P362" s="200">
        <f t="shared" si="63"/>
        <v>0</v>
      </c>
      <c r="Q362" s="200">
        <f t="shared" si="64"/>
        <v>0</v>
      </c>
      <c r="R362" s="200">
        <f t="shared" si="65"/>
        <v>0</v>
      </c>
      <c r="S362" s="200">
        <f t="shared" si="66"/>
        <v>0</v>
      </c>
      <c r="T362" s="200">
        <f t="shared" si="67"/>
        <v>0</v>
      </c>
      <c r="U362" s="688">
        <f t="shared" si="68"/>
        <v>0</v>
      </c>
      <c r="V362" s="200">
        <f t="shared" si="69"/>
        <v>0</v>
      </c>
      <c r="W362" s="689"/>
    </row>
    <row r="363" spans="1:23" s="236" customFormat="1" ht="24.95" hidden="1" customHeight="1" outlineLevel="1">
      <c r="A363" s="239">
        <v>1</v>
      </c>
      <c r="B363" s="239" t="s">
        <v>392</v>
      </c>
      <c r="C363" s="240">
        <v>10</v>
      </c>
      <c r="D363" s="690"/>
      <c r="E363" s="240"/>
      <c r="F363" s="836"/>
      <c r="G363" s="239">
        <v>1</v>
      </c>
      <c r="H363" s="203">
        <v>2</v>
      </c>
      <c r="I363" s="241">
        <v>100</v>
      </c>
      <c r="J363" s="234"/>
      <c r="K363" s="241">
        <v>10570</v>
      </c>
      <c r="L363" s="234"/>
      <c r="M363" s="241">
        <v>100</v>
      </c>
      <c r="N363" s="235" t="e">
        <f>(((I363+J363+K363+L363+M363)-C363*#REF!*2)/1000)</f>
        <v>#REF!</v>
      </c>
      <c r="O363" s="235"/>
      <c r="P363" s="200">
        <f t="shared" si="63"/>
        <v>0</v>
      </c>
      <c r="Q363" s="200" t="e">
        <f t="shared" si="64"/>
        <v>#REF!</v>
      </c>
      <c r="R363" s="200">
        <f t="shared" si="65"/>
        <v>0</v>
      </c>
      <c r="S363" s="200">
        <f t="shared" si="66"/>
        <v>0</v>
      </c>
      <c r="T363" s="200">
        <f t="shared" si="67"/>
        <v>0</v>
      </c>
      <c r="U363" s="688">
        <f t="shared" si="68"/>
        <v>0</v>
      </c>
      <c r="V363" s="200">
        <f t="shared" si="69"/>
        <v>0</v>
      </c>
      <c r="W363" s="689"/>
    </row>
    <row r="364" spans="1:23" s="236" customFormat="1" ht="24.95" hidden="1" customHeight="1" outlineLevel="1">
      <c r="A364" s="239"/>
      <c r="B364" s="239" t="s">
        <v>393</v>
      </c>
      <c r="C364" s="240">
        <v>10</v>
      </c>
      <c r="D364" s="690"/>
      <c r="E364" s="240"/>
      <c r="F364" s="836"/>
      <c r="G364" s="239">
        <v>1</v>
      </c>
      <c r="H364" s="203">
        <v>2</v>
      </c>
      <c r="I364" s="241">
        <v>100</v>
      </c>
      <c r="J364" s="234"/>
      <c r="K364" s="241">
        <v>10570</v>
      </c>
      <c r="L364" s="234"/>
      <c r="M364" s="241">
        <v>100</v>
      </c>
      <c r="N364" s="235" t="e">
        <f>(((I364+J364+K364+L364+M364)-C364*#REF!*2)/1000)</f>
        <v>#REF!</v>
      </c>
      <c r="O364" s="235"/>
      <c r="P364" s="200">
        <f t="shared" si="63"/>
        <v>0</v>
      </c>
      <c r="Q364" s="200" t="e">
        <f t="shared" si="64"/>
        <v>#REF!</v>
      </c>
      <c r="R364" s="200">
        <f t="shared" si="65"/>
        <v>0</v>
      </c>
      <c r="S364" s="200">
        <f t="shared" si="66"/>
        <v>0</v>
      </c>
      <c r="T364" s="200">
        <f t="shared" si="67"/>
        <v>0</v>
      </c>
      <c r="U364" s="688">
        <f t="shared" si="68"/>
        <v>0</v>
      </c>
      <c r="V364" s="200">
        <f t="shared" si="69"/>
        <v>0</v>
      </c>
      <c r="W364" s="689"/>
    </row>
    <row r="365" spans="1:23" s="236" customFormat="1" ht="24.95" hidden="1" customHeight="1" outlineLevel="1">
      <c r="A365" s="239"/>
      <c r="B365" s="239" t="s">
        <v>394</v>
      </c>
      <c r="C365" s="240">
        <v>8</v>
      </c>
      <c r="D365" s="690"/>
      <c r="E365" s="240"/>
      <c r="F365" s="836"/>
      <c r="G365" s="239">
        <v>1</v>
      </c>
      <c r="H365" s="203">
        <f>(K363/200)+1</f>
        <v>53.85</v>
      </c>
      <c r="I365" s="234"/>
      <c r="J365" s="234"/>
      <c r="K365" s="234">
        <v>820</v>
      </c>
      <c r="L365" s="234"/>
      <c r="M365" s="234"/>
      <c r="N365" s="235" t="e">
        <f>(((I365+J365+K365+L365+M365)-C365*#REF!*2)/1000)</f>
        <v>#REF!</v>
      </c>
      <c r="O365" s="235"/>
      <c r="P365" s="200" t="e">
        <f t="shared" si="63"/>
        <v>#REF!</v>
      </c>
      <c r="Q365" s="200">
        <f t="shared" si="64"/>
        <v>0</v>
      </c>
      <c r="R365" s="200">
        <f t="shared" si="65"/>
        <v>0</v>
      </c>
      <c r="S365" s="200">
        <f t="shared" si="66"/>
        <v>0</v>
      </c>
      <c r="T365" s="200">
        <f t="shared" si="67"/>
        <v>0</v>
      </c>
      <c r="U365" s="688">
        <f t="shared" si="68"/>
        <v>0</v>
      </c>
      <c r="V365" s="200">
        <f t="shared" si="69"/>
        <v>0</v>
      </c>
      <c r="W365" s="689"/>
    </row>
    <row r="366" spans="1:23" s="236" customFormat="1" ht="24.95" hidden="1" customHeight="1" outlineLevel="1">
      <c r="A366" s="239">
        <v>2</v>
      </c>
      <c r="B366" s="239" t="s">
        <v>392</v>
      </c>
      <c r="C366" s="240">
        <v>10</v>
      </c>
      <c r="D366" s="690"/>
      <c r="E366" s="240"/>
      <c r="F366" s="836"/>
      <c r="G366" s="239">
        <v>1</v>
      </c>
      <c r="H366" s="203">
        <v>2</v>
      </c>
      <c r="I366" s="241">
        <v>100</v>
      </c>
      <c r="J366" s="234"/>
      <c r="K366" s="234">
        <v>8340</v>
      </c>
      <c r="L366" s="234"/>
      <c r="M366" s="241">
        <v>100</v>
      </c>
      <c r="N366" s="235" t="e">
        <f>(((I366+J366+K366+L366+M366)-C366*#REF!*2)/1000)</f>
        <v>#REF!</v>
      </c>
      <c r="O366" s="235"/>
      <c r="P366" s="200">
        <f t="shared" si="63"/>
        <v>0</v>
      </c>
      <c r="Q366" s="200" t="e">
        <f t="shared" si="64"/>
        <v>#REF!</v>
      </c>
      <c r="R366" s="200">
        <f t="shared" si="65"/>
        <v>0</v>
      </c>
      <c r="S366" s="200">
        <f t="shared" si="66"/>
        <v>0</v>
      </c>
      <c r="T366" s="200">
        <f t="shared" si="67"/>
        <v>0</v>
      </c>
      <c r="U366" s="688">
        <f t="shared" si="68"/>
        <v>0</v>
      </c>
      <c r="V366" s="200">
        <f t="shared" si="69"/>
        <v>0</v>
      </c>
      <c r="W366" s="689"/>
    </row>
    <row r="367" spans="1:23" s="236" customFormat="1" ht="24.95" hidden="1" customHeight="1" outlineLevel="1">
      <c r="A367" s="239"/>
      <c r="B367" s="239" t="s">
        <v>393</v>
      </c>
      <c r="C367" s="240">
        <v>10</v>
      </c>
      <c r="D367" s="690"/>
      <c r="E367" s="240"/>
      <c r="F367" s="836"/>
      <c r="G367" s="239">
        <v>1</v>
      </c>
      <c r="H367" s="203">
        <v>2</v>
      </c>
      <c r="I367" s="241">
        <v>100</v>
      </c>
      <c r="J367" s="234"/>
      <c r="K367" s="234">
        <v>8340</v>
      </c>
      <c r="L367" s="234"/>
      <c r="M367" s="241">
        <v>100</v>
      </c>
      <c r="N367" s="235" t="e">
        <f>(((I367+J367+K367+L367+M367)-C367*#REF!*2)/1000)</f>
        <v>#REF!</v>
      </c>
      <c r="O367" s="235"/>
      <c r="P367" s="200">
        <f t="shared" si="63"/>
        <v>0</v>
      </c>
      <c r="Q367" s="200" t="e">
        <f t="shared" si="64"/>
        <v>#REF!</v>
      </c>
      <c r="R367" s="200">
        <f t="shared" si="65"/>
        <v>0</v>
      </c>
      <c r="S367" s="200">
        <f t="shared" si="66"/>
        <v>0</v>
      </c>
      <c r="T367" s="200">
        <f t="shared" si="67"/>
        <v>0</v>
      </c>
      <c r="U367" s="688">
        <f t="shared" si="68"/>
        <v>0</v>
      </c>
      <c r="V367" s="200">
        <f t="shared" si="69"/>
        <v>0</v>
      </c>
      <c r="W367" s="689"/>
    </row>
    <row r="368" spans="1:23" s="236" customFormat="1" ht="24.95" hidden="1" customHeight="1" outlineLevel="1">
      <c r="A368" s="239"/>
      <c r="B368" s="239" t="s">
        <v>394</v>
      </c>
      <c r="C368" s="240">
        <v>8</v>
      </c>
      <c r="D368" s="690"/>
      <c r="E368" s="240"/>
      <c r="F368" s="836"/>
      <c r="G368" s="239">
        <v>1</v>
      </c>
      <c r="H368" s="203">
        <f>(K366/200)+1</f>
        <v>42.7</v>
      </c>
      <c r="I368" s="234"/>
      <c r="J368" s="234"/>
      <c r="K368" s="234">
        <v>820</v>
      </c>
      <c r="L368" s="234"/>
      <c r="M368" s="234"/>
      <c r="N368" s="235" t="e">
        <f>(((I368+J368+K368+L368+M368)-C368*#REF!*2)/1000)</f>
        <v>#REF!</v>
      </c>
      <c r="O368" s="235"/>
      <c r="P368" s="200" t="e">
        <f t="shared" si="63"/>
        <v>#REF!</v>
      </c>
      <c r="Q368" s="200">
        <f t="shared" si="64"/>
        <v>0</v>
      </c>
      <c r="R368" s="200">
        <f t="shared" si="65"/>
        <v>0</v>
      </c>
      <c r="S368" s="200">
        <f t="shared" si="66"/>
        <v>0</v>
      </c>
      <c r="T368" s="200">
        <f t="shared" si="67"/>
        <v>0</v>
      </c>
      <c r="U368" s="688">
        <f t="shared" si="68"/>
        <v>0</v>
      </c>
      <c r="V368" s="200">
        <f t="shared" si="69"/>
        <v>0</v>
      </c>
      <c r="W368" s="689"/>
    </row>
    <row r="369" spans="1:23" s="247" customFormat="1" ht="24.95" hidden="1" customHeight="1" outlineLevel="1">
      <c r="A369" s="242">
        <v>3</v>
      </c>
      <c r="B369" s="242" t="s">
        <v>392</v>
      </c>
      <c r="C369" s="243">
        <v>10</v>
      </c>
      <c r="D369" s="696"/>
      <c r="E369" s="243"/>
      <c r="F369" s="696"/>
      <c r="G369" s="242">
        <f t="shared" ref="G369:G371" si="70">1*0</f>
        <v>0</v>
      </c>
      <c r="H369" s="244">
        <v>2</v>
      </c>
      <c r="I369" s="245">
        <v>100</v>
      </c>
      <c r="J369" s="246"/>
      <c r="K369" s="246">
        <v>3605</v>
      </c>
      <c r="L369" s="246"/>
      <c r="M369" s="245">
        <v>100</v>
      </c>
      <c r="N369" s="235" t="e">
        <f>(((I369+J369+K369+L369+M369)-C369*#REF!*2)/1000)</f>
        <v>#REF!</v>
      </c>
      <c r="O369" s="235"/>
      <c r="P369" s="200">
        <f t="shared" si="63"/>
        <v>0</v>
      </c>
      <c r="Q369" s="200" t="e">
        <f t="shared" si="64"/>
        <v>#REF!</v>
      </c>
      <c r="R369" s="200">
        <f t="shared" si="65"/>
        <v>0</v>
      </c>
      <c r="S369" s="200">
        <f t="shared" si="66"/>
        <v>0</v>
      </c>
      <c r="T369" s="200">
        <f t="shared" si="67"/>
        <v>0</v>
      </c>
      <c r="U369" s="688">
        <f t="shared" si="68"/>
        <v>0</v>
      </c>
      <c r="V369" s="200">
        <f t="shared" si="69"/>
        <v>0</v>
      </c>
      <c r="W369" s="697"/>
    </row>
    <row r="370" spans="1:23" s="247" customFormat="1" ht="24.95" hidden="1" customHeight="1" outlineLevel="1">
      <c r="A370" s="242"/>
      <c r="B370" s="242" t="s">
        <v>393</v>
      </c>
      <c r="C370" s="243">
        <v>10</v>
      </c>
      <c r="D370" s="696"/>
      <c r="E370" s="243"/>
      <c r="F370" s="696"/>
      <c r="G370" s="242">
        <f t="shared" si="70"/>
        <v>0</v>
      </c>
      <c r="H370" s="244">
        <v>2</v>
      </c>
      <c r="I370" s="245">
        <v>100</v>
      </c>
      <c r="J370" s="246"/>
      <c r="K370" s="246">
        <v>3605</v>
      </c>
      <c r="L370" s="246"/>
      <c r="M370" s="245">
        <v>100</v>
      </c>
      <c r="N370" s="235" t="e">
        <f>(((I370+J370+K370+L370+M370)-C370*#REF!*2)/1000)</f>
        <v>#REF!</v>
      </c>
      <c r="O370" s="235"/>
      <c r="P370" s="200">
        <f t="shared" si="63"/>
        <v>0</v>
      </c>
      <c r="Q370" s="200" t="e">
        <f t="shared" si="64"/>
        <v>#REF!</v>
      </c>
      <c r="R370" s="200">
        <f t="shared" si="65"/>
        <v>0</v>
      </c>
      <c r="S370" s="200">
        <f t="shared" si="66"/>
        <v>0</v>
      </c>
      <c r="T370" s="200">
        <f t="shared" si="67"/>
        <v>0</v>
      </c>
      <c r="U370" s="688">
        <f t="shared" si="68"/>
        <v>0</v>
      </c>
      <c r="V370" s="200">
        <f t="shared" si="69"/>
        <v>0</v>
      </c>
      <c r="W370" s="697"/>
    </row>
    <row r="371" spans="1:23" s="247" customFormat="1" ht="24.95" hidden="1" customHeight="1" outlineLevel="1">
      <c r="A371" s="242"/>
      <c r="B371" s="242" t="s">
        <v>394</v>
      </c>
      <c r="C371" s="243">
        <v>8</v>
      </c>
      <c r="D371" s="696"/>
      <c r="E371" s="243"/>
      <c r="F371" s="696"/>
      <c r="G371" s="242">
        <f t="shared" si="70"/>
        <v>0</v>
      </c>
      <c r="H371" s="244">
        <f>(K369/200)+1</f>
        <v>19.024999999999999</v>
      </c>
      <c r="I371" s="246"/>
      <c r="J371" s="246"/>
      <c r="K371" s="246">
        <v>820</v>
      </c>
      <c r="L371" s="246"/>
      <c r="M371" s="246"/>
      <c r="N371" s="235" t="e">
        <f>(((I371+J371+K371+L371+M371)-C371*#REF!*2)/1000)</f>
        <v>#REF!</v>
      </c>
      <c r="O371" s="235"/>
      <c r="P371" s="200" t="e">
        <f t="shared" si="63"/>
        <v>#REF!</v>
      </c>
      <c r="Q371" s="200">
        <f t="shared" si="64"/>
        <v>0</v>
      </c>
      <c r="R371" s="200">
        <f t="shared" si="65"/>
        <v>0</v>
      </c>
      <c r="S371" s="200">
        <f t="shared" si="66"/>
        <v>0</v>
      </c>
      <c r="T371" s="200">
        <f t="shared" si="67"/>
        <v>0</v>
      </c>
      <c r="U371" s="688">
        <f t="shared" si="68"/>
        <v>0</v>
      </c>
      <c r="V371" s="200">
        <f t="shared" si="69"/>
        <v>0</v>
      </c>
      <c r="W371" s="697"/>
    </row>
    <row r="372" spans="1:23" s="236" customFormat="1" ht="24.95" hidden="1" customHeight="1" outlineLevel="1">
      <c r="A372" s="239">
        <v>4</v>
      </c>
      <c r="B372" s="239" t="s">
        <v>392</v>
      </c>
      <c r="C372" s="240">
        <v>10</v>
      </c>
      <c r="D372" s="690"/>
      <c r="E372" s="240"/>
      <c r="F372" s="836"/>
      <c r="G372" s="239">
        <v>1</v>
      </c>
      <c r="H372" s="203">
        <v>2</v>
      </c>
      <c r="I372" s="241">
        <v>100</v>
      </c>
      <c r="J372" s="234"/>
      <c r="K372" s="234">
        <v>6340</v>
      </c>
      <c r="L372" s="234"/>
      <c r="M372" s="241">
        <v>100</v>
      </c>
      <c r="N372" s="235" t="e">
        <f>(((I372+J372+K372+L372+M372)-C372*#REF!*2)/1000)</f>
        <v>#REF!</v>
      </c>
      <c r="O372" s="235"/>
      <c r="P372" s="200">
        <f t="shared" si="63"/>
        <v>0</v>
      </c>
      <c r="Q372" s="200" t="e">
        <f t="shared" si="64"/>
        <v>#REF!</v>
      </c>
      <c r="R372" s="200">
        <f t="shared" si="65"/>
        <v>0</v>
      </c>
      <c r="S372" s="200">
        <f t="shared" si="66"/>
        <v>0</v>
      </c>
      <c r="T372" s="200">
        <f t="shared" si="67"/>
        <v>0</v>
      </c>
      <c r="U372" s="688">
        <f t="shared" si="68"/>
        <v>0</v>
      </c>
      <c r="V372" s="200">
        <f t="shared" si="69"/>
        <v>0</v>
      </c>
      <c r="W372" s="689"/>
    </row>
    <row r="373" spans="1:23" s="236" customFormat="1" ht="24.95" hidden="1" customHeight="1" outlineLevel="1">
      <c r="A373" s="239"/>
      <c r="B373" s="239" t="s">
        <v>393</v>
      </c>
      <c r="C373" s="240">
        <v>10</v>
      </c>
      <c r="D373" s="690"/>
      <c r="E373" s="240"/>
      <c r="F373" s="836"/>
      <c r="G373" s="239">
        <v>1</v>
      </c>
      <c r="H373" s="203">
        <v>2</v>
      </c>
      <c r="I373" s="241">
        <v>100</v>
      </c>
      <c r="J373" s="234"/>
      <c r="K373" s="234">
        <v>6340</v>
      </c>
      <c r="L373" s="234"/>
      <c r="M373" s="241">
        <v>100</v>
      </c>
      <c r="N373" s="235" t="e">
        <f>(((I373+J373+K373+L373+M373)-C373*#REF!*2)/1000)</f>
        <v>#REF!</v>
      </c>
      <c r="O373" s="235"/>
      <c r="P373" s="200">
        <f t="shared" si="63"/>
        <v>0</v>
      </c>
      <c r="Q373" s="200" t="e">
        <f t="shared" si="64"/>
        <v>#REF!</v>
      </c>
      <c r="R373" s="200">
        <f t="shared" si="65"/>
        <v>0</v>
      </c>
      <c r="S373" s="200">
        <f t="shared" si="66"/>
        <v>0</v>
      </c>
      <c r="T373" s="200">
        <f t="shared" si="67"/>
        <v>0</v>
      </c>
      <c r="U373" s="688">
        <f t="shared" si="68"/>
        <v>0</v>
      </c>
      <c r="V373" s="200">
        <f t="shared" si="69"/>
        <v>0</v>
      </c>
      <c r="W373" s="689"/>
    </row>
    <row r="374" spans="1:23" s="236" customFormat="1" ht="24.95" hidden="1" customHeight="1" outlineLevel="1">
      <c r="A374" s="239"/>
      <c r="B374" s="239" t="s">
        <v>394</v>
      </c>
      <c r="C374" s="240">
        <v>8</v>
      </c>
      <c r="D374" s="690"/>
      <c r="E374" s="240"/>
      <c r="F374" s="836"/>
      <c r="G374" s="239">
        <v>1</v>
      </c>
      <c r="H374" s="203">
        <f>(K372/200)+1</f>
        <v>32.700000000000003</v>
      </c>
      <c r="I374" s="234"/>
      <c r="J374" s="234"/>
      <c r="K374" s="234">
        <v>820</v>
      </c>
      <c r="L374" s="234"/>
      <c r="M374" s="234"/>
      <c r="N374" s="235" t="e">
        <f>(((I374+J374+K374+L374+M374)-C374*#REF!*2)/1000)</f>
        <v>#REF!</v>
      </c>
      <c r="O374" s="235"/>
      <c r="P374" s="200" t="e">
        <f t="shared" si="63"/>
        <v>#REF!</v>
      </c>
      <c r="Q374" s="200">
        <f t="shared" si="64"/>
        <v>0</v>
      </c>
      <c r="R374" s="200">
        <f t="shared" si="65"/>
        <v>0</v>
      </c>
      <c r="S374" s="200">
        <f t="shared" si="66"/>
        <v>0</v>
      </c>
      <c r="T374" s="200">
        <f t="shared" si="67"/>
        <v>0</v>
      </c>
      <c r="U374" s="688">
        <f t="shared" si="68"/>
        <v>0</v>
      </c>
      <c r="V374" s="200">
        <f t="shared" si="69"/>
        <v>0</v>
      </c>
      <c r="W374" s="689"/>
    </row>
    <row r="375" spans="1:23" s="247" customFormat="1" ht="24.95" hidden="1" customHeight="1" outlineLevel="1">
      <c r="A375" s="242">
        <v>5</v>
      </c>
      <c r="B375" s="242" t="s">
        <v>392</v>
      </c>
      <c r="C375" s="243">
        <v>10</v>
      </c>
      <c r="D375" s="696"/>
      <c r="E375" s="243"/>
      <c r="F375" s="696"/>
      <c r="G375" s="242">
        <f t="shared" ref="G375:G377" si="71">2*0</f>
        <v>0</v>
      </c>
      <c r="H375" s="244">
        <v>2</v>
      </c>
      <c r="I375" s="245">
        <v>100</v>
      </c>
      <c r="J375" s="246"/>
      <c r="K375" s="246">
        <v>6005</v>
      </c>
      <c r="L375" s="246"/>
      <c r="M375" s="245">
        <v>100</v>
      </c>
      <c r="N375" s="235" t="e">
        <f>(((I375+J375+K375+L375+M375)-C375*#REF!*2)/1000)</f>
        <v>#REF!</v>
      </c>
      <c r="O375" s="235"/>
      <c r="P375" s="200">
        <f t="shared" si="63"/>
        <v>0</v>
      </c>
      <c r="Q375" s="200" t="e">
        <f t="shared" si="64"/>
        <v>#REF!</v>
      </c>
      <c r="R375" s="200">
        <f t="shared" si="65"/>
        <v>0</v>
      </c>
      <c r="S375" s="200">
        <f t="shared" si="66"/>
        <v>0</v>
      </c>
      <c r="T375" s="200">
        <f t="shared" si="67"/>
        <v>0</v>
      </c>
      <c r="U375" s="688">
        <f t="shared" si="68"/>
        <v>0</v>
      </c>
      <c r="V375" s="200">
        <f t="shared" si="69"/>
        <v>0</v>
      </c>
      <c r="W375" s="697"/>
    </row>
    <row r="376" spans="1:23" s="247" customFormat="1" ht="24.95" hidden="1" customHeight="1" outlineLevel="1">
      <c r="A376" s="242"/>
      <c r="B376" s="242" t="s">
        <v>393</v>
      </c>
      <c r="C376" s="243">
        <v>10</v>
      </c>
      <c r="D376" s="696"/>
      <c r="E376" s="243"/>
      <c r="F376" s="696"/>
      <c r="G376" s="242">
        <f t="shared" si="71"/>
        <v>0</v>
      </c>
      <c r="H376" s="244">
        <v>2</v>
      </c>
      <c r="I376" s="245">
        <v>100</v>
      </c>
      <c r="J376" s="246"/>
      <c r="K376" s="246">
        <v>6005</v>
      </c>
      <c r="L376" s="246"/>
      <c r="M376" s="245">
        <v>100</v>
      </c>
      <c r="N376" s="235" t="e">
        <f>(((I376+J376+K376+L376+M376)-C376*#REF!*2)/1000)</f>
        <v>#REF!</v>
      </c>
      <c r="O376" s="235"/>
      <c r="P376" s="200">
        <f t="shared" si="63"/>
        <v>0</v>
      </c>
      <c r="Q376" s="200" t="e">
        <f t="shared" si="64"/>
        <v>#REF!</v>
      </c>
      <c r="R376" s="200">
        <f t="shared" si="65"/>
        <v>0</v>
      </c>
      <c r="S376" s="200">
        <f t="shared" si="66"/>
        <v>0</v>
      </c>
      <c r="T376" s="200">
        <f t="shared" si="67"/>
        <v>0</v>
      </c>
      <c r="U376" s="688">
        <f t="shared" si="68"/>
        <v>0</v>
      </c>
      <c r="V376" s="200">
        <f t="shared" si="69"/>
        <v>0</v>
      </c>
      <c r="W376" s="697"/>
    </row>
    <row r="377" spans="1:23" s="247" customFormat="1" ht="24.95" hidden="1" customHeight="1" outlineLevel="1">
      <c r="A377" s="242"/>
      <c r="B377" s="242" t="s">
        <v>394</v>
      </c>
      <c r="C377" s="243">
        <v>8</v>
      </c>
      <c r="D377" s="696"/>
      <c r="E377" s="243"/>
      <c r="F377" s="696"/>
      <c r="G377" s="242">
        <f t="shared" si="71"/>
        <v>0</v>
      </c>
      <c r="H377" s="244">
        <f>(K375/200)+1</f>
        <v>31.024999999999999</v>
      </c>
      <c r="I377" s="246"/>
      <c r="J377" s="246"/>
      <c r="K377" s="246">
        <v>820</v>
      </c>
      <c r="L377" s="246"/>
      <c r="M377" s="246"/>
      <c r="N377" s="235" t="e">
        <f>(((I377+J377+K377+L377+M377)-C377*#REF!*2)/1000)</f>
        <v>#REF!</v>
      </c>
      <c r="O377" s="235"/>
      <c r="P377" s="200" t="e">
        <f t="shared" si="63"/>
        <v>#REF!</v>
      </c>
      <c r="Q377" s="200">
        <f t="shared" si="64"/>
        <v>0</v>
      </c>
      <c r="R377" s="200">
        <f t="shared" si="65"/>
        <v>0</v>
      </c>
      <c r="S377" s="200">
        <f t="shared" si="66"/>
        <v>0</v>
      </c>
      <c r="T377" s="200">
        <f t="shared" si="67"/>
        <v>0</v>
      </c>
      <c r="U377" s="688">
        <f t="shared" si="68"/>
        <v>0</v>
      </c>
      <c r="V377" s="200">
        <f t="shared" si="69"/>
        <v>0</v>
      </c>
      <c r="W377" s="697"/>
    </row>
    <row r="378" spans="1:23" s="236" customFormat="1" ht="24.95" hidden="1" customHeight="1" outlineLevel="1">
      <c r="A378" s="239">
        <v>6</v>
      </c>
      <c r="B378" s="239" t="s">
        <v>392</v>
      </c>
      <c r="C378" s="240">
        <v>10</v>
      </c>
      <c r="D378" s="690"/>
      <c r="E378" s="240"/>
      <c r="F378" s="836"/>
      <c r="G378" s="239">
        <v>1</v>
      </c>
      <c r="H378" s="203">
        <v>2</v>
      </c>
      <c r="I378" s="241">
        <v>100</v>
      </c>
      <c r="J378" s="234"/>
      <c r="K378" s="234">
        <v>7840</v>
      </c>
      <c r="L378" s="234"/>
      <c r="M378" s="241">
        <v>100</v>
      </c>
      <c r="N378" s="235" t="e">
        <f>(((I378+J378+K378+L378+M378)-C378*#REF!*2)/1000)</f>
        <v>#REF!</v>
      </c>
      <c r="O378" s="235"/>
      <c r="P378" s="200">
        <f t="shared" si="63"/>
        <v>0</v>
      </c>
      <c r="Q378" s="200" t="e">
        <f t="shared" si="64"/>
        <v>#REF!</v>
      </c>
      <c r="R378" s="200">
        <f t="shared" si="65"/>
        <v>0</v>
      </c>
      <c r="S378" s="200">
        <f t="shared" si="66"/>
        <v>0</v>
      </c>
      <c r="T378" s="200">
        <f t="shared" si="67"/>
        <v>0</v>
      </c>
      <c r="U378" s="688">
        <f t="shared" si="68"/>
        <v>0</v>
      </c>
      <c r="V378" s="200">
        <f t="shared" si="69"/>
        <v>0</v>
      </c>
      <c r="W378" s="689"/>
    </row>
    <row r="379" spans="1:23" s="236" customFormat="1" ht="24.95" hidden="1" customHeight="1" outlineLevel="1">
      <c r="A379" s="239"/>
      <c r="B379" s="239" t="s">
        <v>393</v>
      </c>
      <c r="C379" s="240">
        <v>10</v>
      </c>
      <c r="D379" s="690"/>
      <c r="E379" s="240"/>
      <c r="F379" s="836"/>
      <c r="G379" s="239">
        <v>1</v>
      </c>
      <c r="H379" s="203">
        <v>2</v>
      </c>
      <c r="I379" s="241">
        <v>100</v>
      </c>
      <c r="J379" s="234"/>
      <c r="K379" s="234">
        <v>7840</v>
      </c>
      <c r="L379" s="234"/>
      <c r="M379" s="241">
        <v>100</v>
      </c>
      <c r="N379" s="235" t="e">
        <f>(((I379+J379+K379+L379+M379)-C379*#REF!*2)/1000)</f>
        <v>#REF!</v>
      </c>
      <c r="O379" s="235"/>
      <c r="P379" s="200">
        <f t="shared" si="63"/>
        <v>0</v>
      </c>
      <c r="Q379" s="200" t="e">
        <f t="shared" si="64"/>
        <v>#REF!</v>
      </c>
      <c r="R379" s="200">
        <f t="shared" si="65"/>
        <v>0</v>
      </c>
      <c r="S379" s="200">
        <f t="shared" si="66"/>
        <v>0</v>
      </c>
      <c r="T379" s="200">
        <f t="shared" si="67"/>
        <v>0</v>
      </c>
      <c r="U379" s="688">
        <f t="shared" si="68"/>
        <v>0</v>
      </c>
      <c r="V379" s="200">
        <f t="shared" si="69"/>
        <v>0</v>
      </c>
      <c r="W379" s="689"/>
    </row>
    <row r="380" spans="1:23" s="236" customFormat="1" ht="24.95" hidden="1" customHeight="1" outlineLevel="1">
      <c r="A380" s="239"/>
      <c r="B380" s="239" t="s">
        <v>394</v>
      </c>
      <c r="C380" s="240">
        <v>8</v>
      </c>
      <c r="D380" s="690"/>
      <c r="E380" s="240"/>
      <c r="F380" s="836"/>
      <c r="G380" s="239">
        <v>1</v>
      </c>
      <c r="H380" s="203">
        <f>(K378/200)+1</f>
        <v>40.200000000000003</v>
      </c>
      <c r="I380" s="234"/>
      <c r="J380" s="234"/>
      <c r="K380" s="234">
        <v>820</v>
      </c>
      <c r="L380" s="234"/>
      <c r="M380" s="234"/>
      <c r="N380" s="235" t="e">
        <f>(((I380+J380+K380+L380+M380)-C380*#REF!*2)/1000)</f>
        <v>#REF!</v>
      </c>
      <c r="O380" s="235"/>
      <c r="P380" s="200" t="e">
        <f t="shared" si="63"/>
        <v>#REF!</v>
      </c>
      <c r="Q380" s="200">
        <f t="shared" si="64"/>
        <v>0</v>
      </c>
      <c r="R380" s="200">
        <f t="shared" si="65"/>
        <v>0</v>
      </c>
      <c r="S380" s="200">
        <f t="shared" si="66"/>
        <v>0</v>
      </c>
      <c r="T380" s="200">
        <f t="shared" si="67"/>
        <v>0</v>
      </c>
      <c r="U380" s="688">
        <f t="shared" si="68"/>
        <v>0</v>
      </c>
      <c r="V380" s="200">
        <f t="shared" si="69"/>
        <v>0</v>
      </c>
      <c r="W380" s="689"/>
    </row>
    <row r="381" spans="1:23" s="236" customFormat="1" ht="24.95" hidden="1" customHeight="1" outlineLevel="1">
      <c r="A381" s="239">
        <v>7</v>
      </c>
      <c r="B381" s="239" t="s">
        <v>392</v>
      </c>
      <c r="C381" s="240">
        <v>10</v>
      </c>
      <c r="D381" s="690"/>
      <c r="E381" s="240"/>
      <c r="F381" s="836"/>
      <c r="G381" s="239">
        <v>1</v>
      </c>
      <c r="H381" s="203">
        <v>2</v>
      </c>
      <c r="I381" s="241">
        <v>100</v>
      </c>
      <c r="J381" s="234"/>
      <c r="K381" s="241">
        <v>10070</v>
      </c>
      <c r="L381" s="234"/>
      <c r="M381" s="241">
        <v>100</v>
      </c>
      <c r="N381" s="235" t="e">
        <f>(((I381+J381+K381+L381+M381)-C381*#REF!*2)/1000)</f>
        <v>#REF!</v>
      </c>
      <c r="O381" s="235"/>
      <c r="P381" s="200">
        <f t="shared" si="63"/>
        <v>0</v>
      </c>
      <c r="Q381" s="200" t="e">
        <f t="shared" si="64"/>
        <v>#REF!</v>
      </c>
      <c r="R381" s="200">
        <f t="shared" si="65"/>
        <v>0</v>
      </c>
      <c r="S381" s="200">
        <f t="shared" si="66"/>
        <v>0</v>
      </c>
      <c r="T381" s="200">
        <f t="shared" si="67"/>
        <v>0</v>
      </c>
      <c r="U381" s="688">
        <f t="shared" si="68"/>
        <v>0</v>
      </c>
      <c r="V381" s="200">
        <f t="shared" si="69"/>
        <v>0</v>
      </c>
      <c r="W381" s="689"/>
    </row>
    <row r="382" spans="1:23" s="236" customFormat="1" ht="24.95" hidden="1" customHeight="1" outlineLevel="1">
      <c r="A382" s="239"/>
      <c r="B382" s="239" t="s">
        <v>393</v>
      </c>
      <c r="C382" s="240">
        <v>10</v>
      </c>
      <c r="D382" s="690"/>
      <c r="E382" s="240"/>
      <c r="F382" s="836"/>
      <c r="G382" s="239">
        <v>1</v>
      </c>
      <c r="H382" s="203">
        <v>2</v>
      </c>
      <c r="I382" s="241">
        <v>100</v>
      </c>
      <c r="J382" s="234"/>
      <c r="K382" s="241">
        <v>10070</v>
      </c>
      <c r="L382" s="234"/>
      <c r="M382" s="241">
        <v>100</v>
      </c>
      <c r="N382" s="235" t="e">
        <f>(((I382+J382+K382+L382+M382)-C382*#REF!*2)/1000)</f>
        <v>#REF!</v>
      </c>
      <c r="O382" s="235"/>
      <c r="P382" s="200">
        <f t="shared" si="63"/>
        <v>0</v>
      </c>
      <c r="Q382" s="200" t="e">
        <f t="shared" si="64"/>
        <v>#REF!</v>
      </c>
      <c r="R382" s="200">
        <f t="shared" si="65"/>
        <v>0</v>
      </c>
      <c r="S382" s="200">
        <f t="shared" si="66"/>
        <v>0</v>
      </c>
      <c r="T382" s="200">
        <f t="shared" si="67"/>
        <v>0</v>
      </c>
      <c r="U382" s="688">
        <f t="shared" si="68"/>
        <v>0</v>
      </c>
      <c r="V382" s="200">
        <f t="shared" si="69"/>
        <v>0</v>
      </c>
      <c r="W382" s="689"/>
    </row>
    <row r="383" spans="1:23" s="236" customFormat="1" ht="24.95" hidden="1" customHeight="1" outlineLevel="1">
      <c r="A383" s="239"/>
      <c r="B383" s="239" t="s">
        <v>394</v>
      </c>
      <c r="C383" s="240">
        <v>8</v>
      </c>
      <c r="D383" s="690"/>
      <c r="E383" s="240"/>
      <c r="F383" s="836"/>
      <c r="G383" s="239">
        <v>1</v>
      </c>
      <c r="H383" s="249">
        <f>(K381/200)+1</f>
        <v>51.35</v>
      </c>
      <c r="I383" s="234"/>
      <c r="J383" s="234"/>
      <c r="K383" s="234">
        <v>820</v>
      </c>
      <c r="L383" s="234"/>
      <c r="M383" s="234"/>
      <c r="N383" s="235" t="e">
        <f>(((I383+J383+K383+L383+M383)-C383*#REF!*2)/1000)</f>
        <v>#REF!</v>
      </c>
      <c r="O383" s="235"/>
      <c r="P383" s="200" t="e">
        <f t="shared" si="63"/>
        <v>#REF!</v>
      </c>
      <c r="Q383" s="200">
        <f t="shared" si="64"/>
        <v>0</v>
      </c>
      <c r="R383" s="200">
        <f t="shared" si="65"/>
        <v>0</v>
      </c>
      <c r="S383" s="200">
        <f t="shared" si="66"/>
        <v>0</v>
      </c>
      <c r="T383" s="200">
        <f t="shared" si="67"/>
        <v>0</v>
      </c>
      <c r="U383" s="688">
        <f t="shared" si="68"/>
        <v>0</v>
      </c>
      <c r="V383" s="200">
        <f t="shared" si="69"/>
        <v>0</v>
      </c>
      <c r="W383" s="689"/>
    </row>
    <row r="384" spans="1:23" s="236" customFormat="1" ht="24.95" hidden="1" customHeight="1" outlineLevel="1">
      <c r="A384" s="207">
        <v>8</v>
      </c>
      <c r="B384" s="208" t="s">
        <v>399</v>
      </c>
      <c r="C384" s="240">
        <v>12</v>
      </c>
      <c r="D384" s="690"/>
      <c r="E384" s="240"/>
      <c r="F384" s="836"/>
      <c r="G384" s="239">
        <v>3</v>
      </c>
      <c r="H384" s="203">
        <v>3</v>
      </c>
      <c r="I384" s="241">
        <v>100</v>
      </c>
      <c r="J384" s="234"/>
      <c r="K384" s="234">
        <v>2950</v>
      </c>
      <c r="L384" s="234"/>
      <c r="M384" s="241">
        <v>100</v>
      </c>
      <c r="N384" s="235" t="e">
        <f>(((I384+J384+K384+L384+M384)-C384*#REF!*2)/1000)</f>
        <v>#REF!</v>
      </c>
      <c r="O384" s="235"/>
      <c r="P384" s="200">
        <f t="shared" si="63"/>
        <v>0</v>
      </c>
      <c r="Q384" s="200">
        <f t="shared" si="64"/>
        <v>0</v>
      </c>
      <c r="R384" s="200" t="e">
        <f t="shared" si="65"/>
        <v>#REF!</v>
      </c>
      <c r="S384" s="200">
        <f t="shared" si="66"/>
        <v>0</v>
      </c>
      <c r="T384" s="200">
        <f t="shared" si="67"/>
        <v>0</v>
      </c>
      <c r="U384" s="688">
        <f t="shared" si="68"/>
        <v>0</v>
      </c>
      <c r="V384" s="200">
        <f t="shared" si="69"/>
        <v>0</v>
      </c>
      <c r="W384" s="689"/>
    </row>
    <row r="385" spans="1:23" s="236" customFormat="1" ht="24.95" hidden="1" customHeight="1" outlineLevel="1">
      <c r="A385" s="239"/>
      <c r="B385" s="239" t="s">
        <v>393</v>
      </c>
      <c r="C385" s="240">
        <v>12</v>
      </c>
      <c r="D385" s="690"/>
      <c r="E385" s="240"/>
      <c r="F385" s="836"/>
      <c r="G385" s="239">
        <v>3</v>
      </c>
      <c r="H385" s="203">
        <v>3</v>
      </c>
      <c r="I385" s="241">
        <v>100</v>
      </c>
      <c r="J385" s="234"/>
      <c r="K385" s="234">
        <v>2950</v>
      </c>
      <c r="L385" s="234"/>
      <c r="M385" s="241">
        <v>100</v>
      </c>
      <c r="N385" s="235" t="e">
        <f>(((I385+J385+K385+L385+M385)-C385*#REF!*2)/1000)</f>
        <v>#REF!</v>
      </c>
      <c r="O385" s="235"/>
      <c r="P385" s="200">
        <f t="shared" si="63"/>
        <v>0</v>
      </c>
      <c r="Q385" s="200">
        <f t="shared" si="64"/>
        <v>0</v>
      </c>
      <c r="R385" s="200" t="e">
        <f t="shared" si="65"/>
        <v>#REF!</v>
      </c>
      <c r="S385" s="200">
        <f t="shared" si="66"/>
        <v>0</v>
      </c>
      <c r="T385" s="200">
        <f t="shared" si="67"/>
        <v>0</v>
      </c>
      <c r="U385" s="688">
        <f t="shared" si="68"/>
        <v>0</v>
      </c>
      <c r="V385" s="200">
        <f t="shared" si="69"/>
        <v>0</v>
      </c>
      <c r="W385" s="689"/>
    </row>
    <row r="386" spans="1:23" s="236" customFormat="1" ht="24.95" hidden="1" customHeight="1" outlineLevel="1">
      <c r="A386" s="239"/>
      <c r="B386" s="239" t="s">
        <v>400</v>
      </c>
      <c r="C386" s="240">
        <v>8</v>
      </c>
      <c r="D386" s="690"/>
      <c r="E386" s="240"/>
      <c r="F386" s="836"/>
      <c r="G386" s="239">
        <v>3</v>
      </c>
      <c r="H386" s="203">
        <f>(K384/200)+1</f>
        <v>15.75</v>
      </c>
      <c r="I386" s="234"/>
      <c r="J386" s="234"/>
      <c r="K386" s="234">
        <v>1280</v>
      </c>
      <c r="L386" s="234"/>
      <c r="M386" s="234"/>
      <c r="N386" s="235" t="e">
        <f>(((I386+J386+K386+L386+M386)-C386*#REF!*2)/1000)</f>
        <v>#REF!</v>
      </c>
      <c r="O386" s="235"/>
      <c r="P386" s="200" t="e">
        <f t="shared" si="63"/>
        <v>#REF!</v>
      </c>
      <c r="Q386" s="200">
        <f t="shared" si="64"/>
        <v>0</v>
      </c>
      <c r="R386" s="200">
        <f t="shared" si="65"/>
        <v>0</v>
      </c>
      <c r="S386" s="200">
        <f t="shared" si="66"/>
        <v>0</v>
      </c>
      <c r="T386" s="200">
        <f t="shared" si="67"/>
        <v>0</v>
      </c>
      <c r="U386" s="688">
        <f t="shared" si="68"/>
        <v>0</v>
      </c>
      <c r="V386" s="200">
        <f t="shared" si="69"/>
        <v>0</v>
      </c>
      <c r="W386" s="689"/>
    </row>
    <row r="387" spans="1:23" s="236" customFormat="1" ht="24.95" hidden="1" customHeight="1" outlineLevel="1">
      <c r="A387" s="205" t="s">
        <v>418</v>
      </c>
      <c r="B387" s="206" t="s">
        <v>396</v>
      </c>
      <c r="C387" s="240"/>
      <c r="D387" s="690"/>
      <c r="E387" s="240"/>
      <c r="F387" s="836"/>
      <c r="G387" s="239"/>
      <c r="H387" s="203"/>
      <c r="I387" s="234"/>
      <c r="J387" s="234"/>
      <c r="K387" s="234"/>
      <c r="L387" s="234"/>
      <c r="M387" s="234"/>
      <c r="N387" s="235" t="e">
        <f>(((I387+J387+K387+L387+M387)-C387*#REF!*2)/1000)</f>
        <v>#REF!</v>
      </c>
      <c r="O387" s="235"/>
      <c r="P387" s="200">
        <f t="shared" si="63"/>
        <v>0</v>
      </c>
      <c r="Q387" s="200">
        <f t="shared" si="64"/>
        <v>0</v>
      </c>
      <c r="R387" s="200">
        <f t="shared" si="65"/>
        <v>0</v>
      </c>
      <c r="S387" s="200">
        <f t="shared" si="66"/>
        <v>0</v>
      </c>
      <c r="T387" s="200">
        <f t="shared" si="67"/>
        <v>0</v>
      </c>
      <c r="U387" s="688">
        <f t="shared" si="68"/>
        <v>0</v>
      </c>
      <c r="V387" s="200">
        <f t="shared" si="69"/>
        <v>0</v>
      </c>
      <c r="W387" s="689"/>
    </row>
    <row r="388" spans="1:23" s="236" customFormat="1" ht="24.95" hidden="1" customHeight="1" outlineLevel="1">
      <c r="A388" s="239">
        <v>1</v>
      </c>
      <c r="B388" s="239" t="s">
        <v>392</v>
      </c>
      <c r="C388" s="240">
        <v>10</v>
      </c>
      <c r="D388" s="690"/>
      <c r="E388" s="240"/>
      <c r="F388" s="836"/>
      <c r="G388" s="239">
        <v>2</v>
      </c>
      <c r="H388" s="203">
        <v>2</v>
      </c>
      <c r="I388" s="241">
        <v>100</v>
      </c>
      <c r="J388" s="234"/>
      <c r="K388" s="241">
        <v>1025</v>
      </c>
      <c r="L388" s="234"/>
      <c r="M388" s="241">
        <v>100</v>
      </c>
      <c r="N388" s="235" t="e">
        <f>(((I388+J388+K388+L388+M388)-C388*#REF!*2)/1000)</f>
        <v>#REF!</v>
      </c>
      <c r="O388" s="235"/>
      <c r="P388" s="200">
        <f t="shared" si="63"/>
        <v>0</v>
      </c>
      <c r="Q388" s="200" t="e">
        <f t="shared" si="64"/>
        <v>#REF!</v>
      </c>
      <c r="R388" s="200">
        <f t="shared" si="65"/>
        <v>0</v>
      </c>
      <c r="S388" s="200">
        <f t="shared" si="66"/>
        <v>0</v>
      </c>
      <c r="T388" s="200">
        <f t="shared" si="67"/>
        <v>0</v>
      </c>
      <c r="U388" s="688">
        <f t="shared" si="68"/>
        <v>0</v>
      </c>
      <c r="V388" s="200">
        <f t="shared" si="69"/>
        <v>0</v>
      </c>
      <c r="W388" s="689"/>
    </row>
    <row r="389" spans="1:23" s="236" customFormat="1" ht="24.95" hidden="1" customHeight="1" outlineLevel="1">
      <c r="A389" s="239"/>
      <c r="B389" s="239" t="s">
        <v>393</v>
      </c>
      <c r="C389" s="240">
        <v>10</v>
      </c>
      <c r="D389" s="690"/>
      <c r="E389" s="240"/>
      <c r="F389" s="836"/>
      <c r="G389" s="239">
        <v>2</v>
      </c>
      <c r="H389" s="203">
        <v>2</v>
      </c>
      <c r="I389" s="241">
        <v>100</v>
      </c>
      <c r="J389" s="234"/>
      <c r="K389" s="241">
        <v>1025</v>
      </c>
      <c r="L389" s="234"/>
      <c r="M389" s="241">
        <v>100</v>
      </c>
      <c r="N389" s="235" t="e">
        <f>(((I389+J389+K389+L389+M389)-C389*#REF!*2)/1000)</f>
        <v>#REF!</v>
      </c>
      <c r="O389" s="235"/>
      <c r="P389" s="200">
        <f t="shared" si="63"/>
        <v>0</v>
      </c>
      <c r="Q389" s="200" t="e">
        <f t="shared" si="64"/>
        <v>#REF!</v>
      </c>
      <c r="R389" s="200">
        <f t="shared" si="65"/>
        <v>0</v>
      </c>
      <c r="S389" s="200">
        <f t="shared" si="66"/>
        <v>0</v>
      </c>
      <c r="T389" s="200">
        <f t="shared" si="67"/>
        <v>0</v>
      </c>
      <c r="U389" s="688">
        <f t="shared" si="68"/>
        <v>0</v>
      </c>
      <c r="V389" s="200">
        <f t="shared" si="69"/>
        <v>0</v>
      </c>
      <c r="W389" s="689"/>
    </row>
    <row r="390" spans="1:23" s="236" customFormat="1" ht="24.95" hidden="1" customHeight="1" outlineLevel="1">
      <c r="A390" s="239"/>
      <c r="B390" s="239" t="s">
        <v>394</v>
      </c>
      <c r="C390" s="240">
        <v>8</v>
      </c>
      <c r="D390" s="690"/>
      <c r="E390" s="240"/>
      <c r="F390" s="836"/>
      <c r="G390" s="239">
        <v>2</v>
      </c>
      <c r="H390" s="203">
        <f>(K388/200)+1</f>
        <v>6.125</v>
      </c>
      <c r="I390" s="234"/>
      <c r="J390" s="234"/>
      <c r="K390" s="234">
        <v>820</v>
      </c>
      <c r="L390" s="234"/>
      <c r="M390" s="234"/>
      <c r="N390" s="235" t="e">
        <f>(((I390+J390+K390+L390+M390)-C390*#REF!*2)/1000)</f>
        <v>#REF!</v>
      </c>
      <c r="O390" s="235"/>
      <c r="P390" s="200" t="e">
        <f t="shared" si="63"/>
        <v>#REF!</v>
      </c>
      <c r="Q390" s="200">
        <f t="shared" si="64"/>
        <v>0</v>
      </c>
      <c r="R390" s="200">
        <f t="shared" si="65"/>
        <v>0</v>
      </c>
      <c r="S390" s="200">
        <f t="shared" si="66"/>
        <v>0</v>
      </c>
      <c r="T390" s="200">
        <f t="shared" si="67"/>
        <v>0</v>
      </c>
      <c r="U390" s="688">
        <f t="shared" si="68"/>
        <v>0</v>
      </c>
      <c r="V390" s="200">
        <f t="shared" si="69"/>
        <v>0</v>
      </c>
      <c r="W390" s="689"/>
    </row>
    <row r="391" spans="1:23" s="236" customFormat="1" ht="24.95" hidden="1" customHeight="1" outlineLevel="1">
      <c r="A391" s="239">
        <v>2</v>
      </c>
      <c r="B391" s="239" t="s">
        <v>392</v>
      </c>
      <c r="C391" s="240">
        <v>10</v>
      </c>
      <c r="D391" s="690"/>
      <c r="E391" s="240"/>
      <c r="F391" s="836"/>
      <c r="G391" s="239">
        <v>2</v>
      </c>
      <c r="H391" s="203">
        <v>2</v>
      </c>
      <c r="I391" s="241">
        <v>100</v>
      </c>
      <c r="J391" s="234"/>
      <c r="K391" s="234">
        <v>2010</v>
      </c>
      <c r="L391" s="234"/>
      <c r="M391" s="241">
        <v>100</v>
      </c>
      <c r="N391" s="235" t="e">
        <f>(((I391+J391+K391+L391+M391)-C391*#REF!*2)/1000)</f>
        <v>#REF!</v>
      </c>
      <c r="O391" s="235"/>
      <c r="P391" s="200">
        <f t="shared" si="63"/>
        <v>0</v>
      </c>
      <c r="Q391" s="200" t="e">
        <f t="shared" si="64"/>
        <v>#REF!</v>
      </c>
      <c r="R391" s="200">
        <f t="shared" si="65"/>
        <v>0</v>
      </c>
      <c r="S391" s="200">
        <f t="shared" si="66"/>
        <v>0</v>
      </c>
      <c r="T391" s="200">
        <f t="shared" si="67"/>
        <v>0</v>
      </c>
      <c r="U391" s="688">
        <f t="shared" si="68"/>
        <v>0</v>
      </c>
      <c r="V391" s="200">
        <f t="shared" si="69"/>
        <v>0</v>
      </c>
      <c r="W391" s="689"/>
    </row>
    <row r="392" spans="1:23" s="236" customFormat="1" ht="24.95" hidden="1" customHeight="1" outlineLevel="1">
      <c r="A392" s="239"/>
      <c r="B392" s="239" t="s">
        <v>393</v>
      </c>
      <c r="C392" s="240">
        <v>10</v>
      </c>
      <c r="D392" s="690"/>
      <c r="E392" s="240"/>
      <c r="F392" s="836"/>
      <c r="G392" s="239">
        <v>2</v>
      </c>
      <c r="H392" s="203">
        <v>2</v>
      </c>
      <c r="I392" s="241">
        <v>100</v>
      </c>
      <c r="J392" s="234"/>
      <c r="K392" s="234">
        <v>2010</v>
      </c>
      <c r="L392" s="234"/>
      <c r="M392" s="241">
        <v>100</v>
      </c>
      <c r="N392" s="235" t="e">
        <f>(((I392+J392+K392+L392+M392)-C392*#REF!*2)/1000)</f>
        <v>#REF!</v>
      </c>
      <c r="O392" s="235"/>
      <c r="P392" s="200">
        <f t="shared" si="63"/>
        <v>0</v>
      </c>
      <c r="Q392" s="200" t="e">
        <f t="shared" si="64"/>
        <v>#REF!</v>
      </c>
      <c r="R392" s="200">
        <f t="shared" si="65"/>
        <v>0</v>
      </c>
      <c r="S392" s="200">
        <f t="shared" si="66"/>
        <v>0</v>
      </c>
      <c r="T392" s="200">
        <f t="shared" si="67"/>
        <v>0</v>
      </c>
      <c r="U392" s="688">
        <f t="shared" si="68"/>
        <v>0</v>
      </c>
      <c r="V392" s="200">
        <f t="shared" si="69"/>
        <v>0</v>
      </c>
      <c r="W392" s="689"/>
    </row>
    <row r="393" spans="1:23" s="236" customFormat="1" ht="24.95" hidden="1" customHeight="1" outlineLevel="1">
      <c r="A393" s="239"/>
      <c r="B393" s="239" t="s">
        <v>394</v>
      </c>
      <c r="C393" s="240">
        <v>8</v>
      </c>
      <c r="D393" s="690"/>
      <c r="E393" s="240"/>
      <c r="F393" s="836"/>
      <c r="G393" s="239">
        <v>2</v>
      </c>
      <c r="H393" s="203">
        <f>(K391/200)+1</f>
        <v>11.05</v>
      </c>
      <c r="I393" s="234"/>
      <c r="J393" s="234"/>
      <c r="K393" s="234">
        <v>820</v>
      </c>
      <c r="L393" s="234"/>
      <c r="M393" s="234"/>
      <c r="N393" s="235" t="e">
        <f>(((I393+J393+K393+L393+M393)-C393*#REF!*2)/1000)</f>
        <v>#REF!</v>
      </c>
      <c r="O393" s="235"/>
      <c r="P393" s="200" t="e">
        <f t="shared" si="63"/>
        <v>#REF!</v>
      </c>
      <c r="Q393" s="200">
        <f t="shared" si="64"/>
        <v>0</v>
      </c>
      <c r="R393" s="200">
        <f t="shared" si="65"/>
        <v>0</v>
      </c>
      <c r="S393" s="200">
        <f t="shared" si="66"/>
        <v>0</v>
      </c>
      <c r="T393" s="200">
        <f t="shared" si="67"/>
        <v>0</v>
      </c>
      <c r="U393" s="688">
        <f t="shared" si="68"/>
        <v>0</v>
      </c>
      <c r="V393" s="200">
        <f t="shared" si="69"/>
        <v>0</v>
      </c>
      <c r="W393" s="689"/>
    </row>
    <row r="394" spans="1:23" s="236" customFormat="1" ht="24.95" hidden="1" customHeight="1" outlineLevel="1">
      <c r="A394" s="239">
        <v>3</v>
      </c>
      <c r="B394" s="239" t="s">
        <v>392</v>
      </c>
      <c r="C394" s="240">
        <v>10</v>
      </c>
      <c r="D394" s="690"/>
      <c r="E394" s="240"/>
      <c r="F394" s="836"/>
      <c r="G394" s="239">
        <v>2</v>
      </c>
      <c r="H394" s="203">
        <v>2</v>
      </c>
      <c r="I394" s="241">
        <v>100</v>
      </c>
      <c r="J394" s="234"/>
      <c r="K394" s="241">
        <v>3770</v>
      </c>
      <c r="L394" s="234"/>
      <c r="M394" s="241">
        <v>100</v>
      </c>
      <c r="N394" s="235" t="e">
        <f>(((I394+J394+K394+L394+M394)-C394*#REF!*2)/1000)</f>
        <v>#REF!</v>
      </c>
      <c r="O394" s="235"/>
      <c r="P394" s="200">
        <f t="shared" si="63"/>
        <v>0</v>
      </c>
      <c r="Q394" s="200" t="e">
        <f t="shared" si="64"/>
        <v>#REF!</v>
      </c>
      <c r="R394" s="200">
        <f t="shared" si="65"/>
        <v>0</v>
      </c>
      <c r="S394" s="200">
        <f t="shared" si="66"/>
        <v>0</v>
      </c>
      <c r="T394" s="200">
        <f t="shared" si="67"/>
        <v>0</v>
      </c>
      <c r="U394" s="688">
        <f t="shared" si="68"/>
        <v>0</v>
      </c>
      <c r="V394" s="200">
        <f t="shared" si="69"/>
        <v>0</v>
      </c>
      <c r="W394" s="689"/>
    </row>
    <row r="395" spans="1:23" s="236" customFormat="1" ht="24.95" hidden="1" customHeight="1" outlineLevel="1">
      <c r="A395" s="239"/>
      <c r="B395" s="239" t="s">
        <v>393</v>
      </c>
      <c r="C395" s="240">
        <v>10</v>
      </c>
      <c r="D395" s="690"/>
      <c r="E395" s="240"/>
      <c r="F395" s="836"/>
      <c r="G395" s="239">
        <v>2</v>
      </c>
      <c r="H395" s="203">
        <v>2</v>
      </c>
      <c r="I395" s="241">
        <v>100</v>
      </c>
      <c r="J395" s="234"/>
      <c r="K395" s="241">
        <v>3770</v>
      </c>
      <c r="L395" s="234"/>
      <c r="M395" s="241">
        <v>100</v>
      </c>
      <c r="N395" s="235" t="e">
        <f>(((I395+J395+K395+L395+M395)-C395*#REF!*2)/1000)</f>
        <v>#REF!</v>
      </c>
      <c r="O395" s="235"/>
      <c r="P395" s="200">
        <f t="shared" ref="P395:P458" si="72">+IF(C395=8,G395*H395*N395,0)</f>
        <v>0</v>
      </c>
      <c r="Q395" s="200" t="e">
        <f t="shared" ref="Q395:Q458" si="73">+IF(C395=10,G395*H395*N395,0)</f>
        <v>#REF!</v>
      </c>
      <c r="R395" s="200">
        <f t="shared" ref="R395:R458" si="74">+IF(C395=12,G395*H395*N395,0)</f>
        <v>0</v>
      </c>
      <c r="S395" s="200">
        <f t="shared" ref="S395:S458" si="75">+IF(C395=16,G395*H395*N395,0)</f>
        <v>0</v>
      </c>
      <c r="T395" s="200">
        <f t="shared" ref="T395:T458" si="76">+IF(C395=20,G395*H395*N395,0)</f>
        <v>0</v>
      </c>
      <c r="U395" s="688">
        <f t="shared" ref="U395:U458" si="77">+IF(C395=25,G395*H395*N395,0)</f>
        <v>0</v>
      </c>
      <c r="V395" s="200">
        <f t="shared" ref="V395:V458" si="78">+IF(C395=32,G395*H395*N395,0)</f>
        <v>0</v>
      </c>
      <c r="W395" s="689"/>
    </row>
    <row r="396" spans="1:23" s="236" customFormat="1" ht="24.95" hidden="1" customHeight="1" outlineLevel="1">
      <c r="A396" s="239"/>
      <c r="B396" s="239" t="s">
        <v>394</v>
      </c>
      <c r="C396" s="240">
        <v>8</v>
      </c>
      <c r="D396" s="690"/>
      <c r="E396" s="240"/>
      <c r="F396" s="836"/>
      <c r="G396" s="239">
        <v>2</v>
      </c>
      <c r="H396" s="203">
        <f>(K394/200)+1</f>
        <v>19.850000000000001</v>
      </c>
      <c r="I396" s="234"/>
      <c r="J396" s="234"/>
      <c r="K396" s="234">
        <v>820</v>
      </c>
      <c r="L396" s="234"/>
      <c r="M396" s="234"/>
      <c r="N396" s="235" t="e">
        <f>(((I396+J396+K396+L396+M396)-C396*#REF!*2)/1000)</f>
        <v>#REF!</v>
      </c>
      <c r="O396" s="235"/>
      <c r="P396" s="200" t="e">
        <f t="shared" si="72"/>
        <v>#REF!</v>
      </c>
      <c r="Q396" s="200">
        <f t="shared" si="73"/>
        <v>0</v>
      </c>
      <c r="R396" s="200">
        <f t="shared" si="74"/>
        <v>0</v>
      </c>
      <c r="S396" s="200">
        <f t="shared" si="75"/>
        <v>0</v>
      </c>
      <c r="T396" s="200">
        <f t="shared" si="76"/>
        <v>0</v>
      </c>
      <c r="U396" s="688">
        <f t="shared" si="77"/>
        <v>0</v>
      </c>
      <c r="V396" s="200">
        <f t="shared" si="78"/>
        <v>0</v>
      </c>
      <c r="W396" s="689"/>
    </row>
    <row r="397" spans="1:23" s="236" customFormat="1" ht="24.95" hidden="1" customHeight="1" outlineLevel="1">
      <c r="A397" s="237">
        <v>4</v>
      </c>
      <c r="B397" s="238" t="s">
        <v>419</v>
      </c>
      <c r="C397" s="240"/>
      <c r="D397" s="690"/>
      <c r="E397" s="240"/>
      <c r="F397" s="836"/>
      <c r="G397" s="239"/>
      <c r="H397" s="203"/>
      <c r="I397" s="234"/>
      <c r="J397" s="234"/>
      <c r="K397" s="234"/>
      <c r="L397" s="234"/>
      <c r="M397" s="234"/>
      <c r="N397" s="235" t="e">
        <f>(((I397+J397+K397+L397+M397)-C397*#REF!*2)/1000)</f>
        <v>#REF!</v>
      </c>
      <c r="O397" s="235"/>
      <c r="P397" s="200">
        <f t="shared" si="72"/>
        <v>0</v>
      </c>
      <c r="Q397" s="200">
        <f t="shared" si="73"/>
        <v>0</v>
      </c>
      <c r="R397" s="200">
        <f t="shared" si="74"/>
        <v>0</v>
      </c>
      <c r="S397" s="200">
        <f t="shared" si="75"/>
        <v>0</v>
      </c>
      <c r="T397" s="200">
        <f t="shared" si="76"/>
        <v>0</v>
      </c>
      <c r="U397" s="688">
        <f t="shared" si="77"/>
        <v>0</v>
      </c>
      <c r="V397" s="200">
        <f t="shared" si="78"/>
        <v>0</v>
      </c>
      <c r="W397" s="689"/>
    </row>
    <row r="398" spans="1:23" s="236" customFormat="1" ht="24.95" hidden="1" customHeight="1" outlineLevel="1">
      <c r="A398" s="205" t="s">
        <v>420</v>
      </c>
      <c r="B398" s="205" t="s">
        <v>403</v>
      </c>
      <c r="C398" s="240"/>
      <c r="D398" s="690"/>
      <c r="E398" s="240"/>
      <c r="F398" s="836"/>
      <c r="G398" s="239"/>
      <c r="H398" s="203"/>
      <c r="I398" s="234"/>
      <c r="J398" s="234"/>
      <c r="K398" s="234"/>
      <c r="L398" s="234"/>
      <c r="M398" s="234"/>
      <c r="N398" s="235" t="e">
        <f>(((I398+J398+K398+L398+M398)-C398*#REF!*2)/1000)</f>
        <v>#REF!</v>
      </c>
      <c r="O398" s="235"/>
      <c r="P398" s="200">
        <f t="shared" si="72"/>
        <v>0</v>
      </c>
      <c r="Q398" s="200">
        <f t="shared" si="73"/>
        <v>0</v>
      </c>
      <c r="R398" s="200">
        <f t="shared" si="74"/>
        <v>0</v>
      </c>
      <c r="S398" s="200">
        <f t="shared" si="75"/>
        <v>0</v>
      </c>
      <c r="T398" s="200">
        <f t="shared" si="76"/>
        <v>0</v>
      </c>
      <c r="U398" s="688">
        <f t="shared" si="77"/>
        <v>0</v>
      </c>
      <c r="V398" s="200">
        <f t="shared" si="78"/>
        <v>0</v>
      </c>
      <c r="W398" s="689"/>
    </row>
    <row r="399" spans="1:23" s="236" customFormat="1" ht="24.95" hidden="1" customHeight="1" outlineLevel="1">
      <c r="A399" s="205" t="s">
        <v>421</v>
      </c>
      <c r="B399" s="206" t="s">
        <v>391</v>
      </c>
      <c r="C399" s="240"/>
      <c r="D399" s="690"/>
      <c r="E399" s="240"/>
      <c r="F399" s="836"/>
      <c r="G399" s="239"/>
      <c r="H399" s="203"/>
      <c r="I399" s="234"/>
      <c r="J399" s="234"/>
      <c r="K399" s="234"/>
      <c r="L399" s="234"/>
      <c r="M399" s="234"/>
      <c r="N399" s="235" t="e">
        <f>(((I399+J399+K399+L399+M399)-C399*#REF!*2)/1000)</f>
        <v>#REF!</v>
      </c>
      <c r="O399" s="235"/>
      <c r="P399" s="200">
        <f t="shared" si="72"/>
        <v>0</v>
      </c>
      <c r="Q399" s="200">
        <f t="shared" si="73"/>
        <v>0</v>
      </c>
      <c r="R399" s="200">
        <f t="shared" si="74"/>
        <v>0</v>
      </c>
      <c r="S399" s="200">
        <f t="shared" si="75"/>
        <v>0</v>
      </c>
      <c r="T399" s="200">
        <f t="shared" si="76"/>
        <v>0</v>
      </c>
      <c r="U399" s="688">
        <f t="shared" si="77"/>
        <v>0</v>
      </c>
      <c r="V399" s="200">
        <f t="shared" si="78"/>
        <v>0</v>
      </c>
      <c r="W399" s="689"/>
    </row>
    <row r="400" spans="1:23" s="236" customFormat="1" ht="24.95" hidden="1" customHeight="1" outlineLevel="1">
      <c r="A400" s="239">
        <v>1</v>
      </c>
      <c r="B400" s="239" t="s">
        <v>392</v>
      </c>
      <c r="C400" s="240">
        <v>10</v>
      </c>
      <c r="D400" s="690"/>
      <c r="E400" s="240"/>
      <c r="F400" s="836"/>
      <c r="G400" s="239">
        <v>1</v>
      </c>
      <c r="H400" s="203">
        <v>2</v>
      </c>
      <c r="I400" s="241">
        <v>100</v>
      </c>
      <c r="J400" s="234"/>
      <c r="K400" s="234">
        <v>3080</v>
      </c>
      <c r="L400" s="234"/>
      <c r="M400" s="241">
        <v>100</v>
      </c>
      <c r="N400" s="235" t="e">
        <f>(((I400+J400+K400+L400+M400)-C400*#REF!*2)/1000)</f>
        <v>#REF!</v>
      </c>
      <c r="O400" s="235"/>
      <c r="P400" s="200">
        <f t="shared" si="72"/>
        <v>0</v>
      </c>
      <c r="Q400" s="200" t="e">
        <f t="shared" si="73"/>
        <v>#REF!</v>
      </c>
      <c r="R400" s="200">
        <f t="shared" si="74"/>
        <v>0</v>
      </c>
      <c r="S400" s="200">
        <f t="shared" si="75"/>
        <v>0</v>
      </c>
      <c r="T400" s="200">
        <f t="shared" si="76"/>
        <v>0</v>
      </c>
      <c r="U400" s="688">
        <f t="shared" si="77"/>
        <v>0</v>
      </c>
      <c r="V400" s="200">
        <f t="shared" si="78"/>
        <v>0</v>
      </c>
      <c r="W400" s="689"/>
    </row>
    <row r="401" spans="1:23" s="236" customFormat="1" ht="24.95" hidden="1" customHeight="1" outlineLevel="1">
      <c r="A401" s="239"/>
      <c r="B401" s="239" t="s">
        <v>393</v>
      </c>
      <c r="C401" s="240">
        <v>10</v>
      </c>
      <c r="D401" s="690"/>
      <c r="E401" s="240"/>
      <c r="F401" s="836"/>
      <c r="G401" s="239">
        <v>1</v>
      </c>
      <c r="H401" s="203">
        <v>2</v>
      </c>
      <c r="I401" s="241">
        <v>100</v>
      </c>
      <c r="J401" s="234"/>
      <c r="K401" s="234">
        <v>3080</v>
      </c>
      <c r="L401" s="234"/>
      <c r="M401" s="241">
        <v>100</v>
      </c>
      <c r="N401" s="235" t="e">
        <f>(((I401+J401+K401+L401+M401)-C401*#REF!*2)/1000)</f>
        <v>#REF!</v>
      </c>
      <c r="O401" s="235"/>
      <c r="P401" s="200">
        <f t="shared" si="72"/>
        <v>0</v>
      </c>
      <c r="Q401" s="200" t="e">
        <f t="shared" si="73"/>
        <v>#REF!</v>
      </c>
      <c r="R401" s="200">
        <f t="shared" si="74"/>
        <v>0</v>
      </c>
      <c r="S401" s="200">
        <f t="shared" si="75"/>
        <v>0</v>
      </c>
      <c r="T401" s="200">
        <f t="shared" si="76"/>
        <v>0</v>
      </c>
      <c r="U401" s="688">
        <f t="shared" si="77"/>
        <v>0</v>
      </c>
      <c r="V401" s="200">
        <f t="shared" si="78"/>
        <v>0</v>
      </c>
      <c r="W401" s="689"/>
    </row>
    <row r="402" spans="1:23" s="236" customFormat="1" ht="24.95" hidden="1" customHeight="1" outlineLevel="1">
      <c r="A402" s="239"/>
      <c r="B402" s="239" t="s">
        <v>394</v>
      </c>
      <c r="C402" s="240">
        <v>8</v>
      </c>
      <c r="D402" s="690"/>
      <c r="E402" s="240"/>
      <c r="F402" s="836"/>
      <c r="G402" s="239">
        <v>1</v>
      </c>
      <c r="H402" s="203">
        <f>(K400/200)+1</f>
        <v>16.399999999999999</v>
      </c>
      <c r="I402" s="234"/>
      <c r="J402" s="234"/>
      <c r="K402" s="234">
        <v>820</v>
      </c>
      <c r="L402" s="234"/>
      <c r="M402" s="234"/>
      <c r="N402" s="235" t="e">
        <f>(((I402+J402+K402+L402+M402)-C402*#REF!*2)/1000)</f>
        <v>#REF!</v>
      </c>
      <c r="O402" s="235"/>
      <c r="P402" s="200" t="e">
        <f t="shared" si="72"/>
        <v>#REF!</v>
      </c>
      <c r="Q402" s="200">
        <f t="shared" si="73"/>
        <v>0</v>
      </c>
      <c r="R402" s="200">
        <f t="shared" si="74"/>
        <v>0</v>
      </c>
      <c r="S402" s="200">
        <f t="shared" si="75"/>
        <v>0</v>
      </c>
      <c r="T402" s="200">
        <f t="shared" si="76"/>
        <v>0</v>
      </c>
      <c r="U402" s="688">
        <f t="shared" si="77"/>
        <v>0</v>
      </c>
      <c r="V402" s="200">
        <f t="shared" si="78"/>
        <v>0</v>
      </c>
      <c r="W402" s="689"/>
    </row>
    <row r="403" spans="1:23" s="236" customFormat="1" ht="24.95" hidden="1" customHeight="1" outlineLevel="1">
      <c r="A403" s="239">
        <v>2</v>
      </c>
      <c r="B403" s="239" t="s">
        <v>392</v>
      </c>
      <c r="C403" s="240">
        <v>10</v>
      </c>
      <c r="D403" s="690"/>
      <c r="E403" s="240"/>
      <c r="F403" s="836"/>
      <c r="G403" s="239">
        <v>6</v>
      </c>
      <c r="H403" s="203">
        <v>2</v>
      </c>
      <c r="I403" s="241">
        <v>100</v>
      </c>
      <c r="J403" s="234"/>
      <c r="K403" s="234">
        <v>1880</v>
      </c>
      <c r="L403" s="234"/>
      <c r="M403" s="241">
        <v>100</v>
      </c>
      <c r="N403" s="235" t="e">
        <f>(((I403+J403+K403+L403+M403)-C403*#REF!*2)/1000)</f>
        <v>#REF!</v>
      </c>
      <c r="O403" s="235"/>
      <c r="P403" s="200">
        <f t="shared" si="72"/>
        <v>0</v>
      </c>
      <c r="Q403" s="200" t="e">
        <f t="shared" si="73"/>
        <v>#REF!</v>
      </c>
      <c r="R403" s="200">
        <f t="shared" si="74"/>
        <v>0</v>
      </c>
      <c r="S403" s="200">
        <f t="shared" si="75"/>
        <v>0</v>
      </c>
      <c r="T403" s="200">
        <f t="shared" si="76"/>
        <v>0</v>
      </c>
      <c r="U403" s="688">
        <f t="shared" si="77"/>
        <v>0</v>
      </c>
      <c r="V403" s="200">
        <f t="shared" si="78"/>
        <v>0</v>
      </c>
      <c r="W403" s="689"/>
    </row>
    <row r="404" spans="1:23" s="236" customFormat="1" ht="24.95" hidden="1" customHeight="1" outlineLevel="1">
      <c r="A404" s="239"/>
      <c r="B404" s="239" t="s">
        <v>393</v>
      </c>
      <c r="C404" s="240">
        <v>10</v>
      </c>
      <c r="D404" s="690"/>
      <c r="E404" s="240"/>
      <c r="F404" s="836"/>
      <c r="G404" s="239">
        <v>6</v>
      </c>
      <c r="H404" s="203">
        <v>2</v>
      </c>
      <c r="I404" s="241">
        <v>100</v>
      </c>
      <c r="J404" s="234"/>
      <c r="K404" s="234">
        <v>1880</v>
      </c>
      <c r="L404" s="234"/>
      <c r="M404" s="241">
        <v>100</v>
      </c>
      <c r="N404" s="235" t="e">
        <f>(((I404+J404+K404+L404+M404)-C404*#REF!*2)/1000)</f>
        <v>#REF!</v>
      </c>
      <c r="O404" s="235"/>
      <c r="P404" s="200">
        <f t="shared" si="72"/>
        <v>0</v>
      </c>
      <c r="Q404" s="200" t="e">
        <f t="shared" si="73"/>
        <v>#REF!</v>
      </c>
      <c r="R404" s="200">
        <f t="shared" si="74"/>
        <v>0</v>
      </c>
      <c r="S404" s="200">
        <f t="shared" si="75"/>
        <v>0</v>
      </c>
      <c r="T404" s="200">
        <f t="shared" si="76"/>
        <v>0</v>
      </c>
      <c r="U404" s="688">
        <f t="shared" si="77"/>
        <v>0</v>
      </c>
      <c r="V404" s="200">
        <f t="shared" si="78"/>
        <v>0</v>
      </c>
      <c r="W404" s="689"/>
    </row>
    <row r="405" spans="1:23" s="236" customFormat="1" ht="24.95" hidden="1" customHeight="1" outlineLevel="1">
      <c r="A405" s="239"/>
      <c r="B405" s="239" t="s">
        <v>394</v>
      </c>
      <c r="C405" s="240">
        <v>8</v>
      </c>
      <c r="D405" s="690"/>
      <c r="E405" s="240"/>
      <c r="F405" s="836"/>
      <c r="G405" s="239">
        <v>6</v>
      </c>
      <c r="H405" s="203">
        <f>(K403/200)+1</f>
        <v>10.4</v>
      </c>
      <c r="I405" s="234"/>
      <c r="J405" s="234"/>
      <c r="K405" s="234">
        <v>820</v>
      </c>
      <c r="L405" s="234"/>
      <c r="M405" s="234"/>
      <c r="N405" s="235" t="e">
        <f>(((I405+J405+K405+L405+M405)-C405*#REF!*2)/1000)</f>
        <v>#REF!</v>
      </c>
      <c r="O405" s="235"/>
      <c r="P405" s="200" t="e">
        <f t="shared" si="72"/>
        <v>#REF!</v>
      </c>
      <c r="Q405" s="200">
        <f t="shared" si="73"/>
        <v>0</v>
      </c>
      <c r="R405" s="200">
        <f t="shared" si="74"/>
        <v>0</v>
      </c>
      <c r="S405" s="200">
        <f t="shared" si="75"/>
        <v>0</v>
      </c>
      <c r="T405" s="200">
        <f t="shared" si="76"/>
        <v>0</v>
      </c>
      <c r="U405" s="688">
        <f t="shared" si="77"/>
        <v>0</v>
      </c>
      <c r="V405" s="200">
        <f t="shared" si="78"/>
        <v>0</v>
      </c>
      <c r="W405" s="689"/>
    </row>
    <row r="406" spans="1:23" s="236" customFormat="1" ht="24.95" hidden="1" customHeight="1" outlineLevel="1">
      <c r="A406" s="239">
        <v>3</v>
      </c>
      <c r="B406" s="239" t="s">
        <v>392</v>
      </c>
      <c r="C406" s="240">
        <v>10</v>
      </c>
      <c r="D406" s="690"/>
      <c r="E406" s="240"/>
      <c r="F406" s="836"/>
      <c r="G406" s="239">
        <v>5</v>
      </c>
      <c r="H406" s="203">
        <v>2</v>
      </c>
      <c r="I406" s="241">
        <v>100</v>
      </c>
      <c r="J406" s="234"/>
      <c r="K406" s="234">
        <v>1080</v>
      </c>
      <c r="L406" s="234"/>
      <c r="M406" s="241">
        <v>100</v>
      </c>
      <c r="N406" s="235" t="e">
        <f>(((I406+J406+K406+L406+M406)-C406*#REF!*2)/1000)</f>
        <v>#REF!</v>
      </c>
      <c r="O406" s="235"/>
      <c r="P406" s="200">
        <f t="shared" si="72"/>
        <v>0</v>
      </c>
      <c r="Q406" s="200" t="e">
        <f t="shared" si="73"/>
        <v>#REF!</v>
      </c>
      <c r="R406" s="200">
        <f t="shared" si="74"/>
        <v>0</v>
      </c>
      <c r="S406" s="200">
        <f t="shared" si="75"/>
        <v>0</v>
      </c>
      <c r="T406" s="200">
        <f t="shared" si="76"/>
        <v>0</v>
      </c>
      <c r="U406" s="688">
        <f t="shared" si="77"/>
        <v>0</v>
      </c>
      <c r="V406" s="200">
        <f t="shared" si="78"/>
        <v>0</v>
      </c>
      <c r="W406" s="689"/>
    </row>
    <row r="407" spans="1:23" s="236" customFormat="1" ht="24.95" hidden="1" customHeight="1" outlineLevel="1">
      <c r="A407" s="239"/>
      <c r="B407" s="239" t="s">
        <v>393</v>
      </c>
      <c r="C407" s="240">
        <v>10</v>
      </c>
      <c r="D407" s="690"/>
      <c r="E407" s="240"/>
      <c r="F407" s="836"/>
      <c r="G407" s="239">
        <v>5</v>
      </c>
      <c r="H407" s="203">
        <v>2</v>
      </c>
      <c r="I407" s="241">
        <v>100</v>
      </c>
      <c r="J407" s="234"/>
      <c r="K407" s="234">
        <v>1080</v>
      </c>
      <c r="L407" s="234"/>
      <c r="M407" s="241">
        <v>100</v>
      </c>
      <c r="N407" s="235" t="e">
        <f>(((I407+J407+K407+L407+M407)-C407*#REF!*2)/1000)</f>
        <v>#REF!</v>
      </c>
      <c r="O407" s="235"/>
      <c r="P407" s="200">
        <f t="shared" si="72"/>
        <v>0</v>
      </c>
      <c r="Q407" s="200" t="e">
        <f t="shared" si="73"/>
        <v>#REF!</v>
      </c>
      <c r="R407" s="200">
        <f t="shared" si="74"/>
        <v>0</v>
      </c>
      <c r="S407" s="200">
        <f t="shared" si="75"/>
        <v>0</v>
      </c>
      <c r="T407" s="200">
        <f t="shared" si="76"/>
        <v>0</v>
      </c>
      <c r="U407" s="688">
        <f t="shared" si="77"/>
        <v>0</v>
      </c>
      <c r="V407" s="200">
        <f t="shared" si="78"/>
        <v>0</v>
      </c>
      <c r="W407" s="689"/>
    </row>
    <row r="408" spans="1:23" s="236" customFormat="1" ht="24.95" hidden="1" customHeight="1" outlineLevel="1">
      <c r="A408" s="239"/>
      <c r="B408" s="239" t="s">
        <v>394</v>
      </c>
      <c r="C408" s="240">
        <v>8</v>
      </c>
      <c r="D408" s="690"/>
      <c r="E408" s="240"/>
      <c r="F408" s="836"/>
      <c r="G408" s="239">
        <v>5</v>
      </c>
      <c r="H408" s="203">
        <f>(K406/200)+1</f>
        <v>6.4</v>
      </c>
      <c r="I408" s="234"/>
      <c r="J408" s="234"/>
      <c r="K408" s="234">
        <v>820</v>
      </c>
      <c r="L408" s="234"/>
      <c r="M408" s="234"/>
      <c r="N408" s="235" t="e">
        <f>(((I408+J408+K408+L408+M408)-C408*#REF!*2)/1000)</f>
        <v>#REF!</v>
      </c>
      <c r="O408" s="235"/>
      <c r="P408" s="200" t="e">
        <f t="shared" si="72"/>
        <v>#REF!</v>
      </c>
      <c r="Q408" s="200">
        <f t="shared" si="73"/>
        <v>0</v>
      </c>
      <c r="R408" s="200">
        <f t="shared" si="74"/>
        <v>0</v>
      </c>
      <c r="S408" s="200">
        <f t="shared" si="75"/>
        <v>0</v>
      </c>
      <c r="T408" s="200">
        <f t="shared" si="76"/>
        <v>0</v>
      </c>
      <c r="U408" s="688">
        <f t="shared" si="77"/>
        <v>0</v>
      </c>
      <c r="V408" s="200">
        <f t="shared" si="78"/>
        <v>0</v>
      </c>
      <c r="W408" s="689"/>
    </row>
    <row r="409" spans="1:23" s="236" customFormat="1" ht="24.95" hidden="1" customHeight="1" outlineLevel="1">
      <c r="A409" s="239">
        <v>4</v>
      </c>
      <c r="B409" s="239" t="s">
        <v>392</v>
      </c>
      <c r="C409" s="240">
        <v>10</v>
      </c>
      <c r="D409" s="690"/>
      <c r="E409" s="240"/>
      <c r="F409" s="836"/>
      <c r="G409" s="239">
        <v>1</v>
      </c>
      <c r="H409" s="203">
        <v>2</v>
      </c>
      <c r="I409" s="241">
        <v>100</v>
      </c>
      <c r="J409" s="234"/>
      <c r="K409" s="234">
        <v>3680</v>
      </c>
      <c r="L409" s="234"/>
      <c r="M409" s="241">
        <v>100</v>
      </c>
      <c r="N409" s="235" t="e">
        <f>(((I409+J409+K409+L409+M409)-C409*#REF!*2)/1000)</f>
        <v>#REF!</v>
      </c>
      <c r="O409" s="235"/>
      <c r="P409" s="200">
        <f t="shared" si="72"/>
        <v>0</v>
      </c>
      <c r="Q409" s="200" t="e">
        <f t="shared" si="73"/>
        <v>#REF!</v>
      </c>
      <c r="R409" s="200">
        <f t="shared" si="74"/>
        <v>0</v>
      </c>
      <c r="S409" s="200">
        <f t="shared" si="75"/>
        <v>0</v>
      </c>
      <c r="T409" s="200">
        <f t="shared" si="76"/>
        <v>0</v>
      </c>
      <c r="U409" s="688">
        <f t="shared" si="77"/>
        <v>0</v>
      </c>
      <c r="V409" s="200">
        <f t="shared" si="78"/>
        <v>0</v>
      </c>
      <c r="W409" s="689"/>
    </row>
    <row r="410" spans="1:23" s="236" customFormat="1" ht="24.95" hidden="1" customHeight="1" outlineLevel="1">
      <c r="A410" s="239"/>
      <c r="B410" s="239" t="s">
        <v>393</v>
      </c>
      <c r="C410" s="240">
        <v>10</v>
      </c>
      <c r="D410" s="690"/>
      <c r="E410" s="240"/>
      <c r="F410" s="836"/>
      <c r="G410" s="239">
        <v>1</v>
      </c>
      <c r="H410" s="203">
        <v>2</v>
      </c>
      <c r="I410" s="241">
        <v>100</v>
      </c>
      <c r="J410" s="234"/>
      <c r="K410" s="234">
        <v>3680</v>
      </c>
      <c r="L410" s="234"/>
      <c r="M410" s="241">
        <v>100</v>
      </c>
      <c r="N410" s="235" t="e">
        <f>(((I410+J410+K410+L410+M410)-C410*#REF!*2)/1000)</f>
        <v>#REF!</v>
      </c>
      <c r="O410" s="235"/>
      <c r="P410" s="200">
        <f t="shared" si="72"/>
        <v>0</v>
      </c>
      <c r="Q410" s="200" t="e">
        <f t="shared" si="73"/>
        <v>#REF!</v>
      </c>
      <c r="R410" s="200">
        <f t="shared" si="74"/>
        <v>0</v>
      </c>
      <c r="S410" s="200">
        <f t="shared" si="75"/>
        <v>0</v>
      </c>
      <c r="T410" s="200">
        <f t="shared" si="76"/>
        <v>0</v>
      </c>
      <c r="U410" s="688">
        <f t="shared" si="77"/>
        <v>0</v>
      </c>
      <c r="V410" s="200">
        <f t="shared" si="78"/>
        <v>0</v>
      </c>
      <c r="W410" s="689"/>
    </row>
    <row r="411" spans="1:23" s="236" customFormat="1" ht="24.95" hidden="1" customHeight="1" outlineLevel="1">
      <c r="A411" s="239"/>
      <c r="B411" s="239" t="s">
        <v>394</v>
      </c>
      <c r="C411" s="240">
        <v>8</v>
      </c>
      <c r="D411" s="690"/>
      <c r="E411" s="240"/>
      <c r="F411" s="836"/>
      <c r="G411" s="239">
        <v>1</v>
      </c>
      <c r="H411" s="203">
        <f>(K409/200)+1</f>
        <v>19.399999999999999</v>
      </c>
      <c r="I411" s="234"/>
      <c r="J411" s="234"/>
      <c r="K411" s="234">
        <v>820</v>
      </c>
      <c r="L411" s="234"/>
      <c r="M411" s="234"/>
      <c r="N411" s="235" t="e">
        <f>(((I411+J411+K411+L411+M411)-C411*#REF!*2)/1000)</f>
        <v>#REF!</v>
      </c>
      <c r="O411" s="235"/>
      <c r="P411" s="200" t="e">
        <f t="shared" si="72"/>
        <v>#REF!</v>
      </c>
      <c r="Q411" s="200">
        <f t="shared" si="73"/>
        <v>0</v>
      </c>
      <c r="R411" s="200">
        <f t="shared" si="74"/>
        <v>0</v>
      </c>
      <c r="S411" s="200">
        <f t="shared" si="75"/>
        <v>0</v>
      </c>
      <c r="T411" s="200">
        <f t="shared" si="76"/>
        <v>0</v>
      </c>
      <c r="U411" s="688">
        <f t="shared" si="77"/>
        <v>0</v>
      </c>
      <c r="V411" s="200">
        <f t="shared" si="78"/>
        <v>0</v>
      </c>
      <c r="W411" s="689"/>
    </row>
    <row r="412" spans="1:23" s="236" customFormat="1" ht="24.95" hidden="1" customHeight="1" outlineLevel="1">
      <c r="A412" s="239">
        <v>5</v>
      </c>
      <c r="B412" s="239" t="s">
        <v>392</v>
      </c>
      <c r="C412" s="240">
        <v>10</v>
      </c>
      <c r="D412" s="690"/>
      <c r="E412" s="240"/>
      <c r="F412" s="836"/>
      <c r="G412" s="239">
        <v>1</v>
      </c>
      <c r="H412" s="203">
        <v>2</v>
      </c>
      <c r="I412" s="241">
        <v>100</v>
      </c>
      <c r="J412" s="234"/>
      <c r="K412" s="234">
        <v>2780</v>
      </c>
      <c r="L412" s="234"/>
      <c r="M412" s="241">
        <v>100</v>
      </c>
      <c r="N412" s="235" t="e">
        <f>(((I412+J412+K412+L412+M412)-C412*#REF!*2)/1000)</f>
        <v>#REF!</v>
      </c>
      <c r="O412" s="235"/>
      <c r="P412" s="200">
        <f t="shared" si="72"/>
        <v>0</v>
      </c>
      <c r="Q412" s="200" t="e">
        <f t="shared" si="73"/>
        <v>#REF!</v>
      </c>
      <c r="R412" s="200">
        <f t="shared" si="74"/>
        <v>0</v>
      </c>
      <c r="S412" s="200">
        <f t="shared" si="75"/>
        <v>0</v>
      </c>
      <c r="T412" s="200">
        <f t="shared" si="76"/>
        <v>0</v>
      </c>
      <c r="U412" s="688">
        <f t="shared" si="77"/>
        <v>0</v>
      </c>
      <c r="V412" s="200">
        <f t="shared" si="78"/>
        <v>0</v>
      </c>
      <c r="W412" s="689"/>
    </row>
    <row r="413" spans="1:23" s="236" customFormat="1" ht="24.95" hidden="1" customHeight="1" outlineLevel="1">
      <c r="A413" s="239"/>
      <c r="B413" s="239" t="s">
        <v>393</v>
      </c>
      <c r="C413" s="240">
        <v>10</v>
      </c>
      <c r="D413" s="690"/>
      <c r="E413" s="240"/>
      <c r="F413" s="836"/>
      <c r="G413" s="239">
        <v>1</v>
      </c>
      <c r="H413" s="203">
        <v>2</v>
      </c>
      <c r="I413" s="241">
        <v>100</v>
      </c>
      <c r="J413" s="234"/>
      <c r="K413" s="234">
        <v>2780</v>
      </c>
      <c r="L413" s="234"/>
      <c r="M413" s="241">
        <v>100</v>
      </c>
      <c r="N413" s="235" t="e">
        <f>(((I413+J413+K413+L413+M413)-C413*#REF!*2)/1000)</f>
        <v>#REF!</v>
      </c>
      <c r="O413" s="235"/>
      <c r="P413" s="200">
        <f t="shared" si="72"/>
        <v>0</v>
      </c>
      <c r="Q413" s="200" t="e">
        <f t="shared" si="73"/>
        <v>#REF!</v>
      </c>
      <c r="R413" s="200">
        <f t="shared" si="74"/>
        <v>0</v>
      </c>
      <c r="S413" s="200">
        <f t="shared" si="75"/>
        <v>0</v>
      </c>
      <c r="T413" s="200">
        <f t="shared" si="76"/>
        <v>0</v>
      </c>
      <c r="U413" s="688">
        <f t="shared" si="77"/>
        <v>0</v>
      </c>
      <c r="V413" s="200">
        <f t="shared" si="78"/>
        <v>0</v>
      </c>
      <c r="W413" s="689"/>
    </row>
    <row r="414" spans="1:23" s="236" customFormat="1" ht="24.95" hidden="1" customHeight="1" outlineLevel="1">
      <c r="A414" s="239"/>
      <c r="B414" s="239" t="s">
        <v>394</v>
      </c>
      <c r="C414" s="240">
        <v>8</v>
      </c>
      <c r="D414" s="690"/>
      <c r="E414" s="240"/>
      <c r="F414" s="836"/>
      <c r="G414" s="239">
        <v>1</v>
      </c>
      <c r="H414" s="203">
        <f>(K412/200)+1</f>
        <v>14.9</v>
      </c>
      <c r="I414" s="234"/>
      <c r="J414" s="234"/>
      <c r="K414" s="234">
        <v>820</v>
      </c>
      <c r="L414" s="234"/>
      <c r="M414" s="234"/>
      <c r="N414" s="235" t="e">
        <f>(((I414+J414+K414+L414+M414)-C414*#REF!*2)/1000)</f>
        <v>#REF!</v>
      </c>
      <c r="O414" s="235"/>
      <c r="P414" s="200" t="e">
        <f t="shared" si="72"/>
        <v>#REF!</v>
      </c>
      <c r="Q414" s="200">
        <f t="shared" si="73"/>
        <v>0</v>
      </c>
      <c r="R414" s="200">
        <f t="shared" si="74"/>
        <v>0</v>
      </c>
      <c r="S414" s="200">
        <f t="shared" si="75"/>
        <v>0</v>
      </c>
      <c r="T414" s="200">
        <f t="shared" si="76"/>
        <v>0</v>
      </c>
      <c r="U414" s="688">
        <f t="shared" si="77"/>
        <v>0</v>
      </c>
      <c r="V414" s="200">
        <f t="shared" si="78"/>
        <v>0</v>
      </c>
      <c r="W414" s="689"/>
    </row>
    <row r="415" spans="1:23" s="236" customFormat="1" ht="24.95" hidden="1" customHeight="1" outlineLevel="1">
      <c r="A415" s="239">
        <v>6</v>
      </c>
      <c r="B415" s="239" t="s">
        <v>392</v>
      </c>
      <c r="C415" s="240">
        <v>10</v>
      </c>
      <c r="D415" s="690"/>
      <c r="E415" s="240"/>
      <c r="F415" s="836"/>
      <c r="G415" s="239">
        <v>1</v>
      </c>
      <c r="H415" s="203">
        <v>2</v>
      </c>
      <c r="I415" s="241">
        <v>100</v>
      </c>
      <c r="J415" s="234"/>
      <c r="K415" s="234">
        <v>2180</v>
      </c>
      <c r="L415" s="234"/>
      <c r="M415" s="241">
        <v>100</v>
      </c>
      <c r="N415" s="235" t="e">
        <f>(((I415+J415+K415+L415+M415)-C415*#REF!*2)/1000)</f>
        <v>#REF!</v>
      </c>
      <c r="O415" s="235"/>
      <c r="P415" s="200">
        <f t="shared" si="72"/>
        <v>0</v>
      </c>
      <c r="Q415" s="200" t="e">
        <f t="shared" si="73"/>
        <v>#REF!</v>
      </c>
      <c r="R415" s="200">
        <f t="shared" si="74"/>
        <v>0</v>
      </c>
      <c r="S415" s="200">
        <f t="shared" si="75"/>
        <v>0</v>
      </c>
      <c r="T415" s="200">
        <f t="shared" si="76"/>
        <v>0</v>
      </c>
      <c r="U415" s="688">
        <f t="shared" si="77"/>
        <v>0</v>
      </c>
      <c r="V415" s="200">
        <f t="shared" si="78"/>
        <v>0</v>
      </c>
      <c r="W415" s="689"/>
    </row>
    <row r="416" spans="1:23" s="236" customFormat="1" ht="24.95" hidden="1" customHeight="1" outlineLevel="1">
      <c r="A416" s="239"/>
      <c r="B416" s="239" t="s">
        <v>393</v>
      </c>
      <c r="C416" s="240">
        <v>10</v>
      </c>
      <c r="D416" s="690"/>
      <c r="E416" s="240"/>
      <c r="F416" s="836"/>
      <c r="G416" s="239">
        <v>1</v>
      </c>
      <c r="H416" s="203">
        <v>2</v>
      </c>
      <c r="I416" s="241">
        <v>100</v>
      </c>
      <c r="J416" s="234"/>
      <c r="K416" s="234">
        <v>2180</v>
      </c>
      <c r="L416" s="234"/>
      <c r="M416" s="241">
        <v>100</v>
      </c>
      <c r="N416" s="235" t="e">
        <f>(((I416+J416+K416+L416+M416)-C416*#REF!*2)/1000)</f>
        <v>#REF!</v>
      </c>
      <c r="O416" s="235"/>
      <c r="P416" s="200">
        <f t="shared" si="72"/>
        <v>0</v>
      </c>
      <c r="Q416" s="200" t="e">
        <f t="shared" si="73"/>
        <v>#REF!</v>
      </c>
      <c r="R416" s="200">
        <f t="shared" si="74"/>
        <v>0</v>
      </c>
      <c r="S416" s="200">
        <f t="shared" si="75"/>
        <v>0</v>
      </c>
      <c r="T416" s="200">
        <f t="shared" si="76"/>
        <v>0</v>
      </c>
      <c r="U416" s="688">
        <f t="shared" si="77"/>
        <v>0</v>
      </c>
      <c r="V416" s="200">
        <f t="shared" si="78"/>
        <v>0</v>
      </c>
      <c r="W416" s="689"/>
    </row>
    <row r="417" spans="1:23" s="236" customFormat="1" ht="24.95" hidden="1" customHeight="1" outlineLevel="1">
      <c r="A417" s="239"/>
      <c r="B417" s="239" t="s">
        <v>394</v>
      </c>
      <c r="C417" s="240">
        <v>8</v>
      </c>
      <c r="D417" s="690"/>
      <c r="E417" s="240"/>
      <c r="F417" s="836"/>
      <c r="G417" s="239">
        <v>1</v>
      </c>
      <c r="H417" s="203">
        <f>(K415/200)+1</f>
        <v>11.9</v>
      </c>
      <c r="I417" s="234"/>
      <c r="J417" s="234"/>
      <c r="K417" s="234">
        <v>820</v>
      </c>
      <c r="L417" s="234"/>
      <c r="M417" s="234"/>
      <c r="N417" s="235" t="e">
        <f>(((I417+J417+K417+L417+M417)-C417*#REF!*2)/1000)</f>
        <v>#REF!</v>
      </c>
      <c r="O417" s="235"/>
      <c r="P417" s="200" t="e">
        <f t="shared" si="72"/>
        <v>#REF!</v>
      </c>
      <c r="Q417" s="200">
        <f t="shared" si="73"/>
        <v>0</v>
      </c>
      <c r="R417" s="200">
        <f t="shared" si="74"/>
        <v>0</v>
      </c>
      <c r="S417" s="200">
        <f t="shared" si="75"/>
        <v>0</v>
      </c>
      <c r="T417" s="200">
        <f t="shared" si="76"/>
        <v>0</v>
      </c>
      <c r="U417" s="688">
        <f t="shared" si="77"/>
        <v>0</v>
      </c>
      <c r="V417" s="200">
        <f t="shared" si="78"/>
        <v>0</v>
      </c>
      <c r="W417" s="689"/>
    </row>
    <row r="418" spans="1:23" s="236" customFormat="1" ht="24.95" hidden="1" customHeight="1" outlineLevel="1">
      <c r="A418" s="239">
        <v>7</v>
      </c>
      <c r="B418" s="239" t="s">
        <v>392</v>
      </c>
      <c r="C418" s="240">
        <v>10</v>
      </c>
      <c r="D418" s="690"/>
      <c r="E418" s="240"/>
      <c r="F418" s="836"/>
      <c r="G418" s="239">
        <v>3</v>
      </c>
      <c r="H418" s="203">
        <v>2</v>
      </c>
      <c r="I418" s="241">
        <v>100</v>
      </c>
      <c r="J418" s="234"/>
      <c r="K418" s="234">
        <v>2780</v>
      </c>
      <c r="L418" s="234"/>
      <c r="M418" s="241">
        <v>100</v>
      </c>
      <c r="N418" s="235" t="e">
        <f>(((I418+J418+K418+L418+M418)-C418*#REF!*2)/1000)</f>
        <v>#REF!</v>
      </c>
      <c r="O418" s="235"/>
      <c r="P418" s="200">
        <f t="shared" si="72"/>
        <v>0</v>
      </c>
      <c r="Q418" s="200" t="e">
        <f t="shared" si="73"/>
        <v>#REF!</v>
      </c>
      <c r="R418" s="200">
        <f t="shared" si="74"/>
        <v>0</v>
      </c>
      <c r="S418" s="200">
        <f t="shared" si="75"/>
        <v>0</v>
      </c>
      <c r="T418" s="200">
        <f t="shared" si="76"/>
        <v>0</v>
      </c>
      <c r="U418" s="688">
        <f t="shared" si="77"/>
        <v>0</v>
      </c>
      <c r="V418" s="200">
        <f t="shared" si="78"/>
        <v>0</v>
      </c>
      <c r="W418" s="689"/>
    </row>
    <row r="419" spans="1:23" s="236" customFormat="1" ht="24.95" hidden="1" customHeight="1" outlineLevel="1">
      <c r="A419" s="239"/>
      <c r="B419" s="239" t="s">
        <v>393</v>
      </c>
      <c r="C419" s="240">
        <v>10</v>
      </c>
      <c r="D419" s="690"/>
      <c r="E419" s="240"/>
      <c r="F419" s="836"/>
      <c r="G419" s="239">
        <v>3</v>
      </c>
      <c r="H419" s="203">
        <v>2</v>
      </c>
      <c r="I419" s="241">
        <v>100</v>
      </c>
      <c r="J419" s="234"/>
      <c r="K419" s="234">
        <v>2780</v>
      </c>
      <c r="L419" s="234"/>
      <c r="M419" s="241">
        <v>100</v>
      </c>
      <c r="N419" s="235" t="e">
        <f>(((I419+J419+K419+L419+M419)-C419*#REF!*2)/1000)</f>
        <v>#REF!</v>
      </c>
      <c r="O419" s="235"/>
      <c r="P419" s="200">
        <f t="shared" si="72"/>
        <v>0</v>
      </c>
      <c r="Q419" s="200" t="e">
        <f t="shared" si="73"/>
        <v>#REF!</v>
      </c>
      <c r="R419" s="200">
        <f t="shared" si="74"/>
        <v>0</v>
      </c>
      <c r="S419" s="200">
        <f t="shared" si="75"/>
        <v>0</v>
      </c>
      <c r="T419" s="200">
        <f t="shared" si="76"/>
        <v>0</v>
      </c>
      <c r="U419" s="688">
        <f t="shared" si="77"/>
        <v>0</v>
      </c>
      <c r="V419" s="200">
        <f t="shared" si="78"/>
        <v>0</v>
      </c>
      <c r="W419" s="689"/>
    </row>
    <row r="420" spans="1:23" s="236" customFormat="1" ht="24.95" hidden="1" customHeight="1" outlineLevel="1">
      <c r="A420" s="239"/>
      <c r="B420" s="239" t="s">
        <v>394</v>
      </c>
      <c r="C420" s="240">
        <v>8</v>
      </c>
      <c r="D420" s="690"/>
      <c r="E420" s="240"/>
      <c r="F420" s="836"/>
      <c r="G420" s="239">
        <v>3</v>
      </c>
      <c r="H420" s="203">
        <f>(K418/200)+1</f>
        <v>14.9</v>
      </c>
      <c r="I420" s="234"/>
      <c r="J420" s="234"/>
      <c r="K420" s="234">
        <v>820</v>
      </c>
      <c r="L420" s="234"/>
      <c r="M420" s="234"/>
      <c r="N420" s="235" t="e">
        <f>(((I420+J420+K420+L420+M420)-C420*#REF!*2)/1000)</f>
        <v>#REF!</v>
      </c>
      <c r="O420" s="235"/>
      <c r="P420" s="200" t="e">
        <f t="shared" si="72"/>
        <v>#REF!</v>
      </c>
      <c r="Q420" s="200">
        <f t="shared" si="73"/>
        <v>0</v>
      </c>
      <c r="R420" s="200">
        <f t="shared" si="74"/>
        <v>0</v>
      </c>
      <c r="S420" s="200">
        <f t="shared" si="75"/>
        <v>0</v>
      </c>
      <c r="T420" s="200">
        <f t="shared" si="76"/>
        <v>0</v>
      </c>
      <c r="U420" s="688">
        <f t="shared" si="77"/>
        <v>0</v>
      </c>
      <c r="V420" s="200">
        <f t="shared" si="78"/>
        <v>0</v>
      </c>
      <c r="W420" s="689"/>
    </row>
    <row r="421" spans="1:23" s="236" customFormat="1" ht="24.95" hidden="1" customHeight="1" outlineLevel="1">
      <c r="A421" s="239">
        <v>8</v>
      </c>
      <c r="B421" s="239" t="s">
        <v>392</v>
      </c>
      <c r="C421" s="240">
        <v>10</v>
      </c>
      <c r="D421" s="690"/>
      <c r="E421" s="240"/>
      <c r="F421" s="836"/>
      <c r="G421" s="239">
        <v>3</v>
      </c>
      <c r="H421" s="203">
        <v>2</v>
      </c>
      <c r="I421" s="241">
        <v>100</v>
      </c>
      <c r="J421" s="234"/>
      <c r="K421" s="234">
        <v>3685</v>
      </c>
      <c r="L421" s="234"/>
      <c r="M421" s="241">
        <v>100</v>
      </c>
      <c r="N421" s="235" t="e">
        <f>(((I421+J421+K421+L421+M421)-C421*#REF!*2)/1000)</f>
        <v>#REF!</v>
      </c>
      <c r="O421" s="235"/>
      <c r="P421" s="200">
        <f t="shared" si="72"/>
        <v>0</v>
      </c>
      <c r="Q421" s="200" t="e">
        <f t="shared" si="73"/>
        <v>#REF!</v>
      </c>
      <c r="R421" s="200">
        <f t="shared" si="74"/>
        <v>0</v>
      </c>
      <c r="S421" s="200">
        <f t="shared" si="75"/>
        <v>0</v>
      </c>
      <c r="T421" s="200">
        <f t="shared" si="76"/>
        <v>0</v>
      </c>
      <c r="U421" s="688">
        <f t="shared" si="77"/>
        <v>0</v>
      </c>
      <c r="V421" s="200">
        <f t="shared" si="78"/>
        <v>0</v>
      </c>
      <c r="W421" s="689"/>
    </row>
    <row r="422" spans="1:23" s="236" customFormat="1" ht="24.95" hidden="1" customHeight="1" outlineLevel="1">
      <c r="A422" s="239"/>
      <c r="B422" s="239" t="s">
        <v>393</v>
      </c>
      <c r="C422" s="240">
        <v>10</v>
      </c>
      <c r="D422" s="690"/>
      <c r="E422" s="240"/>
      <c r="F422" s="836"/>
      <c r="G422" s="239">
        <v>3</v>
      </c>
      <c r="H422" s="203">
        <v>2</v>
      </c>
      <c r="I422" s="241">
        <v>100</v>
      </c>
      <c r="J422" s="234"/>
      <c r="K422" s="234">
        <v>3685</v>
      </c>
      <c r="L422" s="234"/>
      <c r="M422" s="241">
        <v>100</v>
      </c>
      <c r="N422" s="235" t="e">
        <f>(((I422+J422+K422+L422+M422)-C422*#REF!*2)/1000)</f>
        <v>#REF!</v>
      </c>
      <c r="O422" s="235"/>
      <c r="P422" s="200">
        <f t="shared" si="72"/>
        <v>0</v>
      </c>
      <c r="Q422" s="200" t="e">
        <f t="shared" si="73"/>
        <v>#REF!</v>
      </c>
      <c r="R422" s="200">
        <f t="shared" si="74"/>
        <v>0</v>
      </c>
      <c r="S422" s="200">
        <f t="shared" si="75"/>
        <v>0</v>
      </c>
      <c r="T422" s="200">
        <f t="shared" si="76"/>
        <v>0</v>
      </c>
      <c r="U422" s="688">
        <f t="shared" si="77"/>
        <v>0</v>
      </c>
      <c r="V422" s="200">
        <f t="shared" si="78"/>
        <v>0</v>
      </c>
      <c r="W422" s="689"/>
    </row>
    <row r="423" spans="1:23" s="236" customFormat="1" ht="24.95" hidden="1" customHeight="1" outlineLevel="1">
      <c r="A423" s="239"/>
      <c r="B423" s="239" t="s">
        <v>394</v>
      </c>
      <c r="C423" s="240">
        <v>8</v>
      </c>
      <c r="D423" s="690"/>
      <c r="E423" s="240"/>
      <c r="F423" s="836"/>
      <c r="G423" s="239">
        <v>3</v>
      </c>
      <c r="H423" s="203">
        <f>(K421/200)+1</f>
        <v>19.425000000000001</v>
      </c>
      <c r="I423" s="234"/>
      <c r="J423" s="234"/>
      <c r="K423" s="234">
        <v>820</v>
      </c>
      <c r="L423" s="234"/>
      <c r="M423" s="234"/>
      <c r="N423" s="235" t="e">
        <f>(((I423+J423+K423+L423+M423)-C423*#REF!*2)/1000)</f>
        <v>#REF!</v>
      </c>
      <c r="O423" s="235"/>
      <c r="P423" s="200" t="e">
        <f t="shared" si="72"/>
        <v>#REF!</v>
      </c>
      <c r="Q423" s="200">
        <f t="shared" si="73"/>
        <v>0</v>
      </c>
      <c r="R423" s="200">
        <f t="shared" si="74"/>
        <v>0</v>
      </c>
      <c r="S423" s="200">
        <f t="shared" si="75"/>
        <v>0</v>
      </c>
      <c r="T423" s="200">
        <f t="shared" si="76"/>
        <v>0</v>
      </c>
      <c r="U423" s="688">
        <f t="shared" si="77"/>
        <v>0</v>
      </c>
      <c r="V423" s="200">
        <f t="shared" si="78"/>
        <v>0</v>
      </c>
      <c r="W423" s="689"/>
    </row>
    <row r="424" spans="1:23" s="236" customFormat="1" ht="24.95" hidden="1" customHeight="1" outlineLevel="1">
      <c r="A424" s="205" t="s">
        <v>422</v>
      </c>
      <c r="B424" s="206" t="s">
        <v>396</v>
      </c>
      <c r="C424" s="240"/>
      <c r="D424" s="690"/>
      <c r="E424" s="240"/>
      <c r="F424" s="836"/>
      <c r="G424" s="239"/>
      <c r="H424" s="203"/>
      <c r="I424" s="234"/>
      <c r="J424" s="234"/>
      <c r="K424" s="234"/>
      <c r="L424" s="234"/>
      <c r="M424" s="234"/>
      <c r="N424" s="235" t="e">
        <f>(((I424+J424+K424+L424+M424)-C424*#REF!*2)/1000)</f>
        <v>#REF!</v>
      </c>
      <c r="O424" s="235"/>
      <c r="P424" s="200">
        <f t="shared" si="72"/>
        <v>0</v>
      </c>
      <c r="Q424" s="200">
        <f t="shared" si="73"/>
        <v>0</v>
      </c>
      <c r="R424" s="200">
        <f t="shared" si="74"/>
        <v>0</v>
      </c>
      <c r="S424" s="200">
        <f t="shared" si="75"/>
        <v>0</v>
      </c>
      <c r="T424" s="200">
        <f t="shared" si="76"/>
        <v>0</v>
      </c>
      <c r="U424" s="688">
        <f t="shared" si="77"/>
        <v>0</v>
      </c>
      <c r="V424" s="200">
        <f t="shared" si="78"/>
        <v>0</v>
      </c>
      <c r="W424" s="689"/>
    </row>
    <row r="425" spans="1:23" s="236" customFormat="1" ht="24.95" hidden="1" customHeight="1" outlineLevel="1">
      <c r="A425" s="239">
        <v>1</v>
      </c>
      <c r="B425" s="239" t="s">
        <v>392</v>
      </c>
      <c r="C425" s="240">
        <v>10</v>
      </c>
      <c r="D425" s="690"/>
      <c r="E425" s="240"/>
      <c r="F425" s="836"/>
      <c r="G425" s="239">
        <v>1</v>
      </c>
      <c r="H425" s="203">
        <v>2</v>
      </c>
      <c r="I425" s="241">
        <v>100</v>
      </c>
      <c r="J425" s="234"/>
      <c r="K425" s="234">
        <v>2620</v>
      </c>
      <c r="L425" s="234"/>
      <c r="M425" s="241">
        <v>100</v>
      </c>
      <c r="N425" s="235" t="e">
        <f>(((I425+J425+K425+L425+M425)-C425*#REF!*2)/1000)</f>
        <v>#REF!</v>
      </c>
      <c r="O425" s="235"/>
      <c r="P425" s="200">
        <f t="shared" si="72"/>
        <v>0</v>
      </c>
      <c r="Q425" s="200" t="e">
        <f t="shared" si="73"/>
        <v>#REF!</v>
      </c>
      <c r="R425" s="200">
        <f t="shared" si="74"/>
        <v>0</v>
      </c>
      <c r="S425" s="200">
        <f t="shared" si="75"/>
        <v>0</v>
      </c>
      <c r="T425" s="200">
        <f t="shared" si="76"/>
        <v>0</v>
      </c>
      <c r="U425" s="688">
        <f t="shared" si="77"/>
        <v>0</v>
      </c>
      <c r="V425" s="200">
        <f t="shared" si="78"/>
        <v>0</v>
      </c>
      <c r="W425" s="689"/>
    </row>
    <row r="426" spans="1:23" s="236" customFormat="1" ht="24.95" hidden="1" customHeight="1" outlineLevel="1">
      <c r="A426" s="239"/>
      <c r="B426" s="239" t="s">
        <v>393</v>
      </c>
      <c r="C426" s="240">
        <v>10</v>
      </c>
      <c r="D426" s="690"/>
      <c r="E426" s="240"/>
      <c r="F426" s="836"/>
      <c r="G426" s="239">
        <v>1</v>
      </c>
      <c r="H426" s="203">
        <v>2</v>
      </c>
      <c r="I426" s="241">
        <v>100</v>
      </c>
      <c r="J426" s="234"/>
      <c r="K426" s="234">
        <v>2620</v>
      </c>
      <c r="L426" s="234"/>
      <c r="M426" s="241">
        <v>100</v>
      </c>
      <c r="N426" s="235" t="e">
        <f>(((I426+J426+K426+L426+M426)-C426*#REF!*2)/1000)</f>
        <v>#REF!</v>
      </c>
      <c r="O426" s="235"/>
      <c r="P426" s="200">
        <f t="shared" si="72"/>
        <v>0</v>
      </c>
      <c r="Q426" s="200" t="e">
        <f t="shared" si="73"/>
        <v>#REF!</v>
      </c>
      <c r="R426" s="200">
        <f t="shared" si="74"/>
        <v>0</v>
      </c>
      <c r="S426" s="200">
        <f t="shared" si="75"/>
        <v>0</v>
      </c>
      <c r="T426" s="200">
        <f t="shared" si="76"/>
        <v>0</v>
      </c>
      <c r="U426" s="688">
        <f t="shared" si="77"/>
        <v>0</v>
      </c>
      <c r="V426" s="200">
        <f t="shared" si="78"/>
        <v>0</v>
      </c>
      <c r="W426" s="689"/>
    </row>
    <row r="427" spans="1:23" s="236" customFormat="1" ht="24.95" hidden="1" customHeight="1" outlineLevel="1">
      <c r="A427" s="239"/>
      <c r="B427" s="239" t="s">
        <v>394</v>
      </c>
      <c r="C427" s="240">
        <v>8</v>
      </c>
      <c r="D427" s="690"/>
      <c r="E427" s="240"/>
      <c r="F427" s="836"/>
      <c r="G427" s="239">
        <v>1</v>
      </c>
      <c r="H427" s="203">
        <f>(K425/200)+1</f>
        <v>14.1</v>
      </c>
      <c r="I427" s="234"/>
      <c r="J427" s="234"/>
      <c r="K427" s="234">
        <v>820</v>
      </c>
      <c r="L427" s="234"/>
      <c r="M427" s="234"/>
      <c r="N427" s="235" t="e">
        <f>(((I427+J427+K427+L427+M427)-C427*#REF!*2)/1000)</f>
        <v>#REF!</v>
      </c>
      <c r="O427" s="235"/>
      <c r="P427" s="200" t="e">
        <f t="shared" si="72"/>
        <v>#REF!</v>
      </c>
      <c r="Q427" s="200">
        <f t="shared" si="73"/>
        <v>0</v>
      </c>
      <c r="R427" s="200">
        <f t="shared" si="74"/>
        <v>0</v>
      </c>
      <c r="S427" s="200">
        <f t="shared" si="75"/>
        <v>0</v>
      </c>
      <c r="T427" s="200">
        <f t="shared" si="76"/>
        <v>0</v>
      </c>
      <c r="U427" s="688">
        <f t="shared" si="77"/>
        <v>0</v>
      </c>
      <c r="V427" s="200">
        <f t="shared" si="78"/>
        <v>0</v>
      </c>
      <c r="W427" s="689"/>
    </row>
    <row r="428" spans="1:23" s="236" customFormat="1" ht="24.95" hidden="1" customHeight="1" outlineLevel="1">
      <c r="A428" s="239">
        <v>2</v>
      </c>
      <c r="B428" s="239" t="s">
        <v>392</v>
      </c>
      <c r="C428" s="240">
        <v>10</v>
      </c>
      <c r="D428" s="690"/>
      <c r="E428" s="240"/>
      <c r="F428" s="836"/>
      <c r="G428" s="239">
        <v>4</v>
      </c>
      <c r="H428" s="203">
        <v>2</v>
      </c>
      <c r="I428" s="241">
        <v>100</v>
      </c>
      <c r="J428" s="234"/>
      <c r="K428" s="234">
        <v>1095</v>
      </c>
      <c r="L428" s="234"/>
      <c r="M428" s="241">
        <v>100</v>
      </c>
      <c r="N428" s="235" t="e">
        <f>(((I428+J428+K428+L428+M428)-C428*#REF!*2)/1000)</f>
        <v>#REF!</v>
      </c>
      <c r="O428" s="235"/>
      <c r="P428" s="200">
        <f t="shared" si="72"/>
        <v>0</v>
      </c>
      <c r="Q428" s="200" t="e">
        <f t="shared" si="73"/>
        <v>#REF!</v>
      </c>
      <c r="R428" s="200">
        <f t="shared" si="74"/>
        <v>0</v>
      </c>
      <c r="S428" s="200">
        <f t="shared" si="75"/>
        <v>0</v>
      </c>
      <c r="T428" s="200">
        <f t="shared" si="76"/>
        <v>0</v>
      </c>
      <c r="U428" s="688">
        <f t="shared" si="77"/>
        <v>0</v>
      </c>
      <c r="V428" s="200">
        <f t="shared" si="78"/>
        <v>0</v>
      </c>
      <c r="W428" s="689"/>
    </row>
    <row r="429" spans="1:23" s="236" customFormat="1" ht="24.95" hidden="1" customHeight="1" outlineLevel="1">
      <c r="A429" s="239"/>
      <c r="B429" s="239" t="s">
        <v>393</v>
      </c>
      <c r="C429" s="240">
        <v>10</v>
      </c>
      <c r="D429" s="690"/>
      <c r="E429" s="240"/>
      <c r="F429" s="836"/>
      <c r="G429" s="239">
        <v>4</v>
      </c>
      <c r="H429" s="203">
        <v>2</v>
      </c>
      <c r="I429" s="241">
        <v>100</v>
      </c>
      <c r="J429" s="234"/>
      <c r="K429" s="234">
        <v>1095</v>
      </c>
      <c r="L429" s="234"/>
      <c r="M429" s="241">
        <v>100</v>
      </c>
      <c r="N429" s="235" t="e">
        <f>(((I429+J429+K429+L429+M429)-C429*#REF!*2)/1000)</f>
        <v>#REF!</v>
      </c>
      <c r="O429" s="235"/>
      <c r="P429" s="200">
        <f t="shared" si="72"/>
        <v>0</v>
      </c>
      <c r="Q429" s="200" t="e">
        <f t="shared" si="73"/>
        <v>#REF!</v>
      </c>
      <c r="R429" s="200">
        <f t="shared" si="74"/>
        <v>0</v>
      </c>
      <c r="S429" s="200">
        <f t="shared" si="75"/>
        <v>0</v>
      </c>
      <c r="T429" s="200">
        <f t="shared" si="76"/>
        <v>0</v>
      </c>
      <c r="U429" s="688">
        <f t="shared" si="77"/>
        <v>0</v>
      </c>
      <c r="V429" s="200">
        <f t="shared" si="78"/>
        <v>0</v>
      </c>
      <c r="W429" s="689"/>
    </row>
    <row r="430" spans="1:23" s="236" customFormat="1" ht="24.95" hidden="1" customHeight="1" outlineLevel="1">
      <c r="A430" s="239"/>
      <c r="B430" s="239" t="s">
        <v>394</v>
      </c>
      <c r="C430" s="240">
        <v>8</v>
      </c>
      <c r="D430" s="690"/>
      <c r="E430" s="240"/>
      <c r="F430" s="836"/>
      <c r="G430" s="239">
        <v>4</v>
      </c>
      <c r="H430" s="203">
        <f>(K428/200)+1</f>
        <v>6.4749999999999996</v>
      </c>
      <c r="I430" s="234"/>
      <c r="J430" s="234"/>
      <c r="K430" s="234">
        <v>820</v>
      </c>
      <c r="L430" s="234"/>
      <c r="M430" s="234"/>
      <c r="N430" s="235" t="e">
        <f>(((I430+J430+K430+L430+M430)-C430*#REF!*2)/1000)</f>
        <v>#REF!</v>
      </c>
      <c r="O430" s="235"/>
      <c r="P430" s="200" t="e">
        <f t="shared" si="72"/>
        <v>#REF!</v>
      </c>
      <c r="Q430" s="200">
        <f t="shared" si="73"/>
        <v>0</v>
      </c>
      <c r="R430" s="200">
        <f t="shared" si="74"/>
        <v>0</v>
      </c>
      <c r="S430" s="200">
        <f t="shared" si="75"/>
        <v>0</v>
      </c>
      <c r="T430" s="200">
        <f t="shared" si="76"/>
        <v>0</v>
      </c>
      <c r="U430" s="688">
        <f t="shared" si="77"/>
        <v>0</v>
      </c>
      <c r="V430" s="200">
        <f t="shared" si="78"/>
        <v>0</v>
      </c>
      <c r="W430" s="689"/>
    </row>
    <row r="431" spans="1:23" s="236" customFormat="1" ht="24.95" hidden="1" customHeight="1" outlineLevel="1">
      <c r="A431" s="239">
        <v>3</v>
      </c>
      <c r="B431" s="239" t="s">
        <v>392</v>
      </c>
      <c r="C431" s="240">
        <v>10</v>
      </c>
      <c r="D431" s="690"/>
      <c r="E431" s="240"/>
      <c r="F431" s="836"/>
      <c r="G431" s="239">
        <v>1</v>
      </c>
      <c r="H431" s="203">
        <v>2</v>
      </c>
      <c r="I431" s="241">
        <v>100</v>
      </c>
      <c r="J431" s="234"/>
      <c r="K431" s="234">
        <v>1705</v>
      </c>
      <c r="L431" s="234"/>
      <c r="M431" s="241">
        <v>100</v>
      </c>
      <c r="N431" s="235" t="e">
        <f>(((I431+J431+K431+L431+M431)-C431*#REF!*2)/1000)</f>
        <v>#REF!</v>
      </c>
      <c r="O431" s="235"/>
      <c r="P431" s="200">
        <f t="shared" si="72"/>
        <v>0</v>
      </c>
      <c r="Q431" s="200" t="e">
        <f t="shared" si="73"/>
        <v>#REF!</v>
      </c>
      <c r="R431" s="200">
        <f t="shared" si="74"/>
        <v>0</v>
      </c>
      <c r="S431" s="200">
        <f t="shared" si="75"/>
        <v>0</v>
      </c>
      <c r="T431" s="200">
        <f t="shared" si="76"/>
        <v>0</v>
      </c>
      <c r="U431" s="688">
        <f t="shared" si="77"/>
        <v>0</v>
      </c>
      <c r="V431" s="200">
        <f t="shared" si="78"/>
        <v>0</v>
      </c>
      <c r="W431" s="689"/>
    </row>
    <row r="432" spans="1:23" s="236" customFormat="1" ht="24.95" hidden="1" customHeight="1" outlineLevel="1">
      <c r="A432" s="239"/>
      <c r="B432" s="239" t="s">
        <v>393</v>
      </c>
      <c r="C432" s="240">
        <v>10</v>
      </c>
      <c r="D432" s="690"/>
      <c r="E432" s="240"/>
      <c r="F432" s="836"/>
      <c r="G432" s="239">
        <v>1</v>
      </c>
      <c r="H432" s="203">
        <v>2</v>
      </c>
      <c r="I432" s="241">
        <v>100</v>
      </c>
      <c r="J432" s="234"/>
      <c r="K432" s="234">
        <v>1705</v>
      </c>
      <c r="L432" s="234"/>
      <c r="M432" s="241">
        <v>100</v>
      </c>
      <c r="N432" s="235" t="e">
        <f>(((I432+J432+K432+L432+M432)-C432*#REF!*2)/1000)</f>
        <v>#REF!</v>
      </c>
      <c r="O432" s="235"/>
      <c r="P432" s="200">
        <f t="shared" si="72"/>
        <v>0</v>
      </c>
      <c r="Q432" s="200" t="e">
        <f t="shared" si="73"/>
        <v>#REF!</v>
      </c>
      <c r="R432" s="200">
        <f t="shared" si="74"/>
        <v>0</v>
      </c>
      <c r="S432" s="200">
        <f t="shared" si="75"/>
        <v>0</v>
      </c>
      <c r="T432" s="200">
        <f t="shared" si="76"/>
        <v>0</v>
      </c>
      <c r="U432" s="688">
        <f t="shared" si="77"/>
        <v>0</v>
      </c>
      <c r="V432" s="200">
        <f t="shared" si="78"/>
        <v>0</v>
      </c>
      <c r="W432" s="689"/>
    </row>
    <row r="433" spans="1:23" s="236" customFormat="1" ht="24.95" hidden="1" customHeight="1" outlineLevel="1">
      <c r="A433" s="239"/>
      <c r="B433" s="239" t="s">
        <v>394</v>
      </c>
      <c r="C433" s="240">
        <v>8</v>
      </c>
      <c r="D433" s="690"/>
      <c r="E433" s="240"/>
      <c r="F433" s="836"/>
      <c r="G433" s="239">
        <v>1</v>
      </c>
      <c r="H433" s="203">
        <f>(K431/200)+1</f>
        <v>9.5250000000000004</v>
      </c>
      <c r="I433" s="234"/>
      <c r="J433" s="234"/>
      <c r="K433" s="234">
        <v>820</v>
      </c>
      <c r="L433" s="234"/>
      <c r="M433" s="234"/>
      <c r="N433" s="235" t="e">
        <f>(((I433+J433+K433+L433+M433)-C433*#REF!*2)/1000)</f>
        <v>#REF!</v>
      </c>
      <c r="O433" s="235"/>
      <c r="P433" s="200" t="e">
        <f t="shared" si="72"/>
        <v>#REF!</v>
      </c>
      <c r="Q433" s="200">
        <f t="shared" si="73"/>
        <v>0</v>
      </c>
      <c r="R433" s="200">
        <f t="shared" si="74"/>
        <v>0</v>
      </c>
      <c r="S433" s="200">
        <f t="shared" si="75"/>
        <v>0</v>
      </c>
      <c r="T433" s="200">
        <f t="shared" si="76"/>
        <v>0</v>
      </c>
      <c r="U433" s="688">
        <f t="shared" si="77"/>
        <v>0</v>
      </c>
      <c r="V433" s="200">
        <f t="shared" si="78"/>
        <v>0</v>
      </c>
      <c r="W433" s="689"/>
    </row>
    <row r="434" spans="1:23" s="236" customFormat="1" ht="24.95" hidden="1" customHeight="1" outlineLevel="1">
      <c r="A434" s="239">
        <v>4</v>
      </c>
      <c r="B434" s="239" t="s">
        <v>392</v>
      </c>
      <c r="C434" s="240">
        <v>10</v>
      </c>
      <c r="D434" s="690"/>
      <c r="E434" s="240"/>
      <c r="F434" s="836"/>
      <c r="G434" s="239">
        <v>2</v>
      </c>
      <c r="H434" s="203">
        <v>2</v>
      </c>
      <c r="I434" s="241">
        <v>100</v>
      </c>
      <c r="J434" s="234"/>
      <c r="K434" s="234">
        <v>2620</v>
      </c>
      <c r="L434" s="234"/>
      <c r="M434" s="241">
        <v>100</v>
      </c>
      <c r="N434" s="235" t="e">
        <f>(((I434+J434+K434+L434+M434)-C434*#REF!*2)/1000)</f>
        <v>#REF!</v>
      </c>
      <c r="O434" s="235"/>
      <c r="P434" s="200">
        <f t="shared" si="72"/>
        <v>0</v>
      </c>
      <c r="Q434" s="200" t="e">
        <f t="shared" si="73"/>
        <v>#REF!</v>
      </c>
      <c r="R434" s="200">
        <f t="shared" si="74"/>
        <v>0</v>
      </c>
      <c r="S434" s="200">
        <f t="shared" si="75"/>
        <v>0</v>
      </c>
      <c r="T434" s="200">
        <f t="shared" si="76"/>
        <v>0</v>
      </c>
      <c r="U434" s="688">
        <f t="shared" si="77"/>
        <v>0</v>
      </c>
      <c r="V434" s="200">
        <f t="shared" si="78"/>
        <v>0</v>
      </c>
      <c r="W434" s="689"/>
    </row>
    <row r="435" spans="1:23" s="236" customFormat="1" ht="24.95" hidden="1" customHeight="1" outlineLevel="1">
      <c r="A435" s="239"/>
      <c r="B435" s="239" t="s">
        <v>393</v>
      </c>
      <c r="C435" s="240">
        <v>10</v>
      </c>
      <c r="D435" s="690"/>
      <c r="E435" s="240"/>
      <c r="F435" s="836"/>
      <c r="G435" s="239">
        <v>2</v>
      </c>
      <c r="H435" s="203">
        <v>2</v>
      </c>
      <c r="I435" s="241">
        <v>100</v>
      </c>
      <c r="J435" s="234"/>
      <c r="K435" s="234">
        <v>2620</v>
      </c>
      <c r="L435" s="234"/>
      <c r="M435" s="241">
        <v>100</v>
      </c>
      <c r="N435" s="235" t="e">
        <f>(((I435+J435+K435+L435+M435)-C435*#REF!*2)/1000)</f>
        <v>#REF!</v>
      </c>
      <c r="O435" s="235"/>
      <c r="P435" s="200">
        <f t="shared" si="72"/>
        <v>0</v>
      </c>
      <c r="Q435" s="200" t="e">
        <f t="shared" si="73"/>
        <v>#REF!</v>
      </c>
      <c r="R435" s="200">
        <f t="shared" si="74"/>
        <v>0</v>
      </c>
      <c r="S435" s="200">
        <f t="shared" si="75"/>
        <v>0</v>
      </c>
      <c r="T435" s="200">
        <f t="shared" si="76"/>
        <v>0</v>
      </c>
      <c r="U435" s="688">
        <f t="shared" si="77"/>
        <v>0</v>
      </c>
      <c r="V435" s="200">
        <f t="shared" si="78"/>
        <v>0</v>
      </c>
      <c r="W435" s="689"/>
    </row>
    <row r="436" spans="1:23" s="236" customFormat="1" ht="24.95" hidden="1" customHeight="1" outlineLevel="1">
      <c r="A436" s="239"/>
      <c r="B436" s="239" t="s">
        <v>394</v>
      </c>
      <c r="C436" s="240">
        <v>8</v>
      </c>
      <c r="D436" s="690"/>
      <c r="E436" s="240"/>
      <c r="F436" s="836"/>
      <c r="G436" s="239">
        <v>2</v>
      </c>
      <c r="H436" s="203">
        <f>(K434/200)+1</f>
        <v>14.1</v>
      </c>
      <c r="I436" s="234"/>
      <c r="J436" s="234"/>
      <c r="K436" s="234">
        <v>820</v>
      </c>
      <c r="L436" s="234"/>
      <c r="M436" s="234"/>
      <c r="N436" s="235" t="e">
        <f>(((I436+J436+K436+L436+M436)-C436*#REF!*2)/1000)</f>
        <v>#REF!</v>
      </c>
      <c r="O436" s="235"/>
      <c r="P436" s="200" t="e">
        <f t="shared" si="72"/>
        <v>#REF!</v>
      </c>
      <c r="Q436" s="200">
        <f t="shared" si="73"/>
        <v>0</v>
      </c>
      <c r="R436" s="200">
        <f t="shared" si="74"/>
        <v>0</v>
      </c>
      <c r="S436" s="200">
        <f t="shared" si="75"/>
        <v>0</v>
      </c>
      <c r="T436" s="200">
        <f t="shared" si="76"/>
        <v>0</v>
      </c>
      <c r="U436" s="688">
        <f t="shared" si="77"/>
        <v>0</v>
      </c>
      <c r="V436" s="200">
        <f t="shared" si="78"/>
        <v>0</v>
      </c>
      <c r="W436" s="689"/>
    </row>
    <row r="437" spans="1:23" s="236" customFormat="1" ht="24.95" hidden="1" customHeight="1" outlineLevel="1">
      <c r="A437" s="239">
        <v>5</v>
      </c>
      <c r="B437" s="239" t="s">
        <v>392</v>
      </c>
      <c r="C437" s="240">
        <v>10</v>
      </c>
      <c r="D437" s="690"/>
      <c r="E437" s="240"/>
      <c r="F437" s="836"/>
      <c r="G437" s="239">
        <v>1</v>
      </c>
      <c r="H437" s="203">
        <v>2</v>
      </c>
      <c r="I437" s="241">
        <v>100</v>
      </c>
      <c r="J437" s="234"/>
      <c r="K437" s="234">
        <v>650</v>
      </c>
      <c r="L437" s="234"/>
      <c r="M437" s="241">
        <v>100</v>
      </c>
      <c r="N437" s="235" t="e">
        <f>(((I437+J437+K437+L437+M437)-C437*#REF!*2)/1000)</f>
        <v>#REF!</v>
      </c>
      <c r="O437" s="235"/>
      <c r="P437" s="200">
        <f t="shared" si="72"/>
        <v>0</v>
      </c>
      <c r="Q437" s="200" t="e">
        <f t="shared" si="73"/>
        <v>#REF!</v>
      </c>
      <c r="R437" s="200">
        <f t="shared" si="74"/>
        <v>0</v>
      </c>
      <c r="S437" s="200">
        <f t="shared" si="75"/>
        <v>0</v>
      </c>
      <c r="T437" s="200">
        <f t="shared" si="76"/>
        <v>0</v>
      </c>
      <c r="U437" s="688">
        <f t="shared" si="77"/>
        <v>0</v>
      </c>
      <c r="V437" s="200">
        <f t="shared" si="78"/>
        <v>0</v>
      </c>
      <c r="W437" s="689"/>
    </row>
    <row r="438" spans="1:23" s="236" customFormat="1" ht="24.95" hidden="1" customHeight="1" outlineLevel="1">
      <c r="A438" s="239"/>
      <c r="B438" s="239" t="s">
        <v>393</v>
      </c>
      <c r="C438" s="240">
        <v>10</v>
      </c>
      <c r="D438" s="690"/>
      <c r="E438" s="240"/>
      <c r="F438" s="836"/>
      <c r="G438" s="239">
        <v>1</v>
      </c>
      <c r="H438" s="203">
        <v>2</v>
      </c>
      <c r="I438" s="241">
        <v>100</v>
      </c>
      <c r="J438" s="234"/>
      <c r="K438" s="234">
        <v>650</v>
      </c>
      <c r="L438" s="234"/>
      <c r="M438" s="241">
        <v>100</v>
      </c>
      <c r="N438" s="235" t="e">
        <f>(((I438+J438+K438+L438+M438)-C438*#REF!*2)/1000)</f>
        <v>#REF!</v>
      </c>
      <c r="O438" s="235"/>
      <c r="P438" s="200">
        <f t="shared" si="72"/>
        <v>0</v>
      </c>
      <c r="Q438" s="200" t="e">
        <f t="shared" si="73"/>
        <v>#REF!</v>
      </c>
      <c r="R438" s="200">
        <f t="shared" si="74"/>
        <v>0</v>
      </c>
      <c r="S438" s="200">
        <f t="shared" si="75"/>
        <v>0</v>
      </c>
      <c r="T438" s="200">
        <f t="shared" si="76"/>
        <v>0</v>
      </c>
      <c r="U438" s="688">
        <f t="shared" si="77"/>
        <v>0</v>
      </c>
      <c r="V438" s="200">
        <f t="shared" si="78"/>
        <v>0</v>
      </c>
      <c r="W438" s="689"/>
    </row>
    <row r="439" spans="1:23" s="236" customFormat="1" ht="24.95" hidden="1" customHeight="1" outlineLevel="1">
      <c r="A439" s="239"/>
      <c r="B439" s="239" t="s">
        <v>394</v>
      </c>
      <c r="C439" s="240">
        <v>8</v>
      </c>
      <c r="D439" s="690"/>
      <c r="E439" s="240"/>
      <c r="F439" s="836"/>
      <c r="G439" s="239">
        <v>1</v>
      </c>
      <c r="H439" s="203">
        <f>(K437/200)+1</f>
        <v>4.25</v>
      </c>
      <c r="I439" s="234"/>
      <c r="J439" s="234"/>
      <c r="K439" s="234">
        <v>820</v>
      </c>
      <c r="L439" s="234"/>
      <c r="M439" s="234"/>
      <c r="N439" s="235" t="e">
        <f>(((I439+J439+K439+L439+M439)-C439*#REF!*2)/1000)</f>
        <v>#REF!</v>
      </c>
      <c r="O439" s="235"/>
      <c r="P439" s="200" t="e">
        <f t="shared" si="72"/>
        <v>#REF!</v>
      </c>
      <c r="Q439" s="200">
        <f t="shared" si="73"/>
        <v>0</v>
      </c>
      <c r="R439" s="200">
        <f t="shared" si="74"/>
        <v>0</v>
      </c>
      <c r="S439" s="200">
        <f t="shared" si="75"/>
        <v>0</v>
      </c>
      <c r="T439" s="200">
        <f t="shared" si="76"/>
        <v>0</v>
      </c>
      <c r="U439" s="688">
        <f t="shared" si="77"/>
        <v>0</v>
      </c>
      <c r="V439" s="200">
        <f t="shared" si="78"/>
        <v>0</v>
      </c>
      <c r="W439" s="689"/>
    </row>
    <row r="440" spans="1:23" s="236" customFormat="1" ht="24.95" hidden="1" customHeight="1" outlineLevel="1">
      <c r="A440" s="239">
        <v>6</v>
      </c>
      <c r="B440" s="239" t="s">
        <v>392</v>
      </c>
      <c r="C440" s="240">
        <v>10</v>
      </c>
      <c r="D440" s="690"/>
      <c r="E440" s="240"/>
      <c r="F440" s="836"/>
      <c r="G440" s="239">
        <v>1</v>
      </c>
      <c r="H440" s="203">
        <v>2</v>
      </c>
      <c r="I440" s="241">
        <v>100</v>
      </c>
      <c r="J440" s="234"/>
      <c r="K440" s="234">
        <v>4145</v>
      </c>
      <c r="L440" s="234"/>
      <c r="M440" s="241">
        <v>100</v>
      </c>
      <c r="N440" s="235" t="e">
        <f>(((I440+J440+K440+L440+M440)-C440*#REF!*2)/1000)</f>
        <v>#REF!</v>
      </c>
      <c r="O440" s="235"/>
      <c r="P440" s="200">
        <f t="shared" si="72"/>
        <v>0</v>
      </c>
      <c r="Q440" s="200" t="e">
        <f t="shared" si="73"/>
        <v>#REF!</v>
      </c>
      <c r="R440" s="200">
        <f t="shared" si="74"/>
        <v>0</v>
      </c>
      <c r="S440" s="200">
        <f t="shared" si="75"/>
        <v>0</v>
      </c>
      <c r="T440" s="200">
        <f t="shared" si="76"/>
        <v>0</v>
      </c>
      <c r="U440" s="688">
        <f t="shared" si="77"/>
        <v>0</v>
      </c>
      <c r="V440" s="200">
        <f t="shared" si="78"/>
        <v>0</v>
      </c>
      <c r="W440" s="689"/>
    </row>
    <row r="441" spans="1:23" s="236" customFormat="1" ht="24.95" hidden="1" customHeight="1" outlineLevel="1">
      <c r="A441" s="239"/>
      <c r="B441" s="239" t="s">
        <v>393</v>
      </c>
      <c r="C441" s="240">
        <v>10</v>
      </c>
      <c r="D441" s="690"/>
      <c r="E441" s="240"/>
      <c r="F441" s="836"/>
      <c r="G441" s="239">
        <v>1</v>
      </c>
      <c r="H441" s="203">
        <v>2</v>
      </c>
      <c r="I441" s="241">
        <v>100</v>
      </c>
      <c r="J441" s="234"/>
      <c r="K441" s="234">
        <v>4145</v>
      </c>
      <c r="L441" s="234"/>
      <c r="M441" s="241">
        <v>100</v>
      </c>
      <c r="N441" s="235" t="e">
        <f>(((I441+J441+K441+L441+M441)-C441*#REF!*2)/1000)</f>
        <v>#REF!</v>
      </c>
      <c r="O441" s="235"/>
      <c r="P441" s="200">
        <f t="shared" si="72"/>
        <v>0</v>
      </c>
      <c r="Q441" s="200" t="e">
        <f t="shared" si="73"/>
        <v>#REF!</v>
      </c>
      <c r="R441" s="200">
        <f t="shared" si="74"/>
        <v>0</v>
      </c>
      <c r="S441" s="200">
        <f t="shared" si="75"/>
        <v>0</v>
      </c>
      <c r="T441" s="200">
        <f t="shared" si="76"/>
        <v>0</v>
      </c>
      <c r="U441" s="688">
        <f t="shared" si="77"/>
        <v>0</v>
      </c>
      <c r="V441" s="200">
        <f t="shared" si="78"/>
        <v>0</v>
      </c>
      <c r="W441" s="689"/>
    </row>
    <row r="442" spans="1:23" s="236" customFormat="1" ht="24.95" hidden="1" customHeight="1" outlineLevel="1">
      <c r="A442" s="239"/>
      <c r="B442" s="239" t="s">
        <v>394</v>
      </c>
      <c r="C442" s="240">
        <v>8</v>
      </c>
      <c r="D442" s="690"/>
      <c r="E442" s="240"/>
      <c r="F442" s="836"/>
      <c r="G442" s="239">
        <v>1</v>
      </c>
      <c r="H442" s="203">
        <f>(K440/200)+1</f>
        <v>21.725000000000001</v>
      </c>
      <c r="I442" s="234"/>
      <c r="J442" s="234"/>
      <c r="K442" s="234">
        <v>820</v>
      </c>
      <c r="L442" s="234"/>
      <c r="M442" s="234"/>
      <c r="N442" s="235" t="e">
        <f>(((I442+J442+K442+L442+M442)-C442*#REF!*2)/1000)</f>
        <v>#REF!</v>
      </c>
      <c r="O442" s="235"/>
      <c r="P442" s="200" t="e">
        <f t="shared" si="72"/>
        <v>#REF!</v>
      </c>
      <c r="Q442" s="200">
        <f t="shared" si="73"/>
        <v>0</v>
      </c>
      <c r="R442" s="200">
        <f t="shared" si="74"/>
        <v>0</v>
      </c>
      <c r="S442" s="200">
        <f t="shared" si="75"/>
        <v>0</v>
      </c>
      <c r="T442" s="200">
        <f t="shared" si="76"/>
        <v>0</v>
      </c>
      <c r="U442" s="688">
        <f t="shared" si="77"/>
        <v>0</v>
      </c>
      <c r="V442" s="200">
        <f t="shared" si="78"/>
        <v>0</v>
      </c>
      <c r="W442" s="689"/>
    </row>
    <row r="443" spans="1:23" s="236" customFormat="1" ht="24.95" hidden="1" customHeight="1" outlineLevel="1">
      <c r="A443" s="239">
        <v>7</v>
      </c>
      <c r="B443" s="239" t="s">
        <v>392</v>
      </c>
      <c r="C443" s="240">
        <v>10</v>
      </c>
      <c r="D443" s="690"/>
      <c r="E443" s="240"/>
      <c r="F443" s="836"/>
      <c r="G443" s="239">
        <v>1</v>
      </c>
      <c r="H443" s="203">
        <v>2</v>
      </c>
      <c r="I443" s="241">
        <v>100</v>
      </c>
      <c r="J443" s="234"/>
      <c r="K443" s="234">
        <v>1180</v>
      </c>
      <c r="L443" s="234"/>
      <c r="M443" s="241">
        <v>100</v>
      </c>
      <c r="N443" s="235" t="e">
        <f>(((I443+J443+K443+L443+M443)-C443*#REF!*2)/1000)</f>
        <v>#REF!</v>
      </c>
      <c r="O443" s="235"/>
      <c r="P443" s="200">
        <f t="shared" si="72"/>
        <v>0</v>
      </c>
      <c r="Q443" s="200" t="e">
        <f t="shared" si="73"/>
        <v>#REF!</v>
      </c>
      <c r="R443" s="200">
        <f t="shared" si="74"/>
        <v>0</v>
      </c>
      <c r="S443" s="200">
        <f t="shared" si="75"/>
        <v>0</v>
      </c>
      <c r="T443" s="200">
        <f t="shared" si="76"/>
        <v>0</v>
      </c>
      <c r="U443" s="688">
        <f t="shared" si="77"/>
        <v>0</v>
      </c>
      <c r="V443" s="200">
        <f t="shared" si="78"/>
        <v>0</v>
      </c>
      <c r="W443" s="689"/>
    </row>
    <row r="444" spans="1:23" s="236" customFormat="1" ht="24.95" hidden="1" customHeight="1" outlineLevel="1">
      <c r="A444" s="239"/>
      <c r="B444" s="239" t="s">
        <v>393</v>
      </c>
      <c r="C444" s="240">
        <v>10</v>
      </c>
      <c r="D444" s="690"/>
      <c r="E444" s="240"/>
      <c r="F444" s="836"/>
      <c r="G444" s="239">
        <v>1</v>
      </c>
      <c r="H444" s="203">
        <v>2</v>
      </c>
      <c r="I444" s="241">
        <v>100</v>
      </c>
      <c r="J444" s="234"/>
      <c r="K444" s="234">
        <v>1180</v>
      </c>
      <c r="L444" s="234"/>
      <c r="M444" s="241">
        <v>100</v>
      </c>
      <c r="N444" s="235" t="e">
        <f>(((I444+J444+K444+L444+M444)-C444*#REF!*2)/1000)</f>
        <v>#REF!</v>
      </c>
      <c r="O444" s="235"/>
      <c r="P444" s="200">
        <f t="shared" si="72"/>
        <v>0</v>
      </c>
      <c r="Q444" s="200" t="e">
        <f t="shared" si="73"/>
        <v>#REF!</v>
      </c>
      <c r="R444" s="200">
        <f t="shared" si="74"/>
        <v>0</v>
      </c>
      <c r="S444" s="200">
        <f t="shared" si="75"/>
        <v>0</v>
      </c>
      <c r="T444" s="200">
        <f t="shared" si="76"/>
        <v>0</v>
      </c>
      <c r="U444" s="688">
        <f t="shared" si="77"/>
        <v>0</v>
      </c>
      <c r="V444" s="200">
        <f t="shared" si="78"/>
        <v>0</v>
      </c>
      <c r="W444" s="689"/>
    </row>
    <row r="445" spans="1:23" s="236" customFormat="1" ht="24.95" hidden="1" customHeight="1" outlineLevel="1">
      <c r="A445" s="239"/>
      <c r="B445" s="239" t="s">
        <v>394</v>
      </c>
      <c r="C445" s="240">
        <v>8</v>
      </c>
      <c r="D445" s="690"/>
      <c r="E445" s="240"/>
      <c r="F445" s="836"/>
      <c r="G445" s="239">
        <v>1</v>
      </c>
      <c r="H445" s="203">
        <f>(K443/200)+1</f>
        <v>6.9</v>
      </c>
      <c r="I445" s="234"/>
      <c r="J445" s="234"/>
      <c r="K445" s="234">
        <v>820</v>
      </c>
      <c r="L445" s="234"/>
      <c r="M445" s="234"/>
      <c r="N445" s="235" t="e">
        <f>(((I445+J445+K445+L445+M445)-C445*#REF!*2)/1000)</f>
        <v>#REF!</v>
      </c>
      <c r="O445" s="235"/>
      <c r="P445" s="200" t="e">
        <f t="shared" si="72"/>
        <v>#REF!</v>
      </c>
      <c r="Q445" s="200">
        <f t="shared" si="73"/>
        <v>0</v>
      </c>
      <c r="R445" s="200">
        <f t="shared" si="74"/>
        <v>0</v>
      </c>
      <c r="S445" s="200">
        <f t="shared" si="75"/>
        <v>0</v>
      </c>
      <c r="T445" s="200">
        <f t="shared" si="76"/>
        <v>0</v>
      </c>
      <c r="U445" s="688">
        <f t="shared" si="77"/>
        <v>0</v>
      </c>
      <c r="V445" s="200">
        <f t="shared" si="78"/>
        <v>0</v>
      </c>
      <c r="W445" s="689"/>
    </row>
    <row r="446" spans="1:23" s="236" customFormat="1" ht="24.95" hidden="1" customHeight="1" outlineLevel="1">
      <c r="A446" s="239">
        <v>8</v>
      </c>
      <c r="B446" s="239" t="s">
        <v>392</v>
      </c>
      <c r="C446" s="240">
        <v>10</v>
      </c>
      <c r="D446" s="690"/>
      <c r="E446" s="240"/>
      <c r="F446" s="836"/>
      <c r="G446" s="239">
        <v>1</v>
      </c>
      <c r="H446" s="203">
        <v>2</v>
      </c>
      <c r="I446" s="241">
        <v>100</v>
      </c>
      <c r="J446" s="234"/>
      <c r="K446" s="234">
        <v>2620</v>
      </c>
      <c r="L446" s="234"/>
      <c r="M446" s="241">
        <v>100</v>
      </c>
      <c r="N446" s="235" t="e">
        <f>(((I446+J446+K446+L446+M446)-C446*#REF!*2)/1000)</f>
        <v>#REF!</v>
      </c>
      <c r="O446" s="235"/>
      <c r="P446" s="200">
        <f t="shared" si="72"/>
        <v>0</v>
      </c>
      <c r="Q446" s="200" t="e">
        <f t="shared" si="73"/>
        <v>#REF!</v>
      </c>
      <c r="R446" s="200">
        <f t="shared" si="74"/>
        <v>0</v>
      </c>
      <c r="S446" s="200">
        <f t="shared" si="75"/>
        <v>0</v>
      </c>
      <c r="T446" s="200">
        <f t="shared" si="76"/>
        <v>0</v>
      </c>
      <c r="U446" s="688">
        <f t="shared" si="77"/>
        <v>0</v>
      </c>
      <c r="V446" s="200">
        <f t="shared" si="78"/>
        <v>0</v>
      </c>
      <c r="W446" s="689"/>
    </row>
    <row r="447" spans="1:23" s="236" customFormat="1" ht="24.95" hidden="1" customHeight="1" outlineLevel="1">
      <c r="A447" s="239"/>
      <c r="B447" s="239" t="s">
        <v>393</v>
      </c>
      <c r="C447" s="240">
        <v>10</v>
      </c>
      <c r="D447" s="690"/>
      <c r="E447" s="240"/>
      <c r="F447" s="836"/>
      <c r="G447" s="239">
        <v>1</v>
      </c>
      <c r="H447" s="203">
        <v>2</v>
      </c>
      <c r="I447" s="241">
        <v>100</v>
      </c>
      <c r="J447" s="234"/>
      <c r="K447" s="234">
        <v>2620</v>
      </c>
      <c r="L447" s="234"/>
      <c r="M447" s="241">
        <v>100</v>
      </c>
      <c r="N447" s="235" t="e">
        <f>(((I447+J447+K447+L447+M447)-C447*#REF!*2)/1000)</f>
        <v>#REF!</v>
      </c>
      <c r="O447" s="235"/>
      <c r="P447" s="200">
        <f t="shared" si="72"/>
        <v>0</v>
      </c>
      <c r="Q447" s="200" t="e">
        <f t="shared" si="73"/>
        <v>#REF!</v>
      </c>
      <c r="R447" s="200">
        <f t="shared" si="74"/>
        <v>0</v>
      </c>
      <c r="S447" s="200">
        <f t="shared" si="75"/>
        <v>0</v>
      </c>
      <c r="T447" s="200">
        <f t="shared" si="76"/>
        <v>0</v>
      </c>
      <c r="U447" s="688">
        <f t="shared" si="77"/>
        <v>0</v>
      </c>
      <c r="V447" s="200">
        <f t="shared" si="78"/>
        <v>0</v>
      </c>
      <c r="W447" s="689"/>
    </row>
    <row r="448" spans="1:23" s="236" customFormat="1" ht="24.95" hidden="1" customHeight="1" outlineLevel="1">
      <c r="A448" s="239"/>
      <c r="B448" s="239" t="s">
        <v>394</v>
      </c>
      <c r="C448" s="240">
        <v>8</v>
      </c>
      <c r="D448" s="690"/>
      <c r="E448" s="240"/>
      <c r="F448" s="836"/>
      <c r="G448" s="239">
        <v>1</v>
      </c>
      <c r="H448" s="203">
        <f>(K446/200)+1</f>
        <v>14.1</v>
      </c>
      <c r="I448" s="234"/>
      <c r="J448" s="234"/>
      <c r="K448" s="234">
        <v>820</v>
      </c>
      <c r="L448" s="234"/>
      <c r="M448" s="234"/>
      <c r="N448" s="235" t="e">
        <f>(((I448+J448+K448+L448+M448)-C448*#REF!*2)/1000)</f>
        <v>#REF!</v>
      </c>
      <c r="O448" s="235"/>
      <c r="P448" s="200" t="e">
        <f t="shared" si="72"/>
        <v>#REF!</v>
      </c>
      <c r="Q448" s="200">
        <f t="shared" si="73"/>
        <v>0</v>
      </c>
      <c r="R448" s="200">
        <f t="shared" si="74"/>
        <v>0</v>
      </c>
      <c r="S448" s="200">
        <f t="shared" si="75"/>
        <v>0</v>
      </c>
      <c r="T448" s="200">
        <f t="shared" si="76"/>
        <v>0</v>
      </c>
      <c r="U448" s="688">
        <f t="shared" si="77"/>
        <v>0</v>
      </c>
      <c r="V448" s="200">
        <f t="shared" si="78"/>
        <v>0</v>
      </c>
      <c r="W448" s="689"/>
    </row>
    <row r="449" spans="1:23" s="236" customFormat="1" ht="24.95" hidden="1" customHeight="1" outlineLevel="1">
      <c r="A449" s="239">
        <v>9</v>
      </c>
      <c r="B449" s="239" t="s">
        <v>392</v>
      </c>
      <c r="C449" s="240">
        <v>10</v>
      </c>
      <c r="D449" s="690"/>
      <c r="E449" s="240"/>
      <c r="F449" s="836"/>
      <c r="G449" s="239">
        <v>1</v>
      </c>
      <c r="H449" s="203">
        <v>2</v>
      </c>
      <c r="I449" s="241">
        <v>100</v>
      </c>
      <c r="J449" s="234"/>
      <c r="K449" s="234">
        <v>3840</v>
      </c>
      <c r="L449" s="234"/>
      <c r="M449" s="241">
        <v>100</v>
      </c>
      <c r="N449" s="235" t="e">
        <f>(((I449+J449+K449+L449+M449)-C449*#REF!*2)/1000)</f>
        <v>#REF!</v>
      </c>
      <c r="O449" s="235"/>
      <c r="P449" s="200">
        <f t="shared" si="72"/>
        <v>0</v>
      </c>
      <c r="Q449" s="200" t="e">
        <f t="shared" si="73"/>
        <v>#REF!</v>
      </c>
      <c r="R449" s="200">
        <f t="shared" si="74"/>
        <v>0</v>
      </c>
      <c r="S449" s="200">
        <f t="shared" si="75"/>
        <v>0</v>
      </c>
      <c r="T449" s="200">
        <f t="shared" si="76"/>
        <v>0</v>
      </c>
      <c r="U449" s="688">
        <f t="shared" si="77"/>
        <v>0</v>
      </c>
      <c r="V449" s="200">
        <f t="shared" si="78"/>
        <v>0</v>
      </c>
      <c r="W449" s="689"/>
    </row>
    <row r="450" spans="1:23" s="236" customFormat="1" ht="24.95" hidden="1" customHeight="1" outlineLevel="1">
      <c r="A450" s="239"/>
      <c r="B450" s="239" t="s">
        <v>393</v>
      </c>
      <c r="C450" s="240">
        <v>10</v>
      </c>
      <c r="D450" s="690"/>
      <c r="E450" s="240"/>
      <c r="F450" s="836"/>
      <c r="G450" s="239">
        <v>1</v>
      </c>
      <c r="H450" s="203">
        <v>2</v>
      </c>
      <c r="I450" s="241">
        <v>100</v>
      </c>
      <c r="J450" s="234"/>
      <c r="K450" s="234">
        <v>3840</v>
      </c>
      <c r="L450" s="234"/>
      <c r="M450" s="241">
        <v>100</v>
      </c>
      <c r="N450" s="235" t="e">
        <f>(((I450+J450+K450+L450+M450)-C450*#REF!*2)/1000)</f>
        <v>#REF!</v>
      </c>
      <c r="O450" s="235"/>
      <c r="P450" s="200">
        <f t="shared" si="72"/>
        <v>0</v>
      </c>
      <c r="Q450" s="200" t="e">
        <f t="shared" si="73"/>
        <v>#REF!</v>
      </c>
      <c r="R450" s="200">
        <f t="shared" si="74"/>
        <v>0</v>
      </c>
      <c r="S450" s="200">
        <f t="shared" si="75"/>
        <v>0</v>
      </c>
      <c r="T450" s="200">
        <f t="shared" si="76"/>
        <v>0</v>
      </c>
      <c r="U450" s="688">
        <f t="shared" si="77"/>
        <v>0</v>
      </c>
      <c r="V450" s="200">
        <f t="shared" si="78"/>
        <v>0</v>
      </c>
      <c r="W450" s="689"/>
    </row>
    <row r="451" spans="1:23" s="236" customFormat="1" ht="24.95" hidden="1" customHeight="1" outlineLevel="1">
      <c r="A451" s="239"/>
      <c r="B451" s="239" t="s">
        <v>394</v>
      </c>
      <c r="C451" s="240">
        <v>8</v>
      </c>
      <c r="D451" s="690"/>
      <c r="E451" s="240"/>
      <c r="F451" s="836"/>
      <c r="G451" s="239">
        <v>1</v>
      </c>
      <c r="H451" s="203">
        <f>(K449/200)+1</f>
        <v>20.2</v>
      </c>
      <c r="I451" s="234"/>
      <c r="J451" s="234"/>
      <c r="K451" s="234">
        <v>820</v>
      </c>
      <c r="L451" s="234"/>
      <c r="M451" s="234"/>
      <c r="N451" s="235" t="e">
        <f>(((I451+J451+K451+L451+M451)-C451*#REF!*2)/1000)</f>
        <v>#REF!</v>
      </c>
      <c r="O451" s="235"/>
      <c r="P451" s="200" t="e">
        <f t="shared" si="72"/>
        <v>#REF!</v>
      </c>
      <c r="Q451" s="200">
        <f t="shared" si="73"/>
        <v>0</v>
      </c>
      <c r="R451" s="200">
        <f t="shared" si="74"/>
        <v>0</v>
      </c>
      <c r="S451" s="200">
        <f t="shared" si="75"/>
        <v>0</v>
      </c>
      <c r="T451" s="200">
        <f t="shared" si="76"/>
        <v>0</v>
      </c>
      <c r="U451" s="688">
        <f t="shared" si="77"/>
        <v>0</v>
      </c>
      <c r="V451" s="200">
        <f t="shared" si="78"/>
        <v>0</v>
      </c>
      <c r="W451" s="689"/>
    </row>
    <row r="452" spans="1:23" s="236" customFormat="1" ht="24.95" hidden="1" customHeight="1" outlineLevel="1">
      <c r="A452" s="239">
        <v>10</v>
      </c>
      <c r="B452" s="239" t="s">
        <v>392</v>
      </c>
      <c r="C452" s="240">
        <v>10</v>
      </c>
      <c r="D452" s="690"/>
      <c r="E452" s="240"/>
      <c r="F452" s="836"/>
      <c r="G452" s="239">
        <v>1</v>
      </c>
      <c r="H452" s="203">
        <v>2</v>
      </c>
      <c r="I452" s="241">
        <v>100</v>
      </c>
      <c r="J452" s="234"/>
      <c r="K452" s="234">
        <v>2705</v>
      </c>
      <c r="L452" s="234"/>
      <c r="M452" s="241">
        <v>100</v>
      </c>
      <c r="N452" s="235" t="e">
        <f>(((I452+J452+K452+L452+M452)-C452*#REF!*2)/1000)</f>
        <v>#REF!</v>
      </c>
      <c r="O452" s="235"/>
      <c r="P452" s="200">
        <f t="shared" si="72"/>
        <v>0</v>
      </c>
      <c r="Q452" s="200" t="e">
        <f t="shared" si="73"/>
        <v>#REF!</v>
      </c>
      <c r="R452" s="200">
        <f t="shared" si="74"/>
        <v>0</v>
      </c>
      <c r="S452" s="200">
        <f t="shared" si="75"/>
        <v>0</v>
      </c>
      <c r="T452" s="200">
        <f t="shared" si="76"/>
        <v>0</v>
      </c>
      <c r="U452" s="688">
        <f t="shared" si="77"/>
        <v>0</v>
      </c>
      <c r="V452" s="200">
        <f t="shared" si="78"/>
        <v>0</v>
      </c>
      <c r="W452" s="689"/>
    </row>
    <row r="453" spans="1:23" s="236" customFormat="1" ht="24.95" hidden="1" customHeight="1" outlineLevel="1">
      <c r="A453" s="239"/>
      <c r="B453" s="239" t="s">
        <v>393</v>
      </c>
      <c r="C453" s="240">
        <v>10</v>
      </c>
      <c r="D453" s="690"/>
      <c r="E453" s="240"/>
      <c r="F453" s="836"/>
      <c r="G453" s="239">
        <v>1</v>
      </c>
      <c r="H453" s="203">
        <v>2</v>
      </c>
      <c r="I453" s="241">
        <v>100</v>
      </c>
      <c r="J453" s="234"/>
      <c r="K453" s="234">
        <v>2705</v>
      </c>
      <c r="L453" s="234"/>
      <c r="M453" s="241">
        <v>100</v>
      </c>
      <c r="N453" s="235" t="e">
        <f>(((I453+J453+K453+L453+M453)-C453*#REF!*2)/1000)</f>
        <v>#REF!</v>
      </c>
      <c r="O453" s="235"/>
      <c r="P453" s="200">
        <f t="shared" si="72"/>
        <v>0</v>
      </c>
      <c r="Q453" s="200" t="e">
        <f t="shared" si="73"/>
        <v>#REF!</v>
      </c>
      <c r="R453" s="200">
        <f t="shared" si="74"/>
        <v>0</v>
      </c>
      <c r="S453" s="200">
        <f t="shared" si="75"/>
        <v>0</v>
      </c>
      <c r="T453" s="200">
        <f t="shared" si="76"/>
        <v>0</v>
      </c>
      <c r="U453" s="688">
        <f t="shared" si="77"/>
        <v>0</v>
      </c>
      <c r="V453" s="200">
        <f t="shared" si="78"/>
        <v>0</v>
      </c>
      <c r="W453" s="689"/>
    </row>
    <row r="454" spans="1:23" s="236" customFormat="1" ht="24.95" hidden="1" customHeight="1" outlineLevel="1">
      <c r="A454" s="239"/>
      <c r="B454" s="239" t="s">
        <v>394</v>
      </c>
      <c r="C454" s="240">
        <v>8</v>
      </c>
      <c r="D454" s="690"/>
      <c r="E454" s="240"/>
      <c r="F454" s="836"/>
      <c r="G454" s="239">
        <v>1</v>
      </c>
      <c r="H454" s="203">
        <f>(K452/200)+1</f>
        <v>14.525</v>
      </c>
      <c r="I454" s="234"/>
      <c r="J454" s="234"/>
      <c r="K454" s="234">
        <v>820</v>
      </c>
      <c r="L454" s="234"/>
      <c r="M454" s="234"/>
      <c r="N454" s="235" t="e">
        <f>(((I454+J454+K454+L454+M454)-C454*#REF!*2)/1000)</f>
        <v>#REF!</v>
      </c>
      <c r="O454" s="235"/>
      <c r="P454" s="200" t="e">
        <f t="shared" si="72"/>
        <v>#REF!</v>
      </c>
      <c r="Q454" s="200">
        <f t="shared" si="73"/>
        <v>0</v>
      </c>
      <c r="R454" s="200">
        <f t="shared" si="74"/>
        <v>0</v>
      </c>
      <c r="S454" s="200">
        <f t="shared" si="75"/>
        <v>0</v>
      </c>
      <c r="T454" s="200">
        <f t="shared" si="76"/>
        <v>0</v>
      </c>
      <c r="U454" s="688">
        <f t="shared" si="77"/>
        <v>0</v>
      </c>
      <c r="V454" s="200">
        <f t="shared" si="78"/>
        <v>0</v>
      </c>
      <c r="W454" s="689"/>
    </row>
    <row r="455" spans="1:23" s="236" customFormat="1" ht="24.95" hidden="1" customHeight="1" outlineLevel="1">
      <c r="A455" s="239">
        <v>11</v>
      </c>
      <c r="B455" s="239" t="s">
        <v>392</v>
      </c>
      <c r="C455" s="240">
        <v>10</v>
      </c>
      <c r="D455" s="690"/>
      <c r="E455" s="240"/>
      <c r="F455" s="836"/>
      <c r="G455" s="239">
        <v>1</v>
      </c>
      <c r="H455" s="203">
        <v>2</v>
      </c>
      <c r="I455" s="241">
        <v>100</v>
      </c>
      <c r="J455" s="234"/>
      <c r="K455" s="234">
        <v>7195</v>
      </c>
      <c r="L455" s="234"/>
      <c r="M455" s="241">
        <v>100</v>
      </c>
      <c r="N455" s="235" t="e">
        <f>(((I455+J455+K455+L455+M455)-C455*#REF!*2)/1000)</f>
        <v>#REF!</v>
      </c>
      <c r="O455" s="235"/>
      <c r="P455" s="200">
        <f t="shared" si="72"/>
        <v>0</v>
      </c>
      <c r="Q455" s="200" t="e">
        <f t="shared" si="73"/>
        <v>#REF!</v>
      </c>
      <c r="R455" s="200">
        <f t="shared" si="74"/>
        <v>0</v>
      </c>
      <c r="S455" s="200">
        <f t="shared" si="75"/>
        <v>0</v>
      </c>
      <c r="T455" s="200">
        <f t="shared" si="76"/>
        <v>0</v>
      </c>
      <c r="U455" s="688">
        <f t="shared" si="77"/>
        <v>0</v>
      </c>
      <c r="V455" s="200">
        <f t="shared" si="78"/>
        <v>0</v>
      </c>
      <c r="W455" s="689"/>
    </row>
    <row r="456" spans="1:23" s="236" customFormat="1" ht="24.95" hidden="1" customHeight="1" outlineLevel="1">
      <c r="A456" s="239"/>
      <c r="B456" s="239" t="s">
        <v>393</v>
      </c>
      <c r="C456" s="240">
        <v>10</v>
      </c>
      <c r="D456" s="690"/>
      <c r="E456" s="240"/>
      <c r="F456" s="836"/>
      <c r="G456" s="239">
        <v>1</v>
      </c>
      <c r="H456" s="203">
        <v>2</v>
      </c>
      <c r="I456" s="241">
        <v>100</v>
      </c>
      <c r="J456" s="234"/>
      <c r="K456" s="234">
        <v>7195</v>
      </c>
      <c r="L456" s="234"/>
      <c r="M456" s="241">
        <v>100</v>
      </c>
      <c r="N456" s="235" t="e">
        <f>(((I456+J456+K456+L456+M456)-C456*#REF!*2)/1000)</f>
        <v>#REF!</v>
      </c>
      <c r="O456" s="235"/>
      <c r="P456" s="200">
        <f t="shared" si="72"/>
        <v>0</v>
      </c>
      <c r="Q456" s="200" t="e">
        <f t="shared" si="73"/>
        <v>#REF!</v>
      </c>
      <c r="R456" s="200">
        <f t="shared" si="74"/>
        <v>0</v>
      </c>
      <c r="S456" s="200">
        <f t="shared" si="75"/>
        <v>0</v>
      </c>
      <c r="T456" s="200">
        <f t="shared" si="76"/>
        <v>0</v>
      </c>
      <c r="U456" s="688">
        <f t="shared" si="77"/>
        <v>0</v>
      </c>
      <c r="V456" s="200">
        <f t="shared" si="78"/>
        <v>0</v>
      </c>
      <c r="W456" s="689"/>
    </row>
    <row r="457" spans="1:23" s="236" customFormat="1" ht="24.95" hidden="1" customHeight="1" outlineLevel="1">
      <c r="A457" s="239"/>
      <c r="B457" s="239" t="s">
        <v>394</v>
      </c>
      <c r="C457" s="240">
        <v>8</v>
      </c>
      <c r="D457" s="690"/>
      <c r="E457" s="240"/>
      <c r="F457" s="836"/>
      <c r="G457" s="239">
        <v>1</v>
      </c>
      <c r="H457" s="203">
        <f>(K455/200)+1</f>
        <v>36.975000000000001</v>
      </c>
      <c r="I457" s="234"/>
      <c r="J457" s="234"/>
      <c r="K457" s="234">
        <v>820</v>
      </c>
      <c r="L457" s="234"/>
      <c r="M457" s="234"/>
      <c r="N457" s="235" t="e">
        <f>(((I457+J457+K457+L457+M457)-C457*#REF!*2)/1000)</f>
        <v>#REF!</v>
      </c>
      <c r="O457" s="235"/>
      <c r="P457" s="200" t="e">
        <f t="shared" si="72"/>
        <v>#REF!</v>
      </c>
      <c r="Q457" s="200">
        <f t="shared" si="73"/>
        <v>0</v>
      </c>
      <c r="R457" s="200">
        <f t="shared" si="74"/>
        <v>0</v>
      </c>
      <c r="S457" s="200">
        <f t="shared" si="75"/>
        <v>0</v>
      </c>
      <c r="T457" s="200">
        <f t="shared" si="76"/>
        <v>0</v>
      </c>
      <c r="U457" s="688">
        <f t="shared" si="77"/>
        <v>0</v>
      </c>
      <c r="V457" s="200">
        <f t="shared" si="78"/>
        <v>0</v>
      </c>
      <c r="W457" s="689"/>
    </row>
    <row r="458" spans="1:23" s="236" customFormat="1" ht="24.95" hidden="1" customHeight="1" outlineLevel="1">
      <c r="A458" s="239">
        <v>12</v>
      </c>
      <c r="B458" s="239" t="s">
        <v>392</v>
      </c>
      <c r="C458" s="240">
        <v>10</v>
      </c>
      <c r="D458" s="690"/>
      <c r="E458" s="240"/>
      <c r="F458" s="836"/>
      <c r="G458" s="239">
        <v>1</v>
      </c>
      <c r="H458" s="203">
        <v>2</v>
      </c>
      <c r="I458" s="241">
        <v>100</v>
      </c>
      <c r="J458" s="234"/>
      <c r="K458" s="234">
        <v>4230</v>
      </c>
      <c r="L458" s="234"/>
      <c r="M458" s="241">
        <v>100</v>
      </c>
      <c r="N458" s="235" t="e">
        <f>(((I458+J458+K458+L458+M458)-C458*#REF!*2)/1000)</f>
        <v>#REF!</v>
      </c>
      <c r="O458" s="235"/>
      <c r="P458" s="200">
        <f t="shared" si="72"/>
        <v>0</v>
      </c>
      <c r="Q458" s="200" t="e">
        <f t="shared" si="73"/>
        <v>#REF!</v>
      </c>
      <c r="R458" s="200">
        <f t="shared" si="74"/>
        <v>0</v>
      </c>
      <c r="S458" s="200">
        <f t="shared" si="75"/>
        <v>0</v>
      </c>
      <c r="T458" s="200">
        <f t="shared" si="76"/>
        <v>0</v>
      </c>
      <c r="U458" s="688">
        <f t="shared" si="77"/>
        <v>0</v>
      </c>
      <c r="V458" s="200">
        <f t="shared" si="78"/>
        <v>0</v>
      </c>
      <c r="W458" s="689"/>
    </row>
    <row r="459" spans="1:23" s="236" customFormat="1" ht="24.95" hidden="1" customHeight="1" outlineLevel="1">
      <c r="A459" s="239"/>
      <c r="B459" s="239" t="s">
        <v>393</v>
      </c>
      <c r="C459" s="240">
        <v>10</v>
      </c>
      <c r="D459" s="690"/>
      <c r="E459" s="240"/>
      <c r="F459" s="836"/>
      <c r="G459" s="239">
        <v>1</v>
      </c>
      <c r="H459" s="203">
        <v>2</v>
      </c>
      <c r="I459" s="241">
        <v>100</v>
      </c>
      <c r="J459" s="234"/>
      <c r="K459" s="234">
        <v>4230</v>
      </c>
      <c r="L459" s="234"/>
      <c r="M459" s="241">
        <v>100</v>
      </c>
      <c r="N459" s="235" t="e">
        <f>(((I459+J459+K459+L459+M459)-C459*#REF!*2)/1000)</f>
        <v>#REF!</v>
      </c>
      <c r="O459" s="235"/>
      <c r="P459" s="200">
        <f t="shared" ref="P459:P522" si="79">+IF(C459=8,G459*H459*N459,0)</f>
        <v>0</v>
      </c>
      <c r="Q459" s="200" t="e">
        <f t="shared" ref="Q459:Q522" si="80">+IF(C459=10,G459*H459*N459,0)</f>
        <v>#REF!</v>
      </c>
      <c r="R459" s="200">
        <f t="shared" ref="R459:R522" si="81">+IF(C459=12,G459*H459*N459,0)</f>
        <v>0</v>
      </c>
      <c r="S459" s="200">
        <f t="shared" ref="S459:S522" si="82">+IF(C459=16,G459*H459*N459,0)</f>
        <v>0</v>
      </c>
      <c r="T459" s="200">
        <f t="shared" ref="T459:T522" si="83">+IF(C459=20,G459*H459*N459,0)</f>
        <v>0</v>
      </c>
      <c r="U459" s="688">
        <f t="shared" ref="U459:U522" si="84">+IF(C459=25,G459*H459*N459,0)</f>
        <v>0</v>
      </c>
      <c r="V459" s="200">
        <f t="shared" ref="V459:V522" si="85">+IF(C459=32,G459*H459*N459,0)</f>
        <v>0</v>
      </c>
      <c r="W459" s="689"/>
    </row>
    <row r="460" spans="1:23" s="236" customFormat="1" ht="24.95" hidden="1" customHeight="1" outlineLevel="1">
      <c r="A460" s="239"/>
      <c r="B460" s="239" t="s">
        <v>394</v>
      </c>
      <c r="C460" s="240">
        <v>8</v>
      </c>
      <c r="D460" s="690"/>
      <c r="E460" s="240"/>
      <c r="F460" s="836"/>
      <c r="G460" s="239">
        <v>1</v>
      </c>
      <c r="H460" s="203">
        <f>(K458/200)+1</f>
        <v>22.15</v>
      </c>
      <c r="I460" s="234"/>
      <c r="J460" s="234"/>
      <c r="K460" s="234">
        <v>820</v>
      </c>
      <c r="L460" s="234"/>
      <c r="M460" s="234"/>
      <c r="N460" s="235" t="e">
        <f>(((I460+J460+K460+L460+M460)-C460*#REF!*2)/1000)</f>
        <v>#REF!</v>
      </c>
      <c r="O460" s="235"/>
      <c r="P460" s="200" t="e">
        <f t="shared" si="79"/>
        <v>#REF!</v>
      </c>
      <c r="Q460" s="200">
        <f t="shared" si="80"/>
        <v>0</v>
      </c>
      <c r="R460" s="200">
        <f t="shared" si="81"/>
        <v>0</v>
      </c>
      <c r="S460" s="200">
        <f t="shared" si="82"/>
        <v>0</v>
      </c>
      <c r="T460" s="200">
        <f t="shared" si="83"/>
        <v>0</v>
      </c>
      <c r="U460" s="688">
        <f t="shared" si="84"/>
        <v>0</v>
      </c>
      <c r="V460" s="200">
        <f t="shared" si="85"/>
        <v>0</v>
      </c>
      <c r="W460" s="689"/>
    </row>
    <row r="461" spans="1:23" s="236" customFormat="1" ht="24.95" hidden="1" customHeight="1" outlineLevel="1">
      <c r="A461" s="239">
        <v>13</v>
      </c>
      <c r="B461" s="239" t="s">
        <v>392</v>
      </c>
      <c r="C461" s="240">
        <v>10</v>
      </c>
      <c r="D461" s="690"/>
      <c r="E461" s="240"/>
      <c r="F461" s="836"/>
      <c r="G461" s="239">
        <v>1</v>
      </c>
      <c r="H461" s="203">
        <v>2</v>
      </c>
      <c r="I461" s="241">
        <v>100</v>
      </c>
      <c r="J461" s="234"/>
      <c r="K461" s="234">
        <v>9635</v>
      </c>
      <c r="L461" s="234"/>
      <c r="M461" s="241">
        <v>100</v>
      </c>
      <c r="N461" s="235" t="e">
        <f>(((I461+J461+K461+L461+M461)-C461*#REF!*2)/1000)</f>
        <v>#REF!</v>
      </c>
      <c r="O461" s="235"/>
      <c r="P461" s="200">
        <f t="shared" si="79"/>
        <v>0</v>
      </c>
      <c r="Q461" s="200" t="e">
        <f t="shared" si="80"/>
        <v>#REF!</v>
      </c>
      <c r="R461" s="200">
        <f t="shared" si="81"/>
        <v>0</v>
      </c>
      <c r="S461" s="200">
        <f t="shared" si="82"/>
        <v>0</v>
      </c>
      <c r="T461" s="200">
        <f t="shared" si="83"/>
        <v>0</v>
      </c>
      <c r="U461" s="688">
        <f t="shared" si="84"/>
        <v>0</v>
      </c>
      <c r="V461" s="200">
        <f t="shared" si="85"/>
        <v>0</v>
      </c>
      <c r="W461" s="689"/>
    </row>
    <row r="462" spans="1:23" s="236" customFormat="1" ht="24.95" hidden="1" customHeight="1" outlineLevel="1">
      <c r="A462" s="239"/>
      <c r="B462" s="239" t="s">
        <v>393</v>
      </c>
      <c r="C462" s="240">
        <v>10</v>
      </c>
      <c r="D462" s="690"/>
      <c r="E462" s="240"/>
      <c r="F462" s="836"/>
      <c r="G462" s="239">
        <v>1</v>
      </c>
      <c r="H462" s="203">
        <v>2</v>
      </c>
      <c r="I462" s="241">
        <v>100</v>
      </c>
      <c r="J462" s="234"/>
      <c r="K462" s="234">
        <v>9635</v>
      </c>
      <c r="L462" s="234"/>
      <c r="M462" s="241">
        <v>100</v>
      </c>
      <c r="N462" s="235" t="e">
        <f>(((I462+J462+K462+L462+M462)-C462*#REF!*2)/1000)</f>
        <v>#REF!</v>
      </c>
      <c r="O462" s="235"/>
      <c r="P462" s="200">
        <f t="shared" si="79"/>
        <v>0</v>
      </c>
      <c r="Q462" s="200" t="e">
        <f t="shared" si="80"/>
        <v>#REF!</v>
      </c>
      <c r="R462" s="200">
        <f t="shared" si="81"/>
        <v>0</v>
      </c>
      <c r="S462" s="200">
        <f t="shared" si="82"/>
        <v>0</v>
      </c>
      <c r="T462" s="200">
        <f t="shared" si="83"/>
        <v>0</v>
      </c>
      <c r="U462" s="688">
        <f t="shared" si="84"/>
        <v>0</v>
      </c>
      <c r="V462" s="200">
        <f t="shared" si="85"/>
        <v>0</v>
      </c>
      <c r="W462" s="689"/>
    </row>
    <row r="463" spans="1:23" s="236" customFormat="1" ht="24.95" hidden="1" customHeight="1" outlineLevel="1">
      <c r="A463" s="239"/>
      <c r="B463" s="239" t="s">
        <v>394</v>
      </c>
      <c r="C463" s="240">
        <v>8</v>
      </c>
      <c r="D463" s="690"/>
      <c r="E463" s="240"/>
      <c r="F463" s="836"/>
      <c r="G463" s="239">
        <v>1</v>
      </c>
      <c r="H463" s="203">
        <f>(K461/200)+1</f>
        <v>49.174999999999997</v>
      </c>
      <c r="I463" s="234"/>
      <c r="J463" s="234"/>
      <c r="K463" s="234">
        <v>820</v>
      </c>
      <c r="L463" s="234"/>
      <c r="M463" s="234"/>
      <c r="N463" s="235" t="e">
        <f>(((I463+J463+K463+L463+M463)-C463*#REF!*2)/1000)</f>
        <v>#REF!</v>
      </c>
      <c r="O463" s="235"/>
      <c r="P463" s="200" t="e">
        <f t="shared" si="79"/>
        <v>#REF!</v>
      </c>
      <c r="Q463" s="200">
        <f t="shared" si="80"/>
        <v>0</v>
      </c>
      <c r="R463" s="200">
        <f t="shared" si="81"/>
        <v>0</v>
      </c>
      <c r="S463" s="200">
        <f t="shared" si="82"/>
        <v>0</v>
      </c>
      <c r="T463" s="200">
        <f t="shared" si="83"/>
        <v>0</v>
      </c>
      <c r="U463" s="688">
        <f t="shared" si="84"/>
        <v>0</v>
      </c>
      <c r="V463" s="200">
        <f t="shared" si="85"/>
        <v>0</v>
      </c>
      <c r="W463" s="689"/>
    </row>
    <row r="464" spans="1:23" s="236" customFormat="1" ht="24.95" hidden="1" customHeight="1" outlineLevel="1">
      <c r="A464" s="207">
        <v>14</v>
      </c>
      <c r="B464" s="208" t="s">
        <v>399</v>
      </c>
      <c r="C464" s="240">
        <v>12</v>
      </c>
      <c r="D464" s="690"/>
      <c r="E464" s="240"/>
      <c r="F464" s="836"/>
      <c r="G464" s="239">
        <v>4</v>
      </c>
      <c r="H464" s="203">
        <v>3</v>
      </c>
      <c r="I464" s="241">
        <v>100</v>
      </c>
      <c r="J464" s="234"/>
      <c r="K464" s="234">
        <v>2950</v>
      </c>
      <c r="L464" s="234"/>
      <c r="M464" s="241">
        <v>100</v>
      </c>
      <c r="N464" s="235" t="e">
        <f>(((I464+J464+K464+L464+M464)-C464*#REF!*2)/1000)</f>
        <v>#REF!</v>
      </c>
      <c r="O464" s="235"/>
      <c r="P464" s="200">
        <f t="shared" si="79"/>
        <v>0</v>
      </c>
      <c r="Q464" s="200">
        <f t="shared" si="80"/>
        <v>0</v>
      </c>
      <c r="R464" s="200" t="e">
        <f t="shared" si="81"/>
        <v>#REF!</v>
      </c>
      <c r="S464" s="200">
        <f t="shared" si="82"/>
        <v>0</v>
      </c>
      <c r="T464" s="200">
        <f t="shared" si="83"/>
        <v>0</v>
      </c>
      <c r="U464" s="688">
        <f t="shared" si="84"/>
        <v>0</v>
      </c>
      <c r="V464" s="200">
        <f t="shared" si="85"/>
        <v>0</v>
      </c>
      <c r="W464" s="689"/>
    </row>
    <row r="465" spans="1:23" s="236" customFormat="1" ht="24.95" hidden="1" customHeight="1" outlineLevel="1">
      <c r="A465" s="239"/>
      <c r="B465" s="239" t="s">
        <v>393</v>
      </c>
      <c r="C465" s="240">
        <v>12</v>
      </c>
      <c r="D465" s="690"/>
      <c r="E465" s="240"/>
      <c r="F465" s="836"/>
      <c r="G465" s="239">
        <v>4</v>
      </c>
      <c r="H465" s="203">
        <v>3</v>
      </c>
      <c r="I465" s="241">
        <v>100</v>
      </c>
      <c r="J465" s="234"/>
      <c r="K465" s="234">
        <v>2950</v>
      </c>
      <c r="L465" s="234"/>
      <c r="M465" s="241">
        <v>100</v>
      </c>
      <c r="N465" s="235" t="e">
        <f>(((I465+J465+K465+L465+M465)-C465*#REF!*2)/1000)</f>
        <v>#REF!</v>
      </c>
      <c r="O465" s="235"/>
      <c r="P465" s="200">
        <f t="shared" si="79"/>
        <v>0</v>
      </c>
      <c r="Q465" s="200">
        <f t="shared" si="80"/>
        <v>0</v>
      </c>
      <c r="R465" s="200" t="e">
        <f t="shared" si="81"/>
        <v>#REF!</v>
      </c>
      <c r="S465" s="200">
        <f t="shared" si="82"/>
        <v>0</v>
      </c>
      <c r="T465" s="200">
        <f t="shared" si="83"/>
        <v>0</v>
      </c>
      <c r="U465" s="688">
        <f t="shared" si="84"/>
        <v>0</v>
      </c>
      <c r="V465" s="200">
        <f t="shared" si="85"/>
        <v>0</v>
      </c>
      <c r="W465" s="689"/>
    </row>
    <row r="466" spans="1:23" s="236" customFormat="1" ht="24.95" hidden="1" customHeight="1" outlineLevel="1">
      <c r="A466" s="239"/>
      <c r="B466" s="239" t="s">
        <v>400</v>
      </c>
      <c r="C466" s="240">
        <v>8</v>
      </c>
      <c r="D466" s="690"/>
      <c r="E466" s="240"/>
      <c r="F466" s="836"/>
      <c r="G466" s="239">
        <v>4</v>
      </c>
      <c r="H466" s="203">
        <f>(K464/200)+1</f>
        <v>15.75</v>
      </c>
      <c r="I466" s="234"/>
      <c r="J466" s="234"/>
      <c r="K466" s="234">
        <v>1280</v>
      </c>
      <c r="L466" s="234"/>
      <c r="M466" s="234"/>
      <c r="N466" s="235" t="e">
        <f>(((I466+J466+K466+L466+M466)-C466*#REF!*2)/1000)</f>
        <v>#REF!</v>
      </c>
      <c r="O466" s="235"/>
      <c r="P466" s="200" t="e">
        <f t="shared" si="79"/>
        <v>#REF!</v>
      </c>
      <c r="Q466" s="200">
        <f t="shared" si="80"/>
        <v>0</v>
      </c>
      <c r="R466" s="200">
        <f t="shared" si="81"/>
        <v>0</v>
      </c>
      <c r="S466" s="200">
        <f t="shared" si="82"/>
        <v>0</v>
      </c>
      <c r="T466" s="200">
        <f t="shared" si="83"/>
        <v>0</v>
      </c>
      <c r="U466" s="688">
        <f t="shared" si="84"/>
        <v>0</v>
      </c>
      <c r="V466" s="200">
        <f t="shared" si="85"/>
        <v>0</v>
      </c>
      <c r="W466" s="689"/>
    </row>
    <row r="467" spans="1:23" s="236" customFormat="1" ht="24.95" hidden="1" customHeight="1" outlineLevel="1">
      <c r="A467" s="237">
        <v>5</v>
      </c>
      <c r="B467" s="238" t="s">
        <v>423</v>
      </c>
      <c r="C467" s="240"/>
      <c r="D467" s="690"/>
      <c r="E467" s="240"/>
      <c r="F467" s="836"/>
      <c r="G467" s="239"/>
      <c r="H467" s="203"/>
      <c r="I467" s="234"/>
      <c r="J467" s="234"/>
      <c r="K467" s="234"/>
      <c r="L467" s="234"/>
      <c r="M467" s="234"/>
      <c r="N467" s="235" t="e">
        <f>(((I467+J467+K467+L467+M467)-C467*#REF!*2)/1000)</f>
        <v>#REF!</v>
      </c>
      <c r="O467" s="235"/>
      <c r="P467" s="200">
        <f t="shared" si="79"/>
        <v>0</v>
      </c>
      <c r="Q467" s="200">
        <f t="shared" si="80"/>
        <v>0</v>
      </c>
      <c r="R467" s="200">
        <f t="shared" si="81"/>
        <v>0</v>
      </c>
      <c r="S467" s="200">
        <f t="shared" si="82"/>
        <v>0</v>
      </c>
      <c r="T467" s="200">
        <f t="shared" si="83"/>
        <v>0</v>
      </c>
      <c r="U467" s="688">
        <f t="shared" si="84"/>
        <v>0</v>
      </c>
      <c r="V467" s="200">
        <f t="shared" si="85"/>
        <v>0</v>
      </c>
      <c r="W467" s="689"/>
    </row>
    <row r="468" spans="1:23" s="236" customFormat="1" ht="24.95" hidden="1" customHeight="1" outlineLevel="1">
      <c r="A468" s="209" t="s">
        <v>424</v>
      </c>
      <c r="B468" s="209" t="s">
        <v>403</v>
      </c>
      <c r="C468" s="240"/>
      <c r="D468" s="690"/>
      <c r="E468" s="240"/>
      <c r="F468" s="836"/>
      <c r="G468" s="239"/>
      <c r="H468" s="203"/>
      <c r="I468" s="234"/>
      <c r="J468" s="234"/>
      <c r="K468" s="234"/>
      <c r="L468" s="234"/>
      <c r="M468" s="234"/>
      <c r="N468" s="235" t="e">
        <f>(((I468+J468+K468+L468+M468)-C468*#REF!*2)/1000)</f>
        <v>#REF!</v>
      </c>
      <c r="O468" s="235"/>
      <c r="P468" s="200">
        <f t="shared" si="79"/>
        <v>0</v>
      </c>
      <c r="Q468" s="200">
        <f t="shared" si="80"/>
        <v>0</v>
      </c>
      <c r="R468" s="200">
        <f t="shared" si="81"/>
        <v>0</v>
      </c>
      <c r="S468" s="200">
        <f t="shared" si="82"/>
        <v>0</v>
      </c>
      <c r="T468" s="200">
        <f t="shared" si="83"/>
        <v>0</v>
      </c>
      <c r="U468" s="688">
        <f t="shared" si="84"/>
        <v>0</v>
      </c>
      <c r="V468" s="200">
        <f t="shared" si="85"/>
        <v>0</v>
      </c>
      <c r="W468" s="689"/>
    </row>
    <row r="469" spans="1:23" s="236" customFormat="1" ht="24.95" hidden="1" customHeight="1" outlineLevel="1">
      <c r="A469" s="205" t="s">
        <v>425</v>
      </c>
      <c r="B469" s="206" t="s">
        <v>391</v>
      </c>
      <c r="C469" s="240"/>
      <c r="D469" s="690"/>
      <c r="E469" s="240"/>
      <c r="F469" s="836"/>
      <c r="G469" s="239"/>
      <c r="H469" s="203"/>
      <c r="I469" s="234"/>
      <c r="J469" s="234"/>
      <c r="K469" s="234"/>
      <c r="L469" s="234"/>
      <c r="M469" s="234"/>
      <c r="N469" s="235" t="e">
        <f>(((I469+J469+K469+L469+M469)-C469*#REF!*2)/1000)</f>
        <v>#REF!</v>
      </c>
      <c r="O469" s="235"/>
      <c r="P469" s="200">
        <f t="shared" si="79"/>
        <v>0</v>
      </c>
      <c r="Q469" s="200">
        <f t="shared" si="80"/>
        <v>0</v>
      </c>
      <c r="R469" s="200">
        <f t="shared" si="81"/>
        <v>0</v>
      </c>
      <c r="S469" s="200">
        <f t="shared" si="82"/>
        <v>0</v>
      </c>
      <c r="T469" s="200">
        <f t="shared" si="83"/>
        <v>0</v>
      </c>
      <c r="U469" s="688">
        <f t="shared" si="84"/>
        <v>0</v>
      </c>
      <c r="V469" s="200">
        <f t="shared" si="85"/>
        <v>0</v>
      </c>
      <c r="W469" s="689"/>
    </row>
    <row r="470" spans="1:23" s="236" customFormat="1" ht="24.95" hidden="1" customHeight="1" outlineLevel="1">
      <c r="A470" s="239">
        <v>1</v>
      </c>
      <c r="B470" s="239" t="s">
        <v>392</v>
      </c>
      <c r="C470" s="240">
        <v>10</v>
      </c>
      <c r="D470" s="690"/>
      <c r="E470" s="240"/>
      <c r="F470" s="836"/>
      <c r="G470" s="239">
        <v>1</v>
      </c>
      <c r="H470" s="203">
        <v>2</v>
      </c>
      <c r="I470" s="241">
        <v>100</v>
      </c>
      <c r="J470" s="234"/>
      <c r="K470" s="241">
        <v>3890</v>
      </c>
      <c r="L470" s="234"/>
      <c r="M470" s="241">
        <v>100</v>
      </c>
      <c r="N470" s="235" t="e">
        <f>(((I470+J470+K470+L470+M470)-C470*#REF!*2)/1000)</f>
        <v>#REF!</v>
      </c>
      <c r="O470" s="235"/>
      <c r="P470" s="200">
        <f t="shared" si="79"/>
        <v>0</v>
      </c>
      <c r="Q470" s="200" t="e">
        <f t="shared" si="80"/>
        <v>#REF!</v>
      </c>
      <c r="R470" s="200">
        <f t="shared" si="81"/>
        <v>0</v>
      </c>
      <c r="S470" s="200">
        <f t="shared" si="82"/>
        <v>0</v>
      </c>
      <c r="T470" s="200">
        <f t="shared" si="83"/>
        <v>0</v>
      </c>
      <c r="U470" s="688">
        <f t="shared" si="84"/>
        <v>0</v>
      </c>
      <c r="V470" s="200">
        <f t="shared" si="85"/>
        <v>0</v>
      </c>
      <c r="W470" s="689"/>
    </row>
    <row r="471" spans="1:23" s="236" customFormat="1" ht="24.95" hidden="1" customHeight="1" outlineLevel="1">
      <c r="A471" s="239"/>
      <c r="B471" s="239" t="s">
        <v>393</v>
      </c>
      <c r="C471" s="240">
        <v>10</v>
      </c>
      <c r="D471" s="690"/>
      <c r="E471" s="240"/>
      <c r="F471" s="836"/>
      <c r="G471" s="239">
        <v>1</v>
      </c>
      <c r="H471" s="203">
        <v>2</v>
      </c>
      <c r="I471" s="241">
        <v>100</v>
      </c>
      <c r="J471" s="234"/>
      <c r="K471" s="241">
        <v>3890</v>
      </c>
      <c r="L471" s="234"/>
      <c r="M471" s="241">
        <v>100</v>
      </c>
      <c r="N471" s="235" t="e">
        <f>(((I471+J471+K471+L471+M471)-C471*#REF!*2)/1000)</f>
        <v>#REF!</v>
      </c>
      <c r="O471" s="235"/>
      <c r="P471" s="200">
        <f t="shared" si="79"/>
        <v>0</v>
      </c>
      <c r="Q471" s="200" t="e">
        <f t="shared" si="80"/>
        <v>#REF!</v>
      </c>
      <c r="R471" s="200">
        <f t="shared" si="81"/>
        <v>0</v>
      </c>
      <c r="S471" s="200">
        <f t="shared" si="82"/>
        <v>0</v>
      </c>
      <c r="T471" s="200">
        <f t="shared" si="83"/>
        <v>0</v>
      </c>
      <c r="U471" s="688">
        <f t="shared" si="84"/>
        <v>0</v>
      </c>
      <c r="V471" s="200">
        <f t="shared" si="85"/>
        <v>0</v>
      </c>
      <c r="W471" s="689"/>
    </row>
    <row r="472" spans="1:23" s="236" customFormat="1" ht="24.95" hidden="1" customHeight="1" outlineLevel="1">
      <c r="A472" s="239"/>
      <c r="B472" s="239" t="s">
        <v>394</v>
      </c>
      <c r="C472" s="240">
        <v>8</v>
      </c>
      <c r="D472" s="690"/>
      <c r="E472" s="240"/>
      <c r="F472" s="836"/>
      <c r="G472" s="239">
        <v>1</v>
      </c>
      <c r="H472" s="203">
        <f>(K470/200)+1</f>
        <v>20.45</v>
      </c>
      <c r="I472" s="234"/>
      <c r="J472" s="234"/>
      <c r="K472" s="234">
        <v>820</v>
      </c>
      <c r="L472" s="234"/>
      <c r="M472" s="234"/>
      <c r="N472" s="235" t="e">
        <f>(((I472+J472+K472+L472+M472)-C472*#REF!*2)/1000)</f>
        <v>#REF!</v>
      </c>
      <c r="O472" s="235"/>
      <c r="P472" s="200" t="e">
        <f t="shared" si="79"/>
        <v>#REF!</v>
      </c>
      <c r="Q472" s="200">
        <f t="shared" si="80"/>
        <v>0</v>
      </c>
      <c r="R472" s="200">
        <f t="shared" si="81"/>
        <v>0</v>
      </c>
      <c r="S472" s="200">
        <f t="shared" si="82"/>
        <v>0</v>
      </c>
      <c r="T472" s="200">
        <f t="shared" si="83"/>
        <v>0</v>
      </c>
      <c r="U472" s="688">
        <f t="shared" si="84"/>
        <v>0</v>
      </c>
      <c r="V472" s="200">
        <f t="shared" si="85"/>
        <v>0</v>
      </c>
      <c r="W472" s="689"/>
    </row>
    <row r="473" spans="1:23" s="236" customFormat="1" ht="24.95" hidden="1" customHeight="1" outlineLevel="1">
      <c r="A473" s="239">
        <v>2</v>
      </c>
      <c r="B473" s="239" t="s">
        <v>392</v>
      </c>
      <c r="C473" s="240">
        <v>10</v>
      </c>
      <c r="D473" s="690"/>
      <c r="E473" s="240"/>
      <c r="F473" s="836"/>
      <c r="G473" s="239">
        <v>1</v>
      </c>
      <c r="H473" s="203">
        <v>2</v>
      </c>
      <c r="I473" s="241">
        <v>100</v>
      </c>
      <c r="J473" s="234"/>
      <c r="K473" s="234">
        <v>1660</v>
      </c>
      <c r="L473" s="234"/>
      <c r="M473" s="241">
        <v>100</v>
      </c>
      <c r="N473" s="235" t="e">
        <f>(((I473+J473+K473+L473+M473)-C473*#REF!*2)/1000)</f>
        <v>#REF!</v>
      </c>
      <c r="O473" s="235"/>
      <c r="P473" s="200">
        <f t="shared" si="79"/>
        <v>0</v>
      </c>
      <c r="Q473" s="200" t="e">
        <f t="shared" si="80"/>
        <v>#REF!</v>
      </c>
      <c r="R473" s="200">
        <f t="shared" si="81"/>
        <v>0</v>
      </c>
      <c r="S473" s="200">
        <f t="shared" si="82"/>
        <v>0</v>
      </c>
      <c r="T473" s="200">
        <f t="shared" si="83"/>
        <v>0</v>
      </c>
      <c r="U473" s="688">
        <f t="shared" si="84"/>
        <v>0</v>
      </c>
      <c r="V473" s="200">
        <f t="shared" si="85"/>
        <v>0</v>
      </c>
      <c r="W473" s="689"/>
    </row>
    <row r="474" spans="1:23" s="236" customFormat="1" ht="24.95" hidden="1" customHeight="1" outlineLevel="1">
      <c r="A474" s="239"/>
      <c r="B474" s="239" t="s">
        <v>393</v>
      </c>
      <c r="C474" s="240">
        <v>10</v>
      </c>
      <c r="D474" s="690"/>
      <c r="E474" s="240"/>
      <c r="F474" s="836"/>
      <c r="G474" s="239">
        <v>1</v>
      </c>
      <c r="H474" s="203">
        <v>2</v>
      </c>
      <c r="I474" s="241">
        <v>100</v>
      </c>
      <c r="J474" s="234"/>
      <c r="K474" s="234">
        <v>1660</v>
      </c>
      <c r="L474" s="234"/>
      <c r="M474" s="241">
        <v>100</v>
      </c>
      <c r="N474" s="235" t="e">
        <f>(((I474+J474+K474+L474+M474)-C474*#REF!*2)/1000)</f>
        <v>#REF!</v>
      </c>
      <c r="O474" s="235"/>
      <c r="P474" s="200">
        <f t="shared" si="79"/>
        <v>0</v>
      </c>
      <c r="Q474" s="200" t="e">
        <f t="shared" si="80"/>
        <v>#REF!</v>
      </c>
      <c r="R474" s="200">
        <f t="shared" si="81"/>
        <v>0</v>
      </c>
      <c r="S474" s="200">
        <f t="shared" si="82"/>
        <v>0</v>
      </c>
      <c r="T474" s="200">
        <f t="shared" si="83"/>
        <v>0</v>
      </c>
      <c r="U474" s="688">
        <f t="shared" si="84"/>
        <v>0</v>
      </c>
      <c r="V474" s="200">
        <f t="shared" si="85"/>
        <v>0</v>
      </c>
      <c r="W474" s="689"/>
    </row>
    <row r="475" spans="1:23" s="236" customFormat="1" ht="24.95" hidden="1" customHeight="1" outlineLevel="1">
      <c r="A475" s="239"/>
      <c r="B475" s="239" t="s">
        <v>394</v>
      </c>
      <c r="C475" s="240">
        <v>8</v>
      </c>
      <c r="D475" s="690"/>
      <c r="E475" s="240"/>
      <c r="F475" s="836"/>
      <c r="G475" s="239">
        <v>1</v>
      </c>
      <c r="H475" s="203">
        <f>(K473/200)+1</f>
        <v>9.3000000000000007</v>
      </c>
      <c r="I475" s="234"/>
      <c r="J475" s="234"/>
      <c r="K475" s="234">
        <v>820</v>
      </c>
      <c r="L475" s="234"/>
      <c r="M475" s="234"/>
      <c r="N475" s="235" t="e">
        <f>(((I475+J475+K475+L475+M475)-C475*#REF!*2)/1000)</f>
        <v>#REF!</v>
      </c>
      <c r="O475" s="235"/>
      <c r="P475" s="200" t="e">
        <f t="shared" si="79"/>
        <v>#REF!</v>
      </c>
      <c r="Q475" s="200">
        <f t="shared" si="80"/>
        <v>0</v>
      </c>
      <c r="R475" s="200">
        <f t="shared" si="81"/>
        <v>0</v>
      </c>
      <c r="S475" s="200">
        <f t="shared" si="82"/>
        <v>0</v>
      </c>
      <c r="T475" s="200">
        <f t="shared" si="83"/>
        <v>0</v>
      </c>
      <c r="U475" s="688">
        <f t="shared" si="84"/>
        <v>0</v>
      </c>
      <c r="V475" s="200">
        <f t="shared" si="85"/>
        <v>0</v>
      </c>
      <c r="W475" s="689"/>
    </row>
    <row r="476" spans="1:23" s="236" customFormat="1" ht="24.95" hidden="1" customHeight="1" outlineLevel="1">
      <c r="A476" s="239">
        <v>3</v>
      </c>
      <c r="B476" s="239" t="s">
        <v>392</v>
      </c>
      <c r="C476" s="240">
        <v>10</v>
      </c>
      <c r="D476" s="690"/>
      <c r="E476" s="240"/>
      <c r="F476" s="836"/>
      <c r="G476" s="239">
        <v>4</v>
      </c>
      <c r="H476" s="203">
        <v>2</v>
      </c>
      <c r="I476" s="241">
        <v>100</v>
      </c>
      <c r="J476" s="234"/>
      <c r="K476" s="234">
        <v>2560</v>
      </c>
      <c r="L476" s="234"/>
      <c r="M476" s="241">
        <v>100</v>
      </c>
      <c r="N476" s="235" t="e">
        <f>(((I476+J476+K476+L476+M476)-C476*#REF!*2)/1000)</f>
        <v>#REF!</v>
      </c>
      <c r="O476" s="235"/>
      <c r="P476" s="200">
        <f t="shared" si="79"/>
        <v>0</v>
      </c>
      <c r="Q476" s="200" t="e">
        <f t="shared" si="80"/>
        <v>#REF!</v>
      </c>
      <c r="R476" s="200">
        <f t="shared" si="81"/>
        <v>0</v>
      </c>
      <c r="S476" s="200">
        <f t="shared" si="82"/>
        <v>0</v>
      </c>
      <c r="T476" s="200">
        <f t="shared" si="83"/>
        <v>0</v>
      </c>
      <c r="U476" s="688">
        <f t="shared" si="84"/>
        <v>0</v>
      </c>
      <c r="V476" s="200">
        <f t="shared" si="85"/>
        <v>0</v>
      </c>
      <c r="W476" s="689"/>
    </row>
    <row r="477" spans="1:23" s="236" customFormat="1" ht="24.95" hidden="1" customHeight="1" outlineLevel="1">
      <c r="A477" s="239"/>
      <c r="B477" s="239" t="s">
        <v>393</v>
      </c>
      <c r="C477" s="240">
        <v>10</v>
      </c>
      <c r="D477" s="690"/>
      <c r="E477" s="240"/>
      <c r="F477" s="836"/>
      <c r="G477" s="239">
        <v>4</v>
      </c>
      <c r="H477" s="203">
        <v>2</v>
      </c>
      <c r="I477" s="241">
        <v>100</v>
      </c>
      <c r="J477" s="234"/>
      <c r="K477" s="234">
        <v>2560</v>
      </c>
      <c r="L477" s="234"/>
      <c r="M477" s="241">
        <v>100</v>
      </c>
      <c r="N477" s="235" t="e">
        <f>(((I477+J477+K477+L477+M477)-C477*#REF!*2)/1000)</f>
        <v>#REF!</v>
      </c>
      <c r="O477" s="235"/>
      <c r="P477" s="200">
        <f t="shared" si="79"/>
        <v>0</v>
      </c>
      <c r="Q477" s="200" t="e">
        <f t="shared" si="80"/>
        <v>#REF!</v>
      </c>
      <c r="R477" s="200">
        <f t="shared" si="81"/>
        <v>0</v>
      </c>
      <c r="S477" s="200">
        <f t="shared" si="82"/>
        <v>0</v>
      </c>
      <c r="T477" s="200">
        <f t="shared" si="83"/>
        <v>0</v>
      </c>
      <c r="U477" s="688">
        <f t="shared" si="84"/>
        <v>0</v>
      </c>
      <c r="V477" s="200">
        <f t="shared" si="85"/>
        <v>0</v>
      </c>
      <c r="W477" s="689"/>
    </row>
    <row r="478" spans="1:23" s="236" customFormat="1" ht="24.95" hidden="1" customHeight="1" outlineLevel="1">
      <c r="A478" s="239"/>
      <c r="B478" s="239" t="s">
        <v>394</v>
      </c>
      <c r="C478" s="240">
        <v>8</v>
      </c>
      <c r="D478" s="690"/>
      <c r="E478" s="240"/>
      <c r="F478" s="836"/>
      <c r="G478" s="239">
        <v>4</v>
      </c>
      <c r="H478" s="203">
        <f>(K476/200)+1</f>
        <v>13.8</v>
      </c>
      <c r="I478" s="234"/>
      <c r="J478" s="234"/>
      <c r="K478" s="234">
        <v>820</v>
      </c>
      <c r="L478" s="234"/>
      <c r="M478" s="234"/>
      <c r="N478" s="235" t="e">
        <f>(((I478+J478+K478+L478+M478)-C478*#REF!*2)/1000)</f>
        <v>#REF!</v>
      </c>
      <c r="O478" s="235"/>
      <c r="P478" s="200" t="e">
        <f t="shared" si="79"/>
        <v>#REF!</v>
      </c>
      <c r="Q478" s="200">
        <f t="shared" si="80"/>
        <v>0</v>
      </c>
      <c r="R478" s="200">
        <f t="shared" si="81"/>
        <v>0</v>
      </c>
      <c r="S478" s="200">
        <f t="shared" si="82"/>
        <v>0</v>
      </c>
      <c r="T478" s="200">
        <f t="shared" si="83"/>
        <v>0</v>
      </c>
      <c r="U478" s="688">
        <f t="shared" si="84"/>
        <v>0</v>
      </c>
      <c r="V478" s="200">
        <f t="shared" si="85"/>
        <v>0</v>
      </c>
      <c r="W478" s="689"/>
    </row>
    <row r="479" spans="1:23" s="236" customFormat="1" ht="24.95" hidden="1" customHeight="1" outlineLevel="1">
      <c r="A479" s="239">
        <v>4</v>
      </c>
      <c r="B479" s="239" t="s">
        <v>392</v>
      </c>
      <c r="C479" s="240">
        <v>10</v>
      </c>
      <c r="D479" s="690"/>
      <c r="E479" s="240"/>
      <c r="F479" s="836"/>
      <c r="G479" s="239">
        <v>1</v>
      </c>
      <c r="H479" s="203">
        <v>2</v>
      </c>
      <c r="I479" s="241">
        <v>100</v>
      </c>
      <c r="J479" s="234"/>
      <c r="K479" s="234">
        <v>4660</v>
      </c>
      <c r="L479" s="234"/>
      <c r="M479" s="241">
        <v>100</v>
      </c>
      <c r="N479" s="235" t="e">
        <f>(((I479+J479+K479+L479+M479)-C479*#REF!*2)/1000)</f>
        <v>#REF!</v>
      </c>
      <c r="O479" s="235"/>
      <c r="P479" s="200">
        <f t="shared" si="79"/>
        <v>0</v>
      </c>
      <c r="Q479" s="200" t="e">
        <f t="shared" si="80"/>
        <v>#REF!</v>
      </c>
      <c r="R479" s="200">
        <f t="shared" si="81"/>
        <v>0</v>
      </c>
      <c r="S479" s="200">
        <f t="shared" si="82"/>
        <v>0</v>
      </c>
      <c r="T479" s="200">
        <f t="shared" si="83"/>
        <v>0</v>
      </c>
      <c r="U479" s="688">
        <f t="shared" si="84"/>
        <v>0</v>
      </c>
      <c r="V479" s="200">
        <f t="shared" si="85"/>
        <v>0</v>
      </c>
      <c r="W479" s="689"/>
    </row>
    <row r="480" spans="1:23" s="236" customFormat="1" ht="24.95" hidden="1" customHeight="1" outlineLevel="1">
      <c r="A480" s="239"/>
      <c r="B480" s="239" t="s">
        <v>393</v>
      </c>
      <c r="C480" s="240">
        <v>10</v>
      </c>
      <c r="D480" s="690"/>
      <c r="E480" s="240"/>
      <c r="F480" s="836"/>
      <c r="G480" s="239">
        <v>1</v>
      </c>
      <c r="H480" s="203">
        <v>2</v>
      </c>
      <c r="I480" s="241">
        <v>100</v>
      </c>
      <c r="J480" s="234"/>
      <c r="K480" s="234">
        <v>4660</v>
      </c>
      <c r="L480" s="234"/>
      <c r="M480" s="241">
        <v>100</v>
      </c>
      <c r="N480" s="235" t="e">
        <f>(((I480+J480+K480+L480+M480)-C480*#REF!*2)/1000)</f>
        <v>#REF!</v>
      </c>
      <c r="O480" s="235"/>
      <c r="P480" s="200">
        <f t="shared" si="79"/>
        <v>0</v>
      </c>
      <c r="Q480" s="200" t="e">
        <f t="shared" si="80"/>
        <v>#REF!</v>
      </c>
      <c r="R480" s="200">
        <f t="shared" si="81"/>
        <v>0</v>
      </c>
      <c r="S480" s="200">
        <f t="shared" si="82"/>
        <v>0</v>
      </c>
      <c r="T480" s="200">
        <f t="shared" si="83"/>
        <v>0</v>
      </c>
      <c r="U480" s="688">
        <f t="shared" si="84"/>
        <v>0</v>
      </c>
      <c r="V480" s="200">
        <f t="shared" si="85"/>
        <v>0</v>
      </c>
      <c r="W480" s="689"/>
    </row>
    <row r="481" spans="1:23" s="236" customFormat="1" ht="24.95" hidden="1" customHeight="1" outlineLevel="1">
      <c r="A481" s="239"/>
      <c r="B481" s="239" t="s">
        <v>394</v>
      </c>
      <c r="C481" s="240">
        <v>8</v>
      </c>
      <c r="D481" s="690"/>
      <c r="E481" s="240"/>
      <c r="F481" s="836"/>
      <c r="G481" s="239">
        <v>1</v>
      </c>
      <c r="H481" s="203">
        <f>(K479/200)+1</f>
        <v>24.3</v>
      </c>
      <c r="I481" s="234"/>
      <c r="J481" s="234"/>
      <c r="K481" s="234">
        <v>820</v>
      </c>
      <c r="L481" s="234"/>
      <c r="M481" s="234"/>
      <c r="N481" s="235" t="e">
        <f>(((I481+J481+K481+L481+M481)-C481*#REF!*2)/1000)</f>
        <v>#REF!</v>
      </c>
      <c r="O481" s="235"/>
      <c r="P481" s="200" t="e">
        <f t="shared" si="79"/>
        <v>#REF!</v>
      </c>
      <c r="Q481" s="200">
        <f t="shared" si="80"/>
        <v>0</v>
      </c>
      <c r="R481" s="200">
        <f t="shared" si="81"/>
        <v>0</v>
      </c>
      <c r="S481" s="200">
        <f t="shared" si="82"/>
        <v>0</v>
      </c>
      <c r="T481" s="200">
        <f t="shared" si="83"/>
        <v>0</v>
      </c>
      <c r="U481" s="688">
        <f t="shared" si="84"/>
        <v>0</v>
      </c>
      <c r="V481" s="200">
        <f t="shared" si="85"/>
        <v>0</v>
      </c>
      <c r="W481" s="689"/>
    </row>
    <row r="482" spans="1:23" s="247" customFormat="1" ht="24.95" hidden="1" customHeight="1" outlineLevel="1">
      <c r="A482" s="242">
        <v>5</v>
      </c>
      <c r="B482" s="242" t="s">
        <v>392</v>
      </c>
      <c r="C482" s="243">
        <v>10</v>
      </c>
      <c r="D482" s="696"/>
      <c r="E482" s="243"/>
      <c r="F482" s="696"/>
      <c r="G482" s="242">
        <f t="shared" ref="G482:G484" si="86">1*0</f>
        <v>0</v>
      </c>
      <c r="H482" s="244">
        <v>2</v>
      </c>
      <c r="I482" s="245">
        <v>100</v>
      </c>
      <c r="J482" s="246"/>
      <c r="K482" s="246">
        <v>1925</v>
      </c>
      <c r="L482" s="246"/>
      <c r="M482" s="245">
        <v>100</v>
      </c>
      <c r="N482" s="235" t="e">
        <f>(((I482+J482+K482+L482+M482)-C482*#REF!*2)/1000)</f>
        <v>#REF!</v>
      </c>
      <c r="O482" s="235"/>
      <c r="P482" s="200">
        <f t="shared" si="79"/>
        <v>0</v>
      </c>
      <c r="Q482" s="200" t="e">
        <f t="shared" si="80"/>
        <v>#REF!</v>
      </c>
      <c r="R482" s="200">
        <f t="shared" si="81"/>
        <v>0</v>
      </c>
      <c r="S482" s="200">
        <f t="shared" si="82"/>
        <v>0</v>
      </c>
      <c r="T482" s="200">
        <f t="shared" si="83"/>
        <v>0</v>
      </c>
      <c r="U482" s="688">
        <f t="shared" si="84"/>
        <v>0</v>
      </c>
      <c r="V482" s="200">
        <f t="shared" si="85"/>
        <v>0</v>
      </c>
      <c r="W482" s="697"/>
    </row>
    <row r="483" spans="1:23" s="247" customFormat="1" ht="24.95" hidden="1" customHeight="1" outlineLevel="1">
      <c r="A483" s="242"/>
      <c r="B483" s="242" t="s">
        <v>393</v>
      </c>
      <c r="C483" s="243">
        <v>10</v>
      </c>
      <c r="D483" s="696"/>
      <c r="E483" s="243"/>
      <c r="F483" s="696"/>
      <c r="G483" s="242">
        <f t="shared" si="86"/>
        <v>0</v>
      </c>
      <c r="H483" s="244">
        <v>2</v>
      </c>
      <c r="I483" s="245">
        <v>100</v>
      </c>
      <c r="J483" s="246"/>
      <c r="K483" s="246">
        <v>1925</v>
      </c>
      <c r="L483" s="246"/>
      <c r="M483" s="245">
        <v>100</v>
      </c>
      <c r="N483" s="235" t="e">
        <f>(((I483+J483+K483+L483+M483)-C483*#REF!*2)/1000)</f>
        <v>#REF!</v>
      </c>
      <c r="O483" s="235"/>
      <c r="P483" s="200">
        <f t="shared" si="79"/>
        <v>0</v>
      </c>
      <c r="Q483" s="200" t="e">
        <f t="shared" si="80"/>
        <v>#REF!</v>
      </c>
      <c r="R483" s="200">
        <f t="shared" si="81"/>
        <v>0</v>
      </c>
      <c r="S483" s="200">
        <f t="shared" si="82"/>
        <v>0</v>
      </c>
      <c r="T483" s="200">
        <f t="shared" si="83"/>
        <v>0</v>
      </c>
      <c r="U483" s="688">
        <f t="shared" si="84"/>
        <v>0</v>
      </c>
      <c r="V483" s="200">
        <f t="shared" si="85"/>
        <v>0</v>
      </c>
      <c r="W483" s="697"/>
    </row>
    <row r="484" spans="1:23" s="247" customFormat="1" ht="24.95" hidden="1" customHeight="1" outlineLevel="1">
      <c r="A484" s="242"/>
      <c r="B484" s="242" t="s">
        <v>394</v>
      </c>
      <c r="C484" s="243">
        <v>8</v>
      </c>
      <c r="D484" s="696"/>
      <c r="E484" s="243"/>
      <c r="F484" s="696"/>
      <c r="G484" s="242">
        <f t="shared" si="86"/>
        <v>0</v>
      </c>
      <c r="H484" s="244">
        <f>(K482/200)+1</f>
        <v>10.625</v>
      </c>
      <c r="I484" s="246"/>
      <c r="J484" s="246"/>
      <c r="K484" s="246">
        <v>820</v>
      </c>
      <c r="L484" s="246"/>
      <c r="M484" s="246"/>
      <c r="N484" s="235" t="e">
        <f>(((I484+J484+K484+L484+M484)-C484*#REF!*2)/1000)</f>
        <v>#REF!</v>
      </c>
      <c r="O484" s="235"/>
      <c r="P484" s="200" t="e">
        <f t="shared" si="79"/>
        <v>#REF!</v>
      </c>
      <c r="Q484" s="200">
        <f t="shared" si="80"/>
        <v>0</v>
      </c>
      <c r="R484" s="200">
        <f t="shared" si="81"/>
        <v>0</v>
      </c>
      <c r="S484" s="200">
        <f t="shared" si="82"/>
        <v>0</v>
      </c>
      <c r="T484" s="200">
        <f t="shared" si="83"/>
        <v>0</v>
      </c>
      <c r="U484" s="688">
        <f t="shared" si="84"/>
        <v>0</v>
      </c>
      <c r="V484" s="200">
        <f t="shared" si="85"/>
        <v>0</v>
      </c>
      <c r="W484" s="697"/>
    </row>
    <row r="485" spans="1:23" s="236" customFormat="1" ht="24.95" hidden="1" customHeight="1" outlineLevel="1">
      <c r="A485" s="239">
        <v>6</v>
      </c>
      <c r="B485" s="239" t="s">
        <v>392</v>
      </c>
      <c r="C485" s="240">
        <v>10</v>
      </c>
      <c r="D485" s="690"/>
      <c r="E485" s="240"/>
      <c r="F485" s="836"/>
      <c r="G485" s="239">
        <v>2</v>
      </c>
      <c r="H485" s="203">
        <v>2</v>
      </c>
      <c r="I485" s="241">
        <v>100</v>
      </c>
      <c r="J485" s="234"/>
      <c r="K485" s="234">
        <v>4360</v>
      </c>
      <c r="L485" s="234"/>
      <c r="M485" s="241">
        <v>100</v>
      </c>
      <c r="N485" s="235" t="e">
        <f>(((I485+J485+K485+L485+M485)-C485*#REF!*2)/1000)</f>
        <v>#REF!</v>
      </c>
      <c r="O485" s="235"/>
      <c r="P485" s="200">
        <f t="shared" si="79"/>
        <v>0</v>
      </c>
      <c r="Q485" s="200" t="e">
        <f t="shared" si="80"/>
        <v>#REF!</v>
      </c>
      <c r="R485" s="200">
        <f t="shared" si="81"/>
        <v>0</v>
      </c>
      <c r="S485" s="200">
        <f t="shared" si="82"/>
        <v>0</v>
      </c>
      <c r="T485" s="200">
        <f t="shared" si="83"/>
        <v>0</v>
      </c>
      <c r="U485" s="688">
        <f t="shared" si="84"/>
        <v>0</v>
      </c>
      <c r="V485" s="200">
        <f t="shared" si="85"/>
        <v>0</v>
      </c>
      <c r="W485" s="689"/>
    </row>
    <row r="486" spans="1:23" s="236" customFormat="1" ht="24.95" hidden="1" customHeight="1" outlineLevel="1">
      <c r="A486" s="239"/>
      <c r="B486" s="239" t="s">
        <v>393</v>
      </c>
      <c r="C486" s="240">
        <v>10</v>
      </c>
      <c r="D486" s="690"/>
      <c r="E486" s="240"/>
      <c r="F486" s="836"/>
      <c r="G486" s="239">
        <v>2</v>
      </c>
      <c r="H486" s="203">
        <v>2</v>
      </c>
      <c r="I486" s="241">
        <v>100</v>
      </c>
      <c r="J486" s="234"/>
      <c r="K486" s="234">
        <v>4360</v>
      </c>
      <c r="L486" s="234"/>
      <c r="M486" s="241">
        <v>100</v>
      </c>
      <c r="N486" s="235" t="e">
        <f>(((I486+J486+K486+L486+M486)-C486*#REF!*2)/1000)</f>
        <v>#REF!</v>
      </c>
      <c r="O486" s="235"/>
      <c r="P486" s="200">
        <f t="shared" si="79"/>
        <v>0</v>
      </c>
      <c r="Q486" s="200" t="e">
        <f t="shared" si="80"/>
        <v>#REF!</v>
      </c>
      <c r="R486" s="200">
        <f t="shared" si="81"/>
        <v>0</v>
      </c>
      <c r="S486" s="200">
        <f t="shared" si="82"/>
        <v>0</v>
      </c>
      <c r="T486" s="200">
        <f t="shared" si="83"/>
        <v>0</v>
      </c>
      <c r="U486" s="688">
        <f t="shared" si="84"/>
        <v>0</v>
      </c>
      <c r="V486" s="200">
        <f t="shared" si="85"/>
        <v>0</v>
      </c>
      <c r="W486" s="689"/>
    </row>
    <row r="487" spans="1:23" s="236" customFormat="1" ht="24.95" hidden="1" customHeight="1" outlineLevel="1">
      <c r="A487" s="239"/>
      <c r="B487" s="239" t="s">
        <v>394</v>
      </c>
      <c r="C487" s="240">
        <v>8</v>
      </c>
      <c r="D487" s="690"/>
      <c r="E487" s="240"/>
      <c r="F487" s="836"/>
      <c r="G487" s="239">
        <v>2</v>
      </c>
      <c r="H487" s="203">
        <f>(K485/200)+1</f>
        <v>22.8</v>
      </c>
      <c r="I487" s="234"/>
      <c r="J487" s="234"/>
      <c r="K487" s="234">
        <v>820</v>
      </c>
      <c r="L487" s="234"/>
      <c r="M487" s="234"/>
      <c r="N487" s="235" t="e">
        <f>(((I487+J487+K487+L487+M487)-C487*#REF!*2)/1000)</f>
        <v>#REF!</v>
      </c>
      <c r="O487" s="235"/>
      <c r="P487" s="200" t="e">
        <f t="shared" si="79"/>
        <v>#REF!</v>
      </c>
      <c r="Q487" s="200">
        <f t="shared" si="80"/>
        <v>0</v>
      </c>
      <c r="R487" s="200">
        <f t="shared" si="81"/>
        <v>0</v>
      </c>
      <c r="S487" s="200">
        <f t="shared" si="82"/>
        <v>0</v>
      </c>
      <c r="T487" s="200">
        <f t="shared" si="83"/>
        <v>0</v>
      </c>
      <c r="U487" s="688">
        <f t="shared" si="84"/>
        <v>0</v>
      </c>
      <c r="V487" s="200">
        <f t="shared" si="85"/>
        <v>0</v>
      </c>
      <c r="W487" s="689"/>
    </row>
    <row r="488" spans="1:23" s="247" customFormat="1" ht="24.95" hidden="1" customHeight="1" outlineLevel="1">
      <c r="A488" s="242">
        <v>7</v>
      </c>
      <c r="B488" s="242" t="s">
        <v>392</v>
      </c>
      <c r="C488" s="243">
        <v>10</v>
      </c>
      <c r="D488" s="696"/>
      <c r="E488" s="243"/>
      <c r="F488" s="696"/>
      <c r="G488" s="242">
        <f t="shared" ref="G488:G490" si="87">2*0</f>
        <v>0</v>
      </c>
      <c r="H488" s="244">
        <v>2</v>
      </c>
      <c r="I488" s="245">
        <v>100</v>
      </c>
      <c r="J488" s="246"/>
      <c r="K488" s="246">
        <v>2525</v>
      </c>
      <c r="L488" s="246"/>
      <c r="M488" s="245">
        <v>100</v>
      </c>
      <c r="N488" s="235" t="e">
        <f>(((I488+J488+K488+L488+M488)-C488*#REF!*2)/1000)</f>
        <v>#REF!</v>
      </c>
      <c r="O488" s="235"/>
      <c r="P488" s="200">
        <f t="shared" si="79"/>
        <v>0</v>
      </c>
      <c r="Q488" s="200" t="e">
        <f t="shared" si="80"/>
        <v>#REF!</v>
      </c>
      <c r="R488" s="200">
        <f t="shared" si="81"/>
        <v>0</v>
      </c>
      <c r="S488" s="200">
        <f t="shared" si="82"/>
        <v>0</v>
      </c>
      <c r="T488" s="200">
        <f t="shared" si="83"/>
        <v>0</v>
      </c>
      <c r="U488" s="688">
        <f t="shared" si="84"/>
        <v>0</v>
      </c>
      <c r="V488" s="200">
        <f t="shared" si="85"/>
        <v>0</v>
      </c>
      <c r="W488" s="697"/>
    </row>
    <row r="489" spans="1:23" s="247" customFormat="1" ht="24.95" hidden="1" customHeight="1" outlineLevel="1">
      <c r="A489" s="242"/>
      <c r="B489" s="242" t="s">
        <v>393</v>
      </c>
      <c r="C489" s="243">
        <v>10</v>
      </c>
      <c r="D489" s="696"/>
      <c r="E489" s="243"/>
      <c r="F489" s="696"/>
      <c r="G489" s="242">
        <f t="shared" si="87"/>
        <v>0</v>
      </c>
      <c r="H489" s="244">
        <v>2</v>
      </c>
      <c r="I489" s="245">
        <v>100</v>
      </c>
      <c r="J489" s="246"/>
      <c r="K489" s="246">
        <v>2525</v>
      </c>
      <c r="L489" s="246"/>
      <c r="M489" s="245">
        <v>100</v>
      </c>
      <c r="N489" s="235" t="e">
        <f>(((I489+J489+K489+L489+M489)-C489*#REF!*2)/1000)</f>
        <v>#REF!</v>
      </c>
      <c r="O489" s="235"/>
      <c r="P489" s="200">
        <f t="shared" si="79"/>
        <v>0</v>
      </c>
      <c r="Q489" s="200" t="e">
        <f t="shared" si="80"/>
        <v>#REF!</v>
      </c>
      <c r="R489" s="200">
        <f t="shared" si="81"/>
        <v>0</v>
      </c>
      <c r="S489" s="200">
        <f t="shared" si="82"/>
        <v>0</v>
      </c>
      <c r="T489" s="200">
        <f t="shared" si="83"/>
        <v>0</v>
      </c>
      <c r="U489" s="688">
        <f t="shared" si="84"/>
        <v>0</v>
      </c>
      <c r="V489" s="200">
        <f t="shared" si="85"/>
        <v>0</v>
      </c>
      <c r="W489" s="697"/>
    </row>
    <row r="490" spans="1:23" s="247" customFormat="1" ht="24.95" hidden="1" customHeight="1" outlineLevel="1">
      <c r="A490" s="242"/>
      <c r="B490" s="242" t="s">
        <v>394</v>
      </c>
      <c r="C490" s="243">
        <v>8</v>
      </c>
      <c r="D490" s="696"/>
      <c r="E490" s="243"/>
      <c r="F490" s="696"/>
      <c r="G490" s="242">
        <f t="shared" si="87"/>
        <v>0</v>
      </c>
      <c r="H490" s="244">
        <f>(K488/200)+1</f>
        <v>13.625</v>
      </c>
      <c r="I490" s="246"/>
      <c r="J490" s="246"/>
      <c r="K490" s="246">
        <v>820</v>
      </c>
      <c r="L490" s="246"/>
      <c r="M490" s="246"/>
      <c r="N490" s="235" t="e">
        <f>(((I490+J490+K490+L490+M490)-C490*#REF!*2)/1000)</f>
        <v>#REF!</v>
      </c>
      <c r="O490" s="235"/>
      <c r="P490" s="200" t="e">
        <f t="shared" si="79"/>
        <v>#REF!</v>
      </c>
      <c r="Q490" s="200">
        <f t="shared" si="80"/>
        <v>0</v>
      </c>
      <c r="R490" s="200">
        <f t="shared" si="81"/>
        <v>0</v>
      </c>
      <c r="S490" s="200">
        <f t="shared" si="82"/>
        <v>0</v>
      </c>
      <c r="T490" s="200">
        <f t="shared" si="83"/>
        <v>0</v>
      </c>
      <c r="U490" s="688">
        <f t="shared" si="84"/>
        <v>0</v>
      </c>
      <c r="V490" s="200">
        <f t="shared" si="85"/>
        <v>0</v>
      </c>
      <c r="W490" s="697"/>
    </row>
    <row r="491" spans="1:23" s="236" customFormat="1" ht="24.95" hidden="1" customHeight="1" outlineLevel="1">
      <c r="A491" s="239">
        <v>8</v>
      </c>
      <c r="B491" s="239" t="s">
        <v>392</v>
      </c>
      <c r="C491" s="240">
        <v>10</v>
      </c>
      <c r="D491" s="690"/>
      <c r="E491" s="240"/>
      <c r="F491" s="836"/>
      <c r="G491" s="239">
        <v>1</v>
      </c>
      <c r="H491" s="203">
        <v>2</v>
      </c>
      <c r="I491" s="241">
        <v>100</v>
      </c>
      <c r="J491" s="234"/>
      <c r="K491" s="234">
        <v>6160</v>
      </c>
      <c r="L491" s="234"/>
      <c r="M491" s="241">
        <v>100</v>
      </c>
      <c r="N491" s="235" t="e">
        <f>(((I491+J491+K491+L491+M491)-C491*#REF!*2)/1000)</f>
        <v>#REF!</v>
      </c>
      <c r="O491" s="235"/>
      <c r="P491" s="200">
        <f t="shared" si="79"/>
        <v>0</v>
      </c>
      <c r="Q491" s="200" t="e">
        <f t="shared" si="80"/>
        <v>#REF!</v>
      </c>
      <c r="R491" s="200">
        <f t="shared" si="81"/>
        <v>0</v>
      </c>
      <c r="S491" s="200">
        <f t="shared" si="82"/>
        <v>0</v>
      </c>
      <c r="T491" s="200">
        <f t="shared" si="83"/>
        <v>0</v>
      </c>
      <c r="U491" s="688">
        <f t="shared" si="84"/>
        <v>0</v>
      </c>
      <c r="V491" s="200">
        <f t="shared" si="85"/>
        <v>0</v>
      </c>
      <c r="W491" s="689"/>
    </row>
    <row r="492" spans="1:23" s="236" customFormat="1" ht="24.95" hidden="1" customHeight="1" outlineLevel="1">
      <c r="A492" s="239"/>
      <c r="B492" s="239" t="s">
        <v>393</v>
      </c>
      <c r="C492" s="240">
        <v>10</v>
      </c>
      <c r="D492" s="690"/>
      <c r="E492" s="240"/>
      <c r="F492" s="836"/>
      <c r="G492" s="239">
        <v>1</v>
      </c>
      <c r="H492" s="203">
        <v>2</v>
      </c>
      <c r="I492" s="241">
        <v>100</v>
      </c>
      <c r="J492" s="234"/>
      <c r="K492" s="234">
        <v>6160</v>
      </c>
      <c r="L492" s="234"/>
      <c r="M492" s="241">
        <v>100</v>
      </c>
      <c r="N492" s="235" t="e">
        <f>(((I492+J492+K492+L492+M492)-C492*#REF!*2)/1000)</f>
        <v>#REF!</v>
      </c>
      <c r="O492" s="235"/>
      <c r="P492" s="200">
        <f t="shared" si="79"/>
        <v>0</v>
      </c>
      <c r="Q492" s="200" t="e">
        <f t="shared" si="80"/>
        <v>#REF!</v>
      </c>
      <c r="R492" s="200">
        <f t="shared" si="81"/>
        <v>0</v>
      </c>
      <c r="S492" s="200">
        <f t="shared" si="82"/>
        <v>0</v>
      </c>
      <c r="T492" s="200">
        <f t="shared" si="83"/>
        <v>0</v>
      </c>
      <c r="U492" s="688">
        <f t="shared" si="84"/>
        <v>0</v>
      </c>
      <c r="V492" s="200">
        <f t="shared" si="85"/>
        <v>0</v>
      </c>
      <c r="W492" s="689"/>
    </row>
    <row r="493" spans="1:23" s="236" customFormat="1" ht="24.95" hidden="1" customHeight="1" outlineLevel="1">
      <c r="A493" s="239"/>
      <c r="B493" s="239" t="s">
        <v>394</v>
      </c>
      <c r="C493" s="240">
        <v>8</v>
      </c>
      <c r="D493" s="690"/>
      <c r="E493" s="240"/>
      <c r="F493" s="836"/>
      <c r="G493" s="239">
        <v>1</v>
      </c>
      <c r="H493" s="203">
        <f>(K491/200)+1</f>
        <v>31.8</v>
      </c>
      <c r="I493" s="234"/>
      <c r="J493" s="234"/>
      <c r="K493" s="234">
        <v>820</v>
      </c>
      <c r="L493" s="234"/>
      <c r="M493" s="234"/>
      <c r="N493" s="235" t="e">
        <f>(((I493+J493+K493+L493+M493)-C493*#REF!*2)/1000)</f>
        <v>#REF!</v>
      </c>
      <c r="O493" s="235"/>
      <c r="P493" s="200" t="e">
        <f t="shared" si="79"/>
        <v>#REF!</v>
      </c>
      <c r="Q493" s="200">
        <f t="shared" si="80"/>
        <v>0</v>
      </c>
      <c r="R493" s="200">
        <f t="shared" si="81"/>
        <v>0</v>
      </c>
      <c r="S493" s="200">
        <f t="shared" si="82"/>
        <v>0</v>
      </c>
      <c r="T493" s="200">
        <f t="shared" si="83"/>
        <v>0</v>
      </c>
      <c r="U493" s="688">
        <f t="shared" si="84"/>
        <v>0</v>
      </c>
      <c r="V493" s="200">
        <f t="shared" si="85"/>
        <v>0</v>
      </c>
      <c r="W493" s="689"/>
    </row>
    <row r="494" spans="1:23" s="236" customFormat="1" ht="24.95" hidden="1" customHeight="1" outlineLevel="1">
      <c r="A494" s="239">
        <v>9</v>
      </c>
      <c r="B494" s="239" t="s">
        <v>392</v>
      </c>
      <c r="C494" s="240">
        <v>10</v>
      </c>
      <c r="D494" s="690"/>
      <c r="E494" s="240"/>
      <c r="F494" s="836"/>
      <c r="G494" s="239">
        <v>1</v>
      </c>
      <c r="H494" s="203">
        <v>2</v>
      </c>
      <c r="I494" s="241">
        <v>100</v>
      </c>
      <c r="J494" s="234"/>
      <c r="K494" s="234">
        <v>1680</v>
      </c>
      <c r="L494" s="234"/>
      <c r="M494" s="241">
        <v>100</v>
      </c>
      <c r="N494" s="235" t="e">
        <f>(((I494+J494+K494+L494+M494)-C494*#REF!*2)/1000)</f>
        <v>#REF!</v>
      </c>
      <c r="O494" s="235"/>
      <c r="P494" s="200">
        <f t="shared" si="79"/>
        <v>0</v>
      </c>
      <c r="Q494" s="200" t="e">
        <f t="shared" si="80"/>
        <v>#REF!</v>
      </c>
      <c r="R494" s="200">
        <f t="shared" si="81"/>
        <v>0</v>
      </c>
      <c r="S494" s="200">
        <f t="shared" si="82"/>
        <v>0</v>
      </c>
      <c r="T494" s="200">
        <f t="shared" si="83"/>
        <v>0</v>
      </c>
      <c r="U494" s="688">
        <f t="shared" si="84"/>
        <v>0</v>
      </c>
      <c r="V494" s="200">
        <f t="shared" si="85"/>
        <v>0</v>
      </c>
      <c r="W494" s="689"/>
    </row>
    <row r="495" spans="1:23" s="236" customFormat="1" ht="24.95" hidden="1" customHeight="1" outlineLevel="1">
      <c r="A495" s="239"/>
      <c r="B495" s="239" t="s">
        <v>393</v>
      </c>
      <c r="C495" s="240">
        <v>10</v>
      </c>
      <c r="D495" s="690"/>
      <c r="E495" s="240"/>
      <c r="F495" s="836"/>
      <c r="G495" s="239">
        <v>1</v>
      </c>
      <c r="H495" s="203">
        <v>2</v>
      </c>
      <c r="I495" s="241">
        <v>100</v>
      </c>
      <c r="J495" s="234"/>
      <c r="K495" s="234">
        <v>1680</v>
      </c>
      <c r="L495" s="234"/>
      <c r="M495" s="241">
        <v>100</v>
      </c>
      <c r="N495" s="235" t="e">
        <f>(((I495+J495+K495+L495+M495)-C495*#REF!*2)/1000)</f>
        <v>#REF!</v>
      </c>
      <c r="O495" s="235"/>
      <c r="P495" s="200">
        <f t="shared" si="79"/>
        <v>0</v>
      </c>
      <c r="Q495" s="200" t="e">
        <f t="shared" si="80"/>
        <v>#REF!</v>
      </c>
      <c r="R495" s="200">
        <f t="shared" si="81"/>
        <v>0</v>
      </c>
      <c r="S495" s="200">
        <f t="shared" si="82"/>
        <v>0</v>
      </c>
      <c r="T495" s="200">
        <f t="shared" si="83"/>
        <v>0</v>
      </c>
      <c r="U495" s="688">
        <f t="shared" si="84"/>
        <v>0</v>
      </c>
      <c r="V495" s="200">
        <f t="shared" si="85"/>
        <v>0</v>
      </c>
      <c r="W495" s="689"/>
    </row>
    <row r="496" spans="1:23" s="236" customFormat="1" ht="24.95" hidden="1" customHeight="1" outlineLevel="1">
      <c r="A496" s="239"/>
      <c r="B496" s="239" t="s">
        <v>394</v>
      </c>
      <c r="C496" s="240">
        <v>8</v>
      </c>
      <c r="D496" s="690"/>
      <c r="E496" s="240"/>
      <c r="F496" s="836"/>
      <c r="G496" s="239">
        <v>1</v>
      </c>
      <c r="H496" s="203">
        <f>(K494/200)+1</f>
        <v>9.4</v>
      </c>
      <c r="I496" s="234"/>
      <c r="J496" s="234"/>
      <c r="K496" s="234">
        <v>820</v>
      </c>
      <c r="L496" s="234"/>
      <c r="M496" s="234"/>
      <c r="N496" s="235" t="e">
        <f>(((I496+J496+K496+L496+M496)-C496*#REF!*2)/1000)</f>
        <v>#REF!</v>
      </c>
      <c r="O496" s="235"/>
      <c r="P496" s="200" t="e">
        <f t="shared" si="79"/>
        <v>#REF!</v>
      </c>
      <c r="Q496" s="200">
        <f t="shared" si="80"/>
        <v>0</v>
      </c>
      <c r="R496" s="200">
        <f t="shared" si="81"/>
        <v>0</v>
      </c>
      <c r="S496" s="200">
        <f t="shared" si="82"/>
        <v>0</v>
      </c>
      <c r="T496" s="200">
        <f t="shared" si="83"/>
        <v>0</v>
      </c>
      <c r="U496" s="688">
        <f t="shared" si="84"/>
        <v>0</v>
      </c>
      <c r="V496" s="200">
        <f t="shared" si="85"/>
        <v>0</v>
      </c>
      <c r="W496" s="689"/>
    </row>
    <row r="497" spans="1:23" s="236" customFormat="1" ht="24.95" hidden="1" customHeight="1" outlineLevel="1">
      <c r="A497" s="239">
        <v>10</v>
      </c>
      <c r="B497" s="239" t="s">
        <v>392</v>
      </c>
      <c r="C497" s="240">
        <v>10</v>
      </c>
      <c r="D497" s="690"/>
      <c r="E497" s="240"/>
      <c r="F497" s="836"/>
      <c r="G497" s="239">
        <v>1</v>
      </c>
      <c r="H497" s="203">
        <v>2</v>
      </c>
      <c r="I497" s="241">
        <v>100</v>
      </c>
      <c r="J497" s="234"/>
      <c r="K497" s="234">
        <v>4625</v>
      </c>
      <c r="L497" s="234"/>
      <c r="M497" s="241">
        <v>100</v>
      </c>
      <c r="N497" s="235" t="e">
        <f>(((I497+J497+K497+L497+M497)-C497*#REF!*2)/1000)</f>
        <v>#REF!</v>
      </c>
      <c r="O497" s="235"/>
      <c r="P497" s="200">
        <f t="shared" si="79"/>
        <v>0</v>
      </c>
      <c r="Q497" s="200" t="e">
        <f t="shared" si="80"/>
        <v>#REF!</v>
      </c>
      <c r="R497" s="200">
        <f t="shared" si="81"/>
        <v>0</v>
      </c>
      <c r="S497" s="200">
        <f t="shared" si="82"/>
        <v>0</v>
      </c>
      <c r="T497" s="200">
        <f t="shared" si="83"/>
        <v>0</v>
      </c>
      <c r="U497" s="688">
        <f t="shared" si="84"/>
        <v>0</v>
      </c>
      <c r="V497" s="200">
        <f t="shared" si="85"/>
        <v>0</v>
      </c>
      <c r="W497" s="689"/>
    </row>
    <row r="498" spans="1:23" s="236" customFormat="1" ht="24.95" hidden="1" customHeight="1" outlineLevel="1">
      <c r="A498" s="239"/>
      <c r="B498" s="239" t="s">
        <v>393</v>
      </c>
      <c r="C498" s="240">
        <v>10</v>
      </c>
      <c r="D498" s="690"/>
      <c r="E498" s="240"/>
      <c r="F498" s="836"/>
      <c r="G498" s="239">
        <v>1</v>
      </c>
      <c r="H498" s="203">
        <v>2</v>
      </c>
      <c r="I498" s="241">
        <v>100</v>
      </c>
      <c r="J498" s="234"/>
      <c r="K498" s="234">
        <v>4625</v>
      </c>
      <c r="L498" s="234"/>
      <c r="M498" s="241">
        <v>100</v>
      </c>
      <c r="N498" s="235" t="e">
        <f>(((I498+J498+K498+L498+M498)-C498*#REF!*2)/1000)</f>
        <v>#REF!</v>
      </c>
      <c r="O498" s="235"/>
      <c r="P498" s="200">
        <f t="shared" si="79"/>
        <v>0</v>
      </c>
      <c r="Q498" s="200" t="e">
        <f t="shared" si="80"/>
        <v>#REF!</v>
      </c>
      <c r="R498" s="200">
        <f t="shared" si="81"/>
        <v>0</v>
      </c>
      <c r="S498" s="200">
        <f t="shared" si="82"/>
        <v>0</v>
      </c>
      <c r="T498" s="200">
        <f t="shared" si="83"/>
        <v>0</v>
      </c>
      <c r="U498" s="688">
        <f t="shared" si="84"/>
        <v>0</v>
      </c>
      <c r="V498" s="200">
        <f t="shared" si="85"/>
        <v>0</v>
      </c>
      <c r="W498" s="689"/>
    </row>
    <row r="499" spans="1:23" s="236" customFormat="1" ht="24.95" hidden="1" customHeight="1" outlineLevel="1">
      <c r="A499" s="239"/>
      <c r="B499" s="239" t="s">
        <v>394</v>
      </c>
      <c r="C499" s="240">
        <v>8</v>
      </c>
      <c r="D499" s="690"/>
      <c r="E499" s="240"/>
      <c r="F499" s="836"/>
      <c r="G499" s="239">
        <v>1</v>
      </c>
      <c r="H499" s="203">
        <f>(K497/200)+1</f>
        <v>24.125</v>
      </c>
      <c r="I499" s="234"/>
      <c r="J499" s="234"/>
      <c r="K499" s="234">
        <v>820</v>
      </c>
      <c r="L499" s="234"/>
      <c r="M499" s="234"/>
      <c r="N499" s="235" t="e">
        <f>(((I499+J499+K499+L499+M499)-C499*#REF!*2)/1000)</f>
        <v>#REF!</v>
      </c>
      <c r="O499" s="235"/>
      <c r="P499" s="200" t="e">
        <f t="shared" si="79"/>
        <v>#REF!</v>
      </c>
      <c r="Q499" s="200">
        <f t="shared" si="80"/>
        <v>0</v>
      </c>
      <c r="R499" s="200">
        <f t="shared" si="81"/>
        <v>0</v>
      </c>
      <c r="S499" s="200">
        <f t="shared" si="82"/>
        <v>0</v>
      </c>
      <c r="T499" s="200">
        <f t="shared" si="83"/>
        <v>0</v>
      </c>
      <c r="U499" s="688">
        <f t="shared" si="84"/>
        <v>0</v>
      </c>
      <c r="V499" s="200">
        <f t="shared" si="85"/>
        <v>0</v>
      </c>
      <c r="W499" s="689"/>
    </row>
    <row r="500" spans="1:23" s="236" customFormat="1" ht="24.95" hidden="1" customHeight="1" outlineLevel="1">
      <c r="A500" s="239">
        <v>11</v>
      </c>
      <c r="B500" s="239" t="s">
        <v>392</v>
      </c>
      <c r="C500" s="240">
        <v>10</v>
      </c>
      <c r="D500" s="690"/>
      <c r="E500" s="240"/>
      <c r="F500" s="836"/>
      <c r="G500" s="239">
        <v>1</v>
      </c>
      <c r="H500" s="203">
        <v>2</v>
      </c>
      <c r="I500" s="241">
        <v>100</v>
      </c>
      <c r="J500" s="234"/>
      <c r="K500" s="241">
        <v>11090</v>
      </c>
      <c r="L500" s="234"/>
      <c r="M500" s="241">
        <v>100</v>
      </c>
      <c r="N500" s="235" t="e">
        <f>(((I500+J500+K500+L500+M500)-C500*#REF!*2)/1000)</f>
        <v>#REF!</v>
      </c>
      <c r="O500" s="235"/>
      <c r="P500" s="200">
        <f t="shared" si="79"/>
        <v>0</v>
      </c>
      <c r="Q500" s="200" t="e">
        <f t="shared" si="80"/>
        <v>#REF!</v>
      </c>
      <c r="R500" s="200">
        <f t="shared" si="81"/>
        <v>0</v>
      </c>
      <c r="S500" s="200">
        <f t="shared" si="82"/>
        <v>0</v>
      </c>
      <c r="T500" s="200">
        <f t="shared" si="83"/>
        <v>0</v>
      </c>
      <c r="U500" s="688">
        <f t="shared" si="84"/>
        <v>0</v>
      </c>
      <c r="V500" s="200">
        <f t="shared" si="85"/>
        <v>0</v>
      </c>
      <c r="W500" s="689"/>
    </row>
    <row r="501" spans="1:23" s="236" customFormat="1" ht="24.95" hidden="1" customHeight="1" outlineLevel="1">
      <c r="A501" s="239"/>
      <c r="B501" s="239" t="s">
        <v>393</v>
      </c>
      <c r="C501" s="240">
        <v>10</v>
      </c>
      <c r="D501" s="690"/>
      <c r="E501" s="240"/>
      <c r="F501" s="836"/>
      <c r="G501" s="239">
        <v>1</v>
      </c>
      <c r="H501" s="203">
        <v>2</v>
      </c>
      <c r="I501" s="241">
        <v>100</v>
      </c>
      <c r="J501" s="234"/>
      <c r="K501" s="241">
        <v>11090</v>
      </c>
      <c r="L501" s="234"/>
      <c r="M501" s="241">
        <v>100</v>
      </c>
      <c r="N501" s="235" t="e">
        <f>(((I501+J501+K501+L501+M501)-C501*#REF!*2)/1000)</f>
        <v>#REF!</v>
      </c>
      <c r="O501" s="235"/>
      <c r="P501" s="200">
        <f t="shared" si="79"/>
        <v>0</v>
      </c>
      <c r="Q501" s="200" t="e">
        <f t="shared" si="80"/>
        <v>#REF!</v>
      </c>
      <c r="R501" s="200">
        <f t="shared" si="81"/>
        <v>0</v>
      </c>
      <c r="S501" s="200">
        <f t="shared" si="82"/>
        <v>0</v>
      </c>
      <c r="T501" s="200">
        <f t="shared" si="83"/>
        <v>0</v>
      </c>
      <c r="U501" s="688">
        <f t="shared" si="84"/>
        <v>0</v>
      </c>
      <c r="V501" s="200">
        <f t="shared" si="85"/>
        <v>0</v>
      </c>
      <c r="W501" s="689"/>
    </row>
    <row r="502" spans="1:23" s="236" customFormat="1" ht="24.95" hidden="1" customHeight="1" outlineLevel="1">
      <c r="A502" s="239"/>
      <c r="B502" s="239" t="s">
        <v>394</v>
      </c>
      <c r="C502" s="240">
        <v>8</v>
      </c>
      <c r="D502" s="690"/>
      <c r="E502" s="240"/>
      <c r="F502" s="836"/>
      <c r="G502" s="239">
        <v>1</v>
      </c>
      <c r="H502" s="249">
        <f>(K500/200)+1</f>
        <v>56.45</v>
      </c>
      <c r="I502" s="234"/>
      <c r="J502" s="234"/>
      <c r="K502" s="234">
        <v>820</v>
      </c>
      <c r="L502" s="234"/>
      <c r="M502" s="234"/>
      <c r="N502" s="235" t="e">
        <f>(((I502+J502+K502+L502+M502)-C502*#REF!*2)/1000)</f>
        <v>#REF!</v>
      </c>
      <c r="O502" s="235"/>
      <c r="P502" s="200" t="e">
        <f t="shared" si="79"/>
        <v>#REF!</v>
      </c>
      <c r="Q502" s="200">
        <f t="shared" si="80"/>
        <v>0</v>
      </c>
      <c r="R502" s="200">
        <f t="shared" si="81"/>
        <v>0</v>
      </c>
      <c r="S502" s="200">
        <f t="shared" si="82"/>
        <v>0</v>
      </c>
      <c r="T502" s="200">
        <f t="shared" si="83"/>
        <v>0</v>
      </c>
      <c r="U502" s="688">
        <f t="shared" si="84"/>
        <v>0</v>
      </c>
      <c r="V502" s="200">
        <f t="shared" si="85"/>
        <v>0</v>
      </c>
      <c r="W502" s="689"/>
    </row>
    <row r="503" spans="1:23" s="236" customFormat="1" ht="24.95" hidden="1" customHeight="1" outlineLevel="1">
      <c r="A503" s="207">
        <v>12</v>
      </c>
      <c r="B503" s="208" t="s">
        <v>399</v>
      </c>
      <c r="C503" s="240">
        <v>12</v>
      </c>
      <c r="D503" s="690"/>
      <c r="E503" s="240"/>
      <c r="F503" s="836"/>
      <c r="G503" s="239">
        <v>4</v>
      </c>
      <c r="H503" s="203">
        <v>3</v>
      </c>
      <c r="I503" s="241">
        <v>100</v>
      </c>
      <c r="J503" s="234"/>
      <c r="K503" s="234">
        <v>2950</v>
      </c>
      <c r="L503" s="234"/>
      <c r="M503" s="241">
        <v>100</v>
      </c>
      <c r="N503" s="235" t="e">
        <f>(((I503+J503+K503+L503+M503)-C503*#REF!*2)/1000)</f>
        <v>#REF!</v>
      </c>
      <c r="O503" s="235"/>
      <c r="P503" s="200">
        <f t="shared" si="79"/>
        <v>0</v>
      </c>
      <c r="Q503" s="200">
        <f t="shared" si="80"/>
        <v>0</v>
      </c>
      <c r="R503" s="200" t="e">
        <f t="shared" si="81"/>
        <v>#REF!</v>
      </c>
      <c r="S503" s="200">
        <f t="shared" si="82"/>
        <v>0</v>
      </c>
      <c r="T503" s="200">
        <f t="shared" si="83"/>
        <v>0</v>
      </c>
      <c r="U503" s="688">
        <f t="shared" si="84"/>
        <v>0</v>
      </c>
      <c r="V503" s="200">
        <f t="shared" si="85"/>
        <v>0</v>
      </c>
      <c r="W503" s="689"/>
    </row>
    <row r="504" spans="1:23" s="236" customFormat="1" ht="24.95" hidden="1" customHeight="1" outlineLevel="1">
      <c r="A504" s="239"/>
      <c r="B504" s="239" t="s">
        <v>393</v>
      </c>
      <c r="C504" s="240">
        <v>12</v>
      </c>
      <c r="D504" s="690"/>
      <c r="E504" s="240"/>
      <c r="F504" s="836"/>
      <c r="G504" s="239">
        <v>4</v>
      </c>
      <c r="H504" s="203">
        <v>3</v>
      </c>
      <c r="I504" s="241">
        <v>100</v>
      </c>
      <c r="J504" s="234"/>
      <c r="K504" s="234">
        <v>2950</v>
      </c>
      <c r="L504" s="234"/>
      <c r="M504" s="241">
        <v>100</v>
      </c>
      <c r="N504" s="235" t="e">
        <f>(((I504+J504+K504+L504+M504)-C504*#REF!*2)/1000)</f>
        <v>#REF!</v>
      </c>
      <c r="O504" s="235"/>
      <c r="P504" s="200">
        <f t="shared" si="79"/>
        <v>0</v>
      </c>
      <c r="Q504" s="200">
        <f t="shared" si="80"/>
        <v>0</v>
      </c>
      <c r="R504" s="200" t="e">
        <f t="shared" si="81"/>
        <v>#REF!</v>
      </c>
      <c r="S504" s="200">
        <f t="shared" si="82"/>
        <v>0</v>
      </c>
      <c r="T504" s="200">
        <f t="shared" si="83"/>
        <v>0</v>
      </c>
      <c r="U504" s="688">
        <f t="shared" si="84"/>
        <v>0</v>
      </c>
      <c r="V504" s="200">
        <f t="shared" si="85"/>
        <v>0</v>
      </c>
      <c r="W504" s="689"/>
    </row>
    <row r="505" spans="1:23" s="236" customFormat="1" ht="24.95" hidden="1" customHeight="1" outlineLevel="1">
      <c r="A505" s="239"/>
      <c r="B505" s="239" t="s">
        <v>400</v>
      </c>
      <c r="C505" s="240">
        <v>8</v>
      </c>
      <c r="D505" s="690"/>
      <c r="E505" s="240"/>
      <c r="F505" s="836"/>
      <c r="G505" s="239">
        <v>4</v>
      </c>
      <c r="H505" s="203">
        <f>(K503/200)+1</f>
        <v>15.75</v>
      </c>
      <c r="I505" s="234"/>
      <c r="J505" s="234"/>
      <c r="K505" s="234">
        <v>1280</v>
      </c>
      <c r="L505" s="234"/>
      <c r="M505" s="234"/>
      <c r="N505" s="235" t="e">
        <f>(((I505+J505+K505+L505+M505)-C505*#REF!*2)/1000)</f>
        <v>#REF!</v>
      </c>
      <c r="O505" s="235"/>
      <c r="P505" s="200" t="e">
        <f t="shared" si="79"/>
        <v>#REF!</v>
      </c>
      <c r="Q505" s="200">
        <f t="shared" si="80"/>
        <v>0</v>
      </c>
      <c r="R505" s="200">
        <f t="shared" si="81"/>
        <v>0</v>
      </c>
      <c r="S505" s="200">
        <f t="shared" si="82"/>
        <v>0</v>
      </c>
      <c r="T505" s="200">
        <f t="shared" si="83"/>
        <v>0</v>
      </c>
      <c r="U505" s="688">
        <f t="shared" si="84"/>
        <v>0</v>
      </c>
      <c r="V505" s="200">
        <f t="shared" si="85"/>
        <v>0</v>
      </c>
      <c r="W505" s="689"/>
    </row>
    <row r="506" spans="1:23" s="236" customFormat="1" ht="24.95" hidden="1" customHeight="1" outlineLevel="1">
      <c r="A506" s="205" t="s">
        <v>426</v>
      </c>
      <c r="B506" s="206" t="s">
        <v>396</v>
      </c>
      <c r="C506" s="240"/>
      <c r="D506" s="690"/>
      <c r="E506" s="240"/>
      <c r="F506" s="836"/>
      <c r="G506" s="239"/>
      <c r="H506" s="203"/>
      <c r="I506" s="234"/>
      <c r="J506" s="234"/>
      <c r="K506" s="234"/>
      <c r="L506" s="234"/>
      <c r="M506" s="234"/>
      <c r="N506" s="235" t="e">
        <f>(((I506+J506+K506+L506+M506)-C506*#REF!*2)/1000)</f>
        <v>#REF!</v>
      </c>
      <c r="O506" s="235"/>
      <c r="P506" s="200">
        <f t="shared" si="79"/>
        <v>0</v>
      </c>
      <c r="Q506" s="200">
        <f t="shared" si="80"/>
        <v>0</v>
      </c>
      <c r="R506" s="200">
        <f t="shared" si="81"/>
        <v>0</v>
      </c>
      <c r="S506" s="200">
        <f t="shared" si="82"/>
        <v>0</v>
      </c>
      <c r="T506" s="200">
        <f t="shared" si="83"/>
        <v>0</v>
      </c>
      <c r="U506" s="688">
        <f t="shared" si="84"/>
        <v>0</v>
      </c>
      <c r="V506" s="200">
        <f t="shared" si="85"/>
        <v>0</v>
      </c>
      <c r="W506" s="689"/>
    </row>
    <row r="507" spans="1:23" s="236" customFormat="1" ht="24.95" hidden="1" customHeight="1" outlineLevel="1">
      <c r="A507" s="239">
        <v>1</v>
      </c>
      <c r="B507" s="239" t="s">
        <v>392</v>
      </c>
      <c r="C507" s="240">
        <v>10</v>
      </c>
      <c r="D507" s="690"/>
      <c r="E507" s="240"/>
      <c r="F507" s="836"/>
      <c r="G507" s="239">
        <v>2</v>
      </c>
      <c r="H507" s="203">
        <v>2</v>
      </c>
      <c r="I507" s="241">
        <v>100</v>
      </c>
      <c r="J507" s="234"/>
      <c r="K507" s="241">
        <v>1025</v>
      </c>
      <c r="L507" s="234"/>
      <c r="M507" s="241">
        <v>100</v>
      </c>
      <c r="N507" s="235" t="e">
        <f>(((I507+J507+K507+L507+M507)-C507*#REF!*2)/1000)</f>
        <v>#REF!</v>
      </c>
      <c r="O507" s="235"/>
      <c r="P507" s="200">
        <f t="shared" si="79"/>
        <v>0</v>
      </c>
      <c r="Q507" s="200" t="e">
        <f t="shared" si="80"/>
        <v>#REF!</v>
      </c>
      <c r="R507" s="200">
        <f t="shared" si="81"/>
        <v>0</v>
      </c>
      <c r="S507" s="200">
        <f t="shared" si="82"/>
        <v>0</v>
      </c>
      <c r="T507" s="200">
        <f t="shared" si="83"/>
        <v>0</v>
      </c>
      <c r="U507" s="688">
        <f t="shared" si="84"/>
        <v>0</v>
      </c>
      <c r="V507" s="200">
        <f t="shared" si="85"/>
        <v>0</v>
      </c>
      <c r="W507" s="689"/>
    </row>
    <row r="508" spans="1:23" s="236" customFormat="1" ht="24.95" hidden="1" customHeight="1" outlineLevel="1">
      <c r="A508" s="239"/>
      <c r="B508" s="239" t="s">
        <v>393</v>
      </c>
      <c r="C508" s="240">
        <v>10</v>
      </c>
      <c r="D508" s="690"/>
      <c r="E508" s="240"/>
      <c r="F508" s="836"/>
      <c r="G508" s="239">
        <v>2</v>
      </c>
      <c r="H508" s="203">
        <v>2</v>
      </c>
      <c r="I508" s="241">
        <v>100</v>
      </c>
      <c r="J508" s="234"/>
      <c r="K508" s="241">
        <v>1025</v>
      </c>
      <c r="L508" s="234"/>
      <c r="M508" s="241">
        <v>100</v>
      </c>
      <c r="N508" s="235" t="e">
        <f>(((I508+J508+K508+L508+M508)-C508*#REF!*2)/1000)</f>
        <v>#REF!</v>
      </c>
      <c r="O508" s="235"/>
      <c r="P508" s="200">
        <f t="shared" si="79"/>
        <v>0</v>
      </c>
      <c r="Q508" s="200" t="e">
        <f t="shared" si="80"/>
        <v>#REF!</v>
      </c>
      <c r="R508" s="200">
        <f t="shared" si="81"/>
        <v>0</v>
      </c>
      <c r="S508" s="200">
        <f t="shared" si="82"/>
        <v>0</v>
      </c>
      <c r="T508" s="200">
        <f t="shared" si="83"/>
        <v>0</v>
      </c>
      <c r="U508" s="688">
        <f t="shared" si="84"/>
        <v>0</v>
      </c>
      <c r="V508" s="200">
        <f t="shared" si="85"/>
        <v>0</v>
      </c>
      <c r="W508" s="689"/>
    </row>
    <row r="509" spans="1:23" s="236" customFormat="1" ht="24.95" hidden="1" customHeight="1" outlineLevel="1">
      <c r="A509" s="239"/>
      <c r="B509" s="239" t="s">
        <v>394</v>
      </c>
      <c r="C509" s="240">
        <v>8</v>
      </c>
      <c r="D509" s="690"/>
      <c r="E509" s="240"/>
      <c r="F509" s="836"/>
      <c r="G509" s="239">
        <v>2</v>
      </c>
      <c r="H509" s="203">
        <f>(K507/200)+1</f>
        <v>6.125</v>
      </c>
      <c r="I509" s="234"/>
      <c r="J509" s="234"/>
      <c r="K509" s="234">
        <v>820</v>
      </c>
      <c r="L509" s="234"/>
      <c r="M509" s="234"/>
      <c r="N509" s="235" t="e">
        <f>(((I509+J509+K509+L509+M509)-C509*#REF!*2)/1000)</f>
        <v>#REF!</v>
      </c>
      <c r="O509" s="235"/>
      <c r="P509" s="200" t="e">
        <f t="shared" si="79"/>
        <v>#REF!</v>
      </c>
      <c r="Q509" s="200">
        <f t="shared" si="80"/>
        <v>0</v>
      </c>
      <c r="R509" s="200">
        <f t="shared" si="81"/>
        <v>0</v>
      </c>
      <c r="S509" s="200">
        <f t="shared" si="82"/>
        <v>0</v>
      </c>
      <c r="T509" s="200">
        <f t="shared" si="83"/>
        <v>0</v>
      </c>
      <c r="U509" s="688">
        <f t="shared" si="84"/>
        <v>0</v>
      </c>
      <c r="V509" s="200">
        <f t="shared" si="85"/>
        <v>0</v>
      </c>
      <c r="W509" s="689"/>
    </row>
    <row r="510" spans="1:23" s="236" customFormat="1" ht="24.95" hidden="1" customHeight="1" outlineLevel="1">
      <c r="A510" s="239">
        <v>2</v>
      </c>
      <c r="B510" s="239" t="s">
        <v>392</v>
      </c>
      <c r="C510" s="240">
        <v>10</v>
      </c>
      <c r="D510" s="690"/>
      <c r="E510" s="240"/>
      <c r="F510" s="836"/>
      <c r="G510" s="239">
        <v>6</v>
      </c>
      <c r="H510" s="203">
        <v>2</v>
      </c>
      <c r="I510" s="241">
        <v>100</v>
      </c>
      <c r="J510" s="234"/>
      <c r="K510" s="241">
        <v>3770</v>
      </c>
      <c r="L510" s="234"/>
      <c r="M510" s="241">
        <v>100</v>
      </c>
      <c r="N510" s="235" t="e">
        <f>(((I510+J510+K510+L510+M510)-C510*#REF!*2)/1000)</f>
        <v>#REF!</v>
      </c>
      <c r="O510" s="235"/>
      <c r="P510" s="200">
        <f t="shared" si="79"/>
        <v>0</v>
      </c>
      <c r="Q510" s="200" t="e">
        <f t="shared" si="80"/>
        <v>#REF!</v>
      </c>
      <c r="R510" s="200">
        <f t="shared" si="81"/>
        <v>0</v>
      </c>
      <c r="S510" s="200">
        <f t="shared" si="82"/>
        <v>0</v>
      </c>
      <c r="T510" s="200">
        <f t="shared" si="83"/>
        <v>0</v>
      </c>
      <c r="U510" s="688">
        <f t="shared" si="84"/>
        <v>0</v>
      </c>
      <c r="V510" s="200">
        <f t="shared" si="85"/>
        <v>0</v>
      </c>
      <c r="W510" s="689"/>
    </row>
    <row r="511" spans="1:23" s="236" customFormat="1" ht="24.95" hidden="1" customHeight="1" outlineLevel="1">
      <c r="A511" s="239"/>
      <c r="B511" s="239" t="s">
        <v>393</v>
      </c>
      <c r="C511" s="240">
        <v>10</v>
      </c>
      <c r="D511" s="690"/>
      <c r="E511" s="240"/>
      <c r="F511" s="836"/>
      <c r="G511" s="239">
        <v>6</v>
      </c>
      <c r="H511" s="203">
        <v>2</v>
      </c>
      <c r="I511" s="241">
        <v>100</v>
      </c>
      <c r="J511" s="234"/>
      <c r="K511" s="241">
        <v>3770</v>
      </c>
      <c r="L511" s="234"/>
      <c r="M511" s="241">
        <v>100</v>
      </c>
      <c r="N511" s="235" t="e">
        <f>(((I511+J511+K511+L511+M511)-C511*#REF!*2)/1000)</f>
        <v>#REF!</v>
      </c>
      <c r="O511" s="235"/>
      <c r="P511" s="200">
        <f t="shared" si="79"/>
        <v>0</v>
      </c>
      <c r="Q511" s="200" t="e">
        <f t="shared" si="80"/>
        <v>#REF!</v>
      </c>
      <c r="R511" s="200">
        <f t="shared" si="81"/>
        <v>0</v>
      </c>
      <c r="S511" s="200">
        <f t="shared" si="82"/>
        <v>0</v>
      </c>
      <c r="T511" s="200">
        <f t="shared" si="83"/>
        <v>0</v>
      </c>
      <c r="U511" s="688">
        <f t="shared" si="84"/>
        <v>0</v>
      </c>
      <c r="V511" s="200">
        <f t="shared" si="85"/>
        <v>0</v>
      </c>
      <c r="W511" s="689"/>
    </row>
    <row r="512" spans="1:23" s="236" customFormat="1" ht="24.95" hidden="1" customHeight="1" outlineLevel="1">
      <c r="A512" s="239"/>
      <c r="B512" s="239" t="s">
        <v>394</v>
      </c>
      <c r="C512" s="240">
        <v>8</v>
      </c>
      <c r="D512" s="690"/>
      <c r="E512" s="240"/>
      <c r="F512" s="836"/>
      <c r="G512" s="239">
        <v>6</v>
      </c>
      <c r="H512" s="203">
        <f>(K510/200)+1</f>
        <v>19.850000000000001</v>
      </c>
      <c r="I512" s="234"/>
      <c r="J512" s="234"/>
      <c r="K512" s="234">
        <v>820</v>
      </c>
      <c r="L512" s="234"/>
      <c r="M512" s="234"/>
      <c r="N512" s="235" t="e">
        <f>(((I512+J512+K512+L512+M512)-C512*#REF!*2)/1000)</f>
        <v>#REF!</v>
      </c>
      <c r="O512" s="235"/>
      <c r="P512" s="200" t="e">
        <f t="shared" si="79"/>
        <v>#REF!</v>
      </c>
      <c r="Q512" s="200">
        <f t="shared" si="80"/>
        <v>0</v>
      </c>
      <c r="R512" s="200">
        <f t="shared" si="81"/>
        <v>0</v>
      </c>
      <c r="S512" s="200">
        <f t="shared" si="82"/>
        <v>0</v>
      </c>
      <c r="T512" s="200">
        <f t="shared" si="83"/>
        <v>0</v>
      </c>
      <c r="U512" s="688">
        <f t="shared" si="84"/>
        <v>0</v>
      </c>
      <c r="V512" s="200">
        <f t="shared" si="85"/>
        <v>0</v>
      </c>
      <c r="W512" s="689"/>
    </row>
    <row r="513" spans="1:23" s="236" customFormat="1" ht="24.95" hidden="1" customHeight="1" outlineLevel="1">
      <c r="A513" s="239">
        <v>3</v>
      </c>
      <c r="B513" s="239" t="s">
        <v>392</v>
      </c>
      <c r="C513" s="240">
        <v>10</v>
      </c>
      <c r="D513" s="690"/>
      <c r="E513" s="240"/>
      <c r="F513" s="836"/>
      <c r="G513" s="239">
        <v>7</v>
      </c>
      <c r="H513" s="203">
        <v>2</v>
      </c>
      <c r="I513" s="241">
        <v>100</v>
      </c>
      <c r="J513" s="234"/>
      <c r="K513" s="234">
        <v>2010</v>
      </c>
      <c r="L513" s="234"/>
      <c r="M513" s="241">
        <v>100</v>
      </c>
      <c r="N513" s="235" t="e">
        <f>(((I513+J513+K513+L513+M513)-C513*#REF!*2)/1000)</f>
        <v>#REF!</v>
      </c>
      <c r="O513" s="235"/>
      <c r="P513" s="200">
        <f t="shared" si="79"/>
        <v>0</v>
      </c>
      <c r="Q513" s="200" t="e">
        <f t="shared" si="80"/>
        <v>#REF!</v>
      </c>
      <c r="R513" s="200">
        <f t="shared" si="81"/>
        <v>0</v>
      </c>
      <c r="S513" s="200">
        <f t="shared" si="82"/>
        <v>0</v>
      </c>
      <c r="T513" s="200">
        <f t="shared" si="83"/>
        <v>0</v>
      </c>
      <c r="U513" s="688">
        <f t="shared" si="84"/>
        <v>0</v>
      </c>
      <c r="V513" s="200">
        <f t="shared" si="85"/>
        <v>0</v>
      </c>
      <c r="W513" s="689"/>
    </row>
    <row r="514" spans="1:23" s="236" customFormat="1" ht="24.95" hidden="1" customHeight="1" outlineLevel="1">
      <c r="A514" s="239"/>
      <c r="B514" s="239" t="s">
        <v>393</v>
      </c>
      <c r="C514" s="240">
        <v>10</v>
      </c>
      <c r="D514" s="690"/>
      <c r="E514" s="240"/>
      <c r="F514" s="836"/>
      <c r="G514" s="239">
        <v>7</v>
      </c>
      <c r="H514" s="203">
        <v>2</v>
      </c>
      <c r="I514" s="241">
        <v>100</v>
      </c>
      <c r="J514" s="234"/>
      <c r="K514" s="234">
        <v>2010</v>
      </c>
      <c r="L514" s="234"/>
      <c r="M514" s="241">
        <v>100</v>
      </c>
      <c r="N514" s="235" t="e">
        <f>(((I514+J514+K514+L514+M514)-C514*#REF!*2)/1000)</f>
        <v>#REF!</v>
      </c>
      <c r="O514" s="235"/>
      <c r="P514" s="200">
        <f t="shared" si="79"/>
        <v>0</v>
      </c>
      <c r="Q514" s="200" t="e">
        <f t="shared" si="80"/>
        <v>#REF!</v>
      </c>
      <c r="R514" s="200">
        <f t="shared" si="81"/>
        <v>0</v>
      </c>
      <c r="S514" s="200">
        <f t="shared" si="82"/>
        <v>0</v>
      </c>
      <c r="T514" s="200">
        <f t="shared" si="83"/>
        <v>0</v>
      </c>
      <c r="U514" s="688">
        <f t="shared" si="84"/>
        <v>0</v>
      </c>
      <c r="V514" s="200">
        <f t="shared" si="85"/>
        <v>0</v>
      </c>
      <c r="W514" s="689"/>
    </row>
    <row r="515" spans="1:23" s="236" customFormat="1" ht="24.95" hidden="1" customHeight="1" outlineLevel="1">
      <c r="A515" s="239"/>
      <c r="B515" s="239" t="s">
        <v>394</v>
      </c>
      <c r="C515" s="240">
        <v>8</v>
      </c>
      <c r="D515" s="690"/>
      <c r="E515" s="240"/>
      <c r="F515" s="836"/>
      <c r="G515" s="239">
        <v>7</v>
      </c>
      <c r="H515" s="203">
        <f>(K513/200)+1</f>
        <v>11.05</v>
      </c>
      <c r="I515" s="234"/>
      <c r="J515" s="234"/>
      <c r="K515" s="234">
        <v>820</v>
      </c>
      <c r="L515" s="234"/>
      <c r="M515" s="234"/>
      <c r="N515" s="235" t="e">
        <f>(((I515+J515+K515+L515+M515)-C515*#REF!*2)/1000)</f>
        <v>#REF!</v>
      </c>
      <c r="O515" s="235"/>
      <c r="P515" s="200" t="e">
        <f t="shared" si="79"/>
        <v>#REF!</v>
      </c>
      <c r="Q515" s="200">
        <f t="shared" si="80"/>
        <v>0</v>
      </c>
      <c r="R515" s="200">
        <f t="shared" si="81"/>
        <v>0</v>
      </c>
      <c r="S515" s="200">
        <f t="shared" si="82"/>
        <v>0</v>
      </c>
      <c r="T515" s="200">
        <f t="shared" si="83"/>
        <v>0</v>
      </c>
      <c r="U515" s="688">
        <f t="shared" si="84"/>
        <v>0</v>
      </c>
      <c r="V515" s="200">
        <f t="shared" si="85"/>
        <v>0</v>
      </c>
      <c r="W515" s="689"/>
    </row>
    <row r="516" spans="1:23" s="236" customFormat="1" ht="24.95" hidden="1" customHeight="1" outlineLevel="1">
      <c r="A516" s="239">
        <v>4</v>
      </c>
      <c r="B516" s="239" t="s">
        <v>392</v>
      </c>
      <c r="C516" s="240">
        <v>10</v>
      </c>
      <c r="D516" s="690"/>
      <c r="E516" s="240"/>
      <c r="F516" s="836"/>
      <c r="G516" s="239">
        <v>1</v>
      </c>
      <c r="H516" s="203">
        <v>2</v>
      </c>
      <c r="I516" s="241">
        <v>100</v>
      </c>
      <c r="J516" s="234"/>
      <c r="K516" s="234">
        <v>2925</v>
      </c>
      <c r="L516" s="234"/>
      <c r="M516" s="241">
        <v>100</v>
      </c>
      <c r="N516" s="235" t="e">
        <f>(((I516+J516+K516+L516+M516)-C516*#REF!*2)/1000)</f>
        <v>#REF!</v>
      </c>
      <c r="O516" s="235"/>
      <c r="P516" s="200">
        <f t="shared" si="79"/>
        <v>0</v>
      </c>
      <c r="Q516" s="200" t="e">
        <f t="shared" si="80"/>
        <v>#REF!</v>
      </c>
      <c r="R516" s="200">
        <f t="shared" si="81"/>
        <v>0</v>
      </c>
      <c r="S516" s="200">
        <f t="shared" si="82"/>
        <v>0</v>
      </c>
      <c r="T516" s="200">
        <f t="shared" si="83"/>
        <v>0</v>
      </c>
      <c r="U516" s="688">
        <f t="shared" si="84"/>
        <v>0</v>
      </c>
      <c r="V516" s="200">
        <f t="shared" si="85"/>
        <v>0</v>
      </c>
      <c r="W516" s="689"/>
    </row>
    <row r="517" spans="1:23" s="236" customFormat="1" ht="24.95" hidden="1" customHeight="1" outlineLevel="1">
      <c r="A517" s="239"/>
      <c r="B517" s="239" t="s">
        <v>393</v>
      </c>
      <c r="C517" s="240">
        <v>10</v>
      </c>
      <c r="D517" s="690"/>
      <c r="E517" s="240"/>
      <c r="F517" s="836"/>
      <c r="G517" s="239">
        <v>1</v>
      </c>
      <c r="H517" s="203">
        <v>2</v>
      </c>
      <c r="I517" s="241">
        <v>100</v>
      </c>
      <c r="J517" s="234"/>
      <c r="K517" s="234">
        <v>2925</v>
      </c>
      <c r="L517" s="234"/>
      <c r="M517" s="241">
        <v>100</v>
      </c>
      <c r="N517" s="235" t="e">
        <f>(((I517+J517+K517+L517+M517)-C517*#REF!*2)/1000)</f>
        <v>#REF!</v>
      </c>
      <c r="O517" s="235"/>
      <c r="P517" s="200">
        <f t="shared" si="79"/>
        <v>0</v>
      </c>
      <c r="Q517" s="200" t="e">
        <f t="shared" si="80"/>
        <v>#REF!</v>
      </c>
      <c r="R517" s="200">
        <f t="shared" si="81"/>
        <v>0</v>
      </c>
      <c r="S517" s="200">
        <f t="shared" si="82"/>
        <v>0</v>
      </c>
      <c r="T517" s="200">
        <f t="shared" si="83"/>
        <v>0</v>
      </c>
      <c r="U517" s="688">
        <f t="shared" si="84"/>
        <v>0</v>
      </c>
      <c r="V517" s="200">
        <f t="shared" si="85"/>
        <v>0</v>
      </c>
      <c r="W517" s="689"/>
    </row>
    <row r="518" spans="1:23" s="236" customFormat="1" ht="24.95" hidden="1" customHeight="1" outlineLevel="1">
      <c r="A518" s="239"/>
      <c r="B518" s="239" t="s">
        <v>394</v>
      </c>
      <c r="C518" s="240">
        <v>8</v>
      </c>
      <c r="D518" s="690"/>
      <c r="E518" s="240"/>
      <c r="F518" s="836"/>
      <c r="G518" s="239">
        <v>1</v>
      </c>
      <c r="H518" s="203">
        <f>(K516/200)+1</f>
        <v>15.625</v>
      </c>
      <c r="I518" s="234"/>
      <c r="J518" s="234"/>
      <c r="K518" s="234">
        <v>820</v>
      </c>
      <c r="L518" s="234"/>
      <c r="M518" s="234"/>
      <c r="N518" s="235" t="e">
        <f>(((I518+J518+K518+L518+M518)-C518*#REF!*2)/1000)</f>
        <v>#REF!</v>
      </c>
      <c r="O518" s="235"/>
      <c r="P518" s="200" t="e">
        <f t="shared" si="79"/>
        <v>#REF!</v>
      </c>
      <c r="Q518" s="200">
        <f t="shared" si="80"/>
        <v>0</v>
      </c>
      <c r="R518" s="200">
        <f t="shared" si="81"/>
        <v>0</v>
      </c>
      <c r="S518" s="200">
        <f t="shared" si="82"/>
        <v>0</v>
      </c>
      <c r="T518" s="200">
        <f t="shared" si="83"/>
        <v>0</v>
      </c>
      <c r="U518" s="688">
        <f t="shared" si="84"/>
        <v>0</v>
      </c>
      <c r="V518" s="200">
        <f t="shared" si="85"/>
        <v>0</v>
      </c>
      <c r="W518" s="689"/>
    </row>
    <row r="519" spans="1:23" s="236" customFormat="1" ht="24.95" hidden="1" customHeight="1" outlineLevel="1">
      <c r="A519" s="237">
        <v>6</v>
      </c>
      <c r="B519" s="238" t="s">
        <v>423</v>
      </c>
      <c r="C519" s="240"/>
      <c r="D519" s="690"/>
      <c r="E519" s="240"/>
      <c r="F519" s="836"/>
      <c r="G519" s="239"/>
      <c r="H519" s="203"/>
      <c r="I519" s="234"/>
      <c r="J519" s="234"/>
      <c r="K519" s="234"/>
      <c r="L519" s="234"/>
      <c r="M519" s="234"/>
      <c r="N519" s="235" t="e">
        <f>(((I519+J519+K519+L519+M519)-C519*#REF!*2)/1000)</f>
        <v>#REF!</v>
      </c>
      <c r="O519" s="235"/>
      <c r="P519" s="200">
        <f t="shared" si="79"/>
        <v>0</v>
      </c>
      <c r="Q519" s="200">
        <f t="shared" si="80"/>
        <v>0</v>
      </c>
      <c r="R519" s="200">
        <f t="shared" si="81"/>
        <v>0</v>
      </c>
      <c r="S519" s="200">
        <f t="shared" si="82"/>
        <v>0</v>
      </c>
      <c r="T519" s="200">
        <f t="shared" si="83"/>
        <v>0</v>
      </c>
      <c r="U519" s="688">
        <f t="shared" si="84"/>
        <v>0</v>
      </c>
      <c r="V519" s="200">
        <f t="shared" si="85"/>
        <v>0</v>
      </c>
      <c r="W519" s="689"/>
    </row>
    <row r="520" spans="1:23" s="236" customFormat="1" ht="24.95" hidden="1" customHeight="1" outlineLevel="1">
      <c r="A520" s="209" t="s">
        <v>427</v>
      </c>
      <c r="B520" s="209" t="s">
        <v>403</v>
      </c>
      <c r="C520" s="240"/>
      <c r="D520" s="690"/>
      <c r="E520" s="240"/>
      <c r="F520" s="836"/>
      <c r="G520" s="239"/>
      <c r="H520" s="203"/>
      <c r="I520" s="234"/>
      <c r="J520" s="234"/>
      <c r="K520" s="234"/>
      <c r="L520" s="234"/>
      <c r="M520" s="234"/>
      <c r="N520" s="235" t="e">
        <f>(((I520+J520+K520+L520+M520)-C520*#REF!*2)/1000)</f>
        <v>#REF!</v>
      </c>
      <c r="O520" s="235"/>
      <c r="P520" s="200">
        <f t="shared" si="79"/>
        <v>0</v>
      </c>
      <c r="Q520" s="200">
        <f t="shared" si="80"/>
        <v>0</v>
      </c>
      <c r="R520" s="200">
        <f t="shared" si="81"/>
        <v>0</v>
      </c>
      <c r="S520" s="200">
        <f t="shared" si="82"/>
        <v>0</v>
      </c>
      <c r="T520" s="200">
        <f t="shared" si="83"/>
        <v>0</v>
      </c>
      <c r="U520" s="688">
        <f t="shared" si="84"/>
        <v>0</v>
      </c>
      <c r="V520" s="200">
        <f t="shared" si="85"/>
        <v>0</v>
      </c>
      <c r="W520" s="689"/>
    </row>
    <row r="521" spans="1:23" s="236" customFormat="1" ht="24.95" hidden="1" customHeight="1" outlineLevel="1">
      <c r="A521" s="205" t="s">
        <v>428</v>
      </c>
      <c r="B521" s="206" t="s">
        <v>391</v>
      </c>
      <c r="C521" s="240"/>
      <c r="D521" s="690"/>
      <c r="E521" s="240"/>
      <c r="F521" s="836"/>
      <c r="G521" s="239"/>
      <c r="H521" s="203"/>
      <c r="I521" s="234"/>
      <c r="J521" s="234"/>
      <c r="K521" s="234"/>
      <c r="L521" s="234"/>
      <c r="M521" s="234"/>
      <c r="N521" s="235" t="e">
        <f>(((I521+J521+K521+L521+M521)-C521*#REF!*2)/1000)</f>
        <v>#REF!</v>
      </c>
      <c r="O521" s="235"/>
      <c r="P521" s="200">
        <f t="shared" si="79"/>
        <v>0</v>
      </c>
      <c r="Q521" s="200">
        <f t="shared" si="80"/>
        <v>0</v>
      </c>
      <c r="R521" s="200">
        <f t="shared" si="81"/>
        <v>0</v>
      </c>
      <c r="S521" s="200">
        <f t="shared" si="82"/>
        <v>0</v>
      </c>
      <c r="T521" s="200">
        <f t="shared" si="83"/>
        <v>0</v>
      </c>
      <c r="U521" s="688">
        <f t="shared" si="84"/>
        <v>0</v>
      </c>
      <c r="V521" s="200">
        <f t="shared" si="85"/>
        <v>0</v>
      </c>
      <c r="W521" s="689"/>
    </row>
    <row r="522" spans="1:23" s="236" customFormat="1" ht="24.95" hidden="1" customHeight="1" outlineLevel="1">
      <c r="A522" s="239">
        <v>1</v>
      </c>
      <c r="B522" s="239" t="s">
        <v>392</v>
      </c>
      <c r="C522" s="240">
        <v>10</v>
      </c>
      <c r="D522" s="690"/>
      <c r="E522" s="240"/>
      <c r="F522" s="836"/>
      <c r="G522" s="239">
        <v>1</v>
      </c>
      <c r="H522" s="203">
        <v>2</v>
      </c>
      <c r="I522" s="241">
        <v>100</v>
      </c>
      <c r="J522" s="234"/>
      <c r="K522" s="234">
        <v>970</v>
      </c>
      <c r="L522" s="234"/>
      <c r="M522" s="241">
        <v>100</v>
      </c>
      <c r="N522" s="235" t="e">
        <f>(((I522+J522+K522+L522+M522)-C522*#REF!*2)/1000)</f>
        <v>#REF!</v>
      </c>
      <c r="O522" s="235"/>
      <c r="P522" s="200">
        <f t="shared" si="79"/>
        <v>0</v>
      </c>
      <c r="Q522" s="200" t="e">
        <f t="shared" si="80"/>
        <v>#REF!</v>
      </c>
      <c r="R522" s="200">
        <f t="shared" si="81"/>
        <v>0</v>
      </c>
      <c r="S522" s="200">
        <f t="shared" si="82"/>
        <v>0</v>
      </c>
      <c r="T522" s="200">
        <f t="shared" si="83"/>
        <v>0</v>
      </c>
      <c r="U522" s="688">
        <f t="shared" si="84"/>
        <v>0</v>
      </c>
      <c r="V522" s="200">
        <f t="shared" si="85"/>
        <v>0</v>
      </c>
      <c r="W522" s="689"/>
    </row>
    <row r="523" spans="1:23" s="236" customFormat="1" ht="24.95" hidden="1" customHeight="1" outlineLevel="1">
      <c r="A523" s="239"/>
      <c r="B523" s="239" t="s">
        <v>393</v>
      </c>
      <c r="C523" s="240">
        <v>10</v>
      </c>
      <c r="D523" s="690"/>
      <c r="E523" s="240"/>
      <c r="F523" s="836"/>
      <c r="G523" s="239">
        <f>G522</f>
        <v>1</v>
      </c>
      <c r="H523" s="203">
        <v>2</v>
      </c>
      <c r="I523" s="241">
        <v>100</v>
      </c>
      <c r="J523" s="234"/>
      <c r="K523" s="234">
        <v>970</v>
      </c>
      <c r="L523" s="234"/>
      <c r="M523" s="241">
        <v>100</v>
      </c>
      <c r="N523" s="235" t="e">
        <f>(((I523+J523+K523+L523+M523)-C523*#REF!*2)/1000)</f>
        <v>#REF!</v>
      </c>
      <c r="O523" s="235"/>
      <c r="P523" s="200">
        <f t="shared" ref="P523:P586" si="88">+IF(C523=8,G523*H523*N523,0)</f>
        <v>0</v>
      </c>
      <c r="Q523" s="200" t="e">
        <f t="shared" ref="Q523:Q586" si="89">+IF(C523=10,G523*H523*N523,0)</f>
        <v>#REF!</v>
      </c>
      <c r="R523" s="200">
        <f t="shared" ref="R523:R586" si="90">+IF(C523=12,G523*H523*N523,0)</f>
        <v>0</v>
      </c>
      <c r="S523" s="200">
        <f t="shared" ref="S523:S586" si="91">+IF(C523=16,G523*H523*N523,0)</f>
        <v>0</v>
      </c>
      <c r="T523" s="200">
        <f t="shared" ref="T523:T586" si="92">+IF(C523=20,G523*H523*N523,0)</f>
        <v>0</v>
      </c>
      <c r="U523" s="688">
        <f t="shared" ref="U523:U586" si="93">+IF(C523=25,G523*H523*N523,0)</f>
        <v>0</v>
      </c>
      <c r="V523" s="200">
        <f t="shared" ref="V523:V586" si="94">+IF(C523=32,G523*H523*N523,0)</f>
        <v>0</v>
      </c>
      <c r="W523" s="689"/>
    </row>
    <row r="524" spans="1:23" s="236" customFormat="1" ht="24.95" hidden="1" customHeight="1" outlineLevel="1">
      <c r="A524" s="239"/>
      <c r="B524" s="239" t="s">
        <v>394</v>
      </c>
      <c r="C524" s="240">
        <v>8</v>
      </c>
      <c r="D524" s="690"/>
      <c r="E524" s="240"/>
      <c r="F524" s="836"/>
      <c r="G524" s="239">
        <f>G522</f>
        <v>1</v>
      </c>
      <c r="H524" s="203">
        <f>(K522/200)+1</f>
        <v>5.85</v>
      </c>
      <c r="I524" s="234"/>
      <c r="J524" s="234"/>
      <c r="K524" s="234">
        <v>820</v>
      </c>
      <c r="L524" s="234"/>
      <c r="M524" s="234"/>
      <c r="N524" s="235" t="e">
        <f>(((I524+J524+K524+L524+M524)-C524*#REF!*2)/1000)</f>
        <v>#REF!</v>
      </c>
      <c r="O524" s="235"/>
      <c r="P524" s="200" t="e">
        <f t="shared" si="88"/>
        <v>#REF!</v>
      </c>
      <c r="Q524" s="200">
        <f t="shared" si="89"/>
        <v>0</v>
      </c>
      <c r="R524" s="200">
        <f t="shared" si="90"/>
        <v>0</v>
      </c>
      <c r="S524" s="200">
        <f t="shared" si="91"/>
        <v>0</v>
      </c>
      <c r="T524" s="200">
        <f t="shared" si="92"/>
        <v>0</v>
      </c>
      <c r="U524" s="688">
        <f t="shared" si="93"/>
        <v>0</v>
      </c>
      <c r="V524" s="200">
        <f t="shared" si="94"/>
        <v>0</v>
      </c>
      <c r="W524" s="689"/>
    </row>
    <row r="525" spans="1:23" s="236" customFormat="1" ht="24.95" hidden="1" customHeight="1" outlineLevel="1">
      <c r="A525" s="239">
        <v>2</v>
      </c>
      <c r="B525" s="239" t="s">
        <v>392</v>
      </c>
      <c r="C525" s="240">
        <v>10</v>
      </c>
      <c r="D525" s="690"/>
      <c r="E525" s="240"/>
      <c r="F525" s="836"/>
      <c r="G525" s="239">
        <v>2</v>
      </c>
      <c r="H525" s="203">
        <v>2</v>
      </c>
      <c r="I525" s="241">
        <v>100</v>
      </c>
      <c r="J525" s="234"/>
      <c r="K525" s="234">
        <v>1345</v>
      </c>
      <c r="L525" s="234"/>
      <c r="M525" s="241">
        <v>100</v>
      </c>
      <c r="N525" s="235" t="e">
        <f>(((I525+J525+K525+L525+M525)-C525*#REF!*2)/1000)</f>
        <v>#REF!</v>
      </c>
      <c r="O525" s="235"/>
      <c r="P525" s="200">
        <f t="shared" si="88"/>
        <v>0</v>
      </c>
      <c r="Q525" s="200" t="e">
        <f t="shared" si="89"/>
        <v>#REF!</v>
      </c>
      <c r="R525" s="200">
        <f t="shared" si="90"/>
        <v>0</v>
      </c>
      <c r="S525" s="200">
        <f t="shared" si="91"/>
        <v>0</v>
      </c>
      <c r="T525" s="200">
        <f t="shared" si="92"/>
        <v>0</v>
      </c>
      <c r="U525" s="688">
        <f t="shared" si="93"/>
        <v>0</v>
      </c>
      <c r="V525" s="200">
        <f t="shared" si="94"/>
        <v>0</v>
      </c>
      <c r="W525" s="689"/>
    </row>
    <row r="526" spans="1:23" s="236" customFormat="1" ht="24.95" hidden="1" customHeight="1" outlineLevel="1">
      <c r="A526" s="239"/>
      <c r="B526" s="239" t="s">
        <v>393</v>
      </c>
      <c r="C526" s="240">
        <v>10</v>
      </c>
      <c r="D526" s="690"/>
      <c r="E526" s="240"/>
      <c r="F526" s="836"/>
      <c r="G526" s="239">
        <f>G525</f>
        <v>2</v>
      </c>
      <c r="H526" s="203">
        <v>2</v>
      </c>
      <c r="I526" s="241">
        <v>100</v>
      </c>
      <c r="J526" s="234"/>
      <c r="K526" s="234">
        <v>1345</v>
      </c>
      <c r="L526" s="234"/>
      <c r="M526" s="241">
        <v>100</v>
      </c>
      <c r="N526" s="235" t="e">
        <f>(((I526+J526+K526+L526+M526)-C526*#REF!*2)/1000)</f>
        <v>#REF!</v>
      </c>
      <c r="O526" s="235"/>
      <c r="P526" s="200">
        <f t="shared" si="88"/>
        <v>0</v>
      </c>
      <c r="Q526" s="200" t="e">
        <f t="shared" si="89"/>
        <v>#REF!</v>
      </c>
      <c r="R526" s="200">
        <f t="shared" si="90"/>
        <v>0</v>
      </c>
      <c r="S526" s="200">
        <f t="shared" si="91"/>
        <v>0</v>
      </c>
      <c r="T526" s="200">
        <f t="shared" si="92"/>
        <v>0</v>
      </c>
      <c r="U526" s="688">
        <f t="shared" si="93"/>
        <v>0</v>
      </c>
      <c r="V526" s="200">
        <f t="shared" si="94"/>
        <v>0</v>
      </c>
      <c r="W526" s="689"/>
    </row>
    <row r="527" spans="1:23" s="236" customFormat="1" ht="24.95" hidden="1" customHeight="1" outlineLevel="1">
      <c r="A527" s="239"/>
      <c r="B527" s="239" t="s">
        <v>394</v>
      </c>
      <c r="C527" s="240">
        <v>8</v>
      </c>
      <c r="D527" s="690"/>
      <c r="E527" s="240"/>
      <c r="F527" s="836"/>
      <c r="G527" s="239">
        <f>G525</f>
        <v>2</v>
      </c>
      <c r="H527" s="203">
        <f>(K525/200)+1</f>
        <v>7.7249999999999996</v>
      </c>
      <c r="I527" s="234"/>
      <c r="J527" s="234"/>
      <c r="K527" s="234">
        <v>820</v>
      </c>
      <c r="L527" s="234"/>
      <c r="M527" s="234"/>
      <c r="N527" s="235" t="e">
        <f>(((I527+J527+K527+L527+M527)-C527*#REF!*2)/1000)</f>
        <v>#REF!</v>
      </c>
      <c r="O527" s="235"/>
      <c r="P527" s="200" t="e">
        <f t="shared" si="88"/>
        <v>#REF!</v>
      </c>
      <c r="Q527" s="200">
        <f t="shared" si="89"/>
        <v>0</v>
      </c>
      <c r="R527" s="200">
        <f t="shared" si="90"/>
        <v>0</v>
      </c>
      <c r="S527" s="200">
        <f t="shared" si="91"/>
        <v>0</v>
      </c>
      <c r="T527" s="200">
        <f t="shared" si="92"/>
        <v>0</v>
      </c>
      <c r="U527" s="688">
        <f t="shared" si="93"/>
        <v>0</v>
      </c>
      <c r="V527" s="200">
        <f t="shared" si="94"/>
        <v>0</v>
      </c>
      <c r="W527" s="689"/>
    </row>
    <row r="528" spans="1:23" s="236" customFormat="1" ht="24.95" hidden="1" customHeight="1" outlineLevel="1">
      <c r="A528" s="239">
        <v>3</v>
      </c>
      <c r="B528" s="239" t="s">
        <v>392</v>
      </c>
      <c r="C528" s="240">
        <v>10</v>
      </c>
      <c r="D528" s="690"/>
      <c r="E528" s="240"/>
      <c r="F528" s="836"/>
      <c r="G528" s="239">
        <v>1</v>
      </c>
      <c r="H528" s="203">
        <v>2</v>
      </c>
      <c r="I528" s="241">
        <v>100</v>
      </c>
      <c r="J528" s="234"/>
      <c r="K528" s="234">
        <v>5935</v>
      </c>
      <c r="L528" s="234"/>
      <c r="M528" s="241">
        <v>100</v>
      </c>
      <c r="N528" s="235" t="e">
        <f>(((I528+J528+K528+L528+M528)-C528*#REF!*2)/1000)</f>
        <v>#REF!</v>
      </c>
      <c r="O528" s="235"/>
      <c r="P528" s="200">
        <f t="shared" si="88"/>
        <v>0</v>
      </c>
      <c r="Q528" s="200" t="e">
        <f t="shared" si="89"/>
        <v>#REF!</v>
      </c>
      <c r="R528" s="200">
        <f t="shared" si="90"/>
        <v>0</v>
      </c>
      <c r="S528" s="200">
        <f t="shared" si="91"/>
        <v>0</v>
      </c>
      <c r="T528" s="200">
        <f t="shared" si="92"/>
        <v>0</v>
      </c>
      <c r="U528" s="688">
        <f t="shared" si="93"/>
        <v>0</v>
      </c>
      <c r="V528" s="200">
        <f t="shared" si="94"/>
        <v>0</v>
      </c>
      <c r="W528" s="689"/>
    </row>
    <row r="529" spans="1:23" s="236" customFormat="1" ht="24.95" hidden="1" customHeight="1" outlineLevel="1">
      <c r="A529" s="239"/>
      <c r="B529" s="239" t="s">
        <v>393</v>
      </c>
      <c r="C529" s="240">
        <v>10</v>
      </c>
      <c r="D529" s="690"/>
      <c r="E529" s="240"/>
      <c r="F529" s="836"/>
      <c r="G529" s="239">
        <f>G528</f>
        <v>1</v>
      </c>
      <c r="H529" s="203">
        <v>2</v>
      </c>
      <c r="I529" s="241">
        <v>100</v>
      </c>
      <c r="J529" s="234"/>
      <c r="K529" s="234">
        <v>5935</v>
      </c>
      <c r="L529" s="234"/>
      <c r="M529" s="241">
        <v>100</v>
      </c>
      <c r="N529" s="235" t="e">
        <f>(((I529+J529+K529+L529+M529)-C529*#REF!*2)/1000)</f>
        <v>#REF!</v>
      </c>
      <c r="O529" s="235"/>
      <c r="P529" s="200">
        <f t="shared" si="88"/>
        <v>0</v>
      </c>
      <c r="Q529" s="200" t="e">
        <f t="shared" si="89"/>
        <v>#REF!</v>
      </c>
      <c r="R529" s="200">
        <f t="shared" si="90"/>
        <v>0</v>
      </c>
      <c r="S529" s="200">
        <f t="shared" si="91"/>
        <v>0</v>
      </c>
      <c r="T529" s="200">
        <f t="shared" si="92"/>
        <v>0</v>
      </c>
      <c r="U529" s="688">
        <f t="shared" si="93"/>
        <v>0</v>
      </c>
      <c r="V529" s="200">
        <f t="shared" si="94"/>
        <v>0</v>
      </c>
      <c r="W529" s="689"/>
    </row>
    <row r="530" spans="1:23" s="236" customFormat="1" ht="24.95" hidden="1" customHeight="1" outlineLevel="1">
      <c r="A530" s="239"/>
      <c r="B530" s="239" t="s">
        <v>394</v>
      </c>
      <c r="C530" s="240">
        <v>8</v>
      </c>
      <c r="D530" s="690"/>
      <c r="E530" s="240"/>
      <c r="F530" s="836"/>
      <c r="G530" s="239">
        <f>G528</f>
        <v>1</v>
      </c>
      <c r="H530" s="203">
        <f>(K528/200)+1</f>
        <v>30.675000000000001</v>
      </c>
      <c r="I530" s="234"/>
      <c r="J530" s="234"/>
      <c r="K530" s="234">
        <v>820</v>
      </c>
      <c r="L530" s="234"/>
      <c r="M530" s="234"/>
      <c r="N530" s="235" t="e">
        <f>(((I530+J530+K530+L530+M530)-C530*#REF!*2)/1000)</f>
        <v>#REF!</v>
      </c>
      <c r="O530" s="235"/>
      <c r="P530" s="200" t="e">
        <f t="shared" si="88"/>
        <v>#REF!</v>
      </c>
      <c r="Q530" s="200">
        <f t="shared" si="89"/>
        <v>0</v>
      </c>
      <c r="R530" s="200">
        <f t="shared" si="90"/>
        <v>0</v>
      </c>
      <c r="S530" s="200">
        <f t="shared" si="91"/>
        <v>0</v>
      </c>
      <c r="T530" s="200">
        <f t="shared" si="92"/>
        <v>0</v>
      </c>
      <c r="U530" s="688">
        <f t="shared" si="93"/>
        <v>0</v>
      </c>
      <c r="V530" s="200">
        <f t="shared" si="94"/>
        <v>0</v>
      </c>
      <c r="W530" s="689"/>
    </row>
    <row r="531" spans="1:23" s="236" customFormat="1" ht="24.95" hidden="1" customHeight="1" outlineLevel="1">
      <c r="A531" s="239">
        <v>4</v>
      </c>
      <c r="B531" s="239" t="s">
        <v>392</v>
      </c>
      <c r="C531" s="240">
        <v>10</v>
      </c>
      <c r="D531" s="690"/>
      <c r="E531" s="240"/>
      <c r="F531" s="836"/>
      <c r="G531" s="239">
        <v>1</v>
      </c>
      <c r="H531" s="203">
        <v>2</v>
      </c>
      <c r="I531" s="241">
        <v>100</v>
      </c>
      <c r="J531" s="234"/>
      <c r="K531" s="234">
        <v>1705</v>
      </c>
      <c r="L531" s="234"/>
      <c r="M531" s="241">
        <v>100</v>
      </c>
      <c r="N531" s="235" t="e">
        <f>(((I531+J531+K531+L531+M531)-C531*#REF!*2)/1000)</f>
        <v>#REF!</v>
      </c>
      <c r="O531" s="235"/>
      <c r="P531" s="200">
        <f t="shared" si="88"/>
        <v>0</v>
      </c>
      <c r="Q531" s="200" t="e">
        <f t="shared" si="89"/>
        <v>#REF!</v>
      </c>
      <c r="R531" s="200">
        <f t="shared" si="90"/>
        <v>0</v>
      </c>
      <c r="S531" s="200">
        <f t="shared" si="91"/>
        <v>0</v>
      </c>
      <c r="T531" s="200">
        <f t="shared" si="92"/>
        <v>0</v>
      </c>
      <c r="U531" s="688">
        <f t="shared" si="93"/>
        <v>0</v>
      </c>
      <c r="V531" s="200">
        <f t="shared" si="94"/>
        <v>0</v>
      </c>
      <c r="W531" s="689"/>
    </row>
    <row r="532" spans="1:23" s="236" customFormat="1" ht="24.95" hidden="1" customHeight="1" outlineLevel="1">
      <c r="A532" s="239"/>
      <c r="B532" s="239" t="s">
        <v>393</v>
      </c>
      <c r="C532" s="240">
        <v>10</v>
      </c>
      <c r="D532" s="690"/>
      <c r="E532" s="240"/>
      <c r="F532" s="836"/>
      <c r="G532" s="239">
        <f>G531</f>
        <v>1</v>
      </c>
      <c r="H532" s="203">
        <v>2</v>
      </c>
      <c r="I532" s="241">
        <v>100</v>
      </c>
      <c r="J532" s="234"/>
      <c r="K532" s="234">
        <v>1705</v>
      </c>
      <c r="L532" s="234"/>
      <c r="M532" s="241">
        <v>100</v>
      </c>
      <c r="N532" s="235" t="e">
        <f>(((I532+J532+K532+L532+M532)-C532*#REF!*2)/1000)</f>
        <v>#REF!</v>
      </c>
      <c r="O532" s="235"/>
      <c r="P532" s="200">
        <f t="shared" si="88"/>
        <v>0</v>
      </c>
      <c r="Q532" s="200" t="e">
        <f t="shared" si="89"/>
        <v>#REF!</v>
      </c>
      <c r="R532" s="200">
        <f t="shared" si="90"/>
        <v>0</v>
      </c>
      <c r="S532" s="200">
        <f t="shared" si="91"/>
        <v>0</v>
      </c>
      <c r="T532" s="200">
        <f t="shared" si="92"/>
        <v>0</v>
      </c>
      <c r="U532" s="688">
        <f t="shared" si="93"/>
        <v>0</v>
      </c>
      <c r="V532" s="200">
        <f t="shared" si="94"/>
        <v>0</v>
      </c>
      <c r="W532" s="689"/>
    </row>
    <row r="533" spans="1:23" s="236" customFormat="1" ht="24.95" hidden="1" customHeight="1" outlineLevel="1">
      <c r="A533" s="239"/>
      <c r="B533" s="239" t="s">
        <v>394</v>
      </c>
      <c r="C533" s="240">
        <v>8</v>
      </c>
      <c r="D533" s="690"/>
      <c r="E533" s="240"/>
      <c r="F533" s="836"/>
      <c r="G533" s="239">
        <f>G531</f>
        <v>1</v>
      </c>
      <c r="H533" s="203">
        <f>(K531/200)+1</f>
        <v>9.5250000000000004</v>
      </c>
      <c r="I533" s="234"/>
      <c r="J533" s="234"/>
      <c r="K533" s="234">
        <v>820</v>
      </c>
      <c r="L533" s="234"/>
      <c r="M533" s="234"/>
      <c r="N533" s="235" t="e">
        <f>(((I533+J533+K533+L533+M533)-C533*#REF!*2)/1000)</f>
        <v>#REF!</v>
      </c>
      <c r="O533" s="235"/>
      <c r="P533" s="200" t="e">
        <f t="shared" si="88"/>
        <v>#REF!</v>
      </c>
      <c r="Q533" s="200">
        <f t="shared" si="89"/>
        <v>0</v>
      </c>
      <c r="R533" s="200">
        <f t="shared" si="90"/>
        <v>0</v>
      </c>
      <c r="S533" s="200">
        <f t="shared" si="91"/>
        <v>0</v>
      </c>
      <c r="T533" s="200">
        <f t="shared" si="92"/>
        <v>0</v>
      </c>
      <c r="U533" s="688">
        <f t="shared" si="93"/>
        <v>0</v>
      </c>
      <c r="V533" s="200">
        <f t="shared" si="94"/>
        <v>0</v>
      </c>
      <c r="W533" s="689"/>
    </row>
    <row r="534" spans="1:23" s="236" customFormat="1" ht="24.95" hidden="1" customHeight="1" outlineLevel="1">
      <c r="A534" s="239">
        <v>5</v>
      </c>
      <c r="B534" s="239" t="s">
        <v>392</v>
      </c>
      <c r="C534" s="240">
        <v>10</v>
      </c>
      <c r="D534" s="690"/>
      <c r="E534" s="240"/>
      <c r="F534" s="836"/>
      <c r="G534" s="239">
        <v>1</v>
      </c>
      <c r="H534" s="203">
        <v>2</v>
      </c>
      <c r="I534" s="241">
        <v>100</v>
      </c>
      <c r="J534" s="234"/>
      <c r="K534" s="234">
        <v>2315</v>
      </c>
      <c r="L534" s="234"/>
      <c r="M534" s="241">
        <v>100</v>
      </c>
      <c r="N534" s="235" t="e">
        <f>(((I534+J534+K534+L534+M534)-C534*#REF!*2)/1000)</f>
        <v>#REF!</v>
      </c>
      <c r="O534" s="235"/>
      <c r="P534" s="200">
        <f t="shared" si="88"/>
        <v>0</v>
      </c>
      <c r="Q534" s="200" t="e">
        <f t="shared" si="89"/>
        <v>#REF!</v>
      </c>
      <c r="R534" s="200">
        <f t="shared" si="90"/>
        <v>0</v>
      </c>
      <c r="S534" s="200">
        <f t="shared" si="91"/>
        <v>0</v>
      </c>
      <c r="T534" s="200">
        <f t="shared" si="92"/>
        <v>0</v>
      </c>
      <c r="U534" s="688">
        <f t="shared" si="93"/>
        <v>0</v>
      </c>
      <c r="V534" s="200">
        <f t="shared" si="94"/>
        <v>0</v>
      </c>
      <c r="W534" s="689"/>
    </row>
    <row r="535" spans="1:23" s="236" customFormat="1" ht="24.95" hidden="1" customHeight="1" outlineLevel="1">
      <c r="A535" s="239"/>
      <c r="B535" s="239" t="s">
        <v>393</v>
      </c>
      <c r="C535" s="240">
        <v>10</v>
      </c>
      <c r="D535" s="690"/>
      <c r="E535" s="240"/>
      <c r="F535" s="836"/>
      <c r="G535" s="239">
        <f>G534</f>
        <v>1</v>
      </c>
      <c r="H535" s="203">
        <v>2</v>
      </c>
      <c r="I535" s="241">
        <v>100</v>
      </c>
      <c r="J535" s="234"/>
      <c r="K535" s="234">
        <v>2315</v>
      </c>
      <c r="L535" s="234"/>
      <c r="M535" s="241">
        <v>100</v>
      </c>
      <c r="N535" s="235" t="e">
        <f>(((I535+J535+K535+L535+M535)-C535*#REF!*2)/1000)</f>
        <v>#REF!</v>
      </c>
      <c r="O535" s="235"/>
      <c r="P535" s="200">
        <f t="shared" si="88"/>
        <v>0</v>
      </c>
      <c r="Q535" s="200" t="e">
        <f t="shared" si="89"/>
        <v>#REF!</v>
      </c>
      <c r="R535" s="200">
        <f t="shared" si="90"/>
        <v>0</v>
      </c>
      <c r="S535" s="200">
        <f t="shared" si="91"/>
        <v>0</v>
      </c>
      <c r="T535" s="200">
        <f t="shared" si="92"/>
        <v>0</v>
      </c>
      <c r="U535" s="688">
        <f t="shared" si="93"/>
        <v>0</v>
      </c>
      <c r="V535" s="200">
        <f t="shared" si="94"/>
        <v>0</v>
      </c>
      <c r="W535" s="689"/>
    </row>
    <row r="536" spans="1:23" s="236" customFormat="1" ht="24.95" hidden="1" customHeight="1" outlineLevel="1">
      <c r="A536" s="239"/>
      <c r="B536" s="239" t="s">
        <v>394</v>
      </c>
      <c r="C536" s="240">
        <v>8</v>
      </c>
      <c r="D536" s="690"/>
      <c r="E536" s="240"/>
      <c r="F536" s="836"/>
      <c r="G536" s="239">
        <f>G534</f>
        <v>1</v>
      </c>
      <c r="H536" s="203">
        <f>(K534/200)+1</f>
        <v>12.574999999999999</v>
      </c>
      <c r="I536" s="234"/>
      <c r="J536" s="234"/>
      <c r="K536" s="234">
        <v>820</v>
      </c>
      <c r="L536" s="234"/>
      <c r="M536" s="234"/>
      <c r="N536" s="235" t="e">
        <f>(((I536+J536+K536+L536+M536)-C536*#REF!*2)/1000)</f>
        <v>#REF!</v>
      </c>
      <c r="O536" s="235"/>
      <c r="P536" s="200" t="e">
        <f t="shared" si="88"/>
        <v>#REF!</v>
      </c>
      <c r="Q536" s="200">
        <f t="shared" si="89"/>
        <v>0</v>
      </c>
      <c r="R536" s="200">
        <f t="shared" si="90"/>
        <v>0</v>
      </c>
      <c r="S536" s="200">
        <f t="shared" si="91"/>
        <v>0</v>
      </c>
      <c r="T536" s="200">
        <f t="shared" si="92"/>
        <v>0</v>
      </c>
      <c r="U536" s="688">
        <f t="shared" si="93"/>
        <v>0</v>
      </c>
      <c r="V536" s="200">
        <f t="shared" si="94"/>
        <v>0</v>
      </c>
      <c r="W536" s="689"/>
    </row>
    <row r="537" spans="1:23" s="236" customFormat="1" ht="24.95" hidden="1" customHeight="1" outlineLevel="1">
      <c r="A537" s="239">
        <v>6</v>
      </c>
      <c r="B537" s="239" t="s">
        <v>392</v>
      </c>
      <c r="C537" s="240">
        <v>10</v>
      </c>
      <c r="D537" s="690"/>
      <c r="E537" s="240"/>
      <c r="F537" s="836"/>
      <c r="G537" s="239">
        <v>1</v>
      </c>
      <c r="H537" s="203">
        <v>2</v>
      </c>
      <c r="I537" s="241">
        <v>100</v>
      </c>
      <c r="J537" s="234"/>
      <c r="K537" s="234">
        <v>2015</v>
      </c>
      <c r="L537" s="234"/>
      <c r="M537" s="241">
        <v>100</v>
      </c>
      <c r="N537" s="235" t="e">
        <f>(((I537+J537+K537+L537+M537)-C537*#REF!*2)/1000)</f>
        <v>#REF!</v>
      </c>
      <c r="O537" s="235"/>
      <c r="P537" s="200">
        <f t="shared" si="88"/>
        <v>0</v>
      </c>
      <c r="Q537" s="200" t="e">
        <f t="shared" si="89"/>
        <v>#REF!</v>
      </c>
      <c r="R537" s="200">
        <f t="shared" si="90"/>
        <v>0</v>
      </c>
      <c r="S537" s="200">
        <f t="shared" si="91"/>
        <v>0</v>
      </c>
      <c r="T537" s="200">
        <f t="shared" si="92"/>
        <v>0</v>
      </c>
      <c r="U537" s="688">
        <f t="shared" si="93"/>
        <v>0</v>
      </c>
      <c r="V537" s="200">
        <f t="shared" si="94"/>
        <v>0</v>
      </c>
      <c r="W537" s="689"/>
    </row>
    <row r="538" spans="1:23" s="236" customFormat="1" ht="24.95" hidden="1" customHeight="1" outlineLevel="1">
      <c r="A538" s="239"/>
      <c r="B538" s="239" t="s">
        <v>393</v>
      </c>
      <c r="C538" s="240">
        <v>10</v>
      </c>
      <c r="D538" s="690"/>
      <c r="E538" s="240"/>
      <c r="F538" s="836"/>
      <c r="G538" s="239">
        <f>G537</f>
        <v>1</v>
      </c>
      <c r="H538" s="203">
        <v>2</v>
      </c>
      <c r="I538" s="241">
        <v>100</v>
      </c>
      <c r="J538" s="234"/>
      <c r="K538" s="234">
        <v>2015</v>
      </c>
      <c r="L538" s="234"/>
      <c r="M538" s="241">
        <v>100</v>
      </c>
      <c r="N538" s="235" t="e">
        <f>(((I538+J538+K538+L538+M538)-C538*#REF!*2)/1000)</f>
        <v>#REF!</v>
      </c>
      <c r="O538" s="235"/>
      <c r="P538" s="200">
        <f t="shared" si="88"/>
        <v>0</v>
      </c>
      <c r="Q538" s="200" t="e">
        <f t="shared" si="89"/>
        <v>#REF!</v>
      </c>
      <c r="R538" s="200">
        <f t="shared" si="90"/>
        <v>0</v>
      </c>
      <c r="S538" s="200">
        <f t="shared" si="91"/>
        <v>0</v>
      </c>
      <c r="T538" s="200">
        <f t="shared" si="92"/>
        <v>0</v>
      </c>
      <c r="U538" s="688">
        <f t="shared" si="93"/>
        <v>0</v>
      </c>
      <c r="V538" s="200">
        <f t="shared" si="94"/>
        <v>0</v>
      </c>
      <c r="W538" s="689"/>
    </row>
    <row r="539" spans="1:23" s="236" customFormat="1" ht="24.95" hidden="1" customHeight="1" outlineLevel="1">
      <c r="A539" s="239"/>
      <c r="B539" s="239" t="s">
        <v>394</v>
      </c>
      <c r="C539" s="240">
        <v>8</v>
      </c>
      <c r="D539" s="690"/>
      <c r="E539" s="240"/>
      <c r="F539" s="836"/>
      <c r="G539" s="239">
        <f>G537</f>
        <v>1</v>
      </c>
      <c r="H539" s="203">
        <f>(K537/200)+1</f>
        <v>11.074999999999999</v>
      </c>
      <c r="I539" s="234"/>
      <c r="J539" s="234"/>
      <c r="K539" s="234">
        <v>820</v>
      </c>
      <c r="L539" s="234"/>
      <c r="M539" s="234"/>
      <c r="N539" s="235" t="e">
        <f>(((I539+J539+K539+L539+M539)-C539*#REF!*2)/1000)</f>
        <v>#REF!</v>
      </c>
      <c r="O539" s="235"/>
      <c r="P539" s="200" t="e">
        <f t="shared" si="88"/>
        <v>#REF!</v>
      </c>
      <c r="Q539" s="200">
        <f t="shared" si="89"/>
        <v>0</v>
      </c>
      <c r="R539" s="200">
        <f t="shared" si="90"/>
        <v>0</v>
      </c>
      <c r="S539" s="200">
        <f t="shared" si="91"/>
        <v>0</v>
      </c>
      <c r="T539" s="200">
        <f t="shared" si="92"/>
        <v>0</v>
      </c>
      <c r="U539" s="688">
        <f t="shared" si="93"/>
        <v>0</v>
      </c>
      <c r="V539" s="200">
        <f t="shared" si="94"/>
        <v>0</v>
      </c>
      <c r="W539" s="689"/>
    </row>
    <row r="540" spans="1:23" s="236" customFormat="1" ht="24.95" hidden="1" customHeight="1" outlineLevel="1">
      <c r="A540" s="239">
        <v>7</v>
      </c>
      <c r="B540" s="239" t="s">
        <v>392</v>
      </c>
      <c r="C540" s="240">
        <v>10</v>
      </c>
      <c r="D540" s="690"/>
      <c r="E540" s="240"/>
      <c r="F540" s="836"/>
      <c r="G540" s="239">
        <v>1</v>
      </c>
      <c r="H540" s="203">
        <v>2</v>
      </c>
      <c r="I540" s="241">
        <v>100</v>
      </c>
      <c r="J540" s="234"/>
      <c r="K540" s="234">
        <v>2320</v>
      </c>
      <c r="L540" s="234"/>
      <c r="M540" s="241">
        <v>100</v>
      </c>
      <c r="N540" s="235" t="e">
        <f>(((I540+J540+K540+L540+M540)-C540*#REF!*2)/1000)</f>
        <v>#REF!</v>
      </c>
      <c r="O540" s="235"/>
      <c r="P540" s="200">
        <f t="shared" si="88"/>
        <v>0</v>
      </c>
      <c r="Q540" s="200" t="e">
        <f t="shared" si="89"/>
        <v>#REF!</v>
      </c>
      <c r="R540" s="200">
        <f t="shared" si="90"/>
        <v>0</v>
      </c>
      <c r="S540" s="200">
        <f t="shared" si="91"/>
        <v>0</v>
      </c>
      <c r="T540" s="200">
        <f t="shared" si="92"/>
        <v>0</v>
      </c>
      <c r="U540" s="688">
        <f t="shared" si="93"/>
        <v>0</v>
      </c>
      <c r="V540" s="200">
        <f t="shared" si="94"/>
        <v>0</v>
      </c>
      <c r="W540" s="689"/>
    </row>
    <row r="541" spans="1:23" s="236" customFormat="1" ht="24.95" hidden="1" customHeight="1" outlineLevel="1">
      <c r="A541" s="239"/>
      <c r="B541" s="239" t="s">
        <v>393</v>
      </c>
      <c r="C541" s="240">
        <v>10</v>
      </c>
      <c r="D541" s="690"/>
      <c r="E541" s="240"/>
      <c r="F541" s="836"/>
      <c r="G541" s="239">
        <f>G540</f>
        <v>1</v>
      </c>
      <c r="H541" s="203">
        <v>2</v>
      </c>
      <c r="I541" s="241">
        <v>100</v>
      </c>
      <c r="J541" s="234"/>
      <c r="K541" s="234">
        <v>2320</v>
      </c>
      <c r="L541" s="234"/>
      <c r="M541" s="241">
        <v>100</v>
      </c>
      <c r="N541" s="235" t="e">
        <f>(((I541+J541+K541+L541+M541)-C541*#REF!*2)/1000)</f>
        <v>#REF!</v>
      </c>
      <c r="O541" s="235"/>
      <c r="P541" s="200">
        <f t="shared" si="88"/>
        <v>0</v>
      </c>
      <c r="Q541" s="200" t="e">
        <f t="shared" si="89"/>
        <v>#REF!</v>
      </c>
      <c r="R541" s="200">
        <f t="shared" si="90"/>
        <v>0</v>
      </c>
      <c r="S541" s="200">
        <f t="shared" si="91"/>
        <v>0</v>
      </c>
      <c r="T541" s="200">
        <f t="shared" si="92"/>
        <v>0</v>
      </c>
      <c r="U541" s="688">
        <f t="shared" si="93"/>
        <v>0</v>
      </c>
      <c r="V541" s="200">
        <f t="shared" si="94"/>
        <v>0</v>
      </c>
      <c r="W541" s="689"/>
    </row>
    <row r="542" spans="1:23" s="236" customFormat="1" ht="24.95" hidden="1" customHeight="1" outlineLevel="1">
      <c r="A542" s="239"/>
      <c r="B542" s="239" t="s">
        <v>394</v>
      </c>
      <c r="C542" s="240">
        <v>8</v>
      </c>
      <c r="D542" s="690"/>
      <c r="E542" s="240"/>
      <c r="F542" s="836"/>
      <c r="G542" s="239">
        <f>G540</f>
        <v>1</v>
      </c>
      <c r="H542" s="203">
        <f>(K540/200)+1</f>
        <v>12.6</v>
      </c>
      <c r="I542" s="234"/>
      <c r="J542" s="234"/>
      <c r="K542" s="234">
        <v>820</v>
      </c>
      <c r="L542" s="234"/>
      <c r="M542" s="234"/>
      <c r="N542" s="235" t="e">
        <f>(((I542+J542+K542+L542+M542)-C542*#REF!*2)/1000)</f>
        <v>#REF!</v>
      </c>
      <c r="O542" s="235"/>
      <c r="P542" s="200" t="e">
        <f t="shared" si="88"/>
        <v>#REF!</v>
      </c>
      <c r="Q542" s="200">
        <f t="shared" si="89"/>
        <v>0</v>
      </c>
      <c r="R542" s="200">
        <f t="shared" si="90"/>
        <v>0</v>
      </c>
      <c r="S542" s="200">
        <f t="shared" si="91"/>
        <v>0</v>
      </c>
      <c r="T542" s="200">
        <f t="shared" si="92"/>
        <v>0</v>
      </c>
      <c r="U542" s="688">
        <f t="shared" si="93"/>
        <v>0</v>
      </c>
      <c r="V542" s="200">
        <f t="shared" si="94"/>
        <v>0</v>
      </c>
      <c r="W542" s="689"/>
    </row>
    <row r="543" spans="1:23" s="236" customFormat="1" ht="24.95" hidden="1" customHeight="1" outlineLevel="1">
      <c r="A543" s="239">
        <v>8</v>
      </c>
      <c r="B543" s="239" t="s">
        <v>392</v>
      </c>
      <c r="C543" s="240">
        <v>10</v>
      </c>
      <c r="D543" s="690"/>
      <c r="E543" s="240"/>
      <c r="F543" s="836"/>
      <c r="G543" s="239">
        <v>1</v>
      </c>
      <c r="H543" s="203">
        <v>2</v>
      </c>
      <c r="I543" s="241">
        <v>100</v>
      </c>
      <c r="J543" s="234"/>
      <c r="K543" s="234">
        <v>2010</v>
      </c>
      <c r="L543" s="234"/>
      <c r="M543" s="241">
        <v>100</v>
      </c>
      <c r="N543" s="235" t="e">
        <f>(((I543+J543+K543+L543+M543)-C543*#REF!*2)/1000)</f>
        <v>#REF!</v>
      </c>
      <c r="O543" s="235"/>
      <c r="P543" s="200">
        <f t="shared" si="88"/>
        <v>0</v>
      </c>
      <c r="Q543" s="200" t="e">
        <f t="shared" si="89"/>
        <v>#REF!</v>
      </c>
      <c r="R543" s="200">
        <f t="shared" si="90"/>
        <v>0</v>
      </c>
      <c r="S543" s="200">
        <f t="shared" si="91"/>
        <v>0</v>
      </c>
      <c r="T543" s="200">
        <f t="shared" si="92"/>
        <v>0</v>
      </c>
      <c r="U543" s="688">
        <f t="shared" si="93"/>
        <v>0</v>
      </c>
      <c r="V543" s="200">
        <f t="shared" si="94"/>
        <v>0</v>
      </c>
      <c r="W543" s="689"/>
    </row>
    <row r="544" spans="1:23" s="236" customFormat="1" ht="24.95" hidden="1" customHeight="1" outlineLevel="1">
      <c r="A544" s="239"/>
      <c r="B544" s="239" t="s">
        <v>393</v>
      </c>
      <c r="C544" s="240">
        <v>10</v>
      </c>
      <c r="D544" s="690"/>
      <c r="E544" s="240"/>
      <c r="F544" s="836"/>
      <c r="G544" s="239">
        <f>G543</f>
        <v>1</v>
      </c>
      <c r="H544" s="203">
        <v>2</v>
      </c>
      <c r="I544" s="241">
        <v>100</v>
      </c>
      <c r="J544" s="234"/>
      <c r="K544" s="234">
        <v>2010</v>
      </c>
      <c r="L544" s="234"/>
      <c r="M544" s="241">
        <v>100</v>
      </c>
      <c r="N544" s="235" t="e">
        <f>(((I544+J544+K544+L544+M544)-C544*#REF!*2)/1000)</f>
        <v>#REF!</v>
      </c>
      <c r="O544" s="235"/>
      <c r="P544" s="200">
        <f t="shared" si="88"/>
        <v>0</v>
      </c>
      <c r="Q544" s="200" t="e">
        <f t="shared" si="89"/>
        <v>#REF!</v>
      </c>
      <c r="R544" s="200">
        <f t="shared" si="90"/>
        <v>0</v>
      </c>
      <c r="S544" s="200">
        <f t="shared" si="91"/>
        <v>0</v>
      </c>
      <c r="T544" s="200">
        <f t="shared" si="92"/>
        <v>0</v>
      </c>
      <c r="U544" s="688">
        <f t="shared" si="93"/>
        <v>0</v>
      </c>
      <c r="V544" s="200">
        <f t="shared" si="94"/>
        <v>0</v>
      </c>
      <c r="W544" s="689"/>
    </row>
    <row r="545" spans="1:23" s="236" customFormat="1" ht="24.95" hidden="1" customHeight="1" outlineLevel="1">
      <c r="A545" s="239"/>
      <c r="B545" s="239" t="s">
        <v>394</v>
      </c>
      <c r="C545" s="240">
        <v>8</v>
      </c>
      <c r="D545" s="690"/>
      <c r="E545" s="240"/>
      <c r="F545" s="836"/>
      <c r="G545" s="239">
        <f>G543</f>
        <v>1</v>
      </c>
      <c r="H545" s="203">
        <f>(K543/200)+1</f>
        <v>11.05</v>
      </c>
      <c r="I545" s="234"/>
      <c r="J545" s="234"/>
      <c r="K545" s="234">
        <v>820</v>
      </c>
      <c r="L545" s="234"/>
      <c r="M545" s="234"/>
      <c r="N545" s="235" t="e">
        <f>(((I545+J545+K545+L545+M545)-C545*#REF!*2)/1000)</f>
        <v>#REF!</v>
      </c>
      <c r="O545" s="235"/>
      <c r="P545" s="200" t="e">
        <f t="shared" si="88"/>
        <v>#REF!</v>
      </c>
      <c r="Q545" s="200">
        <f t="shared" si="89"/>
        <v>0</v>
      </c>
      <c r="R545" s="200">
        <f t="shared" si="90"/>
        <v>0</v>
      </c>
      <c r="S545" s="200">
        <f t="shared" si="91"/>
        <v>0</v>
      </c>
      <c r="T545" s="200">
        <f t="shared" si="92"/>
        <v>0</v>
      </c>
      <c r="U545" s="688">
        <f t="shared" si="93"/>
        <v>0</v>
      </c>
      <c r="V545" s="200">
        <f t="shared" si="94"/>
        <v>0</v>
      </c>
      <c r="W545" s="689"/>
    </row>
    <row r="546" spans="1:23" s="236" customFormat="1" ht="24.95" hidden="1" customHeight="1" outlineLevel="1">
      <c r="A546" s="239">
        <v>9</v>
      </c>
      <c r="B546" s="239" t="s">
        <v>392</v>
      </c>
      <c r="C546" s="240">
        <v>10</v>
      </c>
      <c r="D546" s="690"/>
      <c r="E546" s="240"/>
      <c r="F546" s="836"/>
      <c r="G546" s="239">
        <v>1</v>
      </c>
      <c r="H546" s="203">
        <v>2</v>
      </c>
      <c r="I546" s="241">
        <v>100</v>
      </c>
      <c r="J546" s="234"/>
      <c r="K546" s="234">
        <v>2315</v>
      </c>
      <c r="L546" s="234"/>
      <c r="M546" s="241">
        <v>100</v>
      </c>
      <c r="N546" s="235" t="e">
        <f>(((I546+J546+K546+L546+M546)-C546*#REF!*2)/1000)</f>
        <v>#REF!</v>
      </c>
      <c r="O546" s="235"/>
      <c r="P546" s="200">
        <f t="shared" si="88"/>
        <v>0</v>
      </c>
      <c r="Q546" s="200" t="e">
        <f t="shared" si="89"/>
        <v>#REF!</v>
      </c>
      <c r="R546" s="200">
        <f t="shared" si="90"/>
        <v>0</v>
      </c>
      <c r="S546" s="200">
        <f t="shared" si="91"/>
        <v>0</v>
      </c>
      <c r="T546" s="200">
        <f t="shared" si="92"/>
        <v>0</v>
      </c>
      <c r="U546" s="688">
        <f t="shared" si="93"/>
        <v>0</v>
      </c>
      <c r="V546" s="200">
        <f t="shared" si="94"/>
        <v>0</v>
      </c>
      <c r="W546" s="689"/>
    </row>
    <row r="547" spans="1:23" s="236" customFormat="1" ht="24.95" hidden="1" customHeight="1" outlineLevel="1">
      <c r="A547" s="239"/>
      <c r="B547" s="239" t="s">
        <v>393</v>
      </c>
      <c r="C547" s="240">
        <v>10</v>
      </c>
      <c r="D547" s="690"/>
      <c r="E547" s="240"/>
      <c r="F547" s="836"/>
      <c r="G547" s="239">
        <f>G546</f>
        <v>1</v>
      </c>
      <c r="H547" s="203">
        <v>2</v>
      </c>
      <c r="I547" s="241">
        <v>100</v>
      </c>
      <c r="J547" s="234"/>
      <c r="K547" s="234">
        <v>2315</v>
      </c>
      <c r="L547" s="234"/>
      <c r="M547" s="241">
        <v>100</v>
      </c>
      <c r="N547" s="235" t="e">
        <f>(((I547+J547+K547+L547+M547)-C547*#REF!*2)/1000)</f>
        <v>#REF!</v>
      </c>
      <c r="O547" s="235"/>
      <c r="P547" s="200">
        <f t="shared" si="88"/>
        <v>0</v>
      </c>
      <c r="Q547" s="200" t="e">
        <f t="shared" si="89"/>
        <v>#REF!</v>
      </c>
      <c r="R547" s="200">
        <f t="shared" si="90"/>
        <v>0</v>
      </c>
      <c r="S547" s="200">
        <f t="shared" si="91"/>
        <v>0</v>
      </c>
      <c r="T547" s="200">
        <f t="shared" si="92"/>
        <v>0</v>
      </c>
      <c r="U547" s="688">
        <f t="shared" si="93"/>
        <v>0</v>
      </c>
      <c r="V547" s="200">
        <f t="shared" si="94"/>
        <v>0</v>
      </c>
      <c r="W547" s="689"/>
    </row>
    <row r="548" spans="1:23" s="236" customFormat="1" ht="24.95" hidden="1" customHeight="1" outlineLevel="1">
      <c r="A548" s="239"/>
      <c r="B548" s="239" t="s">
        <v>394</v>
      </c>
      <c r="C548" s="240">
        <v>8</v>
      </c>
      <c r="D548" s="690"/>
      <c r="E548" s="240"/>
      <c r="F548" s="836"/>
      <c r="G548" s="239">
        <f>G546</f>
        <v>1</v>
      </c>
      <c r="H548" s="203">
        <f>(K546/200)+1</f>
        <v>12.574999999999999</v>
      </c>
      <c r="I548" s="234"/>
      <c r="J548" s="234"/>
      <c r="K548" s="234">
        <v>820</v>
      </c>
      <c r="L548" s="234"/>
      <c r="M548" s="234"/>
      <c r="N548" s="235" t="e">
        <f>(((I548+J548+K548+L548+M548)-C548*#REF!*2)/1000)</f>
        <v>#REF!</v>
      </c>
      <c r="O548" s="235"/>
      <c r="P548" s="200" t="e">
        <f t="shared" si="88"/>
        <v>#REF!</v>
      </c>
      <c r="Q548" s="200">
        <f t="shared" si="89"/>
        <v>0</v>
      </c>
      <c r="R548" s="200">
        <f t="shared" si="90"/>
        <v>0</v>
      </c>
      <c r="S548" s="200">
        <f t="shared" si="91"/>
        <v>0</v>
      </c>
      <c r="T548" s="200">
        <f t="shared" si="92"/>
        <v>0</v>
      </c>
      <c r="U548" s="688">
        <f t="shared" si="93"/>
        <v>0</v>
      </c>
      <c r="V548" s="200">
        <f t="shared" si="94"/>
        <v>0</v>
      </c>
      <c r="W548" s="689"/>
    </row>
    <row r="549" spans="1:23" s="236" customFormat="1" ht="24.95" hidden="1" customHeight="1" outlineLevel="1">
      <c r="A549" s="239">
        <v>10</v>
      </c>
      <c r="B549" s="239" t="s">
        <v>392</v>
      </c>
      <c r="C549" s="240">
        <v>10</v>
      </c>
      <c r="D549" s="690"/>
      <c r="E549" s="240"/>
      <c r="F549" s="836"/>
      <c r="G549" s="239">
        <v>1</v>
      </c>
      <c r="H549" s="203">
        <v>2</v>
      </c>
      <c r="I549" s="241">
        <v>100</v>
      </c>
      <c r="J549" s="234"/>
      <c r="K549" s="234">
        <v>1660</v>
      </c>
      <c r="L549" s="234"/>
      <c r="M549" s="241">
        <v>100</v>
      </c>
      <c r="N549" s="235" t="e">
        <f>(((I549+J549+K549+L549+M549)-C549*#REF!*2)/1000)</f>
        <v>#REF!</v>
      </c>
      <c r="O549" s="235"/>
      <c r="P549" s="200">
        <f t="shared" si="88"/>
        <v>0</v>
      </c>
      <c r="Q549" s="200" t="e">
        <f t="shared" si="89"/>
        <v>#REF!</v>
      </c>
      <c r="R549" s="200">
        <f t="shared" si="90"/>
        <v>0</v>
      </c>
      <c r="S549" s="200">
        <f t="shared" si="91"/>
        <v>0</v>
      </c>
      <c r="T549" s="200">
        <f t="shared" si="92"/>
        <v>0</v>
      </c>
      <c r="U549" s="688">
        <f t="shared" si="93"/>
        <v>0</v>
      </c>
      <c r="V549" s="200">
        <f t="shared" si="94"/>
        <v>0</v>
      </c>
      <c r="W549" s="689"/>
    </row>
    <row r="550" spans="1:23" s="236" customFormat="1" ht="24.95" hidden="1" customHeight="1" outlineLevel="1">
      <c r="A550" s="239"/>
      <c r="B550" s="239" t="s">
        <v>393</v>
      </c>
      <c r="C550" s="240">
        <v>10</v>
      </c>
      <c r="D550" s="690"/>
      <c r="E550" s="240"/>
      <c r="F550" s="836"/>
      <c r="G550" s="239">
        <f>G549</f>
        <v>1</v>
      </c>
      <c r="H550" s="203">
        <v>2</v>
      </c>
      <c r="I550" s="241">
        <v>100</v>
      </c>
      <c r="J550" s="234"/>
      <c r="K550" s="234">
        <v>1660</v>
      </c>
      <c r="L550" s="234"/>
      <c r="M550" s="241">
        <v>100</v>
      </c>
      <c r="N550" s="235" t="e">
        <f>(((I550+J550+K550+L550+M550)-C550*#REF!*2)/1000)</f>
        <v>#REF!</v>
      </c>
      <c r="O550" s="235"/>
      <c r="P550" s="200">
        <f t="shared" si="88"/>
        <v>0</v>
      </c>
      <c r="Q550" s="200" t="e">
        <f t="shared" si="89"/>
        <v>#REF!</v>
      </c>
      <c r="R550" s="200">
        <f t="shared" si="90"/>
        <v>0</v>
      </c>
      <c r="S550" s="200">
        <f t="shared" si="91"/>
        <v>0</v>
      </c>
      <c r="T550" s="200">
        <f t="shared" si="92"/>
        <v>0</v>
      </c>
      <c r="U550" s="688">
        <f t="shared" si="93"/>
        <v>0</v>
      </c>
      <c r="V550" s="200">
        <f t="shared" si="94"/>
        <v>0</v>
      </c>
      <c r="W550" s="689"/>
    </row>
    <row r="551" spans="1:23" s="236" customFormat="1" ht="24.95" hidden="1" customHeight="1" outlineLevel="1">
      <c r="A551" s="239"/>
      <c r="B551" s="239" t="s">
        <v>394</v>
      </c>
      <c r="C551" s="240">
        <v>8</v>
      </c>
      <c r="D551" s="690"/>
      <c r="E551" s="240"/>
      <c r="F551" s="836"/>
      <c r="G551" s="239">
        <f>G549</f>
        <v>1</v>
      </c>
      <c r="H551" s="203">
        <f>(K549/200)+1</f>
        <v>9.3000000000000007</v>
      </c>
      <c r="I551" s="234"/>
      <c r="J551" s="234"/>
      <c r="K551" s="234">
        <v>820</v>
      </c>
      <c r="L551" s="234"/>
      <c r="M551" s="234"/>
      <c r="N551" s="235" t="e">
        <f>(((I551+J551+K551+L551+M551)-C551*#REF!*2)/1000)</f>
        <v>#REF!</v>
      </c>
      <c r="O551" s="235"/>
      <c r="P551" s="200" t="e">
        <f t="shared" si="88"/>
        <v>#REF!</v>
      </c>
      <c r="Q551" s="200">
        <f t="shared" si="89"/>
        <v>0</v>
      </c>
      <c r="R551" s="200">
        <f t="shared" si="90"/>
        <v>0</v>
      </c>
      <c r="S551" s="200">
        <f t="shared" si="91"/>
        <v>0</v>
      </c>
      <c r="T551" s="200">
        <f t="shared" si="92"/>
        <v>0</v>
      </c>
      <c r="U551" s="688">
        <f t="shared" si="93"/>
        <v>0</v>
      </c>
      <c r="V551" s="200">
        <f t="shared" si="94"/>
        <v>0</v>
      </c>
      <c r="W551" s="689"/>
    </row>
    <row r="552" spans="1:23" s="236" customFormat="1" ht="24.95" hidden="1" customHeight="1" outlineLevel="1">
      <c r="A552" s="239">
        <v>11</v>
      </c>
      <c r="B552" s="239" t="s">
        <v>392</v>
      </c>
      <c r="C552" s="240">
        <v>10</v>
      </c>
      <c r="D552" s="690"/>
      <c r="E552" s="240"/>
      <c r="F552" s="836"/>
      <c r="G552" s="239">
        <v>6</v>
      </c>
      <c r="H552" s="203">
        <v>2</v>
      </c>
      <c r="I552" s="241">
        <v>100</v>
      </c>
      <c r="J552" s="234"/>
      <c r="K552" s="241">
        <v>1025</v>
      </c>
      <c r="L552" s="234"/>
      <c r="M552" s="241">
        <v>100</v>
      </c>
      <c r="N552" s="235" t="e">
        <f>(((I552+J552+K552+L552+M552)-C552*#REF!*2)/1000)</f>
        <v>#REF!</v>
      </c>
      <c r="O552" s="235"/>
      <c r="P552" s="200">
        <f t="shared" si="88"/>
        <v>0</v>
      </c>
      <c r="Q552" s="200" t="e">
        <f t="shared" si="89"/>
        <v>#REF!</v>
      </c>
      <c r="R552" s="200">
        <f t="shared" si="90"/>
        <v>0</v>
      </c>
      <c r="S552" s="200">
        <f t="shared" si="91"/>
        <v>0</v>
      </c>
      <c r="T552" s="200">
        <f t="shared" si="92"/>
        <v>0</v>
      </c>
      <c r="U552" s="688">
        <f t="shared" si="93"/>
        <v>0</v>
      </c>
      <c r="V552" s="200">
        <f t="shared" si="94"/>
        <v>0</v>
      </c>
      <c r="W552" s="689"/>
    </row>
    <row r="553" spans="1:23" s="236" customFormat="1" ht="24.95" hidden="1" customHeight="1" outlineLevel="1">
      <c r="A553" s="239"/>
      <c r="B553" s="239" t="s">
        <v>393</v>
      </c>
      <c r="C553" s="240">
        <v>10</v>
      </c>
      <c r="D553" s="690"/>
      <c r="E553" s="240"/>
      <c r="F553" s="836"/>
      <c r="G553" s="239">
        <f>G552</f>
        <v>6</v>
      </c>
      <c r="H553" s="203">
        <v>2</v>
      </c>
      <c r="I553" s="241">
        <v>100</v>
      </c>
      <c r="J553" s="234"/>
      <c r="K553" s="241">
        <v>1025</v>
      </c>
      <c r="L553" s="234"/>
      <c r="M553" s="241">
        <v>100</v>
      </c>
      <c r="N553" s="235" t="e">
        <f>(((I553+J553+K553+L553+M553)-C553*#REF!*2)/1000)</f>
        <v>#REF!</v>
      </c>
      <c r="O553" s="235"/>
      <c r="P553" s="200">
        <f t="shared" si="88"/>
        <v>0</v>
      </c>
      <c r="Q553" s="200" t="e">
        <f t="shared" si="89"/>
        <v>#REF!</v>
      </c>
      <c r="R553" s="200">
        <f t="shared" si="90"/>
        <v>0</v>
      </c>
      <c r="S553" s="200">
        <f t="shared" si="91"/>
        <v>0</v>
      </c>
      <c r="T553" s="200">
        <f t="shared" si="92"/>
        <v>0</v>
      </c>
      <c r="U553" s="688">
        <f t="shared" si="93"/>
        <v>0</v>
      </c>
      <c r="V553" s="200">
        <f t="shared" si="94"/>
        <v>0</v>
      </c>
      <c r="W553" s="689"/>
    </row>
    <row r="554" spans="1:23" s="236" customFormat="1" ht="24.95" hidden="1" customHeight="1" outlineLevel="1">
      <c r="A554" s="239"/>
      <c r="B554" s="239" t="s">
        <v>394</v>
      </c>
      <c r="C554" s="240">
        <v>8</v>
      </c>
      <c r="D554" s="690"/>
      <c r="E554" s="240"/>
      <c r="F554" s="836"/>
      <c r="G554" s="239">
        <f>G552</f>
        <v>6</v>
      </c>
      <c r="H554" s="203">
        <f>(K552/200)+1</f>
        <v>6.125</v>
      </c>
      <c r="I554" s="234"/>
      <c r="J554" s="234"/>
      <c r="K554" s="234">
        <v>820</v>
      </c>
      <c r="L554" s="234"/>
      <c r="M554" s="234"/>
      <c r="N554" s="235" t="e">
        <f>(((I554+J554+K554+L554+M554)-C554*#REF!*2)/1000)</f>
        <v>#REF!</v>
      </c>
      <c r="O554" s="235"/>
      <c r="P554" s="200" t="e">
        <f t="shared" si="88"/>
        <v>#REF!</v>
      </c>
      <c r="Q554" s="200">
        <f t="shared" si="89"/>
        <v>0</v>
      </c>
      <c r="R554" s="200">
        <f t="shared" si="90"/>
        <v>0</v>
      </c>
      <c r="S554" s="200">
        <f t="shared" si="91"/>
        <v>0</v>
      </c>
      <c r="T554" s="200">
        <f t="shared" si="92"/>
        <v>0</v>
      </c>
      <c r="U554" s="688">
        <f t="shared" si="93"/>
        <v>0</v>
      </c>
      <c r="V554" s="200">
        <f t="shared" si="94"/>
        <v>0</v>
      </c>
      <c r="W554" s="689"/>
    </row>
    <row r="555" spans="1:23" s="236" customFormat="1" ht="24.95" hidden="1" customHeight="1" outlineLevel="1">
      <c r="A555" s="207">
        <v>12</v>
      </c>
      <c r="B555" s="208" t="s">
        <v>399</v>
      </c>
      <c r="C555" s="240">
        <v>12</v>
      </c>
      <c r="D555" s="690"/>
      <c r="E555" s="240"/>
      <c r="F555" s="836"/>
      <c r="G555" s="239">
        <v>3</v>
      </c>
      <c r="H555" s="203">
        <v>3</v>
      </c>
      <c r="I555" s="241">
        <v>100</v>
      </c>
      <c r="J555" s="234"/>
      <c r="K555" s="234">
        <v>2950</v>
      </c>
      <c r="L555" s="234"/>
      <c r="M555" s="241">
        <v>100</v>
      </c>
      <c r="N555" s="235" t="e">
        <f>(((I555+J555+K555+L555+M555)-C555*#REF!*2)/1000)</f>
        <v>#REF!</v>
      </c>
      <c r="O555" s="235"/>
      <c r="P555" s="200">
        <f t="shared" si="88"/>
        <v>0</v>
      </c>
      <c r="Q555" s="200">
        <f t="shared" si="89"/>
        <v>0</v>
      </c>
      <c r="R555" s="200" t="e">
        <f t="shared" si="90"/>
        <v>#REF!</v>
      </c>
      <c r="S555" s="200">
        <f t="shared" si="91"/>
        <v>0</v>
      </c>
      <c r="T555" s="200">
        <f t="shared" si="92"/>
        <v>0</v>
      </c>
      <c r="U555" s="688">
        <f t="shared" si="93"/>
        <v>0</v>
      </c>
      <c r="V555" s="200">
        <f t="shared" si="94"/>
        <v>0</v>
      </c>
      <c r="W555" s="689"/>
    </row>
    <row r="556" spans="1:23" s="236" customFormat="1" ht="24.95" hidden="1" customHeight="1" outlineLevel="1">
      <c r="A556" s="239"/>
      <c r="B556" s="239" t="s">
        <v>393</v>
      </c>
      <c r="C556" s="240">
        <v>12</v>
      </c>
      <c r="D556" s="690"/>
      <c r="E556" s="240"/>
      <c r="F556" s="836"/>
      <c r="G556" s="239">
        <f>G555</f>
        <v>3</v>
      </c>
      <c r="H556" s="203">
        <v>3</v>
      </c>
      <c r="I556" s="241">
        <v>100</v>
      </c>
      <c r="J556" s="234"/>
      <c r="K556" s="234">
        <v>2950</v>
      </c>
      <c r="L556" s="234"/>
      <c r="M556" s="241">
        <v>100</v>
      </c>
      <c r="N556" s="235" t="e">
        <f>(((I556+J556+K556+L556+M556)-C556*#REF!*2)/1000)</f>
        <v>#REF!</v>
      </c>
      <c r="O556" s="235"/>
      <c r="P556" s="200">
        <f t="shared" si="88"/>
        <v>0</v>
      </c>
      <c r="Q556" s="200">
        <f t="shared" si="89"/>
        <v>0</v>
      </c>
      <c r="R556" s="200" t="e">
        <f t="shared" si="90"/>
        <v>#REF!</v>
      </c>
      <c r="S556" s="200">
        <f t="shared" si="91"/>
        <v>0</v>
      </c>
      <c r="T556" s="200">
        <f t="shared" si="92"/>
        <v>0</v>
      </c>
      <c r="U556" s="688">
        <f t="shared" si="93"/>
        <v>0</v>
      </c>
      <c r="V556" s="200">
        <f t="shared" si="94"/>
        <v>0</v>
      </c>
      <c r="W556" s="689"/>
    </row>
    <row r="557" spans="1:23" s="236" customFormat="1" ht="24.95" hidden="1" customHeight="1" outlineLevel="1">
      <c r="A557" s="239"/>
      <c r="B557" s="239" t="s">
        <v>400</v>
      </c>
      <c r="C557" s="240">
        <v>8</v>
      </c>
      <c r="D557" s="690"/>
      <c r="E557" s="240"/>
      <c r="F557" s="836"/>
      <c r="G557" s="239">
        <f>G555</f>
        <v>3</v>
      </c>
      <c r="H557" s="203">
        <f>(K555/200)+1</f>
        <v>15.75</v>
      </c>
      <c r="I557" s="234"/>
      <c r="J557" s="234"/>
      <c r="K557" s="234">
        <v>1280</v>
      </c>
      <c r="L557" s="234"/>
      <c r="M557" s="234"/>
      <c r="N557" s="235" t="e">
        <f>(((I557+J557+K557+L557+M557)-C557*#REF!*2)/1000)</f>
        <v>#REF!</v>
      </c>
      <c r="O557" s="235"/>
      <c r="P557" s="200" t="e">
        <f t="shared" si="88"/>
        <v>#REF!</v>
      </c>
      <c r="Q557" s="200">
        <f t="shared" si="89"/>
        <v>0</v>
      </c>
      <c r="R557" s="200">
        <f t="shared" si="90"/>
        <v>0</v>
      </c>
      <c r="S557" s="200">
        <f t="shared" si="91"/>
        <v>0</v>
      </c>
      <c r="T557" s="200">
        <f t="shared" si="92"/>
        <v>0</v>
      </c>
      <c r="U557" s="688">
        <f t="shared" si="93"/>
        <v>0</v>
      </c>
      <c r="V557" s="200">
        <f t="shared" si="94"/>
        <v>0</v>
      </c>
      <c r="W557" s="689"/>
    </row>
    <row r="558" spans="1:23" s="236" customFormat="1" ht="24.95" hidden="1" customHeight="1" outlineLevel="1">
      <c r="A558" s="205" t="s">
        <v>429</v>
      </c>
      <c r="B558" s="206" t="s">
        <v>396</v>
      </c>
      <c r="C558" s="240"/>
      <c r="D558" s="690"/>
      <c r="E558" s="240"/>
      <c r="F558" s="836"/>
      <c r="G558" s="239"/>
      <c r="H558" s="203"/>
      <c r="I558" s="234"/>
      <c r="J558" s="234"/>
      <c r="K558" s="234"/>
      <c r="L558" s="234"/>
      <c r="M558" s="234"/>
      <c r="N558" s="235" t="e">
        <f>(((I558+J558+K558+L558+M558)-C558*#REF!*2)/1000)</f>
        <v>#REF!</v>
      </c>
      <c r="O558" s="235"/>
      <c r="P558" s="200">
        <f t="shared" si="88"/>
        <v>0</v>
      </c>
      <c r="Q558" s="200">
        <f t="shared" si="89"/>
        <v>0</v>
      </c>
      <c r="R558" s="200">
        <f t="shared" si="90"/>
        <v>0</v>
      </c>
      <c r="S558" s="200">
        <f t="shared" si="91"/>
        <v>0</v>
      </c>
      <c r="T558" s="200">
        <f t="shared" si="92"/>
        <v>0</v>
      </c>
      <c r="U558" s="688">
        <f t="shared" si="93"/>
        <v>0</v>
      </c>
      <c r="V558" s="200">
        <f t="shared" si="94"/>
        <v>0</v>
      </c>
      <c r="W558" s="689"/>
    </row>
    <row r="559" spans="1:23" s="236" customFormat="1" ht="24.95" hidden="1" customHeight="1" outlineLevel="1">
      <c r="A559" s="239">
        <v>1</v>
      </c>
      <c r="B559" s="239" t="s">
        <v>392</v>
      </c>
      <c r="C559" s="240">
        <v>10</v>
      </c>
      <c r="D559" s="690"/>
      <c r="E559" s="240"/>
      <c r="F559" s="836"/>
      <c r="G559" s="239">
        <v>2</v>
      </c>
      <c r="H559" s="203">
        <v>2</v>
      </c>
      <c r="I559" s="241">
        <v>100</v>
      </c>
      <c r="J559" s="234"/>
      <c r="K559" s="234">
        <v>2505</v>
      </c>
      <c r="L559" s="234"/>
      <c r="M559" s="241">
        <v>100</v>
      </c>
      <c r="N559" s="235" t="e">
        <f>(((I559+J559+K559+L559+M559)-C559*#REF!*2)/1000)</f>
        <v>#REF!</v>
      </c>
      <c r="O559" s="235"/>
      <c r="P559" s="200">
        <f t="shared" si="88"/>
        <v>0</v>
      </c>
      <c r="Q559" s="200" t="e">
        <f t="shared" si="89"/>
        <v>#REF!</v>
      </c>
      <c r="R559" s="200">
        <f t="shared" si="90"/>
        <v>0</v>
      </c>
      <c r="S559" s="200">
        <f t="shared" si="91"/>
        <v>0</v>
      </c>
      <c r="T559" s="200">
        <f t="shared" si="92"/>
        <v>0</v>
      </c>
      <c r="U559" s="688">
        <f t="shared" si="93"/>
        <v>0</v>
      </c>
      <c r="V559" s="200">
        <f t="shared" si="94"/>
        <v>0</v>
      </c>
      <c r="W559" s="689"/>
    </row>
    <row r="560" spans="1:23" s="236" customFormat="1" ht="24.95" hidden="1" customHeight="1" outlineLevel="1">
      <c r="A560" s="239"/>
      <c r="B560" s="239" t="s">
        <v>393</v>
      </c>
      <c r="C560" s="240">
        <v>10</v>
      </c>
      <c r="D560" s="690"/>
      <c r="E560" s="240"/>
      <c r="F560" s="836"/>
      <c r="G560" s="239">
        <v>2</v>
      </c>
      <c r="H560" s="203">
        <v>2</v>
      </c>
      <c r="I560" s="241">
        <v>100</v>
      </c>
      <c r="J560" s="234"/>
      <c r="K560" s="234">
        <v>2505</v>
      </c>
      <c r="L560" s="234"/>
      <c r="M560" s="241">
        <v>100</v>
      </c>
      <c r="N560" s="235" t="e">
        <f>(((I560+J560+K560+L560+M560)-C560*#REF!*2)/1000)</f>
        <v>#REF!</v>
      </c>
      <c r="O560" s="235"/>
      <c r="P560" s="200">
        <f t="shared" si="88"/>
        <v>0</v>
      </c>
      <c r="Q560" s="200" t="e">
        <f t="shared" si="89"/>
        <v>#REF!</v>
      </c>
      <c r="R560" s="200">
        <f t="shared" si="90"/>
        <v>0</v>
      </c>
      <c r="S560" s="200">
        <f t="shared" si="91"/>
        <v>0</v>
      </c>
      <c r="T560" s="200">
        <f t="shared" si="92"/>
        <v>0</v>
      </c>
      <c r="U560" s="688">
        <f t="shared" si="93"/>
        <v>0</v>
      </c>
      <c r="V560" s="200">
        <f t="shared" si="94"/>
        <v>0</v>
      </c>
      <c r="W560" s="689"/>
    </row>
    <row r="561" spans="1:23" s="236" customFormat="1" ht="24.95" hidden="1" customHeight="1" outlineLevel="1">
      <c r="A561" s="239"/>
      <c r="B561" s="239" t="s">
        <v>394</v>
      </c>
      <c r="C561" s="240">
        <v>8</v>
      </c>
      <c r="D561" s="690"/>
      <c r="E561" s="240"/>
      <c r="F561" s="836"/>
      <c r="G561" s="239">
        <v>2</v>
      </c>
      <c r="H561" s="203">
        <f>(K559/200)+1</f>
        <v>13.525</v>
      </c>
      <c r="I561" s="234"/>
      <c r="J561" s="234"/>
      <c r="K561" s="234">
        <v>820</v>
      </c>
      <c r="L561" s="234"/>
      <c r="M561" s="234"/>
      <c r="N561" s="235" t="e">
        <f>(((I561+J561+K561+L561+M561)-C561*#REF!*2)/1000)</f>
        <v>#REF!</v>
      </c>
      <c r="O561" s="235"/>
      <c r="P561" s="200" t="e">
        <f t="shared" si="88"/>
        <v>#REF!</v>
      </c>
      <c r="Q561" s="200">
        <f t="shared" si="89"/>
        <v>0</v>
      </c>
      <c r="R561" s="200">
        <f t="shared" si="90"/>
        <v>0</v>
      </c>
      <c r="S561" s="200">
        <f t="shared" si="91"/>
        <v>0</v>
      </c>
      <c r="T561" s="200">
        <f t="shared" si="92"/>
        <v>0</v>
      </c>
      <c r="U561" s="688">
        <f t="shared" si="93"/>
        <v>0</v>
      </c>
      <c r="V561" s="200">
        <f t="shared" si="94"/>
        <v>0</v>
      </c>
      <c r="W561" s="689"/>
    </row>
    <row r="562" spans="1:23" s="236" customFormat="1" ht="24.95" hidden="1" customHeight="1" outlineLevel="1">
      <c r="A562" s="239">
        <v>2</v>
      </c>
      <c r="B562" s="239" t="s">
        <v>392</v>
      </c>
      <c r="C562" s="240">
        <v>10</v>
      </c>
      <c r="D562" s="690"/>
      <c r="E562" s="240"/>
      <c r="F562" s="836"/>
      <c r="G562" s="239">
        <v>2</v>
      </c>
      <c r="H562" s="203">
        <v>2</v>
      </c>
      <c r="I562" s="241">
        <v>100</v>
      </c>
      <c r="J562" s="234"/>
      <c r="K562" s="234">
        <v>5525</v>
      </c>
      <c r="L562" s="234"/>
      <c r="M562" s="241">
        <v>100</v>
      </c>
      <c r="N562" s="235" t="e">
        <f>(((I562+J562+K562+L562+M562)-C562*#REF!*2)/1000)</f>
        <v>#REF!</v>
      </c>
      <c r="O562" s="235"/>
      <c r="P562" s="200">
        <f t="shared" si="88"/>
        <v>0</v>
      </c>
      <c r="Q562" s="200" t="e">
        <f t="shared" si="89"/>
        <v>#REF!</v>
      </c>
      <c r="R562" s="200">
        <f t="shared" si="90"/>
        <v>0</v>
      </c>
      <c r="S562" s="200">
        <f t="shared" si="91"/>
        <v>0</v>
      </c>
      <c r="T562" s="200">
        <f t="shared" si="92"/>
        <v>0</v>
      </c>
      <c r="U562" s="688">
        <f t="shared" si="93"/>
        <v>0</v>
      </c>
      <c r="V562" s="200">
        <f t="shared" si="94"/>
        <v>0</v>
      </c>
      <c r="W562" s="689"/>
    </row>
    <row r="563" spans="1:23" s="236" customFormat="1" ht="24.95" hidden="1" customHeight="1" outlineLevel="1">
      <c r="A563" s="239"/>
      <c r="B563" s="239" t="s">
        <v>393</v>
      </c>
      <c r="C563" s="240">
        <v>10</v>
      </c>
      <c r="D563" s="690"/>
      <c r="E563" s="240"/>
      <c r="F563" s="836"/>
      <c r="G563" s="239">
        <v>2</v>
      </c>
      <c r="H563" s="203">
        <v>2</v>
      </c>
      <c r="I563" s="241">
        <v>100</v>
      </c>
      <c r="J563" s="234"/>
      <c r="K563" s="234">
        <v>5525</v>
      </c>
      <c r="L563" s="234"/>
      <c r="M563" s="241">
        <v>100</v>
      </c>
      <c r="N563" s="235" t="e">
        <f>(((I563+J563+K563+L563+M563)-C563*#REF!*2)/1000)</f>
        <v>#REF!</v>
      </c>
      <c r="O563" s="235"/>
      <c r="P563" s="200">
        <f t="shared" si="88"/>
        <v>0</v>
      </c>
      <c r="Q563" s="200" t="e">
        <f t="shared" si="89"/>
        <v>#REF!</v>
      </c>
      <c r="R563" s="200">
        <f t="shared" si="90"/>
        <v>0</v>
      </c>
      <c r="S563" s="200">
        <f t="shared" si="91"/>
        <v>0</v>
      </c>
      <c r="T563" s="200">
        <f t="shared" si="92"/>
        <v>0</v>
      </c>
      <c r="U563" s="688">
        <f t="shared" si="93"/>
        <v>0</v>
      </c>
      <c r="V563" s="200">
        <f t="shared" si="94"/>
        <v>0</v>
      </c>
      <c r="W563" s="689"/>
    </row>
    <row r="564" spans="1:23" s="236" customFormat="1" ht="24.95" hidden="1" customHeight="1" outlineLevel="1">
      <c r="A564" s="239"/>
      <c r="B564" s="239" t="s">
        <v>394</v>
      </c>
      <c r="C564" s="240">
        <v>8</v>
      </c>
      <c r="D564" s="690"/>
      <c r="E564" s="240"/>
      <c r="F564" s="836"/>
      <c r="G564" s="239">
        <v>2</v>
      </c>
      <c r="H564" s="203">
        <f>(K562/200)+1</f>
        <v>28.625</v>
      </c>
      <c r="I564" s="234"/>
      <c r="J564" s="234"/>
      <c r="K564" s="234">
        <v>820</v>
      </c>
      <c r="L564" s="234"/>
      <c r="M564" s="234"/>
      <c r="N564" s="235" t="e">
        <f>(((I564+J564+K564+L564+M564)-C564*#REF!*2)/1000)</f>
        <v>#REF!</v>
      </c>
      <c r="O564" s="235"/>
      <c r="P564" s="200" t="e">
        <f t="shared" si="88"/>
        <v>#REF!</v>
      </c>
      <c r="Q564" s="200">
        <f t="shared" si="89"/>
        <v>0</v>
      </c>
      <c r="R564" s="200">
        <f t="shared" si="90"/>
        <v>0</v>
      </c>
      <c r="S564" s="200">
        <f t="shared" si="91"/>
        <v>0</v>
      </c>
      <c r="T564" s="200">
        <f t="shared" si="92"/>
        <v>0</v>
      </c>
      <c r="U564" s="688">
        <f t="shared" si="93"/>
        <v>0</v>
      </c>
      <c r="V564" s="200">
        <f t="shared" si="94"/>
        <v>0</v>
      </c>
      <c r="W564" s="689"/>
    </row>
    <row r="565" spans="1:23" s="236" customFormat="1" ht="24.95" hidden="1" customHeight="1" outlineLevel="1">
      <c r="A565" s="239">
        <v>3</v>
      </c>
      <c r="B565" s="239" t="s">
        <v>392</v>
      </c>
      <c r="C565" s="240">
        <v>10</v>
      </c>
      <c r="D565" s="690"/>
      <c r="E565" s="240"/>
      <c r="F565" s="836"/>
      <c r="G565" s="239">
        <v>2</v>
      </c>
      <c r="H565" s="203">
        <v>2</v>
      </c>
      <c r="I565" s="241">
        <v>100</v>
      </c>
      <c r="J565" s="234"/>
      <c r="K565" s="234">
        <v>6560</v>
      </c>
      <c r="L565" s="234"/>
      <c r="M565" s="241">
        <v>100</v>
      </c>
      <c r="N565" s="235" t="e">
        <f>(((I565+J565+K565+L565+M565)-C565*#REF!*2)/1000)</f>
        <v>#REF!</v>
      </c>
      <c r="O565" s="235"/>
      <c r="P565" s="200">
        <f t="shared" si="88"/>
        <v>0</v>
      </c>
      <c r="Q565" s="200" t="e">
        <f t="shared" si="89"/>
        <v>#REF!</v>
      </c>
      <c r="R565" s="200">
        <f t="shared" si="90"/>
        <v>0</v>
      </c>
      <c r="S565" s="200">
        <f t="shared" si="91"/>
        <v>0</v>
      </c>
      <c r="T565" s="200">
        <f t="shared" si="92"/>
        <v>0</v>
      </c>
      <c r="U565" s="688">
        <f t="shared" si="93"/>
        <v>0</v>
      </c>
      <c r="V565" s="200">
        <f t="shared" si="94"/>
        <v>0</v>
      </c>
      <c r="W565" s="689"/>
    </row>
    <row r="566" spans="1:23" s="236" customFormat="1" ht="24.95" hidden="1" customHeight="1" outlineLevel="1">
      <c r="A566" s="239"/>
      <c r="B566" s="239" t="s">
        <v>393</v>
      </c>
      <c r="C566" s="240">
        <v>10</v>
      </c>
      <c r="D566" s="690"/>
      <c r="E566" s="240"/>
      <c r="F566" s="836"/>
      <c r="G566" s="239">
        <v>2</v>
      </c>
      <c r="H566" s="203">
        <v>2</v>
      </c>
      <c r="I566" s="241">
        <v>100</v>
      </c>
      <c r="J566" s="234"/>
      <c r="K566" s="234">
        <v>6560</v>
      </c>
      <c r="L566" s="234"/>
      <c r="M566" s="241">
        <v>100</v>
      </c>
      <c r="N566" s="235" t="e">
        <f>(((I566+J566+K566+L566+M566)-C566*#REF!*2)/1000)</f>
        <v>#REF!</v>
      </c>
      <c r="O566" s="235"/>
      <c r="P566" s="200">
        <f t="shared" si="88"/>
        <v>0</v>
      </c>
      <c r="Q566" s="200" t="e">
        <f t="shared" si="89"/>
        <v>#REF!</v>
      </c>
      <c r="R566" s="200">
        <f t="shared" si="90"/>
        <v>0</v>
      </c>
      <c r="S566" s="200">
        <f t="shared" si="91"/>
        <v>0</v>
      </c>
      <c r="T566" s="200">
        <f t="shared" si="92"/>
        <v>0</v>
      </c>
      <c r="U566" s="688">
        <f t="shared" si="93"/>
        <v>0</v>
      </c>
      <c r="V566" s="200">
        <f t="shared" si="94"/>
        <v>0</v>
      </c>
      <c r="W566" s="689"/>
    </row>
    <row r="567" spans="1:23" s="236" customFormat="1" ht="24.95" hidden="1" customHeight="1" outlineLevel="1">
      <c r="A567" s="239"/>
      <c r="B567" s="239" t="s">
        <v>394</v>
      </c>
      <c r="C567" s="240">
        <v>8</v>
      </c>
      <c r="D567" s="690"/>
      <c r="E567" s="240"/>
      <c r="F567" s="836"/>
      <c r="G567" s="239">
        <v>2</v>
      </c>
      <c r="H567" s="203">
        <f>(K565/200)+1</f>
        <v>33.799999999999997</v>
      </c>
      <c r="I567" s="234"/>
      <c r="J567" s="234"/>
      <c r="K567" s="234">
        <v>820</v>
      </c>
      <c r="L567" s="234"/>
      <c r="M567" s="234"/>
      <c r="N567" s="235" t="e">
        <f>(((I567+J567+K567+L567+M567)-C567*#REF!*2)/1000)</f>
        <v>#REF!</v>
      </c>
      <c r="O567" s="235"/>
      <c r="P567" s="200" t="e">
        <f t="shared" si="88"/>
        <v>#REF!</v>
      </c>
      <c r="Q567" s="200">
        <f t="shared" si="89"/>
        <v>0</v>
      </c>
      <c r="R567" s="200">
        <f t="shared" si="90"/>
        <v>0</v>
      </c>
      <c r="S567" s="200">
        <f t="shared" si="91"/>
        <v>0</v>
      </c>
      <c r="T567" s="200">
        <f t="shared" si="92"/>
        <v>0</v>
      </c>
      <c r="U567" s="688">
        <f t="shared" si="93"/>
        <v>0</v>
      </c>
      <c r="V567" s="200">
        <f t="shared" si="94"/>
        <v>0</v>
      </c>
      <c r="W567" s="689"/>
    </row>
    <row r="568" spans="1:23" s="236" customFormat="1" ht="24.95" hidden="1" customHeight="1" outlineLevel="1">
      <c r="A568" s="239">
        <v>4</v>
      </c>
      <c r="B568" s="239" t="s">
        <v>392</v>
      </c>
      <c r="C568" s="240">
        <v>10</v>
      </c>
      <c r="D568" s="690"/>
      <c r="E568" s="240"/>
      <c r="F568" s="836"/>
      <c r="G568" s="239">
        <v>2</v>
      </c>
      <c r="H568" s="203">
        <v>2</v>
      </c>
      <c r="I568" s="241">
        <v>100</v>
      </c>
      <c r="J568" s="234"/>
      <c r="K568" s="234">
        <v>7130</v>
      </c>
      <c r="L568" s="234"/>
      <c r="M568" s="241">
        <v>100</v>
      </c>
      <c r="N568" s="235" t="e">
        <f>(((I568+J568+K568+L568+M568)-C568*#REF!*2)/1000)</f>
        <v>#REF!</v>
      </c>
      <c r="O568" s="235"/>
      <c r="P568" s="200">
        <f t="shared" si="88"/>
        <v>0</v>
      </c>
      <c r="Q568" s="200" t="e">
        <f t="shared" si="89"/>
        <v>#REF!</v>
      </c>
      <c r="R568" s="200">
        <f t="shared" si="90"/>
        <v>0</v>
      </c>
      <c r="S568" s="200">
        <f t="shared" si="91"/>
        <v>0</v>
      </c>
      <c r="T568" s="200">
        <f t="shared" si="92"/>
        <v>0</v>
      </c>
      <c r="U568" s="688">
        <f t="shared" si="93"/>
        <v>0</v>
      </c>
      <c r="V568" s="200">
        <f t="shared" si="94"/>
        <v>0</v>
      </c>
      <c r="W568" s="689"/>
    </row>
    <row r="569" spans="1:23" s="236" customFormat="1" ht="24.95" hidden="1" customHeight="1" outlineLevel="1">
      <c r="A569" s="239"/>
      <c r="B569" s="239" t="s">
        <v>393</v>
      </c>
      <c r="C569" s="240">
        <v>10</v>
      </c>
      <c r="D569" s="690"/>
      <c r="E569" s="240"/>
      <c r="F569" s="836"/>
      <c r="G569" s="239">
        <v>2</v>
      </c>
      <c r="H569" s="203">
        <v>2</v>
      </c>
      <c r="I569" s="241">
        <v>100</v>
      </c>
      <c r="J569" s="234"/>
      <c r="K569" s="234">
        <v>7130</v>
      </c>
      <c r="L569" s="234"/>
      <c r="M569" s="241">
        <v>100</v>
      </c>
      <c r="N569" s="235" t="e">
        <f>(((I569+J569+K569+L569+M569)-C569*#REF!*2)/1000)</f>
        <v>#REF!</v>
      </c>
      <c r="O569" s="235"/>
      <c r="P569" s="200">
        <f t="shared" si="88"/>
        <v>0</v>
      </c>
      <c r="Q569" s="200" t="e">
        <f t="shared" si="89"/>
        <v>#REF!</v>
      </c>
      <c r="R569" s="200">
        <f t="shared" si="90"/>
        <v>0</v>
      </c>
      <c r="S569" s="200">
        <f t="shared" si="91"/>
        <v>0</v>
      </c>
      <c r="T569" s="200">
        <f t="shared" si="92"/>
        <v>0</v>
      </c>
      <c r="U569" s="688">
        <f t="shared" si="93"/>
        <v>0</v>
      </c>
      <c r="V569" s="200">
        <f t="shared" si="94"/>
        <v>0</v>
      </c>
      <c r="W569" s="689"/>
    </row>
    <row r="570" spans="1:23" s="236" customFormat="1" ht="24.95" hidden="1" customHeight="1" outlineLevel="1">
      <c r="A570" s="239"/>
      <c r="B570" s="239" t="s">
        <v>394</v>
      </c>
      <c r="C570" s="240">
        <v>8</v>
      </c>
      <c r="D570" s="690"/>
      <c r="E570" s="240"/>
      <c r="F570" s="836"/>
      <c r="G570" s="239">
        <v>2</v>
      </c>
      <c r="H570" s="203">
        <f>(K568/200)+1</f>
        <v>36.65</v>
      </c>
      <c r="I570" s="234"/>
      <c r="J570" s="234"/>
      <c r="K570" s="234">
        <v>820</v>
      </c>
      <c r="L570" s="234"/>
      <c r="M570" s="234"/>
      <c r="N570" s="235" t="e">
        <f>(((I570+J570+K570+L570+M570)-C570*#REF!*2)/1000)</f>
        <v>#REF!</v>
      </c>
      <c r="O570" s="235"/>
      <c r="P570" s="200" t="e">
        <f t="shared" si="88"/>
        <v>#REF!</v>
      </c>
      <c r="Q570" s="200">
        <f t="shared" si="89"/>
        <v>0</v>
      </c>
      <c r="R570" s="200">
        <f t="shared" si="90"/>
        <v>0</v>
      </c>
      <c r="S570" s="200">
        <f t="shared" si="91"/>
        <v>0</v>
      </c>
      <c r="T570" s="200">
        <f t="shared" si="92"/>
        <v>0</v>
      </c>
      <c r="U570" s="688">
        <f t="shared" si="93"/>
        <v>0</v>
      </c>
      <c r="V570" s="200">
        <f t="shared" si="94"/>
        <v>0</v>
      </c>
      <c r="W570" s="689"/>
    </row>
    <row r="571" spans="1:23" s="236" customFormat="1" ht="24.95" hidden="1" customHeight="1" outlineLevel="1">
      <c r="A571" s="239">
        <v>5</v>
      </c>
      <c r="B571" s="239" t="s">
        <v>392</v>
      </c>
      <c r="C571" s="240">
        <v>10</v>
      </c>
      <c r="D571" s="690"/>
      <c r="E571" s="240"/>
      <c r="F571" s="836"/>
      <c r="G571" s="239">
        <v>2</v>
      </c>
      <c r="H571" s="203">
        <v>2</v>
      </c>
      <c r="I571" s="241">
        <v>100</v>
      </c>
      <c r="J571" s="234"/>
      <c r="K571" s="234">
        <v>6300</v>
      </c>
      <c r="L571" s="234"/>
      <c r="M571" s="241">
        <v>100</v>
      </c>
      <c r="N571" s="235" t="e">
        <f>(((I571+J571+K571+L571+M571)-C571*#REF!*2)/1000)</f>
        <v>#REF!</v>
      </c>
      <c r="O571" s="235"/>
      <c r="P571" s="200">
        <f t="shared" si="88"/>
        <v>0</v>
      </c>
      <c r="Q571" s="200" t="e">
        <f t="shared" si="89"/>
        <v>#REF!</v>
      </c>
      <c r="R571" s="200">
        <f t="shared" si="90"/>
        <v>0</v>
      </c>
      <c r="S571" s="200">
        <f t="shared" si="91"/>
        <v>0</v>
      </c>
      <c r="T571" s="200">
        <f t="shared" si="92"/>
        <v>0</v>
      </c>
      <c r="U571" s="688">
        <f t="shared" si="93"/>
        <v>0</v>
      </c>
      <c r="V571" s="200">
        <f t="shared" si="94"/>
        <v>0</v>
      </c>
      <c r="W571" s="689"/>
    </row>
    <row r="572" spans="1:23" s="236" customFormat="1" ht="24.95" hidden="1" customHeight="1" outlineLevel="1">
      <c r="A572" s="239"/>
      <c r="B572" s="239" t="s">
        <v>393</v>
      </c>
      <c r="C572" s="240">
        <v>10</v>
      </c>
      <c r="D572" s="690"/>
      <c r="E572" s="240"/>
      <c r="F572" s="836"/>
      <c r="G572" s="239">
        <v>2</v>
      </c>
      <c r="H572" s="203">
        <v>2</v>
      </c>
      <c r="I572" s="241">
        <v>100</v>
      </c>
      <c r="J572" s="234"/>
      <c r="K572" s="234">
        <v>6300</v>
      </c>
      <c r="L572" s="234"/>
      <c r="M572" s="241">
        <v>100</v>
      </c>
      <c r="N572" s="235" t="e">
        <f>(((I572+J572+K572+L572+M572)-C572*#REF!*2)/1000)</f>
        <v>#REF!</v>
      </c>
      <c r="O572" s="235"/>
      <c r="P572" s="200">
        <f t="shared" si="88"/>
        <v>0</v>
      </c>
      <c r="Q572" s="200" t="e">
        <f t="shared" si="89"/>
        <v>#REF!</v>
      </c>
      <c r="R572" s="200">
        <f t="shared" si="90"/>
        <v>0</v>
      </c>
      <c r="S572" s="200">
        <f t="shared" si="91"/>
        <v>0</v>
      </c>
      <c r="T572" s="200">
        <f t="shared" si="92"/>
        <v>0</v>
      </c>
      <c r="U572" s="688">
        <f t="shared" si="93"/>
        <v>0</v>
      </c>
      <c r="V572" s="200">
        <f t="shared" si="94"/>
        <v>0</v>
      </c>
      <c r="W572" s="689"/>
    </row>
    <row r="573" spans="1:23" s="236" customFormat="1" ht="24.95" hidden="1" customHeight="1" outlineLevel="1">
      <c r="A573" s="239"/>
      <c r="B573" s="239" t="s">
        <v>394</v>
      </c>
      <c r="C573" s="240">
        <v>8</v>
      </c>
      <c r="D573" s="690"/>
      <c r="E573" s="240"/>
      <c r="F573" s="836"/>
      <c r="G573" s="239">
        <v>2</v>
      </c>
      <c r="H573" s="203">
        <f>(K571/200)+1</f>
        <v>32.5</v>
      </c>
      <c r="I573" s="234"/>
      <c r="J573" s="234"/>
      <c r="K573" s="234">
        <v>820</v>
      </c>
      <c r="L573" s="234"/>
      <c r="M573" s="234"/>
      <c r="N573" s="235" t="e">
        <f>(((I573+J573+K573+L573+M573)-C573*#REF!*2)/1000)</f>
        <v>#REF!</v>
      </c>
      <c r="O573" s="235"/>
      <c r="P573" s="200" t="e">
        <f t="shared" si="88"/>
        <v>#REF!</v>
      </c>
      <c r="Q573" s="200">
        <f t="shared" si="89"/>
        <v>0</v>
      </c>
      <c r="R573" s="200">
        <f t="shared" si="90"/>
        <v>0</v>
      </c>
      <c r="S573" s="200">
        <f t="shared" si="91"/>
        <v>0</v>
      </c>
      <c r="T573" s="200">
        <f t="shared" si="92"/>
        <v>0</v>
      </c>
      <c r="U573" s="688">
        <f t="shared" si="93"/>
        <v>0</v>
      </c>
      <c r="V573" s="200">
        <f t="shared" si="94"/>
        <v>0</v>
      </c>
      <c r="W573" s="689"/>
    </row>
    <row r="574" spans="1:23" s="236" customFormat="1" ht="24.95" hidden="1" customHeight="1" outlineLevel="1">
      <c r="A574" s="239">
        <v>6</v>
      </c>
      <c r="B574" s="239" t="s">
        <v>392</v>
      </c>
      <c r="C574" s="240">
        <v>10</v>
      </c>
      <c r="D574" s="690"/>
      <c r="E574" s="240"/>
      <c r="F574" s="836"/>
      <c r="G574" s="239">
        <v>2</v>
      </c>
      <c r="H574" s="203">
        <v>2</v>
      </c>
      <c r="I574" s="241">
        <v>100</v>
      </c>
      <c r="J574" s="234"/>
      <c r="K574" s="234">
        <v>4825</v>
      </c>
      <c r="L574" s="234"/>
      <c r="M574" s="241">
        <v>100</v>
      </c>
      <c r="N574" s="235" t="e">
        <f>(((I574+J574+K574+L574+M574)-C574*#REF!*2)/1000)</f>
        <v>#REF!</v>
      </c>
      <c r="O574" s="235"/>
      <c r="P574" s="200">
        <f t="shared" si="88"/>
        <v>0</v>
      </c>
      <c r="Q574" s="200" t="e">
        <f t="shared" si="89"/>
        <v>#REF!</v>
      </c>
      <c r="R574" s="200">
        <f t="shared" si="90"/>
        <v>0</v>
      </c>
      <c r="S574" s="200">
        <f t="shared" si="91"/>
        <v>0</v>
      </c>
      <c r="T574" s="200">
        <f t="shared" si="92"/>
        <v>0</v>
      </c>
      <c r="U574" s="688">
        <f t="shared" si="93"/>
        <v>0</v>
      </c>
      <c r="V574" s="200">
        <f t="shared" si="94"/>
        <v>0</v>
      </c>
      <c r="W574" s="689"/>
    </row>
    <row r="575" spans="1:23" s="236" customFormat="1" ht="24.95" hidden="1" customHeight="1" outlineLevel="1">
      <c r="A575" s="239"/>
      <c r="B575" s="239" t="s">
        <v>393</v>
      </c>
      <c r="C575" s="240">
        <v>10</v>
      </c>
      <c r="D575" s="690"/>
      <c r="E575" s="240"/>
      <c r="F575" s="836"/>
      <c r="G575" s="239">
        <v>2</v>
      </c>
      <c r="H575" s="203">
        <v>2</v>
      </c>
      <c r="I575" s="241">
        <v>100</v>
      </c>
      <c r="J575" s="234"/>
      <c r="K575" s="234">
        <v>4825</v>
      </c>
      <c r="L575" s="234"/>
      <c r="M575" s="241">
        <v>100</v>
      </c>
      <c r="N575" s="235" t="e">
        <f>(((I575+J575+K575+L575+M575)-C575*#REF!*2)/1000)</f>
        <v>#REF!</v>
      </c>
      <c r="O575" s="235"/>
      <c r="P575" s="200">
        <f t="shared" si="88"/>
        <v>0</v>
      </c>
      <c r="Q575" s="200" t="e">
        <f t="shared" si="89"/>
        <v>#REF!</v>
      </c>
      <c r="R575" s="200">
        <f t="shared" si="90"/>
        <v>0</v>
      </c>
      <c r="S575" s="200">
        <f t="shared" si="91"/>
        <v>0</v>
      </c>
      <c r="T575" s="200">
        <f t="shared" si="92"/>
        <v>0</v>
      </c>
      <c r="U575" s="688">
        <f t="shared" si="93"/>
        <v>0</v>
      </c>
      <c r="V575" s="200">
        <f t="shared" si="94"/>
        <v>0</v>
      </c>
      <c r="W575" s="689"/>
    </row>
    <row r="576" spans="1:23" s="236" customFormat="1" ht="24.95" hidden="1" customHeight="1" outlineLevel="1">
      <c r="A576" s="239"/>
      <c r="B576" s="239" t="s">
        <v>394</v>
      </c>
      <c r="C576" s="240">
        <v>8</v>
      </c>
      <c r="D576" s="690"/>
      <c r="E576" s="240"/>
      <c r="F576" s="836"/>
      <c r="G576" s="239">
        <v>2</v>
      </c>
      <c r="H576" s="203">
        <f>(K574/200)+1</f>
        <v>25.125</v>
      </c>
      <c r="I576" s="234"/>
      <c r="J576" s="234"/>
      <c r="K576" s="234">
        <v>820</v>
      </c>
      <c r="L576" s="234"/>
      <c r="M576" s="234"/>
      <c r="N576" s="235" t="e">
        <f>(((I576+J576+K576+L576+M576)-C576*#REF!*2)/1000)</f>
        <v>#REF!</v>
      </c>
      <c r="O576" s="235"/>
      <c r="P576" s="200" t="e">
        <f t="shared" si="88"/>
        <v>#REF!</v>
      </c>
      <c r="Q576" s="200">
        <f t="shared" si="89"/>
        <v>0</v>
      </c>
      <c r="R576" s="200">
        <f t="shared" si="90"/>
        <v>0</v>
      </c>
      <c r="S576" s="200">
        <f t="shared" si="91"/>
        <v>0</v>
      </c>
      <c r="T576" s="200">
        <f t="shared" si="92"/>
        <v>0</v>
      </c>
      <c r="U576" s="688">
        <f t="shared" si="93"/>
        <v>0</v>
      </c>
      <c r="V576" s="200">
        <f t="shared" si="94"/>
        <v>0</v>
      </c>
      <c r="W576" s="689"/>
    </row>
    <row r="577" spans="1:23" s="236" customFormat="1" ht="24.95" hidden="1" customHeight="1" outlineLevel="1">
      <c r="A577" s="239">
        <v>7</v>
      </c>
      <c r="B577" s="239" t="s">
        <v>392</v>
      </c>
      <c r="C577" s="240">
        <v>10</v>
      </c>
      <c r="D577" s="690"/>
      <c r="E577" s="240"/>
      <c r="F577" s="836"/>
      <c r="G577" s="239">
        <v>2</v>
      </c>
      <c r="H577" s="203">
        <v>2</v>
      </c>
      <c r="I577" s="241">
        <v>100</v>
      </c>
      <c r="J577" s="234"/>
      <c r="K577" s="234">
        <v>3180</v>
      </c>
      <c r="L577" s="234"/>
      <c r="M577" s="241">
        <v>100</v>
      </c>
      <c r="N577" s="235" t="e">
        <f>(((I577+J577+K577+L577+M577)-C577*#REF!*2)/1000)</f>
        <v>#REF!</v>
      </c>
      <c r="O577" s="235"/>
      <c r="P577" s="200">
        <f t="shared" si="88"/>
        <v>0</v>
      </c>
      <c r="Q577" s="200" t="e">
        <f t="shared" si="89"/>
        <v>#REF!</v>
      </c>
      <c r="R577" s="200">
        <f t="shared" si="90"/>
        <v>0</v>
      </c>
      <c r="S577" s="200">
        <f t="shared" si="91"/>
        <v>0</v>
      </c>
      <c r="T577" s="200">
        <f t="shared" si="92"/>
        <v>0</v>
      </c>
      <c r="U577" s="688">
        <f t="shared" si="93"/>
        <v>0</v>
      </c>
      <c r="V577" s="200">
        <f t="shared" si="94"/>
        <v>0</v>
      </c>
      <c r="W577" s="689"/>
    </row>
    <row r="578" spans="1:23" s="236" customFormat="1" ht="24.95" hidden="1" customHeight="1" outlineLevel="1">
      <c r="A578" s="239"/>
      <c r="B578" s="239" t="s">
        <v>393</v>
      </c>
      <c r="C578" s="240">
        <v>10</v>
      </c>
      <c r="D578" s="690"/>
      <c r="E578" s="240"/>
      <c r="F578" s="836"/>
      <c r="G578" s="239">
        <v>2</v>
      </c>
      <c r="H578" s="203">
        <v>2</v>
      </c>
      <c r="I578" s="241">
        <v>100</v>
      </c>
      <c r="J578" s="234"/>
      <c r="K578" s="234">
        <v>3180</v>
      </c>
      <c r="L578" s="234"/>
      <c r="M578" s="241">
        <v>100</v>
      </c>
      <c r="N578" s="235" t="e">
        <f>(((I578+J578+K578+L578+M578)-C578*#REF!*2)/1000)</f>
        <v>#REF!</v>
      </c>
      <c r="O578" s="235"/>
      <c r="P578" s="200">
        <f t="shared" si="88"/>
        <v>0</v>
      </c>
      <c r="Q578" s="200" t="e">
        <f t="shared" si="89"/>
        <v>#REF!</v>
      </c>
      <c r="R578" s="200">
        <f t="shared" si="90"/>
        <v>0</v>
      </c>
      <c r="S578" s="200">
        <f t="shared" si="91"/>
        <v>0</v>
      </c>
      <c r="T578" s="200">
        <f t="shared" si="92"/>
        <v>0</v>
      </c>
      <c r="U578" s="688">
        <f t="shared" si="93"/>
        <v>0</v>
      </c>
      <c r="V578" s="200">
        <f t="shared" si="94"/>
        <v>0</v>
      </c>
      <c r="W578" s="689"/>
    </row>
    <row r="579" spans="1:23" s="236" customFormat="1" ht="24.95" hidden="1" customHeight="1" outlineLevel="1">
      <c r="A579" s="239"/>
      <c r="B579" s="239" t="s">
        <v>394</v>
      </c>
      <c r="C579" s="240">
        <v>8</v>
      </c>
      <c r="D579" s="690"/>
      <c r="E579" s="240"/>
      <c r="F579" s="836"/>
      <c r="G579" s="239">
        <v>2</v>
      </c>
      <c r="H579" s="203">
        <f>(K577/200)+1</f>
        <v>16.899999999999999</v>
      </c>
      <c r="I579" s="234"/>
      <c r="J579" s="234"/>
      <c r="K579" s="234">
        <v>820</v>
      </c>
      <c r="L579" s="234"/>
      <c r="M579" s="234"/>
      <c r="N579" s="235" t="e">
        <f>(((I579+J579+K579+L579+M579)-C579*#REF!*2)/1000)</f>
        <v>#REF!</v>
      </c>
      <c r="O579" s="235"/>
      <c r="P579" s="200" t="e">
        <f t="shared" si="88"/>
        <v>#REF!</v>
      </c>
      <c r="Q579" s="200">
        <f t="shared" si="89"/>
        <v>0</v>
      </c>
      <c r="R579" s="200">
        <f t="shared" si="90"/>
        <v>0</v>
      </c>
      <c r="S579" s="200">
        <f t="shared" si="91"/>
        <v>0</v>
      </c>
      <c r="T579" s="200">
        <f t="shared" si="92"/>
        <v>0</v>
      </c>
      <c r="U579" s="688">
        <f t="shared" si="93"/>
        <v>0</v>
      </c>
      <c r="V579" s="200">
        <f t="shared" si="94"/>
        <v>0</v>
      </c>
      <c r="W579" s="689"/>
    </row>
    <row r="580" spans="1:23" s="236" customFormat="1" ht="24.95" hidden="1" customHeight="1" outlineLevel="1">
      <c r="A580" s="237">
        <v>7</v>
      </c>
      <c r="B580" s="238" t="s">
        <v>430</v>
      </c>
      <c r="C580" s="240"/>
      <c r="D580" s="690"/>
      <c r="E580" s="240"/>
      <c r="F580" s="836"/>
      <c r="G580" s="239"/>
      <c r="H580" s="203"/>
      <c r="I580" s="234"/>
      <c r="J580" s="234"/>
      <c r="K580" s="234"/>
      <c r="L580" s="234"/>
      <c r="M580" s="234"/>
      <c r="N580" s="235" t="e">
        <f>(((I580+J580+K580+L580+M580)-C580*#REF!*2)/1000)</f>
        <v>#REF!</v>
      </c>
      <c r="O580" s="235"/>
      <c r="P580" s="200">
        <f t="shared" si="88"/>
        <v>0</v>
      </c>
      <c r="Q580" s="200">
        <f t="shared" si="89"/>
        <v>0</v>
      </c>
      <c r="R580" s="200">
        <f t="shared" si="90"/>
        <v>0</v>
      </c>
      <c r="S580" s="200">
        <f t="shared" si="91"/>
        <v>0</v>
      </c>
      <c r="T580" s="200">
        <f t="shared" si="92"/>
        <v>0</v>
      </c>
      <c r="U580" s="688">
        <f t="shared" si="93"/>
        <v>0</v>
      </c>
      <c r="V580" s="200">
        <f t="shared" si="94"/>
        <v>0</v>
      </c>
      <c r="W580" s="689"/>
    </row>
    <row r="581" spans="1:23" s="236" customFormat="1" ht="24.95" hidden="1" customHeight="1" outlineLevel="1">
      <c r="A581" s="209" t="s">
        <v>431</v>
      </c>
      <c r="B581" s="209" t="s">
        <v>403</v>
      </c>
      <c r="C581" s="240"/>
      <c r="D581" s="690"/>
      <c r="E581" s="240"/>
      <c r="F581" s="836"/>
      <c r="G581" s="239"/>
      <c r="H581" s="203"/>
      <c r="I581" s="234"/>
      <c r="J581" s="234"/>
      <c r="K581" s="234"/>
      <c r="L581" s="234"/>
      <c r="M581" s="234"/>
      <c r="N581" s="235" t="e">
        <f>(((I581+J581+K581+L581+M581)-C581*#REF!*2)/1000)</f>
        <v>#REF!</v>
      </c>
      <c r="O581" s="235"/>
      <c r="P581" s="200">
        <f t="shared" si="88"/>
        <v>0</v>
      </c>
      <c r="Q581" s="200">
        <f t="shared" si="89"/>
        <v>0</v>
      </c>
      <c r="R581" s="200">
        <f t="shared" si="90"/>
        <v>0</v>
      </c>
      <c r="S581" s="200">
        <f t="shared" si="91"/>
        <v>0</v>
      </c>
      <c r="T581" s="200">
        <f t="shared" si="92"/>
        <v>0</v>
      </c>
      <c r="U581" s="688">
        <f t="shared" si="93"/>
        <v>0</v>
      </c>
      <c r="V581" s="200">
        <f t="shared" si="94"/>
        <v>0</v>
      </c>
      <c r="W581" s="689"/>
    </row>
    <row r="582" spans="1:23" s="236" customFormat="1" ht="24.95" hidden="1" customHeight="1" outlineLevel="1">
      <c r="A582" s="205" t="s">
        <v>432</v>
      </c>
      <c r="B582" s="206" t="s">
        <v>391</v>
      </c>
      <c r="C582" s="240"/>
      <c r="D582" s="690"/>
      <c r="E582" s="240"/>
      <c r="F582" s="836"/>
      <c r="G582" s="239"/>
      <c r="H582" s="203"/>
      <c r="I582" s="234"/>
      <c r="J582" s="234"/>
      <c r="K582" s="234"/>
      <c r="L582" s="234"/>
      <c r="M582" s="234"/>
      <c r="N582" s="235" t="e">
        <f>(((I582+J582+K582+L582+M582)-C582*#REF!*2)/1000)</f>
        <v>#REF!</v>
      </c>
      <c r="O582" s="235"/>
      <c r="P582" s="200">
        <f t="shared" si="88"/>
        <v>0</v>
      </c>
      <c r="Q582" s="200">
        <f t="shared" si="89"/>
        <v>0</v>
      </c>
      <c r="R582" s="200">
        <f t="shared" si="90"/>
        <v>0</v>
      </c>
      <c r="S582" s="200">
        <f t="shared" si="91"/>
        <v>0</v>
      </c>
      <c r="T582" s="200">
        <f t="shared" si="92"/>
        <v>0</v>
      </c>
      <c r="U582" s="688">
        <f t="shared" si="93"/>
        <v>0</v>
      </c>
      <c r="V582" s="200">
        <f t="shared" si="94"/>
        <v>0</v>
      </c>
      <c r="W582" s="689"/>
    </row>
    <row r="583" spans="1:23" s="236" customFormat="1" ht="24.95" hidden="1" customHeight="1" outlineLevel="1">
      <c r="A583" s="239">
        <v>1</v>
      </c>
      <c r="B583" s="239" t="s">
        <v>392</v>
      </c>
      <c r="C583" s="240">
        <v>10</v>
      </c>
      <c r="D583" s="690"/>
      <c r="E583" s="240"/>
      <c r="F583" s="836"/>
      <c r="G583" s="239">
        <v>2</v>
      </c>
      <c r="H583" s="203">
        <v>2</v>
      </c>
      <c r="I583" s="241">
        <v>100</v>
      </c>
      <c r="J583" s="234"/>
      <c r="K583" s="234">
        <v>29730</v>
      </c>
      <c r="L583" s="234"/>
      <c r="M583" s="241">
        <v>100</v>
      </c>
      <c r="N583" s="235" t="e">
        <f>(((I583+J583+K583+L583+M583)-C583*#REF!*2)/1000)</f>
        <v>#REF!</v>
      </c>
      <c r="O583" s="235"/>
      <c r="P583" s="200">
        <f t="shared" si="88"/>
        <v>0</v>
      </c>
      <c r="Q583" s="200" t="e">
        <f t="shared" si="89"/>
        <v>#REF!</v>
      </c>
      <c r="R583" s="200">
        <f t="shared" si="90"/>
        <v>0</v>
      </c>
      <c r="S583" s="200">
        <f t="shared" si="91"/>
        <v>0</v>
      </c>
      <c r="T583" s="200">
        <f t="shared" si="92"/>
        <v>0</v>
      </c>
      <c r="U583" s="688">
        <f t="shared" si="93"/>
        <v>0</v>
      </c>
      <c r="V583" s="200">
        <f t="shared" si="94"/>
        <v>0</v>
      </c>
      <c r="W583" s="689"/>
    </row>
    <row r="584" spans="1:23" s="236" customFormat="1" ht="24.95" hidden="1" customHeight="1" outlineLevel="1">
      <c r="A584" s="239"/>
      <c r="B584" s="239" t="s">
        <v>393</v>
      </c>
      <c r="C584" s="240">
        <v>10</v>
      </c>
      <c r="D584" s="690"/>
      <c r="E584" s="240"/>
      <c r="F584" s="836"/>
      <c r="G584" s="239">
        <v>2</v>
      </c>
      <c r="H584" s="203">
        <v>2</v>
      </c>
      <c r="I584" s="241">
        <v>100</v>
      </c>
      <c r="J584" s="234"/>
      <c r="K584" s="234">
        <v>29730</v>
      </c>
      <c r="L584" s="234"/>
      <c r="M584" s="241">
        <v>100</v>
      </c>
      <c r="N584" s="235" t="e">
        <f>(((I584+J584+K584+L584+M584)-C584*#REF!*2)/1000)</f>
        <v>#REF!</v>
      </c>
      <c r="O584" s="235"/>
      <c r="P584" s="200">
        <f t="shared" si="88"/>
        <v>0</v>
      </c>
      <c r="Q584" s="200" t="e">
        <f t="shared" si="89"/>
        <v>#REF!</v>
      </c>
      <c r="R584" s="200">
        <f t="shared" si="90"/>
        <v>0</v>
      </c>
      <c r="S584" s="200">
        <f t="shared" si="91"/>
        <v>0</v>
      </c>
      <c r="T584" s="200">
        <f t="shared" si="92"/>
        <v>0</v>
      </c>
      <c r="U584" s="688">
        <f t="shared" si="93"/>
        <v>0</v>
      </c>
      <c r="V584" s="200">
        <f t="shared" si="94"/>
        <v>0</v>
      </c>
      <c r="W584" s="689"/>
    </row>
    <row r="585" spans="1:23" s="236" customFormat="1" ht="24.95" hidden="1" customHeight="1" outlineLevel="1">
      <c r="A585" s="239"/>
      <c r="B585" s="239" t="s">
        <v>433</v>
      </c>
      <c r="C585" s="240">
        <v>10</v>
      </c>
      <c r="D585" s="690"/>
      <c r="E585" s="240"/>
      <c r="F585" s="836"/>
      <c r="G585" s="250">
        <v>2</v>
      </c>
      <c r="H585" s="203">
        <v>4</v>
      </c>
      <c r="I585" s="234"/>
      <c r="J585" s="234"/>
      <c r="K585" s="234">
        <v>500</v>
      </c>
      <c r="L585" s="234"/>
      <c r="M585" s="234"/>
      <c r="N585" s="235" t="e">
        <f>(((I585+J585+K585+L585+M585)-C585*#REF!*2)/1000)</f>
        <v>#REF!</v>
      </c>
      <c r="O585" s="235"/>
      <c r="P585" s="200">
        <f t="shared" si="88"/>
        <v>0</v>
      </c>
      <c r="Q585" s="200" t="e">
        <f t="shared" si="89"/>
        <v>#REF!</v>
      </c>
      <c r="R585" s="200">
        <f t="shared" si="90"/>
        <v>0</v>
      </c>
      <c r="S585" s="200">
        <f t="shared" si="91"/>
        <v>0</v>
      </c>
      <c r="T585" s="200">
        <f t="shared" si="92"/>
        <v>0</v>
      </c>
      <c r="U585" s="688">
        <f t="shared" si="93"/>
        <v>0</v>
      </c>
      <c r="V585" s="200">
        <f t="shared" si="94"/>
        <v>0</v>
      </c>
      <c r="W585" s="689"/>
    </row>
    <row r="586" spans="1:23" s="236" customFormat="1" ht="24.95" hidden="1" customHeight="1" outlineLevel="1">
      <c r="A586" s="239"/>
      <c r="B586" s="239" t="s">
        <v>394</v>
      </c>
      <c r="C586" s="240">
        <v>8</v>
      </c>
      <c r="D586" s="690"/>
      <c r="E586" s="240"/>
      <c r="F586" s="836"/>
      <c r="G586" s="239">
        <v>2</v>
      </c>
      <c r="H586" s="203">
        <f>(K583/200)+1</f>
        <v>149.65</v>
      </c>
      <c r="I586" s="234"/>
      <c r="J586" s="234"/>
      <c r="K586" s="234">
        <v>820</v>
      </c>
      <c r="L586" s="234"/>
      <c r="M586" s="234"/>
      <c r="N586" s="235" t="e">
        <f>(((I586+J586+K586+L586+M586)-C586*#REF!*2)/1000)</f>
        <v>#REF!</v>
      </c>
      <c r="O586" s="235"/>
      <c r="P586" s="200" t="e">
        <f t="shared" si="88"/>
        <v>#REF!</v>
      </c>
      <c r="Q586" s="200">
        <f t="shared" si="89"/>
        <v>0</v>
      </c>
      <c r="R586" s="200">
        <f t="shared" si="90"/>
        <v>0</v>
      </c>
      <c r="S586" s="200">
        <f t="shared" si="91"/>
        <v>0</v>
      </c>
      <c r="T586" s="200">
        <f t="shared" si="92"/>
        <v>0</v>
      </c>
      <c r="U586" s="688">
        <f t="shared" si="93"/>
        <v>0</v>
      </c>
      <c r="V586" s="200">
        <f t="shared" si="94"/>
        <v>0</v>
      </c>
      <c r="W586" s="689"/>
    </row>
    <row r="587" spans="1:23" s="236" customFormat="1" ht="24.95" hidden="1" customHeight="1" outlineLevel="1">
      <c r="A587" s="205" t="s">
        <v>434</v>
      </c>
      <c r="B587" s="206" t="s">
        <v>396</v>
      </c>
      <c r="C587" s="240"/>
      <c r="D587" s="690"/>
      <c r="E587" s="240"/>
      <c r="F587" s="836"/>
      <c r="G587" s="239"/>
      <c r="H587" s="203"/>
      <c r="I587" s="234"/>
      <c r="J587" s="234"/>
      <c r="K587" s="234"/>
      <c r="L587" s="234"/>
      <c r="M587" s="234"/>
      <c r="N587" s="235" t="e">
        <f>(((I587+J587+K587+L587+M587)-C587*#REF!*2)/1000)</f>
        <v>#REF!</v>
      </c>
      <c r="O587" s="235"/>
      <c r="P587" s="200">
        <f t="shared" ref="P587:P650" si="95">+IF(C587=8,G587*H587*N587,0)</f>
        <v>0</v>
      </c>
      <c r="Q587" s="200">
        <f t="shared" ref="Q587:Q650" si="96">+IF(C587=10,G587*H587*N587,0)</f>
        <v>0</v>
      </c>
      <c r="R587" s="200">
        <f t="shared" ref="R587:R650" si="97">+IF(C587=12,G587*H587*N587,0)</f>
        <v>0</v>
      </c>
      <c r="S587" s="200">
        <f t="shared" ref="S587:S650" si="98">+IF(C587=16,G587*H587*N587,0)</f>
        <v>0</v>
      </c>
      <c r="T587" s="200">
        <f t="shared" ref="T587:T650" si="99">+IF(C587=20,G587*H587*N587,0)</f>
        <v>0</v>
      </c>
      <c r="U587" s="688">
        <f t="shared" ref="U587:U650" si="100">+IF(C587=25,G587*H587*N587,0)</f>
        <v>0</v>
      </c>
      <c r="V587" s="200">
        <f t="shared" ref="V587:V650" si="101">+IF(C587=32,G587*H587*N587,0)</f>
        <v>0</v>
      </c>
      <c r="W587" s="689"/>
    </row>
    <row r="588" spans="1:23" s="236" customFormat="1" ht="24.95" hidden="1" customHeight="1" outlineLevel="1">
      <c r="A588" s="239">
        <v>1</v>
      </c>
      <c r="B588" s="239" t="s">
        <v>392</v>
      </c>
      <c r="C588" s="240">
        <v>10</v>
      </c>
      <c r="D588" s="690"/>
      <c r="E588" s="240"/>
      <c r="F588" s="836"/>
      <c r="G588" s="239">
        <v>2</v>
      </c>
      <c r="H588" s="203">
        <v>2</v>
      </c>
      <c r="I588" s="241">
        <v>100</v>
      </c>
      <c r="J588" s="234"/>
      <c r="K588" s="234">
        <v>1080</v>
      </c>
      <c r="L588" s="234"/>
      <c r="M588" s="241">
        <v>100</v>
      </c>
      <c r="N588" s="235" t="e">
        <f>(((I588+J588+K588+L588+M588)-C588*#REF!*2)/1000)</f>
        <v>#REF!</v>
      </c>
      <c r="O588" s="235"/>
      <c r="P588" s="200">
        <f t="shared" si="95"/>
        <v>0</v>
      </c>
      <c r="Q588" s="200" t="e">
        <f t="shared" si="96"/>
        <v>#REF!</v>
      </c>
      <c r="R588" s="200">
        <f t="shared" si="97"/>
        <v>0</v>
      </c>
      <c r="S588" s="200">
        <f t="shared" si="98"/>
        <v>0</v>
      </c>
      <c r="T588" s="200">
        <f t="shared" si="99"/>
        <v>0</v>
      </c>
      <c r="U588" s="688">
        <f t="shared" si="100"/>
        <v>0</v>
      </c>
      <c r="V588" s="200">
        <f t="shared" si="101"/>
        <v>0</v>
      </c>
      <c r="W588" s="689"/>
    </row>
    <row r="589" spans="1:23" s="236" customFormat="1" ht="24.95" hidden="1" customHeight="1" outlineLevel="1">
      <c r="A589" s="239"/>
      <c r="B589" s="239" t="s">
        <v>393</v>
      </c>
      <c r="C589" s="240">
        <v>10</v>
      </c>
      <c r="D589" s="690"/>
      <c r="E589" s="240"/>
      <c r="F589" s="836"/>
      <c r="G589" s="239">
        <v>2</v>
      </c>
      <c r="H589" s="203">
        <v>2</v>
      </c>
      <c r="I589" s="241">
        <v>100</v>
      </c>
      <c r="J589" s="234"/>
      <c r="K589" s="234">
        <v>1080</v>
      </c>
      <c r="L589" s="234"/>
      <c r="M589" s="241">
        <v>100</v>
      </c>
      <c r="N589" s="235" t="e">
        <f>(((I589+J589+K589+L589+M589)-C589*#REF!*2)/1000)</f>
        <v>#REF!</v>
      </c>
      <c r="O589" s="235"/>
      <c r="P589" s="200">
        <f t="shared" si="95"/>
        <v>0</v>
      </c>
      <c r="Q589" s="200" t="e">
        <f t="shared" si="96"/>
        <v>#REF!</v>
      </c>
      <c r="R589" s="200">
        <f t="shared" si="97"/>
        <v>0</v>
      </c>
      <c r="S589" s="200">
        <f t="shared" si="98"/>
        <v>0</v>
      </c>
      <c r="T589" s="200">
        <f t="shared" si="99"/>
        <v>0</v>
      </c>
      <c r="U589" s="688">
        <f t="shared" si="100"/>
        <v>0</v>
      </c>
      <c r="V589" s="200">
        <f t="shared" si="101"/>
        <v>0</v>
      </c>
      <c r="W589" s="689"/>
    </row>
    <row r="590" spans="1:23" s="236" customFormat="1" ht="24.95" hidden="1" customHeight="1" outlineLevel="1">
      <c r="A590" s="239"/>
      <c r="B590" s="239" t="s">
        <v>394</v>
      </c>
      <c r="C590" s="240">
        <v>8</v>
      </c>
      <c r="D590" s="690"/>
      <c r="E590" s="240"/>
      <c r="F590" s="836"/>
      <c r="G590" s="239">
        <v>2</v>
      </c>
      <c r="H590" s="203">
        <f>(K588/200)+1</f>
        <v>6.4</v>
      </c>
      <c r="I590" s="234"/>
      <c r="J590" s="234"/>
      <c r="K590" s="234">
        <v>820</v>
      </c>
      <c r="L590" s="234"/>
      <c r="M590" s="234"/>
      <c r="N590" s="235" t="e">
        <f>(((I590+J590+K590+L590+M590)-C590*#REF!*2)/1000)</f>
        <v>#REF!</v>
      </c>
      <c r="O590" s="235"/>
      <c r="P590" s="200" t="e">
        <f t="shared" si="95"/>
        <v>#REF!</v>
      </c>
      <c r="Q590" s="200">
        <f t="shared" si="96"/>
        <v>0</v>
      </c>
      <c r="R590" s="200">
        <f t="shared" si="97"/>
        <v>0</v>
      </c>
      <c r="S590" s="200">
        <f t="shared" si="98"/>
        <v>0</v>
      </c>
      <c r="T590" s="200">
        <f t="shared" si="99"/>
        <v>0</v>
      </c>
      <c r="U590" s="688">
        <f t="shared" si="100"/>
        <v>0</v>
      </c>
      <c r="V590" s="200">
        <f t="shared" si="101"/>
        <v>0</v>
      </c>
      <c r="W590" s="689"/>
    </row>
    <row r="591" spans="1:23" s="236" customFormat="1" ht="24.95" hidden="1" customHeight="1" outlineLevel="1">
      <c r="A591" s="237">
        <v>8</v>
      </c>
      <c r="B591" s="238" t="s">
        <v>435</v>
      </c>
      <c r="C591" s="240"/>
      <c r="D591" s="690"/>
      <c r="E591" s="240"/>
      <c r="F591" s="836"/>
      <c r="G591" s="239"/>
      <c r="H591" s="203"/>
      <c r="I591" s="234"/>
      <c r="J591" s="234"/>
      <c r="K591" s="234"/>
      <c r="L591" s="234"/>
      <c r="M591" s="234"/>
      <c r="N591" s="235" t="e">
        <f>(((I591+J591+K591+L591+M591)-C591*#REF!*2)/1000)</f>
        <v>#REF!</v>
      </c>
      <c r="O591" s="235"/>
      <c r="P591" s="200">
        <f t="shared" si="95"/>
        <v>0</v>
      </c>
      <c r="Q591" s="200">
        <f t="shared" si="96"/>
        <v>0</v>
      </c>
      <c r="R591" s="200">
        <f t="shared" si="97"/>
        <v>0</v>
      </c>
      <c r="S591" s="200">
        <f t="shared" si="98"/>
        <v>0</v>
      </c>
      <c r="T591" s="200">
        <f t="shared" si="99"/>
        <v>0</v>
      </c>
      <c r="U591" s="688">
        <f t="shared" si="100"/>
        <v>0</v>
      </c>
      <c r="V591" s="200">
        <f t="shared" si="101"/>
        <v>0</v>
      </c>
      <c r="W591" s="689"/>
    </row>
    <row r="592" spans="1:23" s="236" customFormat="1" ht="24.95" hidden="1" customHeight="1" outlineLevel="1">
      <c r="A592" s="209" t="s">
        <v>436</v>
      </c>
      <c r="B592" s="209" t="s">
        <v>403</v>
      </c>
      <c r="C592" s="240"/>
      <c r="D592" s="690"/>
      <c r="E592" s="240"/>
      <c r="F592" s="836"/>
      <c r="G592" s="239"/>
      <c r="H592" s="203"/>
      <c r="I592" s="234"/>
      <c r="J592" s="234"/>
      <c r="K592" s="234"/>
      <c r="L592" s="234"/>
      <c r="M592" s="234"/>
      <c r="N592" s="235" t="e">
        <f>(((I592+J592+K592+L592+M592)-C592*#REF!*2)/1000)</f>
        <v>#REF!</v>
      </c>
      <c r="O592" s="235"/>
      <c r="P592" s="200">
        <f t="shared" si="95"/>
        <v>0</v>
      </c>
      <c r="Q592" s="200">
        <f t="shared" si="96"/>
        <v>0</v>
      </c>
      <c r="R592" s="200">
        <f t="shared" si="97"/>
        <v>0</v>
      </c>
      <c r="S592" s="200">
        <f t="shared" si="98"/>
        <v>0</v>
      </c>
      <c r="T592" s="200">
        <f t="shared" si="99"/>
        <v>0</v>
      </c>
      <c r="U592" s="688">
        <f t="shared" si="100"/>
        <v>0</v>
      </c>
      <c r="V592" s="200">
        <f t="shared" si="101"/>
        <v>0</v>
      </c>
      <c r="W592" s="689"/>
    </row>
    <row r="593" spans="1:23" s="236" customFormat="1" ht="24.95" hidden="1" customHeight="1" outlineLevel="1">
      <c r="A593" s="205" t="s">
        <v>437</v>
      </c>
      <c r="B593" s="206" t="s">
        <v>391</v>
      </c>
      <c r="C593" s="240"/>
      <c r="D593" s="690"/>
      <c r="E593" s="240"/>
      <c r="F593" s="836"/>
      <c r="G593" s="239"/>
      <c r="H593" s="203"/>
      <c r="I593" s="234"/>
      <c r="J593" s="234"/>
      <c r="K593" s="234"/>
      <c r="L593" s="234"/>
      <c r="M593" s="234"/>
      <c r="N593" s="235" t="e">
        <f>(((I593+J593+K593+L593+M593)-C593*#REF!*2)/1000)</f>
        <v>#REF!</v>
      </c>
      <c r="O593" s="235"/>
      <c r="P593" s="200">
        <f t="shared" si="95"/>
        <v>0</v>
      </c>
      <c r="Q593" s="200">
        <f t="shared" si="96"/>
        <v>0</v>
      </c>
      <c r="R593" s="200">
        <f t="shared" si="97"/>
        <v>0</v>
      </c>
      <c r="S593" s="200">
        <f t="shared" si="98"/>
        <v>0</v>
      </c>
      <c r="T593" s="200">
        <f t="shared" si="99"/>
        <v>0</v>
      </c>
      <c r="U593" s="688">
        <f t="shared" si="100"/>
        <v>0</v>
      </c>
      <c r="V593" s="200">
        <f t="shared" si="101"/>
        <v>0</v>
      </c>
      <c r="W593" s="689"/>
    </row>
    <row r="594" spans="1:23" s="236" customFormat="1" ht="24.95" hidden="1" customHeight="1" outlineLevel="1">
      <c r="A594" s="239">
        <v>1</v>
      </c>
      <c r="B594" s="239" t="s">
        <v>392</v>
      </c>
      <c r="C594" s="240">
        <v>10</v>
      </c>
      <c r="D594" s="690"/>
      <c r="E594" s="240"/>
      <c r="F594" s="836"/>
      <c r="G594" s="239">
        <v>1</v>
      </c>
      <c r="H594" s="203">
        <v>2</v>
      </c>
      <c r="I594" s="241">
        <v>100</v>
      </c>
      <c r="J594" s="234"/>
      <c r="K594" s="234">
        <v>33180</v>
      </c>
      <c r="L594" s="234"/>
      <c r="M594" s="241">
        <v>100</v>
      </c>
      <c r="N594" s="235" t="e">
        <f>(((I594+J594+K594+L594+M594)-C594*#REF!*2)/1000)</f>
        <v>#REF!</v>
      </c>
      <c r="O594" s="235"/>
      <c r="P594" s="200">
        <f t="shared" si="95"/>
        <v>0</v>
      </c>
      <c r="Q594" s="200" t="e">
        <f t="shared" si="96"/>
        <v>#REF!</v>
      </c>
      <c r="R594" s="200">
        <f t="shared" si="97"/>
        <v>0</v>
      </c>
      <c r="S594" s="200">
        <f t="shared" si="98"/>
        <v>0</v>
      </c>
      <c r="T594" s="200">
        <f t="shared" si="99"/>
        <v>0</v>
      </c>
      <c r="U594" s="688">
        <f t="shared" si="100"/>
        <v>0</v>
      </c>
      <c r="V594" s="200">
        <f t="shared" si="101"/>
        <v>0</v>
      </c>
      <c r="W594" s="689"/>
    </row>
    <row r="595" spans="1:23" s="236" customFormat="1" ht="24.95" hidden="1" customHeight="1" outlineLevel="1">
      <c r="A595" s="239"/>
      <c r="B595" s="239" t="s">
        <v>393</v>
      </c>
      <c r="C595" s="240">
        <v>10</v>
      </c>
      <c r="D595" s="690"/>
      <c r="E595" s="240"/>
      <c r="F595" s="836"/>
      <c r="G595" s="239">
        <v>1</v>
      </c>
      <c r="H595" s="203">
        <v>2</v>
      </c>
      <c r="I595" s="241">
        <v>100</v>
      </c>
      <c r="J595" s="234"/>
      <c r="K595" s="234">
        <v>33180</v>
      </c>
      <c r="L595" s="234"/>
      <c r="M595" s="241">
        <v>100</v>
      </c>
      <c r="N595" s="235" t="e">
        <f>(((I595+J595+K595+L595+M595)-C595*#REF!*2)/1000)</f>
        <v>#REF!</v>
      </c>
      <c r="O595" s="235"/>
      <c r="P595" s="200">
        <f t="shared" si="95"/>
        <v>0</v>
      </c>
      <c r="Q595" s="200" t="e">
        <f t="shared" si="96"/>
        <v>#REF!</v>
      </c>
      <c r="R595" s="200">
        <f t="shared" si="97"/>
        <v>0</v>
      </c>
      <c r="S595" s="200">
        <f t="shared" si="98"/>
        <v>0</v>
      </c>
      <c r="T595" s="200">
        <f t="shared" si="99"/>
        <v>0</v>
      </c>
      <c r="U595" s="688">
        <f t="shared" si="100"/>
        <v>0</v>
      </c>
      <c r="V595" s="200">
        <f t="shared" si="101"/>
        <v>0</v>
      </c>
      <c r="W595" s="689"/>
    </row>
    <row r="596" spans="1:23" s="236" customFormat="1" ht="24.95" hidden="1" customHeight="1" outlineLevel="1">
      <c r="A596" s="239"/>
      <c r="B596" s="239" t="s">
        <v>433</v>
      </c>
      <c r="C596" s="240">
        <v>10</v>
      </c>
      <c r="D596" s="690"/>
      <c r="E596" s="240"/>
      <c r="F596" s="836"/>
      <c r="G596" s="239">
        <v>2</v>
      </c>
      <c r="H596" s="203">
        <v>4</v>
      </c>
      <c r="I596" s="234"/>
      <c r="J596" s="234"/>
      <c r="K596" s="234">
        <v>500</v>
      </c>
      <c r="L596" s="234"/>
      <c r="M596" s="234"/>
      <c r="N596" s="235" t="e">
        <f>(((I596+J596+K596+L596+M596)-C596*#REF!*2)/1000)</f>
        <v>#REF!</v>
      </c>
      <c r="O596" s="235"/>
      <c r="P596" s="200">
        <f t="shared" si="95"/>
        <v>0</v>
      </c>
      <c r="Q596" s="200" t="e">
        <f t="shared" si="96"/>
        <v>#REF!</v>
      </c>
      <c r="R596" s="200">
        <f t="shared" si="97"/>
        <v>0</v>
      </c>
      <c r="S596" s="200">
        <f t="shared" si="98"/>
        <v>0</v>
      </c>
      <c r="T596" s="200">
        <f t="shared" si="99"/>
        <v>0</v>
      </c>
      <c r="U596" s="688">
        <f t="shared" si="100"/>
        <v>0</v>
      </c>
      <c r="V596" s="200">
        <f t="shared" si="101"/>
        <v>0</v>
      </c>
      <c r="W596" s="689"/>
    </row>
    <row r="597" spans="1:23" s="236" customFormat="1" ht="24.95" hidden="1" customHeight="1" outlineLevel="1">
      <c r="A597" s="239"/>
      <c r="B597" s="239" t="s">
        <v>394</v>
      </c>
      <c r="C597" s="240">
        <v>8</v>
      </c>
      <c r="D597" s="690"/>
      <c r="E597" s="240"/>
      <c r="F597" s="836"/>
      <c r="G597" s="239">
        <v>1</v>
      </c>
      <c r="H597" s="203">
        <f>(K594/200)+1</f>
        <v>166.9</v>
      </c>
      <c r="I597" s="234"/>
      <c r="J597" s="234"/>
      <c r="K597" s="234">
        <v>820</v>
      </c>
      <c r="L597" s="234"/>
      <c r="M597" s="234"/>
      <c r="N597" s="235" t="e">
        <f>(((I597+J597+K597+L597+M597)-C597*#REF!*2)/1000)</f>
        <v>#REF!</v>
      </c>
      <c r="O597" s="235"/>
      <c r="P597" s="200" t="e">
        <f t="shared" si="95"/>
        <v>#REF!</v>
      </c>
      <c r="Q597" s="200">
        <f t="shared" si="96"/>
        <v>0</v>
      </c>
      <c r="R597" s="200">
        <f t="shared" si="97"/>
        <v>0</v>
      </c>
      <c r="S597" s="200">
        <f t="shared" si="98"/>
        <v>0</v>
      </c>
      <c r="T597" s="200">
        <f t="shared" si="99"/>
        <v>0</v>
      </c>
      <c r="U597" s="688">
        <f t="shared" si="100"/>
        <v>0</v>
      </c>
      <c r="V597" s="200">
        <f t="shared" si="101"/>
        <v>0</v>
      </c>
      <c r="W597" s="689"/>
    </row>
    <row r="598" spans="1:23" s="236" customFormat="1" ht="24.95" hidden="1" customHeight="1" outlineLevel="1">
      <c r="A598" s="239">
        <v>2</v>
      </c>
      <c r="B598" s="239" t="s">
        <v>392</v>
      </c>
      <c r="C598" s="240">
        <v>10</v>
      </c>
      <c r="D598" s="690"/>
      <c r="E598" s="240"/>
      <c r="F598" s="836"/>
      <c r="G598" s="239">
        <v>1</v>
      </c>
      <c r="H598" s="203">
        <v>2</v>
      </c>
      <c r="I598" s="241">
        <v>100</v>
      </c>
      <c r="J598" s="234"/>
      <c r="K598" s="234">
        <v>30045</v>
      </c>
      <c r="L598" s="234"/>
      <c r="M598" s="241">
        <v>100</v>
      </c>
      <c r="N598" s="235" t="e">
        <f>(((I598+J598+K598+L598+M598)-C598*#REF!*2)/1000)</f>
        <v>#REF!</v>
      </c>
      <c r="O598" s="235"/>
      <c r="P598" s="200">
        <f t="shared" si="95"/>
        <v>0</v>
      </c>
      <c r="Q598" s="200" t="e">
        <f t="shared" si="96"/>
        <v>#REF!</v>
      </c>
      <c r="R598" s="200">
        <f t="shared" si="97"/>
        <v>0</v>
      </c>
      <c r="S598" s="200">
        <f t="shared" si="98"/>
        <v>0</v>
      </c>
      <c r="T598" s="200">
        <f t="shared" si="99"/>
        <v>0</v>
      </c>
      <c r="U598" s="688">
        <f t="shared" si="100"/>
        <v>0</v>
      </c>
      <c r="V598" s="200">
        <f t="shared" si="101"/>
        <v>0</v>
      </c>
      <c r="W598" s="689"/>
    </row>
    <row r="599" spans="1:23" s="236" customFormat="1" ht="24.95" hidden="1" customHeight="1" outlineLevel="1">
      <c r="A599" s="239"/>
      <c r="B599" s="239" t="s">
        <v>393</v>
      </c>
      <c r="C599" s="240">
        <v>10</v>
      </c>
      <c r="D599" s="690"/>
      <c r="E599" s="240"/>
      <c r="F599" s="836"/>
      <c r="G599" s="239">
        <v>1</v>
      </c>
      <c r="H599" s="203">
        <v>2</v>
      </c>
      <c r="I599" s="241">
        <v>100</v>
      </c>
      <c r="J599" s="234"/>
      <c r="K599" s="234">
        <v>30045</v>
      </c>
      <c r="L599" s="234"/>
      <c r="M599" s="241">
        <v>100</v>
      </c>
      <c r="N599" s="235" t="e">
        <f>(((I599+J599+K599+L599+M599)-C599*#REF!*2)/1000)</f>
        <v>#REF!</v>
      </c>
      <c r="O599" s="235"/>
      <c r="P599" s="200">
        <f t="shared" si="95"/>
        <v>0</v>
      </c>
      <c r="Q599" s="200" t="e">
        <f t="shared" si="96"/>
        <v>#REF!</v>
      </c>
      <c r="R599" s="200">
        <f t="shared" si="97"/>
        <v>0</v>
      </c>
      <c r="S599" s="200">
        <f t="shared" si="98"/>
        <v>0</v>
      </c>
      <c r="T599" s="200">
        <f t="shared" si="99"/>
        <v>0</v>
      </c>
      <c r="U599" s="688">
        <f t="shared" si="100"/>
        <v>0</v>
      </c>
      <c r="V599" s="200">
        <f t="shared" si="101"/>
        <v>0</v>
      </c>
      <c r="W599" s="689"/>
    </row>
    <row r="600" spans="1:23" s="236" customFormat="1" ht="24.95" hidden="1" customHeight="1" outlineLevel="1">
      <c r="A600" s="239"/>
      <c r="B600" s="239" t="s">
        <v>433</v>
      </c>
      <c r="C600" s="240">
        <v>10</v>
      </c>
      <c r="D600" s="690"/>
      <c r="E600" s="240"/>
      <c r="F600" s="836"/>
      <c r="G600" s="239">
        <v>2</v>
      </c>
      <c r="H600" s="203">
        <v>4</v>
      </c>
      <c r="I600" s="234"/>
      <c r="J600" s="234"/>
      <c r="K600" s="234">
        <v>500</v>
      </c>
      <c r="L600" s="234"/>
      <c r="M600" s="234"/>
      <c r="N600" s="235" t="e">
        <f>(((I600+J600+K600+L600+M600)-C600*#REF!*2)/1000)</f>
        <v>#REF!</v>
      </c>
      <c r="O600" s="235"/>
      <c r="P600" s="200">
        <f t="shared" si="95"/>
        <v>0</v>
      </c>
      <c r="Q600" s="200" t="e">
        <f t="shared" si="96"/>
        <v>#REF!</v>
      </c>
      <c r="R600" s="200">
        <f t="shared" si="97"/>
        <v>0</v>
      </c>
      <c r="S600" s="200">
        <f t="shared" si="98"/>
        <v>0</v>
      </c>
      <c r="T600" s="200">
        <f t="shared" si="99"/>
        <v>0</v>
      </c>
      <c r="U600" s="688">
        <f t="shared" si="100"/>
        <v>0</v>
      </c>
      <c r="V600" s="200">
        <f t="shared" si="101"/>
        <v>0</v>
      </c>
      <c r="W600" s="689"/>
    </row>
    <row r="601" spans="1:23" s="236" customFormat="1" ht="24.95" hidden="1" customHeight="1" outlineLevel="1">
      <c r="A601" s="239"/>
      <c r="B601" s="239" t="s">
        <v>394</v>
      </c>
      <c r="C601" s="240">
        <v>8</v>
      </c>
      <c r="D601" s="690"/>
      <c r="E601" s="240"/>
      <c r="F601" s="836"/>
      <c r="G601" s="239">
        <v>1</v>
      </c>
      <c r="H601" s="203">
        <f>(K598/200)+1</f>
        <v>151.22499999999999</v>
      </c>
      <c r="I601" s="234"/>
      <c r="J601" s="234"/>
      <c r="K601" s="234">
        <v>820</v>
      </c>
      <c r="L601" s="234"/>
      <c r="M601" s="234"/>
      <c r="N601" s="235" t="e">
        <f>(((I601+J601+K601+L601+M601)-C601*#REF!*2)/1000)</f>
        <v>#REF!</v>
      </c>
      <c r="O601" s="235"/>
      <c r="P601" s="200" t="e">
        <f t="shared" si="95"/>
        <v>#REF!</v>
      </c>
      <c r="Q601" s="200">
        <f t="shared" si="96"/>
        <v>0</v>
      </c>
      <c r="R601" s="200">
        <f t="shared" si="97"/>
        <v>0</v>
      </c>
      <c r="S601" s="200">
        <f t="shared" si="98"/>
        <v>0</v>
      </c>
      <c r="T601" s="200">
        <f t="shared" si="99"/>
        <v>0</v>
      </c>
      <c r="U601" s="688">
        <f t="shared" si="100"/>
        <v>0</v>
      </c>
      <c r="V601" s="200">
        <f t="shared" si="101"/>
        <v>0</v>
      </c>
      <c r="W601" s="689"/>
    </row>
    <row r="602" spans="1:23" s="236" customFormat="1" ht="24.95" hidden="1" customHeight="1" outlineLevel="1">
      <c r="A602" s="239">
        <v>3</v>
      </c>
      <c r="B602" s="239" t="s">
        <v>392</v>
      </c>
      <c r="C602" s="240">
        <v>10</v>
      </c>
      <c r="D602" s="690"/>
      <c r="E602" s="240"/>
      <c r="F602" s="836"/>
      <c r="G602" s="239">
        <v>1</v>
      </c>
      <c r="H602" s="203">
        <v>2</v>
      </c>
      <c r="I602" s="241">
        <v>100</v>
      </c>
      <c r="J602" s="234"/>
      <c r="K602" s="234">
        <v>2280</v>
      </c>
      <c r="L602" s="234"/>
      <c r="M602" s="241">
        <v>100</v>
      </c>
      <c r="N602" s="235" t="e">
        <f>(((I602+J602+K602+L602+M602)-C602*#REF!*2)/1000)</f>
        <v>#REF!</v>
      </c>
      <c r="O602" s="235"/>
      <c r="P602" s="200">
        <f t="shared" si="95"/>
        <v>0</v>
      </c>
      <c r="Q602" s="200" t="e">
        <f t="shared" si="96"/>
        <v>#REF!</v>
      </c>
      <c r="R602" s="200">
        <f t="shared" si="97"/>
        <v>0</v>
      </c>
      <c r="S602" s="200">
        <f t="shared" si="98"/>
        <v>0</v>
      </c>
      <c r="T602" s="200">
        <f t="shared" si="99"/>
        <v>0</v>
      </c>
      <c r="U602" s="688">
        <f t="shared" si="100"/>
        <v>0</v>
      </c>
      <c r="V602" s="200">
        <f t="shared" si="101"/>
        <v>0</v>
      </c>
      <c r="W602" s="689"/>
    </row>
    <row r="603" spans="1:23" s="236" customFormat="1" ht="24.95" hidden="1" customHeight="1" outlineLevel="1">
      <c r="A603" s="239"/>
      <c r="B603" s="239" t="s">
        <v>393</v>
      </c>
      <c r="C603" s="240">
        <v>10</v>
      </c>
      <c r="D603" s="690"/>
      <c r="E603" s="240"/>
      <c r="F603" s="836"/>
      <c r="G603" s="239">
        <v>1</v>
      </c>
      <c r="H603" s="203">
        <v>2</v>
      </c>
      <c r="I603" s="241">
        <v>100</v>
      </c>
      <c r="J603" s="234"/>
      <c r="K603" s="234">
        <v>2280</v>
      </c>
      <c r="L603" s="234"/>
      <c r="M603" s="241">
        <v>100</v>
      </c>
      <c r="N603" s="235" t="e">
        <f>(((I603+J603+K603+L603+M603)-C603*#REF!*2)/1000)</f>
        <v>#REF!</v>
      </c>
      <c r="O603" s="235"/>
      <c r="P603" s="200">
        <f t="shared" si="95"/>
        <v>0</v>
      </c>
      <c r="Q603" s="200" t="e">
        <f t="shared" si="96"/>
        <v>#REF!</v>
      </c>
      <c r="R603" s="200">
        <f t="shared" si="97"/>
        <v>0</v>
      </c>
      <c r="S603" s="200">
        <f t="shared" si="98"/>
        <v>0</v>
      </c>
      <c r="T603" s="200">
        <f t="shared" si="99"/>
        <v>0</v>
      </c>
      <c r="U603" s="688">
        <f t="shared" si="100"/>
        <v>0</v>
      </c>
      <c r="V603" s="200">
        <f t="shared" si="101"/>
        <v>0</v>
      </c>
      <c r="W603" s="689"/>
    </row>
    <row r="604" spans="1:23" s="236" customFormat="1" ht="24.95" hidden="1" customHeight="1" outlineLevel="1">
      <c r="A604" s="239"/>
      <c r="B604" s="239" t="s">
        <v>394</v>
      </c>
      <c r="C604" s="240">
        <v>8</v>
      </c>
      <c r="D604" s="690"/>
      <c r="E604" s="240"/>
      <c r="F604" s="836"/>
      <c r="G604" s="239">
        <v>1</v>
      </c>
      <c r="H604" s="203">
        <f>(K602/200)+1</f>
        <v>12.4</v>
      </c>
      <c r="I604" s="234"/>
      <c r="J604" s="234"/>
      <c r="K604" s="234">
        <v>820</v>
      </c>
      <c r="L604" s="234"/>
      <c r="M604" s="234"/>
      <c r="N604" s="235" t="e">
        <f>(((I604+J604+K604+L604+M604)-C604*#REF!*2)/1000)</f>
        <v>#REF!</v>
      </c>
      <c r="O604" s="235"/>
      <c r="P604" s="200" t="e">
        <f t="shared" si="95"/>
        <v>#REF!</v>
      </c>
      <c r="Q604" s="200">
        <f t="shared" si="96"/>
        <v>0</v>
      </c>
      <c r="R604" s="200">
        <f t="shared" si="97"/>
        <v>0</v>
      </c>
      <c r="S604" s="200">
        <f t="shared" si="98"/>
        <v>0</v>
      </c>
      <c r="T604" s="200">
        <f t="shared" si="99"/>
        <v>0</v>
      </c>
      <c r="U604" s="688">
        <f t="shared" si="100"/>
        <v>0</v>
      </c>
      <c r="V604" s="200">
        <f t="shared" si="101"/>
        <v>0</v>
      </c>
      <c r="W604" s="689"/>
    </row>
    <row r="605" spans="1:23" s="236" customFormat="1" ht="24.95" hidden="1" customHeight="1" outlineLevel="1">
      <c r="A605" s="239">
        <v>4</v>
      </c>
      <c r="B605" s="239" t="s">
        <v>392</v>
      </c>
      <c r="C605" s="240">
        <v>10</v>
      </c>
      <c r="D605" s="690"/>
      <c r="E605" s="240"/>
      <c r="F605" s="836"/>
      <c r="G605" s="239">
        <v>1</v>
      </c>
      <c r="H605" s="203">
        <v>2</v>
      </c>
      <c r="I605" s="241">
        <v>100</v>
      </c>
      <c r="J605" s="234"/>
      <c r="K605" s="234">
        <v>1095</v>
      </c>
      <c r="L605" s="234"/>
      <c r="M605" s="241">
        <v>100</v>
      </c>
      <c r="N605" s="235" t="e">
        <f>(((I605+J605+K605+L605+M605)-C605*#REF!*2)/1000)</f>
        <v>#REF!</v>
      </c>
      <c r="O605" s="235"/>
      <c r="P605" s="200">
        <f t="shared" si="95"/>
        <v>0</v>
      </c>
      <c r="Q605" s="200" t="e">
        <f t="shared" si="96"/>
        <v>#REF!</v>
      </c>
      <c r="R605" s="200">
        <f t="shared" si="97"/>
        <v>0</v>
      </c>
      <c r="S605" s="200">
        <f t="shared" si="98"/>
        <v>0</v>
      </c>
      <c r="T605" s="200">
        <f t="shared" si="99"/>
        <v>0</v>
      </c>
      <c r="U605" s="688">
        <f t="shared" si="100"/>
        <v>0</v>
      </c>
      <c r="V605" s="200">
        <f t="shared" si="101"/>
        <v>0</v>
      </c>
      <c r="W605" s="689"/>
    </row>
    <row r="606" spans="1:23" s="236" customFormat="1" ht="24.95" hidden="1" customHeight="1" outlineLevel="1">
      <c r="A606" s="239"/>
      <c r="B606" s="239" t="s">
        <v>393</v>
      </c>
      <c r="C606" s="240">
        <v>10</v>
      </c>
      <c r="D606" s="690"/>
      <c r="E606" s="240"/>
      <c r="F606" s="836"/>
      <c r="G606" s="239">
        <v>1</v>
      </c>
      <c r="H606" s="203">
        <v>2</v>
      </c>
      <c r="I606" s="241">
        <v>100</v>
      </c>
      <c r="J606" s="234"/>
      <c r="K606" s="234">
        <v>1095</v>
      </c>
      <c r="L606" s="234"/>
      <c r="M606" s="241">
        <v>100</v>
      </c>
      <c r="N606" s="235" t="e">
        <f>(((I606+J606+K606+L606+M606)-C606*#REF!*2)/1000)</f>
        <v>#REF!</v>
      </c>
      <c r="O606" s="235"/>
      <c r="P606" s="200">
        <f t="shared" si="95"/>
        <v>0</v>
      </c>
      <c r="Q606" s="200" t="e">
        <f t="shared" si="96"/>
        <v>#REF!</v>
      </c>
      <c r="R606" s="200">
        <f t="shared" si="97"/>
        <v>0</v>
      </c>
      <c r="S606" s="200">
        <f t="shared" si="98"/>
        <v>0</v>
      </c>
      <c r="T606" s="200">
        <f t="shared" si="99"/>
        <v>0</v>
      </c>
      <c r="U606" s="688">
        <f t="shared" si="100"/>
        <v>0</v>
      </c>
      <c r="V606" s="200">
        <f t="shared" si="101"/>
        <v>0</v>
      </c>
      <c r="W606" s="689"/>
    </row>
    <row r="607" spans="1:23" s="236" customFormat="1" ht="24.95" hidden="1" customHeight="1" outlineLevel="1">
      <c r="A607" s="239"/>
      <c r="B607" s="239" t="s">
        <v>394</v>
      </c>
      <c r="C607" s="240">
        <v>8</v>
      </c>
      <c r="D607" s="690"/>
      <c r="E607" s="240"/>
      <c r="F607" s="836"/>
      <c r="G607" s="239">
        <v>1</v>
      </c>
      <c r="H607" s="203">
        <f>(K605/200)+1</f>
        <v>6.4749999999999996</v>
      </c>
      <c r="I607" s="234"/>
      <c r="J607" s="234"/>
      <c r="K607" s="234">
        <v>820</v>
      </c>
      <c r="L607" s="234"/>
      <c r="M607" s="234"/>
      <c r="N607" s="235" t="e">
        <f>(((I607+J607+K607+L607+M607)-C607*#REF!*2)/1000)</f>
        <v>#REF!</v>
      </c>
      <c r="O607" s="235"/>
      <c r="P607" s="200" t="e">
        <f t="shared" si="95"/>
        <v>#REF!</v>
      </c>
      <c r="Q607" s="200">
        <f t="shared" si="96"/>
        <v>0</v>
      </c>
      <c r="R607" s="200">
        <f t="shared" si="97"/>
        <v>0</v>
      </c>
      <c r="S607" s="200">
        <f t="shared" si="98"/>
        <v>0</v>
      </c>
      <c r="T607" s="200">
        <f t="shared" si="99"/>
        <v>0</v>
      </c>
      <c r="U607" s="688">
        <f t="shared" si="100"/>
        <v>0</v>
      </c>
      <c r="V607" s="200">
        <f t="shared" si="101"/>
        <v>0</v>
      </c>
      <c r="W607" s="689"/>
    </row>
    <row r="608" spans="1:23" s="236" customFormat="1" ht="24.95" hidden="1" customHeight="1" outlineLevel="1">
      <c r="A608" s="239">
        <v>5</v>
      </c>
      <c r="B608" s="239" t="s">
        <v>392</v>
      </c>
      <c r="C608" s="240">
        <v>10</v>
      </c>
      <c r="D608" s="690"/>
      <c r="E608" s="240"/>
      <c r="F608" s="836"/>
      <c r="G608" s="239">
        <v>1</v>
      </c>
      <c r="H608" s="203">
        <v>2</v>
      </c>
      <c r="I608" s="241">
        <v>100</v>
      </c>
      <c r="J608" s="234"/>
      <c r="K608" s="234">
        <v>645</v>
      </c>
      <c r="L608" s="234"/>
      <c r="M608" s="241">
        <v>100</v>
      </c>
      <c r="N608" s="235" t="e">
        <f>(((I608+J608+K608+L608+M608)-C608*#REF!*2)/1000)</f>
        <v>#REF!</v>
      </c>
      <c r="O608" s="235"/>
      <c r="P608" s="200">
        <f t="shared" si="95"/>
        <v>0</v>
      </c>
      <c r="Q608" s="200" t="e">
        <f t="shared" si="96"/>
        <v>#REF!</v>
      </c>
      <c r="R608" s="200">
        <f t="shared" si="97"/>
        <v>0</v>
      </c>
      <c r="S608" s="200">
        <f t="shared" si="98"/>
        <v>0</v>
      </c>
      <c r="T608" s="200">
        <f t="shared" si="99"/>
        <v>0</v>
      </c>
      <c r="U608" s="688">
        <f t="shared" si="100"/>
        <v>0</v>
      </c>
      <c r="V608" s="200">
        <f t="shared" si="101"/>
        <v>0</v>
      </c>
      <c r="W608" s="689"/>
    </row>
    <row r="609" spans="1:23" s="236" customFormat="1" ht="24.95" hidden="1" customHeight="1" outlineLevel="1">
      <c r="A609" s="239"/>
      <c r="B609" s="239" t="s">
        <v>393</v>
      </c>
      <c r="C609" s="240">
        <v>10</v>
      </c>
      <c r="D609" s="690"/>
      <c r="E609" s="240"/>
      <c r="F609" s="836"/>
      <c r="G609" s="239">
        <v>1</v>
      </c>
      <c r="H609" s="203">
        <v>2</v>
      </c>
      <c r="I609" s="241">
        <v>100</v>
      </c>
      <c r="J609" s="234"/>
      <c r="K609" s="234">
        <v>645</v>
      </c>
      <c r="L609" s="234"/>
      <c r="M609" s="241">
        <v>100</v>
      </c>
      <c r="N609" s="235" t="e">
        <f>(((I609+J609+K609+L609+M609)-C609*#REF!*2)/1000)</f>
        <v>#REF!</v>
      </c>
      <c r="O609" s="235"/>
      <c r="P609" s="200">
        <f t="shared" si="95"/>
        <v>0</v>
      </c>
      <c r="Q609" s="200" t="e">
        <f t="shared" si="96"/>
        <v>#REF!</v>
      </c>
      <c r="R609" s="200">
        <f t="shared" si="97"/>
        <v>0</v>
      </c>
      <c r="S609" s="200">
        <f t="shared" si="98"/>
        <v>0</v>
      </c>
      <c r="T609" s="200">
        <f t="shared" si="99"/>
        <v>0</v>
      </c>
      <c r="U609" s="688">
        <f t="shared" si="100"/>
        <v>0</v>
      </c>
      <c r="V609" s="200">
        <f t="shared" si="101"/>
        <v>0</v>
      </c>
      <c r="W609" s="689"/>
    </row>
    <row r="610" spans="1:23" s="236" customFormat="1" ht="24.95" hidden="1" customHeight="1" outlineLevel="1">
      <c r="A610" s="239"/>
      <c r="B610" s="239" t="s">
        <v>394</v>
      </c>
      <c r="C610" s="240">
        <v>8</v>
      </c>
      <c r="D610" s="690"/>
      <c r="E610" s="240"/>
      <c r="F610" s="836"/>
      <c r="G610" s="239">
        <v>1</v>
      </c>
      <c r="H610" s="203">
        <f>(K608/200)+1</f>
        <v>4.2249999999999996</v>
      </c>
      <c r="I610" s="234"/>
      <c r="J610" s="234"/>
      <c r="K610" s="234">
        <v>820</v>
      </c>
      <c r="L610" s="234"/>
      <c r="M610" s="234"/>
      <c r="N610" s="235" t="e">
        <f>(((I610+J610+K610+L610+M610)-C610*#REF!*2)/1000)</f>
        <v>#REF!</v>
      </c>
      <c r="O610" s="235"/>
      <c r="P610" s="200" t="e">
        <f t="shared" si="95"/>
        <v>#REF!</v>
      </c>
      <c r="Q610" s="200">
        <f t="shared" si="96"/>
        <v>0</v>
      </c>
      <c r="R610" s="200">
        <f t="shared" si="97"/>
        <v>0</v>
      </c>
      <c r="S610" s="200">
        <f t="shared" si="98"/>
        <v>0</v>
      </c>
      <c r="T610" s="200">
        <f t="shared" si="99"/>
        <v>0</v>
      </c>
      <c r="U610" s="688">
        <f t="shared" si="100"/>
        <v>0</v>
      </c>
      <c r="V610" s="200">
        <f t="shared" si="101"/>
        <v>0</v>
      </c>
      <c r="W610" s="689"/>
    </row>
    <row r="611" spans="1:23" s="236" customFormat="1" ht="24.95" hidden="1" customHeight="1" outlineLevel="1">
      <c r="A611" s="239">
        <v>6</v>
      </c>
      <c r="B611" s="239" t="s">
        <v>392</v>
      </c>
      <c r="C611" s="240">
        <v>10</v>
      </c>
      <c r="D611" s="690"/>
      <c r="E611" s="240"/>
      <c r="F611" s="836"/>
      <c r="G611" s="239">
        <v>1</v>
      </c>
      <c r="H611" s="203">
        <v>2</v>
      </c>
      <c r="I611" s="241">
        <v>100</v>
      </c>
      <c r="J611" s="234"/>
      <c r="K611" s="234">
        <v>2170</v>
      </c>
      <c r="L611" s="234"/>
      <c r="M611" s="241">
        <v>100</v>
      </c>
      <c r="N611" s="235" t="e">
        <f>(((I611+J611+K611+L611+M611)-C611*#REF!*2)/1000)</f>
        <v>#REF!</v>
      </c>
      <c r="O611" s="235"/>
      <c r="P611" s="200">
        <f t="shared" si="95"/>
        <v>0</v>
      </c>
      <c r="Q611" s="200" t="e">
        <f t="shared" si="96"/>
        <v>#REF!</v>
      </c>
      <c r="R611" s="200">
        <f t="shared" si="97"/>
        <v>0</v>
      </c>
      <c r="S611" s="200">
        <f t="shared" si="98"/>
        <v>0</v>
      </c>
      <c r="T611" s="200">
        <f t="shared" si="99"/>
        <v>0</v>
      </c>
      <c r="U611" s="688">
        <f t="shared" si="100"/>
        <v>0</v>
      </c>
      <c r="V611" s="200">
        <f t="shared" si="101"/>
        <v>0</v>
      </c>
      <c r="W611" s="689"/>
    </row>
    <row r="612" spans="1:23" s="236" customFormat="1" ht="24.95" hidden="1" customHeight="1" outlineLevel="1">
      <c r="A612" s="239"/>
      <c r="B612" s="239" t="s">
        <v>393</v>
      </c>
      <c r="C612" s="240">
        <v>10</v>
      </c>
      <c r="D612" s="690"/>
      <c r="E612" s="240"/>
      <c r="F612" s="836"/>
      <c r="G612" s="239">
        <v>1</v>
      </c>
      <c r="H612" s="203">
        <v>2</v>
      </c>
      <c r="I612" s="241">
        <v>100</v>
      </c>
      <c r="J612" s="234"/>
      <c r="K612" s="234">
        <v>2170</v>
      </c>
      <c r="L612" s="234"/>
      <c r="M612" s="241">
        <v>100</v>
      </c>
      <c r="N612" s="235" t="e">
        <f>(((I612+J612+K612+L612+M612)-C612*#REF!*2)/1000)</f>
        <v>#REF!</v>
      </c>
      <c r="O612" s="235"/>
      <c r="P612" s="200">
        <f t="shared" si="95"/>
        <v>0</v>
      </c>
      <c r="Q612" s="200" t="e">
        <f t="shared" si="96"/>
        <v>#REF!</v>
      </c>
      <c r="R612" s="200">
        <f t="shared" si="97"/>
        <v>0</v>
      </c>
      <c r="S612" s="200">
        <f t="shared" si="98"/>
        <v>0</v>
      </c>
      <c r="T612" s="200">
        <f t="shared" si="99"/>
        <v>0</v>
      </c>
      <c r="U612" s="688">
        <f t="shared" si="100"/>
        <v>0</v>
      </c>
      <c r="V612" s="200">
        <f t="shared" si="101"/>
        <v>0</v>
      </c>
      <c r="W612" s="689"/>
    </row>
    <row r="613" spans="1:23" s="236" customFormat="1" ht="24.95" hidden="1" customHeight="1" outlineLevel="1">
      <c r="A613" s="239"/>
      <c r="B613" s="239" t="s">
        <v>394</v>
      </c>
      <c r="C613" s="240">
        <v>8</v>
      </c>
      <c r="D613" s="690"/>
      <c r="E613" s="240"/>
      <c r="F613" s="836"/>
      <c r="G613" s="239">
        <v>1</v>
      </c>
      <c r="H613" s="203">
        <f>(K611/200)+1</f>
        <v>11.85</v>
      </c>
      <c r="I613" s="234"/>
      <c r="J613" s="234"/>
      <c r="K613" s="234">
        <v>820</v>
      </c>
      <c r="L613" s="234"/>
      <c r="M613" s="234"/>
      <c r="N613" s="235" t="e">
        <f>(((I613+J613+K613+L613+M613)-C613*#REF!*2)/1000)</f>
        <v>#REF!</v>
      </c>
      <c r="O613" s="235"/>
      <c r="P613" s="200" t="e">
        <f t="shared" si="95"/>
        <v>#REF!</v>
      </c>
      <c r="Q613" s="200">
        <f t="shared" si="96"/>
        <v>0</v>
      </c>
      <c r="R613" s="200">
        <f t="shared" si="97"/>
        <v>0</v>
      </c>
      <c r="S613" s="200">
        <f t="shared" si="98"/>
        <v>0</v>
      </c>
      <c r="T613" s="200">
        <f t="shared" si="99"/>
        <v>0</v>
      </c>
      <c r="U613" s="688">
        <f t="shared" si="100"/>
        <v>0</v>
      </c>
      <c r="V613" s="200">
        <f t="shared" si="101"/>
        <v>0</v>
      </c>
      <c r="W613" s="689"/>
    </row>
    <row r="614" spans="1:23" s="236" customFormat="1" ht="24.95" hidden="1" customHeight="1" outlineLevel="1">
      <c r="A614" s="239">
        <v>7</v>
      </c>
      <c r="B614" s="239" t="s">
        <v>392</v>
      </c>
      <c r="C614" s="240">
        <v>10</v>
      </c>
      <c r="D614" s="690"/>
      <c r="E614" s="240"/>
      <c r="F614" s="836"/>
      <c r="G614" s="239">
        <v>1</v>
      </c>
      <c r="H614" s="203">
        <v>2</v>
      </c>
      <c r="I614" s="241">
        <v>100</v>
      </c>
      <c r="J614" s="234"/>
      <c r="K614" s="234">
        <v>670</v>
      </c>
      <c r="L614" s="234"/>
      <c r="M614" s="241">
        <v>100</v>
      </c>
      <c r="N614" s="235" t="e">
        <f>(((I614+J614+K614+L614+M614)-C614*#REF!*2)/1000)</f>
        <v>#REF!</v>
      </c>
      <c r="O614" s="235"/>
      <c r="P614" s="200">
        <f t="shared" si="95"/>
        <v>0</v>
      </c>
      <c r="Q614" s="200" t="e">
        <f t="shared" si="96"/>
        <v>#REF!</v>
      </c>
      <c r="R614" s="200">
        <f t="shared" si="97"/>
        <v>0</v>
      </c>
      <c r="S614" s="200">
        <f t="shared" si="98"/>
        <v>0</v>
      </c>
      <c r="T614" s="200">
        <f t="shared" si="99"/>
        <v>0</v>
      </c>
      <c r="U614" s="688">
        <f t="shared" si="100"/>
        <v>0</v>
      </c>
      <c r="V614" s="200">
        <f t="shared" si="101"/>
        <v>0</v>
      </c>
      <c r="W614" s="689"/>
    </row>
    <row r="615" spans="1:23" s="236" customFormat="1" ht="24.95" hidden="1" customHeight="1" outlineLevel="1">
      <c r="A615" s="239"/>
      <c r="B615" s="239" t="s">
        <v>393</v>
      </c>
      <c r="C615" s="240">
        <v>10</v>
      </c>
      <c r="D615" s="690"/>
      <c r="E615" s="240"/>
      <c r="F615" s="836"/>
      <c r="G615" s="239">
        <v>1</v>
      </c>
      <c r="H615" s="203">
        <v>2</v>
      </c>
      <c r="I615" s="241">
        <v>100</v>
      </c>
      <c r="J615" s="234"/>
      <c r="K615" s="234">
        <v>670</v>
      </c>
      <c r="L615" s="234"/>
      <c r="M615" s="241">
        <v>100</v>
      </c>
      <c r="N615" s="235" t="e">
        <f>(((I615+J615+K615+L615+M615)-C615*#REF!*2)/1000)</f>
        <v>#REF!</v>
      </c>
      <c r="O615" s="235"/>
      <c r="P615" s="200">
        <f t="shared" si="95"/>
        <v>0</v>
      </c>
      <c r="Q615" s="200" t="e">
        <f t="shared" si="96"/>
        <v>#REF!</v>
      </c>
      <c r="R615" s="200">
        <f t="shared" si="97"/>
        <v>0</v>
      </c>
      <c r="S615" s="200">
        <f t="shared" si="98"/>
        <v>0</v>
      </c>
      <c r="T615" s="200">
        <f t="shared" si="99"/>
        <v>0</v>
      </c>
      <c r="U615" s="688">
        <f t="shared" si="100"/>
        <v>0</v>
      </c>
      <c r="V615" s="200">
        <f t="shared" si="101"/>
        <v>0</v>
      </c>
      <c r="W615" s="689"/>
    </row>
    <row r="616" spans="1:23" s="236" customFormat="1" ht="24.95" hidden="1" customHeight="1" outlineLevel="1">
      <c r="A616" s="239"/>
      <c r="B616" s="239" t="s">
        <v>394</v>
      </c>
      <c r="C616" s="240">
        <v>8</v>
      </c>
      <c r="D616" s="690"/>
      <c r="E616" s="240"/>
      <c r="F616" s="836"/>
      <c r="G616" s="239">
        <v>1</v>
      </c>
      <c r="H616" s="203">
        <f>(K614/200)+1</f>
        <v>4.3499999999999996</v>
      </c>
      <c r="I616" s="234"/>
      <c r="J616" s="234"/>
      <c r="K616" s="234">
        <v>820</v>
      </c>
      <c r="L616" s="234"/>
      <c r="M616" s="234"/>
      <c r="N616" s="235" t="e">
        <f>(((I616+J616+K616+L616+M616)-C616*#REF!*2)/1000)</f>
        <v>#REF!</v>
      </c>
      <c r="O616" s="235"/>
      <c r="P616" s="200" t="e">
        <f t="shared" si="95"/>
        <v>#REF!</v>
      </c>
      <c r="Q616" s="200">
        <f t="shared" si="96"/>
        <v>0</v>
      </c>
      <c r="R616" s="200">
        <f t="shared" si="97"/>
        <v>0</v>
      </c>
      <c r="S616" s="200">
        <f t="shared" si="98"/>
        <v>0</v>
      </c>
      <c r="T616" s="200">
        <f t="shared" si="99"/>
        <v>0</v>
      </c>
      <c r="U616" s="688">
        <f t="shared" si="100"/>
        <v>0</v>
      </c>
      <c r="V616" s="200">
        <f t="shared" si="101"/>
        <v>0</v>
      </c>
      <c r="W616" s="689"/>
    </row>
    <row r="617" spans="1:23" s="236" customFormat="1" ht="24.95" hidden="1" customHeight="1" outlineLevel="1">
      <c r="A617" s="239">
        <v>8</v>
      </c>
      <c r="B617" s="239" t="s">
        <v>392</v>
      </c>
      <c r="C617" s="240">
        <v>10</v>
      </c>
      <c r="D617" s="690"/>
      <c r="E617" s="240"/>
      <c r="F617" s="836"/>
      <c r="G617" s="239">
        <v>1</v>
      </c>
      <c r="H617" s="203">
        <v>2</v>
      </c>
      <c r="I617" s="241">
        <v>100</v>
      </c>
      <c r="J617" s="234"/>
      <c r="K617" s="234">
        <v>3215</v>
      </c>
      <c r="L617" s="234"/>
      <c r="M617" s="241">
        <v>100</v>
      </c>
      <c r="N617" s="235" t="e">
        <f>(((I617+J617+K617+L617+M617)-C617*#REF!*2)/1000)</f>
        <v>#REF!</v>
      </c>
      <c r="O617" s="235"/>
      <c r="P617" s="200">
        <f t="shared" si="95"/>
        <v>0</v>
      </c>
      <c r="Q617" s="200" t="e">
        <f t="shared" si="96"/>
        <v>#REF!</v>
      </c>
      <c r="R617" s="200">
        <f t="shared" si="97"/>
        <v>0</v>
      </c>
      <c r="S617" s="200">
        <f t="shared" si="98"/>
        <v>0</v>
      </c>
      <c r="T617" s="200">
        <f t="shared" si="99"/>
        <v>0</v>
      </c>
      <c r="U617" s="688">
        <f t="shared" si="100"/>
        <v>0</v>
      </c>
      <c r="V617" s="200">
        <f t="shared" si="101"/>
        <v>0</v>
      </c>
      <c r="W617" s="689"/>
    </row>
    <row r="618" spans="1:23" s="236" customFormat="1" ht="24.95" hidden="1" customHeight="1" outlineLevel="1">
      <c r="A618" s="239"/>
      <c r="B618" s="239" t="s">
        <v>393</v>
      </c>
      <c r="C618" s="240">
        <v>10</v>
      </c>
      <c r="D618" s="690"/>
      <c r="E618" s="240"/>
      <c r="F618" s="836"/>
      <c r="G618" s="239">
        <v>1</v>
      </c>
      <c r="H618" s="203">
        <v>2</v>
      </c>
      <c r="I618" s="241">
        <v>100</v>
      </c>
      <c r="J618" s="234"/>
      <c r="K618" s="234">
        <v>3215</v>
      </c>
      <c r="L618" s="234"/>
      <c r="M618" s="241">
        <v>100</v>
      </c>
      <c r="N618" s="235" t="e">
        <f>(((I618+J618+K618+L618+M618)-C618*#REF!*2)/1000)</f>
        <v>#REF!</v>
      </c>
      <c r="O618" s="235"/>
      <c r="P618" s="200">
        <f t="shared" si="95"/>
        <v>0</v>
      </c>
      <c r="Q618" s="200" t="e">
        <f t="shared" si="96"/>
        <v>#REF!</v>
      </c>
      <c r="R618" s="200">
        <f t="shared" si="97"/>
        <v>0</v>
      </c>
      <c r="S618" s="200">
        <f t="shared" si="98"/>
        <v>0</v>
      </c>
      <c r="T618" s="200">
        <f t="shared" si="99"/>
        <v>0</v>
      </c>
      <c r="U618" s="688">
        <f t="shared" si="100"/>
        <v>0</v>
      </c>
      <c r="V618" s="200">
        <f t="shared" si="101"/>
        <v>0</v>
      </c>
      <c r="W618" s="689"/>
    </row>
    <row r="619" spans="1:23" s="236" customFormat="1" ht="24.95" hidden="1" customHeight="1" outlineLevel="1">
      <c r="A619" s="239"/>
      <c r="B619" s="239" t="s">
        <v>394</v>
      </c>
      <c r="C619" s="240">
        <v>8</v>
      </c>
      <c r="D619" s="690"/>
      <c r="E619" s="240"/>
      <c r="F619" s="836"/>
      <c r="G619" s="239">
        <v>1</v>
      </c>
      <c r="H619" s="203">
        <f>(K617/200)+1</f>
        <v>17.074999999999999</v>
      </c>
      <c r="I619" s="234"/>
      <c r="J619" s="234"/>
      <c r="K619" s="234">
        <v>820</v>
      </c>
      <c r="L619" s="234"/>
      <c r="M619" s="234"/>
      <c r="N619" s="235" t="e">
        <f>(((I619+J619+K619+L619+M619)-C619*#REF!*2)/1000)</f>
        <v>#REF!</v>
      </c>
      <c r="O619" s="235"/>
      <c r="P619" s="200" t="e">
        <f t="shared" si="95"/>
        <v>#REF!</v>
      </c>
      <c r="Q619" s="200">
        <f t="shared" si="96"/>
        <v>0</v>
      </c>
      <c r="R619" s="200">
        <f t="shared" si="97"/>
        <v>0</v>
      </c>
      <c r="S619" s="200">
        <f t="shared" si="98"/>
        <v>0</v>
      </c>
      <c r="T619" s="200">
        <f t="shared" si="99"/>
        <v>0</v>
      </c>
      <c r="U619" s="688">
        <f t="shared" si="100"/>
        <v>0</v>
      </c>
      <c r="V619" s="200">
        <f t="shared" si="101"/>
        <v>0</v>
      </c>
      <c r="W619" s="689"/>
    </row>
    <row r="620" spans="1:23" s="236" customFormat="1" ht="24.95" hidden="1" customHeight="1" outlineLevel="1">
      <c r="A620" s="205" t="s">
        <v>438</v>
      </c>
      <c r="B620" s="206" t="s">
        <v>396</v>
      </c>
      <c r="C620" s="240"/>
      <c r="D620" s="690"/>
      <c r="E620" s="240"/>
      <c r="F620" s="836"/>
      <c r="G620" s="239"/>
      <c r="H620" s="203"/>
      <c r="I620" s="234"/>
      <c r="J620" s="234"/>
      <c r="K620" s="234"/>
      <c r="L620" s="234"/>
      <c r="M620" s="234"/>
      <c r="N620" s="235" t="e">
        <f>(((I620+J620+K620+L620+M620)-C620*#REF!*2)/1000)</f>
        <v>#REF!</v>
      </c>
      <c r="O620" s="235"/>
      <c r="P620" s="200">
        <f t="shared" si="95"/>
        <v>0</v>
      </c>
      <c r="Q620" s="200">
        <f t="shared" si="96"/>
        <v>0</v>
      </c>
      <c r="R620" s="200">
        <f t="shared" si="97"/>
        <v>0</v>
      </c>
      <c r="S620" s="200">
        <f t="shared" si="98"/>
        <v>0</v>
      </c>
      <c r="T620" s="200">
        <f t="shared" si="99"/>
        <v>0</v>
      </c>
      <c r="U620" s="688">
        <f t="shared" si="100"/>
        <v>0</v>
      </c>
      <c r="V620" s="200">
        <f t="shared" si="101"/>
        <v>0</v>
      </c>
      <c r="W620" s="689"/>
    </row>
    <row r="621" spans="1:23" s="236" customFormat="1" ht="24.95" hidden="1" customHeight="1" outlineLevel="1">
      <c r="A621" s="239">
        <v>1</v>
      </c>
      <c r="B621" s="239" t="s">
        <v>392</v>
      </c>
      <c r="C621" s="240">
        <v>10</v>
      </c>
      <c r="D621" s="690"/>
      <c r="E621" s="240"/>
      <c r="F621" s="836"/>
      <c r="G621" s="239">
        <v>1</v>
      </c>
      <c r="H621" s="203">
        <v>2</v>
      </c>
      <c r="I621" s="241">
        <v>100</v>
      </c>
      <c r="J621" s="234"/>
      <c r="K621" s="234">
        <v>4975</v>
      </c>
      <c r="L621" s="234"/>
      <c r="M621" s="241">
        <v>100</v>
      </c>
      <c r="N621" s="235" t="e">
        <f>(((I621+J621+K621+L621+M621)-C621*#REF!*2)/1000)</f>
        <v>#REF!</v>
      </c>
      <c r="O621" s="235"/>
      <c r="P621" s="200">
        <f t="shared" si="95"/>
        <v>0</v>
      </c>
      <c r="Q621" s="200" t="e">
        <f t="shared" si="96"/>
        <v>#REF!</v>
      </c>
      <c r="R621" s="200">
        <f t="shared" si="97"/>
        <v>0</v>
      </c>
      <c r="S621" s="200">
        <f t="shared" si="98"/>
        <v>0</v>
      </c>
      <c r="T621" s="200">
        <f t="shared" si="99"/>
        <v>0</v>
      </c>
      <c r="U621" s="688">
        <f t="shared" si="100"/>
        <v>0</v>
      </c>
      <c r="V621" s="200">
        <f t="shared" si="101"/>
        <v>0</v>
      </c>
      <c r="W621" s="689"/>
    </row>
    <row r="622" spans="1:23" s="236" customFormat="1" ht="24.95" hidden="1" customHeight="1" outlineLevel="1">
      <c r="A622" s="239"/>
      <c r="B622" s="239" t="s">
        <v>393</v>
      </c>
      <c r="C622" s="240">
        <v>10</v>
      </c>
      <c r="D622" s="690"/>
      <c r="E622" s="240"/>
      <c r="F622" s="836"/>
      <c r="G622" s="239">
        <v>1</v>
      </c>
      <c r="H622" s="203">
        <v>2</v>
      </c>
      <c r="I622" s="241">
        <v>100</v>
      </c>
      <c r="J622" s="234"/>
      <c r="K622" s="234">
        <v>4975</v>
      </c>
      <c r="L622" s="234"/>
      <c r="M622" s="241">
        <v>100</v>
      </c>
      <c r="N622" s="235" t="e">
        <f>(((I622+J622+K622+L622+M622)-C622*#REF!*2)/1000)</f>
        <v>#REF!</v>
      </c>
      <c r="O622" s="235"/>
      <c r="P622" s="200">
        <f t="shared" si="95"/>
        <v>0</v>
      </c>
      <c r="Q622" s="200" t="e">
        <f t="shared" si="96"/>
        <v>#REF!</v>
      </c>
      <c r="R622" s="200">
        <f t="shared" si="97"/>
        <v>0</v>
      </c>
      <c r="S622" s="200">
        <f t="shared" si="98"/>
        <v>0</v>
      </c>
      <c r="T622" s="200">
        <f t="shared" si="99"/>
        <v>0</v>
      </c>
      <c r="U622" s="688">
        <f t="shared" si="100"/>
        <v>0</v>
      </c>
      <c r="V622" s="200">
        <f t="shared" si="101"/>
        <v>0</v>
      </c>
      <c r="W622" s="689"/>
    </row>
    <row r="623" spans="1:23" s="236" customFormat="1" ht="24.95" hidden="1" customHeight="1" outlineLevel="1">
      <c r="A623" s="239"/>
      <c r="B623" s="239" t="s">
        <v>394</v>
      </c>
      <c r="C623" s="240">
        <v>8</v>
      </c>
      <c r="D623" s="690"/>
      <c r="E623" s="240"/>
      <c r="F623" s="836"/>
      <c r="G623" s="239">
        <v>1</v>
      </c>
      <c r="H623" s="203">
        <f>(K621/200)+1</f>
        <v>25.875</v>
      </c>
      <c r="I623" s="234"/>
      <c r="J623" s="234"/>
      <c r="K623" s="234">
        <v>820</v>
      </c>
      <c r="L623" s="234"/>
      <c r="M623" s="234"/>
      <c r="N623" s="235" t="e">
        <f>(((I623+J623+K623+L623+M623)-C623*#REF!*2)/1000)</f>
        <v>#REF!</v>
      </c>
      <c r="O623" s="235"/>
      <c r="P623" s="200" t="e">
        <f t="shared" si="95"/>
        <v>#REF!</v>
      </c>
      <c r="Q623" s="200">
        <f t="shared" si="96"/>
        <v>0</v>
      </c>
      <c r="R623" s="200">
        <f t="shared" si="97"/>
        <v>0</v>
      </c>
      <c r="S623" s="200">
        <f t="shared" si="98"/>
        <v>0</v>
      </c>
      <c r="T623" s="200">
        <f t="shared" si="99"/>
        <v>0</v>
      </c>
      <c r="U623" s="688">
        <f t="shared" si="100"/>
        <v>0</v>
      </c>
      <c r="V623" s="200">
        <f t="shared" si="101"/>
        <v>0</v>
      </c>
      <c r="W623" s="689"/>
    </row>
    <row r="624" spans="1:23" s="236" customFormat="1" ht="24.95" hidden="1" customHeight="1" outlineLevel="1">
      <c r="A624" s="239">
        <v>2</v>
      </c>
      <c r="B624" s="239" t="s">
        <v>392</v>
      </c>
      <c r="C624" s="240">
        <v>10</v>
      </c>
      <c r="D624" s="690"/>
      <c r="E624" s="240"/>
      <c r="F624" s="836"/>
      <c r="G624" s="239">
        <v>1</v>
      </c>
      <c r="H624" s="203">
        <v>2</v>
      </c>
      <c r="I624" s="241">
        <v>100</v>
      </c>
      <c r="J624" s="234"/>
      <c r="K624" s="234">
        <v>3140</v>
      </c>
      <c r="L624" s="234"/>
      <c r="M624" s="241">
        <v>100</v>
      </c>
      <c r="N624" s="235" t="e">
        <f>(((I624+J624+K624+L624+M624)-C624*#REF!*2)/1000)</f>
        <v>#REF!</v>
      </c>
      <c r="O624" s="235"/>
      <c r="P624" s="200">
        <f t="shared" si="95"/>
        <v>0</v>
      </c>
      <c r="Q624" s="200" t="e">
        <f t="shared" si="96"/>
        <v>#REF!</v>
      </c>
      <c r="R624" s="200">
        <f t="shared" si="97"/>
        <v>0</v>
      </c>
      <c r="S624" s="200">
        <f t="shared" si="98"/>
        <v>0</v>
      </c>
      <c r="T624" s="200">
        <f t="shared" si="99"/>
        <v>0</v>
      </c>
      <c r="U624" s="688">
        <f t="shared" si="100"/>
        <v>0</v>
      </c>
      <c r="V624" s="200">
        <f t="shared" si="101"/>
        <v>0</v>
      </c>
      <c r="W624" s="689"/>
    </row>
    <row r="625" spans="1:23" s="236" customFormat="1" ht="24.95" hidden="1" customHeight="1" outlineLevel="1">
      <c r="A625" s="239"/>
      <c r="B625" s="239" t="s">
        <v>393</v>
      </c>
      <c r="C625" s="240">
        <v>10</v>
      </c>
      <c r="D625" s="690"/>
      <c r="E625" s="240"/>
      <c r="F625" s="836"/>
      <c r="G625" s="239">
        <v>1</v>
      </c>
      <c r="H625" s="203">
        <v>2</v>
      </c>
      <c r="I625" s="241">
        <v>100</v>
      </c>
      <c r="J625" s="234"/>
      <c r="K625" s="234">
        <v>3140</v>
      </c>
      <c r="L625" s="234"/>
      <c r="M625" s="241">
        <v>100</v>
      </c>
      <c r="N625" s="235" t="e">
        <f>(((I625+J625+K625+L625+M625)-C625*#REF!*2)/1000)</f>
        <v>#REF!</v>
      </c>
      <c r="O625" s="235"/>
      <c r="P625" s="200">
        <f t="shared" si="95"/>
        <v>0</v>
      </c>
      <c r="Q625" s="200" t="e">
        <f t="shared" si="96"/>
        <v>#REF!</v>
      </c>
      <c r="R625" s="200">
        <f t="shared" si="97"/>
        <v>0</v>
      </c>
      <c r="S625" s="200">
        <f t="shared" si="98"/>
        <v>0</v>
      </c>
      <c r="T625" s="200">
        <f t="shared" si="99"/>
        <v>0</v>
      </c>
      <c r="U625" s="688">
        <f t="shared" si="100"/>
        <v>0</v>
      </c>
      <c r="V625" s="200">
        <f t="shared" si="101"/>
        <v>0</v>
      </c>
      <c r="W625" s="689"/>
    </row>
    <row r="626" spans="1:23" s="236" customFormat="1" ht="24.95" hidden="1" customHeight="1" outlineLevel="1">
      <c r="A626" s="239"/>
      <c r="B626" s="239" t="s">
        <v>394</v>
      </c>
      <c r="C626" s="240">
        <v>8</v>
      </c>
      <c r="D626" s="690"/>
      <c r="E626" s="240"/>
      <c r="F626" s="836"/>
      <c r="G626" s="239">
        <v>1</v>
      </c>
      <c r="H626" s="203">
        <f>(K624/200)+1</f>
        <v>16.7</v>
      </c>
      <c r="I626" s="234"/>
      <c r="J626" s="234"/>
      <c r="K626" s="234">
        <v>820</v>
      </c>
      <c r="L626" s="234"/>
      <c r="M626" s="234"/>
      <c r="N626" s="235" t="e">
        <f>(((I626+J626+K626+L626+M626)-C626*#REF!*2)/1000)</f>
        <v>#REF!</v>
      </c>
      <c r="O626" s="235"/>
      <c r="P626" s="200" t="e">
        <f t="shared" si="95"/>
        <v>#REF!</v>
      </c>
      <c r="Q626" s="200">
        <f t="shared" si="96"/>
        <v>0</v>
      </c>
      <c r="R626" s="200">
        <f t="shared" si="97"/>
        <v>0</v>
      </c>
      <c r="S626" s="200">
        <f t="shared" si="98"/>
        <v>0</v>
      </c>
      <c r="T626" s="200">
        <f t="shared" si="99"/>
        <v>0</v>
      </c>
      <c r="U626" s="688">
        <f t="shared" si="100"/>
        <v>0</v>
      </c>
      <c r="V626" s="200">
        <f t="shared" si="101"/>
        <v>0</v>
      </c>
      <c r="W626" s="689"/>
    </row>
    <row r="627" spans="1:23" s="236" customFormat="1" ht="24.95" hidden="1" customHeight="1" outlineLevel="1">
      <c r="A627" s="239">
        <v>3</v>
      </c>
      <c r="B627" s="239" t="s">
        <v>392</v>
      </c>
      <c r="C627" s="240">
        <v>10</v>
      </c>
      <c r="D627" s="690"/>
      <c r="E627" s="240"/>
      <c r="F627" s="836"/>
      <c r="G627" s="239">
        <v>1</v>
      </c>
      <c r="H627" s="203">
        <v>2</v>
      </c>
      <c r="I627" s="241">
        <v>100</v>
      </c>
      <c r="J627" s="234"/>
      <c r="K627" s="234">
        <v>6615</v>
      </c>
      <c r="L627" s="234"/>
      <c r="M627" s="241">
        <v>100</v>
      </c>
      <c r="N627" s="235" t="e">
        <f>(((I627+J627+K627+L627+M627)-C627*#REF!*2)/1000)</f>
        <v>#REF!</v>
      </c>
      <c r="O627" s="235"/>
      <c r="P627" s="200">
        <f t="shared" si="95"/>
        <v>0</v>
      </c>
      <c r="Q627" s="200" t="e">
        <f t="shared" si="96"/>
        <v>#REF!</v>
      </c>
      <c r="R627" s="200">
        <f t="shared" si="97"/>
        <v>0</v>
      </c>
      <c r="S627" s="200">
        <f t="shared" si="98"/>
        <v>0</v>
      </c>
      <c r="T627" s="200">
        <f t="shared" si="99"/>
        <v>0</v>
      </c>
      <c r="U627" s="688">
        <f t="shared" si="100"/>
        <v>0</v>
      </c>
      <c r="V627" s="200">
        <f t="shared" si="101"/>
        <v>0</v>
      </c>
      <c r="W627" s="689"/>
    </row>
    <row r="628" spans="1:23" s="236" customFormat="1" ht="24.95" hidden="1" customHeight="1" outlineLevel="1">
      <c r="A628" s="239"/>
      <c r="B628" s="239" t="s">
        <v>393</v>
      </c>
      <c r="C628" s="240">
        <v>10</v>
      </c>
      <c r="D628" s="690"/>
      <c r="E628" s="240"/>
      <c r="F628" s="836"/>
      <c r="G628" s="239">
        <v>1</v>
      </c>
      <c r="H628" s="203">
        <v>2</v>
      </c>
      <c r="I628" s="241">
        <v>100</v>
      </c>
      <c r="J628" s="234"/>
      <c r="K628" s="234">
        <v>6615</v>
      </c>
      <c r="L628" s="234"/>
      <c r="M628" s="241">
        <v>100</v>
      </c>
      <c r="N628" s="235" t="e">
        <f>(((I628+J628+K628+L628+M628)-C628*#REF!*2)/1000)</f>
        <v>#REF!</v>
      </c>
      <c r="O628" s="235"/>
      <c r="P628" s="200">
        <f t="shared" si="95"/>
        <v>0</v>
      </c>
      <c r="Q628" s="200" t="e">
        <f t="shared" si="96"/>
        <v>#REF!</v>
      </c>
      <c r="R628" s="200">
        <f t="shared" si="97"/>
        <v>0</v>
      </c>
      <c r="S628" s="200">
        <f t="shared" si="98"/>
        <v>0</v>
      </c>
      <c r="T628" s="200">
        <f t="shared" si="99"/>
        <v>0</v>
      </c>
      <c r="U628" s="688">
        <f t="shared" si="100"/>
        <v>0</v>
      </c>
      <c r="V628" s="200">
        <f t="shared" si="101"/>
        <v>0</v>
      </c>
      <c r="W628" s="689"/>
    </row>
    <row r="629" spans="1:23" s="236" customFormat="1" ht="24.95" hidden="1" customHeight="1" outlineLevel="1">
      <c r="A629" s="239"/>
      <c r="B629" s="239" t="s">
        <v>394</v>
      </c>
      <c r="C629" s="240">
        <v>8</v>
      </c>
      <c r="D629" s="690"/>
      <c r="E629" s="240"/>
      <c r="F629" s="836"/>
      <c r="G629" s="239">
        <v>1</v>
      </c>
      <c r="H629" s="203">
        <f>(K627/200)+1</f>
        <v>34.075000000000003</v>
      </c>
      <c r="I629" s="234"/>
      <c r="J629" s="234"/>
      <c r="K629" s="234">
        <v>820</v>
      </c>
      <c r="L629" s="234"/>
      <c r="M629" s="234"/>
      <c r="N629" s="235" t="e">
        <f>(((I629+J629+K629+L629+M629)-C629*#REF!*2)/1000)</f>
        <v>#REF!</v>
      </c>
      <c r="O629" s="235"/>
      <c r="P629" s="200" t="e">
        <f t="shared" si="95"/>
        <v>#REF!</v>
      </c>
      <c r="Q629" s="200">
        <f t="shared" si="96"/>
        <v>0</v>
      </c>
      <c r="R629" s="200">
        <f t="shared" si="97"/>
        <v>0</v>
      </c>
      <c r="S629" s="200">
        <f t="shared" si="98"/>
        <v>0</v>
      </c>
      <c r="T629" s="200">
        <f t="shared" si="99"/>
        <v>0</v>
      </c>
      <c r="U629" s="688">
        <f t="shared" si="100"/>
        <v>0</v>
      </c>
      <c r="V629" s="200">
        <f t="shared" si="101"/>
        <v>0</v>
      </c>
      <c r="W629" s="689"/>
    </row>
    <row r="630" spans="1:23" s="236" customFormat="1" ht="24.95" hidden="1" customHeight="1" outlineLevel="1">
      <c r="A630" s="239">
        <v>4</v>
      </c>
      <c r="B630" s="239" t="s">
        <v>392</v>
      </c>
      <c r="C630" s="240">
        <v>10</v>
      </c>
      <c r="D630" s="690"/>
      <c r="E630" s="240"/>
      <c r="F630" s="836"/>
      <c r="G630" s="239">
        <v>1</v>
      </c>
      <c r="H630" s="203">
        <v>2</v>
      </c>
      <c r="I630" s="241">
        <v>100</v>
      </c>
      <c r="J630" s="234"/>
      <c r="K630" s="234">
        <v>2180</v>
      </c>
      <c r="L630" s="234"/>
      <c r="M630" s="241">
        <v>100</v>
      </c>
      <c r="N630" s="235" t="e">
        <f>(((I630+J630+K630+L630+M630)-C630*#REF!*2)/1000)</f>
        <v>#REF!</v>
      </c>
      <c r="O630" s="235"/>
      <c r="P630" s="200">
        <f t="shared" si="95"/>
        <v>0</v>
      </c>
      <c r="Q630" s="200" t="e">
        <f t="shared" si="96"/>
        <v>#REF!</v>
      </c>
      <c r="R630" s="200">
        <f t="shared" si="97"/>
        <v>0</v>
      </c>
      <c r="S630" s="200">
        <f t="shared" si="98"/>
        <v>0</v>
      </c>
      <c r="T630" s="200">
        <f t="shared" si="99"/>
        <v>0</v>
      </c>
      <c r="U630" s="688">
        <f t="shared" si="100"/>
        <v>0</v>
      </c>
      <c r="V630" s="200">
        <f t="shared" si="101"/>
        <v>0</v>
      </c>
      <c r="W630" s="689"/>
    </row>
    <row r="631" spans="1:23" s="236" customFormat="1" ht="24.95" hidden="1" customHeight="1" outlineLevel="1">
      <c r="A631" s="239"/>
      <c r="B631" s="239" t="s">
        <v>393</v>
      </c>
      <c r="C631" s="240">
        <v>10</v>
      </c>
      <c r="D631" s="690"/>
      <c r="E631" s="240"/>
      <c r="F631" s="836"/>
      <c r="G631" s="239">
        <v>1</v>
      </c>
      <c r="H631" s="203">
        <v>2</v>
      </c>
      <c r="I631" s="241">
        <v>100</v>
      </c>
      <c r="J631" s="234"/>
      <c r="K631" s="234">
        <v>2180</v>
      </c>
      <c r="L631" s="234"/>
      <c r="M631" s="241">
        <v>100</v>
      </c>
      <c r="N631" s="235" t="e">
        <f>(((I631+J631+K631+L631+M631)-C631*#REF!*2)/1000)</f>
        <v>#REF!</v>
      </c>
      <c r="O631" s="235"/>
      <c r="P631" s="200">
        <f t="shared" si="95"/>
        <v>0</v>
      </c>
      <c r="Q631" s="200" t="e">
        <f t="shared" si="96"/>
        <v>#REF!</v>
      </c>
      <c r="R631" s="200">
        <f t="shared" si="97"/>
        <v>0</v>
      </c>
      <c r="S631" s="200">
        <f t="shared" si="98"/>
        <v>0</v>
      </c>
      <c r="T631" s="200">
        <f t="shared" si="99"/>
        <v>0</v>
      </c>
      <c r="U631" s="688">
        <f t="shared" si="100"/>
        <v>0</v>
      </c>
      <c r="V631" s="200">
        <f t="shared" si="101"/>
        <v>0</v>
      </c>
      <c r="W631" s="689"/>
    </row>
    <row r="632" spans="1:23" s="236" customFormat="1" ht="24.95" hidden="1" customHeight="1" outlineLevel="1">
      <c r="A632" s="239"/>
      <c r="B632" s="239" t="s">
        <v>394</v>
      </c>
      <c r="C632" s="240">
        <v>8</v>
      </c>
      <c r="D632" s="690"/>
      <c r="E632" s="240"/>
      <c r="F632" s="836"/>
      <c r="G632" s="239">
        <v>1</v>
      </c>
      <c r="H632" s="203">
        <f>(K630/200)+1</f>
        <v>11.9</v>
      </c>
      <c r="I632" s="234"/>
      <c r="J632" s="234"/>
      <c r="K632" s="234">
        <v>820</v>
      </c>
      <c r="L632" s="234"/>
      <c r="M632" s="234"/>
      <c r="N632" s="235" t="e">
        <f>(((I632+J632+K632+L632+M632)-C632*#REF!*2)/1000)</f>
        <v>#REF!</v>
      </c>
      <c r="O632" s="235"/>
      <c r="P632" s="200" t="e">
        <f t="shared" si="95"/>
        <v>#REF!</v>
      </c>
      <c r="Q632" s="200">
        <f t="shared" si="96"/>
        <v>0</v>
      </c>
      <c r="R632" s="200">
        <f t="shared" si="97"/>
        <v>0</v>
      </c>
      <c r="S632" s="200">
        <f t="shared" si="98"/>
        <v>0</v>
      </c>
      <c r="T632" s="200">
        <f t="shared" si="99"/>
        <v>0</v>
      </c>
      <c r="U632" s="688">
        <f t="shared" si="100"/>
        <v>0</v>
      </c>
      <c r="V632" s="200">
        <f t="shared" si="101"/>
        <v>0</v>
      </c>
      <c r="W632" s="689"/>
    </row>
    <row r="633" spans="1:23" s="236" customFormat="1" ht="24.95" hidden="1" customHeight="1" outlineLevel="1">
      <c r="A633" s="239">
        <v>5</v>
      </c>
      <c r="B633" s="239" t="s">
        <v>392</v>
      </c>
      <c r="C633" s="240">
        <v>10</v>
      </c>
      <c r="D633" s="690"/>
      <c r="E633" s="240"/>
      <c r="F633" s="836"/>
      <c r="G633" s="239">
        <v>1</v>
      </c>
      <c r="H633" s="203">
        <v>2</v>
      </c>
      <c r="I633" s="241">
        <v>100</v>
      </c>
      <c r="J633" s="234"/>
      <c r="K633" s="241">
        <v>2410</v>
      </c>
      <c r="L633" s="234"/>
      <c r="M633" s="241">
        <v>100</v>
      </c>
      <c r="N633" s="235" t="e">
        <f>(((I633+J633+K633+L633+M633)-C633*#REF!*2)/1000)</f>
        <v>#REF!</v>
      </c>
      <c r="O633" s="235"/>
      <c r="P633" s="200">
        <f t="shared" si="95"/>
        <v>0</v>
      </c>
      <c r="Q633" s="200" t="e">
        <f t="shared" si="96"/>
        <v>#REF!</v>
      </c>
      <c r="R633" s="200">
        <f t="shared" si="97"/>
        <v>0</v>
      </c>
      <c r="S633" s="200">
        <f t="shared" si="98"/>
        <v>0</v>
      </c>
      <c r="T633" s="200">
        <f t="shared" si="99"/>
        <v>0</v>
      </c>
      <c r="U633" s="688">
        <f t="shared" si="100"/>
        <v>0</v>
      </c>
      <c r="V633" s="200">
        <f t="shared" si="101"/>
        <v>0</v>
      </c>
      <c r="W633" s="689"/>
    </row>
    <row r="634" spans="1:23" s="236" customFormat="1" ht="24.95" hidden="1" customHeight="1" outlineLevel="1">
      <c r="A634" s="239"/>
      <c r="B634" s="239" t="s">
        <v>393</v>
      </c>
      <c r="C634" s="240">
        <v>10</v>
      </c>
      <c r="D634" s="690"/>
      <c r="E634" s="240"/>
      <c r="F634" s="836"/>
      <c r="G634" s="239">
        <v>1</v>
      </c>
      <c r="H634" s="203">
        <v>2</v>
      </c>
      <c r="I634" s="241">
        <v>100</v>
      </c>
      <c r="J634" s="234"/>
      <c r="K634" s="241">
        <v>2410</v>
      </c>
      <c r="L634" s="234"/>
      <c r="M634" s="241">
        <v>100</v>
      </c>
      <c r="N634" s="235" t="e">
        <f>(((I634+J634+K634+L634+M634)-C634*#REF!*2)/1000)</f>
        <v>#REF!</v>
      </c>
      <c r="O634" s="235"/>
      <c r="P634" s="200">
        <f t="shared" si="95"/>
        <v>0</v>
      </c>
      <c r="Q634" s="200" t="e">
        <f t="shared" si="96"/>
        <v>#REF!</v>
      </c>
      <c r="R634" s="200">
        <f t="shared" si="97"/>
        <v>0</v>
      </c>
      <c r="S634" s="200">
        <f t="shared" si="98"/>
        <v>0</v>
      </c>
      <c r="T634" s="200">
        <f t="shared" si="99"/>
        <v>0</v>
      </c>
      <c r="U634" s="688">
        <f t="shared" si="100"/>
        <v>0</v>
      </c>
      <c r="V634" s="200">
        <f t="shared" si="101"/>
        <v>0</v>
      </c>
      <c r="W634" s="689"/>
    </row>
    <row r="635" spans="1:23" s="236" customFormat="1" ht="24.95" hidden="1" customHeight="1" outlineLevel="1">
      <c r="A635" s="239"/>
      <c r="B635" s="239" t="s">
        <v>394</v>
      </c>
      <c r="C635" s="240">
        <v>8</v>
      </c>
      <c r="D635" s="690"/>
      <c r="E635" s="240"/>
      <c r="F635" s="836"/>
      <c r="G635" s="239">
        <v>1</v>
      </c>
      <c r="H635" s="203">
        <f>(K633/200)+1</f>
        <v>13.05</v>
      </c>
      <c r="I635" s="234"/>
      <c r="J635" s="234"/>
      <c r="K635" s="234">
        <v>820</v>
      </c>
      <c r="L635" s="234"/>
      <c r="M635" s="234"/>
      <c r="N635" s="235" t="e">
        <f>(((I635+J635+K635+L635+M635)-C635*#REF!*2)/1000)</f>
        <v>#REF!</v>
      </c>
      <c r="O635" s="235"/>
      <c r="P635" s="200" t="e">
        <f t="shared" si="95"/>
        <v>#REF!</v>
      </c>
      <c r="Q635" s="200">
        <f t="shared" si="96"/>
        <v>0</v>
      </c>
      <c r="R635" s="200">
        <f t="shared" si="97"/>
        <v>0</v>
      </c>
      <c r="S635" s="200">
        <f t="shared" si="98"/>
        <v>0</v>
      </c>
      <c r="T635" s="200">
        <f t="shared" si="99"/>
        <v>0</v>
      </c>
      <c r="U635" s="688">
        <f t="shared" si="100"/>
        <v>0</v>
      </c>
      <c r="V635" s="200">
        <f t="shared" si="101"/>
        <v>0</v>
      </c>
      <c r="W635" s="689"/>
    </row>
    <row r="636" spans="1:23" s="247" customFormat="1" ht="24.95" hidden="1" customHeight="1" outlineLevel="1">
      <c r="A636" s="242">
        <v>6</v>
      </c>
      <c r="B636" s="242" t="s">
        <v>392</v>
      </c>
      <c r="C636" s="243">
        <v>10</v>
      </c>
      <c r="D636" s="696"/>
      <c r="E636" s="243"/>
      <c r="F636" s="696"/>
      <c r="G636" s="242">
        <f t="shared" ref="G636:G638" si="102">1*0</f>
        <v>0</v>
      </c>
      <c r="H636" s="244">
        <v>2</v>
      </c>
      <c r="I636" s="245">
        <v>100</v>
      </c>
      <c r="J636" s="246"/>
      <c r="K636" s="246">
        <v>880</v>
      </c>
      <c r="L636" s="246"/>
      <c r="M636" s="245">
        <v>100</v>
      </c>
      <c r="N636" s="235" t="e">
        <f>(((I636+J636+K636+L636+M636)-C636*#REF!*2)/1000)</f>
        <v>#REF!</v>
      </c>
      <c r="O636" s="235"/>
      <c r="P636" s="200">
        <f t="shared" si="95"/>
        <v>0</v>
      </c>
      <c r="Q636" s="200" t="e">
        <f t="shared" si="96"/>
        <v>#REF!</v>
      </c>
      <c r="R636" s="200">
        <f t="shared" si="97"/>
        <v>0</v>
      </c>
      <c r="S636" s="200">
        <f t="shared" si="98"/>
        <v>0</v>
      </c>
      <c r="T636" s="200">
        <f t="shared" si="99"/>
        <v>0</v>
      </c>
      <c r="U636" s="688">
        <f t="shared" si="100"/>
        <v>0</v>
      </c>
      <c r="V636" s="200">
        <f t="shared" si="101"/>
        <v>0</v>
      </c>
      <c r="W636" s="697"/>
    </row>
    <row r="637" spans="1:23" s="247" customFormat="1" ht="24.95" hidden="1" customHeight="1" outlineLevel="1">
      <c r="A637" s="242"/>
      <c r="B637" s="242" t="s">
        <v>393</v>
      </c>
      <c r="C637" s="243">
        <v>10</v>
      </c>
      <c r="D637" s="696"/>
      <c r="E637" s="243"/>
      <c r="F637" s="696"/>
      <c r="G637" s="242">
        <f t="shared" si="102"/>
        <v>0</v>
      </c>
      <c r="H637" s="244">
        <v>2</v>
      </c>
      <c r="I637" s="245">
        <v>100</v>
      </c>
      <c r="J637" s="246"/>
      <c r="K637" s="246">
        <v>880</v>
      </c>
      <c r="L637" s="246"/>
      <c r="M637" s="245">
        <v>100</v>
      </c>
      <c r="N637" s="235" t="e">
        <f>(((I637+J637+K637+L637+M637)-C637*#REF!*2)/1000)</f>
        <v>#REF!</v>
      </c>
      <c r="O637" s="235"/>
      <c r="P637" s="200">
        <f t="shared" si="95"/>
        <v>0</v>
      </c>
      <c r="Q637" s="200" t="e">
        <f t="shared" si="96"/>
        <v>#REF!</v>
      </c>
      <c r="R637" s="200">
        <f t="shared" si="97"/>
        <v>0</v>
      </c>
      <c r="S637" s="200">
        <f t="shared" si="98"/>
        <v>0</v>
      </c>
      <c r="T637" s="200">
        <f t="shared" si="99"/>
        <v>0</v>
      </c>
      <c r="U637" s="688">
        <f t="shared" si="100"/>
        <v>0</v>
      </c>
      <c r="V637" s="200">
        <f t="shared" si="101"/>
        <v>0</v>
      </c>
      <c r="W637" s="697"/>
    </row>
    <row r="638" spans="1:23" s="247" customFormat="1" ht="24.95" hidden="1" customHeight="1" outlineLevel="1">
      <c r="A638" s="242"/>
      <c r="B638" s="242" t="s">
        <v>394</v>
      </c>
      <c r="C638" s="243">
        <v>8</v>
      </c>
      <c r="D638" s="696"/>
      <c r="E638" s="243"/>
      <c r="F638" s="696"/>
      <c r="G638" s="242">
        <f t="shared" si="102"/>
        <v>0</v>
      </c>
      <c r="H638" s="244">
        <f>(K636/200)+1</f>
        <v>5.4</v>
      </c>
      <c r="I638" s="246"/>
      <c r="J638" s="246"/>
      <c r="K638" s="246">
        <v>820</v>
      </c>
      <c r="L638" s="246"/>
      <c r="M638" s="246"/>
      <c r="N638" s="235" t="e">
        <f>(((I638+J638+K638+L638+M638)-C638*#REF!*2)/1000)</f>
        <v>#REF!</v>
      </c>
      <c r="O638" s="235"/>
      <c r="P638" s="200" t="e">
        <f t="shared" si="95"/>
        <v>#REF!</v>
      </c>
      <c r="Q638" s="200">
        <f t="shared" si="96"/>
        <v>0</v>
      </c>
      <c r="R638" s="200">
        <f t="shared" si="97"/>
        <v>0</v>
      </c>
      <c r="S638" s="200">
        <f t="shared" si="98"/>
        <v>0</v>
      </c>
      <c r="T638" s="200">
        <f t="shared" si="99"/>
        <v>0</v>
      </c>
      <c r="U638" s="688">
        <f t="shared" si="100"/>
        <v>0</v>
      </c>
      <c r="V638" s="200">
        <f t="shared" si="101"/>
        <v>0</v>
      </c>
      <c r="W638" s="697"/>
    </row>
    <row r="639" spans="1:23" s="236" customFormat="1" ht="24.95" hidden="1" customHeight="1" outlineLevel="1">
      <c r="A639" s="239">
        <v>7</v>
      </c>
      <c r="B639" s="239" t="s">
        <v>392</v>
      </c>
      <c r="C639" s="240">
        <v>10</v>
      </c>
      <c r="D639" s="690"/>
      <c r="E639" s="240"/>
      <c r="F639" s="836"/>
      <c r="G639" s="239">
        <v>1</v>
      </c>
      <c r="H639" s="203">
        <v>2</v>
      </c>
      <c r="I639" s="241">
        <v>100</v>
      </c>
      <c r="J639" s="234"/>
      <c r="K639" s="241">
        <v>1410</v>
      </c>
      <c r="L639" s="234"/>
      <c r="M639" s="241">
        <v>100</v>
      </c>
      <c r="N639" s="235" t="e">
        <f>(((I639+J639+K639+L639+M639)-C639*#REF!*2)/1000)</f>
        <v>#REF!</v>
      </c>
      <c r="O639" s="235"/>
      <c r="P639" s="200">
        <f t="shared" si="95"/>
        <v>0</v>
      </c>
      <c r="Q639" s="200" t="e">
        <f t="shared" si="96"/>
        <v>#REF!</v>
      </c>
      <c r="R639" s="200">
        <f t="shared" si="97"/>
        <v>0</v>
      </c>
      <c r="S639" s="200">
        <f t="shared" si="98"/>
        <v>0</v>
      </c>
      <c r="T639" s="200">
        <f t="shared" si="99"/>
        <v>0</v>
      </c>
      <c r="U639" s="688">
        <f t="shared" si="100"/>
        <v>0</v>
      </c>
      <c r="V639" s="200">
        <f t="shared" si="101"/>
        <v>0</v>
      </c>
      <c r="W639" s="689"/>
    </row>
    <row r="640" spans="1:23" s="236" customFormat="1" ht="24.95" hidden="1" customHeight="1" outlineLevel="1">
      <c r="A640" s="239"/>
      <c r="B640" s="239" t="s">
        <v>393</v>
      </c>
      <c r="C640" s="240">
        <v>10</v>
      </c>
      <c r="D640" s="690"/>
      <c r="E640" s="240"/>
      <c r="F640" s="836"/>
      <c r="G640" s="239">
        <v>1</v>
      </c>
      <c r="H640" s="203">
        <v>2</v>
      </c>
      <c r="I640" s="241">
        <v>100</v>
      </c>
      <c r="J640" s="234"/>
      <c r="K640" s="241">
        <v>1410</v>
      </c>
      <c r="L640" s="234"/>
      <c r="M640" s="241">
        <v>100</v>
      </c>
      <c r="N640" s="235" t="e">
        <f>(((I640+J640+K640+L640+M640)-C640*#REF!*2)/1000)</f>
        <v>#REF!</v>
      </c>
      <c r="O640" s="235"/>
      <c r="P640" s="200">
        <f t="shared" si="95"/>
        <v>0</v>
      </c>
      <c r="Q640" s="200" t="e">
        <f t="shared" si="96"/>
        <v>#REF!</v>
      </c>
      <c r="R640" s="200">
        <f t="shared" si="97"/>
        <v>0</v>
      </c>
      <c r="S640" s="200">
        <f t="shared" si="98"/>
        <v>0</v>
      </c>
      <c r="T640" s="200">
        <f t="shared" si="99"/>
        <v>0</v>
      </c>
      <c r="U640" s="688">
        <f t="shared" si="100"/>
        <v>0</v>
      </c>
      <c r="V640" s="200">
        <f t="shared" si="101"/>
        <v>0</v>
      </c>
      <c r="W640" s="689"/>
    </row>
    <row r="641" spans="1:23" s="236" customFormat="1" ht="24.95" hidden="1" customHeight="1" outlineLevel="1">
      <c r="A641" s="239"/>
      <c r="B641" s="239" t="s">
        <v>394</v>
      </c>
      <c r="C641" s="240">
        <v>8</v>
      </c>
      <c r="D641" s="690"/>
      <c r="E641" s="240"/>
      <c r="F641" s="836"/>
      <c r="G641" s="239">
        <v>1</v>
      </c>
      <c r="H641" s="203">
        <f>(K639/200)+1</f>
        <v>8.0500000000000007</v>
      </c>
      <c r="I641" s="234"/>
      <c r="J641" s="234"/>
      <c r="K641" s="234">
        <v>820</v>
      </c>
      <c r="L641" s="234"/>
      <c r="M641" s="234"/>
      <c r="N641" s="235" t="e">
        <f>(((I641+J641+K641+L641+M641)-C641*#REF!*2)/1000)</f>
        <v>#REF!</v>
      </c>
      <c r="O641" s="235"/>
      <c r="P641" s="200" t="e">
        <f t="shared" si="95"/>
        <v>#REF!</v>
      </c>
      <c r="Q641" s="200">
        <f t="shared" si="96"/>
        <v>0</v>
      </c>
      <c r="R641" s="200">
        <f t="shared" si="97"/>
        <v>0</v>
      </c>
      <c r="S641" s="200">
        <f t="shared" si="98"/>
        <v>0</v>
      </c>
      <c r="T641" s="200">
        <f t="shared" si="99"/>
        <v>0</v>
      </c>
      <c r="U641" s="688">
        <f t="shared" si="100"/>
        <v>0</v>
      </c>
      <c r="V641" s="200">
        <f t="shared" si="101"/>
        <v>0</v>
      </c>
      <c r="W641" s="689"/>
    </row>
    <row r="642" spans="1:23" s="236" customFormat="1" ht="24.95" hidden="1" customHeight="1" outlineLevel="1">
      <c r="A642" s="239">
        <v>8</v>
      </c>
      <c r="B642" s="239" t="s">
        <v>392</v>
      </c>
      <c r="C642" s="240">
        <v>10</v>
      </c>
      <c r="D642" s="690"/>
      <c r="E642" s="240"/>
      <c r="F642" s="836"/>
      <c r="G642" s="239">
        <v>1</v>
      </c>
      <c r="H642" s="203">
        <v>2</v>
      </c>
      <c r="I642" s="241">
        <v>100</v>
      </c>
      <c r="J642" s="234"/>
      <c r="K642" s="234">
        <v>2150</v>
      </c>
      <c r="L642" s="234"/>
      <c r="M642" s="241">
        <v>100</v>
      </c>
      <c r="N642" s="235" t="e">
        <f>(((I642+J642+K642+L642+M642)-C642*#REF!*2)/1000)</f>
        <v>#REF!</v>
      </c>
      <c r="O642" s="235"/>
      <c r="P642" s="200">
        <f t="shared" si="95"/>
        <v>0</v>
      </c>
      <c r="Q642" s="200" t="e">
        <f t="shared" si="96"/>
        <v>#REF!</v>
      </c>
      <c r="R642" s="200">
        <f t="shared" si="97"/>
        <v>0</v>
      </c>
      <c r="S642" s="200">
        <f t="shared" si="98"/>
        <v>0</v>
      </c>
      <c r="T642" s="200">
        <f t="shared" si="99"/>
        <v>0</v>
      </c>
      <c r="U642" s="688">
        <f t="shared" si="100"/>
        <v>0</v>
      </c>
      <c r="V642" s="200">
        <f t="shared" si="101"/>
        <v>0</v>
      </c>
      <c r="W642" s="689"/>
    </row>
    <row r="643" spans="1:23" s="236" customFormat="1" ht="24.95" hidden="1" customHeight="1" outlineLevel="1">
      <c r="A643" s="239"/>
      <c r="B643" s="239" t="s">
        <v>393</v>
      </c>
      <c r="C643" s="240">
        <v>10</v>
      </c>
      <c r="D643" s="690"/>
      <c r="E643" s="240"/>
      <c r="F643" s="836"/>
      <c r="G643" s="239">
        <v>1</v>
      </c>
      <c r="H643" s="203">
        <v>2</v>
      </c>
      <c r="I643" s="241">
        <v>100</v>
      </c>
      <c r="J643" s="234"/>
      <c r="K643" s="234">
        <v>2150</v>
      </c>
      <c r="L643" s="234"/>
      <c r="M643" s="241">
        <v>100</v>
      </c>
      <c r="N643" s="235" t="e">
        <f>(((I643+J643+K643+L643+M643)-C643*#REF!*2)/1000)</f>
        <v>#REF!</v>
      </c>
      <c r="O643" s="235"/>
      <c r="P643" s="200">
        <f t="shared" si="95"/>
        <v>0</v>
      </c>
      <c r="Q643" s="200" t="e">
        <f t="shared" si="96"/>
        <v>#REF!</v>
      </c>
      <c r="R643" s="200">
        <f t="shared" si="97"/>
        <v>0</v>
      </c>
      <c r="S643" s="200">
        <f t="shared" si="98"/>
        <v>0</v>
      </c>
      <c r="T643" s="200">
        <f t="shared" si="99"/>
        <v>0</v>
      </c>
      <c r="U643" s="688">
        <f t="shared" si="100"/>
        <v>0</v>
      </c>
      <c r="V643" s="200">
        <f t="shared" si="101"/>
        <v>0</v>
      </c>
      <c r="W643" s="689"/>
    </row>
    <row r="644" spans="1:23" s="236" customFormat="1" ht="24.95" hidden="1" customHeight="1" outlineLevel="1">
      <c r="A644" s="239"/>
      <c r="B644" s="239" t="s">
        <v>394</v>
      </c>
      <c r="C644" s="240">
        <v>8</v>
      </c>
      <c r="D644" s="690"/>
      <c r="E644" s="240"/>
      <c r="F644" s="836"/>
      <c r="G644" s="239">
        <v>1</v>
      </c>
      <c r="H644" s="203">
        <f>(K642/200)+1</f>
        <v>11.75</v>
      </c>
      <c r="I644" s="234"/>
      <c r="J644" s="234"/>
      <c r="K644" s="234">
        <v>820</v>
      </c>
      <c r="L644" s="234"/>
      <c r="M644" s="234"/>
      <c r="N644" s="235" t="e">
        <f>(((I644+J644+K644+L644+M644)-C644*#REF!*2)/1000)</f>
        <v>#REF!</v>
      </c>
      <c r="O644" s="235"/>
      <c r="P644" s="200" t="e">
        <f t="shared" si="95"/>
        <v>#REF!</v>
      </c>
      <c r="Q644" s="200">
        <f t="shared" si="96"/>
        <v>0</v>
      </c>
      <c r="R644" s="200">
        <f t="shared" si="97"/>
        <v>0</v>
      </c>
      <c r="S644" s="200">
        <f t="shared" si="98"/>
        <v>0</v>
      </c>
      <c r="T644" s="200">
        <f t="shared" si="99"/>
        <v>0</v>
      </c>
      <c r="U644" s="688">
        <f t="shared" si="100"/>
        <v>0</v>
      </c>
      <c r="V644" s="200">
        <f t="shared" si="101"/>
        <v>0</v>
      </c>
      <c r="W644" s="689"/>
    </row>
    <row r="645" spans="1:23" s="236" customFormat="1" ht="24.95" hidden="1" customHeight="1" outlineLevel="1">
      <c r="A645" s="237">
        <v>9</v>
      </c>
      <c r="B645" s="238" t="s">
        <v>439</v>
      </c>
      <c r="C645" s="240"/>
      <c r="D645" s="690"/>
      <c r="E645" s="240"/>
      <c r="F645" s="836"/>
      <c r="G645" s="239"/>
      <c r="H645" s="203"/>
      <c r="I645" s="234"/>
      <c r="J645" s="234"/>
      <c r="K645" s="234"/>
      <c r="L645" s="234"/>
      <c r="M645" s="234"/>
      <c r="N645" s="235" t="e">
        <f>(((I645+J645+K645+L645+M645)-C645*#REF!*2)/1000)</f>
        <v>#REF!</v>
      </c>
      <c r="O645" s="235"/>
      <c r="P645" s="200">
        <f t="shared" si="95"/>
        <v>0</v>
      </c>
      <c r="Q645" s="200">
        <f t="shared" si="96"/>
        <v>0</v>
      </c>
      <c r="R645" s="200">
        <f t="shared" si="97"/>
        <v>0</v>
      </c>
      <c r="S645" s="200">
        <f t="shared" si="98"/>
        <v>0</v>
      </c>
      <c r="T645" s="200">
        <f t="shared" si="99"/>
        <v>0</v>
      </c>
      <c r="U645" s="688">
        <f t="shared" si="100"/>
        <v>0</v>
      </c>
      <c r="V645" s="200">
        <f t="shared" si="101"/>
        <v>0</v>
      </c>
      <c r="W645" s="689"/>
    </row>
    <row r="646" spans="1:23" s="236" customFormat="1" ht="24.95" hidden="1" customHeight="1" outlineLevel="1">
      <c r="A646" s="209" t="s">
        <v>440</v>
      </c>
      <c r="B646" s="209" t="s">
        <v>441</v>
      </c>
      <c r="C646" s="240"/>
      <c r="D646" s="690"/>
      <c r="E646" s="240"/>
      <c r="F646" s="836"/>
      <c r="G646" s="239"/>
      <c r="H646" s="203"/>
      <c r="I646" s="234"/>
      <c r="J646" s="234"/>
      <c r="K646" s="234"/>
      <c r="L646" s="234"/>
      <c r="M646" s="234"/>
      <c r="N646" s="235" t="e">
        <f>(((I646+J646+K646+L646+M646)-C646*#REF!*2)/1000)</f>
        <v>#REF!</v>
      </c>
      <c r="O646" s="235"/>
      <c r="P646" s="200">
        <f t="shared" si="95"/>
        <v>0</v>
      </c>
      <c r="Q646" s="200">
        <f t="shared" si="96"/>
        <v>0</v>
      </c>
      <c r="R646" s="200">
        <f t="shared" si="97"/>
        <v>0</v>
      </c>
      <c r="S646" s="200">
        <f t="shared" si="98"/>
        <v>0</v>
      </c>
      <c r="T646" s="200">
        <f t="shared" si="99"/>
        <v>0</v>
      </c>
      <c r="U646" s="688">
        <f t="shared" si="100"/>
        <v>0</v>
      </c>
      <c r="V646" s="200">
        <f t="shared" si="101"/>
        <v>0</v>
      </c>
      <c r="W646" s="689"/>
    </row>
    <row r="647" spans="1:23" s="236" customFormat="1" ht="24.95" hidden="1" customHeight="1" outlineLevel="1">
      <c r="A647" s="205" t="s">
        <v>442</v>
      </c>
      <c r="B647" s="206" t="s">
        <v>443</v>
      </c>
      <c r="C647" s="240"/>
      <c r="D647" s="690"/>
      <c r="E647" s="240"/>
      <c r="F647" s="836"/>
      <c r="G647" s="239"/>
      <c r="H647" s="203"/>
      <c r="I647" s="234"/>
      <c r="J647" s="234"/>
      <c r="K647" s="234"/>
      <c r="L647" s="234"/>
      <c r="M647" s="234"/>
      <c r="N647" s="235" t="e">
        <f>(((I647+J647+K647+L647+M647)-C647*#REF!*2)/1000)</f>
        <v>#REF!</v>
      </c>
      <c r="O647" s="235"/>
      <c r="P647" s="200">
        <f t="shared" si="95"/>
        <v>0</v>
      </c>
      <c r="Q647" s="200">
        <f t="shared" si="96"/>
        <v>0</v>
      </c>
      <c r="R647" s="200">
        <f t="shared" si="97"/>
        <v>0</v>
      </c>
      <c r="S647" s="200">
        <f t="shared" si="98"/>
        <v>0</v>
      </c>
      <c r="T647" s="200">
        <f t="shared" si="99"/>
        <v>0</v>
      </c>
      <c r="U647" s="688">
        <f t="shared" si="100"/>
        <v>0</v>
      </c>
      <c r="V647" s="200">
        <f t="shared" si="101"/>
        <v>0</v>
      </c>
      <c r="W647" s="689"/>
    </row>
    <row r="648" spans="1:23" s="236" customFormat="1" ht="24.95" hidden="1" customHeight="1" outlineLevel="1">
      <c r="A648" s="239"/>
      <c r="B648" s="239" t="s">
        <v>444</v>
      </c>
      <c r="C648" s="240"/>
      <c r="D648" s="690"/>
      <c r="E648" s="240"/>
      <c r="F648" s="836"/>
      <c r="G648" s="239"/>
      <c r="H648" s="203"/>
      <c r="I648" s="234"/>
      <c r="J648" s="234"/>
      <c r="K648" s="234"/>
      <c r="L648" s="234"/>
      <c r="M648" s="234"/>
      <c r="N648" s="235" t="e">
        <f>(((I648+J648+K648+L648+M648)-C648*#REF!*2)/1000)</f>
        <v>#REF!</v>
      </c>
      <c r="O648" s="235"/>
      <c r="P648" s="200">
        <f t="shared" si="95"/>
        <v>0</v>
      </c>
      <c r="Q648" s="200">
        <f t="shared" si="96"/>
        <v>0</v>
      </c>
      <c r="R648" s="200">
        <f t="shared" si="97"/>
        <v>0</v>
      </c>
      <c r="S648" s="200">
        <f t="shared" si="98"/>
        <v>0</v>
      </c>
      <c r="T648" s="200">
        <f t="shared" si="99"/>
        <v>0</v>
      </c>
      <c r="U648" s="688">
        <f t="shared" si="100"/>
        <v>0</v>
      </c>
      <c r="V648" s="200">
        <f t="shared" si="101"/>
        <v>0</v>
      </c>
      <c r="W648" s="689"/>
    </row>
    <row r="649" spans="1:23" s="236" customFormat="1" ht="24.95" hidden="1" customHeight="1" outlineLevel="1">
      <c r="A649" s="239">
        <v>1</v>
      </c>
      <c r="B649" s="239" t="s">
        <v>392</v>
      </c>
      <c r="C649" s="240">
        <v>10</v>
      </c>
      <c r="D649" s="690"/>
      <c r="E649" s="240"/>
      <c r="F649" s="836"/>
      <c r="G649" s="239">
        <v>2</v>
      </c>
      <c r="H649" s="203">
        <v>2</v>
      </c>
      <c r="I649" s="241">
        <v>100</v>
      </c>
      <c r="J649" s="234"/>
      <c r="K649" s="234">
        <v>14600</v>
      </c>
      <c r="L649" s="234"/>
      <c r="M649" s="241">
        <v>100</v>
      </c>
      <c r="N649" s="235" t="e">
        <f>(((I649+J649+K649+L649+M649)-C649*#REF!*2)/1000)</f>
        <v>#REF!</v>
      </c>
      <c r="O649" s="235"/>
      <c r="P649" s="200">
        <f t="shared" si="95"/>
        <v>0</v>
      </c>
      <c r="Q649" s="200" t="e">
        <f t="shared" si="96"/>
        <v>#REF!</v>
      </c>
      <c r="R649" s="200">
        <f t="shared" si="97"/>
        <v>0</v>
      </c>
      <c r="S649" s="200">
        <f t="shared" si="98"/>
        <v>0</v>
      </c>
      <c r="T649" s="200">
        <f t="shared" si="99"/>
        <v>0</v>
      </c>
      <c r="U649" s="688">
        <f t="shared" si="100"/>
        <v>0</v>
      </c>
      <c r="V649" s="200">
        <f t="shared" si="101"/>
        <v>0</v>
      </c>
      <c r="W649" s="689"/>
    </row>
    <row r="650" spans="1:23" s="236" customFormat="1" ht="24.95" hidden="1" customHeight="1" outlineLevel="1">
      <c r="A650" s="239"/>
      <c r="B650" s="239" t="s">
        <v>393</v>
      </c>
      <c r="C650" s="240">
        <v>10</v>
      </c>
      <c r="D650" s="690"/>
      <c r="E650" s="240"/>
      <c r="F650" s="836"/>
      <c r="G650" s="239">
        <v>2</v>
      </c>
      <c r="H650" s="203">
        <v>2</v>
      </c>
      <c r="I650" s="241">
        <v>100</v>
      </c>
      <c r="J650" s="234"/>
      <c r="K650" s="234">
        <v>14600</v>
      </c>
      <c r="L650" s="234"/>
      <c r="M650" s="241">
        <v>100</v>
      </c>
      <c r="N650" s="235" t="e">
        <f>(((I650+J650+K650+L650+M650)-C650*#REF!*2)/1000)</f>
        <v>#REF!</v>
      </c>
      <c r="O650" s="235"/>
      <c r="P650" s="200">
        <f t="shared" si="95"/>
        <v>0</v>
      </c>
      <c r="Q650" s="200" t="e">
        <f t="shared" si="96"/>
        <v>#REF!</v>
      </c>
      <c r="R650" s="200">
        <f t="shared" si="97"/>
        <v>0</v>
      </c>
      <c r="S650" s="200">
        <f t="shared" si="98"/>
        <v>0</v>
      </c>
      <c r="T650" s="200">
        <f t="shared" si="99"/>
        <v>0</v>
      </c>
      <c r="U650" s="688">
        <f t="shared" si="100"/>
        <v>0</v>
      </c>
      <c r="V650" s="200">
        <f t="shared" si="101"/>
        <v>0</v>
      </c>
      <c r="W650" s="689"/>
    </row>
    <row r="651" spans="1:23" s="236" customFormat="1" ht="24.95" hidden="1" customHeight="1" outlineLevel="1">
      <c r="A651" s="239"/>
      <c r="B651" s="239" t="s">
        <v>433</v>
      </c>
      <c r="C651" s="240">
        <v>10</v>
      </c>
      <c r="D651" s="690"/>
      <c r="E651" s="240"/>
      <c r="F651" s="836"/>
      <c r="G651" s="239">
        <v>2</v>
      </c>
      <c r="H651" s="203">
        <v>4</v>
      </c>
      <c r="I651" s="234"/>
      <c r="J651" s="234"/>
      <c r="K651" s="234">
        <v>500</v>
      </c>
      <c r="L651" s="234"/>
      <c r="M651" s="234"/>
      <c r="N651" s="235" t="e">
        <f>(((I651+J651+K651+L651+M651)-C651*#REF!*2)/1000)</f>
        <v>#REF!</v>
      </c>
      <c r="O651" s="235"/>
      <c r="P651" s="200">
        <f t="shared" ref="P651:P714" si="103">+IF(C651=8,G651*H651*N651,0)</f>
        <v>0</v>
      </c>
      <c r="Q651" s="200" t="e">
        <f t="shared" ref="Q651:Q714" si="104">+IF(C651=10,G651*H651*N651,0)</f>
        <v>#REF!</v>
      </c>
      <c r="R651" s="200">
        <f t="shared" ref="R651:R714" si="105">+IF(C651=12,G651*H651*N651,0)</f>
        <v>0</v>
      </c>
      <c r="S651" s="200">
        <f t="shared" ref="S651:S714" si="106">+IF(C651=16,G651*H651*N651,0)</f>
        <v>0</v>
      </c>
      <c r="T651" s="200">
        <f t="shared" ref="T651:T714" si="107">+IF(C651=20,G651*H651*N651,0)</f>
        <v>0</v>
      </c>
      <c r="U651" s="688">
        <f t="shared" ref="U651:U714" si="108">+IF(C651=25,G651*H651*N651,0)</f>
        <v>0</v>
      </c>
      <c r="V651" s="200">
        <f t="shared" ref="V651:V714" si="109">+IF(C651=32,G651*H651*N651,0)</f>
        <v>0</v>
      </c>
      <c r="W651" s="689"/>
    </row>
    <row r="652" spans="1:23" s="236" customFormat="1" ht="24.95" hidden="1" customHeight="1" outlineLevel="1">
      <c r="A652" s="239"/>
      <c r="B652" s="239" t="s">
        <v>394</v>
      </c>
      <c r="C652" s="240">
        <v>8</v>
      </c>
      <c r="D652" s="690"/>
      <c r="E652" s="240"/>
      <c r="F652" s="836"/>
      <c r="G652" s="239">
        <v>2</v>
      </c>
      <c r="H652" s="203">
        <f>(K649/200)+1</f>
        <v>74</v>
      </c>
      <c r="I652" s="234"/>
      <c r="J652" s="234"/>
      <c r="K652" s="234">
        <v>820</v>
      </c>
      <c r="L652" s="234"/>
      <c r="M652" s="234"/>
      <c r="N652" s="235" t="e">
        <f>(((I652+J652+K652+L652+M652)-C652*#REF!*2)/1000)</f>
        <v>#REF!</v>
      </c>
      <c r="O652" s="235"/>
      <c r="P652" s="200" t="e">
        <f t="shared" si="103"/>
        <v>#REF!</v>
      </c>
      <c r="Q652" s="200">
        <f t="shared" si="104"/>
        <v>0</v>
      </c>
      <c r="R652" s="200">
        <f t="shared" si="105"/>
        <v>0</v>
      </c>
      <c r="S652" s="200">
        <f t="shared" si="106"/>
        <v>0</v>
      </c>
      <c r="T652" s="200">
        <f t="shared" si="107"/>
        <v>0</v>
      </c>
      <c r="U652" s="688">
        <f t="shared" si="108"/>
        <v>0</v>
      </c>
      <c r="V652" s="200">
        <f t="shared" si="109"/>
        <v>0</v>
      </c>
      <c r="W652" s="689"/>
    </row>
    <row r="653" spans="1:23" s="236" customFormat="1" ht="24.95" hidden="1" customHeight="1" outlineLevel="1">
      <c r="A653" s="239">
        <v>2</v>
      </c>
      <c r="B653" s="239" t="s">
        <v>392</v>
      </c>
      <c r="C653" s="240">
        <v>10</v>
      </c>
      <c r="D653" s="690"/>
      <c r="E653" s="240"/>
      <c r="F653" s="836"/>
      <c r="G653" s="239">
        <v>2</v>
      </c>
      <c r="H653" s="203">
        <v>2</v>
      </c>
      <c r="I653" s="241">
        <v>100</v>
      </c>
      <c r="J653" s="234"/>
      <c r="K653" s="234">
        <v>27950</v>
      </c>
      <c r="L653" s="234"/>
      <c r="M653" s="241">
        <v>100</v>
      </c>
      <c r="N653" s="235" t="e">
        <f>(((I653+J653+K653+L653+M653)-C653*#REF!*2)/1000)</f>
        <v>#REF!</v>
      </c>
      <c r="O653" s="235"/>
      <c r="P653" s="200">
        <f t="shared" si="103"/>
        <v>0</v>
      </c>
      <c r="Q653" s="200" t="e">
        <f t="shared" si="104"/>
        <v>#REF!</v>
      </c>
      <c r="R653" s="200">
        <f t="shared" si="105"/>
        <v>0</v>
      </c>
      <c r="S653" s="200">
        <f t="shared" si="106"/>
        <v>0</v>
      </c>
      <c r="T653" s="200">
        <f t="shared" si="107"/>
        <v>0</v>
      </c>
      <c r="U653" s="688">
        <f t="shared" si="108"/>
        <v>0</v>
      </c>
      <c r="V653" s="200">
        <f t="shared" si="109"/>
        <v>0</v>
      </c>
      <c r="W653" s="689"/>
    </row>
    <row r="654" spans="1:23" s="236" customFormat="1" ht="24.95" hidden="1" customHeight="1" outlineLevel="1">
      <c r="A654" s="239"/>
      <c r="B654" s="239" t="s">
        <v>393</v>
      </c>
      <c r="C654" s="240">
        <v>10</v>
      </c>
      <c r="D654" s="690"/>
      <c r="E654" s="240"/>
      <c r="F654" s="836"/>
      <c r="G654" s="239">
        <v>2</v>
      </c>
      <c r="H654" s="203">
        <v>2</v>
      </c>
      <c r="I654" s="241">
        <v>100</v>
      </c>
      <c r="J654" s="234"/>
      <c r="K654" s="234">
        <v>27950</v>
      </c>
      <c r="L654" s="234"/>
      <c r="M654" s="241">
        <v>100</v>
      </c>
      <c r="N654" s="235" t="e">
        <f>(((I654+J654+K654+L654+M654)-C654*#REF!*2)/1000)</f>
        <v>#REF!</v>
      </c>
      <c r="O654" s="235"/>
      <c r="P654" s="200">
        <f t="shared" si="103"/>
        <v>0</v>
      </c>
      <c r="Q654" s="200" t="e">
        <f t="shared" si="104"/>
        <v>#REF!</v>
      </c>
      <c r="R654" s="200">
        <f t="shared" si="105"/>
        <v>0</v>
      </c>
      <c r="S654" s="200">
        <f t="shared" si="106"/>
        <v>0</v>
      </c>
      <c r="T654" s="200">
        <f t="shared" si="107"/>
        <v>0</v>
      </c>
      <c r="U654" s="688">
        <f t="shared" si="108"/>
        <v>0</v>
      </c>
      <c r="V654" s="200">
        <f t="shared" si="109"/>
        <v>0</v>
      </c>
      <c r="W654" s="689"/>
    </row>
    <row r="655" spans="1:23" s="236" customFormat="1" ht="24.95" hidden="1" customHeight="1" outlineLevel="1">
      <c r="A655" s="239"/>
      <c r="B655" s="239" t="s">
        <v>433</v>
      </c>
      <c r="C655" s="240">
        <v>10</v>
      </c>
      <c r="D655" s="690"/>
      <c r="E655" s="240"/>
      <c r="F655" s="836"/>
      <c r="G655" s="239">
        <v>4</v>
      </c>
      <c r="H655" s="203">
        <v>4</v>
      </c>
      <c r="I655" s="234"/>
      <c r="J655" s="234"/>
      <c r="K655" s="234">
        <v>500</v>
      </c>
      <c r="L655" s="234"/>
      <c r="M655" s="234"/>
      <c r="N655" s="235" t="e">
        <f>(((I655+J655+K655+L655+M655)-C655*#REF!*2)/1000)</f>
        <v>#REF!</v>
      </c>
      <c r="O655" s="235"/>
      <c r="P655" s="200">
        <f t="shared" si="103"/>
        <v>0</v>
      </c>
      <c r="Q655" s="200" t="e">
        <f t="shared" si="104"/>
        <v>#REF!</v>
      </c>
      <c r="R655" s="200">
        <f t="shared" si="105"/>
        <v>0</v>
      </c>
      <c r="S655" s="200">
        <f t="shared" si="106"/>
        <v>0</v>
      </c>
      <c r="T655" s="200">
        <f t="shared" si="107"/>
        <v>0</v>
      </c>
      <c r="U655" s="688">
        <f t="shared" si="108"/>
        <v>0</v>
      </c>
      <c r="V655" s="200">
        <f t="shared" si="109"/>
        <v>0</v>
      </c>
      <c r="W655" s="689"/>
    </row>
    <row r="656" spans="1:23" s="236" customFormat="1" ht="24.95" hidden="1" customHeight="1" outlineLevel="1">
      <c r="A656" s="239"/>
      <c r="B656" s="239" t="s">
        <v>394</v>
      </c>
      <c r="C656" s="240">
        <v>8</v>
      </c>
      <c r="D656" s="690"/>
      <c r="E656" s="240"/>
      <c r="F656" s="836"/>
      <c r="G656" s="239">
        <v>2</v>
      </c>
      <c r="H656" s="203">
        <f>(K653/200)+1</f>
        <v>140.75</v>
      </c>
      <c r="I656" s="234"/>
      <c r="J656" s="234"/>
      <c r="K656" s="234">
        <v>820</v>
      </c>
      <c r="L656" s="234"/>
      <c r="M656" s="234"/>
      <c r="N656" s="235" t="e">
        <f>(((I656+J656+K656+L656+M656)-C656*#REF!*2)/1000)</f>
        <v>#REF!</v>
      </c>
      <c r="O656" s="235"/>
      <c r="P656" s="200" t="e">
        <f t="shared" si="103"/>
        <v>#REF!</v>
      </c>
      <c r="Q656" s="200">
        <f t="shared" si="104"/>
        <v>0</v>
      </c>
      <c r="R656" s="200">
        <f t="shared" si="105"/>
        <v>0</v>
      </c>
      <c r="S656" s="200">
        <f t="shared" si="106"/>
        <v>0</v>
      </c>
      <c r="T656" s="200">
        <f t="shared" si="107"/>
        <v>0</v>
      </c>
      <c r="U656" s="688">
        <f t="shared" si="108"/>
        <v>0</v>
      </c>
      <c r="V656" s="200">
        <f t="shared" si="109"/>
        <v>0</v>
      </c>
      <c r="W656" s="689"/>
    </row>
    <row r="657" spans="1:23" s="236" customFormat="1" ht="24.95" hidden="1" customHeight="1" outlineLevel="1">
      <c r="A657" s="205" t="s">
        <v>445</v>
      </c>
      <c r="B657" s="208" t="s">
        <v>446</v>
      </c>
      <c r="C657" s="240"/>
      <c r="D657" s="690"/>
      <c r="E657" s="240"/>
      <c r="F657" s="836"/>
      <c r="G657" s="239"/>
      <c r="H657" s="203"/>
      <c r="I657" s="234"/>
      <c r="J657" s="234"/>
      <c r="K657" s="234"/>
      <c r="L657" s="234"/>
      <c r="M657" s="234"/>
      <c r="N657" s="235" t="e">
        <f>(((I657+J657+K657+L657+M657)-C657*#REF!*2)/1000)</f>
        <v>#REF!</v>
      </c>
      <c r="O657" s="235"/>
      <c r="P657" s="200">
        <f t="shared" si="103"/>
        <v>0</v>
      </c>
      <c r="Q657" s="200">
        <f t="shared" si="104"/>
        <v>0</v>
      </c>
      <c r="R657" s="200">
        <f t="shared" si="105"/>
        <v>0</v>
      </c>
      <c r="S657" s="200">
        <f t="shared" si="106"/>
        <v>0</v>
      </c>
      <c r="T657" s="200">
        <f t="shared" si="107"/>
        <v>0</v>
      </c>
      <c r="U657" s="688">
        <f t="shared" si="108"/>
        <v>0</v>
      </c>
      <c r="V657" s="200">
        <f t="shared" si="109"/>
        <v>0</v>
      </c>
      <c r="W657" s="689"/>
    </row>
    <row r="658" spans="1:23" s="236" customFormat="1" ht="24.95" hidden="1" customHeight="1" outlineLevel="1">
      <c r="A658" s="239">
        <v>1</v>
      </c>
      <c r="B658" s="239" t="s">
        <v>392</v>
      </c>
      <c r="C658" s="240">
        <v>10</v>
      </c>
      <c r="D658" s="690"/>
      <c r="E658" s="240"/>
      <c r="F658" s="836"/>
      <c r="G658" s="239">
        <v>3</v>
      </c>
      <c r="H658" s="203">
        <v>2</v>
      </c>
      <c r="I658" s="241">
        <v>100</v>
      </c>
      <c r="J658" s="234"/>
      <c r="K658" s="234">
        <v>7575</v>
      </c>
      <c r="L658" s="234"/>
      <c r="M658" s="241">
        <v>100</v>
      </c>
      <c r="N658" s="235" t="e">
        <f>(((I658+J658+K658+L658+M658)-C658*#REF!*2)/1000)</f>
        <v>#REF!</v>
      </c>
      <c r="O658" s="235"/>
      <c r="P658" s="200">
        <f t="shared" si="103"/>
        <v>0</v>
      </c>
      <c r="Q658" s="200" t="e">
        <f t="shared" si="104"/>
        <v>#REF!</v>
      </c>
      <c r="R658" s="200">
        <f t="shared" si="105"/>
        <v>0</v>
      </c>
      <c r="S658" s="200">
        <f t="shared" si="106"/>
        <v>0</v>
      </c>
      <c r="T658" s="200">
        <f t="shared" si="107"/>
        <v>0</v>
      </c>
      <c r="U658" s="688">
        <f t="shared" si="108"/>
        <v>0</v>
      </c>
      <c r="V658" s="200">
        <f t="shared" si="109"/>
        <v>0</v>
      </c>
      <c r="W658" s="689"/>
    </row>
    <row r="659" spans="1:23" s="236" customFormat="1" ht="24.95" hidden="1" customHeight="1" outlineLevel="1">
      <c r="A659" s="239"/>
      <c r="B659" s="239" t="s">
        <v>393</v>
      </c>
      <c r="C659" s="240">
        <v>10</v>
      </c>
      <c r="D659" s="690"/>
      <c r="E659" s="240"/>
      <c r="F659" s="836"/>
      <c r="G659" s="239">
        <v>3</v>
      </c>
      <c r="H659" s="203">
        <v>2</v>
      </c>
      <c r="I659" s="241">
        <v>100</v>
      </c>
      <c r="J659" s="234"/>
      <c r="K659" s="234">
        <v>7575</v>
      </c>
      <c r="L659" s="234"/>
      <c r="M659" s="241">
        <v>100</v>
      </c>
      <c r="N659" s="235" t="e">
        <f>(((I659+J659+K659+L659+M659)-C659*#REF!*2)/1000)</f>
        <v>#REF!</v>
      </c>
      <c r="O659" s="235"/>
      <c r="P659" s="200">
        <f t="shared" si="103"/>
        <v>0</v>
      </c>
      <c r="Q659" s="200" t="e">
        <f t="shared" si="104"/>
        <v>#REF!</v>
      </c>
      <c r="R659" s="200">
        <f t="shared" si="105"/>
        <v>0</v>
      </c>
      <c r="S659" s="200">
        <f t="shared" si="106"/>
        <v>0</v>
      </c>
      <c r="T659" s="200">
        <f t="shared" si="107"/>
        <v>0</v>
      </c>
      <c r="U659" s="688">
        <f t="shared" si="108"/>
        <v>0</v>
      </c>
      <c r="V659" s="200">
        <f t="shared" si="109"/>
        <v>0</v>
      </c>
      <c r="W659" s="689"/>
    </row>
    <row r="660" spans="1:23" s="236" customFormat="1" ht="24.95" hidden="1" customHeight="1" outlineLevel="1">
      <c r="A660" s="239"/>
      <c r="B660" s="239" t="s">
        <v>394</v>
      </c>
      <c r="C660" s="240">
        <v>8</v>
      </c>
      <c r="D660" s="690"/>
      <c r="E660" s="240"/>
      <c r="F660" s="836"/>
      <c r="G660" s="239">
        <v>3</v>
      </c>
      <c r="H660" s="203">
        <f>(K658/200)+1</f>
        <v>38.875</v>
      </c>
      <c r="I660" s="234"/>
      <c r="J660" s="234"/>
      <c r="K660" s="234">
        <v>820</v>
      </c>
      <c r="L660" s="234"/>
      <c r="M660" s="234"/>
      <c r="N660" s="235" t="e">
        <f>(((I660+J660+K660+L660+M660)-C660*#REF!*2)/1000)</f>
        <v>#REF!</v>
      </c>
      <c r="O660" s="235"/>
      <c r="P660" s="200" t="e">
        <f t="shared" si="103"/>
        <v>#REF!</v>
      </c>
      <c r="Q660" s="200">
        <f t="shared" si="104"/>
        <v>0</v>
      </c>
      <c r="R660" s="200">
        <f t="shared" si="105"/>
        <v>0</v>
      </c>
      <c r="S660" s="200">
        <f t="shared" si="106"/>
        <v>0</v>
      </c>
      <c r="T660" s="200">
        <f t="shared" si="107"/>
        <v>0</v>
      </c>
      <c r="U660" s="688">
        <f t="shared" si="108"/>
        <v>0</v>
      </c>
      <c r="V660" s="200">
        <f t="shared" si="109"/>
        <v>0</v>
      </c>
      <c r="W660" s="689"/>
    </row>
    <row r="661" spans="1:23" s="236" customFormat="1" ht="24.95" hidden="1" customHeight="1" outlineLevel="1">
      <c r="A661" s="209" t="s">
        <v>447</v>
      </c>
      <c r="B661" s="209" t="s">
        <v>441</v>
      </c>
      <c r="C661" s="240"/>
      <c r="D661" s="690"/>
      <c r="E661" s="240"/>
      <c r="F661" s="836"/>
      <c r="G661" s="239"/>
      <c r="H661" s="203"/>
      <c r="I661" s="234"/>
      <c r="J661" s="234"/>
      <c r="K661" s="234"/>
      <c r="L661" s="234"/>
      <c r="M661" s="234"/>
      <c r="N661" s="235" t="e">
        <f>(((I661+J661+K661+L661+M661)-C661*#REF!*2)/1000)</f>
        <v>#REF!</v>
      </c>
      <c r="O661" s="235"/>
      <c r="P661" s="200">
        <f t="shared" si="103"/>
        <v>0</v>
      </c>
      <c r="Q661" s="200">
        <f t="shared" si="104"/>
        <v>0</v>
      </c>
      <c r="R661" s="200">
        <f t="shared" si="105"/>
        <v>0</v>
      </c>
      <c r="S661" s="200">
        <f t="shared" si="106"/>
        <v>0</v>
      </c>
      <c r="T661" s="200">
        <f t="shared" si="107"/>
        <v>0</v>
      </c>
      <c r="U661" s="688">
        <f t="shared" si="108"/>
        <v>0</v>
      </c>
      <c r="V661" s="200">
        <f t="shared" si="109"/>
        <v>0</v>
      </c>
      <c r="W661" s="689"/>
    </row>
    <row r="662" spans="1:23" s="236" customFormat="1" ht="24.95" hidden="1" customHeight="1" outlineLevel="1">
      <c r="A662" s="205" t="s">
        <v>448</v>
      </c>
      <c r="B662" s="206" t="s">
        <v>443</v>
      </c>
      <c r="C662" s="240"/>
      <c r="D662" s="690"/>
      <c r="E662" s="240"/>
      <c r="F662" s="836"/>
      <c r="G662" s="239"/>
      <c r="H662" s="203"/>
      <c r="I662" s="234"/>
      <c r="J662" s="234"/>
      <c r="K662" s="234"/>
      <c r="L662" s="234"/>
      <c r="M662" s="234"/>
      <c r="N662" s="235" t="e">
        <f>(((I662+J662+K662+L662+M662)-C662*#REF!*2)/1000)</f>
        <v>#REF!</v>
      </c>
      <c r="O662" s="235"/>
      <c r="P662" s="200">
        <f t="shared" si="103"/>
        <v>0</v>
      </c>
      <c r="Q662" s="200">
        <f t="shared" si="104"/>
        <v>0</v>
      </c>
      <c r="R662" s="200">
        <f t="shared" si="105"/>
        <v>0</v>
      </c>
      <c r="S662" s="200">
        <f t="shared" si="106"/>
        <v>0</v>
      </c>
      <c r="T662" s="200">
        <f t="shared" si="107"/>
        <v>0</v>
      </c>
      <c r="U662" s="688">
        <f t="shared" si="108"/>
        <v>0</v>
      </c>
      <c r="V662" s="200">
        <f t="shared" si="109"/>
        <v>0</v>
      </c>
      <c r="W662" s="689"/>
    </row>
    <row r="663" spans="1:23" s="236" customFormat="1" ht="24.95" hidden="1" customHeight="1" outlineLevel="1">
      <c r="A663" s="207">
        <v>1</v>
      </c>
      <c r="B663" s="208" t="s">
        <v>399</v>
      </c>
      <c r="C663" s="240">
        <v>12</v>
      </c>
      <c r="D663" s="690"/>
      <c r="E663" s="240"/>
      <c r="F663" s="836"/>
      <c r="G663" s="239">
        <v>2</v>
      </c>
      <c r="H663" s="203">
        <v>3</v>
      </c>
      <c r="I663" s="241">
        <v>100</v>
      </c>
      <c r="J663" s="234"/>
      <c r="K663" s="234">
        <v>2950</v>
      </c>
      <c r="L663" s="234"/>
      <c r="M663" s="241">
        <v>100</v>
      </c>
      <c r="N663" s="235" t="e">
        <f>(((I663+J663+K663+L663+M663)-C663*#REF!*2)/1000)</f>
        <v>#REF!</v>
      </c>
      <c r="O663" s="235"/>
      <c r="P663" s="200">
        <f t="shared" si="103"/>
        <v>0</v>
      </c>
      <c r="Q663" s="200">
        <f t="shared" si="104"/>
        <v>0</v>
      </c>
      <c r="R663" s="200" t="e">
        <f t="shared" si="105"/>
        <v>#REF!</v>
      </c>
      <c r="S663" s="200">
        <f t="shared" si="106"/>
        <v>0</v>
      </c>
      <c r="T663" s="200">
        <f t="shared" si="107"/>
        <v>0</v>
      </c>
      <c r="U663" s="688">
        <f t="shared" si="108"/>
        <v>0</v>
      </c>
      <c r="V663" s="200">
        <f t="shared" si="109"/>
        <v>0</v>
      </c>
      <c r="W663" s="689"/>
    </row>
    <row r="664" spans="1:23" s="236" customFormat="1" ht="24.95" hidden="1" customHeight="1" outlineLevel="1">
      <c r="A664" s="239"/>
      <c r="B664" s="239" t="s">
        <v>393</v>
      </c>
      <c r="C664" s="240">
        <v>12</v>
      </c>
      <c r="D664" s="690"/>
      <c r="E664" s="240"/>
      <c r="F664" s="836"/>
      <c r="G664" s="239">
        <f>G663</f>
        <v>2</v>
      </c>
      <c r="H664" s="203">
        <v>3</v>
      </c>
      <c r="I664" s="241">
        <v>100</v>
      </c>
      <c r="J664" s="234"/>
      <c r="K664" s="234">
        <v>2950</v>
      </c>
      <c r="L664" s="234"/>
      <c r="M664" s="241">
        <v>100</v>
      </c>
      <c r="N664" s="235" t="e">
        <f>(((I664+J664+K664+L664+M664)-C664*#REF!*2)/1000)</f>
        <v>#REF!</v>
      </c>
      <c r="O664" s="235"/>
      <c r="P664" s="200">
        <f t="shared" si="103"/>
        <v>0</v>
      </c>
      <c r="Q664" s="200">
        <f t="shared" si="104"/>
        <v>0</v>
      </c>
      <c r="R664" s="200" t="e">
        <f t="shared" si="105"/>
        <v>#REF!</v>
      </c>
      <c r="S664" s="200">
        <f t="shared" si="106"/>
        <v>0</v>
      </c>
      <c r="T664" s="200">
        <f t="shared" si="107"/>
        <v>0</v>
      </c>
      <c r="U664" s="688">
        <f t="shared" si="108"/>
        <v>0</v>
      </c>
      <c r="V664" s="200">
        <f t="shared" si="109"/>
        <v>0</v>
      </c>
      <c r="W664" s="689"/>
    </row>
    <row r="665" spans="1:23" s="236" customFormat="1" ht="24.95" hidden="1" customHeight="1" outlineLevel="1">
      <c r="A665" s="239"/>
      <c r="B665" s="239" t="s">
        <v>400</v>
      </c>
      <c r="C665" s="240">
        <v>8</v>
      </c>
      <c r="D665" s="690"/>
      <c r="E665" s="240"/>
      <c r="F665" s="836"/>
      <c r="G665" s="239">
        <v>2</v>
      </c>
      <c r="H665" s="203">
        <f>(K663/200)+1</f>
        <v>15.75</v>
      </c>
      <c r="I665" s="234"/>
      <c r="J665" s="234"/>
      <c r="K665" s="234">
        <v>1280</v>
      </c>
      <c r="L665" s="234"/>
      <c r="M665" s="234"/>
      <c r="N665" s="235" t="e">
        <f>(((I665+J665+K665+L665+M665)-C665*#REF!*2)/1000)</f>
        <v>#REF!</v>
      </c>
      <c r="O665" s="235"/>
      <c r="P665" s="200" t="e">
        <f t="shared" si="103"/>
        <v>#REF!</v>
      </c>
      <c r="Q665" s="200">
        <f t="shared" si="104"/>
        <v>0</v>
      </c>
      <c r="R665" s="200">
        <f t="shared" si="105"/>
        <v>0</v>
      </c>
      <c r="S665" s="200">
        <f t="shared" si="106"/>
        <v>0</v>
      </c>
      <c r="T665" s="200">
        <f t="shared" si="107"/>
        <v>0</v>
      </c>
      <c r="U665" s="688">
        <f t="shared" si="108"/>
        <v>0</v>
      </c>
      <c r="V665" s="200">
        <f t="shared" si="109"/>
        <v>0</v>
      </c>
      <c r="W665" s="689"/>
    </row>
    <row r="666" spans="1:23" s="236" customFormat="1" ht="24.95" hidden="1" customHeight="1" outlineLevel="1">
      <c r="A666" s="237">
        <v>10</v>
      </c>
      <c r="B666" s="238" t="s">
        <v>439</v>
      </c>
      <c r="C666" s="240"/>
      <c r="D666" s="690"/>
      <c r="E666" s="240"/>
      <c r="F666" s="836"/>
      <c r="G666" s="239"/>
      <c r="H666" s="203"/>
      <c r="I666" s="234"/>
      <c r="J666" s="234"/>
      <c r="K666" s="234"/>
      <c r="L666" s="234"/>
      <c r="M666" s="234"/>
      <c r="N666" s="235" t="e">
        <f>(((I666+J666+K666+L666+M666)-C666*#REF!*2)/1000)</f>
        <v>#REF!</v>
      </c>
      <c r="O666" s="235"/>
      <c r="P666" s="200">
        <f t="shared" si="103"/>
        <v>0</v>
      </c>
      <c r="Q666" s="200">
        <f t="shared" si="104"/>
        <v>0</v>
      </c>
      <c r="R666" s="200">
        <f t="shared" si="105"/>
        <v>0</v>
      </c>
      <c r="S666" s="200">
        <f t="shared" si="106"/>
        <v>0</v>
      </c>
      <c r="T666" s="200">
        <f t="shared" si="107"/>
        <v>0</v>
      </c>
      <c r="U666" s="688">
        <f t="shared" si="108"/>
        <v>0</v>
      </c>
      <c r="V666" s="200">
        <f t="shared" si="109"/>
        <v>0</v>
      </c>
      <c r="W666" s="689"/>
    </row>
    <row r="667" spans="1:23" s="236" customFormat="1" ht="24.95" hidden="1" customHeight="1" outlineLevel="1">
      <c r="A667" s="209" t="s">
        <v>449</v>
      </c>
      <c r="B667" s="209" t="s">
        <v>441</v>
      </c>
      <c r="C667" s="240"/>
      <c r="D667" s="690"/>
      <c r="E667" s="240"/>
      <c r="F667" s="836"/>
      <c r="G667" s="239"/>
      <c r="H667" s="203"/>
      <c r="I667" s="234"/>
      <c r="J667" s="234"/>
      <c r="K667" s="234"/>
      <c r="L667" s="234"/>
      <c r="M667" s="234"/>
      <c r="N667" s="235" t="e">
        <f>(((I667+J667+K667+L667+M667)-C667*#REF!*2)/1000)</f>
        <v>#REF!</v>
      </c>
      <c r="O667" s="235"/>
      <c r="P667" s="200">
        <f t="shared" si="103"/>
        <v>0</v>
      </c>
      <c r="Q667" s="200">
        <f t="shared" si="104"/>
        <v>0</v>
      </c>
      <c r="R667" s="200">
        <f t="shared" si="105"/>
        <v>0</v>
      </c>
      <c r="S667" s="200">
        <f t="shared" si="106"/>
        <v>0</v>
      </c>
      <c r="T667" s="200">
        <f t="shared" si="107"/>
        <v>0</v>
      </c>
      <c r="U667" s="688">
        <f t="shared" si="108"/>
        <v>0</v>
      </c>
      <c r="V667" s="200">
        <f t="shared" si="109"/>
        <v>0</v>
      </c>
      <c r="W667" s="689"/>
    </row>
    <row r="668" spans="1:23" s="236" customFormat="1" ht="24.95" hidden="1" customHeight="1" outlineLevel="1">
      <c r="A668" s="205" t="s">
        <v>450</v>
      </c>
      <c r="B668" s="206" t="s">
        <v>443</v>
      </c>
      <c r="C668" s="240"/>
      <c r="D668" s="690"/>
      <c r="E668" s="240"/>
      <c r="F668" s="836"/>
      <c r="G668" s="239"/>
      <c r="H668" s="203"/>
      <c r="I668" s="234"/>
      <c r="J668" s="234"/>
      <c r="K668" s="234"/>
      <c r="L668" s="234"/>
      <c r="M668" s="234"/>
      <c r="N668" s="235" t="e">
        <f>(((I668+J668+K668+L668+M668)-C668*#REF!*2)/1000)</f>
        <v>#REF!</v>
      </c>
      <c r="O668" s="235"/>
      <c r="P668" s="200">
        <f t="shared" si="103"/>
        <v>0</v>
      </c>
      <c r="Q668" s="200">
        <f t="shared" si="104"/>
        <v>0</v>
      </c>
      <c r="R668" s="200">
        <f t="shared" si="105"/>
        <v>0</v>
      </c>
      <c r="S668" s="200">
        <f t="shared" si="106"/>
        <v>0</v>
      </c>
      <c r="T668" s="200">
        <f t="shared" si="107"/>
        <v>0</v>
      </c>
      <c r="U668" s="688">
        <f t="shared" si="108"/>
        <v>0</v>
      </c>
      <c r="V668" s="200">
        <f t="shared" si="109"/>
        <v>0</v>
      </c>
      <c r="W668" s="689"/>
    </row>
    <row r="669" spans="1:23" s="236" customFormat="1" ht="24.95" hidden="1" customHeight="1" outlineLevel="1">
      <c r="A669" s="239"/>
      <c r="B669" s="239" t="s">
        <v>444</v>
      </c>
      <c r="C669" s="240"/>
      <c r="D669" s="690"/>
      <c r="E669" s="240"/>
      <c r="F669" s="836"/>
      <c r="G669" s="239"/>
      <c r="H669" s="203"/>
      <c r="I669" s="234"/>
      <c r="J669" s="234"/>
      <c r="K669" s="234"/>
      <c r="L669" s="234"/>
      <c r="M669" s="234"/>
      <c r="N669" s="235" t="e">
        <f>(((I669+J669+K669+L669+M669)-C669*#REF!*2)/1000)</f>
        <v>#REF!</v>
      </c>
      <c r="O669" s="235"/>
      <c r="P669" s="200">
        <f t="shared" si="103"/>
        <v>0</v>
      </c>
      <c r="Q669" s="200">
        <f t="shared" si="104"/>
        <v>0</v>
      </c>
      <c r="R669" s="200">
        <f t="shared" si="105"/>
        <v>0</v>
      </c>
      <c r="S669" s="200">
        <f t="shared" si="106"/>
        <v>0</v>
      </c>
      <c r="T669" s="200">
        <f t="shared" si="107"/>
        <v>0</v>
      </c>
      <c r="U669" s="688">
        <f t="shared" si="108"/>
        <v>0</v>
      </c>
      <c r="V669" s="200">
        <f t="shared" si="109"/>
        <v>0</v>
      </c>
      <c r="W669" s="689"/>
    </row>
    <row r="670" spans="1:23" s="236" customFormat="1" ht="24.95" hidden="1" customHeight="1" outlineLevel="1">
      <c r="A670" s="239">
        <v>1</v>
      </c>
      <c r="B670" s="239" t="s">
        <v>392</v>
      </c>
      <c r="C670" s="240">
        <v>10</v>
      </c>
      <c r="D670" s="690"/>
      <c r="E670" s="240"/>
      <c r="F670" s="836"/>
      <c r="G670" s="239">
        <v>1</v>
      </c>
      <c r="H670" s="203">
        <v>2</v>
      </c>
      <c r="I670" s="241">
        <v>100</v>
      </c>
      <c r="J670" s="234"/>
      <c r="K670" s="234">
        <v>34885</v>
      </c>
      <c r="L670" s="234"/>
      <c r="M670" s="241">
        <v>100</v>
      </c>
      <c r="N670" s="235" t="e">
        <f>(((I670+J670+K670+L670+M670)-C670*#REF!*2)/1000)</f>
        <v>#REF!</v>
      </c>
      <c r="O670" s="235"/>
      <c r="P670" s="200">
        <f t="shared" si="103"/>
        <v>0</v>
      </c>
      <c r="Q670" s="200" t="e">
        <f t="shared" si="104"/>
        <v>#REF!</v>
      </c>
      <c r="R670" s="200">
        <f t="shared" si="105"/>
        <v>0</v>
      </c>
      <c r="S670" s="200">
        <f t="shared" si="106"/>
        <v>0</v>
      </c>
      <c r="T670" s="200">
        <f t="shared" si="107"/>
        <v>0</v>
      </c>
      <c r="U670" s="688">
        <f t="shared" si="108"/>
        <v>0</v>
      </c>
      <c r="V670" s="200">
        <f t="shared" si="109"/>
        <v>0</v>
      </c>
      <c r="W670" s="689"/>
    </row>
    <row r="671" spans="1:23" s="236" customFormat="1" ht="24.95" hidden="1" customHeight="1" outlineLevel="1">
      <c r="A671" s="239"/>
      <c r="B671" s="239" t="s">
        <v>393</v>
      </c>
      <c r="C671" s="240">
        <v>10</v>
      </c>
      <c r="D671" s="690"/>
      <c r="E671" s="240"/>
      <c r="F671" s="836"/>
      <c r="G671" s="239">
        <v>1</v>
      </c>
      <c r="H671" s="203">
        <v>2</v>
      </c>
      <c r="I671" s="241">
        <v>100</v>
      </c>
      <c r="J671" s="234"/>
      <c r="K671" s="234">
        <v>34885</v>
      </c>
      <c r="L671" s="234"/>
      <c r="M671" s="241">
        <v>100</v>
      </c>
      <c r="N671" s="235" t="e">
        <f>(((I671+J671+K671+L671+M671)-C671*#REF!*2)/1000)</f>
        <v>#REF!</v>
      </c>
      <c r="O671" s="235"/>
      <c r="P671" s="200">
        <f t="shared" si="103"/>
        <v>0</v>
      </c>
      <c r="Q671" s="200" t="e">
        <f t="shared" si="104"/>
        <v>#REF!</v>
      </c>
      <c r="R671" s="200">
        <f t="shared" si="105"/>
        <v>0</v>
      </c>
      <c r="S671" s="200">
        <f t="shared" si="106"/>
        <v>0</v>
      </c>
      <c r="T671" s="200">
        <f t="shared" si="107"/>
        <v>0</v>
      </c>
      <c r="U671" s="688">
        <f t="shared" si="108"/>
        <v>0</v>
      </c>
      <c r="V671" s="200">
        <f t="shared" si="109"/>
        <v>0</v>
      </c>
      <c r="W671" s="689"/>
    </row>
    <row r="672" spans="1:23" s="236" customFormat="1" ht="24.95" hidden="1" customHeight="1" outlineLevel="1">
      <c r="A672" s="239"/>
      <c r="B672" s="239" t="s">
        <v>433</v>
      </c>
      <c r="C672" s="240">
        <v>10</v>
      </c>
      <c r="D672" s="690"/>
      <c r="E672" s="240"/>
      <c r="F672" s="836"/>
      <c r="G672" s="239">
        <v>2</v>
      </c>
      <c r="H672" s="203">
        <v>4</v>
      </c>
      <c r="I672" s="234"/>
      <c r="J672" s="234"/>
      <c r="K672" s="234">
        <v>500</v>
      </c>
      <c r="L672" s="234"/>
      <c r="M672" s="234"/>
      <c r="N672" s="235" t="e">
        <f>(((I672+J672+K672+L672+M672)-C672*#REF!*2)/1000)</f>
        <v>#REF!</v>
      </c>
      <c r="O672" s="235"/>
      <c r="P672" s="200">
        <f t="shared" si="103"/>
        <v>0</v>
      </c>
      <c r="Q672" s="200" t="e">
        <f t="shared" si="104"/>
        <v>#REF!</v>
      </c>
      <c r="R672" s="200">
        <f t="shared" si="105"/>
        <v>0</v>
      </c>
      <c r="S672" s="200">
        <f t="shared" si="106"/>
        <v>0</v>
      </c>
      <c r="T672" s="200">
        <f t="shared" si="107"/>
        <v>0</v>
      </c>
      <c r="U672" s="688">
        <f t="shared" si="108"/>
        <v>0</v>
      </c>
      <c r="V672" s="200">
        <f t="shared" si="109"/>
        <v>0</v>
      </c>
      <c r="W672" s="689"/>
    </row>
    <row r="673" spans="1:23" s="236" customFormat="1" ht="24.95" hidden="1" customHeight="1" outlineLevel="1">
      <c r="A673" s="239"/>
      <c r="B673" s="239" t="s">
        <v>394</v>
      </c>
      <c r="C673" s="240">
        <v>8</v>
      </c>
      <c r="D673" s="690"/>
      <c r="E673" s="240"/>
      <c r="F673" s="836"/>
      <c r="G673" s="239">
        <v>1</v>
      </c>
      <c r="H673" s="203">
        <f>(K670/200)+1</f>
        <v>175.42500000000001</v>
      </c>
      <c r="I673" s="234"/>
      <c r="J673" s="234"/>
      <c r="K673" s="234">
        <v>820</v>
      </c>
      <c r="L673" s="234"/>
      <c r="M673" s="234"/>
      <c r="N673" s="235" t="e">
        <f>(((I673+J673+K673+L673+M673)-C673*#REF!*2)/1000)</f>
        <v>#REF!</v>
      </c>
      <c r="O673" s="235"/>
      <c r="P673" s="200" t="e">
        <f t="shared" si="103"/>
        <v>#REF!</v>
      </c>
      <c r="Q673" s="200">
        <f t="shared" si="104"/>
        <v>0</v>
      </c>
      <c r="R673" s="200">
        <f t="shared" si="105"/>
        <v>0</v>
      </c>
      <c r="S673" s="200">
        <f t="shared" si="106"/>
        <v>0</v>
      </c>
      <c r="T673" s="200">
        <f t="shared" si="107"/>
        <v>0</v>
      </c>
      <c r="U673" s="688">
        <f t="shared" si="108"/>
        <v>0</v>
      </c>
      <c r="V673" s="200">
        <f t="shared" si="109"/>
        <v>0</v>
      </c>
      <c r="W673" s="689"/>
    </row>
    <row r="674" spans="1:23" s="236" customFormat="1" ht="24.95" hidden="1" customHeight="1" outlineLevel="1">
      <c r="A674" s="239">
        <v>2</v>
      </c>
      <c r="B674" s="239" t="s">
        <v>392</v>
      </c>
      <c r="C674" s="240">
        <v>10</v>
      </c>
      <c r="D674" s="690"/>
      <c r="E674" s="240"/>
      <c r="F674" s="836"/>
      <c r="G674" s="239">
        <v>1</v>
      </c>
      <c r="H674" s="203">
        <v>2</v>
      </c>
      <c r="I674" s="241">
        <v>100</v>
      </c>
      <c r="J674" s="234"/>
      <c r="K674" s="234">
        <v>14950</v>
      </c>
      <c r="L674" s="234"/>
      <c r="M674" s="241">
        <v>100</v>
      </c>
      <c r="N674" s="235" t="e">
        <f>(((I674+J674+K674+L674+M674)-C674*#REF!*2)/1000)</f>
        <v>#REF!</v>
      </c>
      <c r="O674" s="235"/>
      <c r="P674" s="200">
        <f t="shared" si="103"/>
        <v>0</v>
      </c>
      <c r="Q674" s="200" t="e">
        <f t="shared" si="104"/>
        <v>#REF!</v>
      </c>
      <c r="R674" s="200">
        <f t="shared" si="105"/>
        <v>0</v>
      </c>
      <c r="S674" s="200">
        <f t="shared" si="106"/>
        <v>0</v>
      </c>
      <c r="T674" s="200">
        <f t="shared" si="107"/>
        <v>0</v>
      </c>
      <c r="U674" s="688">
        <f t="shared" si="108"/>
        <v>0</v>
      </c>
      <c r="V674" s="200">
        <f t="shared" si="109"/>
        <v>0</v>
      </c>
      <c r="W674" s="689"/>
    </row>
    <row r="675" spans="1:23" s="236" customFormat="1" ht="24.95" hidden="1" customHeight="1" outlineLevel="1">
      <c r="A675" s="239"/>
      <c r="B675" s="239" t="s">
        <v>393</v>
      </c>
      <c r="C675" s="240">
        <v>10</v>
      </c>
      <c r="D675" s="690"/>
      <c r="E675" s="240"/>
      <c r="F675" s="836"/>
      <c r="G675" s="239">
        <v>1</v>
      </c>
      <c r="H675" s="203">
        <v>2</v>
      </c>
      <c r="I675" s="241">
        <v>100</v>
      </c>
      <c r="J675" s="234"/>
      <c r="K675" s="234">
        <v>14950</v>
      </c>
      <c r="L675" s="234"/>
      <c r="M675" s="241">
        <v>100</v>
      </c>
      <c r="N675" s="235" t="e">
        <f>(((I675+J675+K675+L675+M675)-C675*#REF!*2)/1000)</f>
        <v>#REF!</v>
      </c>
      <c r="O675" s="235"/>
      <c r="P675" s="200">
        <f t="shared" si="103"/>
        <v>0</v>
      </c>
      <c r="Q675" s="200" t="e">
        <f t="shared" si="104"/>
        <v>#REF!</v>
      </c>
      <c r="R675" s="200">
        <f t="shared" si="105"/>
        <v>0</v>
      </c>
      <c r="S675" s="200">
        <f t="shared" si="106"/>
        <v>0</v>
      </c>
      <c r="T675" s="200">
        <f t="shared" si="107"/>
        <v>0</v>
      </c>
      <c r="U675" s="688">
        <f t="shared" si="108"/>
        <v>0</v>
      </c>
      <c r="V675" s="200">
        <f t="shared" si="109"/>
        <v>0</v>
      </c>
      <c r="W675" s="689"/>
    </row>
    <row r="676" spans="1:23" s="236" customFormat="1" ht="24.95" hidden="1" customHeight="1" outlineLevel="1">
      <c r="A676" s="239"/>
      <c r="B676" s="239" t="s">
        <v>433</v>
      </c>
      <c r="C676" s="240">
        <v>10</v>
      </c>
      <c r="D676" s="690"/>
      <c r="E676" s="240"/>
      <c r="F676" s="836"/>
      <c r="G676" s="239">
        <v>1</v>
      </c>
      <c r="H676" s="203">
        <v>4</v>
      </c>
      <c r="I676" s="234"/>
      <c r="J676" s="234"/>
      <c r="K676" s="234">
        <v>500</v>
      </c>
      <c r="L676" s="234"/>
      <c r="M676" s="234"/>
      <c r="N676" s="235" t="e">
        <f>(((I676+J676+K676+L676+M676)-C676*#REF!*2)/1000)</f>
        <v>#REF!</v>
      </c>
      <c r="O676" s="235"/>
      <c r="P676" s="200">
        <f t="shared" si="103"/>
        <v>0</v>
      </c>
      <c r="Q676" s="200" t="e">
        <f t="shared" si="104"/>
        <v>#REF!</v>
      </c>
      <c r="R676" s="200">
        <f t="shared" si="105"/>
        <v>0</v>
      </c>
      <c r="S676" s="200">
        <f t="shared" si="106"/>
        <v>0</v>
      </c>
      <c r="T676" s="200">
        <f t="shared" si="107"/>
        <v>0</v>
      </c>
      <c r="U676" s="688">
        <f t="shared" si="108"/>
        <v>0</v>
      </c>
      <c r="V676" s="200">
        <f t="shared" si="109"/>
        <v>0</v>
      </c>
      <c r="W676" s="689"/>
    </row>
    <row r="677" spans="1:23" s="236" customFormat="1" ht="24.95" hidden="1" customHeight="1" outlineLevel="1">
      <c r="A677" s="239"/>
      <c r="B677" s="239" t="s">
        <v>394</v>
      </c>
      <c r="C677" s="240">
        <v>8</v>
      </c>
      <c r="D677" s="690"/>
      <c r="E677" s="240"/>
      <c r="F677" s="836"/>
      <c r="G677" s="239">
        <v>1</v>
      </c>
      <c r="H677" s="203">
        <f>(K674/200)+1</f>
        <v>75.75</v>
      </c>
      <c r="I677" s="234"/>
      <c r="J677" s="234"/>
      <c r="K677" s="234">
        <v>820</v>
      </c>
      <c r="L677" s="234"/>
      <c r="M677" s="234"/>
      <c r="N677" s="235" t="e">
        <f>(((I677+J677+K677+L677+M677)-C677*#REF!*2)/1000)</f>
        <v>#REF!</v>
      </c>
      <c r="O677" s="235"/>
      <c r="P677" s="200" t="e">
        <f t="shared" si="103"/>
        <v>#REF!</v>
      </c>
      <c r="Q677" s="200">
        <f t="shared" si="104"/>
        <v>0</v>
      </c>
      <c r="R677" s="200">
        <f t="shared" si="105"/>
        <v>0</v>
      </c>
      <c r="S677" s="200">
        <f t="shared" si="106"/>
        <v>0</v>
      </c>
      <c r="T677" s="200">
        <f t="shared" si="107"/>
        <v>0</v>
      </c>
      <c r="U677" s="688">
        <f t="shared" si="108"/>
        <v>0</v>
      </c>
      <c r="V677" s="200">
        <f t="shared" si="109"/>
        <v>0</v>
      </c>
      <c r="W677" s="689"/>
    </row>
    <row r="678" spans="1:23" s="236" customFormat="1" ht="24.95" hidden="1" customHeight="1" outlineLevel="1">
      <c r="A678" s="239"/>
      <c r="B678" s="210" t="s">
        <v>451</v>
      </c>
      <c r="C678" s="240"/>
      <c r="D678" s="690"/>
      <c r="E678" s="240"/>
      <c r="F678" s="836"/>
      <c r="G678" s="239"/>
      <c r="H678" s="203"/>
      <c r="I678" s="234"/>
      <c r="J678" s="234"/>
      <c r="K678" s="234"/>
      <c r="L678" s="234"/>
      <c r="M678" s="234"/>
      <c r="N678" s="235" t="e">
        <f>(((I678+J678+K678+L678+M678)-C678*#REF!*2)/1000)</f>
        <v>#REF!</v>
      </c>
      <c r="O678" s="235"/>
      <c r="P678" s="200">
        <f t="shared" si="103"/>
        <v>0</v>
      </c>
      <c r="Q678" s="200">
        <f t="shared" si="104"/>
        <v>0</v>
      </c>
      <c r="R678" s="200">
        <f t="shared" si="105"/>
        <v>0</v>
      </c>
      <c r="S678" s="200">
        <f t="shared" si="106"/>
        <v>0</v>
      </c>
      <c r="T678" s="200">
        <f t="shared" si="107"/>
        <v>0</v>
      </c>
      <c r="U678" s="688">
        <f t="shared" si="108"/>
        <v>0</v>
      </c>
      <c r="V678" s="200">
        <f t="shared" si="109"/>
        <v>0</v>
      </c>
      <c r="W678" s="689"/>
    </row>
    <row r="679" spans="1:23" s="236" customFormat="1" ht="24.95" hidden="1" customHeight="1" outlineLevel="1">
      <c r="A679" s="239"/>
      <c r="B679" s="239"/>
      <c r="C679" s="240"/>
      <c r="D679" s="690"/>
      <c r="E679" s="240"/>
      <c r="F679" s="836"/>
      <c r="G679" s="239"/>
      <c r="H679" s="203"/>
      <c r="I679" s="234"/>
      <c r="J679" s="234"/>
      <c r="K679" s="234"/>
      <c r="L679" s="234"/>
      <c r="M679" s="234"/>
      <c r="N679" s="235" t="e">
        <f>(((I679+J679+K679+L679+M679)-C679*#REF!*2)/1000)</f>
        <v>#REF!</v>
      </c>
      <c r="O679" s="235"/>
      <c r="P679" s="200">
        <f t="shared" si="103"/>
        <v>0</v>
      </c>
      <c r="Q679" s="200">
        <f t="shared" si="104"/>
        <v>0</v>
      </c>
      <c r="R679" s="200">
        <f t="shared" si="105"/>
        <v>0</v>
      </c>
      <c r="S679" s="200">
        <f t="shared" si="106"/>
        <v>0</v>
      </c>
      <c r="T679" s="200">
        <f t="shared" si="107"/>
        <v>0</v>
      </c>
      <c r="U679" s="688">
        <f t="shared" si="108"/>
        <v>0</v>
      </c>
      <c r="V679" s="200">
        <f t="shared" si="109"/>
        <v>0</v>
      </c>
      <c r="W679" s="689"/>
    </row>
    <row r="680" spans="1:23" s="236" customFormat="1" ht="24.95" hidden="1" customHeight="1" outlineLevel="1">
      <c r="A680" s="239">
        <v>3</v>
      </c>
      <c r="B680" s="239" t="s">
        <v>392</v>
      </c>
      <c r="C680" s="240">
        <v>10</v>
      </c>
      <c r="D680" s="690"/>
      <c r="E680" s="240"/>
      <c r="F680" s="836"/>
      <c r="G680" s="239">
        <v>4</v>
      </c>
      <c r="H680" s="203">
        <v>2</v>
      </c>
      <c r="I680" s="241">
        <v>100</v>
      </c>
      <c r="J680" s="234"/>
      <c r="K680" s="234">
        <v>7575</v>
      </c>
      <c r="L680" s="234"/>
      <c r="M680" s="241">
        <v>100</v>
      </c>
      <c r="N680" s="235" t="e">
        <f>(((I680+J680+K680+L680+M680)-C680*#REF!*2)/1000)</f>
        <v>#REF!</v>
      </c>
      <c r="O680" s="235"/>
      <c r="P680" s="200">
        <f t="shared" si="103"/>
        <v>0</v>
      </c>
      <c r="Q680" s="200" t="e">
        <f t="shared" si="104"/>
        <v>#REF!</v>
      </c>
      <c r="R680" s="200">
        <f t="shared" si="105"/>
        <v>0</v>
      </c>
      <c r="S680" s="200">
        <f t="shared" si="106"/>
        <v>0</v>
      </c>
      <c r="T680" s="200">
        <f t="shared" si="107"/>
        <v>0</v>
      </c>
      <c r="U680" s="688">
        <f t="shared" si="108"/>
        <v>0</v>
      </c>
      <c r="V680" s="200">
        <f t="shared" si="109"/>
        <v>0</v>
      </c>
      <c r="W680" s="689"/>
    </row>
    <row r="681" spans="1:23" s="236" customFormat="1" ht="24.95" hidden="1" customHeight="1" outlineLevel="1">
      <c r="A681" s="239"/>
      <c r="B681" s="239" t="s">
        <v>393</v>
      </c>
      <c r="C681" s="240">
        <v>10</v>
      </c>
      <c r="D681" s="690"/>
      <c r="E681" s="240"/>
      <c r="F681" s="836"/>
      <c r="G681" s="239">
        <v>4</v>
      </c>
      <c r="H681" s="203">
        <v>2</v>
      </c>
      <c r="I681" s="241">
        <v>100</v>
      </c>
      <c r="J681" s="234"/>
      <c r="K681" s="234">
        <v>7575</v>
      </c>
      <c r="L681" s="234"/>
      <c r="M681" s="241">
        <v>100</v>
      </c>
      <c r="N681" s="235" t="e">
        <f>(((I681+J681+K681+L681+M681)-C681*#REF!*2)/1000)</f>
        <v>#REF!</v>
      </c>
      <c r="O681" s="235"/>
      <c r="P681" s="200">
        <f t="shared" si="103"/>
        <v>0</v>
      </c>
      <c r="Q681" s="200" t="e">
        <f t="shared" si="104"/>
        <v>#REF!</v>
      </c>
      <c r="R681" s="200">
        <f t="shared" si="105"/>
        <v>0</v>
      </c>
      <c r="S681" s="200">
        <f t="shared" si="106"/>
        <v>0</v>
      </c>
      <c r="T681" s="200">
        <f t="shared" si="107"/>
        <v>0</v>
      </c>
      <c r="U681" s="688">
        <f t="shared" si="108"/>
        <v>0</v>
      </c>
      <c r="V681" s="200">
        <f t="shared" si="109"/>
        <v>0</v>
      </c>
      <c r="W681" s="689"/>
    </row>
    <row r="682" spans="1:23" s="236" customFormat="1" ht="24.95" hidden="1" customHeight="1" outlineLevel="1">
      <c r="A682" s="239"/>
      <c r="B682" s="239" t="s">
        <v>394</v>
      </c>
      <c r="C682" s="240">
        <v>8</v>
      </c>
      <c r="D682" s="690"/>
      <c r="E682" s="240"/>
      <c r="F682" s="836"/>
      <c r="G682" s="239">
        <v>4</v>
      </c>
      <c r="H682" s="203">
        <f>(K680/200)+1</f>
        <v>38.875</v>
      </c>
      <c r="I682" s="234"/>
      <c r="J682" s="234"/>
      <c r="K682" s="234">
        <v>820</v>
      </c>
      <c r="L682" s="234"/>
      <c r="M682" s="234"/>
      <c r="N682" s="235" t="e">
        <f>(((I682+J682+K682+L682+M682)-C682*#REF!*2)/1000)</f>
        <v>#REF!</v>
      </c>
      <c r="O682" s="235"/>
      <c r="P682" s="200" t="e">
        <f t="shared" si="103"/>
        <v>#REF!</v>
      </c>
      <c r="Q682" s="200">
        <f t="shared" si="104"/>
        <v>0</v>
      </c>
      <c r="R682" s="200">
        <f t="shared" si="105"/>
        <v>0</v>
      </c>
      <c r="S682" s="200">
        <f t="shared" si="106"/>
        <v>0</v>
      </c>
      <c r="T682" s="200">
        <f t="shared" si="107"/>
        <v>0</v>
      </c>
      <c r="U682" s="688">
        <f t="shared" si="108"/>
        <v>0</v>
      </c>
      <c r="V682" s="200">
        <f t="shared" si="109"/>
        <v>0</v>
      </c>
      <c r="W682" s="689"/>
    </row>
    <row r="683" spans="1:23" s="236" customFormat="1" ht="24.95" hidden="1" customHeight="1" outlineLevel="1">
      <c r="A683" s="237">
        <v>10.1</v>
      </c>
      <c r="B683" s="238" t="s">
        <v>452</v>
      </c>
      <c r="C683" s="240"/>
      <c r="D683" s="690"/>
      <c r="E683" s="240"/>
      <c r="F683" s="836"/>
      <c r="G683" s="239"/>
      <c r="H683" s="203"/>
      <c r="I683" s="234"/>
      <c r="J683" s="234"/>
      <c r="K683" s="234"/>
      <c r="L683" s="234"/>
      <c r="M683" s="234"/>
      <c r="N683" s="235" t="e">
        <f>(((I683+J683+K683+L683+M683)-C683*#REF!*2)/1000)</f>
        <v>#REF!</v>
      </c>
      <c r="O683" s="235"/>
      <c r="P683" s="200">
        <f t="shared" si="103"/>
        <v>0</v>
      </c>
      <c r="Q683" s="200">
        <f t="shared" si="104"/>
        <v>0</v>
      </c>
      <c r="R683" s="200">
        <f t="shared" si="105"/>
        <v>0</v>
      </c>
      <c r="S683" s="200">
        <f t="shared" si="106"/>
        <v>0</v>
      </c>
      <c r="T683" s="200">
        <f t="shared" si="107"/>
        <v>0</v>
      </c>
      <c r="U683" s="688">
        <f t="shared" si="108"/>
        <v>0</v>
      </c>
      <c r="V683" s="200">
        <f t="shared" si="109"/>
        <v>0</v>
      </c>
      <c r="W683" s="689"/>
    </row>
    <row r="684" spans="1:23" s="236" customFormat="1" ht="24.95" hidden="1" customHeight="1" outlineLevel="1">
      <c r="A684" s="209" t="s">
        <v>453</v>
      </c>
      <c r="B684" s="209" t="s">
        <v>441</v>
      </c>
      <c r="C684" s="240"/>
      <c r="D684" s="690"/>
      <c r="E684" s="240"/>
      <c r="F684" s="836"/>
      <c r="G684" s="239"/>
      <c r="H684" s="203"/>
      <c r="I684" s="234"/>
      <c r="J684" s="234"/>
      <c r="K684" s="234"/>
      <c r="L684" s="234"/>
      <c r="M684" s="234"/>
      <c r="N684" s="235" t="e">
        <f>(((I684+J684+K684+L684+M684)-C684*#REF!*2)/1000)</f>
        <v>#REF!</v>
      </c>
      <c r="O684" s="235"/>
      <c r="P684" s="200">
        <f t="shared" si="103"/>
        <v>0</v>
      </c>
      <c r="Q684" s="200">
        <f t="shared" si="104"/>
        <v>0</v>
      </c>
      <c r="R684" s="200">
        <f t="shared" si="105"/>
        <v>0</v>
      </c>
      <c r="S684" s="200">
        <f t="shared" si="106"/>
        <v>0</v>
      </c>
      <c r="T684" s="200">
        <f t="shared" si="107"/>
        <v>0</v>
      </c>
      <c r="U684" s="688">
        <f t="shared" si="108"/>
        <v>0</v>
      </c>
      <c r="V684" s="200">
        <f t="shared" si="109"/>
        <v>0</v>
      </c>
      <c r="W684" s="689"/>
    </row>
    <row r="685" spans="1:23" s="236" customFormat="1" ht="24.95" hidden="1" customHeight="1" outlineLevel="1">
      <c r="A685" s="205"/>
      <c r="B685" s="206" t="s">
        <v>443</v>
      </c>
      <c r="C685" s="240"/>
      <c r="D685" s="690"/>
      <c r="E685" s="240"/>
      <c r="F685" s="836"/>
      <c r="G685" s="239"/>
      <c r="H685" s="203"/>
      <c r="I685" s="234"/>
      <c r="J685" s="234"/>
      <c r="K685" s="234"/>
      <c r="L685" s="234"/>
      <c r="M685" s="234"/>
      <c r="N685" s="235" t="e">
        <f>(((I685+J685+K685+L685+M685)-C685*#REF!*2)/1000)</f>
        <v>#REF!</v>
      </c>
      <c r="O685" s="235"/>
      <c r="P685" s="200">
        <f t="shared" si="103"/>
        <v>0</v>
      </c>
      <c r="Q685" s="200">
        <f t="shared" si="104"/>
        <v>0</v>
      </c>
      <c r="R685" s="200">
        <f t="shared" si="105"/>
        <v>0</v>
      </c>
      <c r="S685" s="200">
        <f t="shared" si="106"/>
        <v>0</v>
      </c>
      <c r="T685" s="200">
        <f t="shared" si="107"/>
        <v>0</v>
      </c>
      <c r="U685" s="688">
        <f t="shared" si="108"/>
        <v>0</v>
      </c>
      <c r="V685" s="200">
        <f t="shared" si="109"/>
        <v>0</v>
      </c>
      <c r="W685" s="689"/>
    </row>
    <row r="686" spans="1:23" s="236" customFormat="1" ht="24.95" hidden="1" customHeight="1" outlineLevel="1">
      <c r="A686" s="239">
        <v>1</v>
      </c>
      <c r="B686" s="239" t="s">
        <v>392</v>
      </c>
      <c r="C686" s="240">
        <v>10</v>
      </c>
      <c r="D686" s="690"/>
      <c r="E686" s="240"/>
      <c r="F686" s="836"/>
      <c r="G686" s="239">
        <v>8</v>
      </c>
      <c r="H686" s="203">
        <v>2</v>
      </c>
      <c r="I686" s="241">
        <v>100</v>
      </c>
      <c r="J686" s="234"/>
      <c r="K686" s="234">
        <v>7575</v>
      </c>
      <c r="L686" s="234"/>
      <c r="M686" s="241">
        <v>100</v>
      </c>
      <c r="N686" s="235" t="e">
        <f>(((I686+J686+K686+L686+M686)-C686*#REF!*2)/1000)</f>
        <v>#REF!</v>
      </c>
      <c r="O686" s="235"/>
      <c r="P686" s="200">
        <f t="shared" si="103"/>
        <v>0</v>
      </c>
      <c r="Q686" s="200" t="e">
        <f t="shared" si="104"/>
        <v>#REF!</v>
      </c>
      <c r="R686" s="200">
        <f t="shared" si="105"/>
        <v>0</v>
      </c>
      <c r="S686" s="200">
        <f t="shared" si="106"/>
        <v>0</v>
      </c>
      <c r="T686" s="200">
        <f t="shared" si="107"/>
        <v>0</v>
      </c>
      <c r="U686" s="688">
        <f t="shared" si="108"/>
        <v>0</v>
      </c>
      <c r="V686" s="200">
        <f t="shared" si="109"/>
        <v>0</v>
      </c>
      <c r="W686" s="689"/>
    </row>
    <row r="687" spans="1:23" s="236" customFormat="1" ht="24.95" hidden="1" customHeight="1" outlineLevel="1">
      <c r="A687" s="239"/>
      <c r="B687" s="239" t="s">
        <v>393</v>
      </c>
      <c r="C687" s="240">
        <v>10</v>
      </c>
      <c r="D687" s="690"/>
      <c r="E687" s="240"/>
      <c r="F687" s="836"/>
      <c r="G687" s="239">
        <v>8</v>
      </c>
      <c r="H687" s="203">
        <v>2</v>
      </c>
      <c r="I687" s="241">
        <v>100</v>
      </c>
      <c r="J687" s="234"/>
      <c r="K687" s="234">
        <v>7575</v>
      </c>
      <c r="L687" s="234"/>
      <c r="M687" s="241">
        <v>100</v>
      </c>
      <c r="N687" s="235" t="e">
        <f>(((I687+J687+K687+L687+M687)-C687*#REF!*2)/1000)</f>
        <v>#REF!</v>
      </c>
      <c r="O687" s="235"/>
      <c r="P687" s="200">
        <f t="shared" si="103"/>
        <v>0</v>
      </c>
      <c r="Q687" s="200" t="e">
        <f t="shared" si="104"/>
        <v>#REF!</v>
      </c>
      <c r="R687" s="200">
        <f t="shared" si="105"/>
        <v>0</v>
      </c>
      <c r="S687" s="200">
        <f t="shared" si="106"/>
        <v>0</v>
      </c>
      <c r="T687" s="200">
        <f t="shared" si="107"/>
        <v>0</v>
      </c>
      <c r="U687" s="688">
        <f t="shared" si="108"/>
        <v>0</v>
      </c>
      <c r="V687" s="200">
        <f t="shared" si="109"/>
        <v>0</v>
      </c>
      <c r="W687" s="689"/>
    </row>
    <row r="688" spans="1:23" s="236" customFormat="1" ht="24.95" hidden="1" customHeight="1" outlineLevel="1">
      <c r="A688" s="239"/>
      <c r="B688" s="239" t="s">
        <v>394</v>
      </c>
      <c r="C688" s="240">
        <v>8</v>
      </c>
      <c r="D688" s="690"/>
      <c r="E688" s="240"/>
      <c r="F688" s="836"/>
      <c r="G688" s="239">
        <v>8</v>
      </c>
      <c r="H688" s="203">
        <f>(K686/200)+1</f>
        <v>38.875</v>
      </c>
      <c r="I688" s="234"/>
      <c r="J688" s="234"/>
      <c r="K688" s="234">
        <v>820</v>
      </c>
      <c r="L688" s="234"/>
      <c r="M688" s="234"/>
      <c r="N688" s="235" t="e">
        <f>(((I688+J688+K688+L688+M688)-C688*#REF!*2)/1000)</f>
        <v>#REF!</v>
      </c>
      <c r="O688" s="235"/>
      <c r="P688" s="200" t="e">
        <f t="shared" si="103"/>
        <v>#REF!</v>
      </c>
      <c r="Q688" s="200">
        <f t="shared" si="104"/>
        <v>0</v>
      </c>
      <c r="R688" s="200">
        <f t="shared" si="105"/>
        <v>0</v>
      </c>
      <c r="S688" s="200">
        <f t="shared" si="106"/>
        <v>0</v>
      </c>
      <c r="T688" s="200">
        <f t="shared" si="107"/>
        <v>0</v>
      </c>
      <c r="U688" s="688">
        <f t="shared" si="108"/>
        <v>0</v>
      </c>
      <c r="V688" s="200">
        <f t="shared" si="109"/>
        <v>0</v>
      </c>
      <c r="W688" s="689"/>
    </row>
    <row r="689" spans="1:23" s="236" customFormat="1" ht="24.95" hidden="1" customHeight="1" outlineLevel="1">
      <c r="A689" s="239">
        <v>2</v>
      </c>
      <c r="B689" s="239" t="s">
        <v>392</v>
      </c>
      <c r="C689" s="240">
        <v>10</v>
      </c>
      <c r="D689" s="690"/>
      <c r="E689" s="240"/>
      <c r="F689" s="836"/>
      <c r="G689" s="239">
        <v>1</v>
      </c>
      <c r="H689" s="203">
        <v>2</v>
      </c>
      <c r="I689" s="241">
        <v>100</v>
      </c>
      <c r="J689" s="234"/>
      <c r="K689" s="234">
        <v>9900</v>
      </c>
      <c r="L689" s="234"/>
      <c r="M689" s="241">
        <v>100</v>
      </c>
      <c r="N689" s="235" t="e">
        <f>(((I689+J689+K689+L689+M689)-C689*#REF!*2)/1000)</f>
        <v>#REF!</v>
      </c>
      <c r="O689" s="235"/>
      <c r="P689" s="200">
        <f t="shared" si="103"/>
        <v>0</v>
      </c>
      <c r="Q689" s="200" t="e">
        <f t="shared" si="104"/>
        <v>#REF!</v>
      </c>
      <c r="R689" s="200">
        <f t="shared" si="105"/>
        <v>0</v>
      </c>
      <c r="S689" s="200">
        <f t="shared" si="106"/>
        <v>0</v>
      </c>
      <c r="T689" s="200">
        <f t="shared" si="107"/>
        <v>0</v>
      </c>
      <c r="U689" s="688">
        <f t="shared" si="108"/>
        <v>0</v>
      </c>
      <c r="V689" s="200">
        <f t="shared" si="109"/>
        <v>0</v>
      </c>
      <c r="W689" s="689"/>
    </row>
    <row r="690" spans="1:23" s="236" customFormat="1" ht="24.95" hidden="1" customHeight="1" outlineLevel="1">
      <c r="A690" s="239"/>
      <c r="B690" s="239" t="s">
        <v>393</v>
      </c>
      <c r="C690" s="240">
        <v>10</v>
      </c>
      <c r="D690" s="690"/>
      <c r="E690" s="240"/>
      <c r="F690" s="836"/>
      <c r="G690" s="239">
        <v>1</v>
      </c>
      <c r="H690" s="203">
        <v>2</v>
      </c>
      <c r="I690" s="241">
        <v>100</v>
      </c>
      <c r="J690" s="234"/>
      <c r="K690" s="234">
        <v>9900</v>
      </c>
      <c r="L690" s="234"/>
      <c r="M690" s="241">
        <v>100</v>
      </c>
      <c r="N690" s="235" t="e">
        <f>(((I690+J690+K690+L690+M690)-C690*#REF!*2)/1000)</f>
        <v>#REF!</v>
      </c>
      <c r="O690" s="235"/>
      <c r="P690" s="200">
        <f t="shared" si="103"/>
        <v>0</v>
      </c>
      <c r="Q690" s="200" t="e">
        <f t="shared" si="104"/>
        <v>#REF!</v>
      </c>
      <c r="R690" s="200">
        <f t="shared" si="105"/>
        <v>0</v>
      </c>
      <c r="S690" s="200">
        <f t="shared" si="106"/>
        <v>0</v>
      </c>
      <c r="T690" s="200">
        <f t="shared" si="107"/>
        <v>0</v>
      </c>
      <c r="U690" s="688">
        <f t="shared" si="108"/>
        <v>0</v>
      </c>
      <c r="V690" s="200">
        <f t="shared" si="109"/>
        <v>0</v>
      </c>
      <c r="W690" s="689"/>
    </row>
    <row r="691" spans="1:23" s="236" customFormat="1" ht="24.95" hidden="1" customHeight="1" outlineLevel="1">
      <c r="A691" s="239"/>
      <c r="B691" s="239" t="s">
        <v>394</v>
      </c>
      <c r="C691" s="240">
        <v>8</v>
      </c>
      <c r="D691" s="690"/>
      <c r="E691" s="240"/>
      <c r="F691" s="836"/>
      <c r="G691" s="239">
        <v>1</v>
      </c>
      <c r="H691" s="203">
        <f>(K689/200)+1</f>
        <v>50.5</v>
      </c>
      <c r="I691" s="234"/>
      <c r="J691" s="234"/>
      <c r="K691" s="234">
        <v>820</v>
      </c>
      <c r="L691" s="234"/>
      <c r="M691" s="234"/>
      <c r="N691" s="235" t="e">
        <f>(((I691+J691+K691+L691+M691)-C691*#REF!*2)/1000)</f>
        <v>#REF!</v>
      </c>
      <c r="O691" s="235"/>
      <c r="P691" s="200" t="e">
        <f t="shared" si="103"/>
        <v>#REF!</v>
      </c>
      <c r="Q691" s="200">
        <f t="shared" si="104"/>
        <v>0</v>
      </c>
      <c r="R691" s="200">
        <f t="shared" si="105"/>
        <v>0</v>
      </c>
      <c r="S691" s="200">
        <f t="shared" si="106"/>
        <v>0</v>
      </c>
      <c r="T691" s="200">
        <f t="shared" si="107"/>
        <v>0</v>
      </c>
      <c r="U691" s="688">
        <f t="shared" si="108"/>
        <v>0</v>
      </c>
      <c r="V691" s="200">
        <f t="shared" si="109"/>
        <v>0</v>
      </c>
      <c r="W691" s="689"/>
    </row>
    <row r="692" spans="1:23" s="236" customFormat="1" ht="24.95" hidden="1" customHeight="1" outlineLevel="1">
      <c r="A692" s="237">
        <v>11</v>
      </c>
      <c r="B692" s="238" t="s">
        <v>454</v>
      </c>
      <c r="C692" s="240"/>
      <c r="D692" s="690"/>
      <c r="E692" s="240"/>
      <c r="F692" s="836"/>
      <c r="G692" s="239"/>
      <c r="H692" s="203"/>
      <c r="I692" s="234"/>
      <c r="J692" s="234"/>
      <c r="K692" s="234"/>
      <c r="L692" s="234"/>
      <c r="M692" s="234"/>
      <c r="N692" s="235" t="e">
        <f>(((I692+J692+K692+L692+M692)-C692*#REF!*2)/1000)</f>
        <v>#REF!</v>
      </c>
      <c r="O692" s="235"/>
      <c r="P692" s="200">
        <f t="shared" si="103"/>
        <v>0</v>
      </c>
      <c r="Q692" s="200">
        <f t="shared" si="104"/>
        <v>0</v>
      </c>
      <c r="R692" s="200">
        <f t="shared" si="105"/>
        <v>0</v>
      </c>
      <c r="S692" s="200">
        <f t="shared" si="106"/>
        <v>0</v>
      </c>
      <c r="T692" s="200">
        <f t="shared" si="107"/>
        <v>0</v>
      </c>
      <c r="U692" s="688">
        <f t="shared" si="108"/>
        <v>0</v>
      </c>
      <c r="V692" s="200">
        <f t="shared" si="109"/>
        <v>0</v>
      </c>
      <c r="W692" s="689"/>
    </row>
    <row r="693" spans="1:23" s="236" customFormat="1" ht="24.95" hidden="1" customHeight="1" outlineLevel="1">
      <c r="A693" s="209" t="s">
        <v>455</v>
      </c>
      <c r="B693" s="209" t="s">
        <v>441</v>
      </c>
      <c r="C693" s="240"/>
      <c r="D693" s="690"/>
      <c r="E693" s="240"/>
      <c r="F693" s="836"/>
      <c r="G693" s="239"/>
      <c r="H693" s="203"/>
      <c r="I693" s="234"/>
      <c r="J693" s="234"/>
      <c r="K693" s="234"/>
      <c r="L693" s="234"/>
      <c r="M693" s="234"/>
      <c r="N693" s="235" t="e">
        <f>(((I693+J693+K693+L693+M693)-C693*#REF!*2)/1000)</f>
        <v>#REF!</v>
      </c>
      <c r="O693" s="235"/>
      <c r="P693" s="200">
        <f t="shared" si="103"/>
        <v>0</v>
      </c>
      <c r="Q693" s="200">
        <f t="shared" si="104"/>
        <v>0</v>
      </c>
      <c r="R693" s="200">
        <f t="shared" si="105"/>
        <v>0</v>
      </c>
      <c r="S693" s="200">
        <f t="shared" si="106"/>
        <v>0</v>
      </c>
      <c r="T693" s="200">
        <f t="shared" si="107"/>
        <v>0</v>
      </c>
      <c r="U693" s="688">
        <f t="shared" si="108"/>
        <v>0</v>
      </c>
      <c r="V693" s="200">
        <f t="shared" si="109"/>
        <v>0</v>
      </c>
      <c r="W693" s="689"/>
    </row>
    <row r="694" spans="1:23" s="236" customFormat="1" ht="24.95" hidden="1" customHeight="1" outlineLevel="1">
      <c r="A694" s="239"/>
      <c r="B694" s="211" t="s">
        <v>306</v>
      </c>
      <c r="C694" s="240"/>
      <c r="D694" s="690"/>
      <c r="E694" s="240"/>
      <c r="F694" s="836"/>
      <c r="G694" s="239"/>
      <c r="H694" s="203"/>
      <c r="I694" s="234"/>
      <c r="J694" s="234"/>
      <c r="K694" s="234"/>
      <c r="L694" s="234"/>
      <c r="M694" s="234"/>
      <c r="N694" s="235" t="e">
        <f>(((I694+J694+K694+L694+M694)-C694*#REF!*2)/1000)</f>
        <v>#REF!</v>
      </c>
      <c r="O694" s="235"/>
      <c r="P694" s="200">
        <f t="shared" si="103"/>
        <v>0</v>
      </c>
      <c r="Q694" s="200">
        <f t="shared" si="104"/>
        <v>0</v>
      </c>
      <c r="R694" s="200">
        <f t="shared" si="105"/>
        <v>0</v>
      </c>
      <c r="S694" s="200">
        <f t="shared" si="106"/>
        <v>0</v>
      </c>
      <c r="T694" s="200">
        <f t="shared" si="107"/>
        <v>0</v>
      </c>
      <c r="U694" s="688">
        <f t="shared" si="108"/>
        <v>0</v>
      </c>
      <c r="V694" s="200">
        <f t="shared" si="109"/>
        <v>0</v>
      </c>
      <c r="W694" s="689"/>
    </row>
    <row r="695" spans="1:23" s="236" customFormat="1" ht="24.95" hidden="1" customHeight="1" outlineLevel="1">
      <c r="A695" s="239">
        <v>1</v>
      </c>
      <c r="B695" s="239" t="s">
        <v>392</v>
      </c>
      <c r="C695" s="240">
        <v>10</v>
      </c>
      <c r="D695" s="690"/>
      <c r="E695" s="240"/>
      <c r="F695" s="836"/>
      <c r="G695" s="239">
        <v>1</v>
      </c>
      <c r="H695" s="203">
        <v>2</v>
      </c>
      <c r="I695" s="241">
        <v>100</v>
      </c>
      <c r="J695" s="234"/>
      <c r="K695" s="234">
        <v>31350</v>
      </c>
      <c r="L695" s="234"/>
      <c r="M695" s="241">
        <v>100</v>
      </c>
      <c r="N695" s="235" t="e">
        <f>(((I695+J695+K695+L695+M695)-C695*#REF!*2)/1000)</f>
        <v>#REF!</v>
      </c>
      <c r="O695" s="235"/>
      <c r="P695" s="200">
        <f t="shared" si="103"/>
        <v>0</v>
      </c>
      <c r="Q695" s="200" t="e">
        <f t="shared" si="104"/>
        <v>#REF!</v>
      </c>
      <c r="R695" s="200">
        <f t="shared" si="105"/>
        <v>0</v>
      </c>
      <c r="S695" s="200">
        <f t="shared" si="106"/>
        <v>0</v>
      </c>
      <c r="T695" s="200">
        <f t="shared" si="107"/>
        <v>0</v>
      </c>
      <c r="U695" s="688">
        <f t="shared" si="108"/>
        <v>0</v>
      </c>
      <c r="V695" s="200">
        <f t="shared" si="109"/>
        <v>0</v>
      </c>
      <c r="W695" s="689"/>
    </row>
    <row r="696" spans="1:23" s="236" customFormat="1" ht="24.95" hidden="1" customHeight="1" outlineLevel="1">
      <c r="A696" s="239"/>
      <c r="B696" s="239" t="s">
        <v>393</v>
      </c>
      <c r="C696" s="240">
        <v>10</v>
      </c>
      <c r="D696" s="690"/>
      <c r="E696" s="240"/>
      <c r="F696" s="836"/>
      <c r="G696" s="239">
        <v>1</v>
      </c>
      <c r="H696" s="203">
        <v>2</v>
      </c>
      <c r="I696" s="241">
        <v>100</v>
      </c>
      <c r="J696" s="234"/>
      <c r="K696" s="234">
        <v>31350</v>
      </c>
      <c r="L696" s="234"/>
      <c r="M696" s="241">
        <v>100</v>
      </c>
      <c r="N696" s="235" t="e">
        <f>(((I696+J696+K696+L696+M696)-C696*#REF!*2)/1000)</f>
        <v>#REF!</v>
      </c>
      <c r="O696" s="235"/>
      <c r="P696" s="200">
        <f t="shared" si="103"/>
        <v>0</v>
      </c>
      <c r="Q696" s="200" t="e">
        <f t="shared" si="104"/>
        <v>#REF!</v>
      </c>
      <c r="R696" s="200">
        <f t="shared" si="105"/>
        <v>0</v>
      </c>
      <c r="S696" s="200">
        <f t="shared" si="106"/>
        <v>0</v>
      </c>
      <c r="T696" s="200">
        <f t="shared" si="107"/>
        <v>0</v>
      </c>
      <c r="U696" s="688">
        <f t="shared" si="108"/>
        <v>0</v>
      </c>
      <c r="V696" s="200">
        <f t="shared" si="109"/>
        <v>0</v>
      </c>
      <c r="W696" s="689"/>
    </row>
    <row r="697" spans="1:23" s="236" customFormat="1" ht="24.95" hidden="1" customHeight="1" outlineLevel="1">
      <c r="A697" s="239"/>
      <c r="B697" s="239" t="s">
        <v>433</v>
      </c>
      <c r="C697" s="240">
        <v>10</v>
      </c>
      <c r="D697" s="690"/>
      <c r="E697" s="240"/>
      <c r="F697" s="836"/>
      <c r="G697" s="239">
        <v>2</v>
      </c>
      <c r="H697" s="203">
        <v>4</v>
      </c>
      <c r="I697" s="234"/>
      <c r="J697" s="234"/>
      <c r="K697" s="234">
        <v>500</v>
      </c>
      <c r="L697" s="234"/>
      <c r="M697" s="234"/>
      <c r="N697" s="235" t="e">
        <f>(((I697+J697+K697+L697+M697)-C697*#REF!*2)/1000)</f>
        <v>#REF!</v>
      </c>
      <c r="O697" s="235"/>
      <c r="P697" s="200">
        <f t="shared" si="103"/>
        <v>0</v>
      </c>
      <c r="Q697" s="200" t="e">
        <f t="shared" si="104"/>
        <v>#REF!</v>
      </c>
      <c r="R697" s="200">
        <f t="shared" si="105"/>
        <v>0</v>
      </c>
      <c r="S697" s="200">
        <f t="shared" si="106"/>
        <v>0</v>
      </c>
      <c r="T697" s="200">
        <f t="shared" si="107"/>
        <v>0</v>
      </c>
      <c r="U697" s="688">
        <f t="shared" si="108"/>
        <v>0</v>
      </c>
      <c r="V697" s="200">
        <f t="shared" si="109"/>
        <v>0</v>
      </c>
      <c r="W697" s="689"/>
    </row>
    <row r="698" spans="1:23" s="236" customFormat="1" ht="24.95" hidden="1" customHeight="1" outlineLevel="1">
      <c r="A698" s="239"/>
      <c r="B698" s="239" t="s">
        <v>394</v>
      </c>
      <c r="C698" s="240">
        <v>8</v>
      </c>
      <c r="D698" s="690"/>
      <c r="E698" s="240"/>
      <c r="F698" s="836"/>
      <c r="G698" s="239">
        <v>1</v>
      </c>
      <c r="H698" s="203">
        <f>(K695/200)+1</f>
        <v>157.75</v>
      </c>
      <c r="I698" s="234"/>
      <c r="J698" s="234"/>
      <c r="K698" s="234">
        <v>820</v>
      </c>
      <c r="L698" s="234"/>
      <c r="M698" s="234"/>
      <c r="N698" s="235" t="e">
        <f>(((I698+J698+K698+L698+M698)-C698*#REF!*2)/1000)</f>
        <v>#REF!</v>
      </c>
      <c r="O698" s="235"/>
      <c r="P698" s="200" t="e">
        <f t="shared" si="103"/>
        <v>#REF!</v>
      </c>
      <c r="Q698" s="200">
        <f t="shared" si="104"/>
        <v>0</v>
      </c>
      <c r="R698" s="200">
        <f t="shared" si="105"/>
        <v>0</v>
      </c>
      <c r="S698" s="200">
        <f t="shared" si="106"/>
        <v>0</v>
      </c>
      <c r="T698" s="200">
        <f t="shared" si="107"/>
        <v>0</v>
      </c>
      <c r="U698" s="688">
        <f t="shared" si="108"/>
        <v>0</v>
      </c>
      <c r="V698" s="200">
        <f t="shared" si="109"/>
        <v>0</v>
      </c>
      <c r="W698" s="689"/>
    </row>
    <row r="699" spans="1:23" s="236" customFormat="1" ht="24.95" hidden="1" customHeight="1" outlineLevel="1">
      <c r="A699" s="239"/>
      <c r="B699" s="211" t="s">
        <v>147</v>
      </c>
      <c r="C699" s="240"/>
      <c r="D699" s="690"/>
      <c r="E699" s="240"/>
      <c r="F699" s="836"/>
      <c r="G699" s="239"/>
      <c r="H699" s="203"/>
      <c r="I699" s="234"/>
      <c r="J699" s="234"/>
      <c r="K699" s="234"/>
      <c r="L699" s="234"/>
      <c r="M699" s="234"/>
      <c r="N699" s="235" t="e">
        <f>(((I699+J699+K699+L699+M699)-C699*#REF!*2)/1000)</f>
        <v>#REF!</v>
      </c>
      <c r="O699" s="235"/>
      <c r="P699" s="200">
        <f t="shared" si="103"/>
        <v>0</v>
      </c>
      <c r="Q699" s="200">
        <f t="shared" si="104"/>
        <v>0</v>
      </c>
      <c r="R699" s="200">
        <f t="shared" si="105"/>
        <v>0</v>
      </c>
      <c r="S699" s="200">
        <f t="shared" si="106"/>
        <v>0</v>
      </c>
      <c r="T699" s="200">
        <f t="shared" si="107"/>
        <v>0</v>
      </c>
      <c r="U699" s="688">
        <f t="shared" si="108"/>
        <v>0</v>
      </c>
      <c r="V699" s="200">
        <f t="shared" si="109"/>
        <v>0</v>
      </c>
      <c r="W699" s="689"/>
    </row>
    <row r="700" spans="1:23" s="236" customFormat="1" ht="24.95" hidden="1" customHeight="1" outlineLevel="1">
      <c r="A700" s="239">
        <v>1</v>
      </c>
      <c r="B700" s="239" t="s">
        <v>392</v>
      </c>
      <c r="C700" s="240">
        <v>10</v>
      </c>
      <c r="D700" s="690"/>
      <c r="E700" s="240"/>
      <c r="F700" s="836"/>
      <c r="G700" s="239">
        <v>1</v>
      </c>
      <c r="H700" s="203">
        <v>2</v>
      </c>
      <c r="I700" s="241">
        <v>100</v>
      </c>
      <c r="J700" s="234"/>
      <c r="K700" s="234">
        <v>42500</v>
      </c>
      <c r="L700" s="234"/>
      <c r="M700" s="241">
        <v>100</v>
      </c>
      <c r="N700" s="235" t="e">
        <f>(((I700+J700+K700+L700+M700)-C700*#REF!*2)/1000)</f>
        <v>#REF!</v>
      </c>
      <c r="O700" s="235"/>
      <c r="P700" s="200">
        <f t="shared" si="103"/>
        <v>0</v>
      </c>
      <c r="Q700" s="200" t="e">
        <f t="shared" si="104"/>
        <v>#REF!</v>
      </c>
      <c r="R700" s="200">
        <f t="shared" si="105"/>
        <v>0</v>
      </c>
      <c r="S700" s="200">
        <f t="shared" si="106"/>
        <v>0</v>
      </c>
      <c r="T700" s="200">
        <f t="shared" si="107"/>
        <v>0</v>
      </c>
      <c r="U700" s="688">
        <f t="shared" si="108"/>
        <v>0</v>
      </c>
      <c r="V700" s="200">
        <f t="shared" si="109"/>
        <v>0</v>
      </c>
      <c r="W700" s="689"/>
    </row>
    <row r="701" spans="1:23" s="236" customFormat="1" ht="24.95" hidden="1" customHeight="1" outlineLevel="1">
      <c r="A701" s="239"/>
      <c r="B701" s="239" t="s">
        <v>393</v>
      </c>
      <c r="C701" s="240">
        <v>10</v>
      </c>
      <c r="D701" s="690"/>
      <c r="E701" s="240"/>
      <c r="F701" s="836"/>
      <c r="G701" s="239">
        <v>1</v>
      </c>
      <c r="H701" s="203">
        <v>2</v>
      </c>
      <c r="I701" s="241">
        <v>100</v>
      </c>
      <c r="J701" s="234"/>
      <c r="K701" s="234">
        <v>42500</v>
      </c>
      <c r="L701" s="234"/>
      <c r="M701" s="241">
        <v>100</v>
      </c>
      <c r="N701" s="235" t="e">
        <f>(((I701+J701+K701+L701+M701)-C701*#REF!*2)/1000)</f>
        <v>#REF!</v>
      </c>
      <c r="O701" s="235"/>
      <c r="P701" s="200">
        <f t="shared" si="103"/>
        <v>0</v>
      </c>
      <c r="Q701" s="200" t="e">
        <f t="shared" si="104"/>
        <v>#REF!</v>
      </c>
      <c r="R701" s="200">
        <f t="shared" si="105"/>
        <v>0</v>
      </c>
      <c r="S701" s="200">
        <f t="shared" si="106"/>
        <v>0</v>
      </c>
      <c r="T701" s="200">
        <f t="shared" si="107"/>
        <v>0</v>
      </c>
      <c r="U701" s="688">
        <f t="shared" si="108"/>
        <v>0</v>
      </c>
      <c r="V701" s="200">
        <f t="shared" si="109"/>
        <v>0</v>
      </c>
      <c r="W701" s="689"/>
    </row>
    <row r="702" spans="1:23" s="236" customFormat="1" ht="24.95" hidden="1" customHeight="1" outlineLevel="1">
      <c r="A702" s="239"/>
      <c r="B702" s="239" t="s">
        <v>433</v>
      </c>
      <c r="C702" s="240">
        <v>10</v>
      </c>
      <c r="D702" s="690"/>
      <c r="E702" s="240"/>
      <c r="F702" s="836"/>
      <c r="G702" s="239">
        <v>3</v>
      </c>
      <c r="H702" s="203">
        <v>4</v>
      </c>
      <c r="I702" s="234"/>
      <c r="J702" s="234"/>
      <c r="K702" s="234">
        <v>500</v>
      </c>
      <c r="L702" s="234"/>
      <c r="M702" s="234"/>
      <c r="N702" s="235" t="e">
        <f>(((I702+J702+K702+L702+M702)-C702*#REF!*2)/1000)</f>
        <v>#REF!</v>
      </c>
      <c r="O702" s="235"/>
      <c r="P702" s="200">
        <f t="shared" si="103"/>
        <v>0</v>
      </c>
      <c r="Q702" s="200" t="e">
        <f t="shared" si="104"/>
        <v>#REF!</v>
      </c>
      <c r="R702" s="200">
        <f t="shared" si="105"/>
        <v>0</v>
      </c>
      <c r="S702" s="200">
        <f t="shared" si="106"/>
        <v>0</v>
      </c>
      <c r="T702" s="200">
        <f t="shared" si="107"/>
        <v>0</v>
      </c>
      <c r="U702" s="688">
        <f t="shared" si="108"/>
        <v>0</v>
      </c>
      <c r="V702" s="200">
        <f t="shared" si="109"/>
        <v>0</v>
      </c>
      <c r="W702" s="689"/>
    </row>
    <row r="703" spans="1:23" s="236" customFormat="1" ht="24.95" hidden="1" customHeight="1" outlineLevel="1">
      <c r="A703" s="239"/>
      <c r="B703" s="239" t="s">
        <v>394</v>
      </c>
      <c r="C703" s="240">
        <v>8</v>
      </c>
      <c r="D703" s="690"/>
      <c r="E703" s="240"/>
      <c r="F703" s="836"/>
      <c r="G703" s="239">
        <v>1</v>
      </c>
      <c r="H703" s="203">
        <f>(K700/200)+1</f>
        <v>213.5</v>
      </c>
      <c r="I703" s="234"/>
      <c r="J703" s="234"/>
      <c r="K703" s="234">
        <v>820</v>
      </c>
      <c r="L703" s="234"/>
      <c r="M703" s="234"/>
      <c r="N703" s="235" t="e">
        <f>(((I703+J703+K703+L703+M703)-C703*#REF!*2)/1000)</f>
        <v>#REF!</v>
      </c>
      <c r="O703" s="235"/>
      <c r="P703" s="200" t="e">
        <f t="shared" si="103"/>
        <v>#REF!</v>
      </c>
      <c r="Q703" s="200">
        <f t="shared" si="104"/>
        <v>0</v>
      </c>
      <c r="R703" s="200">
        <f t="shared" si="105"/>
        <v>0</v>
      </c>
      <c r="S703" s="200">
        <f t="shared" si="106"/>
        <v>0</v>
      </c>
      <c r="T703" s="200">
        <f t="shared" si="107"/>
        <v>0</v>
      </c>
      <c r="U703" s="688">
        <f t="shared" si="108"/>
        <v>0</v>
      </c>
      <c r="V703" s="200">
        <f t="shared" si="109"/>
        <v>0</v>
      </c>
      <c r="W703" s="689"/>
    </row>
    <row r="704" spans="1:23" s="236" customFormat="1" ht="24.95" hidden="1" customHeight="1" outlineLevel="1">
      <c r="A704" s="237">
        <v>12</v>
      </c>
      <c r="B704" s="238" t="s">
        <v>454</v>
      </c>
      <c r="C704" s="240"/>
      <c r="D704" s="690"/>
      <c r="E704" s="240"/>
      <c r="F704" s="836"/>
      <c r="G704" s="239"/>
      <c r="H704" s="203"/>
      <c r="I704" s="234"/>
      <c r="J704" s="234"/>
      <c r="K704" s="234"/>
      <c r="L704" s="234"/>
      <c r="M704" s="234"/>
      <c r="N704" s="235" t="e">
        <f>(((I704+J704+K704+L704+M704)-C704*#REF!*2)/1000)</f>
        <v>#REF!</v>
      </c>
      <c r="O704" s="235"/>
      <c r="P704" s="200">
        <f t="shared" si="103"/>
        <v>0</v>
      </c>
      <c r="Q704" s="200">
        <f t="shared" si="104"/>
        <v>0</v>
      </c>
      <c r="R704" s="200">
        <f t="shared" si="105"/>
        <v>0</v>
      </c>
      <c r="S704" s="200">
        <f t="shared" si="106"/>
        <v>0</v>
      </c>
      <c r="T704" s="200">
        <f t="shared" si="107"/>
        <v>0</v>
      </c>
      <c r="U704" s="688">
        <f t="shared" si="108"/>
        <v>0</v>
      </c>
      <c r="V704" s="200">
        <f t="shared" si="109"/>
        <v>0</v>
      </c>
      <c r="W704" s="689"/>
    </row>
    <row r="705" spans="1:24" s="236" customFormat="1" ht="24.95" hidden="1" customHeight="1" outlineLevel="1">
      <c r="A705" s="209" t="s">
        <v>456</v>
      </c>
      <c r="B705" s="209" t="s">
        <v>441</v>
      </c>
      <c r="C705" s="240"/>
      <c r="D705" s="690"/>
      <c r="E705" s="240"/>
      <c r="F705" s="836"/>
      <c r="G705" s="239"/>
      <c r="H705" s="203"/>
      <c r="I705" s="234"/>
      <c r="J705" s="234"/>
      <c r="K705" s="234"/>
      <c r="L705" s="234"/>
      <c r="M705" s="234"/>
      <c r="N705" s="235" t="e">
        <f>(((I705+J705+K705+L705+M705)-C705*#REF!*2)/1000)</f>
        <v>#REF!</v>
      </c>
      <c r="O705" s="235"/>
      <c r="P705" s="200">
        <f t="shared" si="103"/>
        <v>0</v>
      </c>
      <c r="Q705" s="200">
        <f t="shared" si="104"/>
        <v>0</v>
      </c>
      <c r="R705" s="200">
        <f t="shared" si="105"/>
        <v>0</v>
      </c>
      <c r="S705" s="200">
        <f t="shared" si="106"/>
        <v>0</v>
      </c>
      <c r="T705" s="200">
        <f t="shared" si="107"/>
        <v>0</v>
      </c>
      <c r="U705" s="688">
        <f t="shared" si="108"/>
        <v>0</v>
      </c>
      <c r="V705" s="200">
        <f t="shared" si="109"/>
        <v>0</v>
      </c>
      <c r="W705" s="689"/>
    </row>
    <row r="706" spans="1:24" s="236" customFormat="1" ht="24.95" hidden="1" customHeight="1" outlineLevel="1">
      <c r="A706" s="239" t="s">
        <v>457</v>
      </c>
      <c r="B706" s="211" t="s">
        <v>458</v>
      </c>
      <c r="C706" s="240"/>
      <c r="D706" s="690"/>
      <c r="E706" s="240"/>
      <c r="F706" s="836"/>
      <c r="G706" s="239"/>
      <c r="H706" s="203"/>
      <c r="I706" s="234"/>
      <c r="J706" s="234"/>
      <c r="K706" s="234"/>
      <c r="L706" s="234"/>
      <c r="M706" s="234"/>
      <c r="N706" s="235" t="e">
        <f>(((I706+J706+K706+L706+M706)-C706*#REF!*2)/1000)</f>
        <v>#REF!</v>
      </c>
      <c r="O706" s="235"/>
      <c r="P706" s="200">
        <f t="shared" si="103"/>
        <v>0</v>
      </c>
      <c r="Q706" s="200">
        <f t="shared" si="104"/>
        <v>0</v>
      </c>
      <c r="R706" s="200">
        <f t="shared" si="105"/>
        <v>0</v>
      </c>
      <c r="S706" s="200">
        <f t="shared" si="106"/>
        <v>0</v>
      </c>
      <c r="T706" s="200">
        <f t="shared" si="107"/>
        <v>0</v>
      </c>
      <c r="U706" s="688">
        <f t="shared" si="108"/>
        <v>0</v>
      </c>
      <c r="V706" s="200">
        <f t="shared" si="109"/>
        <v>0</v>
      </c>
      <c r="W706" s="689"/>
    </row>
    <row r="707" spans="1:24" s="236" customFormat="1" ht="24.95" hidden="1" customHeight="1" outlineLevel="1">
      <c r="A707" s="239">
        <v>1</v>
      </c>
      <c r="B707" s="239" t="s">
        <v>392</v>
      </c>
      <c r="C707" s="240">
        <v>10</v>
      </c>
      <c r="D707" s="690"/>
      <c r="E707" s="240"/>
      <c r="F707" s="836"/>
      <c r="G707" s="239">
        <v>2</v>
      </c>
      <c r="H707" s="203">
        <v>2</v>
      </c>
      <c r="I707" s="241">
        <v>100</v>
      </c>
      <c r="J707" s="234"/>
      <c r="K707" s="234">
        <v>29730</v>
      </c>
      <c r="L707" s="234"/>
      <c r="M707" s="241">
        <v>100</v>
      </c>
      <c r="N707" s="235" t="e">
        <f>(((I707+J707+K707+L707+M707)-C707*#REF!*2)/1000)</f>
        <v>#REF!</v>
      </c>
      <c r="O707" s="235"/>
      <c r="P707" s="200">
        <f t="shared" si="103"/>
        <v>0</v>
      </c>
      <c r="Q707" s="200" t="e">
        <f t="shared" si="104"/>
        <v>#REF!</v>
      </c>
      <c r="R707" s="200">
        <f t="shared" si="105"/>
        <v>0</v>
      </c>
      <c r="S707" s="200">
        <f t="shared" si="106"/>
        <v>0</v>
      </c>
      <c r="T707" s="200">
        <f t="shared" si="107"/>
        <v>0</v>
      </c>
      <c r="U707" s="688">
        <f t="shared" si="108"/>
        <v>0</v>
      </c>
      <c r="V707" s="200">
        <f t="shared" si="109"/>
        <v>0</v>
      </c>
      <c r="W707" s="689"/>
    </row>
    <row r="708" spans="1:24" s="236" customFormat="1" ht="24.95" hidden="1" customHeight="1" outlineLevel="1">
      <c r="A708" s="239"/>
      <c r="B708" s="239" t="s">
        <v>393</v>
      </c>
      <c r="C708" s="240">
        <v>10</v>
      </c>
      <c r="D708" s="690"/>
      <c r="E708" s="240"/>
      <c r="F708" s="836"/>
      <c r="G708" s="239">
        <v>2</v>
      </c>
      <c r="H708" s="203">
        <v>2</v>
      </c>
      <c r="I708" s="241">
        <v>100</v>
      </c>
      <c r="J708" s="234"/>
      <c r="K708" s="234">
        <v>29730</v>
      </c>
      <c r="L708" s="234"/>
      <c r="M708" s="241">
        <v>100</v>
      </c>
      <c r="N708" s="235" t="e">
        <f>(((I708+J708+K708+L708+M708)-C708*#REF!*2)/1000)</f>
        <v>#REF!</v>
      </c>
      <c r="O708" s="235"/>
      <c r="P708" s="200">
        <f t="shared" si="103"/>
        <v>0</v>
      </c>
      <c r="Q708" s="200" t="e">
        <f t="shared" si="104"/>
        <v>#REF!</v>
      </c>
      <c r="R708" s="200">
        <f t="shared" si="105"/>
        <v>0</v>
      </c>
      <c r="S708" s="200">
        <f t="shared" si="106"/>
        <v>0</v>
      </c>
      <c r="T708" s="200">
        <f t="shared" si="107"/>
        <v>0</v>
      </c>
      <c r="U708" s="688">
        <f t="shared" si="108"/>
        <v>0</v>
      </c>
      <c r="V708" s="200">
        <f t="shared" si="109"/>
        <v>0</v>
      </c>
      <c r="W708" s="689"/>
    </row>
    <row r="709" spans="1:24" s="236" customFormat="1" ht="24.95" hidden="1" customHeight="1" outlineLevel="1">
      <c r="A709" s="239"/>
      <c r="B709" s="239" t="s">
        <v>433</v>
      </c>
      <c r="C709" s="240">
        <v>10</v>
      </c>
      <c r="D709" s="690"/>
      <c r="E709" s="240"/>
      <c r="F709" s="836"/>
      <c r="G709" s="239">
        <v>4</v>
      </c>
      <c r="H709" s="203">
        <v>4</v>
      </c>
      <c r="I709" s="234"/>
      <c r="J709" s="234"/>
      <c r="K709" s="234">
        <v>500</v>
      </c>
      <c r="L709" s="234"/>
      <c r="M709" s="234"/>
      <c r="N709" s="235" t="e">
        <f>(((I709+J709+K709+L709+M709)-C709*#REF!*2)/1000)</f>
        <v>#REF!</v>
      </c>
      <c r="O709" s="235"/>
      <c r="P709" s="200">
        <f t="shared" si="103"/>
        <v>0</v>
      </c>
      <c r="Q709" s="200" t="e">
        <f t="shared" si="104"/>
        <v>#REF!</v>
      </c>
      <c r="R709" s="200">
        <f t="shared" si="105"/>
        <v>0</v>
      </c>
      <c r="S709" s="200">
        <f t="shared" si="106"/>
        <v>0</v>
      </c>
      <c r="T709" s="200">
        <f t="shared" si="107"/>
        <v>0</v>
      </c>
      <c r="U709" s="688">
        <f t="shared" si="108"/>
        <v>0</v>
      </c>
      <c r="V709" s="200">
        <f t="shared" si="109"/>
        <v>0</v>
      </c>
      <c r="W709" s="689"/>
    </row>
    <row r="710" spans="1:24" s="236" customFormat="1" ht="24.95" hidden="1" customHeight="1" outlineLevel="1">
      <c r="A710" s="239"/>
      <c r="B710" s="239" t="s">
        <v>394</v>
      </c>
      <c r="C710" s="240">
        <v>8</v>
      </c>
      <c r="D710" s="690"/>
      <c r="E710" s="240"/>
      <c r="F710" s="836"/>
      <c r="G710" s="239">
        <v>2</v>
      </c>
      <c r="H710" s="203">
        <f>(K707/200)+1</f>
        <v>149.65</v>
      </c>
      <c r="I710" s="234"/>
      <c r="J710" s="234"/>
      <c r="K710" s="234">
        <v>820</v>
      </c>
      <c r="L710" s="234"/>
      <c r="M710" s="234"/>
      <c r="N710" s="235" t="e">
        <f>(((I710+J710+K710+L710+M710)-C710*#REF!*2)/1000)</f>
        <v>#REF!</v>
      </c>
      <c r="O710" s="235"/>
      <c r="P710" s="200" t="e">
        <f t="shared" si="103"/>
        <v>#REF!</v>
      </c>
      <c r="Q710" s="200">
        <f t="shared" si="104"/>
        <v>0</v>
      </c>
      <c r="R710" s="200">
        <f t="shared" si="105"/>
        <v>0</v>
      </c>
      <c r="S710" s="200">
        <f t="shared" si="106"/>
        <v>0</v>
      </c>
      <c r="T710" s="200">
        <f t="shared" si="107"/>
        <v>0</v>
      </c>
      <c r="U710" s="688">
        <f t="shared" si="108"/>
        <v>0</v>
      </c>
      <c r="V710" s="200">
        <f t="shared" si="109"/>
        <v>0</v>
      </c>
      <c r="W710" s="689"/>
    </row>
    <row r="711" spans="1:24" s="236" customFormat="1" ht="24.95" hidden="1" customHeight="1" outlineLevel="1">
      <c r="A711" s="239">
        <v>2</v>
      </c>
      <c r="B711" s="239" t="s">
        <v>392</v>
      </c>
      <c r="C711" s="240">
        <v>10</v>
      </c>
      <c r="D711" s="690"/>
      <c r="E711" s="240"/>
      <c r="F711" s="836"/>
      <c r="G711" s="239">
        <v>2</v>
      </c>
      <c r="H711" s="203">
        <v>2</v>
      </c>
      <c r="I711" s="241">
        <v>100</v>
      </c>
      <c r="J711" s="234"/>
      <c r="K711" s="234">
        <v>1080</v>
      </c>
      <c r="L711" s="234"/>
      <c r="M711" s="241">
        <v>100</v>
      </c>
      <c r="N711" s="235" t="e">
        <f>(((I711+J711+K711+L711+M711)-C711*#REF!*2)/1000)</f>
        <v>#REF!</v>
      </c>
      <c r="O711" s="235"/>
      <c r="P711" s="200">
        <f t="shared" si="103"/>
        <v>0</v>
      </c>
      <c r="Q711" s="200" t="e">
        <f t="shared" si="104"/>
        <v>#REF!</v>
      </c>
      <c r="R711" s="200">
        <f t="shared" si="105"/>
        <v>0</v>
      </c>
      <c r="S711" s="200">
        <f t="shared" si="106"/>
        <v>0</v>
      </c>
      <c r="T711" s="200">
        <f t="shared" si="107"/>
        <v>0</v>
      </c>
      <c r="U711" s="688">
        <f t="shared" si="108"/>
        <v>0</v>
      </c>
      <c r="V711" s="200">
        <f t="shared" si="109"/>
        <v>0</v>
      </c>
      <c r="W711" s="689"/>
    </row>
    <row r="712" spans="1:24" s="236" customFormat="1" ht="24.95" hidden="1" customHeight="1" outlineLevel="1">
      <c r="A712" s="239"/>
      <c r="B712" s="239" t="s">
        <v>393</v>
      </c>
      <c r="C712" s="240">
        <v>10</v>
      </c>
      <c r="D712" s="690"/>
      <c r="E712" s="240"/>
      <c r="F712" s="836"/>
      <c r="G712" s="239">
        <v>2</v>
      </c>
      <c r="H712" s="203">
        <v>2</v>
      </c>
      <c r="I712" s="241">
        <v>100</v>
      </c>
      <c r="J712" s="234"/>
      <c r="K712" s="234">
        <v>1080</v>
      </c>
      <c r="L712" s="234"/>
      <c r="M712" s="241">
        <v>100</v>
      </c>
      <c r="N712" s="235" t="e">
        <f>(((I712+J712+K712+L712+M712)-C712*#REF!*2)/1000)</f>
        <v>#REF!</v>
      </c>
      <c r="O712" s="235"/>
      <c r="P712" s="200">
        <f t="shared" si="103"/>
        <v>0</v>
      </c>
      <c r="Q712" s="200" t="e">
        <f t="shared" si="104"/>
        <v>#REF!</v>
      </c>
      <c r="R712" s="200">
        <f t="shared" si="105"/>
        <v>0</v>
      </c>
      <c r="S712" s="200">
        <f t="shared" si="106"/>
        <v>0</v>
      </c>
      <c r="T712" s="200">
        <f t="shared" si="107"/>
        <v>0</v>
      </c>
      <c r="U712" s="688">
        <f t="shared" si="108"/>
        <v>0</v>
      </c>
      <c r="V712" s="200">
        <f t="shared" si="109"/>
        <v>0</v>
      </c>
      <c r="W712" s="689"/>
    </row>
    <row r="713" spans="1:24" s="236" customFormat="1" ht="24.95" hidden="1" customHeight="1" outlineLevel="1">
      <c r="A713" s="239"/>
      <c r="B713" s="239" t="s">
        <v>394</v>
      </c>
      <c r="C713" s="240">
        <v>8</v>
      </c>
      <c r="D713" s="690"/>
      <c r="E713" s="240"/>
      <c r="F713" s="836"/>
      <c r="G713" s="239">
        <v>2</v>
      </c>
      <c r="H713" s="203">
        <f>(K711/200)+1</f>
        <v>6.4</v>
      </c>
      <c r="I713" s="234"/>
      <c r="J713" s="234"/>
      <c r="K713" s="234">
        <v>820</v>
      </c>
      <c r="L713" s="234"/>
      <c r="M713" s="234"/>
      <c r="N713" s="235" t="e">
        <f>(((I713+J713+K713+L713+M713)-C713*#REF!*2)/1000)</f>
        <v>#REF!</v>
      </c>
      <c r="O713" s="235"/>
      <c r="P713" s="200" t="e">
        <f t="shared" si="103"/>
        <v>#REF!</v>
      </c>
      <c r="Q713" s="200">
        <f t="shared" si="104"/>
        <v>0</v>
      </c>
      <c r="R713" s="200">
        <f t="shared" si="105"/>
        <v>0</v>
      </c>
      <c r="S713" s="200">
        <f t="shared" si="106"/>
        <v>0</v>
      </c>
      <c r="T713" s="200">
        <f t="shared" si="107"/>
        <v>0</v>
      </c>
      <c r="U713" s="688">
        <f t="shared" si="108"/>
        <v>0</v>
      </c>
      <c r="V713" s="200">
        <f t="shared" si="109"/>
        <v>0</v>
      </c>
      <c r="W713" s="689"/>
      <c r="X713" s="236">
        <v>12</v>
      </c>
    </row>
    <row r="714" spans="1:24" s="236" customFormat="1" ht="24.95" hidden="1" customHeight="1" outlineLevel="1">
      <c r="A714" s="239" t="s">
        <v>459</v>
      </c>
      <c r="B714" s="211" t="s">
        <v>460</v>
      </c>
      <c r="C714" s="240"/>
      <c r="D714" s="690"/>
      <c r="E714" s="240"/>
      <c r="F714" s="836"/>
      <c r="G714" s="239"/>
      <c r="H714" s="203"/>
      <c r="I714" s="234"/>
      <c r="J714" s="234"/>
      <c r="K714" s="234"/>
      <c r="L714" s="234"/>
      <c r="M714" s="234"/>
      <c r="N714" s="235" t="e">
        <f>(((I714+J714+K714+L714+M714)-C714*#REF!*2)/1000)</f>
        <v>#REF!</v>
      </c>
      <c r="O714" s="235"/>
      <c r="P714" s="200">
        <f t="shared" si="103"/>
        <v>0</v>
      </c>
      <c r="Q714" s="200">
        <f t="shared" si="104"/>
        <v>0</v>
      </c>
      <c r="R714" s="200">
        <f t="shared" si="105"/>
        <v>0</v>
      </c>
      <c r="S714" s="200">
        <f t="shared" si="106"/>
        <v>0</v>
      </c>
      <c r="T714" s="200">
        <f t="shared" si="107"/>
        <v>0</v>
      </c>
      <c r="U714" s="688">
        <f t="shared" si="108"/>
        <v>0</v>
      </c>
      <c r="V714" s="200">
        <f t="shared" si="109"/>
        <v>0</v>
      </c>
      <c r="W714" s="689"/>
    </row>
    <row r="715" spans="1:24" s="236" customFormat="1" ht="24.95" hidden="1" customHeight="1" outlineLevel="1">
      <c r="A715" s="239">
        <v>1</v>
      </c>
      <c r="B715" s="239" t="s">
        <v>392</v>
      </c>
      <c r="C715" s="240">
        <v>10</v>
      </c>
      <c r="D715" s="690"/>
      <c r="E715" s="240"/>
      <c r="F715" s="836"/>
      <c r="G715" s="239">
        <v>2</v>
      </c>
      <c r="H715" s="203">
        <v>2</v>
      </c>
      <c r="I715" s="241">
        <v>100</v>
      </c>
      <c r="J715" s="234"/>
      <c r="K715" s="234">
        <v>5505</v>
      </c>
      <c r="L715" s="234"/>
      <c r="M715" s="241">
        <v>100</v>
      </c>
      <c r="N715" s="235" t="e">
        <f>(((I715+J715+K715+L715+M715)-C715*#REF!*2)/1000)</f>
        <v>#REF!</v>
      </c>
      <c r="O715" s="235"/>
      <c r="P715" s="200">
        <f t="shared" ref="P715:P780" si="110">+IF(C715=8,G715*H715*N715,0)</f>
        <v>0</v>
      </c>
      <c r="Q715" s="200" t="e">
        <f t="shared" ref="Q715:Q780" si="111">+IF(C715=10,G715*H715*N715,0)</f>
        <v>#REF!</v>
      </c>
      <c r="R715" s="200">
        <f t="shared" ref="R715:R780" si="112">+IF(C715=12,G715*H715*N715,0)</f>
        <v>0</v>
      </c>
      <c r="S715" s="200">
        <f t="shared" ref="S715:S780" si="113">+IF(C715=16,G715*H715*N715,0)</f>
        <v>0</v>
      </c>
      <c r="T715" s="200">
        <f t="shared" ref="T715:T780" si="114">+IF(C715=20,G715*H715*N715,0)</f>
        <v>0</v>
      </c>
      <c r="U715" s="688">
        <f t="shared" ref="U715:U780" si="115">+IF(C715=25,G715*H715*N715,0)</f>
        <v>0</v>
      </c>
      <c r="V715" s="200">
        <f t="shared" ref="V715:V780" si="116">+IF(C715=32,G715*H715*N715,0)</f>
        <v>0</v>
      </c>
      <c r="W715" s="689"/>
    </row>
    <row r="716" spans="1:24" s="236" customFormat="1" ht="24.95" hidden="1" customHeight="1" outlineLevel="1">
      <c r="A716" s="239"/>
      <c r="B716" s="239" t="s">
        <v>393</v>
      </c>
      <c r="C716" s="240">
        <v>10</v>
      </c>
      <c r="D716" s="690"/>
      <c r="E716" s="240"/>
      <c r="F716" s="836"/>
      <c r="G716" s="239">
        <v>2</v>
      </c>
      <c r="H716" s="203">
        <v>2</v>
      </c>
      <c r="I716" s="241">
        <v>100</v>
      </c>
      <c r="J716" s="234"/>
      <c r="K716" s="234">
        <v>5505</v>
      </c>
      <c r="L716" s="234"/>
      <c r="M716" s="241">
        <v>100</v>
      </c>
      <c r="N716" s="235" t="e">
        <f>(((I716+J716+K716+L716+M716)-C716*#REF!*2)/1000)</f>
        <v>#REF!</v>
      </c>
      <c r="O716" s="235"/>
      <c r="P716" s="200">
        <f t="shared" si="110"/>
        <v>0</v>
      </c>
      <c r="Q716" s="200" t="e">
        <f t="shared" si="111"/>
        <v>#REF!</v>
      </c>
      <c r="R716" s="200">
        <f t="shared" si="112"/>
        <v>0</v>
      </c>
      <c r="S716" s="200">
        <f t="shared" si="113"/>
        <v>0</v>
      </c>
      <c r="T716" s="200">
        <f t="shared" si="114"/>
        <v>0</v>
      </c>
      <c r="U716" s="688">
        <f t="shared" si="115"/>
        <v>0</v>
      </c>
      <c r="V716" s="200">
        <f t="shared" si="116"/>
        <v>0</v>
      </c>
      <c r="W716" s="689"/>
    </row>
    <row r="717" spans="1:24" s="236" customFormat="1" ht="24.95" hidden="1" customHeight="1" outlineLevel="1">
      <c r="A717" s="239"/>
      <c r="B717" s="239" t="s">
        <v>394</v>
      </c>
      <c r="C717" s="240">
        <v>8</v>
      </c>
      <c r="D717" s="690"/>
      <c r="E717" s="240"/>
      <c r="F717" s="836"/>
      <c r="G717" s="239">
        <v>2</v>
      </c>
      <c r="H717" s="203">
        <f>(K715/200)+1</f>
        <v>28.524999999999999</v>
      </c>
      <c r="I717" s="234"/>
      <c r="J717" s="234"/>
      <c r="K717" s="234">
        <v>820</v>
      </c>
      <c r="L717" s="234"/>
      <c r="M717" s="234"/>
      <c r="N717" s="235" t="e">
        <f>(((I717+J717+K717+L717+M717)-C717*#REF!*2)/1000)</f>
        <v>#REF!</v>
      </c>
      <c r="O717" s="235"/>
      <c r="P717" s="200" t="e">
        <f t="shared" si="110"/>
        <v>#REF!</v>
      </c>
      <c r="Q717" s="200">
        <f t="shared" si="111"/>
        <v>0</v>
      </c>
      <c r="R717" s="200">
        <f t="shared" si="112"/>
        <v>0</v>
      </c>
      <c r="S717" s="200">
        <f t="shared" si="113"/>
        <v>0</v>
      </c>
      <c r="T717" s="200">
        <f t="shared" si="114"/>
        <v>0</v>
      </c>
      <c r="U717" s="688">
        <f t="shared" si="115"/>
        <v>0</v>
      </c>
      <c r="V717" s="200">
        <f t="shared" si="116"/>
        <v>0</v>
      </c>
      <c r="W717" s="689"/>
    </row>
    <row r="718" spans="1:24" s="236" customFormat="1" ht="24.95" hidden="1" customHeight="1" outlineLevel="1">
      <c r="A718" s="239">
        <v>2</v>
      </c>
      <c r="B718" s="239" t="s">
        <v>392</v>
      </c>
      <c r="C718" s="240">
        <v>10</v>
      </c>
      <c r="D718" s="690"/>
      <c r="E718" s="240"/>
      <c r="F718" s="836"/>
      <c r="G718" s="239">
        <v>2</v>
      </c>
      <c r="H718" s="203">
        <v>2</v>
      </c>
      <c r="I718" s="241">
        <v>100</v>
      </c>
      <c r="J718" s="234"/>
      <c r="K718" s="234">
        <v>1675</v>
      </c>
      <c r="L718" s="234"/>
      <c r="M718" s="241">
        <v>100</v>
      </c>
      <c r="N718" s="235" t="e">
        <f>(((I718+J718+K718+L718+M718)-C718*#REF!*2)/1000)</f>
        <v>#REF!</v>
      </c>
      <c r="O718" s="235"/>
      <c r="P718" s="200">
        <f t="shared" si="110"/>
        <v>0</v>
      </c>
      <c r="Q718" s="200" t="e">
        <f t="shared" si="111"/>
        <v>#REF!</v>
      </c>
      <c r="R718" s="200">
        <f t="shared" si="112"/>
        <v>0</v>
      </c>
      <c r="S718" s="200">
        <f t="shared" si="113"/>
        <v>0</v>
      </c>
      <c r="T718" s="200">
        <f t="shared" si="114"/>
        <v>0</v>
      </c>
      <c r="U718" s="688">
        <f t="shared" si="115"/>
        <v>0</v>
      </c>
      <c r="V718" s="200">
        <f t="shared" si="116"/>
        <v>0</v>
      </c>
      <c r="W718" s="689"/>
    </row>
    <row r="719" spans="1:24" s="236" customFormat="1" ht="24.95" hidden="1" customHeight="1" outlineLevel="1">
      <c r="A719" s="239"/>
      <c r="B719" s="239" t="s">
        <v>393</v>
      </c>
      <c r="C719" s="240">
        <v>10</v>
      </c>
      <c r="D719" s="690"/>
      <c r="E719" s="240"/>
      <c r="F719" s="836"/>
      <c r="G719" s="239">
        <v>2</v>
      </c>
      <c r="H719" s="203">
        <v>2</v>
      </c>
      <c r="I719" s="241">
        <v>100</v>
      </c>
      <c r="J719" s="234"/>
      <c r="K719" s="234">
        <v>1675</v>
      </c>
      <c r="L719" s="234"/>
      <c r="M719" s="241">
        <v>100</v>
      </c>
      <c r="N719" s="235" t="e">
        <f>(((I719+J719+K719+L719+M719)-C719*#REF!*2)/1000)</f>
        <v>#REF!</v>
      </c>
      <c r="O719" s="235"/>
      <c r="P719" s="200">
        <f t="shared" si="110"/>
        <v>0</v>
      </c>
      <c r="Q719" s="200" t="e">
        <f t="shared" si="111"/>
        <v>#REF!</v>
      </c>
      <c r="R719" s="200">
        <f t="shared" si="112"/>
        <v>0</v>
      </c>
      <c r="S719" s="200">
        <f t="shared" si="113"/>
        <v>0</v>
      </c>
      <c r="T719" s="200">
        <f t="shared" si="114"/>
        <v>0</v>
      </c>
      <c r="U719" s="688">
        <f t="shared" si="115"/>
        <v>0</v>
      </c>
      <c r="V719" s="200">
        <f t="shared" si="116"/>
        <v>0</v>
      </c>
      <c r="W719" s="689"/>
    </row>
    <row r="720" spans="1:24" s="236" customFormat="1" ht="24.95" hidden="1" customHeight="1" outlineLevel="1">
      <c r="A720" s="239"/>
      <c r="B720" s="239" t="s">
        <v>394</v>
      </c>
      <c r="C720" s="240">
        <v>8</v>
      </c>
      <c r="D720" s="690"/>
      <c r="E720" s="240"/>
      <c r="F720" s="836"/>
      <c r="G720" s="239">
        <v>2</v>
      </c>
      <c r="H720" s="203">
        <f>(K718/200)+1</f>
        <v>9.375</v>
      </c>
      <c r="I720" s="234"/>
      <c r="J720" s="234"/>
      <c r="K720" s="234">
        <v>820</v>
      </c>
      <c r="L720" s="234"/>
      <c r="M720" s="234"/>
      <c r="N720" s="235" t="e">
        <f>(((I720+J720+K720+L720+M720)-C720*#REF!*2)/1000)</f>
        <v>#REF!</v>
      </c>
      <c r="O720" s="235"/>
      <c r="P720" s="200" t="e">
        <f t="shared" si="110"/>
        <v>#REF!</v>
      </c>
      <c r="Q720" s="200">
        <f t="shared" si="111"/>
        <v>0</v>
      </c>
      <c r="R720" s="200">
        <f t="shared" si="112"/>
        <v>0</v>
      </c>
      <c r="S720" s="200">
        <f t="shared" si="113"/>
        <v>0</v>
      </c>
      <c r="T720" s="200">
        <f t="shared" si="114"/>
        <v>0</v>
      </c>
      <c r="U720" s="688">
        <f t="shared" si="115"/>
        <v>0</v>
      </c>
      <c r="V720" s="200">
        <f t="shared" si="116"/>
        <v>0</v>
      </c>
      <c r="W720" s="689"/>
    </row>
    <row r="721" spans="1:23" s="236" customFormat="1" ht="24.95" hidden="1" customHeight="1" outlineLevel="1">
      <c r="A721" s="239">
        <v>3</v>
      </c>
      <c r="B721" s="239" t="s">
        <v>392</v>
      </c>
      <c r="C721" s="240">
        <v>10</v>
      </c>
      <c r="D721" s="690"/>
      <c r="E721" s="240"/>
      <c r="F721" s="836"/>
      <c r="G721" s="239">
        <v>2</v>
      </c>
      <c r="H721" s="203">
        <v>2</v>
      </c>
      <c r="I721" s="241">
        <v>100</v>
      </c>
      <c r="J721" s="234"/>
      <c r="K721" s="234">
        <v>6330</v>
      </c>
      <c r="L721" s="234"/>
      <c r="M721" s="241">
        <v>100</v>
      </c>
      <c r="N721" s="235" t="e">
        <f>(((I721+J721+K721+L721+M721)-C721*#REF!*2)/1000)</f>
        <v>#REF!</v>
      </c>
      <c r="O721" s="235"/>
      <c r="P721" s="200">
        <f t="shared" si="110"/>
        <v>0</v>
      </c>
      <c r="Q721" s="200" t="e">
        <f t="shared" si="111"/>
        <v>#REF!</v>
      </c>
      <c r="R721" s="200">
        <f t="shared" si="112"/>
        <v>0</v>
      </c>
      <c r="S721" s="200">
        <f t="shared" si="113"/>
        <v>0</v>
      </c>
      <c r="T721" s="200">
        <f t="shared" si="114"/>
        <v>0</v>
      </c>
      <c r="U721" s="688">
        <f t="shared" si="115"/>
        <v>0</v>
      </c>
      <c r="V721" s="200">
        <f t="shared" si="116"/>
        <v>0</v>
      </c>
      <c r="W721" s="689"/>
    </row>
    <row r="722" spans="1:23" s="236" customFormat="1" ht="24.95" hidden="1" customHeight="1" outlineLevel="1">
      <c r="A722" s="239"/>
      <c r="B722" s="239" t="s">
        <v>393</v>
      </c>
      <c r="C722" s="240">
        <v>10</v>
      </c>
      <c r="D722" s="690"/>
      <c r="E722" s="240"/>
      <c r="F722" s="836"/>
      <c r="G722" s="239">
        <v>2</v>
      </c>
      <c r="H722" s="203">
        <v>2</v>
      </c>
      <c r="I722" s="241">
        <v>100</v>
      </c>
      <c r="J722" s="234"/>
      <c r="K722" s="234">
        <v>6330</v>
      </c>
      <c r="L722" s="234"/>
      <c r="M722" s="241">
        <v>100</v>
      </c>
      <c r="N722" s="235" t="e">
        <f>(((I722+J722+K722+L722+M722)-C722*#REF!*2)/1000)</f>
        <v>#REF!</v>
      </c>
      <c r="O722" s="235"/>
      <c r="P722" s="200">
        <f t="shared" si="110"/>
        <v>0</v>
      </c>
      <c r="Q722" s="200" t="e">
        <f t="shared" si="111"/>
        <v>#REF!</v>
      </c>
      <c r="R722" s="200">
        <f t="shared" si="112"/>
        <v>0</v>
      </c>
      <c r="S722" s="200">
        <f t="shared" si="113"/>
        <v>0</v>
      </c>
      <c r="T722" s="200">
        <f t="shared" si="114"/>
        <v>0</v>
      </c>
      <c r="U722" s="688">
        <f t="shared" si="115"/>
        <v>0</v>
      </c>
      <c r="V722" s="200">
        <f t="shared" si="116"/>
        <v>0</v>
      </c>
      <c r="W722" s="689"/>
    </row>
    <row r="723" spans="1:23" s="236" customFormat="1" ht="24.95" hidden="1" customHeight="1" outlineLevel="1">
      <c r="A723" s="239"/>
      <c r="B723" s="239" t="s">
        <v>394</v>
      </c>
      <c r="C723" s="240">
        <v>8</v>
      </c>
      <c r="D723" s="690"/>
      <c r="E723" s="240"/>
      <c r="F723" s="836"/>
      <c r="G723" s="239">
        <v>2</v>
      </c>
      <c r="H723" s="203">
        <f>(K721/200)+1</f>
        <v>32.65</v>
      </c>
      <c r="I723" s="234"/>
      <c r="J723" s="234"/>
      <c r="K723" s="234">
        <v>820</v>
      </c>
      <c r="L723" s="234"/>
      <c r="M723" s="234"/>
      <c r="N723" s="235" t="e">
        <f>(((I723+J723+K723+L723+M723)-C723*#REF!*2)/1000)</f>
        <v>#REF!</v>
      </c>
      <c r="O723" s="235"/>
      <c r="P723" s="200" t="e">
        <f t="shared" si="110"/>
        <v>#REF!</v>
      </c>
      <c r="Q723" s="200">
        <f t="shared" si="111"/>
        <v>0</v>
      </c>
      <c r="R723" s="200">
        <f t="shared" si="112"/>
        <v>0</v>
      </c>
      <c r="S723" s="200">
        <f t="shared" si="113"/>
        <v>0</v>
      </c>
      <c r="T723" s="200">
        <f t="shared" si="114"/>
        <v>0</v>
      </c>
      <c r="U723" s="688">
        <f t="shared" si="115"/>
        <v>0</v>
      </c>
      <c r="V723" s="200">
        <f t="shared" si="116"/>
        <v>0</v>
      </c>
      <c r="W723" s="689"/>
    </row>
    <row r="724" spans="1:23" s="236" customFormat="1" ht="24.95" hidden="1" customHeight="1" outlineLevel="1">
      <c r="A724" s="239">
        <v>4</v>
      </c>
      <c r="B724" s="239" t="s">
        <v>392</v>
      </c>
      <c r="C724" s="240">
        <v>10</v>
      </c>
      <c r="D724" s="690"/>
      <c r="E724" s="240"/>
      <c r="F724" s="836"/>
      <c r="G724" s="239">
        <v>2</v>
      </c>
      <c r="H724" s="203">
        <v>2</v>
      </c>
      <c r="I724" s="241">
        <v>100</v>
      </c>
      <c r="J724" s="234"/>
      <c r="K724" s="234">
        <v>1675</v>
      </c>
      <c r="L724" s="234"/>
      <c r="M724" s="241">
        <v>100</v>
      </c>
      <c r="N724" s="235" t="e">
        <f>(((I724+J724+K724+L724+M724)-C724*#REF!*2)/1000)</f>
        <v>#REF!</v>
      </c>
      <c r="O724" s="235"/>
      <c r="P724" s="200">
        <f t="shared" si="110"/>
        <v>0</v>
      </c>
      <c r="Q724" s="200" t="e">
        <f t="shared" si="111"/>
        <v>#REF!</v>
      </c>
      <c r="R724" s="200">
        <f t="shared" si="112"/>
        <v>0</v>
      </c>
      <c r="S724" s="200">
        <f t="shared" si="113"/>
        <v>0</v>
      </c>
      <c r="T724" s="200">
        <f t="shared" si="114"/>
        <v>0</v>
      </c>
      <c r="U724" s="688">
        <f t="shared" si="115"/>
        <v>0</v>
      </c>
      <c r="V724" s="200">
        <f t="shared" si="116"/>
        <v>0</v>
      </c>
      <c r="W724" s="689"/>
    </row>
    <row r="725" spans="1:23" s="236" customFormat="1" ht="24.95" hidden="1" customHeight="1" outlineLevel="1">
      <c r="A725" s="239"/>
      <c r="B725" s="239" t="s">
        <v>393</v>
      </c>
      <c r="C725" s="240">
        <v>10</v>
      </c>
      <c r="D725" s="690"/>
      <c r="E725" s="240"/>
      <c r="F725" s="836"/>
      <c r="G725" s="239">
        <v>2</v>
      </c>
      <c r="H725" s="203">
        <v>2</v>
      </c>
      <c r="I725" s="241">
        <v>100</v>
      </c>
      <c r="J725" s="234"/>
      <c r="K725" s="234">
        <v>1675</v>
      </c>
      <c r="L725" s="234"/>
      <c r="M725" s="241">
        <v>100</v>
      </c>
      <c r="N725" s="235" t="e">
        <f>(((I725+J725+K725+L725+M725)-C725*#REF!*2)/1000)</f>
        <v>#REF!</v>
      </c>
      <c r="O725" s="235"/>
      <c r="P725" s="200">
        <f t="shared" si="110"/>
        <v>0</v>
      </c>
      <c r="Q725" s="200" t="e">
        <f t="shared" si="111"/>
        <v>#REF!</v>
      </c>
      <c r="R725" s="200">
        <f t="shared" si="112"/>
        <v>0</v>
      </c>
      <c r="S725" s="200">
        <f t="shared" si="113"/>
        <v>0</v>
      </c>
      <c r="T725" s="200">
        <f t="shared" si="114"/>
        <v>0</v>
      </c>
      <c r="U725" s="688">
        <f t="shared" si="115"/>
        <v>0</v>
      </c>
      <c r="V725" s="200">
        <f t="shared" si="116"/>
        <v>0</v>
      </c>
      <c r="W725" s="689"/>
    </row>
    <row r="726" spans="1:23" s="236" customFormat="1" ht="24.95" hidden="1" customHeight="1" outlineLevel="1">
      <c r="A726" s="239"/>
      <c r="B726" s="239" t="s">
        <v>394</v>
      </c>
      <c r="C726" s="240">
        <v>8</v>
      </c>
      <c r="D726" s="690"/>
      <c r="E726" s="240"/>
      <c r="F726" s="836"/>
      <c r="G726" s="239">
        <v>2</v>
      </c>
      <c r="H726" s="203">
        <f>(K724/200)+1</f>
        <v>9.375</v>
      </c>
      <c r="I726" s="234"/>
      <c r="J726" s="234"/>
      <c r="K726" s="234">
        <v>820</v>
      </c>
      <c r="L726" s="234"/>
      <c r="M726" s="234"/>
      <c r="N726" s="235" t="e">
        <f>(((I726+J726+K726+L726+M726)-C726*#REF!*2)/1000)</f>
        <v>#REF!</v>
      </c>
      <c r="O726" s="235"/>
      <c r="P726" s="200" t="e">
        <f t="shared" si="110"/>
        <v>#REF!</v>
      </c>
      <c r="Q726" s="200">
        <f t="shared" si="111"/>
        <v>0</v>
      </c>
      <c r="R726" s="200">
        <f t="shared" si="112"/>
        <v>0</v>
      </c>
      <c r="S726" s="200">
        <f t="shared" si="113"/>
        <v>0</v>
      </c>
      <c r="T726" s="200">
        <f t="shared" si="114"/>
        <v>0</v>
      </c>
      <c r="U726" s="688">
        <f t="shared" si="115"/>
        <v>0</v>
      </c>
      <c r="V726" s="200">
        <f t="shared" si="116"/>
        <v>0</v>
      </c>
      <c r="W726" s="689"/>
    </row>
    <row r="727" spans="1:23" s="236" customFormat="1" ht="24.95" hidden="1" customHeight="1" outlineLevel="1">
      <c r="A727" s="237">
        <v>13</v>
      </c>
      <c r="B727" s="238" t="s">
        <v>461</v>
      </c>
      <c r="C727" s="240"/>
      <c r="D727" s="690"/>
      <c r="E727" s="240"/>
      <c r="F727" s="836"/>
      <c r="G727" s="239"/>
      <c r="H727" s="203"/>
      <c r="I727" s="234"/>
      <c r="J727" s="234"/>
      <c r="K727" s="234"/>
      <c r="L727" s="234"/>
      <c r="M727" s="234"/>
      <c r="N727" s="235" t="e">
        <f>(((I727+J727+K727+L727+M727)-C727*#REF!*2)/1000)</f>
        <v>#REF!</v>
      </c>
      <c r="O727" s="235"/>
      <c r="P727" s="200">
        <f t="shared" si="110"/>
        <v>0</v>
      </c>
      <c r="Q727" s="200">
        <f t="shared" si="111"/>
        <v>0</v>
      </c>
      <c r="R727" s="200">
        <f t="shared" si="112"/>
        <v>0</v>
      </c>
      <c r="S727" s="200">
        <f t="shared" si="113"/>
        <v>0</v>
      </c>
      <c r="T727" s="200">
        <f t="shared" si="114"/>
        <v>0</v>
      </c>
      <c r="U727" s="688">
        <f t="shared" si="115"/>
        <v>0</v>
      </c>
      <c r="V727" s="200">
        <f t="shared" si="116"/>
        <v>0</v>
      </c>
      <c r="W727" s="689"/>
    </row>
    <row r="728" spans="1:23" s="236" customFormat="1" ht="24.95" hidden="1" customHeight="1" outlineLevel="1">
      <c r="A728" s="209" t="s">
        <v>462</v>
      </c>
      <c r="B728" s="209" t="s">
        <v>463</v>
      </c>
      <c r="C728" s="240"/>
      <c r="D728" s="690"/>
      <c r="E728" s="240"/>
      <c r="F728" s="836"/>
      <c r="G728" s="239">
        <v>2</v>
      </c>
      <c r="H728" s="203"/>
      <c r="I728" s="234"/>
      <c r="J728" s="234"/>
      <c r="K728" s="234"/>
      <c r="L728" s="234"/>
      <c r="M728" s="234"/>
      <c r="N728" s="235" t="e">
        <f>(((I728+J728+K728+L728+M728)-C728*#REF!*2)/1000)</f>
        <v>#REF!</v>
      </c>
      <c r="O728" s="235"/>
      <c r="P728" s="200">
        <f t="shared" si="110"/>
        <v>0</v>
      </c>
      <c r="Q728" s="200">
        <f t="shared" si="111"/>
        <v>0</v>
      </c>
      <c r="R728" s="200">
        <f t="shared" si="112"/>
        <v>0</v>
      </c>
      <c r="S728" s="200">
        <f t="shared" si="113"/>
        <v>0</v>
      </c>
      <c r="T728" s="200">
        <f t="shared" si="114"/>
        <v>0</v>
      </c>
      <c r="U728" s="688">
        <f t="shared" si="115"/>
        <v>0</v>
      </c>
      <c r="V728" s="200">
        <f t="shared" si="116"/>
        <v>0</v>
      </c>
      <c r="W728" s="689"/>
    </row>
    <row r="729" spans="1:23" s="236" customFormat="1" ht="24.95" hidden="1" customHeight="1" outlineLevel="1">
      <c r="A729" s="239"/>
      <c r="B729" s="239" t="s">
        <v>464</v>
      </c>
      <c r="C729" s="240"/>
      <c r="D729" s="690"/>
      <c r="E729" s="240"/>
      <c r="F729" s="836"/>
      <c r="G729" s="239"/>
      <c r="H729" s="203"/>
      <c r="I729" s="234"/>
      <c r="J729" s="234"/>
      <c r="K729" s="234"/>
      <c r="L729" s="234"/>
      <c r="M729" s="234"/>
      <c r="N729" s="235" t="e">
        <f>(((I729+J729+K729+L729+M729)-C729*#REF!*2)/1000)</f>
        <v>#REF!</v>
      </c>
      <c r="O729" s="235"/>
      <c r="P729" s="200">
        <f t="shared" si="110"/>
        <v>0</v>
      </c>
      <c r="Q729" s="200">
        <f t="shared" si="111"/>
        <v>0</v>
      </c>
      <c r="R729" s="200">
        <f t="shared" si="112"/>
        <v>0</v>
      </c>
      <c r="S729" s="200">
        <f t="shared" si="113"/>
        <v>0</v>
      </c>
      <c r="T729" s="200">
        <f t="shared" si="114"/>
        <v>0</v>
      </c>
      <c r="U729" s="688">
        <f t="shared" si="115"/>
        <v>0</v>
      </c>
      <c r="V729" s="200">
        <f t="shared" si="116"/>
        <v>0</v>
      </c>
      <c r="W729" s="689"/>
    </row>
    <row r="730" spans="1:23" s="236" customFormat="1" ht="24.95" hidden="1" customHeight="1" outlineLevel="1">
      <c r="A730" s="239"/>
      <c r="B730" s="239" t="s">
        <v>465</v>
      </c>
      <c r="C730" s="240">
        <v>8</v>
      </c>
      <c r="D730" s="690"/>
      <c r="E730" s="240"/>
      <c r="F730" s="836"/>
      <c r="G730" s="239">
        <v>2</v>
      </c>
      <c r="H730" s="203">
        <f>(4700/150)+1</f>
        <v>32.333333333333329</v>
      </c>
      <c r="I730" s="234">
        <v>200</v>
      </c>
      <c r="J730" s="234"/>
      <c r="K730" s="234">
        <v>1200</v>
      </c>
      <c r="L730" s="234"/>
      <c r="M730" s="234">
        <v>200</v>
      </c>
      <c r="N730" s="235" t="e">
        <f>(((I730+J730+K730+L730+M730)-C730*#REF!*2)/1000)</f>
        <v>#REF!</v>
      </c>
      <c r="O730" s="235"/>
      <c r="P730" s="200" t="e">
        <f t="shared" si="110"/>
        <v>#REF!</v>
      </c>
      <c r="Q730" s="200">
        <f t="shared" si="111"/>
        <v>0</v>
      </c>
      <c r="R730" s="200">
        <f t="shared" si="112"/>
        <v>0</v>
      </c>
      <c r="S730" s="200">
        <f t="shared" si="113"/>
        <v>0</v>
      </c>
      <c r="T730" s="200">
        <f t="shared" si="114"/>
        <v>0</v>
      </c>
      <c r="U730" s="688">
        <f t="shared" si="115"/>
        <v>0</v>
      </c>
      <c r="V730" s="200">
        <f t="shared" si="116"/>
        <v>0</v>
      </c>
      <c r="W730" s="689"/>
    </row>
    <row r="731" spans="1:23" s="236" customFormat="1" ht="24.95" hidden="1" customHeight="1" outlineLevel="1">
      <c r="A731" s="239"/>
      <c r="B731" s="239" t="s">
        <v>466</v>
      </c>
      <c r="C731" s="240">
        <v>8</v>
      </c>
      <c r="D731" s="690"/>
      <c r="E731" s="240"/>
      <c r="F731" s="836"/>
      <c r="G731" s="239">
        <v>2</v>
      </c>
      <c r="H731" s="203">
        <f>(1200/200)+1</f>
        <v>7</v>
      </c>
      <c r="I731" s="234">
        <v>200</v>
      </c>
      <c r="J731" s="234"/>
      <c r="K731" s="234">
        <v>4700</v>
      </c>
      <c r="L731" s="234"/>
      <c r="M731" s="234">
        <v>200</v>
      </c>
      <c r="N731" s="235" t="e">
        <f>(((I731+J731+K731+L731+M731)-C731*#REF!*2)/1000)</f>
        <v>#REF!</v>
      </c>
      <c r="O731" s="235"/>
      <c r="P731" s="200" t="e">
        <f t="shared" si="110"/>
        <v>#REF!</v>
      </c>
      <c r="Q731" s="200">
        <f t="shared" si="111"/>
        <v>0</v>
      </c>
      <c r="R731" s="200">
        <f t="shared" si="112"/>
        <v>0</v>
      </c>
      <c r="S731" s="200">
        <f t="shared" si="113"/>
        <v>0</v>
      </c>
      <c r="T731" s="200">
        <f t="shared" si="114"/>
        <v>0</v>
      </c>
      <c r="U731" s="688">
        <f t="shared" si="115"/>
        <v>0</v>
      </c>
      <c r="V731" s="200">
        <f t="shared" si="116"/>
        <v>0</v>
      </c>
      <c r="W731" s="689"/>
    </row>
    <row r="732" spans="1:23" s="236" customFormat="1" ht="24.95" hidden="1" customHeight="1" outlineLevel="1">
      <c r="A732" s="239"/>
      <c r="B732" s="239" t="s">
        <v>467</v>
      </c>
      <c r="C732" s="240"/>
      <c r="D732" s="690"/>
      <c r="E732" s="240"/>
      <c r="F732" s="836"/>
      <c r="G732" s="239"/>
      <c r="H732" s="203"/>
      <c r="I732" s="234"/>
      <c r="J732" s="234"/>
      <c r="K732" s="234"/>
      <c r="L732" s="234"/>
      <c r="M732" s="234"/>
      <c r="N732" s="235" t="e">
        <f>(((I732+J732+K732+L732+M732)-C732*#REF!*2)/1000)</f>
        <v>#REF!</v>
      </c>
      <c r="O732" s="235"/>
      <c r="P732" s="200">
        <f t="shared" si="110"/>
        <v>0</v>
      </c>
      <c r="Q732" s="200">
        <f t="shared" si="111"/>
        <v>0</v>
      </c>
      <c r="R732" s="200">
        <f t="shared" si="112"/>
        <v>0</v>
      </c>
      <c r="S732" s="200">
        <f t="shared" si="113"/>
        <v>0</v>
      </c>
      <c r="T732" s="200">
        <f t="shared" si="114"/>
        <v>0</v>
      </c>
      <c r="U732" s="688">
        <f t="shared" si="115"/>
        <v>0</v>
      </c>
      <c r="V732" s="200">
        <f t="shared" si="116"/>
        <v>0</v>
      </c>
      <c r="W732" s="689"/>
    </row>
    <row r="733" spans="1:23" s="236" customFormat="1" ht="24.95" hidden="1" customHeight="1" outlineLevel="1">
      <c r="A733" s="239"/>
      <c r="B733" s="239" t="s">
        <v>465</v>
      </c>
      <c r="C733" s="240">
        <v>8</v>
      </c>
      <c r="D733" s="690"/>
      <c r="E733" s="240"/>
      <c r="F733" s="836"/>
      <c r="G733" s="239">
        <v>2</v>
      </c>
      <c r="H733" s="203">
        <f>(4700/150)+1</f>
        <v>32.333333333333329</v>
      </c>
      <c r="I733" s="234">
        <v>200</v>
      </c>
      <c r="J733" s="234"/>
      <c r="K733" s="234">
        <v>1200</v>
      </c>
      <c r="L733" s="234"/>
      <c r="M733" s="234">
        <v>200</v>
      </c>
      <c r="N733" s="235" t="e">
        <f>(((I733+J733+K733+L733+M733)-C733*#REF!*2)/1000)</f>
        <v>#REF!</v>
      </c>
      <c r="O733" s="235"/>
      <c r="P733" s="200" t="e">
        <f t="shared" si="110"/>
        <v>#REF!</v>
      </c>
      <c r="Q733" s="200">
        <f t="shared" si="111"/>
        <v>0</v>
      </c>
      <c r="R733" s="200">
        <f t="shared" si="112"/>
        <v>0</v>
      </c>
      <c r="S733" s="200">
        <f t="shared" si="113"/>
        <v>0</v>
      </c>
      <c r="T733" s="200">
        <f t="shared" si="114"/>
        <v>0</v>
      </c>
      <c r="U733" s="688">
        <f t="shared" si="115"/>
        <v>0</v>
      </c>
      <c r="V733" s="200">
        <f t="shared" si="116"/>
        <v>0</v>
      </c>
      <c r="W733" s="689"/>
    </row>
    <row r="734" spans="1:23" s="236" customFormat="1" ht="24.95" hidden="1" customHeight="1" outlineLevel="1">
      <c r="A734" s="239"/>
      <c r="B734" s="239" t="s">
        <v>466</v>
      </c>
      <c r="C734" s="240">
        <v>8</v>
      </c>
      <c r="D734" s="690"/>
      <c r="E734" s="240"/>
      <c r="F734" s="836"/>
      <c r="G734" s="239">
        <v>2</v>
      </c>
      <c r="H734" s="203">
        <f>(1200/200)+1</f>
        <v>7</v>
      </c>
      <c r="I734" s="234">
        <v>200</v>
      </c>
      <c r="J734" s="234"/>
      <c r="K734" s="234">
        <v>4700</v>
      </c>
      <c r="L734" s="234"/>
      <c r="M734" s="234">
        <v>200</v>
      </c>
      <c r="N734" s="235" t="e">
        <f>(((I734+J734+K734+L734+M734)-C734*#REF!*2)/1000)</f>
        <v>#REF!</v>
      </c>
      <c r="O734" s="235"/>
      <c r="P734" s="200" t="e">
        <f t="shared" si="110"/>
        <v>#REF!</v>
      </c>
      <c r="Q734" s="200">
        <f t="shared" si="111"/>
        <v>0</v>
      </c>
      <c r="R734" s="200">
        <f t="shared" si="112"/>
        <v>0</v>
      </c>
      <c r="S734" s="200">
        <f t="shared" si="113"/>
        <v>0</v>
      </c>
      <c r="T734" s="200">
        <f t="shared" si="114"/>
        <v>0</v>
      </c>
      <c r="U734" s="688">
        <f t="shared" si="115"/>
        <v>0</v>
      </c>
      <c r="V734" s="200">
        <f t="shared" si="116"/>
        <v>0</v>
      </c>
      <c r="W734" s="689"/>
    </row>
    <row r="735" spans="1:23" s="236" customFormat="1" ht="24.95" hidden="1" customHeight="1" outlineLevel="1">
      <c r="A735" s="239"/>
      <c r="B735" s="239" t="s">
        <v>468</v>
      </c>
      <c r="C735" s="240">
        <v>10</v>
      </c>
      <c r="D735" s="690"/>
      <c r="E735" s="240"/>
      <c r="F735" s="836"/>
      <c r="G735" s="239">
        <v>2</v>
      </c>
      <c r="H735" s="203">
        <v>10</v>
      </c>
      <c r="I735" s="234">
        <v>300</v>
      </c>
      <c r="J735" s="234">
        <f>300-100-32</f>
        <v>168</v>
      </c>
      <c r="K735" s="234">
        <v>500</v>
      </c>
      <c r="L735" s="234">
        <f>300-100-32</f>
        <v>168</v>
      </c>
      <c r="M735" s="234">
        <v>300</v>
      </c>
      <c r="N735" s="235" t="e">
        <f>(((I735+J735+K735+L735+M735)-C735*#REF!*2)/1000)</f>
        <v>#REF!</v>
      </c>
      <c r="O735" s="235"/>
      <c r="P735" s="200">
        <f t="shared" si="110"/>
        <v>0</v>
      </c>
      <c r="Q735" s="200" t="e">
        <f t="shared" si="111"/>
        <v>#REF!</v>
      </c>
      <c r="R735" s="200">
        <f t="shared" si="112"/>
        <v>0</v>
      </c>
      <c r="S735" s="200">
        <f t="shared" si="113"/>
        <v>0</v>
      </c>
      <c r="T735" s="200">
        <f t="shared" si="114"/>
        <v>0</v>
      </c>
      <c r="U735" s="688">
        <f t="shared" si="115"/>
        <v>0</v>
      </c>
      <c r="V735" s="200">
        <f t="shared" si="116"/>
        <v>0</v>
      </c>
      <c r="W735" s="689"/>
    </row>
    <row r="736" spans="1:23" s="236" customFormat="1" ht="24.95" hidden="1" customHeight="1" outlineLevel="1">
      <c r="A736" s="209" t="s">
        <v>469</v>
      </c>
      <c r="B736" s="209" t="s">
        <v>470</v>
      </c>
      <c r="C736" s="240"/>
      <c r="D736" s="690"/>
      <c r="E736" s="240"/>
      <c r="F736" s="836"/>
      <c r="G736" s="239"/>
      <c r="H736" s="203"/>
      <c r="I736" s="234"/>
      <c r="J736" s="234"/>
      <c r="K736" s="234"/>
      <c r="L736" s="234"/>
      <c r="M736" s="234"/>
      <c r="N736" s="235" t="e">
        <f>(((I736+J736+K736+L736+M736)-C736*#REF!*2)/1000)</f>
        <v>#REF!</v>
      </c>
      <c r="O736" s="235"/>
      <c r="P736" s="200">
        <f t="shared" si="110"/>
        <v>0</v>
      </c>
      <c r="Q736" s="200">
        <f t="shared" si="111"/>
        <v>0</v>
      </c>
      <c r="R736" s="200">
        <f t="shared" si="112"/>
        <v>0</v>
      </c>
      <c r="S736" s="200">
        <f t="shared" si="113"/>
        <v>0</v>
      </c>
      <c r="T736" s="200">
        <f t="shared" si="114"/>
        <v>0</v>
      </c>
      <c r="U736" s="688">
        <f t="shared" si="115"/>
        <v>0</v>
      </c>
      <c r="V736" s="200">
        <f t="shared" si="116"/>
        <v>0</v>
      </c>
      <c r="W736" s="689"/>
    </row>
    <row r="737" spans="1:23" s="236" customFormat="1" ht="24.95" hidden="1" customHeight="1" outlineLevel="1">
      <c r="A737" s="239"/>
      <c r="B737" s="239" t="s">
        <v>471</v>
      </c>
      <c r="C737" s="240">
        <v>8</v>
      </c>
      <c r="D737" s="690"/>
      <c r="E737" s="240"/>
      <c r="F737" s="836"/>
      <c r="G737" s="239">
        <f>2*2*2</f>
        <v>8</v>
      </c>
      <c r="H737" s="203">
        <f>(4700/150)+1</f>
        <v>32.333333333333329</v>
      </c>
      <c r="I737" s="234">
        <v>300</v>
      </c>
      <c r="J737" s="234"/>
      <c r="K737" s="234">
        <v>1400</v>
      </c>
      <c r="L737" s="234"/>
      <c r="M737" s="234"/>
      <c r="N737" s="235" t="e">
        <f>(((I737+J737+K737+L737+M737)-C737*#REF!*2)/1000)</f>
        <v>#REF!</v>
      </c>
      <c r="O737" s="235"/>
      <c r="P737" s="200" t="e">
        <f t="shared" si="110"/>
        <v>#REF!</v>
      </c>
      <c r="Q737" s="200">
        <f t="shared" si="111"/>
        <v>0</v>
      </c>
      <c r="R737" s="200">
        <f t="shared" si="112"/>
        <v>0</v>
      </c>
      <c r="S737" s="200">
        <f t="shared" si="113"/>
        <v>0</v>
      </c>
      <c r="T737" s="200">
        <f t="shared" si="114"/>
        <v>0</v>
      </c>
      <c r="U737" s="688">
        <f t="shared" si="115"/>
        <v>0</v>
      </c>
      <c r="V737" s="200">
        <f t="shared" si="116"/>
        <v>0</v>
      </c>
      <c r="W737" s="689"/>
    </row>
    <row r="738" spans="1:23" s="236" customFormat="1" ht="24.95" hidden="1" customHeight="1" outlineLevel="1">
      <c r="A738" s="239"/>
      <c r="B738" s="239" t="s">
        <v>472</v>
      </c>
      <c r="C738" s="240">
        <v>8</v>
      </c>
      <c r="D738" s="690"/>
      <c r="E738" s="240"/>
      <c r="F738" s="836"/>
      <c r="G738" s="239">
        <f>2*2*2</f>
        <v>8</v>
      </c>
      <c r="H738" s="203">
        <f>(1050/200)+1</f>
        <v>6.25</v>
      </c>
      <c r="I738" s="234">
        <v>400</v>
      </c>
      <c r="J738" s="234"/>
      <c r="K738" s="234">
        <v>4450</v>
      </c>
      <c r="L738" s="234"/>
      <c r="M738" s="234">
        <v>400</v>
      </c>
      <c r="N738" s="235" t="e">
        <f>(((I738+J738+K738+L738+M738)-C738*#REF!*2)/1000)</f>
        <v>#REF!</v>
      </c>
      <c r="O738" s="235"/>
      <c r="P738" s="200" t="e">
        <f t="shared" si="110"/>
        <v>#REF!</v>
      </c>
      <c r="Q738" s="200">
        <f t="shared" si="111"/>
        <v>0</v>
      </c>
      <c r="R738" s="200">
        <f t="shared" si="112"/>
        <v>0</v>
      </c>
      <c r="S738" s="200">
        <f t="shared" si="113"/>
        <v>0</v>
      </c>
      <c r="T738" s="200">
        <f t="shared" si="114"/>
        <v>0</v>
      </c>
      <c r="U738" s="688">
        <f t="shared" si="115"/>
        <v>0</v>
      </c>
      <c r="V738" s="200">
        <f t="shared" si="116"/>
        <v>0</v>
      </c>
      <c r="W738" s="689"/>
    </row>
    <row r="739" spans="1:23" s="236" customFormat="1" ht="24.95" hidden="1" customHeight="1" outlineLevel="1">
      <c r="A739" s="239"/>
      <c r="B739" s="239"/>
      <c r="C739" s="240">
        <v>8</v>
      </c>
      <c r="D739" s="690"/>
      <c r="E739" s="240"/>
      <c r="F739" s="836"/>
      <c r="G739" s="239">
        <f>2*2*2</f>
        <v>8</v>
      </c>
      <c r="H739" s="203">
        <f>(1050/200)+1</f>
        <v>6.25</v>
      </c>
      <c r="I739" s="234">
        <v>400</v>
      </c>
      <c r="J739" s="234"/>
      <c r="K739" s="234">
        <v>950</v>
      </c>
      <c r="L739" s="234"/>
      <c r="M739" s="234">
        <v>400</v>
      </c>
      <c r="N739" s="235" t="e">
        <f>(((I739+J739+K739+L739+M739)-C739*#REF!*2)/1000)</f>
        <v>#REF!</v>
      </c>
      <c r="O739" s="235"/>
      <c r="P739" s="200" t="e">
        <f t="shared" si="110"/>
        <v>#REF!</v>
      </c>
      <c r="Q739" s="200">
        <f t="shared" si="111"/>
        <v>0</v>
      </c>
      <c r="R739" s="200">
        <f t="shared" si="112"/>
        <v>0</v>
      </c>
      <c r="S739" s="200">
        <f t="shared" si="113"/>
        <v>0</v>
      </c>
      <c r="T739" s="200">
        <f t="shared" si="114"/>
        <v>0</v>
      </c>
      <c r="U739" s="688">
        <f t="shared" si="115"/>
        <v>0</v>
      </c>
      <c r="V739" s="200">
        <f t="shared" si="116"/>
        <v>0</v>
      </c>
      <c r="W739" s="689"/>
    </row>
    <row r="740" spans="1:23" s="236" customFormat="1" ht="24.95" hidden="1" customHeight="1" outlineLevel="1">
      <c r="A740" s="239"/>
      <c r="B740" s="239" t="s">
        <v>473</v>
      </c>
      <c r="C740" s="240">
        <v>8</v>
      </c>
      <c r="D740" s="690"/>
      <c r="E740" s="240"/>
      <c r="F740" s="836"/>
      <c r="G740" s="239">
        <f>2*2</f>
        <v>4</v>
      </c>
      <c r="H740" s="203">
        <v>20</v>
      </c>
      <c r="I740" s="234">
        <v>300</v>
      </c>
      <c r="J740" s="234"/>
      <c r="K740" s="234">
        <v>118</v>
      </c>
      <c r="L740" s="234"/>
      <c r="M740" s="234">
        <v>300</v>
      </c>
      <c r="N740" s="235" t="e">
        <f>(((I740+J740+K740+L740+M740)-C740*#REF!*2)/1000)</f>
        <v>#REF!</v>
      </c>
      <c r="O740" s="235"/>
      <c r="P740" s="200" t="e">
        <f t="shared" si="110"/>
        <v>#REF!</v>
      </c>
      <c r="Q740" s="200">
        <f t="shared" si="111"/>
        <v>0</v>
      </c>
      <c r="R740" s="200">
        <f t="shared" si="112"/>
        <v>0</v>
      </c>
      <c r="S740" s="200">
        <f t="shared" si="113"/>
        <v>0</v>
      </c>
      <c r="T740" s="200">
        <f t="shared" si="114"/>
        <v>0</v>
      </c>
      <c r="U740" s="688">
        <f t="shared" si="115"/>
        <v>0</v>
      </c>
      <c r="V740" s="200">
        <f t="shared" si="116"/>
        <v>0</v>
      </c>
      <c r="W740" s="689"/>
    </row>
    <row r="741" spans="1:23" s="236" customFormat="1" ht="24.95" hidden="1" customHeight="1" outlineLevel="1">
      <c r="A741" s="209" t="s">
        <v>474</v>
      </c>
      <c r="B741" s="209" t="s">
        <v>475</v>
      </c>
      <c r="C741" s="240"/>
      <c r="D741" s="690"/>
      <c r="E741" s="240"/>
      <c r="F741" s="836"/>
      <c r="G741" s="239">
        <v>6</v>
      </c>
      <c r="H741" s="203"/>
      <c r="I741" s="234"/>
      <c r="J741" s="234"/>
      <c r="K741" s="234"/>
      <c r="L741" s="234"/>
      <c r="M741" s="234"/>
      <c r="N741" s="235" t="e">
        <f>(((I741+J741+K741+L741+M741)-C741*#REF!*2)/1000)</f>
        <v>#REF!</v>
      </c>
      <c r="O741" s="235"/>
      <c r="P741" s="200">
        <f t="shared" si="110"/>
        <v>0</v>
      </c>
      <c r="Q741" s="200">
        <f t="shared" si="111"/>
        <v>0</v>
      </c>
      <c r="R741" s="200">
        <f t="shared" si="112"/>
        <v>0</v>
      </c>
      <c r="S741" s="200">
        <f t="shared" si="113"/>
        <v>0</v>
      </c>
      <c r="T741" s="200">
        <f t="shared" si="114"/>
        <v>0</v>
      </c>
      <c r="U741" s="688">
        <f t="shared" si="115"/>
        <v>0</v>
      </c>
      <c r="V741" s="200">
        <f t="shared" si="116"/>
        <v>0</v>
      </c>
      <c r="W741" s="689"/>
    </row>
    <row r="742" spans="1:23" s="236" customFormat="1" ht="24.95" hidden="1" customHeight="1" outlineLevel="1">
      <c r="A742" s="239"/>
      <c r="B742" s="239" t="s">
        <v>464</v>
      </c>
      <c r="C742" s="240"/>
      <c r="D742" s="690"/>
      <c r="E742" s="240"/>
      <c r="F742" s="836"/>
      <c r="G742" s="239"/>
      <c r="H742" s="203"/>
      <c r="I742" s="234"/>
      <c r="J742" s="234"/>
      <c r="K742" s="234"/>
      <c r="L742" s="234"/>
      <c r="M742" s="234"/>
      <c r="N742" s="235" t="e">
        <f>(((I742+J742+K742+L742+M742)-C742*#REF!*2)/1000)</f>
        <v>#REF!</v>
      </c>
      <c r="O742" s="235"/>
      <c r="P742" s="200">
        <f t="shared" si="110"/>
        <v>0</v>
      </c>
      <c r="Q742" s="200">
        <f t="shared" si="111"/>
        <v>0</v>
      </c>
      <c r="R742" s="200">
        <f t="shared" si="112"/>
        <v>0</v>
      </c>
      <c r="S742" s="200">
        <f t="shared" si="113"/>
        <v>0</v>
      </c>
      <c r="T742" s="200">
        <f t="shared" si="114"/>
        <v>0</v>
      </c>
      <c r="U742" s="688">
        <f t="shared" si="115"/>
        <v>0</v>
      </c>
      <c r="V742" s="200">
        <f t="shared" si="116"/>
        <v>0</v>
      </c>
      <c r="W742" s="689"/>
    </row>
    <row r="743" spans="1:23" s="236" customFormat="1" ht="24.95" hidden="1" customHeight="1" outlineLevel="1">
      <c r="A743" s="239"/>
      <c r="B743" s="239" t="s">
        <v>465</v>
      </c>
      <c r="C743" s="240">
        <v>8</v>
      </c>
      <c r="D743" s="690"/>
      <c r="E743" s="240"/>
      <c r="F743" s="836"/>
      <c r="G743" s="239">
        <v>6</v>
      </c>
      <c r="H743" s="203">
        <f>(4700/150)+1</f>
        <v>32.333333333333329</v>
      </c>
      <c r="I743" s="241">
        <v>150</v>
      </c>
      <c r="J743" s="234"/>
      <c r="K743" s="234">
        <v>1050</v>
      </c>
      <c r="L743" s="234"/>
      <c r="M743" s="241">
        <v>150</v>
      </c>
      <c r="N743" s="235" t="e">
        <f>(((I743+J743+K743+L743+M743)-C743*#REF!*2)/1000)</f>
        <v>#REF!</v>
      </c>
      <c r="O743" s="235"/>
      <c r="P743" s="200" t="e">
        <f t="shared" si="110"/>
        <v>#REF!</v>
      </c>
      <c r="Q743" s="200">
        <f t="shared" si="111"/>
        <v>0</v>
      </c>
      <c r="R743" s="200">
        <f t="shared" si="112"/>
        <v>0</v>
      </c>
      <c r="S743" s="200">
        <f t="shared" si="113"/>
        <v>0</v>
      </c>
      <c r="T743" s="200">
        <f t="shared" si="114"/>
        <v>0</v>
      </c>
      <c r="U743" s="688">
        <f t="shared" si="115"/>
        <v>0</v>
      </c>
      <c r="V743" s="200">
        <f t="shared" si="116"/>
        <v>0</v>
      </c>
      <c r="W743" s="689"/>
    </row>
    <row r="744" spans="1:23" s="236" customFormat="1" ht="24.95" hidden="1" customHeight="1" outlineLevel="1">
      <c r="A744" s="239"/>
      <c r="B744" s="239" t="s">
        <v>466</v>
      </c>
      <c r="C744" s="240">
        <v>8</v>
      </c>
      <c r="D744" s="690"/>
      <c r="E744" s="240"/>
      <c r="F744" s="836"/>
      <c r="G744" s="239">
        <v>6</v>
      </c>
      <c r="H744" s="203">
        <f>(1150/200)+1</f>
        <v>6.75</v>
      </c>
      <c r="I744" s="241">
        <v>150</v>
      </c>
      <c r="J744" s="234"/>
      <c r="K744" s="234">
        <v>4700</v>
      </c>
      <c r="L744" s="234"/>
      <c r="M744" s="241">
        <v>150</v>
      </c>
      <c r="N744" s="235" t="e">
        <f>(((I744+J744+K744+L744+M744)-C744*#REF!*2)/1000)</f>
        <v>#REF!</v>
      </c>
      <c r="O744" s="235"/>
      <c r="P744" s="200" t="e">
        <f t="shared" si="110"/>
        <v>#REF!</v>
      </c>
      <c r="Q744" s="200">
        <f t="shared" si="111"/>
        <v>0</v>
      </c>
      <c r="R744" s="200">
        <f t="shared" si="112"/>
        <v>0</v>
      </c>
      <c r="S744" s="200">
        <f t="shared" si="113"/>
        <v>0</v>
      </c>
      <c r="T744" s="200">
        <f t="shared" si="114"/>
        <v>0</v>
      </c>
      <c r="U744" s="688">
        <f t="shared" si="115"/>
        <v>0</v>
      </c>
      <c r="V744" s="200">
        <f t="shared" si="116"/>
        <v>0</v>
      </c>
      <c r="W744" s="689"/>
    </row>
    <row r="745" spans="1:23" s="236" customFormat="1" ht="24.95" hidden="1" customHeight="1" outlineLevel="1">
      <c r="A745" s="239"/>
      <c r="B745" s="239" t="s">
        <v>467</v>
      </c>
      <c r="C745" s="240"/>
      <c r="D745" s="690"/>
      <c r="E745" s="240"/>
      <c r="F745" s="836"/>
      <c r="G745" s="239"/>
      <c r="H745" s="203"/>
      <c r="I745" s="234"/>
      <c r="J745" s="234"/>
      <c r="K745" s="234"/>
      <c r="L745" s="234"/>
      <c r="M745" s="234"/>
      <c r="N745" s="235" t="e">
        <f>(((I745+J745+K745+L745+M745)-C745*#REF!*2)/1000)</f>
        <v>#REF!</v>
      </c>
      <c r="O745" s="235"/>
      <c r="P745" s="200">
        <f t="shared" si="110"/>
        <v>0</v>
      </c>
      <c r="Q745" s="200">
        <f t="shared" si="111"/>
        <v>0</v>
      </c>
      <c r="R745" s="200">
        <f t="shared" si="112"/>
        <v>0</v>
      </c>
      <c r="S745" s="200">
        <f t="shared" si="113"/>
        <v>0</v>
      </c>
      <c r="T745" s="200">
        <f t="shared" si="114"/>
        <v>0</v>
      </c>
      <c r="U745" s="688">
        <f t="shared" si="115"/>
        <v>0</v>
      </c>
      <c r="V745" s="200">
        <f t="shared" si="116"/>
        <v>0</v>
      </c>
      <c r="W745" s="689"/>
    </row>
    <row r="746" spans="1:23" s="236" customFormat="1" ht="24.95" hidden="1" customHeight="1" outlineLevel="1">
      <c r="A746" s="239"/>
      <c r="B746" s="239" t="s">
        <v>465</v>
      </c>
      <c r="C746" s="240">
        <v>8</v>
      </c>
      <c r="D746" s="690"/>
      <c r="E746" s="240"/>
      <c r="F746" s="836"/>
      <c r="G746" s="239">
        <v>6</v>
      </c>
      <c r="H746" s="203">
        <f>(4700/150)+1</f>
        <v>32.333333333333329</v>
      </c>
      <c r="I746" s="241">
        <v>150</v>
      </c>
      <c r="J746" s="234"/>
      <c r="K746" s="234">
        <v>1050</v>
      </c>
      <c r="L746" s="234"/>
      <c r="M746" s="241">
        <v>150</v>
      </c>
      <c r="N746" s="235" t="e">
        <f>(((I746+J746+K746+L746+M746)-C746*#REF!*2)/1000)</f>
        <v>#REF!</v>
      </c>
      <c r="O746" s="235"/>
      <c r="P746" s="200" t="e">
        <f t="shared" si="110"/>
        <v>#REF!</v>
      </c>
      <c r="Q746" s="200">
        <f t="shared" si="111"/>
        <v>0</v>
      </c>
      <c r="R746" s="200">
        <f t="shared" si="112"/>
        <v>0</v>
      </c>
      <c r="S746" s="200">
        <f t="shared" si="113"/>
        <v>0</v>
      </c>
      <c r="T746" s="200">
        <f t="shared" si="114"/>
        <v>0</v>
      </c>
      <c r="U746" s="688">
        <f t="shared" si="115"/>
        <v>0</v>
      </c>
      <c r="V746" s="200">
        <f t="shared" si="116"/>
        <v>0</v>
      </c>
      <c r="W746" s="689"/>
    </row>
    <row r="747" spans="1:23" s="236" customFormat="1" ht="24.95" hidden="1" customHeight="1" outlineLevel="1">
      <c r="A747" s="239"/>
      <c r="B747" s="239" t="s">
        <v>466</v>
      </c>
      <c r="C747" s="240">
        <v>8</v>
      </c>
      <c r="D747" s="690"/>
      <c r="E747" s="240"/>
      <c r="F747" s="836"/>
      <c r="G747" s="239">
        <v>6</v>
      </c>
      <c r="H747" s="203">
        <f>(1150/200)+1</f>
        <v>6.75</v>
      </c>
      <c r="I747" s="241">
        <v>150</v>
      </c>
      <c r="J747" s="234"/>
      <c r="K747" s="234">
        <v>4700</v>
      </c>
      <c r="L747" s="234"/>
      <c r="M747" s="241">
        <v>150</v>
      </c>
      <c r="N747" s="235" t="e">
        <f>(((I747+J747+K747+L747+M747)-C747*#REF!*2)/1000)</f>
        <v>#REF!</v>
      </c>
      <c r="O747" s="235"/>
      <c r="P747" s="200" t="e">
        <f t="shared" si="110"/>
        <v>#REF!</v>
      </c>
      <c r="Q747" s="200">
        <f t="shared" si="111"/>
        <v>0</v>
      </c>
      <c r="R747" s="200">
        <f t="shared" si="112"/>
        <v>0</v>
      </c>
      <c r="S747" s="200">
        <f t="shared" si="113"/>
        <v>0</v>
      </c>
      <c r="T747" s="200">
        <f t="shared" si="114"/>
        <v>0</v>
      </c>
      <c r="U747" s="688">
        <f t="shared" si="115"/>
        <v>0</v>
      </c>
      <c r="V747" s="200">
        <f t="shared" si="116"/>
        <v>0</v>
      </c>
      <c r="W747" s="689"/>
    </row>
    <row r="748" spans="1:23" s="236" customFormat="1" ht="24.95" hidden="1" customHeight="1" outlineLevel="1">
      <c r="A748" s="239"/>
      <c r="B748" s="239" t="s">
        <v>468</v>
      </c>
      <c r="C748" s="240">
        <v>10</v>
      </c>
      <c r="D748" s="690"/>
      <c r="E748" s="240"/>
      <c r="F748" s="836"/>
      <c r="G748" s="239">
        <v>6</v>
      </c>
      <c r="H748" s="203">
        <v>10</v>
      </c>
      <c r="I748" s="234">
        <v>300</v>
      </c>
      <c r="J748" s="234">
        <f>300-100-32</f>
        <v>168</v>
      </c>
      <c r="K748" s="234">
        <v>500</v>
      </c>
      <c r="L748" s="234">
        <f>300-100-32</f>
        <v>168</v>
      </c>
      <c r="M748" s="234">
        <v>300</v>
      </c>
      <c r="N748" s="235" t="e">
        <f>(((I748+J748+K748+L748+M748)-C748*#REF!*2)/1000)</f>
        <v>#REF!</v>
      </c>
      <c r="O748" s="235"/>
      <c r="P748" s="200">
        <f t="shared" si="110"/>
        <v>0</v>
      </c>
      <c r="Q748" s="200" t="e">
        <f t="shared" si="111"/>
        <v>#REF!</v>
      </c>
      <c r="R748" s="200">
        <f t="shared" si="112"/>
        <v>0</v>
      </c>
      <c r="S748" s="200">
        <f t="shared" si="113"/>
        <v>0</v>
      </c>
      <c r="T748" s="200">
        <f t="shared" si="114"/>
        <v>0</v>
      </c>
      <c r="U748" s="688">
        <f t="shared" si="115"/>
        <v>0</v>
      </c>
      <c r="V748" s="200">
        <f t="shared" si="116"/>
        <v>0</v>
      </c>
      <c r="W748" s="689"/>
    </row>
    <row r="749" spans="1:23" s="236" customFormat="1" ht="24.95" hidden="1" customHeight="1" outlineLevel="1">
      <c r="A749" s="209" t="s">
        <v>476</v>
      </c>
      <c r="B749" s="209" t="s">
        <v>470</v>
      </c>
      <c r="C749" s="240"/>
      <c r="D749" s="690"/>
      <c r="E749" s="240"/>
      <c r="F749" s="836"/>
      <c r="G749" s="239"/>
      <c r="H749" s="203"/>
      <c r="I749" s="234"/>
      <c r="J749" s="234"/>
      <c r="K749" s="234"/>
      <c r="L749" s="234"/>
      <c r="M749" s="234"/>
      <c r="N749" s="235" t="e">
        <f>(((I749+J749+K749+L749+M749)-C749*#REF!*2)/1000)</f>
        <v>#REF!</v>
      </c>
      <c r="O749" s="235"/>
      <c r="P749" s="200">
        <f t="shared" si="110"/>
        <v>0</v>
      </c>
      <c r="Q749" s="200">
        <f t="shared" si="111"/>
        <v>0</v>
      </c>
      <c r="R749" s="200">
        <f t="shared" si="112"/>
        <v>0</v>
      </c>
      <c r="S749" s="200">
        <f t="shared" si="113"/>
        <v>0</v>
      </c>
      <c r="T749" s="200">
        <f t="shared" si="114"/>
        <v>0</v>
      </c>
      <c r="U749" s="688">
        <f t="shared" si="115"/>
        <v>0</v>
      </c>
      <c r="V749" s="200">
        <f t="shared" si="116"/>
        <v>0</v>
      </c>
      <c r="W749" s="689"/>
    </row>
    <row r="750" spans="1:23" s="236" customFormat="1" ht="24.95" hidden="1" customHeight="1" outlineLevel="1">
      <c r="A750" s="239"/>
      <c r="B750" s="239" t="s">
        <v>471</v>
      </c>
      <c r="C750" s="240">
        <v>8</v>
      </c>
      <c r="D750" s="690"/>
      <c r="E750" s="240"/>
      <c r="F750" s="836"/>
      <c r="G750" s="239">
        <f>2*2*6</f>
        <v>24</v>
      </c>
      <c r="H750" s="203">
        <f>(4700/150)+1</f>
        <v>32.333333333333329</v>
      </c>
      <c r="I750" s="234">
        <v>300</v>
      </c>
      <c r="J750" s="234"/>
      <c r="K750" s="234">
        <v>1400</v>
      </c>
      <c r="L750" s="234"/>
      <c r="M750" s="234"/>
      <c r="N750" s="235" t="e">
        <f>(((I750+J750+K750+L750+M750)-C750*#REF!*2)/1000)</f>
        <v>#REF!</v>
      </c>
      <c r="O750" s="235"/>
      <c r="P750" s="200" t="e">
        <f t="shared" si="110"/>
        <v>#REF!</v>
      </c>
      <c r="Q750" s="200">
        <f t="shared" si="111"/>
        <v>0</v>
      </c>
      <c r="R750" s="200">
        <f t="shared" si="112"/>
        <v>0</v>
      </c>
      <c r="S750" s="200">
        <f t="shared" si="113"/>
        <v>0</v>
      </c>
      <c r="T750" s="200">
        <f t="shared" si="114"/>
        <v>0</v>
      </c>
      <c r="U750" s="688">
        <f t="shared" si="115"/>
        <v>0</v>
      </c>
      <c r="V750" s="200">
        <f t="shared" si="116"/>
        <v>0</v>
      </c>
      <c r="W750" s="689"/>
    </row>
    <row r="751" spans="1:23" s="236" customFormat="1" ht="24.95" hidden="1" customHeight="1" outlineLevel="1">
      <c r="A751" s="239"/>
      <c r="B751" s="239" t="s">
        <v>472</v>
      </c>
      <c r="C751" s="240">
        <v>8</v>
      </c>
      <c r="D751" s="690"/>
      <c r="E751" s="240"/>
      <c r="F751" s="836"/>
      <c r="G751" s="239">
        <f>2*2*6</f>
        <v>24</v>
      </c>
      <c r="H751" s="203">
        <f>(1050/200)+1</f>
        <v>6.25</v>
      </c>
      <c r="I751" s="234">
        <v>400</v>
      </c>
      <c r="J751" s="234"/>
      <c r="K751" s="234">
        <v>4450</v>
      </c>
      <c r="L751" s="234"/>
      <c r="M751" s="234">
        <v>400</v>
      </c>
      <c r="N751" s="235" t="e">
        <f>(((I751+J751+K751+L751+M751)-C751*#REF!*2)/1000)</f>
        <v>#REF!</v>
      </c>
      <c r="O751" s="235"/>
      <c r="P751" s="200" t="e">
        <f t="shared" si="110"/>
        <v>#REF!</v>
      </c>
      <c r="Q751" s="200">
        <f t="shared" si="111"/>
        <v>0</v>
      </c>
      <c r="R751" s="200">
        <f t="shared" si="112"/>
        <v>0</v>
      </c>
      <c r="S751" s="200">
        <f t="shared" si="113"/>
        <v>0</v>
      </c>
      <c r="T751" s="200">
        <f t="shared" si="114"/>
        <v>0</v>
      </c>
      <c r="U751" s="688">
        <f t="shared" si="115"/>
        <v>0</v>
      </c>
      <c r="V751" s="200">
        <f t="shared" si="116"/>
        <v>0</v>
      </c>
      <c r="W751" s="689"/>
    </row>
    <row r="752" spans="1:23" s="236" customFormat="1" ht="24.95" hidden="1" customHeight="1" outlineLevel="1">
      <c r="A752" s="239"/>
      <c r="B752" s="239"/>
      <c r="C752" s="240">
        <v>8</v>
      </c>
      <c r="D752" s="690"/>
      <c r="E752" s="240"/>
      <c r="F752" s="836"/>
      <c r="G752" s="239">
        <f>2*2*6</f>
        <v>24</v>
      </c>
      <c r="H752" s="203">
        <f>(1050/200)+1</f>
        <v>6.25</v>
      </c>
      <c r="I752" s="234">
        <v>400</v>
      </c>
      <c r="J752" s="234"/>
      <c r="K752" s="234">
        <v>950</v>
      </c>
      <c r="L752" s="234"/>
      <c r="M752" s="234">
        <v>400</v>
      </c>
      <c r="N752" s="235" t="e">
        <f>(((I752+J752+K752+L752+M752)-C752*#REF!*2)/1000)</f>
        <v>#REF!</v>
      </c>
      <c r="O752" s="235"/>
      <c r="P752" s="200" t="e">
        <f t="shared" si="110"/>
        <v>#REF!</v>
      </c>
      <c r="Q752" s="200">
        <f t="shared" si="111"/>
        <v>0</v>
      </c>
      <c r="R752" s="200">
        <f t="shared" si="112"/>
        <v>0</v>
      </c>
      <c r="S752" s="200">
        <f t="shared" si="113"/>
        <v>0</v>
      </c>
      <c r="T752" s="200">
        <f t="shared" si="114"/>
        <v>0</v>
      </c>
      <c r="U752" s="688">
        <f t="shared" si="115"/>
        <v>0</v>
      </c>
      <c r="V752" s="200">
        <f t="shared" si="116"/>
        <v>0</v>
      </c>
      <c r="W752" s="689"/>
    </row>
    <row r="753" spans="1:23" s="236" customFormat="1" ht="24.95" hidden="1" customHeight="1" outlineLevel="1">
      <c r="A753" s="239"/>
      <c r="B753" s="239" t="s">
        <v>473</v>
      </c>
      <c r="C753" s="240">
        <v>8</v>
      </c>
      <c r="D753" s="690"/>
      <c r="E753" s="240"/>
      <c r="F753" s="836"/>
      <c r="G753" s="239">
        <f>2*6</f>
        <v>12</v>
      </c>
      <c r="H753" s="203">
        <v>20</v>
      </c>
      <c r="I753" s="234">
        <v>300</v>
      </c>
      <c r="J753" s="234"/>
      <c r="K753" s="234">
        <v>118</v>
      </c>
      <c r="L753" s="234"/>
      <c r="M753" s="234">
        <v>300</v>
      </c>
      <c r="N753" s="235" t="e">
        <f>(((I753+J753+K753+L753+M753)-C753*#REF!*2)/1000)</f>
        <v>#REF!</v>
      </c>
      <c r="O753" s="235"/>
      <c r="P753" s="200" t="e">
        <f t="shared" si="110"/>
        <v>#REF!</v>
      </c>
      <c r="Q753" s="200">
        <f t="shared" si="111"/>
        <v>0</v>
      </c>
      <c r="R753" s="200">
        <f t="shared" si="112"/>
        <v>0</v>
      </c>
      <c r="S753" s="200">
        <f t="shared" si="113"/>
        <v>0</v>
      </c>
      <c r="T753" s="200">
        <f t="shared" si="114"/>
        <v>0</v>
      </c>
      <c r="U753" s="688">
        <f t="shared" si="115"/>
        <v>0</v>
      </c>
      <c r="V753" s="200">
        <f t="shared" si="116"/>
        <v>0</v>
      </c>
      <c r="W753" s="689"/>
    </row>
    <row r="754" spans="1:23" s="236" customFormat="1" ht="24.95" hidden="1" customHeight="1" outlineLevel="1">
      <c r="A754" s="237">
        <v>14</v>
      </c>
      <c r="B754" s="238" t="s">
        <v>477</v>
      </c>
      <c r="C754" s="240"/>
      <c r="D754" s="690"/>
      <c r="E754" s="240"/>
      <c r="F754" s="836"/>
      <c r="G754" s="239"/>
      <c r="H754" s="203"/>
      <c r="I754" s="234"/>
      <c r="J754" s="234"/>
      <c r="K754" s="234"/>
      <c r="L754" s="234"/>
      <c r="M754" s="234"/>
      <c r="N754" s="235" t="e">
        <f>(((I754+J754+K754+L754+M754)-C754*#REF!*2)/1000)</f>
        <v>#REF!</v>
      </c>
      <c r="O754" s="235"/>
      <c r="P754" s="200">
        <f t="shared" si="110"/>
        <v>0</v>
      </c>
      <c r="Q754" s="200">
        <f t="shared" si="111"/>
        <v>0</v>
      </c>
      <c r="R754" s="200">
        <f t="shared" si="112"/>
        <v>0</v>
      </c>
      <c r="S754" s="200">
        <f t="shared" si="113"/>
        <v>0</v>
      </c>
      <c r="T754" s="200">
        <f t="shared" si="114"/>
        <v>0</v>
      </c>
      <c r="U754" s="688">
        <f t="shared" si="115"/>
        <v>0</v>
      </c>
      <c r="V754" s="200">
        <f t="shared" si="116"/>
        <v>0</v>
      </c>
      <c r="W754" s="689"/>
    </row>
    <row r="755" spans="1:23" s="236" customFormat="1" ht="24.95" hidden="1" customHeight="1" outlineLevel="1">
      <c r="A755" s="209" t="s">
        <v>478</v>
      </c>
      <c r="B755" s="209" t="s">
        <v>463</v>
      </c>
      <c r="C755" s="240"/>
      <c r="D755" s="690"/>
      <c r="E755" s="240"/>
      <c r="F755" s="836"/>
      <c r="G755" s="239">
        <v>2</v>
      </c>
      <c r="H755" s="203"/>
      <c r="I755" s="234"/>
      <c r="J755" s="234"/>
      <c r="K755" s="234"/>
      <c r="L755" s="234"/>
      <c r="M755" s="234"/>
      <c r="N755" s="235" t="e">
        <f>(((I755+J755+K755+L755+M755)-C755*#REF!*2)/1000)</f>
        <v>#REF!</v>
      </c>
      <c r="O755" s="235"/>
      <c r="P755" s="200">
        <f t="shared" si="110"/>
        <v>0</v>
      </c>
      <c r="Q755" s="200">
        <f t="shared" si="111"/>
        <v>0</v>
      </c>
      <c r="R755" s="200">
        <f t="shared" si="112"/>
        <v>0</v>
      </c>
      <c r="S755" s="200">
        <f t="shared" si="113"/>
        <v>0</v>
      </c>
      <c r="T755" s="200">
        <f t="shared" si="114"/>
        <v>0</v>
      </c>
      <c r="U755" s="688">
        <f t="shared" si="115"/>
        <v>0</v>
      </c>
      <c r="V755" s="200">
        <f t="shared" si="116"/>
        <v>0</v>
      </c>
      <c r="W755" s="689"/>
    </row>
    <row r="756" spans="1:23" s="236" customFormat="1" ht="24.95" hidden="1" customHeight="1" outlineLevel="1">
      <c r="A756" s="239"/>
      <c r="B756" s="239" t="s">
        <v>464</v>
      </c>
      <c r="C756" s="240"/>
      <c r="D756" s="690"/>
      <c r="E756" s="240"/>
      <c r="F756" s="836"/>
      <c r="G756" s="239"/>
      <c r="H756" s="203"/>
      <c r="I756" s="234"/>
      <c r="J756" s="234"/>
      <c r="K756" s="234"/>
      <c r="L756" s="234"/>
      <c r="M756" s="234"/>
      <c r="N756" s="235" t="e">
        <f>(((I756+J756+K756+L756+M756)-C756*#REF!*2)/1000)</f>
        <v>#REF!</v>
      </c>
      <c r="O756" s="235"/>
      <c r="P756" s="200">
        <f t="shared" si="110"/>
        <v>0</v>
      </c>
      <c r="Q756" s="200">
        <f t="shared" si="111"/>
        <v>0</v>
      </c>
      <c r="R756" s="200">
        <f t="shared" si="112"/>
        <v>0</v>
      </c>
      <c r="S756" s="200">
        <f t="shared" si="113"/>
        <v>0</v>
      </c>
      <c r="T756" s="200">
        <f t="shared" si="114"/>
        <v>0</v>
      </c>
      <c r="U756" s="688">
        <f t="shared" si="115"/>
        <v>0</v>
      </c>
      <c r="V756" s="200">
        <f t="shared" si="116"/>
        <v>0</v>
      </c>
      <c r="W756" s="689"/>
    </row>
    <row r="757" spans="1:23" s="236" customFormat="1" ht="24.95" hidden="1" customHeight="1" outlineLevel="1">
      <c r="A757" s="239"/>
      <c r="B757" s="239" t="s">
        <v>465</v>
      </c>
      <c r="C757" s="240">
        <v>8</v>
      </c>
      <c r="D757" s="690"/>
      <c r="E757" s="240"/>
      <c r="F757" s="836"/>
      <c r="G757" s="239">
        <v>2</v>
      </c>
      <c r="H757" s="203">
        <f>(4700/150)+1</f>
        <v>32.333333333333329</v>
      </c>
      <c r="I757" s="241">
        <v>150</v>
      </c>
      <c r="J757" s="234"/>
      <c r="K757" s="234">
        <v>1200</v>
      </c>
      <c r="L757" s="234"/>
      <c r="M757" s="241">
        <v>150</v>
      </c>
      <c r="N757" s="235" t="e">
        <f>(((I757+J757+K757+L757+M757)-C757*#REF!*2)/1000)</f>
        <v>#REF!</v>
      </c>
      <c r="O757" s="235"/>
      <c r="P757" s="200" t="e">
        <f t="shared" si="110"/>
        <v>#REF!</v>
      </c>
      <c r="Q757" s="200">
        <f t="shared" si="111"/>
        <v>0</v>
      </c>
      <c r="R757" s="200">
        <f t="shared" si="112"/>
        <v>0</v>
      </c>
      <c r="S757" s="200">
        <f t="shared" si="113"/>
        <v>0</v>
      </c>
      <c r="T757" s="200">
        <f t="shared" si="114"/>
        <v>0</v>
      </c>
      <c r="U757" s="688">
        <f t="shared" si="115"/>
        <v>0</v>
      </c>
      <c r="V757" s="200">
        <f t="shared" si="116"/>
        <v>0</v>
      </c>
      <c r="W757" s="689"/>
    </row>
    <row r="758" spans="1:23" s="236" customFormat="1" ht="24.95" hidden="1" customHeight="1" outlineLevel="1">
      <c r="A758" s="239"/>
      <c r="B758" s="239" t="s">
        <v>466</v>
      </c>
      <c r="C758" s="240">
        <v>8</v>
      </c>
      <c r="D758" s="690"/>
      <c r="E758" s="240"/>
      <c r="F758" s="836"/>
      <c r="G758" s="239">
        <v>2</v>
      </c>
      <c r="H758" s="203">
        <f>(1200/200)+1</f>
        <v>7</v>
      </c>
      <c r="I758" s="241">
        <v>150</v>
      </c>
      <c r="J758" s="234"/>
      <c r="K758" s="234">
        <v>4700</v>
      </c>
      <c r="L758" s="234"/>
      <c r="M758" s="241">
        <v>150</v>
      </c>
      <c r="N758" s="235" t="e">
        <f>(((I758+J758+K758+L758+M758)-C758*#REF!*2)/1000)</f>
        <v>#REF!</v>
      </c>
      <c r="O758" s="235"/>
      <c r="P758" s="200" t="e">
        <f t="shared" si="110"/>
        <v>#REF!</v>
      </c>
      <c r="Q758" s="200">
        <f t="shared" si="111"/>
        <v>0</v>
      </c>
      <c r="R758" s="200">
        <f t="shared" si="112"/>
        <v>0</v>
      </c>
      <c r="S758" s="200">
        <f t="shared" si="113"/>
        <v>0</v>
      </c>
      <c r="T758" s="200">
        <f t="shared" si="114"/>
        <v>0</v>
      </c>
      <c r="U758" s="688">
        <f t="shared" si="115"/>
        <v>0</v>
      </c>
      <c r="V758" s="200">
        <f t="shared" si="116"/>
        <v>0</v>
      </c>
      <c r="W758" s="689"/>
    </row>
    <row r="759" spans="1:23" s="236" customFormat="1" ht="24.95" hidden="1" customHeight="1" outlineLevel="1">
      <c r="A759" s="239"/>
      <c r="B759" s="239" t="s">
        <v>467</v>
      </c>
      <c r="C759" s="240"/>
      <c r="D759" s="690"/>
      <c r="E759" s="240"/>
      <c r="F759" s="836"/>
      <c r="G759" s="239"/>
      <c r="H759" s="203"/>
      <c r="I759" s="234"/>
      <c r="J759" s="234"/>
      <c r="K759" s="234"/>
      <c r="L759" s="234"/>
      <c r="M759" s="234"/>
      <c r="N759" s="235" t="e">
        <f>(((I759+J759+K759+L759+M759)-C759*#REF!*2)/1000)</f>
        <v>#REF!</v>
      </c>
      <c r="O759" s="235"/>
      <c r="P759" s="200">
        <f t="shared" si="110"/>
        <v>0</v>
      </c>
      <c r="Q759" s="200">
        <f t="shared" si="111"/>
        <v>0</v>
      </c>
      <c r="R759" s="200">
        <f t="shared" si="112"/>
        <v>0</v>
      </c>
      <c r="S759" s="200">
        <f t="shared" si="113"/>
        <v>0</v>
      </c>
      <c r="T759" s="200">
        <f t="shared" si="114"/>
        <v>0</v>
      </c>
      <c r="U759" s="688">
        <f t="shared" si="115"/>
        <v>0</v>
      </c>
      <c r="V759" s="200">
        <f t="shared" si="116"/>
        <v>0</v>
      </c>
      <c r="W759" s="689"/>
    </row>
    <row r="760" spans="1:23" s="236" customFormat="1" ht="24.95" hidden="1" customHeight="1" outlineLevel="1">
      <c r="A760" s="239"/>
      <c r="B760" s="239" t="s">
        <v>465</v>
      </c>
      <c r="C760" s="240">
        <v>8</v>
      </c>
      <c r="D760" s="690"/>
      <c r="E760" s="240"/>
      <c r="F760" s="836"/>
      <c r="G760" s="239">
        <v>2</v>
      </c>
      <c r="H760" s="203">
        <f>(4700/150)+1</f>
        <v>32.333333333333329</v>
      </c>
      <c r="I760" s="241">
        <v>150</v>
      </c>
      <c r="J760" s="234"/>
      <c r="K760" s="234">
        <v>1200</v>
      </c>
      <c r="L760" s="234"/>
      <c r="M760" s="241">
        <v>150</v>
      </c>
      <c r="N760" s="235" t="e">
        <f>(((I760+J760+K760+L760+M760)-C760*#REF!*2)/1000)</f>
        <v>#REF!</v>
      </c>
      <c r="O760" s="235"/>
      <c r="P760" s="200" t="e">
        <f t="shared" si="110"/>
        <v>#REF!</v>
      </c>
      <c r="Q760" s="200">
        <f t="shared" si="111"/>
        <v>0</v>
      </c>
      <c r="R760" s="200">
        <f t="shared" si="112"/>
        <v>0</v>
      </c>
      <c r="S760" s="200">
        <f t="shared" si="113"/>
        <v>0</v>
      </c>
      <c r="T760" s="200">
        <f t="shared" si="114"/>
        <v>0</v>
      </c>
      <c r="U760" s="688">
        <f t="shared" si="115"/>
        <v>0</v>
      </c>
      <c r="V760" s="200">
        <f t="shared" si="116"/>
        <v>0</v>
      </c>
      <c r="W760" s="689"/>
    </row>
    <row r="761" spans="1:23" s="236" customFormat="1" ht="24.95" hidden="1" customHeight="1" outlineLevel="1">
      <c r="A761" s="239"/>
      <c r="B761" s="239" t="s">
        <v>466</v>
      </c>
      <c r="C761" s="240">
        <v>8</v>
      </c>
      <c r="D761" s="690"/>
      <c r="E761" s="240"/>
      <c r="F761" s="836"/>
      <c r="G761" s="239">
        <v>2</v>
      </c>
      <c r="H761" s="203">
        <f>(1200/200)+1</f>
        <v>7</v>
      </c>
      <c r="I761" s="241">
        <v>150</v>
      </c>
      <c r="J761" s="234"/>
      <c r="K761" s="234">
        <v>4700</v>
      </c>
      <c r="L761" s="234"/>
      <c r="M761" s="241">
        <v>150</v>
      </c>
      <c r="N761" s="235" t="e">
        <f>(((I761+J761+K761+L761+M761)-C761*#REF!*2)/1000)</f>
        <v>#REF!</v>
      </c>
      <c r="O761" s="235"/>
      <c r="P761" s="200" t="e">
        <f t="shared" si="110"/>
        <v>#REF!</v>
      </c>
      <c r="Q761" s="200">
        <f t="shared" si="111"/>
        <v>0</v>
      </c>
      <c r="R761" s="200">
        <f t="shared" si="112"/>
        <v>0</v>
      </c>
      <c r="S761" s="200">
        <f t="shared" si="113"/>
        <v>0</v>
      </c>
      <c r="T761" s="200">
        <f t="shared" si="114"/>
        <v>0</v>
      </c>
      <c r="U761" s="688">
        <f t="shared" si="115"/>
        <v>0</v>
      </c>
      <c r="V761" s="200">
        <f t="shared" si="116"/>
        <v>0</v>
      </c>
      <c r="W761" s="689"/>
    </row>
    <row r="762" spans="1:23" s="236" customFormat="1" ht="24.95" hidden="1" customHeight="1" outlineLevel="1">
      <c r="A762" s="239"/>
      <c r="B762" s="239" t="s">
        <v>468</v>
      </c>
      <c r="C762" s="240">
        <v>10</v>
      </c>
      <c r="D762" s="690"/>
      <c r="E762" s="240"/>
      <c r="F762" s="836"/>
      <c r="G762" s="239">
        <v>2</v>
      </c>
      <c r="H762" s="203">
        <v>10</v>
      </c>
      <c r="I762" s="234">
        <v>300</v>
      </c>
      <c r="J762" s="234">
        <f>300-100-32</f>
        <v>168</v>
      </c>
      <c r="K762" s="234">
        <v>500</v>
      </c>
      <c r="L762" s="234">
        <f>300-100-32</f>
        <v>168</v>
      </c>
      <c r="M762" s="234">
        <v>300</v>
      </c>
      <c r="N762" s="235" t="e">
        <f>(((I762+J762+K762+L762+M762)-C762*#REF!*2)/1000)</f>
        <v>#REF!</v>
      </c>
      <c r="O762" s="235"/>
      <c r="P762" s="200">
        <f t="shared" si="110"/>
        <v>0</v>
      </c>
      <c r="Q762" s="200" t="e">
        <f t="shared" si="111"/>
        <v>#REF!</v>
      </c>
      <c r="R762" s="200">
        <f t="shared" si="112"/>
        <v>0</v>
      </c>
      <c r="S762" s="200">
        <f t="shared" si="113"/>
        <v>0</v>
      </c>
      <c r="T762" s="200">
        <f t="shared" si="114"/>
        <v>0</v>
      </c>
      <c r="U762" s="688">
        <f t="shared" si="115"/>
        <v>0</v>
      </c>
      <c r="V762" s="200">
        <f t="shared" si="116"/>
        <v>0</v>
      </c>
      <c r="W762" s="689"/>
    </row>
    <row r="763" spans="1:23" s="236" customFormat="1" ht="24.95" hidden="1" customHeight="1" outlineLevel="1">
      <c r="A763" s="209" t="s">
        <v>479</v>
      </c>
      <c r="B763" s="209" t="s">
        <v>470</v>
      </c>
      <c r="C763" s="240"/>
      <c r="D763" s="690"/>
      <c r="E763" s="240"/>
      <c r="F763" s="836"/>
      <c r="G763" s="239"/>
      <c r="H763" s="203"/>
      <c r="I763" s="234"/>
      <c r="J763" s="234"/>
      <c r="K763" s="234"/>
      <c r="L763" s="234"/>
      <c r="M763" s="234"/>
      <c r="N763" s="235" t="e">
        <f>(((I763+J763+K763+L763+M763)-C763*#REF!*2)/1000)</f>
        <v>#REF!</v>
      </c>
      <c r="O763" s="235"/>
      <c r="P763" s="200">
        <f t="shared" si="110"/>
        <v>0</v>
      </c>
      <c r="Q763" s="200">
        <f t="shared" si="111"/>
        <v>0</v>
      </c>
      <c r="R763" s="200">
        <f t="shared" si="112"/>
        <v>0</v>
      </c>
      <c r="S763" s="200">
        <f t="shared" si="113"/>
        <v>0</v>
      </c>
      <c r="T763" s="200">
        <f t="shared" si="114"/>
        <v>0</v>
      </c>
      <c r="U763" s="688">
        <f t="shared" si="115"/>
        <v>0</v>
      </c>
      <c r="V763" s="200">
        <f t="shared" si="116"/>
        <v>0</v>
      </c>
      <c r="W763" s="689"/>
    </row>
    <row r="764" spans="1:23" s="236" customFormat="1" ht="24.95" hidden="1" customHeight="1" outlineLevel="1">
      <c r="A764" s="239"/>
      <c r="B764" s="239" t="s">
        <v>471</v>
      </c>
      <c r="C764" s="240">
        <v>8</v>
      </c>
      <c r="D764" s="690"/>
      <c r="E764" s="240"/>
      <c r="F764" s="836"/>
      <c r="G764" s="239">
        <f>2*2*2</f>
        <v>8</v>
      </c>
      <c r="H764" s="203">
        <f>(4700/150)+1</f>
        <v>32.333333333333329</v>
      </c>
      <c r="I764" s="234">
        <v>300</v>
      </c>
      <c r="J764" s="234"/>
      <c r="K764" s="234">
        <v>1400</v>
      </c>
      <c r="L764" s="234"/>
      <c r="M764" s="234"/>
      <c r="N764" s="235" t="e">
        <f>(((I764+J764+K764+L764+M764)-C764*#REF!*2)/1000)</f>
        <v>#REF!</v>
      </c>
      <c r="O764" s="235"/>
      <c r="P764" s="200" t="e">
        <f t="shared" si="110"/>
        <v>#REF!</v>
      </c>
      <c r="Q764" s="200">
        <f t="shared" si="111"/>
        <v>0</v>
      </c>
      <c r="R764" s="200">
        <f t="shared" si="112"/>
        <v>0</v>
      </c>
      <c r="S764" s="200">
        <f t="shared" si="113"/>
        <v>0</v>
      </c>
      <c r="T764" s="200">
        <f t="shared" si="114"/>
        <v>0</v>
      </c>
      <c r="U764" s="688">
        <f t="shared" si="115"/>
        <v>0</v>
      </c>
      <c r="V764" s="200">
        <f t="shared" si="116"/>
        <v>0</v>
      </c>
      <c r="W764" s="689"/>
    </row>
    <row r="765" spans="1:23" s="236" customFormat="1" ht="24.95" hidden="1" customHeight="1" outlineLevel="1">
      <c r="A765" s="239"/>
      <c r="B765" s="239" t="s">
        <v>472</v>
      </c>
      <c r="C765" s="240">
        <v>8</v>
      </c>
      <c r="D765" s="690"/>
      <c r="E765" s="240"/>
      <c r="F765" s="836"/>
      <c r="G765" s="239">
        <f>2*2*2</f>
        <v>8</v>
      </c>
      <c r="H765" s="203">
        <f>(1050/200)+1</f>
        <v>6.25</v>
      </c>
      <c r="I765" s="234">
        <v>400</v>
      </c>
      <c r="J765" s="234"/>
      <c r="K765" s="234">
        <v>4450</v>
      </c>
      <c r="L765" s="234"/>
      <c r="M765" s="234">
        <v>400</v>
      </c>
      <c r="N765" s="235" t="e">
        <f>(((I765+J765+K765+L765+M765)-C765*#REF!*2)/1000)</f>
        <v>#REF!</v>
      </c>
      <c r="O765" s="235"/>
      <c r="P765" s="200" t="e">
        <f t="shared" si="110"/>
        <v>#REF!</v>
      </c>
      <c r="Q765" s="200">
        <f t="shared" si="111"/>
        <v>0</v>
      </c>
      <c r="R765" s="200">
        <f t="shared" si="112"/>
        <v>0</v>
      </c>
      <c r="S765" s="200">
        <f t="shared" si="113"/>
        <v>0</v>
      </c>
      <c r="T765" s="200">
        <f t="shared" si="114"/>
        <v>0</v>
      </c>
      <c r="U765" s="688">
        <f t="shared" si="115"/>
        <v>0</v>
      </c>
      <c r="V765" s="200">
        <f t="shared" si="116"/>
        <v>0</v>
      </c>
      <c r="W765" s="689"/>
    </row>
    <row r="766" spans="1:23" s="236" customFormat="1" ht="24.95" hidden="1" customHeight="1" outlineLevel="1">
      <c r="A766" s="239"/>
      <c r="B766" s="239"/>
      <c r="C766" s="240">
        <v>8</v>
      </c>
      <c r="D766" s="690"/>
      <c r="E766" s="240"/>
      <c r="F766" s="836"/>
      <c r="G766" s="239">
        <f>2*2*2</f>
        <v>8</v>
      </c>
      <c r="H766" s="203">
        <f>(1050/200)+1</f>
        <v>6.25</v>
      </c>
      <c r="I766" s="234">
        <v>400</v>
      </c>
      <c r="J766" s="234"/>
      <c r="K766" s="234">
        <v>950</v>
      </c>
      <c r="L766" s="234"/>
      <c r="M766" s="234">
        <v>400</v>
      </c>
      <c r="N766" s="235" t="e">
        <f>(((I766+J766+K766+L766+M766)-C766*#REF!*2)/1000)</f>
        <v>#REF!</v>
      </c>
      <c r="O766" s="235"/>
      <c r="P766" s="200" t="e">
        <f t="shared" si="110"/>
        <v>#REF!</v>
      </c>
      <c r="Q766" s="200">
        <f t="shared" si="111"/>
        <v>0</v>
      </c>
      <c r="R766" s="200">
        <f t="shared" si="112"/>
        <v>0</v>
      </c>
      <c r="S766" s="200">
        <f t="shared" si="113"/>
        <v>0</v>
      </c>
      <c r="T766" s="200">
        <f t="shared" si="114"/>
        <v>0</v>
      </c>
      <c r="U766" s="688">
        <f t="shared" si="115"/>
        <v>0</v>
      </c>
      <c r="V766" s="200">
        <f t="shared" si="116"/>
        <v>0</v>
      </c>
      <c r="W766" s="689"/>
    </row>
    <row r="767" spans="1:23" s="236" customFormat="1" ht="24.95" hidden="1" customHeight="1" outlineLevel="1">
      <c r="A767" s="239"/>
      <c r="B767" s="239" t="s">
        <v>473</v>
      </c>
      <c r="C767" s="240">
        <v>8</v>
      </c>
      <c r="D767" s="690"/>
      <c r="E767" s="240"/>
      <c r="F767" s="836"/>
      <c r="G767" s="239">
        <f>2*2</f>
        <v>4</v>
      </c>
      <c r="H767" s="203">
        <v>20</v>
      </c>
      <c r="I767" s="234">
        <v>300</v>
      </c>
      <c r="J767" s="234"/>
      <c r="K767" s="234">
        <v>118</v>
      </c>
      <c r="L767" s="234"/>
      <c r="M767" s="234">
        <v>300</v>
      </c>
      <c r="N767" s="235" t="e">
        <f>(((I767+J767+K767+L767+M767)-C767*#REF!*2)/1000)</f>
        <v>#REF!</v>
      </c>
      <c r="O767" s="235"/>
      <c r="P767" s="200" t="e">
        <f t="shared" si="110"/>
        <v>#REF!</v>
      </c>
      <c r="Q767" s="200">
        <f t="shared" si="111"/>
        <v>0</v>
      </c>
      <c r="R767" s="200">
        <f t="shared" si="112"/>
        <v>0</v>
      </c>
      <c r="S767" s="200">
        <f t="shared" si="113"/>
        <v>0</v>
      </c>
      <c r="T767" s="200">
        <f t="shared" si="114"/>
        <v>0</v>
      </c>
      <c r="U767" s="688">
        <f t="shared" si="115"/>
        <v>0</v>
      </c>
      <c r="V767" s="200">
        <f t="shared" si="116"/>
        <v>0</v>
      </c>
      <c r="W767" s="689"/>
    </row>
    <row r="768" spans="1:23" s="236" customFormat="1" ht="24.95" hidden="1" customHeight="1" outlineLevel="1">
      <c r="A768" s="209" t="s">
        <v>480</v>
      </c>
      <c r="B768" s="209" t="s">
        <v>475</v>
      </c>
      <c r="C768" s="240"/>
      <c r="D768" s="690"/>
      <c r="E768" s="240"/>
      <c r="F768" s="836"/>
      <c r="G768" s="239">
        <v>6</v>
      </c>
      <c r="H768" s="203"/>
      <c r="I768" s="234"/>
      <c r="J768" s="234"/>
      <c r="K768" s="234"/>
      <c r="L768" s="234"/>
      <c r="M768" s="234"/>
      <c r="N768" s="235" t="e">
        <f>(((I768+J768+K768+L768+M768)-C768*#REF!*2)/1000)</f>
        <v>#REF!</v>
      </c>
      <c r="O768" s="235"/>
      <c r="P768" s="200">
        <f t="shared" si="110"/>
        <v>0</v>
      </c>
      <c r="Q768" s="200">
        <f t="shared" si="111"/>
        <v>0</v>
      </c>
      <c r="R768" s="200">
        <f t="shared" si="112"/>
        <v>0</v>
      </c>
      <c r="S768" s="200">
        <f t="shared" si="113"/>
        <v>0</v>
      </c>
      <c r="T768" s="200">
        <f t="shared" si="114"/>
        <v>0</v>
      </c>
      <c r="U768" s="688">
        <f t="shared" si="115"/>
        <v>0</v>
      </c>
      <c r="V768" s="200">
        <f t="shared" si="116"/>
        <v>0</v>
      </c>
      <c r="W768" s="689"/>
    </row>
    <row r="769" spans="1:23" s="236" customFormat="1" ht="24.95" hidden="1" customHeight="1" outlineLevel="1">
      <c r="A769" s="239"/>
      <c r="B769" s="239" t="s">
        <v>464</v>
      </c>
      <c r="C769" s="240"/>
      <c r="D769" s="690"/>
      <c r="E769" s="240"/>
      <c r="F769" s="836"/>
      <c r="G769" s="239"/>
      <c r="H769" s="203"/>
      <c r="I769" s="234"/>
      <c r="J769" s="234"/>
      <c r="K769" s="234"/>
      <c r="L769" s="234"/>
      <c r="M769" s="234"/>
      <c r="N769" s="235" t="e">
        <f>(((I769+J769+K769+L769+M769)-C769*#REF!*2)/1000)</f>
        <v>#REF!</v>
      </c>
      <c r="O769" s="235"/>
      <c r="P769" s="200">
        <f t="shared" si="110"/>
        <v>0</v>
      </c>
      <c r="Q769" s="200">
        <f t="shared" si="111"/>
        <v>0</v>
      </c>
      <c r="R769" s="200">
        <f t="shared" si="112"/>
        <v>0</v>
      </c>
      <c r="S769" s="200">
        <f t="shared" si="113"/>
        <v>0</v>
      </c>
      <c r="T769" s="200">
        <f t="shared" si="114"/>
        <v>0</v>
      </c>
      <c r="U769" s="688">
        <f t="shared" si="115"/>
        <v>0</v>
      </c>
      <c r="V769" s="200">
        <f t="shared" si="116"/>
        <v>0</v>
      </c>
      <c r="W769" s="689"/>
    </row>
    <row r="770" spans="1:23" s="236" customFormat="1" ht="24.95" hidden="1" customHeight="1" outlineLevel="1">
      <c r="A770" s="239"/>
      <c r="B770" s="239" t="s">
        <v>465</v>
      </c>
      <c r="C770" s="240">
        <v>8</v>
      </c>
      <c r="D770" s="690"/>
      <c r="E770" s="240"/>
      <c r="F770" s="836"/>
      <c r="G770" s="239">
        <v>6</v>
      </c>
      <c r="H770" s="203">
        <f>(4700/150)+1</f>
        <v>32.333333333333329</v>
      </c>
      <c r="I770" s="241">
        <v>150</v>
      </c>
      <c r="J770" s="234"/>
      <c r="K770" s="234">
        <v>1050</v>
      </c>
      <c r="L770" s="234"/>
      <c r="M770" s="241">
        <v>150</v>
      </c>
      <c r="N770" s="235" t="e">
        <f>(((I770+J770+K770+L770+M770)-C770*#REF!*2)/1000)</f>
        <v>#REF!</v>
      </c>
      <c r="O770" s="235"/>
      <c r="P770" s="200" t="e">
        <f t="shared" si="110"/>
        <v>#REF!</v>
      </c>
      <c r="Q770" s="200">
        <f t="shared" si="111"/>
        <v>0</v>
      </c>
      <c r="R770" s="200">
        <f t="shared" si="112"/>
        <v>0</v>
      </c>
      <c r="S770" s="200">
        <f t="shared" si="113"/>
        <v>0</v>
      </c>
      <c r="T770" s="200">
        <f t="shared" si="114"/>
        <v>0</v>
      </c>
      <c r="U770" s="688">
        <f t="shared" si="115"/>
        <v>0</v>
      </c>
      <c r="V770" s="200">
        <f t="shared" si="116"/>
        <v>0</v>
      </c>
      <c r="W770" s="689"/>
    </row>
    <row r="771" spans="1:23" s="236" customFormat="1" ht="24.95" hidden="1" customHeight="1" outlineLevel="1">
      <c r="A771" s="239"/>
      <c r="B771" s="239" t="s">
        <v>466</v>
      </c>
      <c r="C771" s="240">
        <v>8</v>
      </c>
      <c r="D771" s="690"/>
      <c r="E771" s="240"/>
      <c r="F771" s="836"/>
      <c r="G771" s="239">
        <v>6</v>
      </c>
      <c r="H771" s="203">
        <f>(1150/200)+1</f>
        <v>6.75</v>
      </c>
      <c r="I771" s="241">
        <v>150</v>
      </c>
      <c r="J771" s="234"/>
      <c r="K771" s="234">
        <v>4700</v>
      </c>
      <c r="L771" s="234"/>
      <c r="M771" s="241">
        <v>150</v>
      </c>
      <c r="N771" s="235" t="e">
        <f>(((I771+J771+K771+L771+M771)-C771*#REF!*2)/1000)</f>
        <v>#REF!</v>
      </c>
      <c r="O771" s="235"/>
      <c r="P771" s="200" t="e">
        <f t="shared" si="110"/>
        <v>#REF!</v>
      </c>
      <c r="Q771" s="200">
        <f t="shared" si="111"/>
        <v>0</v>
      </c>
      <c r="R771" s="200">
        <f t="shared" si="112"/>
        <v>0</v>
      </c>
      <c r="S771" s="200">
        <f t="shared" si="113"/>
        <v>0</v>
      </c>
      <c r="T771" s="200">
        <f t="shared" si="114"/>
        <v>0</v>
      </c>
      <c r="U771" s="688">
        <f t="shared" si="115"/>
        <v>0</v>
      </c>
      <c r="V771" s="200">
        <f t="shared" si="116"/>
        <v>0</v>
      </c>
      <c r="W771" s="689"/>
    </row>
    <row r="772" spans="1:23" s="236" customFormat="1" ht="24.95" hidden="1" customHeight="1" outlineLevel="1">
      <c r="A772" s="239"/>
      <c r="B772" s="239" t="s">
        <v>467</v>
      </c>
      <c r="C772" s="240"/>
      <c r="D772" s="690"/>
      <c r="E772" s="240"/>
      <c r="F772" s="836"/>
      <c r="G772" s="239"/>
      <c r="H772" s="203"/>
      <c r="I772" s="234"/>
      <c r="J772" s="234"/>
      <c r="K772" s="234"/>
      <c r="L772" s="234"/>
      <c r="M772" s="234"/>
      <c r="N772" s="235" t="e">
        <f>(((I772+J772+K772+L772+M772)-C772*#REF!*2)/1000)</f>
        <v>#REF!</v>
      </c>
      <c r="O772" s="235"/>
      <c r="P772" s="200">
        <f t="shared" si="110"/>
        <v>0</v>
      </c>
      <c r="Q772" s="200">
        <f t="shared" si="111"/>
        <v>0</v>
      </c>
      <c r="R772" s="200">
        <f t="shared" si="112"/>
        <v>0</v>
      </c>
      <c r="S772" s="200">
        <f t="shared" si="113"/>
        <v>0</v>
      </c>
      <c r="T772" s="200">
        <f t="shared" si="114"/>
        <v>0</v>
      </c>
      <c r="U772" s="688">
        <f t="shared" si="115"/>
        <v>0</v>
      </c>
      <c r="V772" s="200">
        <f t="shared" si="116"/>
        <v>0</v>
      </c>
      <c r="W772" s="689"/>
    </row>
    <row r="773" spans="1:23" s="236" customFormat="1" ht="24.95" hidden="1" customHeight="1" outlineLevel="1">
      <c r="A773" s="239"/>
      <c r="B773" s="239" t="s">
        <v>465</v>
      </c>
      <c r="C773" s="240">
        <v>8</v>
      </c>
      <c r="D773" s="690"/>
      <c r="E773" s="240"/>
      <c r="F773" s="836"/>
      <c r="G773" s="239">
        <v>6</v>
      </c>
      <c r="H773" s="203">
        <f>(4700/150)+1</f>
        <v>32.333333333333329</v>
      </c>
      <c r="I773" s="241">
        <v>150</v>
      </c>
      <c r="J773" s="234"/>
      <c r="K773" s="234">
        <v>1050</v>
      </c>
      <c r="L773" s="234"/>
      <c r="M773" s="241">
        <v>150</v>
      </c>
      <c r="N773" s="235" t="e">
        <f>(((I773+J773+K773+L773+M773)-C773*#REF!*2)/1000)</f>
        <v>#REF!</v>
      </c>
      <c r="O773" s="235"/>
      <c r="P773" s="200" t="e">
        <f t="shared" si="110"/>
        <v>#REF!</v>
      </c>
      <c r="Q773" s="200">
        <f t="shared" si="111"/>
        <v>0</v>
      </c>
      <c r="R773" s="200">
        <f t="shared" si="112"/>
        <v>0</v>
      </c>
      <c r="S773" s="200">
        <f t="shared" si="113"/>
        <v>0</v>
      </c>
      <c r="T773" s="200">
        <f t="shared" si="114"/>
        <v>0</v>
      </c>
      <c r="U773" s="688">
        <f t="shared" si="115"/>
        <v>0</v>
      </c>
      <c r="V773" s="200">
        <f t="shared" si="116"/>
        <v>0</v>
      </c>
      <c r="W773" s="689"/>
    </row>
    <row r="774" spans="1:23" s="236" customFormat="1" ht="24.95" hidden="1" customHeight="1" outlineLevel="1">
      <c r="A774" s="239"/>
      <c r="B774" s="239" t="s">
        <v>466</v>
      </c>
      <c r="C774" s="240">
        <v>8</v>
      </c>
      <c r="D774" s="690"/>
      <c r="E774" s="240"/>
      <c r="F774" s="836"/>
      <c r="G774" s="239">
        <v>6</v>
      </c>
      <c r="H774" s="203">
        <f>(1150/200)+1</f>
        <v>6.75</v>
      </c>
      <c r="I774" s="241">
        <v>150</v>
      </c>
      <c r="J774" s="234"/>
      <c r="K774" s="234">
        <v>4700</v>
      </c>
      <c r="L774" s="234"/>
      <c r="M774" s="241">
        <v>150</v>
      </c>
      <c r="N774" s="235" t="e">
        <f>(((I774+J774+K774+L774+M774)-C774*#REF!*2)/1000)</f>
        <v>#REF!</v>
      </c>
      <c r="O774" s="235"/>
      <c r="P774" s="200" t="e">
        <f t="shared" si="110"/>
        <v>#REF!</v>
      </c>
      <c r="Q774" s="200">
        <f t="shared" si="111"/>
        <v>0</v>
      </c>
      <c r="R774" s="200">
        <f t="shared" si="112"/>
        <v>0</v>
      </c>
      <c r="S774" s="200">
        <f t="shared" si="113"/>
        <v>0</v>
      </c>
      <c r="T774" s="200">
        <f t="shared" si="114"/>
        <v>0</v>
      </c>
      <c r="U774" s="688">
        <f t="shared" si="115"/>
        <v>0</v>
      </c>
      <c r="V774" s="200">
        <f t="shared" si="116"/>
        <v>0</v>
      </c>
      <c r="W774" s="689"/>
    </row>
    <row r="775" spans="1:23" s="256" customFormat="1" ht="24.95" hidden="1" customHeight="1" outlineLevel="1">
      <c r="A775" s="252"/>
      <c r="B775" s="252" t="s">
        <v>468</v>
      </c>
      <c r="C775" s="253">
        <v>10</v>
      </c>
      <c r="D775" s="698"/>
      <c r="E775" s="253"/>
      <c r="F775" s="698"/>
      <c r="G775" s="252">
        <f>6</f>
        <v>6</v>
      </c>
      <c r="H775" s="254">
        <v>10</v>
      </c>
      <c r="I775" s="234">
        <v>300</v>
      </c>
      <c r="J775" s="234">
        <f>300-100-32</f>
        <v>168</v>
      </c>
      <c r="K775" s="234">
        <v>500</v>
      </c>
      <c r="L775" s="234">
        <f>300-100-32</f>
        <v>168</v>
      </c>
      <c r="M775" s="234">
        <v>300</v>
      </c>
      <c r="N775" s="235" t="e">
        <f>(((I775+J775+K775+L775+M775)-C775*#REF!*2)/1000)</f>
        <v>#REF!</v>
      </c>
      <c r="O775" s="235"/>
      <c r="P775" s="255">
        <f t="shared" si="110"/>
        <v>0</v>
      </c>
      <c r="Q775" s="255" t="e">
        <f t="shared" si="111"/>
        <v>#REF!</v>
      </c>
      <c r="R775" s="255">
        <f t="shared" si="112"/>
        <v>0</v>
      </c>
      <c r="S775" s="255">
        <f t="shared" si="113"/>
        <v>0</v>
      </c>
      <c r="T775" s="255">
        <f t="shared" si="114"/>
        <v>0</v>
      </c>
      <c r="U775" s="699">
        <f t="shared" si="115"/>
        <v>0</v>
      </c>
      <c r="V775" s="255">
        <f t="shared" si="116"/>
        <v>0</v>
      </c>
      <c r="W775" s="700"/>
    </row>
    <row r="776" spans="1:23" s="236" customFormat="1" ht="24.95" hidden="1" customHeight="1" outlineLevel="1">
      <c r="A776" s="209" t="s">
        <v>481</v>
      </c>
      <c r="B776" s="209" t="s">
        <v>470</v>
      </c>
      <c r="C776" s="240"/>
      <c r="D776" s="690"/>
      <c r="E776" s="240"/>
      <c r="F776" s="836"/>
      <c r="G776" s="239"/>
      <c r="H776" s="203"/>
      <c r="I776" s="234"/>
      <c r="J776" s="234"/>
      <c r="K776" s="234"/>
      <c r="L776" s="234"/>
      <c r="M776" s="234"/>
      <c r="N776" s="235" t="e">
        <f>(((I776+J776+K776+L776+M776)-C776*#REF!*2)/1000)</f>
        <v>#REF!</v>
      </c>
      <c r="O776" s="235"/>
      <c r="P776" s="200">
        <f t="shared" si="110"/>
        <v>0</v>
      </c>
      <c r="Q776" s="200">
        <f t="shared" si="111"/>
        <v>0</v>
      </c>
      <c r="R776" s="200">
        <f t="shared" si="112"/>
        <v>0</v>
      </c>
      <c r="S776" s="200">
        <f t="shared" si="113"/>
        <v>0</v>
      </c>
      <c r="T776" s="200">
        <f t="shared" si="114"/>
        <v>0</v>
      </c>
      <c r="U776" s="688">
        <f t="shared" si="115"/>
        <v>0</v>
      </c>
      <c r="V776" s="200">
        <f t="shared" si="116"/>
        <v>0</v>
      </c>
      <c r="W776" s="689"/>
    </row>
    <row r="777" spans="1:23" s="236" customFormat="1" ht="24.95" hidden="1" customHeight="1" outlineLevel="1">
      <c r="A777" s="239"/>
      <c r="B777" s="239" t="s">
        <v>471</v>
      </c>
      <c r="C777" s="240">
        <v>8</v>
      </c>
      <c r="D777" s="690"/>
      <c r="E777" s="240"/>
      <c r="F777" s="836"/>
      <c r="G777" s="239">
        <f>2*2*6</f>
        <v>24</v>
      </c>
      <c r="H777" s="203">
        <f>(4700/150)+1</f>
        <v>32.333333333333329</v>
      </c>
      <c r="I777" s="234">
        <v>300</v>
      </c>
      <c r="J777" s="234"/>
      <c r="K777" s="234">
        <v>1400</v>
      </c>
      <c r="L777" s="234"/>
      <c r="M777" s="234"/>
      <c r="N777" s="235" t="e">
        <f>(((I777+J777+K777+L777+M777)-C777*#REF!*2)/1000)</f>
        <v>#REF!</v>
      </c>
      <c r="O777" s="235"/>
      <c r="P777" s="200" t="e">
        <f t="shared" si="110"/>
        <v>#REF!</v>
      </c>
      <c r="Q777" s="200">
        <f t="shared" si="111"/>
        <v>0</v>
      </c>
      <c r="R777" s="200">
        <f t="shared" si="112"/>
        <v>0</v>
      </c>
      <c r="S777" s="200">
        <f t="shared" si="113"/>
        <v>0</v>
      </c>
      <c r="T777" s="200">
        <f t="shared" si="114"/>
        <v>0</v>
      </c>
      <c r="U777" s="688">
        <f t="shared" si="115"/>
        <v>0</v>
      </c>
      <c r="V777" s="200">
        <f t="shared" si="116"/>
        <v>0</v>
      </c>
      <c r="W777" s="689"/>
    </row>
    <row r="778" spans="1:23" s="236" customFormat="1" ht="24.95" hidden="1" customHeight="1" outlineLevel="1">
      <c r="A778" s="239"/>
      <c r="B778" s="239" t="s">
        <v>472</v>
      </c>
      <c r="C778" s="240">
        <v>8</v>
      </c>
      <c r="D778" s="690"/>
      <c r="E778" s="240"/>
      <c r="F778" s="836"/>
      <c r="G778" s="239">
        <f>2*2*6</f>
        <v>24</v>
      </c>
      <c r="H778" s="203">
        <f>(1050/200)+1</f>
        <v>6.25</v>
      </c>
      <c r="I778" s="234">
        <v>400</v>
      </c>
      <c r="J778" s="234"/>
      <c r="K778" s="234">
        <v>4450</v>
      </c>
      <c r="L778" s="234"/>
      <c r="M778" s="234">
        <v>400</v>
      </c>
      <c r="N778" s="235" t="e">
        <f>(((I778+J778+K778+L778+M778)-C778*#REF!*2)/1000)</f>
        <v>#REF!</v>
      </c>
      <c r="O778" s="235"/>
      <c r="P778" s="200" t="e">
        <f t="shared" si="110"/>
        <v>#REF!</v>
      </c>
      <c r="Q778" s="200">
        <f t="shared" si="111"/>
        <v>0</v>
      </c>
      <c r="R778" s="200">
        <f t="shared" si="112"/>
        <v>0</v>
      </c>
      <c r="S778" s="200">
        <f t="shared" si="113"/>
        <v>0</v>
      </c>
      <c r="T778" s="200">
        <f t="shared" si="114"/>
        <v>0</v>
      </c>
      <c r="U778" s="688">
        <f t="shared" si="115"/>
        <v>0</v>
      </c>
      <c r="V778" s="200">
        <f t="shared" si="116"/>
        <v>0</v>
      </c>
      <c r="W778" s="689"/>
    </row>
    <row r="779" spans="1:23" s="236" customFormat="1" ht="24.95" hidden="1" customHeight="1" outlineLevel="1">
      <c r="A779" s="239"/>
      <c r="B779" s="239"/>
      <c r="C779" s="240">
        <v>8</v>
      </c>
      <c r="D779" s="690"/>
      <c r="E779" s="240"/>
      <c r="F779" s="836"/>
      <c r="G779" s="239">
        <f>2*2*6</f>
        <v>24</v>
      </c>
      <c r="H779" s="203">
        <f>(1050/200)+1</f>
        <v>6.25</v>
      </c>
      <c r="I779" s="234">
        <v>400</v>
      </c>
      <c r="J779" s="234"/>
      <c r="K779" s="234">
        <v>950</v>
      </c>
      <c r="L779" s="234"/>
      <c r="M779" s="234">
        <v>400</v>
      </c>
      <c r="N779" s="235" t="e">
        <f>(((I779+J779+K779+L779+M779)-C779*#REF!*2)/1000)</f>
        <v>#REF!</v>
      </c>
      <c r="O779" s="235"/>
      <c r="P779" s="200" t="e">
        <f t="shared" si="110"/>
        <v>#REF!</v>
      </c>
      <c r="Q779" s="200">
        <f t="shared" si="111"/>
        <v>0</v>
      </c>
      <c r="R779" s="200">
        <f t="shared" si="112"/>
        <v>0</v>
      </c>
      <c r="S779" s="200">
        <f t="shared" si="113"/>
        <v>0</v>
      </c>
      <c r="T779" s="200">
        <f t="shared" si="114"/>
        <v>0</v>
      </c>
      <c r="U779" s="688">
        <f t="shared" si="115"/>
        <v>0</v>
      </c>
      <c r="V779" s="200">
        <f t="shared" si="116"/>
        <v>0</v>
      </c>
      <c r="W779" s="689"/>
    </row>
    <row r="780" spans="1:23" s="236" customFormat="1" ht="24.95" hidden="1" customHeight="1" outlineLevel="1">
      <c r="A780" s="239"/>
      <c r="B780" s="239" t="s">
        <v>473</v>
      </c>
      <c r="C780" s="240">
        <v>8</v>
      </c>
      <c r="D780" s="690"/>
      <c r="E780" s="240"/>
      <c r="F780" s="836"/>
      <c r="G780" s="239">
        <f>2*6</f>
        <v>12</v>
      </c>
      <c r="H780" s="203">
        <v>20</v>
      </c>
      <c r="I780" s="234">
        <v>300</v>
      </c>
      <c r="J780" s="234"/>
      <c r="K780" s="234">
        <v>118</v>
      </c>
      <c r="L780" s="234"/>
      <c r="M780" s="234">
        <v>300</v>
      </c>
      <c r="N780" s="235" t="e">
        <f>(((I780+J780+K780+L780+M780)-C780*#REF!*2)/1000)</f>
        <v>#REF!</v>
      </c>
      <c r="O780" s="235"/>
      <c r="P780" s="200" t="e">
        <f t="shared" si="110"/>
        <v>#REF!</v>
      </c>
      <c r="Q780" s="200">
        <f t="shared" si="111"/>
        <v>0</v>
      </c>
      <c r="R780" s="200">
        <f t="shared" si="112"/>
        <v>0</v>
      </c>
      <c r="S780" s="200">
        <f t="shared" si="113"/>
        <v>0</v>
      </c>
      <c r="T780" s="200">
        <f t="shared" si="114"/>
        <v>0</v>
      </c>
      <c r="U780" s="688">
        <f t="shared" si="115"/>
        <v>0</v>
      </c>
      <c r="V780" s="200">
        <f t="shared" si="116"/>
        <v>0</v>
      </c>
      <c r="W780" s="689"/>
    </row>
    <row r="781" spans="1:23" s="236" customFormat="1" ht="24.95" hidden="1" customHeight="1" outlineLevel="1">
      <c r="A781" s="239"/>
      <c r="B781" s="239"/>
      <c r="C781" s="240"/>
      <c r="D781" s="690"/>
      <c r="E781" s="240"/>
      <c r="F781" s="836"/>
      <c r="G781" s="239"/>
      <c r="H781" s="203"/>
      <c r="I781" s="234"/>
      <c r="J781" s="234"/>
      <c r="K781" s="234"/>
      <c r="L781" s="234"/>
      <c r="M781" s="234"/>
      <c r="N781" s="235"/>
      <c r="O781" s="235"/>
      <c r="P781" s="200"/>
      <c r="Q781" s="200"/>
      <c r="R781" s="200"/>
      <c r="S781" s="200"/>
      <c r="T781" s="200"/>
      <c r="U781" s="688"/>
      <c r="V781" s="200"/>
      <c r="W781" s="689"/>
    </row>
    <row r="782" spans="1:23" s="236" customFormat="1" ht="24.95" hidden="1" customHeight="1" outlineLevel="1">
      <c r="A782" s="195"/>
      <c r="B782" s="212" t="s">
        <v>482</v>
      </c>
      <c r="C782" s="196"/>
      <c r="D782" s="685"/>
      <c r="E782" s="196"/>
      <c r="F782" s="685"/>
      <c r="G782" s="204"/>
      <c r="H782" s="213"/>
      <c r="I782" s="234">
        <v>0</v>
      </c>
      <c r="J782" s="234">
        <v>0</v>
      </c>
      <c r="K782" s="234">
        <v>0</v>
      </c>
      <c r="L782" s="234">
        <v>0</v>
      </c>
      <c r="M782" s="234">
        <v>0</v>
      </c>
      <c r="N782" s="235"/>
      <c r="O782" s="235"/>
      <c r="P782" s="200" t="e">
        <f>ROUND(SUM(P10:P780),0)</f>
        <v>#REF!</v>
      </c>
      <c r="Q782" s="200" t="e">
        <f t="shared" ref="Q782:V782" si="117">ROUND(SUM(Q10:Q780),0)</f>
        <v>#REF!</v>
      </c>
      <c r="R782" s="200" t="e">
        <f t="shared" si="117"/>
        <v>#REF!</v>
      </c>
      <c r="S782" s="200">
        <f t="shared" si="117"/>
        <v>0</v>
      </c>
      <c r="T782" s="200">
        <f t="shared" si="117"/>
        <v>0</v>
      </c>
      <c r="U782" s="688">
        <f t="shared" si="117"/>
        <v>0</v>
      </c>
      <c r="V782" s="200">
        <f t="shared" si="117"/>
        <v>0</v>
      </c>
      <c r="W782" s="689"/>
    </row>
    <row r="783" spans="1:23" s="236" customFormat="1" ht="24.95" hidden="1" customHeight="1" outlineLevel="1">
      <c r="A783" s="195"/>
      <c r="B783" s="214" t="s">
        <v>483</v>
      </c>
      <c r="C783" s="196"/>
      <c r="D783" s="685"/>
      <c r="E783" s="196"/>
      <c r="F783" s="685"/>
      <c r="G783" s="204"/>
      <c r="H783" s="213"/>
      <c r="I783" s="234">
        <v>0</v>
      </c>
      <c r="J783" s="234">
        <v>0</v>
      </c>
      <c r="K783" s="234">
        <v>0</v>
      </c>
      <c r="L783" s="234">
        <v>0</v>
      </c>
      <c r="M783" s="234">
        <v>0</v>
      </c>
      <c r="N783" s="235"/>
      <c r="O783" s="235"/>
      <c r="P783" s="215">
        <f>8^2/162</f>
        <v>0.39506172839506171</v>
      </c>
      <c r="Q783" s="251">
        <f>10^2/162</f>
        <v>0.61728395061728392</v>
      </c>
      <c r="R783" s="251">
        <v>0.88800000000000001</v>
      </c>
      <c r="S783" s="251">
        <f>16^2/162</f>
        <v>1.5802469135802468</v>
      </c>
      <c r="T783" s="251">
        <v>2.4700000000000002</v>
      </c>
      <c r="U783" s="701">
        <v>3.85</v>
      </c>
      <c r="V783" s="251">
        <v>6.31</v>
      </c>
      <c r="W783" s="689"/>
    </row>
    <row r="784" spans="1:23" s="236" customFormat="1" ht="24.95" hidden="1" customHeight="1" outlineLevel="1">
      <c r="A784" s="195"/>
      <c r="B784" s="216" t="s">
        <v>484</v>
      </c>
      <c r="C784" s="196"/>
      <c r="D784" s="685"/>
      <c r="E784" s="196"/>
      <c r="F784" s="685"/>
      <c r="G784" s="204"/>
      <c r="H784" s="213"/>
      <c r="I784" s="234">
        <v>0</v>
      </c>
      <c r="J784" s="234">
        <v>0</v>
      </c>
      <c r="K784" s="234">
        <v>0</v>
      </c>
      <c r="L784" s="234">
        <v>0</v>
      </c>
      <c r="M784" s="234">
        <v>0</v>
      </c>
      <c r="N784" s="235"/>
      <c r="O784" s="235"/>
      <c r="P784" s="200" t="e">
        <f>ROUND(P782*P783,0)</f>
        <v>#REF!</v>
      </c>
      <c r="Q784" s="200" t="e">
        <f t="shared" ref="Q784:V784" si="118">ROUND(Q782*Q783,0)</f>
        <v>#REF!</v>
      </c>
      <c r="R784" s="200" t="e">
        <f t="shared" si="118"/>
        <v>#REF!</v>
      </c>
      <c r="S784" s="200">
        <f t="shared" si="118"/>
        <v>0</v>
      </c>
      <c r="T784" s="200">
        <f t="shared" si="118"/>
        <v>0</v>
      </c>
      <c r="U784" s="688">
        <f t="shared" si="118"/>
        <v>0</v>
      </c>
      <c r="V784" s="200">
        <f t="shared" si="118"/>
        <v>0</v>
      </c>
      <c r="W784" s="689"/>
    </row>
    <row r="785" spans="1:23" s="236" customFormat="1" ht="24.95" hidden="1" customHeight="1" outlineLevel="1">
      <c r="A785" s="195"/>
      <c r="B785" s="212" t="s">
        <v>485</v>
      </c>
      <c r="C785" s="196"/>
      <c r="D785" s="685"/>
      <c r="E785" s="196"/>
      <c r="F785" s="685"/>
      <c r="G785" s="204"/>
      <c r="H785" s="213"/>
      <c r="I785" s="234">
        <v>0</v>
      </c>
      <c r="J785" s="234">
        <v>0</v>
      </c>
      <c r="K785" s="234">
        <v>0</v>
      </c>
      <c r="L785" s="234">
        <v>0</v>
      </c>
      <c r="M785" s="234">
        <v>0</v>
      </c>
      <c r="N785" s="235"/>
      <c r="O785" s="235"/>
      <c r="P785" s="200" t="e">
        <f>P784+Q784+R784+S784+T784+U784+V784</f>
        <v>#REF!</v>
      </c>
      <c r="Q785" s="200" t="s">
        <v>486</v>
      </c>
      <c r="R785" s="200"/>
      <c r="S785" s="200"/>
      <c r="T785" s="200"/>
      <c r="U785" s="688"/>
      <c r="V785" s="200"/>
      <c r="W785" s="689"/>
    </row>
    <row r="786" spans="1:23" s="236" customFormat="1" ht="24.95" hidden="1" customHeight="1" outlineLevel="1">
      <c r="A786" s="195"/>
      <c r="B786" s="217" t="s">
        <v>487</v>
      </c>
      <c r="C786" s="218"/>
      <c r="D786" s="702"/>
      <c r="E786" s="218"/>
      <c r="F786" s="837"/>
      <c r="G786" s="838"/>
      <c r="H786" s="839"/>
      <c r="I786" s="234">
        <v>0</v>
      </c>
      <c r="J786" s="234">
        <v>0</v>
      </c>
      <c r="K786" s="234">
        <v>0</v>
      </c>
      <c r="L786" s="234">
        <v>0</v>
      </c>
      <c r="M786" s="234">
        <v>0</v>
      </c>
      <c r="N786" s="235"/>
      <c r="O786" s="235"/>
      <c r="P786" s="221" t="e">
        <f>P785/1000</f>
        <v>#REF!</v>
      </c>
      <c r="Q786" s="222" t="s">
        <v>374</v>
      </c>
      <c r="R786" s="200"/>
      <c r="S786" s="200"/>
      <c r="T786" s="200"/>
      <c r="U786" s="688"/>
      <c r="V786" s="200"/>
      <c r="W786" s="689"/>
    </row>
    <row r="787" spans="1:23" s="236" customFormat="1" ht="24.95" hidden="1" customHeight="1" outlineLevel="1">
      <c r="A787" s="195"/>
      <c r="B787" s="172"/>
      <c r="C787" s="196"/>
      <c r="D787" s="685"/>
      <c r="E787" s="196"/>
      <c r="F787" s="685"/>
      <c r="G787" s="204"/>
      <c r="H787" s="203"/>
      <c r="I787" s="234"/>
      <c r="J787" s="234"/>
      <c r="K787" s="234"/>
      <c r="L787" s="234"/>
      <c r="M787" s="234"/>
      <c r="N787" s="235">
        <v>0</v>
      </c>
      <c r="O787" s="235"/>
      <c r="P787" s="200">
        <v>0</v>
      </c>
      <c r="Q787" s="200">
        <v>0</v>
      </c>
      <c r="R787" s="200">
        <v>0</v>
      </c>
      <c r="S787" s="200">
        <v>0</v>
      </c>
      <c r="T787" s="200">
        <v>0</v>
      </c>
      <c r="U787" s="688">
        <v>0</v>
      </c>
      <c r="V787" s="200">
        <v>0</v>
      </c>
      <c r="W787" s="689"/>
    </row>
    <row r="788" spans="1:23" ht="18.75" hidden="1" outlineLevel="1">
      <c r="A788" s="195"/>
      <c r="B788" s="703" t="s">
        <v>1559</v>
      </c>
      <c r="C788" s="704"/>
      <c r="D788" s="705"/>
      <c r="E788" s="704"/>
      <c r="F788" s="705"/>
      <c r="G788" s="706"/>
      <c r="H788" s="707"/>
      <c r="I788" s="708"/>
      <c r="J788" s="708"/>
      <c r="K788" s="708"/>
      <c r="L788" s="708"/>
      <c r="M788" s="708"/>
      <c r="N788" s="708">
        <v>0</v>
      </c>
      <c r="O788" s="708"/>
      <c r="P788" s="709">
        <v>10.220000000000001</v>
      </c>
      <c r="Q788" s="710" t="s">
        <v>374</v>
      </c>
      <c r="R788" s="200">
        <v>0</v>
      </c>
      <c r="S788" s="200">
        <v>0</v>
      </c>
      <c r="T788" s="200">
        <v>0</v>
      </c>
      <c r="U788" s="688">
        <v>0</v>
      </c>
      <c r="V788" s="200">
        <v>0</v>
      </c>
      <c r="W788" s="711"/>
    </row>
    <row r="789" spans="1:23" s="717" customFormat="1" ht="16.5" hidden="1" outlineLevel="1">
      <c r="A789" s="712"/>
      <c r="B789" s="211"/>
      <c r="C789" s="704"/>
      <c r="D789" s="705"/>
      <c r="E789" s="704"/>
      <c r="F789" s="705"/>
      <c r="G789" s="706"/>
      <c r="H789" s="707"/>
      <c r="I789" s="708"/>
      <c r="J789" s="708"/>
      <c r="K789" s="708"/>
      <c r="L789" s="708"/>
      <c r="M789" s="708"/>
      <c r="N789" s="708"/>
      <c r="O789" s="708"/>
      <c r="P789" s="713"/>
      <c r="Q789" s="714"/>
      <c r="R789" s="714"/>
      <c r="S789" s="714"/>
      <c r="T789" s="714"/>
      <c r="U789" s="715"/>
      <c r="V789" s="714"/>
      <c r="W789" s="716"/>
    </row>
    <row r="790" spans="1:23" ht="18.75" hidden="1" outlineLevel="1">
      <c r="A790" s="195"/>
      <c r="B790" s="718" t="s">
        <v>1560</v>
      </c>
      <c r="C790" s="196"/>
      <c r="D790" s="685"/>
      <c r="E790" s="196"/>
      <c r="F790" s="685"/>
      <c r="G790" s="204"/>
      <c r="H790" s="203"/>
      <c r="I790" s="198"/>
      <c r="J790" s="198"/>
      <c r="K790" s="198"/>
      <c r="L790" s="198"/>
      <c r="M790" s="198"/>
      <c r="N790" s="198"/>
      <c r="O790" s="198"/>
      <c r="P790" s="199"/>
      <c r="Q790" s="200"/>
      <c r="R790" s="200"/>
      <c r="S790" s="200"/>
      <c r="T790" s="200"/>
      <c r="U790" s="688"/>
      <c r="V790" s="200"/>
      <c r="W790" s="711"/>
    </row>
    <row r="791" spans="1:23" ht="16.5" hidden="1" outlineLevel="1">
      <c r="A791" s="195"/>
      <c r="B791" s="172"/>
      <c r="C791" s="196"/>
      <c r="D791" s="685"/>
      <c r="E791" s="196"/>
      <c r="F791" s="685"/>
      <c r="G791" s="204"/>
      <c r="H791" s="203"/>
      <c r="I791" s="198"/>
      <c r="J791" s="198"/>
      <c r="K791" s="198"/>
      <c r="L791" s="198"/>
      <c r="M791" s="198"/>
      <c r="N791" s="198"/>
      <c r="O791" s="198"/>
      <c r="P791" s="199"/>
      <c r="Q791" s="200"/>
      <c r="R791" s="200"/>
      <c r="S791" s="200"/>
      <c r="T791" s="200"/>
      <c r="U791" s="688"/>
      <c r="V791" s="200"/>
      <c r="W791" s="711"/>
    </row>
    <row r="792" spans="1:23" ht="30.75" hidden="1" outlineLevel="1">
      <c r="A792" s="195">
        <v>1</v>
      </c>
      <c r="B792" s="719" t="s">
        <v>1561</v>
      </c>
      <c r="C792" s="196"/>
      <c r="D792" s="685"/>
      <c r="E792" s="196"/>
      <c r="F792" s="685"/>
      <c r="G792" s="204"/>
      <c r="H792" s="203"/>
      <c r="I792" s="198"/>
      <c r="J792" s="198"/>
      <c r="K792" s="198"/>
      <c r="L792" s="198"/>
      <c r="M792" s="198"/>
      <c r="N792" s="198"/>
      <c r="O792" s="198"/>
      <c r="P792" s="199"/>
      <c r="Q792" s="200"/>
      <c r="R792" s="200"/>
      <c r="S792" s="200"/>
      <c r="T792" s="200"/>
      <c r="U792" s="688"/>
      <c r="V792" s="200"/>
      <c r="W792" s="711"/>
    </row>
    <row r="793" spans="1:23" ht="16.5" hidden="1" outlineLevel="1">
      <c r="A793" s="195"/>
      <c r="B793" s="172" t="s">
        <v>464</v>
      </c>
      <c r="C793" s="196"/>
      <c r="D793" s="685"/>
      <c r="E793" s="196"/>
      <c r="F793" s="685"/>
      <c r="G793" s="204"/>
      <c r="H793" s="203"/>
      <c r="I793" s="198"/>
      <c r="J793" s="198"/>
      <c r="K793" s="198"/>
      <c r="L793" s="198"/>
      <c r="M793" s="198"/>
      <c r="N793" s="198"/>
      <c r="O793" s="198"/>
      <c r="P793" s="199"/>
      <c r="Q793" s="200"/>
      <c r="R793" s="200"/>
      <c r="S793" s="200"/>
      <c r="T793" s="200"/>
      <c r="U793" s="688"/>
      <c r="V793" s="200"/>
      <c r="W793" s="711"/>
    </row>
    <row r="794" spans="1:23" ht="16.5" hidden="1" outlineLevel="1">
      <c r="A794" s="195"/>
      <c r="B794" s="172" t="s">
        <v>1562</v>
      </c>
      <c r="C794" s="196">
        <v>10</v>
      </c>
      <c r="D794" s="685">
        <v>200</v>
      </c>
      <c r="E794" s="720" t="s">
        <v>1557</v>
      </c>
      <c r="F794" s="685">
        <v>1</v>
      </c>
      <c r="G794" s="204">
        <v>1</v>
      </c>
      <c r="H794" s="203">
        <f>(27540/200)+1</f>
        <v>138.69999999999999</v>
      </c>
      <c r="I794" s="198">
        <f>10*C794</f>
        <v>100</v>
      </c>
      <c r="J794" s="198">
        <f>14190+230+230-50</f>
        <v>14600</v>
      </c>
      <c r="K794" s="198">
        <v>100</v>
      </c>
      <c r="L794" s="198"/>
      <c r="M794" s="198"/>
      <c r="N794" s="721">
        <f t="shared" ref="N794:N857" si="119">IF(E794="L Shape",(I794+J794)-(C794*2*1),IF(E794="U Shape",(I794+J794+K794)-(C794*2*2),IF(E794="Rectangle",(I794+J794+K794+L794)+(C794*10*2)-(C794*2*5),IF(E794="Straight",J794-(C794*0),IF(E794="Chair",(I794+J794+K794+L794+M794)-(C794*2*4),IF(E794="U2 Shape",(I794+J794+K794+L794+M794)-(C794*2*4),IF(E794="U3 Shape",(I794+J794+K794+L794)-(C794*2*3),IF(E794="Z Shape",(I794+J794+K794)-(C794*2*2),IF(E794="Triangle",(I794+J794+K794)+(C794*10*2)-(C794*2*4),IF(E794="Trapezoid2",(I794+I794+J794+K794+K794+L794)+(C794*10*2)-(C794*2*7),IF(E794="Trapezoid",(I794+J794+K794+L794)+(C794*10*2)-(C794*2*5),IF(E794="Link",J794+(C794*10*2),IF(E794="U5 Shape",(I794+J794+K794+L794)-(C794*2*3),IF(E794="DU2 Shape",(I794+J794+K794+L794)-(C794*2*4),IF(E794="SU Shape",(I794+J794+K794)-(C794*2*2),"-")))))))))))))))</f>
        <v>14760</v>
      </c>
      <c r="O794" s="721">
        <f t="shared" ref="O794:O857" si="120">IF(N794&lt;12001,C794*49*0,IF(N794&lt;24001,C794*49*1,IF(N794&lt;36001,C794*49*2,IF(N794&lt;48001,C794*49*3,IF(N794&lt;60001,C794*49*4,IF(N794&lt;72001,(C794*49*5),IF(N794&lt;84001,(C794*49*6),IF(N794&lt;96001,(C794*49*7),IF(N794&lt;108001,(C794*49*8),IF(N794&lt;120001,(C794*49*9),IF(N794&lt;132001,(C794*49*10),IF(N794&lt;144001,(C794*49*11),""))))))))))))</f>
        <v>490</v>
      </c>
      <c r="P794" s="722" t="str">
        <f t="shared" ref="P794:P857" si="121">IF(C794=8,ROUND(((N794+O794)*F794*G794*H794)/1000,3),"-")</f>
        <v>-</v>
      </c>
      <c r="Q794" s="686">
        <f t="shared" ref="Q794:Q857" si="122">IF(C794=10,ROUND(((N794+O794)*F794*G794*H794)/1000,3),"-")</f>
        <v>2115.1750000000002</v>
      </c>
      <c r="R794" s="686" t="str">
        <f t="shared" ref="R794:R857" si="123">IF(C794=12,ROUND(((N794+O794)*F794*G794*H794)/1000,3),"-")</f>
        <v>-</v>
      </c>
      <c r="S794" s="686" t="str">
        <f t="shared" ref="S794:S857" si="124">IF(C794=16,ROUND(((N794+O794)*F794*G794*H794)/1000,3),"-")</f>
        <v>-</v>
      </c>
      <c r="T794" s="686" t="str">
        <f t="shared" ref="T794:T857" si="125">IF(C794=20,ROUND(((N794+O794)*F794*G794*H794)/1000,3),"-")</f>
        <v>-</v>
      </c>
      <c r="U794" s="723" t="str">
        <f t="shared" ref="U794:U857" si="126">IF(C794=25,ROUND(((N794+O794)*F794*G794*H794)/1000,3),"-")</f>
        <v>-</v>
      </c>
      <c r="V794" s="695" t="str">
        <f t="shared" ref="V794:V857" si="127">IF(C794=32,ROUND(((N794+O794)*F794*G794*H794)/1000,3),"-")</f>
        <v>-</v>
      </c>
      <c r="W794" s="711"/>
    </row>
    <row r="795" spans="1:23" ht="16.5" hidden="1" outlineLevel="1">
      <c r="A795" s="195"/>
      <c r="B795" s="172" t="s">
        <v>1563</v>
      </c>
      <c r="C795" s="196">
        <v>10</v>
      </c>
      <c r="D795" s="685"/>
      <c r="E795" s="720" t="s">
        <v>1557</v>
      </c>
      <c r="F795" s="685">
        <v>1</v>
      </c>
      <c r="G795" s="204">
        <v>1</v>
      </c>
      <c r="H795" s="203">
        <f>(14190/200)+1</f>
        <v>71.95</v>
      </c>
      <c r="I795" s="198">
        <f>10*C795</f>
        <v>100</v>
      </c>
      <c r="J795" s="198">
        <f>27540+230+230-50</f>
        <v>27950</v>
      </c>
      <c r="K795" s="198">
        <v>100</v>
      </c>
      <c r="L795" s="198"/>
      <c r="M795" s="198"/>
      <c r="N795" s="721">
        <f t="shared" si="119"/>
        <v>28110</v>
      </c>
      <c r="O795" s="721">
        <f t="shared" si="120"/>
        <v>980</v>
      </c>
      <c r="P795" s="722" t="str">
        <f t="shared" si="121"/>
        <v>-</v>
      </c>
      <c r="Q795" s="686">
        <f t="shared" si="122"/>
        <v>2093.0259999999998</v>
      </c>
      <c r="R795" s="686" t="str">
        <f t="shared" si="123"/>
        <v>-</v>
      </c>
      <c r="S795" s="686" t="str">
        <f t="shared" si="124"/>
        <v>-</v>
      </c>
      <c r="T795" s="686" t="str">
        <f t="shared" si="125"/>
        <v>-</v>
      </c>
      <c r="U795" s="723" t="str">
        <f t="shared" si="126"/>
        <v>-</v>
      </c>
      <c r="V795" s="695" t="str">
        <f t="shared" si="127"/>
        <v>-</v>
      </c>
      <c r="W795" s="711"/>
    </row>
    <row r="796" spans="1:23" ht="16.5" hidden="1" outlineLevel="1">
      <c r="A796" s="195"/>
      <c r="B796" s="172" t="s">
        <v>467</v>
      </c>
      <c r="C796" s="196"/>
      <c r="D796" s="685"/>
      <c r="E796" s="720"/>
      <c r="F796" s="685">
        <v>1</v>
      </c>
      <c r="G796" s="204"/>
      <c r="H796" s="203"/>
      <c r="I796" s="198"/>
      <c r="J796" s="198"/>
      <c r="K796" s="198"/>
      <c r="L796" s="198"/>
      <c r="M796" s="198"/>
      <c r="N796" s="721" t="str">
        <f t="shared" si="119"/>
        <v>-</v>
      </c>
      <c r="O796" s="721" t="str">
        <f t="shared" si="120"/>
        <v/>
      </c>
      <c r="P796" s="722" t="str">
        <f t="shared" si="121"/>
        <v>-</v>
      </c>
      <c r="Q796" s="686" t="str">
        <f t="shared" si="122"/>
        <v>-</v>
      </c>
      <c r="R796" s="686" t="str">
        <f t="shared" si="123"/>
        <v>-</v>
      </c>
      <c r="S796" s="686" t="str">
        <f t="shared" si="124"/>
        <v>-</v>
      </c>
      <c r="T796" s="686" t="str">
        <f t="shared" si="125"/>
        <v>-</v>
      </c>
      <c r="U796" s="723" t="str">
        <f t="shared" si="126"/>
        <v>-</v>
      </c>
      <c r="V796" s="695" t="str">
        <f t="shared" si="127"/>
        <v>-</v>
      </c>
      <c r="W796" s="711"/>
    </row>
    <row r="797" spans="1:23" ht="16.5" hidden="1" outlineLevel="1">
      <c r="A797" s="195"/>
      <c r="B797" s="172" t="s">
        <v>1564</v>
      </c>
      <c r="C797" s="196">
        <v>10</v>
      </c>
      <c r="D797" s="685"/>
      <c r="E797" s="720" t="s">
        <v>1557</v>
      </c>
      <c r="F797" s="685">
        <v>1</v>
      </c>
      <c r="G797" s="204">
        <v>1</v>
      </c>
      <c r="H797" s="203">
        <f>(27540/200)+1</f>
        <v>138.69999999999999</v>
      </c>
      <c r="I797" s="198">
        <f>10*C797</f>
        <v>100</v>
      </c>
      <c r="J797" s="198">
        <f>14190+230+230-50</f>
        <v>14600</v>
      </c>
      <c r="K797" s="198">
        <v>100</v>
      </c>
      <c r="L797" s="198"/>
      <c r="M797" s="198"/>
      <c r="N797" s="721">
        <f t="shared" si="119"/>
        <v>14760</v>
      </c>
      <c r="O797" s="721">
        <f t="shared" si="120"/>
        <v>490</v>
      </c>
      <c r="P797" s="722" t="str">
        <f t="shared" si="121"/>
        <v>-</v>
      </c>
      <c r="Q797" s="686">
        <f t="shared" si="122"/>
        <v>2115.1750000000002</v>
      </c>
      <c r="R797" s="686" t="str">
        <f t="shared" si="123"/>
        <v>-</v>
      </c>
      <c r="S797" s="686" t="str">
        <f t="shared" si="124"/>
        <v>-</v>
      </c>
      <c r="T797" s="686" t="str">
        <f t="shared" si="125"/>
        <v>-</v>
      </c>
      <c r="U797" s="723" t="str">
        <f t="shared" si="126"/>
        <v>-</v>
      </c>
      <c r="V797" s="695" t="str">
        <f t="shared" si="127"/>
        <v>-</v>
      </c>
      <c r="W797" s="711"/>
    </row>
    <row r="798" spans="1:23" ht="16.5" hidden="1" outlineLevel="1">
      <c r="A798" s="195"/>
      <c r="B798" s="172" t="s">
        <v>1565</v>
      </c>
      <c r="C798" s="196">
        <v>10</v>
      </c>
      <c r="D798" s="685"/>
      <c r="E798" s="720" t="s">
        <v>1557</v>
      </c>
      <c r="F798" s="685">
        <v>1</v>
      </c>
      <c r="G798" s="204">
        <v>1</v>
      </c>
      <c r="H798" s="203">
        <f>(14190/200)+1</f>
        <v>71.95</v>
      </c>
      <c r="I798" s="198">
        <f>10*C798</f>
        <v>100</v>
      </c>
      <c r="J798" s="198">
        <f>27540+230+230-50</f>
        <v>27950</v>
      </c>
      <c r="K798" s="198">
        <v>100</v>
      </c>
      <c r="L798" s="198"/>
      <c r="M798" s="198"/>
      <c r="N798" s="721">
        <f t="shared" si="119"/>
        <v>28110</v>
      </c>
      <c r="O798" s="721">
        <f t="shared" si="120"/>
        <v>980</v>
      </c>
      <c r="P798" s="722" t="str">
        <f t="shared" si="121"/>
        <v>-</v>
      </c>
      <c r="Q798" s="686">
        <f t="shared" si="122"/>
        <v>2093.0259999999998</v>
      </c>
      <c r="R798" s="686" t="str">
        <f t="shared" si="123"/>
        <v>-</v>
      </c>
      <c r="S798" s="686" t="str">
        <f t="shared" si="124"/>
        <v>-</v>
      </c>
      <c r="T798" s="686" t="str">
        <f t="shared" si="125"/>
        <v>-</v>
      </c>
      <c r="U798" s="723" t="str">
        <f t="shared" si="126"/>
        <v>-</v>
      </c>
      <c r="V798" s="695" t="str">
        <f t="shared" si="127"/>
        <v>-</v>
      </c>
      <c r="W798" s="711"/>
    </row>
    <row r="799" spans="1:23" ht="16.5" hidden="1" outlineLevel="1">
      <c r="A799" s="195"/>
      <c r="B799" s="172" t="s">
        <v>1566</v>
      </c>
      <c r="C799" s="196">
        <v>10</v>
      </c>
      <c r="D799" s="685"/>
      <c r="E799" s="691" t="s">
        <v>1566</v>
      </c>
      <c r="F799" s="685">
        <v>1</v>
      </c>
      <c r="G799" s="204">
        <v>1</v>
      </c>
      <c r="H799" s="203">
        <f>27*14</f>
        <v>378</v>
      </c>
      <c r="I799" s="198">
        <v>300</v>
      </c>
      <c r="J799" s="198">
        <f>125-50-20</f>
        <v>55</v>
      </c>
      <c r="K799" s="198">
        <v>500</v>
      </c>
      <c r="L799" s="198">
        <f>125-50-20</f>
        <v>55</v>
      </c>
      <c r="M799" s="198">
        <v>300</v>
      </c>
      <c r="N799" s="721">
        <f t="shared" si="119"/>
        <v>1130</v>
      </c>
      <c r="O799" s="721">
        <f t="shared" si="120"/>
        <v>0</v>
      </c>
      <c r="P799" s="722" t="str">
        <f t="shared" si="121"/>
        <v>-</v>
      </c>
      <c r="Q799" s="686">
        <f t="shared" si="122"/>
        <v>427.14</v>
      </c>
      <c r="R799" s="686" t="str">
        <f t="shared" si="123"/>
        <v>-</v>
      </c>
      <c r="S799" s="686" t="str">
        <f t="shared" si="124"/>
        <v>-</v>
      </c>
      <c r="T799" s="686" t="str">
        <f t="shared" si="125"/>
        <v>-</v>
      </c>
      <c r="U799" s="723" t="str">
        <f t="shared" si="126"/>
        <v>-</v>
      </c>
      <c r="V799" s="695" t="str">
        <f t="shared" si="127"/>
        <v>-</v>
      </c>
      <c r="W799" s="711"/>
    </row>
    <row r="800" spans="1:23" ht="16.5" hidden="1" outlineLevel="1">
      <c r="A800" s="195"/>
      <c r="B800" s="172"/>
      <c r="C800" s="196"/>
      <c r="D800" s="685"/>
      <c r="E800" s="196"/>
      <c r="F800" s="685">
        <v>1</v>
      </c>
      <c r="G800" s="204"/>
      <c r="H800" s="203"/>
      <c r="I800" s="198"/>
      <c r="J800" s="198"/>
      <c r="K800" s="198"/>
      <c r="L800" s="198"/>
      <c r="M800" s="198"/>
      <c r="N800" s="721" t="str">
        <f t="shared" si="119"/>
        <v>-</v>
      </c>
      <c r="O800" s="721" t="str">
        <f t="shared" si="120"/>
        <v/>
      </c>
      <c r="P800" s="722" t="str">
        <f t="shared" si="121"/>
        <v>-</v>
      </c>
      <c r="Q800" s="686" t="str">
        <f t="shared" si="122"/>
        <v>-</v>
      </c>
      <c r="R800" s="686" t="str">
        <f t="shared" si="123"/>
        <v>-</v>
      </c>
      <c r="S800" s="686" t="str">
        <f t="shared" si="124"/>
        <v>-</v>
      </c>
      <c r="T800" s="686" t="str">
        <f t="shared" si="125"/>
        <v>-</v>
      </c>
      <c r="U800" s="723" t="str">
        <f t="shared" si="126"/>
        <v>-</v>
      </c>
      <c r="V800" s="695" t="str">
        <f t="shared" si="127"/>
        <v>-</v>
      </c>
      <c r="W800" s="711"/>
    </row>
    <row r="801" spans="1:23" ht="16.5" hidden="1" outlineLevel="1">
      <c r="A801" s="195"/>
      <c r="B801" s="172"/>
      <c r="C801" s="196"/>
      <c r="D801" s="685"/>
      <c r="E801" s="196"/>
      <c r="F801" s="685"/>
      <c r="G801" s="204"/>
      <c r="H801" s="203"/>
      <c r="I801" s="198"/>
      <c r="J801" s="198"/>
      <c r="K801" s="198"/>
      <c r="L801" s="198"/>
      <c r="M801" s="198"/>
      <c r="N801" s="721" t="str">
        <f t="shared" si="119"/>
        <v>-</v>
      </c>
      <c r="O801" s="721" t="str">
        <f t="shared" si="120"/>
        <v/>
      </c>
      <c r="P801" s="722" t="str">
        <f t="shared" si="121"/>
        <v>-</v>
      </c>
      <c r="Q801" s="686" t="str">
        <f t="shared" si="122"/>
        <v>-</v>
      </c>
      <c r="R801" s="686" t="str">
        <f t="shared" si="123"/>
        <v>-</v>
      </c>
      <c r="S801" s="686" t="str">
        <f t="shared" si="124"/>
        <v>-</v>
      </c>
      <c r="T801" s="686" t="str">
        <f t="shared" si="125"/>
        <v>-</v>
      </c>
      <c r="U801" s="723" t="str">
        <f t="shared" si="126"/>
        <v>-</v>
      </c>
      <c r="V801" s="695" t="str">
        <f t="shared" si="127"/>
        <v>-</v>
      </c>
      <c r="W801" s="711"/>
    </row>
    <row r="802" spans="1:23" ht="16.5" hidden="1" outlineLevel="1">
      <c r="A802" s="195"/>
      <c r="B802" s="212" t="s">
        <v>482</v>
      </c>
      <c r="C802" s="196"/>
      <c r="D802" s="685"/>
      <c r="E802" s="196"/>
      <c r="F802" s="685"/>
      <c r="G802" s="204"/>
      <c r="H802" s="213"/>
      <c r="I802" s="198">
        <v>0</v>
      </c>
      <c r="J802" s="198">
        <v>0</v>
      </c>
      <c r="K802" s="198">
        <v>0</v>
      </c>
      <c r="L802" s="198">
        <v>0</v>
      </c>
      <c r="M802" s="198">
        <v>0</v>
      </c>
      <c r="N802" s="721" t="str">
        <f t="shared" si="119"/>
        <v>-</v>
      </c>
      <c r="O802" s="721" t="str">
        <f t="shared" si="120"/>
        <v/>
      </c>
      <c r="P802" s="200">
        <f>SUM(P793:P801)</f>
        <v>0</v>
      </c>
      <c r="Q802" s="200">
        <f t="shared" ref="Q802:V802" si="128">SUM(Q793:Q801)</f>
        <v>8843.5419999999995</v>
      </c>
      <c r="R802" s="200">
        <f t="shared" si="128"/>
        <v>0</v>
      </c>
      <c r="S802" s="200">
        <f t="shared" si="128"/>
        <v>0</v>
      </c>
      <c r="T802" s="200">
        <f t="shared" si="128"/>
        <v>0</v>
      </c>
      <c r="U802" s="688">
        <f t="shared" si="128"/>
        <v>0</v>
      </c>
      <c r="V802" s="200">
        <f t="shared" si="128"/>
        <v>0</v>
      </c>
      <c r="W802" s="711"/>
    </row>
    <row r="803" spans="1:23" ht="16.5" hidden="1" outlineLevel="1">
      <c r="A803" s="195"/>
      <c r="B803" s="214" t="s">
        <v>483</v>
      </c>
      <c r="C803" s="196"/>
      <c r="D803" s="685"/>
      <c r="E803" s="196"/>
      <c r="F803" s="685"/>
      <c r="G803" s="204"/>
      <c r="H803" s="213"/>
      <c r="I803" s="198">
        <v>0</v>
      </c>
      <c r="J803" s="198">
        <v>0</v>
      </c>
      <c r="K803" s="198">
        <v>0</v>
      </c>
      <c r="L803" s="198">
        <v>0</v>
      </c>
      <c r="M803" s="198">
        <v>0</v>
      </c>
      <c r="N803" s="721" t="str">
        <f t="shared" si="119"/>
        <v>-</v>
      </c>
      <c r="O803" s="721" t="str">
        <f t="shared" si="120"/>
        <v/>
      </c>
      <c r="P803" s="215">
        <f>8^2/162</f>
        <v>0.39506172839506171</v>
      </c>
      <c r="Q803" s="215">
        <f>10^2/162</f>
        <v>0.61728395061728392</v>
      </c>
      <c r="R803" s="215">
        <f>12^2/162</f>
        <v>0.88888888888888884</v>
      </c>
      <c r="S803" s="215">
        <f>16^2/162</f>
        <v>1.5802469135802468</v>
      </c>
      <c r="T803" s="215">
        <f>20^2/162</f>
        <v>2.4691358024691357</v>
      </c>
      <c r="U803" s="724">
        <f>25^2/162</f>
        <v>3.8580246913580245</v>
      </c>
      <c r="V803" s="215">
        <f>32^2/162</f>
        <v>6.3209876543209873</v>
      </c>
      <c r="W803" s="725"/>
    </row>
    <row r="804" spans="1:23" ht="16.5" hidden="1" outlineLevel="1">
      <c r="A804" s="195"/>
      <c r="B804" s="216" t="s">
        <v>484</v>
      </c>
      <c r="C804" s="196"/>
      <c r="D804" s="685"/>
      <c r="E804" s="196"/>
      <c r="F804" s="685"/>
      <c r="G804" s="204"/>
      <c r="H804" s="213"/>
      <c r="I804" s="198">
        <v>0</v>
      </c>
      <c r="J804" s="198">
        <v>0</v>
      </c>
      <c r="K804" s="198">
        <v>0</v>
      </c>
      <c r="L804" s="198">
        <v>0</v>
      </c>
      <c r="M804" s="198">
        <v>0</v>
      </c>
      <c r="N804" s="721" t="str">
        <f t="shared" si="119"/>
        <v>-</v>
      </c>
      <c r="O804" s="721" t="str">
        <f t="shared" si="120"/>
        <v/>
      </c>
      <c r="P804" s="200">
        <f>P802*P803</f>
        <v>0</v>
      </c>
      <c r="Q804" s="200">
        <f t="shared" ref="Q804:V804" si="129">Q802*Q803</f>
        <v>5458.9765432098757</v>
      </c>
      <c r="R804" s="200">
        <f t="shared" si="129"/>
        <v>0</v>
      </c>
      <c r="S804" s="200">
        <f t="shared" si="129"/>
        <v>0</v>
      </c>
      <c r="T804" s="200">
        <f t="shared" si="129"/>
        <v>0</v>
      </c>
      <c r="U804" s="688">
        <f t="shared" si="129"/>
        <v>0</v>
      </c>
      <c r="V804" s="200">
        <f t="shared" si="129"/>
        <v>0</v>
      </c>
      <c r="W804" s="711"/>
    </row>
    <row r="805" spans="1:23" ht="16.5" hidden="1" outlineLevel="1">
      <c r="A805" s="195"/>
      <c r="B805" s="212" t="s">
        <v>485</v>
      </c>
      <c r="C805" s="196"/>
      <c r="D805" s="685"/>
      <c r="E805" s="196"/>
      <c r="F805" s="685"/>
      <c r="G805" s="204"/>
      <c r="H805" s="213"/>
      <c r="I805" s="198">
        <v>0</v>
      </c>
      <c r="J805" s="198">
        <v>0</v>
      </c>
      <c r="K805" s="198">
        <v>0</v>
      </c>
      <c r="L805" s="198">
        <v>0</v>
      </c>
      <c r="M805" s="198">
        <v>0</v>
      </c>
      <c r="N805" s="721" t="str">
        <f t="shared" si="119"/>
        <v>-</v>
      </c>
      <c r="O805" s="721" t="str">
        <f t="shared" si="120"/>
        <v/>
      </c>
      <c r="P805" s="200">
        <f>P804+Q804+R804+S804+T804+U804+V804</f>
        <v>5458.9765432098757</v>
      </c>
      <c r="Q805" s="200" t="s">
        <v>486</v>
      </c>
      <c r="R805" s="200"/>
      <c r="S805" s="200"/>
      <c r="T805" s="200"/>
      <c r="U805" s="688"/>
      <c r="V805" s="200"/>
      <c r="W805" s="711"/>
    </row>
    <row r="806" spans="1:23" ht="16.5" hidden="1" outlineLevel="1">
      <c r="A806" s="195"/>
      <c r="B806" s="217" t="s">
        <v>487</v>
      </c>
      <c r="C806" s="218"/>
      <c r="D806" s="702"/>
      <c r="E806" s="218"/>
      <c r="F806" s="685"/>
      <c r="G806" s="838"/>
      <c r="H806" s="839"/>
      <c r="I806" s="198">
        <v>0</v>
      </c>
      <c r="J806" s="198">
        <v>0</v>
      </c>
      <c r="K806" s="198">
        <v>0</v>
      </c>
      <c r="L806" s="198">
        <v>0</v>
      </c>
      <c r="M806" s="198">
        <v>0</v>
      </c>
      <c r="N806" s="721" t="str">
        <f t="shared" si="119"/>
        <v>-</v>
      </c>
      <c r="O806" s="721" t="str">
        <f t="shared" si="120"/>
        <v/>
      </c>
      <c r="P806" s="221">
        <f>P805/1000</f>
        <v>5.458976543209876</v>
      </c>
      <c r="Q806" s="222" t="s">
        <v>374</v>
      </c>
      <c r="R806" s="200"/>
      <c r="S806" s="200"/>
      <c r="T806" s="200"/>
      <c r="U806" s="688"/>
      <c r="V806" s="200"/>
      <c r="W806" s="711"/>
    </row>
    <row r="807" spans="1:23" ht="16.5" hidden="1" outlineLevel="1">
      <c r="A807" s="195"/>
      <c r="B807" s="172"/>
      <c r="C807" s="196"/>
      <c r="D807" s="685"/>
      <c r="E807" s="196"/>
      <c r="F807" s="685"/>
      <c r="G807" s="204"/>
      <c r="H807" s="203"/>
      <c r="I807" s="198"/>
      <c r="J807" s="198"/>
      <c r="K807" s="198"/>
      <c r="L807" s="198"/>
      <c r="M807" s="198"/>
      <c r="N807" s="721" t="str">
        <f t="shared" si="119"/>
        <v>-</v>
      </c>
      <c r="O807" s="721" t="str">
        <f t="shared" si="120"/>
        <v/>
      </c>
      <c r="P807" s="722" t="str">
        <f t="shared" si="121"/>
        <v>-</v>
      </c>
      <c r="Q807" s="686" t="str">
        <f t="shared" si="122"/>
        <v>-</v>
      </c>
      <c r="R807" s="686" t="str">
        <f t="shared" si="123"/>
        <v>-</v>
      </c>
      <c r="S807" s="686" t="str">
        <f t="shared" si="124"/>
        <v>-</v>
      </c>
      <c r="T807" s="686" t="str">
        <f t="shared" si="125"/>
        <v>-</v>
      </c>
      <c r="U807" s="723" t="str">
        <f t="shared" si="126"/>
        <v>-</v>
      </c>
      <c r="V807" s="695" t="str">
        <f t="shared" si="127"/>
        <v>-</v>
      </c>
      <c r="W807" s="711"/>
    </row>
    <row r="808" spans="1:23" ht="16.5" hidden="1" outlineLevel="1">
      <c r="A808" s="726"/>
      <c r="B808" s="726"/>
      <c r="C808" s="727"/>
      <c r="D808" s="690"/>
      <c r="E808" s="727"/>
      <c r="F808" s="685"/>
      <c r="G808" s="239"/>
      <c r="H808" s="203"/>
      <c r="I808" s="198"/>
      <c r="J808" s="198"/>
      <c r="K808" s="198"/>
      <c r="L808" s="198"/>
      <c r="M808" s="198"/>
      <c r="N808" s="721" t="str">
        <f t="shared" si="119"/>
        <v>-</v>
      </c>
      <c r="O808" s="721" t="str">
        <f t="shared" si="120"/>
        <v/>
      </c>
      <c r="P808" s="722" t="str">
        <f t="shared" si="121"/>
        <v>-</v>
      </c>
      <c r="Q808" s="686" t="str">
        <f t="shared" si="122"/>
        <v>-</v>
      </c>
      <c r="R808" s="686" t="str">
        <f t="shared" si="123"/>
        <v>-</v>
      </c>
      <c r="S808" s="686" t="str">
        <f t="shared" si="124"/>
        <v>-</v>
      </c>
      <c r="T808" s="686" t="str">
        <f t="shared" si="125"/>
        <v>-</v>
      </c>
      <c r="U808" s="723" t="str">
        <f t="shared" si="126"/>
        <v>-</v>
      </c>
      <c r="V808" s="695" t="str">
        <f t="shared" si="127"/>
        <v>-</v>
      </c>
      <c r="W808" s="711"/>
    </row>
    <row r="809" spans="1:23" ht="60.75" hidden="1" outlineLevel="1">
      <c r="A809" s="728" t="s">
        <v>33</v>
      </c>
      <c r="B809" s="729" t="s">
        <v>1567</v>
      </c>
      <c r="C809" s="727"/>
      <c r="D809" s="690"/>
      <c r="E809" s="727"/>
      <c r="F809" s="685">
        <v>1</v>
      </c>
      <c r="G809" s="239"/>
      <c r="H809" s="203"/>
      <c r="I809" s="198"/>
      <c r="J809" s="198"/>
      <c r="K809" s="198"/>
      <c r="L809" s="198"/>
      <c r="M809" s="198"/>
      <c r="N809" s="721" t="str">
        <f t="shared" si="119"/>
        <v>-</v>
      </c>
      <c r="O809" s="721" t="str">
        <f t="shared" si="120"/>
        <v/>
      </c>
      <c r="P809" s="722" t="str">
        <f t="shared" si="121"/>
        <v>-</v>
      </c>
      <c r="Q809" s="686" t="str">
        <f t="shared" si="122"/>
        <v>-</v>
      </c>
      <c r="R809" s="686" t="str">
        <f t="shared" si="123"/>
        <v>-</v>
      </c>
      <c r="S809" s="686" t="str">
        <f t="shared" si="124"/>
        <v>-</v>
      </c>
      <c r="T809" s="686" t="str">
        <f t="shared" si="125"/>
        <v>-</v>
      </c>
      <c r="U809" s="723" t="str">
        <f t="shared" si="126"/>
        <v>-</v>
      </c>
      <c r="V809" s="695" t="str">
        <f t="shared" si="127"/>
        <v>-</v>
      </c>
      <c r="W809" s="711"/>
    </row>
    <row r="810" spans="1:23" ht="16.5" hidden="1" outlineLevel="1">
      <c r="A810" s="209" t="s">
        <v>1568</v>
      </c>
      <c r="B810" s="209" t="s">
        <v>403</v>
      </c>
      <c r="C810" s="727"/>
      <c r="D810" s="690"/>
      <c r="E810" s="727"/>
      <c r="F810" s="685">
        <v>1</v>
      </c>
      <c r="G810" s="239"/>
      <c r="H810" s="203"/>
      <c r="I810" s="198"/>
      <c r="J810" s="198"/>
      <c r="K810" s="198"/>
      <c r="L810" s="198"/>
      <c r="M810" s="198"/>
      <c r="N810" s="721" t="str">
        <f t="shared" si="119"/>
        <v>-</v>
      </c>
      <c r="O810" s="721" t="str">
        <f t="shared" si="120"/>
        <v/>
      </c>
      <c r="P810" s="722" t="str">
        <f t="shared" si="121"/>
        <v>-</v>
      </c>
      <c r="Q810" s="686" t="str">
        <f t="shared" si="122"/>
        <v>-</v>
      </c>
      <c r="R810" s="686" t="str">
        <f t="shared" si="123"/>
        <v>-</v>
      </c>
      <c r="S810" s="686" t="str">
        <f t="shared" si="124"/>
        <v>-</v>
      </c>
      <c r="T810" s="686" t="str">
        <f t="shared" si="125"/>
        <v>-</v>
      </c>
      <c r="U810" s="723" t="str">
        <f t="shared" si="126"/>
        <v>-</v>
      </c>
      <c r="V810" s="695" t="str">
        <f t="shared" si="127"/>
        <v>-</v>
      </c>
      <c r="W810" s="711"/>
    </row>
    <row r="811" spans="1:23" ht="30.75" hidden="1" outlineLevel="1">
      <c r="A811" s="205" t="s">
        <v>1569</v>
      </c>
      <c r="B811" s="206" t="s">
        <v>391</v>
      </c>
      <c r="C811" s="727"/>
      <c r="D811" s="690"/>
      <c r="E811" s="727"/>
      <c r="F811" s="685">
        <v>1</v>
      </c>
      <c r="G811" s="239"/>
      <c r="H811" s="203"/>
      <c r="I811" s="198"/>
      <c r="J811" s="198"/>
      <c r="K811" s="198"/>
      <c r="L811" s="198"/>
      <c r="M811" s="198"/>
      <c r="N811" s="721" t="str">
        <f t="shared" si="119"/>
        <v>-</v>
      </c>
      <c r="O811" s="721" t="str">
        <f t="shared" si="120"/>
        <v/>
      </c>
      <c r="P811" s="722" t="str">
        <f t="shared" si="121"/>
        <v>-</v>
      </c>
      <c r="Q811" s="686" t="str">
        <f t="shared" si="122"/>
        <v>-</v>
      </c>
      <c r="R811" s="686" t="str">
        <f t="shared" si="123"/>
        <v>-</v>
      </c>
      <c r="S811" s="686" t="str">
        <f t="shared" si="124"/>
        <v>-</v>
      </c>
      <c r="T811" s="686" t="str">
        <f t="shared" si="125"/>
        <v>-</v>
      </c>
      <c r="U811" s="723" t="str">
        <f t="shared" si="126"/>
        <v>-</v>
      </c>
      <c r="V811" s="695" t="str">
        <f t="shared" si="127"/>
        <v>-</v>
      </c>
      <c r="W811" s="711"/>
    </row>
    <row r="812" spans="1:23" ht="16.5" hidden="1" outlineLevel="1">
      <c r="A812" s="727"/>
      <c r="B812" s="172" t="s">
        <v>600</v>
      </c>
      <c r="C812" s="727"/>
      <c r="D812" s="690"/>
      <c r="E812" s="727"/>
      <c r="F812" s="685">
        <v>1</v>
      </c>
      <c r="G812" s="239"/>
      <c r="H812" s="203"/>
      <c r="I812" s="198"/>
      <c r="J812" s="198"/>
      <c r="K812" s="198"/>
      <c r="L812" s="198"/>
      <c r="M812" s="198"/>
      <c r="N812" s="721" t="str">
        <f t="shared" si="119"/>
        <v>-</v>
      </c>
      <c r="O812" s="721" t="str">
        <f t="shared" si="120"/>
        <v/>
      </c>
      <c r="P812" s="722" t="str">
        <f t="shared" si="121"/>
        <v>-</v>
      </c>
      <c r="Q812" s="686" t="str">
        <f t="shared" si="122"/>
        <v>-</v>
      </c>
      <c r="R812" s="686" t="str">
        <f t="shared" si="123"/>
        <v>-</v>
      </c>
      <c r="S812" s="686" t="str">
        <f t="shared" si="124"/>
        <v>-</v>
      </c>
      <c r="T812" s="686" t="str">
        <f t="shared" si="125"/>
        <v>-</v>
      </c>
      <c r="U812" s="723" t="str">
        <f t="shared" si="126"/>
        <v>-</v>
      </c>
      <c r="V812" s="695" t="str">
        <f t="shared" si="127"/>
        <v>-</v>
      </c>
      <c r="W812" s="711"/>
    </row>
    <row r="813" spans="1:23" ht="16.5" hidden="1" outlineLevel="1">
      <c r="A813" s="726">
        <v>1</v>
      </c>
      <c r="B813" s="726" t="s">
        <v>392</v>
      </c>
      <c r="C813" s="727">
        <v>10</v>
      </c>
      <c r="D813" s="690"/>
      <c r="E813" s="720" t="s">
        <v>1557</v>
      </c>
      <c r="F813" s="685">
        <v>1</v>
      </c>
      <c r="G813" s="239">
        <v>1</v>
      </c>
      <c r="H813" s="203">
        <v>2</v>
      </c>
      <c r="I813" s="198">
        <f>C813*10</f>
        <v>100</v>
      </c>
      <c r="J813" s="198">
        <f>11210-50</f>
        <v>11160</v>
      </c>
      <c r="K813" s="198">
        <v>100</v>
      </c>
      <c r="L813" s="198"/>
      <c r="M813" s="198"/>
      <c r="N813" s="721">
        <f t="shared" si="119"/>
        <v>11320</v>
      </c>
      <c r="O813" s="721">
        <f t="shared" si="120"/>
        <v>0</v>
      </c>
      <c r="P813" s="722" t="str">
        <f t="shared" si="121"/>
        <v>-</v>
      </c>
      <c r="Q813" s="686">
        <f t="shared" si="122"/>
        <v>22.64</v>
      </c>
      <c r="R813" s="686" t="str">
        <f t="shared" si="123"/>
        <v>-</v>
      </c>
      <c r="S813" s="686" t="str">
        <f t="shared" si="124"/>
        <v>-</v>
      </c>
      <c r="T813" s="686" t="str">
        <f t="shared" si="125"/>
        <v>-</v>
      </c>
      <c r="U813" s="723" t="str">
        <f t="shared" si="126"/>
        <v>-</v>
      </c>
      <c r="V813" s="695" t="str">
        <f t="shared" si="127"/>
        <v>-</v>
      </c>
      <c r="W813" s="711"/>
    </row>
    <row r="814" spans="1:23" ht="16.5" hidden="1" outlineLevel="1">
      <c r="A814" s="726"/>
      <c r="B814" s="726" t="s">
        <v>393</v>
      </c>
      <c r="C814" s="727">
        <v>10</v>
      </c>
      <c r="D814" s="690"/>
      <c r="E814" s="720" t="s">
        <v>1557</v>
      </c>
      <c r="F814" s="685">
        <v>1</v>
      </c>
      <c r="G814" s="239">
        <v>1</v>
      </c>
      <c r="H814" s="203">
        <v>2</v>
      </c>
      <c r="I814" s="198">
        <f>C814*10</f>
        <v>100</v>
      </c>
      <c r="J814" s="198">
        <f>11210-50</f>
        <v>11160</v>
      </c>
      <c r="K814" s="198">
        <v>100</v>
      </c>
      <c r="L814" s="198"/>
      <c r="M814" s="198"/>
      <c r="N814" s="721">
        <f t="shared" si="119"/>
        <v>11320</v>
      </c>
      <c r="O814" s="721">
        <f t="shared" si="120"/>
        <v>0</v>
      </c>
      <c r="P814" s="722" t="str">
        <f t="shared" si="121"/>
        <v>-</v>
      </c>
      <c r="Q814" s="686">
        <f t="shared" si="122"/>
        <v>22.64</v>
      </c>
      <c r="R814" s="686" t="str">
        <f t="shared" si="123"/>
        <v>-</v>
      </c>
      <c r="S814" s="686" t="str">
        <f t="shared" si="124"/>
        <v>-</v>
      </c>
      <c r="T814" s="686" t="str">
        <f t="shared" si="125"/>
        <v>-</v>
      </c>
      <c r="U814" s="723" t="str">
        <f t="shared" si="126"/>
        <v>-</v>
      </c>
      <c r="V814" s="695" t="str">
        <f t="shared" si="127"/>
        <v>-</v>
      </c>
      <c r="W814" s="711"/>
    </row>
    <row r="815" spans="1:23" ht="16.5" hidden="1" outlineLevel="1">
      <c r="A815" s="726"/>
      <c r="B815" s="726" t="s">
        <v>394</v>
      </c>
      <c r="C815" s="727">
        <v>8</v>
      </c>
      <c r="D815" s="690"/>
      <c r="E815" s="691" t="s">
        <v>1558</v>
      </c>
      <c r="F815" s="685">
        <v>1</v>
      </c>
      <c r="G815" s="239">
        <v>1</v>
      </c>
      <c r="H815" s="203">
        <f>((J813-460)/200)+1</f>
        <v>54.5</v>
      </c>
      <c r="I815" s="198">
        <v>180</v>
      </c>
      <c r="J815" s="198">
        <v>150</v>
      </c>
      <c r="K815" s="198">
        <v>180</v>
      </c>
      <c r="L815" s="198">
        <v>150</v>
      </c>
      <c r="M815" s="198"/>
      <c r="N815" s="721">
        <f t="shared" si="119"/>
        <v>740</v>
      </c>
      <c r="O815" s="721">
        <f t="shared" si="120"/>
        <v>0</v>
      </c>
      <c r="P815" s="722">
        <f t="shared" si="121"/>
        <v>40.33</v>
      </c>
      <c r="Q815" s="686" t="str">
        <f t="shared" si="122"/>
        <v>-</v>
      </c>
      <c r="R815" s="686" t="str">
        <f t="shared" si="123"/>
        <v>-</v>
      </c>
      <c r="S815" s="686" t="str">
        <f t="shared" si="124"/>
        <v>-</v>
      </c>
      <c r="T815" s="686" t="str">
        <f t="shared" si="125"/>
        <v>-</v>
      </c>
      <c r="U815" s="723" t="str">
        <f t="shared" si="126"/>
        <v>-</v>
      </c>
      <c r="V815" s="695" t="str">
        <f t="shared" si="127"/>
        <v>-</v>
      </c>
      <c r="W815" s="711"/>
    </row>
    <row r="816" spans="1:23" ht="16.5" hidden="1" outlineLevel="1">
      <c r="A816" s="726"/>
      <c r="B816" s="726"/>
      <c r="C816" s="727"/>
      <c r="D816" s="690"/>
      <c r="E816" s="727"/>
      <c r="F816" s="685">
        <v>1</v>
      </c>
      <c r="G816" s="239"/>
      <c r="H816" s="203"/>
      <c r="I816" s="198"/>
      <c r="J816" s="198"/>
      <c r="K816" s="198"/>
      <c r="L816" s="198"/>
      <c r="M816" s="198"/>
      <c r="N816" s="721" t="str">
        <f t="shared" si="119"/>
        <v>-</v>
      </c>
      <c r="O816" s="721" t="str">
        <f t="shared" si="120"/>
        <v/>
      </c>
      <c r="P816" s="722" t="str">
        <f t="shared" si="121"/>
        <v>-</v>
      </c>
      <c r="Q816" s="686" t="str">
        <f t="shared" si="122"/>
        <v>-</v>
      </c>
      <c r="R816" s="686" t="str">
        <f t="shared" si="123"/>
        <v>-</v>
      </c>
      <c r="S816" s="686" t="str">
        <f t="shared" si="124"/>
        <v>-</v>
      </c>
      <c r="T816" s="686" t="str">
        <f t="shared" si="125"/>
        <v>-</v>
      </c>
      <c r="U816" s="723" t="str">
        <f t="shared" si="126"/>
        <v>-</v>
      </c>
      <c r="V816" s="695" t="str">
        <f t="shared" si="127"/>
        <v>-</v>
      </c>
      <c r="W816" s="711"/>
    </row>
    <row r="817" spans="1:23" ht="16.5" hidden="1" outlineLevel="1">
      <c r="A817" s="726">
        <v>2</v>
      </c>
      <c r="B817" s="726" t="s">
        <v>392</v>
      </c>
      <c r="C817" s="727">
        <v>10</v>
      </c>
      <c r="D817" s="690"/>
      <c r="E817" s="720" t="s">
        <v>1557</v>
      </c>
      <c r="F817" s="685">
        <v>1</v>
      </c>
      <c r="G817" s="239">
        <v>1</v>
      </c>
      <c r="H817" s="203">
        <v>2</v>
      </c>
      <c r="I817" s="198">
        <f>C817*10</f>
        <v>100</v>
      </c>
      <c r="J817" s="198">
        <f>1630+230-50</f>
        <v>1810</v>
      </c>
      <c r="K817" s="198">
        <v>100</v>
      </c>
      <c r="L817" s="198"/>
      <c r="M817" s="198"/>
      <c r="N817" s="721">
        <f t="shared" si="119"/>
        <v>1970</v>
      </c>
      <c r="O817" s="721">
        <f t="shared" si="120"/>
        <v>0</v>
      </c>
      <c r="P817" s="722" t="str">
        <f t="shared" si="121"/>
        <v>-</v>
      </c>
      <c r="Q817" s="686">
        <f t="shared" si="122"/>
        <v>3.94</v>
      </c>
      <c r="R817" s="686" t="str">
        <f t="shared" si="123"/>
        <v>-</v>
      </c>
      <c r="S817" s="686" t="str">
        <f t="shared" si="124"/>
        <v>-</v>
      </c>
      <c r="T817" s="686" t="str">
        <f t="shared" si="125"/>
        <v>-</v>
      </c>
      <c r="U817" s="723" t="str">
        <f t="shared" si="126"/>
        <v>-</v>
      </c>
      <c r="V817" s="695" t="str">
        <f t="shared" si="127"/>
        <v>-</v>
      </c>
      <c r="W817" s="711"/>
    </row>
    <row r="818" spans="1:23" ht="16.5" hidden="1" outlineLevel="1">
      <c r="A818" s="726"/>
      <c r="B818" s="726" t="s">
        <v>393</v>
      </c>
      <c r="C818" s="727">
        <v>10</v>
      </c>
      <c r="D818" s="690"/>
      <c r="E818" s="720" t="s">
        <v>1557</v>
      </c>
      <c r="F818" s="685">
        <v>1</v>
      </c>
      <c r="G818" s="239">
        <v>1</v>
      </c>
      <c r="H818" s="203">
        <v>2</v>
      </c>
      <c r="I818" s="198">
        <f>C818*10</f>
        <v>100</v>
      </c>
      <c r="J818" s="198">
        <f>1630+230-50</f>
        <v>1810</v>
      </c>
      <c r="K818" s="198">
        <v>100</v>
      </c>
      <c r="L818" s="198"/>
      <c r="M818" s="198"/>
      <c r="N818" s="721">
        <f t="shared" si="119"/>
        <v>1970</v>
      </c>
      <c r="O818" s="721">
        <f t="shared" si="120"/>
        <v>0</v>
      </c>
      <c r="P818" s="722" t="str">
        <f t="shared" si="121"/>
        <v>-</v>
      </c>
      <c r="Q818" s="686">
        <f t="shared" si="122"/>
        <v>3.94</v>
      </c>
      <c r="R818" s="686" t="str">
        <f t="shared" si="123"/>
        <v>-</v>
      </c>
      <c r="S818" s="686" t="str">
        <f t="shared" si="124"/>
        <v>-</v>
      </c>
      <c r="T818" s="686" t="str">
        <f t="shared" si="125"/>
        <v>-</v>
      </c>
      <c r="U818" s="723" t="str">
        <f t="shared" si="126"/>
        <v>-</v>
      </c>
      <c r="V818" s="695" t="str">
        <f t="shared" si="127"/>
        <v>-</v>
      </c>
      <c r="W818" s="711"/>
    </row>
    <row r="819" spans="1:23" ht="16.5" hidden="1" outlineLevel="1">
      <c r="A819" s="726"/>
      <c r="B819" s="726" t="s">
        <v>394</v>
      </c>
      <c r="C819" s="727">
        <v>8</v>
      </c>
      <c r="D819" s="690"/>
      <c r="E819" s="691" t="s">
        <v>1558</v>
      </c>
      <c r="F819" s="685">
        <v>1</v>
      </c>
      <c r="G819" s="239">
        <v>1</v>
      </c>
      <c r="H819" s="203">
        <f>((J817-460)/200)+1</f>
        <v>7.75</v>
      </c>
      <c r="I819" s="198">
        <v>180</v>
      </c>
      <c r="J819" s="198">
        <v>150</v>
      </c>
      <c r="K819" s="198">
        <v>180</v>
      </c>
      <c r="L819" s="198">
        <v>150</v>
      </c>
      <c r="M819" s="198"/>
      <c r="N819" s="721">
        <f t="shared" si="119"/>
        <v>740</v>
      </c>
      <c r="O819" s="721">
        <f t="shared" si="120"/>
        <v>0</v>
      </c>
      <c r="P819" s="722">
        <f t="shared" si="121"/>
        <v>5.7350000000000003</v>
      </c>
      <c r="Q819" s="686" t="str">
        <f t="shared" si="122"/>
        <v>-</v>
      </c>
      <c r="R819" s="686" t="str">
        <f t="shared" si="123"/>
        <v>-</v>
      </c>
      <c r="S819" s="686" t="str">
        <f t="shared" si="124"/>
        <v>-</v>
      </c>
      <c r="T819" s="686" t="str">
        <f t="shared" si="125"/>
        <v>-</v>
      </c>
      <c r="U819" s="723" t="str">
        <f t="shared" si="126"/>
        <v>-</v>
      </c>
      <c r="V819" s="695" t="str">
        <f t="shared" si="127"/>
        <v>-</v>
      </c>
      <c r="W819" s="711"/>
    </row>
    <row r="820" spans="1:23" ht="16.5" hidden="1" outlineLevel="1">
      <c r="A820" s="726"/>
      <c r="B820" s="726"/>
      <c r="C820" s="727"/>
      <c r="D820" s="690"/>
      <c r="E820" s="727"/>
      <c r="F820" s="685">
        <v>1</v>
      </c>
      <c r="G820" s="239"/>
      <c r="H820" s="203"/>
      <c r="I820" s="198"/>
      <c r="J820" s="198"/>
      <c r="K820" s="198"/>
      <c r="L820" s="198"/>
      <c r="M820" s="198"/>
      <c r="N820" s="721" t="str">
        <f t="shared" si="119"/>
        <v>-</v>
      </c>
      <c r="O820" s="721" t="str">
        <f t="shared" si="120"/>
        <v/>
      </c>
      <c r="P820" s="722" t="str">
        <f t="shared" si="121"/>
        <v>-</v>
      </c>
      <c r="Q820" s="686" t="str">
        <f t="shared" si="122"/>
        <v>-</v>
      </c>
      <c r="R820" s="686" t="str">
        <f t="shared" si="123"/>
        <v>-</v>
      </c>
      <c r="S820" s="686" t="str">
        <f t="shared" si="124"/>
        <v>-</v>
      </c>
      <c r="T820" s="686" t="str">
        <f t="shared" si="125"/>
        <v>-</v>
      </c>
      <c r="U820" s="723" t="str">
        <f t="shared" si="126"/>
        <v>-</v>
      </c>
      <c r="V820" s="695" t="str">
        <f t="shared" si="127"/>
        <v>-</v>
      </c>
      <c r="W820" s="711"/>
    </row>
    <row r="821" spans="1:23" ht="16.5" hidden="1" outlineLevel="1">
      <c r="A821" s="726">
        <v>3</v>
      </c>
      <c r="B821" s="726" t="s">
        <v>392</v>
      </c>
      <c r="C821" s="727">
        <v>10</v>
      </c>
      <c r="D821" s="690"/>
      <c r="E821" s="720" t="s">
        <v>1557</v>
      </c>
      <c r="F821" s="685">
        <v>1</v>
      </c>
      <c r="G821" s="239">
        <v>1</v>
      </c>
      <c r="H821" s="203">
        <v>2</v>
      </c>
      <c r="I821" s="198">
        <f>C821*10</f>
        <v>100</v>
      </c>
      <c r="J821" s="840">
        <v>7530</v>
      </c>
      <c r="K821" s="198">
        <v>100</v>
      </c>
      <c r="L821" s="198"/>
      <c r="M821" s="198"/>
      <c r="N821" s="721">
        <f t="shared" si="119"/>
        <v>7690</v>
      </c>
      <c r="O821" s="721">
        <f t="shared" si="120"/>
        <v>0</v>
      </c>
      <c r="P821" s="722" t="str">
        <f t="shared" si="121"/>
        <v>-</v>
      </c>
      <c r="Q821" s="686">
        <f t="shared" si="122"/>
        <v>15.38</v>
      </c>
      <c r="R821" s="686" t="str">
        <f t="shared" si="123"/>
        <v>-</v>
      </c>
      <c r="S821" s="686" t="str">
        <f t="shared" si="124"/>
        <v>-</v>
      </c>
      <c r="T821" s="686" t="str">
        <f t="shared" si="125"/>
        <v>-</v>
      </c>
      <c r="U821" s="723" t="str">
        <f t="shared" si="126"/>
        <v>-</v>
      </c>
      <c r="V821" s="695" t="str">
        <f t="shared" si="127"/>
        <v>-</v>
      </c>
      <c r="W821" s="711"/>
    </row>
    <row r="822" spans="1:23" ht="16.5" hidden="1" outlineLevel="1">
      <c r="A822" s="726"/>
      <c r="B822" s="726" t="s">
        <v>393</v>
      </c>
      <c r="C822" s="727">
        <v>10</v>
      </c>
      <c r="D822" s="690"/>
      <c r="E822" s="720" t="s">
        <v>1557</v>
      </c>
      <c r="F822" s="685">
        <v>1</v>
      </c>
      <c r="G822" s="239">
        <v>1</v>
      </c>
      <c r="H822" s="203">
        <v>2</v>
      </c>
      <c r="I822" s="198">
        <f>C822*10</f>
        <v>100</v>
      </c>
      <c r="J822" s="840">
        <v>7530</v>
      </c>
      <c r="K822" s="198">
        <v>100</v>
      </c>
      <c r="L822" s="198"/>
      <c r="M822" s="198"/>
      <c r="N822" s="721">
        <f t="shared" si="119"/>
        <v>7690</v>
      </c>
      <c r="O822" s="721">
        <f t="shared" si="120"/>
        <v>0</v>
      </c>
      <c r="P822" s="722" t="str">
        <f t="shared" si="121"/>
        <v>-</v>
      </c>
      <c r="Q822" s="686">
        <f t="shared" si="122"/>
        <v>15.38</v>
      </c>
      <c r="R822" s="686" t="str">
        <f t="shared" si="123"/>
        <v>-</v>
      </c>
      <c r="S822" s="686" t="str">
        <f t="shared" si="124"/>
        <v>-</v>
      </c>
      <c r="T822" s="686" t="str">
        <f t="shared" si="125"/>
        <v>-</v>
      </c>
      <c r="U822" s="723" t="str">
        <f t="shared" si="126"/>
        <v>-</v>
      </c>
      <c r="V822" s="695" t="str">
        <f t="shared" si="127"/>
        <v>-</v>
      </c>
      <c r="W822" s="711"/>
    </row>
    <row r="823" spans="1:23" ht="16.5" hidden="1" outlineLevel="1">
      <c r="A823" s="726"/>
      <c r="B823" s="726" t="s">
        <v>394</v>
      </c>
      <c r="C823" s="727">
        <v>8</v>
      </c>
      <c r="D823" s="690"/>
      <c r="E823" s="691" t="s">
        <v>1558</v>
      </c>
      <c r="F823" s="685">
        <v>1</v>
      </c>
      <c r="G823" s="239">
        <v>1</v>
      </c>
      <c r="H823" s="203">
        <f>((J821-460)/200)+1</f>
        <v>36.35</v>
      </c>
      <c r="I823" s="198">
        <v>180</v>
      </c>
      <c r="J823" s="198">
        <v>150</v>
      </c>
      <c r="K823" s="198">
        <v>180</v>
      </c>
      <c r="L823" s="198">
        <v>150</v>
      </c>
      <c r="M823" s="198"/>
      <c r="N823" s="721">
        <f t="shared" si="119"/>
        <v>740</v>
      </c>
      <c r="O823" s="721">
        <f t="shared" si="120"/>
        <v>0</v>
      </c>
      <c r="P823" s="722">
        <f t="shared" si="121"/>
        <v>26.899000000000001</v>
      </c>
      <c r="Q823" s="686" t="str">
        <f t="shared" si="122"/>
        <v>-</v>
      </c>
      <c r="R823" s="686" t="str">
        <f t="shared" si="123"/>
        <v>-</v>
      </c>
      <c r="S823" s="686" t="str">
        <f t="shared" si="124"/>
        <v>-</v>
      </c>
      <c r="T823" s="686" t="str">
        <f t="shared" si="125"/>
        <v>-</v>
      </c>
      <c r="U823" s="723" t="str">
        <f t="shared" si="126"/>
        <v>-</v>
      </c>
      <c r="V823" s="695" t="str">
        <f t="shared" si="127"/>
        <v>-</v>
      </c>
      <c r="W823" s="711"/>
    </row>
    <row r="824" spans="1:23" ht="16.5" hidden="1" outlineLevel="1">
      <c r="A824" s="726"/>
      <c r="B824" s="726"/>
      <c r="C824" s="727"/>
      <c r="D824" s="690"/>
      <c r="E824" s="727"/>
      <c r="F824" s="685">
        <v>1</v>
      </c>
      <c r="G824" s="239"/>
      <c r="H824" s="203"/>
      <c r="I824" s="198"/>
      <c r="J824" s="198"/>
      <c r="K824" s="198"/>
      <c r="L824" s="198"/>
      <c r="M824" s="198"/>
      <c r="N824" s="721" t="str">
        <f t="shared" si="119"/>
        <v>-</v>
      </c>
      <c r="O824" s="721" t="str">
        <f t="shared" si="120"/>
        <v/>
      </c>
      <c r="P824" s="722" t="str">
        <f t="shared" si="121"/>
        <v>-</v>
      </c>
      <c r="Q824" s="686" t="str">
        <f t="shared" si="122"/>
        <v>-</v>
      </c>
      <c r="R824" s="686" t="str">
        <f t="shared" si="123"/>
        <v>-</v>
      </c>
      <c r="S824" s="686" t="str">
        <f t="shared" si="124"/>
        <v>-</v>
      </c>
      <c r="T824" s="686" t="str">
        <f t="shared" si="125"/>
        <v>-</v>
      </c>
      <c r="U824" s="723" t="str">
        <f t="shared" si="126"/>
        <v>-</v>
      </c>
      <c r="V824" s="695" t="str">
        <f t="shared" si="127"/>
        <v>-</v>
      </c>
      <c r="W824" s="711"/>
    </row>
    <row r="825" spans="1:23" ht="16.5" hidden="1" outlineLevel="1">
      <c r="A825" s="726">
        <v>4</v>
      </c>
      <c r="B825" s="730" t="s">
        <v>1570</v>
      </c>
      <c r="C825" s="727">
        <v>10</v>
      </c>
      <c r="D825" s="690"/>
      <c r="E825" s="720" t="s">
        <v>1557</v>
      </c>
      <c r="F825" s="685">
        <v>1</v>
      </c>
      <c r="G825" s="239">
        <v>1</v>
      </c>
      <c r="H825" s="203">
        <v>2</v>
      </c>
      <c r="I825" s="198">
        <f>C825*10</f>
        <v>100</v>
      </c>
      <c r="J825" s="840">
        <v>7530</v>
      </c>
      <c r="K825" s="198">
        <v>100</v>
      </c>
      <c r="L825" s="198"/>
      <c r="M825" s="198"/>
      <c r="N825" s="721">
        <f t="shared" si="119"/>
        <v>7690</v>
      </c>
      <c r="O825" s="721">
        <f t="shared" si="120"/>
        <v>0</v>
      </c>
      <c r="P825" s="722" t="str">
        <f t="shared" si="121"/>
        <v>-</v>
      </c>
      <c r="Q825" s="686">
        <f t="shared" si="122"/>
        <v>15.38</v>
      </c>
      <c r="R825" s="686" t="str">
        <f t="shared" si="123"/>
        <v>-</v>
      </c>
      <c r="S825" s="686" t="str">
        <f t="shared" si="124"/>
        <v>-</v>
      </c>
      <c r="T825" s="686" t="str">
        <f t="shared" si="125"/>
        <v>-</v>
      </c>
      <c r="U825" s="723" t="str">
        <f t="shared" si="126"/>
        <v>-</v>
      </c>
      <c r="V825" s="695" t="str">
        <f t="shared" si="127"/>
        <v>-</v>
      </c>
      <c r="W825" s="711"/>
    </row>
    <row r="826" spans="1:23" ht="16.5" hidden="1" outlineLevel="1">
      <c r="A826" s="726"/>
      <c r="B826" s="726" t="s">
        <v>393</v>
      </c>
      <c r="C826" s="727">
        <v>10</v>
      </c>
      <c r="D826" s="690"/>
      <c r="E826" s="720" t="s">
        <v>1557</v>
      </c>
      <c r="F826" s="685">
        <v>1</v>
      </c>
      <c r="G826" s="239">
        <v>1</v>
      </c>
      <c r="H826" s="203">
        <v>2</v>
      </c>
      <c r="I826" s="198">
        <f>C826*10</f>
        <v>100</v>
      </c>
      <c r="J826" s="840">
        <v>7530</v>
      </c>
      <c r="K826" s="198">
        <v>100</v>
      </c>
      <c r="L826" s="198"/>
      <c r="M826" s="198"/>
      <c r="N826" s="721">
        <f t="shared" si="119"/>
        <v>7690</v>
      </c>
      <c r="O826" s="721">
        <f t="shared" si="120"/>
        <v>0</v>
      </c>
      <c r="P826" s="722" t="str">
        <f t="shared" si="121"/>
        <v>-</v>
      </c>
      <c r="Q826" s="686">
        <f t="shared" si="122"/>
        <v>15.38</v>
      </c>
      <c r="R826" s="686" t="str">
        <f t="shared" si="123"/>
        <v>-</v>
      </c>
      <c r="S826" s="686" t="str">
        <f t="shared" si="124"/>
        <v>-</v>
      </c>
      <c r="T826" s="686" t="str">
        <f t="shared" si="125"/>
        <v>-</v>
      </c>
      <c r="U826" s="723" t="str">
        <f t="shared" si="126"/>
        <v>-</v>
      </c>
      <c r="V826" s="695" t="str">
        <f t="shared" si="127"/>
        <v>-</v>
      </c>
      <c r="W826" s="711"/>
    </row>
    <row r="827" spans="1:23" ht="16.5" hidden="1" outlineLevel="1">
      <c r="A827" s="726"/>
      <c r="B827" s="726" t="s">
        <v>394</v>
      </c>
      <c r="C827" s="727">
        <v>8</v>
      </c>
      <c r="D827" s="690"/>
      <c r="E827" s="691" t="s">
        <v>1558</v>
      </c>
      <c r="F827" s="685">
        <v>1</v>
      </c>
      <c r="G827" s="239">
        <v>1</v>
      </c>
      <c r="H827" s="203">
        <f>((J825-460)/200)+1</f>
        <v>36.35</v>
      </c>
      <c r="I827" s="198">
        <v>180</v>
      </c>
      <c r="J827" s="198">
        <v>150</v>
      </c>
      <c r="K827" s="198">
        <v>180</v>
      </c>
      <c r="L827" s="198">
        <v>150</v>
      </c>
      <c r="M827" s="198"/>
      <c r="N827" s="721">
        <f t="shared" si="119"/>
        <v>740</v>
      </c>
      <c r="O827" s="721">
        <f t="shared" si="120"/>
        <v>0</v>
      </c>
      <c r="P827" s="722">
        <f t="shared" si="121"/>
        <v>26.899000000000001</v>
      </c>
      <c r="Q827" s="686" t="str">
        <f t="shared" si="122"/>
        <v>-</v>
      </c>
      <c r="R827" s="686" t="str">
        <f t="shared" si="123"/>
        <v>-</v>
      </c>
      <c r="S827" s="686" t="str">
        <f t="shared" si="124"/>
        <v>-</v>
      </c>
      <c r="T827" s="686" t="str">
        <f t="shared" si="125"/>
        <v>-</v>
      </c>
      <c r="U827" s="723" t="str">
        <f t="shared" si="126"/>
        <v>-</v>
      </c>
      <c r="V827" s="695" t="str">
        <f t="shared" si="127"/>
        <v>-</v>
      </c>
      <c r="W827" s="711"/>
    </row>
    <row r="828" spans="1:23" ht="16.5" hidden="1" outlineLevel="1">
      <c r="A828" s="726"/>
      <c r="B828" s="726"/>
      <c r="C828" s="727"/>
      <c r="D828" s="690"/>
      <c r="E828" s="727"/>
      <c r="F828" s="685">
        <v>1</v>
      </c>
      <c r="G828" s="239"/>
      <c r="H828" s="203"/>
      <c r="I828" s="198"/>
      <c r="J828" s="198"/>
      <c r="K828" s="198"/>
      <c r="L828" s="198"/>
      <c r="M828" s="198"/>
      <c r="N828" s="721" t="str">
        <f t="shared" si="119"/>
        <v>-</v>
      </c>
      <c r="O828" s="721" t="str">
        <f t="shared" si="120"/>
        <v/>
      </c>
      <c r="P828" s="722" t="str">
        <f t="shared" si="121"/>
        <v>-</v>
      </c>
      <c r="Q828" s="686" t="str">
        <f t="shared" si="122"/>
        <v>-</v>
      </c>
      <c r="R828" s="686" t="str">
        <f t="shared" si="123"/>
        <v>-</v>
      </c>
      <c r="S828" s="686" t="str">
        <f t="shared" si="124"/>
        <v>-</v>
      </c>
      <c r="T828" s="686" t="str">
        <f t="shared" si="125"/>
        <v>-</v>
      </c>
      <c r="U828" s="723" t="str">
        <f t="shared" si="126"/>
        <v>-</v>
      </c>
      <c r="V828" s="695" t="str">
        <f t="shared" si="127"/>
        <v>-</v>
      </c>
      <c r="W828" s="711"/>
    </row>
    <row r="829" spans="1:23" ht="16.5" hidden="1" outlineLevel="1">
      <c r="A829" s="726">
        <v>5</v>
      </c>
      <c r="B829" s="730" t="s">
        <v>1570</v>
      </c>
      <c r="C829" s="727">
        <v>10</v>
      </c>
      <c r="D829" s="690"/>
      <c r="E829" s="720" t="s">
        <v>1557</v>
      </c>
      <c r="F829" s="685">
        <v>1</v>
      </c>
      <c r="G829" s="239">
        <v>1</v>
      </c>
      <c r="H829" s="203">
        <v>2</v>
      </c>
      <c r="I829" s="198">
        <f>C829*10</f>
        <v>100</v>
      </c>
      <c r="J829" s="198">
        <f>1630+230-50</f>
        <v>1810</v>
      </c>
      <c r="K829" s="198">
        <v>100</v>
      </c>
      <c r="L829" s="198"/>
      <c r="M829" s="198"/>
      <c r="N829" s="721">
        <f t="shared" si="119"/>
        <v>1970</v>
      </c>
      <c r="O829" s="721">
        <f t="shared" si="120"/>
        <v>0</v>
      </c>
      <c r="P829" s="722" t="str">
        <f t="shared" si="121"/>
        <v>-</v>
      </c>
      <c r="Q829" s="686">
        <f t="shared" si="122"/>
        <v>3.94</v>
      </c>
      <c r="R829" s="686" t="str">
        <f t="shared" si="123"/>
        <v>-</v>
      </c>
      <c r="S829" s="686" t="str">
        <f t="shared" si="124"/>
        <v>-</v>
      </c>
      <c r="T829" s="686" t="str">
        <f t="shared" si="125"/>
        <v>-</v>
      </c>
      <c r="U829" s="723" t="str">
        <f t="shared" si="126"/>
        <v>-</v>
      </c>
      <c r="V829" s="695" t="str">
        <f t="shared" si="127"/>
        <v>-</v>
      </c>
      <c r="W829" s="711"/>
    </row>
    <row r="830" spans="1:23" ht="16.5" hidden="1" outlineLevel="1">
      <c r="A830" s="726"/>
      <c r="B830" s="726" t="s">
        <v>393</v>
      </c>
      <c r="C830" s="727">
        <v>10</v>
      </c>
      <c r="D830" s="690"/>
      <c r="E830" s="720" t="s">
        <v>1557</v>
      </c>
      <c r="F830" s="685">
        <v>1</v>
      </c>
      <c r="G830" s="239">
        <v>1</v>
      </c>
      <c r="H830" s="203">
        <v>2</v>
      </c>
      <c r="I830" s="198">
        <f>C830*10</f>
        <v>100</v>
      </c>
      <c r="J830" s="198">
        <f>1630+230-50</f>
        <v>1810</v>
      </c>
      <c r="K830" s="198">
        <v>100</v>
      </c>
      <c r="L830" s="198"/>
      <c r="M830" s="198"/>
      <c r="N830" s="721">
        <f t="shared" si="119"/>
        <v>1970</v>
      </c>
      <c r="O830" s="721">
        <f t="shared" si="120"/>
        <v>0</v>
      </c>
      <c r="P830" s="722" t="str">
        <f t="shared" si="121"/>
        <v>-</v>
      </c>
      <c r="Q830" s="686">
        <f t="shared" si="122"/>
        <v>3.94</v>
      </c>
      <c r="R830" s="686" t="str">
        <f t="shared" si="123"/>
        <v>-</v>
      </c>
      <c r="S830" s="686" t="str">
        <f t="shared" si="124"/>
        <v>-</v>
      </c>
      <c r="T830" s="686" t="str">
        <f t="shared" si="125"/>
        <v>-</v>
      </c>
      <c r="U830" s="723" t="str">
        <f t="shared" si="126"/>
        <v>-</v>
      </c>
      <c r="V830" s="695" t="str">
        <f t="shared" si="127"/>
        <v>-</v>
      </c>
      <c r="W830" s="711"/>
    </row>
    <row r="831" spans="1:23" ht="16.5" hidden="1" outlineLevel="1">
      <c r="A831" s="726"/>
      <c r="B831" s="726" t="s">
        <v>394</v>
      </c>
      <c r="C831" s="727">
        <v>8</v>
      </c>
      <c r="D831" s="690"/>
      <c r="E831" s="691" t="s">
        <v>1558</v>
      </c>
      <c r="F831" s="685">
        <v>1</v>
      </c>
      <c r="G831" s="239">
        <v>1</v>
      </c>
      <c r="H831" s="203">
        <f>((J829-460)/200)+1</f>
        <v>7.75</v>
      </c>
      <c r="I831" s="198">
        <v>180</v>
      </c>
      <c r="J831" s="198">
        <v>150</v>
      </c>
      <c r="K831" s="198">
        <v>180</v>
      </c>
      <c r="L831" s="198">
        <v>150</v>
      </c>
      <c r="M831" s="198"/>
      <c r="N831" s="721">
        <f t="shared" si="119"/>
        <v>740</v>
      </c>
      <c r="O831" s="721">
        <f t="shared" si="120"/>
        <v>0</v>
      </c>
      <c r="P831" s="722">
        <f t="shared" si="121"/>
        <v>5.7350000000000003</v>
      </c>
      <c r="Q831" s="686" t="str">
        <f t="shared" si="122"/>
        <v>-</v>
      </c>
      <c r="R831" s="686" t="str">
        <f t="shared" si="123"/>
        <v>-</v>
      </c>
      <c r="S831" s="686" t="str">
        <f t="shared" si="124"/>
        <v>-</v>
      </c>
      <c r="T831" s="686" t="str">
        <f t="shared" si="125"/>
        <v>-</v>
      </c>
      <c r="U831" s="723" t="str">
        <f t="shared" si="126"/>
        <v>-</v>
      </c>
      <c r="V831" s="695" t="str">
        <f t="shared" si="127"/>
        <v>-</v>
      </c>
      <c r="W831" s="711"/>
    </row>
    <row r="832" spans="1:23" ht="16.5" hidden="1" outlineLevel="1">
      <c r="A832" s="726"/>
      <c r="B832" s="726"/>
      <c r="C832" s="727"/>
      <c r="D832" s="690"/>
      <c r="E832" s="727"/>
      <c r="F832" s="685">
        <v>1</v>
      </c>
      <c r="G832" s="239"/>
      <c r="H832" s="203"/>
      <c r="I832" s="198"/>
      <c r="J832" s="198"/>
      <c r="K832" s="198"/>
      <c r="L832" s="198"/>
      <c r="M832" s="198"/>
      <c r="N832" s="721" t="str">
        <f t="shared" si="119"/>
        <v>-</v>
      </c>
      <c r="O832" s="721" t="str">
        <f t="shared" si="120"/>
        <v/>
      </c>
      <c r="P832" s="722" t="str">
        <f t="shared" si="121"/>
        <v>-</v>
      </c>
      <c r="Q832" s="686" t="str">
        <f t="shared" si="122"/>
        <v>-</v>
      </c>
      <c r="R832" s="686" t="str">
        <f t="shared" si="123"/>
        <v>-</v>
      </c>
      <c r="S832" s="686" t="str">
        <f t="shared" si="124"/>
        <v>-</v>
      </c>
      <c r="T832" s="686" t="str">
        <f t="shared" si="125"/>
        <v>-</v>
      </c>
      <c r="U832" s="723" t="str">
        <f t="shared" si="126"/>
        <v>-</v>
      </c>
      <c r="V832" s="695" t="str">
        <f t="shared" si="127"/>
        <v>-</v>
      </c>
      <c r="W832" s="711"/>
    </row>
    <row r="833" spans="1:23" ht="16.5" hidden="1" outlineLevel="1">
      <c r="A833" s="726">
        <v>6</v>
      </c>
      <c r="B833" s="730" t="s">
        <v>1570</v>
      </c>
      <c r="C833" s="727">
        <v>10</v>
      </c>
      <c r="D833" s="690"/>
      <c r="E833" s="720" t="s">
        <v>1557</v>
      </c>
      <c r="F833" s="685">
        <v>1</v>
      </c>
      <c r="G833" s="239">
        <v>1</v>
      </c>
      <c r="H833" s="203">
        <v>2</v>
      </c>
      <c r="I833" s="198">
        <f>C833*10</f>
        <v>100</v>
      </c>
      <c r="J833" s="840">
        <v>6130</v>
      </c>
      <c r="K833" s="198">
        <v>100</v>
      </c>
      <c r="L833" s="198"/>
      <c r="M833" s="198"/>
      <c r="N833" s="721">
        <f t="shared" si="119"/>
        <v>6290</v>
      </c>
      <c r="O833" s="721">
        <f t="shared" si="120"/>
        <v>0</v>
      </c>
      <c r="P833" s="722" t="str">
        <f t="shared" si="121"/>
        <v>-</v>
      </c>
      <c r="Q833" s="686">
        <f t="shared" si="122"/>
        <v>12.58</v>
      </c>
      <c r="R833" s="686" t="str">
        <f t="shared" si="123"/>
        <v>-</v>
      </c>
      <c r="S833" s="686" t="str">
        <f t="shared" si="124"/>
        <v>-</v>
      </c>
      <c r="T833" s="686" t="str">
        <f t="shared" si="125"/>
        <v>-</v>
      </c>
      <c r="U833" s="723" t="str">
        <f t="shared" si="126"/>
        <v>-</v>
      </c>
      <c r="V833" s="695" t="str">
        <f t="shared" si="127"/>
        <v>-</v>
      </c>
      <c r="W833" s="711"/>
    </row>
    <row r="834" spans="1:23" ht="16.5" hidden="1" outlineLevel="1">
      <c r="A834" s="726"/>
      <c r="B834" s="726" t="s">
        <v>393</v>
      </c>
      <c r="C834" s="727">
        <v>10</v>
      </c>
      <c r="D834" s="690"/>
      <c r="E834" s="720" t="s">
        <v>1557</v>
      </c>
      <c r="F834" s="685">
        <v>1</v>
      </c>
      <c r="G834" s="239">
        <v>1</v>
      </c>
      <c r="H834" s="203">
        <v>2</v>
      </c>
      <c r="I834" s="198">
        <f>C834*10</f>
        <v>100</v>
      </c>
      <c r="J834" s="840">
        <v>6130</v>
      </c>
      <c r="K834" s="198">
        <v>100</v>
      </c>
      <c r="L834" s="198"/>
      <c r="M834" s="198"/>
      <c r="N834" s="721">
        <f t="shared" si="119"/>
        <v>6290</v>
      </c>
      <c r="O834" s="721">
        <f t="shared" si="120"/>
        <v>0</v>
      </c>
      <c r="P834" s="722" t="str">
        <f t="shared" si="121"/>
        <v>-</v>
      </c>
      <c r="Q834" s="686">
        <f t="shared" si="122"/>
        <v>12.58</v>
      </c>
      <c r="R834" s="686" t="str">
        <f t="shared" si="123"/>
        <v>-</v>
      </c>
      <c r="S834" s="686" t="str">
        <f t="shared" si="124"/>
        <v>-</v>
      </c>
      <c r="T834" s="686" t="str">
        <f t="shared" si="125"/>
        <v>-</v>
      </c>
      <c r="U834" s="723" t="str">
        <f t="shared" si="126"/>
        <v>-</v>
      </c>
      <c r="V834" s="695" t="str">
        <f t="shared" si="127"/>
        <v>-</v>
      </c>
      <c r="W834" s="711"/>
    </row>
    <row r="835" spans="1:23" ht="16.5" hidden="1" outlineLevel="1">
      <c r="A835" s="726"/>
      <c r="B835" s="726" t="s">
        <v>394</v>
      </c>
      <c r="C835" s="727">
        <v>8</v>
      </c>
      <c r="D835" s="690"/>
      <c r="E835" s="691" t="s">
        <v>1558</v>
      </c>
      <c r="F835" s="685">
        <v>1</v>
      </c>
      <c r="G835" s="239">
        <v>1</v>
      </c>
      <c r="H835" s="203">
        <f>((J833-460)/200)+1</f>
        <v>29.35</v>
      </c>
      <c r="I835" s="198">
        <v>180</v>
      </c>
      <c r="J835" s="198">
        <v>150</v>
      </c>
      <c r="K835" s="198">
        <v>180</v>
      </c>
      <c r="L835" s="198">
        <v>150</v>
      </c>
      <c r="M835" s="198"/>
      <c r="N835" s="721">
        <f t="shared" si="119"/>
        <v>740</v>
      </c>
      <c r="O835" s="721">
        <f t="shared" si="120"/>
        <v>0</v>
      </c>
      <c r="P835" s="722">
        <f t="shared" si="121"/>
        <v>21.719000000000001</v>
      </c>
      <c r="Q835" s="686" t="str">
        <f t="shared" si="122"/>
        <v>-</v>
      </c>
      <c r="R835" s="686" t="str">
        <f t="shared" si="123"/>
        <v>-</v>
      </c>
      <c r="S835" s="686" t="str">
        <f t="shared" si="124"/>
        <v>-</v>
      </c>
      <c r="T835" s="686" t="str">
        <f t="shared" si="125"/>
        <v>-</v>
      </c>
      <c r="U835" s="723" t="str">
        <f t="shared" si="126"/>
        <v>-</v>
      </c>
      <c r="V835" s="695" t="str">
        <f t="shared" si="127"/>
        <v>-</v>
      </c>
      <c r="W835" s="711"/>
    </row>
    <row r="836" spans="1:23" ht="16.5" hidden="1" outlineLevel="1">
      <c r="A836" s="726"/>
      <c r="B836" s="726"/>
      <c r="C836" s="727"/>
      <c r="D836" s="690"/>
      <c r="E836" s="727"/>
      <c r="F836" s="685">
        <v>1</v>
      </c>
      <c r="G836" s="239"/>
      <c r="H836" s="203"/>
      <c r="I836" s="198"/>
      <c r="J836" s="198"/>
      <c r="K836" s="198"/>
      <c r="L836" s="198"/>
      <c r="M836" s="198"/>
      <c r="N836" s="721" t="str">
        <f t="shared" si="119"/>
        <v>-</v>
      </c>
      <c r="O836" s="721" t="str">
        <f t="shared" si="120"/>
        <v/>
      </c>
      <c r="P836" s="722" t="str">
        <f t="shared" si="121"/>
        <v>-</v>
      </c>
      <c r="Q836" s="686" t="str">
        <f t="shared" si="122"/>
        <v>-</v>
      </c>
      <c r="R836" s="686" t="str">
        <f t="shared" si="123"/>
        <v>-</v>
      </c>
      <c r="S836" s="686" t="str">
        <f t="shared" si="124"/>
        <v>-</v>
      </c>
      <c r="T836" s="686" t="str">
        <f t="shared" si="125"/>
        <v>-</v>
      </c>
      <c r="U836" s="723" t="str">
        <f t="shared" si="126"/>
        <v>-</v>
      </c>
      <c r="V836" s="695" t="str">
        <f t="shared" si="127"/>
        <v>-</v>
      </c>
      <c r="W836" s="711"/>
    </row>
    <row r="837" spans="1:23" ht="16.5" hidden="1" outlineLevel="1">
      <c r="A837" s="726">
        <v>7</v>
      </c>
      <c r="B837" s="730" t="s">
        <v>1571</v>
      </c>
      <c r="C837" s="727">
        <v>10</v>
      </c>
      <c r="D837" s="690"/>
      <c r="E837" s="720" t="s">
        <v>1557</v>
      </c>
      <c r="F837" s="685">
        <v>1</v>
      </c>
      <c r="G837" s="239">
        <v>1</v>
      </c>
      <c r="H837" s="203">
        <v>2</v>
      </c>
      <c r="I837" s="198">
        <f>C837*10</f>
        <v>100</v>
      </c>
      <c r="J837" s="840">
        <v>6130</v>
      </c>
      <c r="K837" s="198">
        <v>100</v>
      </c>
      <c r="L837" s="198"/>
      <c r="M837" s="198"/>
      <c r="N837" s="721">
        <f t="shared" si="119"/>
        <v>6290</v>
      </c>
      <c r="O837" s="721">
        <f t="shared" si="120"/>
        <v>0</v>
      </c>
      <c r="P837" s="722" t="str">
        <f t="shared" si="121"/>
        <v>-</v>
      </c>
      <c r="Q837" s="686">
        <f t="shared" si="122"/>
        <v>12.58</v>
      </c>
      <c r="R837" s="686" t="str">
        <f t="shared" si="123"/>
        <v>-</v>
      </c>
      <c r="S837" s="686" t="str">
        <f t="shared" si="124"/>
        <v>-</v>
      </c>
      <c r="T837" s="686" t="str">
        <f t="shared" si="125"/>
        <v>-</v>
      </c>
      <c r="U837" s="723" t="str">
        <f t="shared" si="126"/>
        <v>-</v>
      </c>
      <c r="V837" s="695" t="str">
        <f t="shared" si="127"/>
        <v>-</v>
      </c>
      <c r="W837" s="711"/>
    </row>
    <row r="838" spans="1:23" ht="16.5" hidden="1" outlineLevel="1">
      <c r="A838" s="726"/>
      <c r="B838" s="726" t="s">
        <v>393</v>
      </c>
      <c r="C838" s="727">
        <v>10</v>
      </c>
      <c r="D838" s="690"/>
      <c r="E838" s="720" t="s">
        <v>1557</v>
      </c>
      <c r="F838" s="685">
        <v>1</v>
      </c>
      <c r="G838" s="239">
        <v>1</v>
      </c>
      <c r="H838" s="203">
        <v>2</v>
      </c>
      <c r="I838" s="198">
        <f>C838*10</f>
        <v>100</v>
      </c>
      <c r="J838" s="840">
        <v>6130</v>
      </c>
      <c r="K838" s="198">
        <v>100</v>
      </c>
      <c r="L838" s="198"/>
      <c r="M838" s="198"/>
      <c r="N838" s="721">
        <f t="shared" si="119"/>
        <v>6290</v>
      </c>
      <c r="O838" s="721">
        <f t="shared" si="120"/>
        <v>0</v>
      </c>
      <c r="P838" s="722" t="str">
        <f t="shared" si="121"/>
        <v>-</v>
      </c>
      <c r="Q838" s="686">
        <f t="shared" si="122"/>
        <v>12.58</v>
      </c>
      <c r="R838" s="686" t="str">
        <f t="shared" si="123"/>
        <v>-</v>
      </c>
      <c r="S838" s="686" t="str">
        <f t="shared" si="124"/>
        <v>-</v>
      </c>
      <c r="T838" s="686" t="str">
        <f t="shared" si="125"/>
        <v>-</v>
      </c>
      <c r="U838" s="723" t="str">
        <f t="shared" si="126"/>
        <v>-</v>
      </c>
      <c r="V838" s="695" t="str">
        <f t="shared" si="127"/>
        <v>-</v>
      </c>
      <c r="W838" s="711"/>
    </row>
    <row r="839" spans="1:23" ht="16.5" hidden="1" outlineLevel="1">
      <c r="A839" s="726"/>
      <c r="B839" s="726" t="s">
        <v>394</v>
      </c>
      <c r="C839" s="727">
        <v>8</v>
      </c>
      <c r="D839" s="690"/>
      <c r="E839" s="691" t="s">
        <v>1558</v>
      </c>
      <c r="F839" s="685">
        <v>1</v>
      </c>
      <c r="G839" s="239">
        <v>1</v>
      </c>
      <c r="H839" s="203">
        <f>((J837-460)/200)+1</f>
        <v>29.35</v>
      </c>
      <c r="I839" s="198">
        <v>180</v>
      </c>
      <c r="J839" s="198">
        <v>150</v>
      </c>
      <c r="K839" s="198">
        <v>180</v>
      </c>
      <c r="L839" s="198">
        <v>150</v>
      </c>
      <c r="M839" s="198"/>
      <c r="N839" s="721">
        <f t="shared" si="119"/>
        <v>740</v>
      </c>
      <c r="O839" s="721">
        <f t="shared" si="120"/>
        <v>0</v>
      </c>
      <c r="P839" s="722">
        <f t="shared" si="121"/>
        <v>21.719000000000001</v>
      </c>
      <c r="Q839" s="686" t="str">
        <f t="shared" si="122"/>
        <v>-</v>
      </c>
      <c r="R839" s="686" t="str">
        <f t="shared" si="123"/>
        <v>-</v>
      </c>
      <c r="S839" s="686" t="str">
        <f t="shared" si="124"/>
        <v>-</v>
      </c>
      <c r="T839" s="686" t="str">
        <f t="shared" si="125"/>
        <v>-</v>
      </c>
      <c r="U839" s="723" t="str">
        <f t="shared" si="126"/>
        <v>-</v>
      </c>
      <c r="V839" s="695" t="str">
        <f t="shared" si="127"/>
        <v>-</v>
      </c>
      <c r="W839" s="711"/>
    </row>
    <row r="840" spans="1:23" ht="16.5" hidden="1" outlineLevel="1">
      <c r="A840" s="726"/>
      <c r="B840" s="726"/>
      <c r="C840" s="727"/>
      <c r="D840" s="690"/>
      <c r="E840" s="727"/>
      <c r="F840" s="685">
        <v>1</v>
      </c>
      <c r="G840" s="239"/>
      <c r="H840" s="203"/>
      <c r="I840" s="198"/>
      <c r="J840" s="198"/>
      <c r="K840" s="198"/>
      <c r="L840" s="198"/>
      <c r="M840" s="198"/>
      <c r="N840" s="721" t="str">
        <f t="shared" si="119"/>
        <v>-</v>
      </c>
      <c r="O840" s="721" t="str">
        <f t="shared" si="120"/>
        <v/>
      </c>
      <c r="P840" s="722" t="str">
        <f t="shared" si="121"/>
        <v>-</v>
      </c>
      <c r="Q840" s="686" t="str">
        <f t="shared" si="122"/>
        <v>-</v>
      </c>
      <c r="R840" s="686" t="str">
        <f t="shared" si="123"/>
        <v>-</v>
      </c>
      <c r="S840" s="686" t="str">
        <f t="shared" si="124"/>
        <v>-</v>
      </c>
      <c r="T840" s="686" t="str">
        <f t="shared" si="125"/>
        <v>-</v>
      </c>
      <c r="U840" s="723" t="str">
        <f t="shared" si="126"/>
        <v>-</v>
      </c>
      <c r="V840" s="695" t="str">
        <f t="shared" si="127"/>
        <v>-</v>
      </c>
      <c r="W840" s="711"/>
    </row>
    <row r="841" spans="1:23" ht="16.5" hidden="1" outlineLevel="1">
      <c r="A841" s="726">
        <v>8</v>
      </c>
      <c r="B841" s="730" t="s">
        <v>1571</v>
      </c>
      <c r="C841" s="727">
        <v>10</v>
      </c>
      <c r="D841" s="690"/>
      <c r="E841" s="720" t="s">
        <v>1557</v>
      </c>
      <c r="F841" s="685">
        <v>1</v>
      </c>
      <c r="G841" s="239">
        <v>1</v>
      </c>
      <c r="H841" s="203">
        <v>2</v>
      </c>
      <c r="I841" s="198">
        <f>C841*10</f>
        <v>100</v>
      </c>
      <c r="J841" s="198">
        <f>1760+230-50</f>
        <v>1940</v>
      </c>
      <c r="K841" s="198">
        <v>100</v>
      </c>
      <c r="L841" s="198"/>
      <c r="M841" s="198"/>
      <c r="N841" s="721">
        <f t="shared" si="119"/>
        <v>2100</v>
      </c>
      <c r="O841" s="721">
        <f t="shared" si="120"/>
        <v>0</v>
      </c>
      <c r="P841" s="722" t="str">
        <f t="shared" si="121"/>
        <v>-</v>
      </c>
      <c r="Q841" s="686">
        <f t="shared" si="122"/>
        <v>4.2</v>
      </c>
      <c r="R841" s="686" t="str">
        <f t="shared" si="123"/>
        <v>-</v>
      </c>
      <c r="S841" s="686" t="str">
        <f t="shared" si="124"/>
        <v>-</v>
      </c>
      <c r="T841" s="686" t="str">
        <f t="shared" si="125"/>
        <v>-</v>
      </c>
      <c r="U841" s="723" t="str">
        <f t="shared" si="126"/>
        <v>-</v>
      </c>
      <c r="V841" s="695" t="str">
        <f t="shared" si="127"/>
        <v>-</v>
      </c>
      <c r="W841" s="711"/>
    </row>
    <row r="842" spans="1:23" ht="16.5" hidden="1" outlineLevel="1">
      <c r="A842" s="726"/>
      <c r="B842" s="726" t="s">
        <v>393</v>
      </c>
      <c r="C842" s="727">
        <v>10</v>
      </c>
      <c r="D842" s="690"/>
      <c r="E842" s="720" t="s">
        <v>1557</v>
      </c>
      <c r="F842" s="685">
        <v>1</v>
      </c>
      <c r="G842" s="239">
        <v>1</v>
      </c>
      <c r="H842" s="203">
        <v>2</v>
      </c>
      <c r="I842" s="198">
        <f>C842*10</f>
        <v>100</v>
      </c>
      <c r="J842" s="198">
        <f>1760+230-50</f>
        <v>1940</v>
      </c>
      <c r="K842" s="198">
        <v>100</v>
      </c>
      <c r="L842" s="198"/>
      <c r="M842" s="198"/>
      <c r="N842" s="721">
        <f t="shared" si="119"/>
        <v>2100</v>
      </c>
      <c r="O842" s="721">
        <f t="shared" si="120"/>
        <v>0</v>
      </c>
      <c r="P842" s="722" t="str">
        <f t="shared" si="121"/>
        <v>-</v>
      </c>
      <c r="Q842" s="686">
        <f t="shared" si="122"/>
        <v>4.2</v>
      </c>
      <c r="R842" s="686" t="str">
        <f t="shared" si="123"/>
        <v>-</v>
      </c>
      <c r="S842" s="686" t="str">
        <f t="shared" si="124"/>
        <v>-</v>
      </c>
      <c r="T842" s="686" t="str">
        <f t="shared" si="125"/>
        <v>-</v>
      </c>
      <c r="U842" s="723" t="str">
        <f t="shared" si="126"/>
        <v>-</v>
      </c>
      <c r="V842" s="695" t="str">
        <f t="shared" si="127"/>
        <v>-</v>
      </c>
      <c r="W842" s="711"/>
    </row>
    <row r="843" spans="1:23" ht="16.5" hidden="1" outlineLevel="1">
      <c r="A843" s="726"/>
      <c r="B843" s="726" t="s">
        <v>394</v>
      </c>
      <c r="C843" s="727">
        <v>8</v>
      </c>
      <c r="D843" s="690"/>
      <c r="E843" s="691" t="s">
        <v>1558</v>
      </c>
      <c r="F843" s="685">
        <v>1</v>
      </c>
      <c r="G843" s="239">
        <v>1</v>
      </c>
      <c r="H843" s="203">
        <f>((J841-460)/200)+1</f>
        <v>8.4</v>
      </c>
      <c r="I843" s="198">
        <v>180</v>
      </c>
      <c r="J843" s="198">
        <v>150</v>
      </c>
      <c r="K843" s="198">
        <v>180</v>
      </c>
      <c r="L843" s="198">
        <v>150</v>
      </c>
      <c r="M843" s="198"/>
      <c r="N843" s="721">
        <f t="shared" si="119"/>
        <v>740</v>
      </c>
      <c r="O843" s="721">
        <f t="shared" si="120"/>
        <v>0</v>
      </c>
      <c r="P843" s="722">
        <f t="shared" si="121"/>
        <v>6.2160000000000002</v>
      </c>
      <c r="Q843" s="686" t="str">
        <f t="shared" si="122"/>
        <v>-</v>
      </c>
      <c r="R843" s="686" t="str">
        <f t="shared" si="123"/>
        <v>-</v>
      </c>
      <c r="S843" s="686" t="str">
        <f t="shared" si="124"/>
        <v>-</v>
      </c>
      <c r="T843" s="686" t="str">
        <f t="shared" si="125"/>
        <v>-</v>
      </c>
      <c r="U843" s="723" t="str">
        <f t="shared" si="126"/>
        <v>-</v>
      </c>
      <c r="V843" s="695" t="str">
        <f t="shared" si="127"/>
        <v>-</v>
      </c>
      <c r="W843" s="711"/>
    </row>
    <row r="844" spans="1:23" ht="16.5" hidden="1" outlineLevel="1">
      <c r="A844" s="726"/>
      <c r="B844" s="726"/>
      <c r="C844" s="727"/>
      <c r="D844" s="690"/>
      <c r="E844" s="727"/>
      <c r="F844" s="685">
        <v>1</v>
      </c>
      <c r="G844" s="239"/>
      <c r="H844" s="203"/>
      <c r="I844" s="198"/>
      <c r="J844" s="198"/>
      <c r="K844" s="198"/>
      <c r="L844" s="198"/>
      <c r="M844" s="198"/>
      <c r="N844" s="721" t="str">
        <f t="shared" si="119"/>
        <v>-</v>
      </c>
      <c r="O844" s="721" t="str">
        <f t="shared" si="120"/>
        <v/>
      </c>
      <c r="P844" s="722" t="str">
        <f t="shared" si="121"/>
        <v>-</v>
      </c>
      <c r="Q844" s="686" t="str">
        <f t="shared" si="122"/>
        <v>-</v>
      </c>
      <c r="R844" s="686" t="str">
        <f t="shared" si="123"/>
        <v>-</v>
      </c>
      <c r="S844" s="686" t="str">
        <f t="shared" si="124"/>
        <v>-</v>
      </c>
      <c r="T844" s="686" t="str">
        <f t="shared" si="125"/>
        <v>-</v>
      </c>
      <c r="U844" s="723" t="str">
        <f t="shared" si="126"/>
        <v>-</v>
      </c>
      <c r="V844" s="695" t="str">
        <f t="shared" si="127"/>
        <v>-</v>
      </c>
      <c r="W844" s="711"/>
    </row>
    <row r="845" spans="1:23" ht="16.5" hidden="1" outlineLevel="1">
      <c r="A845" s="726">
        <v>9</v>
      </c>
      <c r="B845" s="730" t="s">
        <v>1571</v>
      </c>
      <c r="C845" s="727">
        <v>10</v>
      </c>
      <c r="D845" s="690"/>
      <c r="E845" s="720" t="s">
        <v>1557</v>
      </c>
      <c r="F845" s="685">
        <v>1</v>
      </c>
      <c r="G845" s="239">
        <v>1</v>
      </c>
      <c r="H845" s="203">
        <v>2</v>
      </c>
      <c r="I845" s="198">
        <f>C845*10</f>
        <v>100</v>
      </c>
      <c r="J845" s="840">
        <v>4600</v>
      </c>
      <c r="K845" s="198">
        <v>100</v>
      </c>
      <c r="L845" s="198"/>
      <c r="M845" s="198"/>
      <c r="N845" s="721">
        <f t="shared" si="119"/>
        <v>4760</v>
      </c>
      <c r="O845" s="721">
        <f t="shared" si="120"/>
        <v>0</v>
      </c>
      <c r="P845" s="722" t="str">
        <f t="shared" si="121"/>
        <v>-</v>
      </c>
      <c r="Q845" s="686">
        <f t="shared" si="122"/>
        <v>9.52</v>
      </c>
      <c r="R845" s="686" t="str">
        <f t="shared" si="123"/>
        <v>-</v>
      </c>
      <c r="S845" s="686" t="str">
        <f t="shared" si="124"/>
        <v>-</v>
      </c>
      <c r="T845" s="686" t="str">
        <f t="shared" si="125"/>
        <v>-</v>
      </c>
      <c r="U845" s="723" t="str">
        <f t="shared" si="126"/>
        <v>-</v>
      </c>
      <c r="V845" s="695" t="str">
        <f t="shared" si="127"/>
        <v>-</v>
      </c>
      <c r="W845" s="711"/>
    </row>
    <row r="846" spans="1:23" ht="16.5" hidden="1" outlineLevel="1">
      <c r="A846" s="726"/>
      <c r="B846" s="726" t="s">
        <v>393</v>
      </c>
      <c r="C846" s="727">
        <v>10</v>
      </c>
      <c r="D846" s="690"/>
      <c r="E846" s="720" t="s">
        <v>1557</v>
      </c>
      <c r="F846" s="685">
        <v>1</v>
      </c>
      <c r="G846" s="239">
        <v>1</v>
      </c>
      <c r="H846" s="203">
        <v>2</v>
      </c>
      <c r="I846" s="198">
        <f>C846*10</f>
        <v>100</v>
      </c>
      <c r="J846" s="840">
        <v>4600</v>
      </c>
      <c r="K846" s="198">
        <v>100</v>
      </c>
      <c r="L846" s="198"/>
      <c r="M846" s="198"/>
      <c r="N846" s="721">
        <f t="shared" si="119"/>
        <v>4760</v>
      </c>
      <c r="O846" s="721">
        <f t="shared" si="120"/>
        <v>0</v>
      </c>
      <c r="P846" s="722" t="str">
        <f t="shared" si="121"/>
        <v>-</v>
      </c>
      <c r="Q846" s="686">
        <f t="shared" si="122"/>
        <v>9.52</v>
      </c>
      <c r="R846" s="686" t="str">
        <f t="shared" si="123"/>
        <v>-</v>
      </c>
      <c r="S846" s="686" t="str">
        <f t="shared" si="124"/>
        <v>-</v>
      </c>
      <c r="T846" s="686" t="str">
        <f t="shared" si="125"/>
        <v>-</v>
      </c>
      <c r="U846" s="723" t="str">
        <f t="shared" si="126"/>
        <v>-</v>
      </c>
      <c r="V846" s="695" t="str">
        <f t="shared" si="127"/>
        <v>-</v>
      </c>
      <c r="W846" s="711"/>
    </row>
    <row r="847" spans="1:23" ht="16.5" hidden="1" outlineLevel="1">
      <c r="A847" s="726"/>
      <c r="B847" s="726" t="s">
        <v>394</v>
      </c>
      <c r="C847" s="727">
        <v>8</v>
      </c>
      <c r="D847" s="690"/>
      <c r="E847" s="691" t="s">
        <v>1558</v>
      </c>
      <c r="F847" s="685">
        <v>1</v>
      </c>
      <c r="G847" s="239">
        <v>1</v>
      </c>
      <c r="H847" s="203">
        <f>((J845-460)/200)+1</f>
        <v>21.7</v>
      </c>
      <c r="I847" s="198">
        <v>180</v>
      </c>
      <c r="J847" s="198">
        <v>150</v>
      </c>
      <c r="K847" s="198">
        <v>180</v>
      </c>
      <c r="L847" s="198">
        <v>150</v>
      </c>
      <c r="M847" s="198"/>
      <c r="N847" s="721">
        <f t="shared" si="119"/>
        <v>740</v>
      </c>
      <c r="O847" s="721">
        <f t="shared" si="120"/>
        <v>0</v>
      </c>
      <c r="P847" s="722">
        <f t="shared" si="121"/>
        <v>16.058</v>
      </c>
      <c r="Q847" s="686" t="str">
        <f t="shared" si="122"/>
        <v>-</v>
      </c>
      <c r="R847" s="686" t="str">
        <f t="shared" si="123"/>
        <v>-</v>
      </c>
      <c r="S847" s="686" t="str">
        <f t="shared" si="124"/>
        <v>-</v>
      </c>
      <c r="T847" s="686" t="str">
        <f t="shared" si="125"/>
        <v>-</v>
      </c>
      <c r="U847" s="723" t="str">
        <f t="shared" si="126"/>
        <v>-</v>
      </c>
      <c r="V847" s="695" t="str">
        <f t="shared" si="127"/>
        <v>-</v>
      </c>
      <c r="W847" s="711"/>
    </row>
    <row r="848" spans="1:23" ht="16.5" hidden="1" outlineLevel="1">
      <c r="A848" s="726"/>
      <c r="B848" s="726"/>
      <c r="C848" s="727"/>
      <c r="D848" s="690"/>
      <c r="E848" s="727"/>
      <c r="F848" s="685">
        <v>1</v>
      </c>
      <c r="G848" s="239"/>
      <c r="H848" s="203"/>
      <c r="I848" s="198"/>
      <c r="J848" s="198"/>
      <c r="K848" s="198"/>
      <c r="L848" s="198"/>
      <c r="M848" s="198"/>
      <c r="N848" s="721" t="str">
        <f t="shared" si="119"/>
        <v>-</v>
      </c>
      <c r="O848" s="721" t="str">
        <f t="shared" si="120"/>
        <v/>
      </c>
      <c r="P848" s="722" t="str">
        <f t="shared" si="121"/>
        <v>-</v>
      </c>
      <c r="Q848" s="686" t="str">
        <f t="shared" si="122"/>
        <v>-</v>
      </c>
      <c r="R848" s="686" t="str">
        <f t="shared" si="123"/>
        <v>-</v>
      </c>
      <c r="S848" s="686" t="str">
        <f t="shared" si="124"/>
        <v>-</v>
      </c>
      <c r="T848" s="686" t="str">
        <f t="shared" si="125"/>
        <v>-</v>
      </c>
      <c r="U848" s="723" t="str">
        <f t="shared" si="126"/>
        <v>-</v>
      </c>
      <c r="V848" s="695" t="str">
        <f t="shared" si="127"/>
        <v>-</v>
      </c>
      <c r="W848" s="711"/>
    </row>
    <row r="849" spans="1:23" ht="16.5" hidden="1" outlineLevel="1">
      <c r="A849" s="726">
        <v>10</v>
      </c>
      <c r="B849" s="730" t="s">
        <v>1572</v>
      </c>
      <c r="C849" s="727">
        <v>10</v>
      </c>
      <c r="D849" s="690"/>
      <c r="E849" s="720" t="s">
        <v>1557</v>
      </c>
      <c r="F849" s="685">
        <v>1</v>
      </c>
      <c r="G849" s="239">
        <v>1</v>
      </c>
      <c r="H849" s="203">
        <v>2</v>
      </c>
      <c r="I849" s="198">
        <f>C849*10</f>
        <v>100</v>
      </c>
      <c r="J849" s="840">
        <v>4600</v>
      </c>
      <c r="K849" s="198">
        <v>100</v>
      </c>
      <c r="L849" s="198"/>
      <c r="M849" s="198"/>
      <c r="N849" s="721">
        <f t="shared" si="119"/>
        <v>4760</v>
      </c>
      <c r="O849" s="721">
        <f t="shared" si="120"/>
        <v>0</v>
      </c>
      <c r="P849" s="722" t="str">
        <f t="shared" si="121"/>
        <v>-</v>
      </c>
      <c r="Q849" s="686">
        <f t="shared" si="122"/>
        <v>9.52</v>
      </c>
      <c r="R849" s="686" t="str">
        <f t="shared" si="123"/>
        <v>-</v>
      </c>
      <c r="S849" s="686" t="str">
        <f t="shared" si="124"/>
        <v>-</v>
      </c>
      <c r="T849" s="686" t="str">
        <f t="shared" si="125"/>
        <v>-</v>
      </c>
      <c r="U849" s="723" t="str">
        <f t="shared" si="126"/>
        <v>-</v>
      </c>
      <c r="V849" s="695" t="str">
        <f t="shared" si="127"/>
        <v>-</v>
      </c>
      <c r="W849" s="711"/>
    </row>
    <row r="850" spans="1:23" ht="16.5" hidden="1" outlineLevel="1">
      <c r="A850" s="726"/>
      <c r="B850" s="726" t="s">
        <v>393</v>
      </c>
      <c r="C850" s="727">
        <v>10</v>
      </c>
      <c r="D850" s="690"/>
      <c r="E850" s="720" t="s">
        <v>1557</v>
      </c>
      <c r="F850" s="685">
        <v>1</v>
      </c>
      <c r="G850" s="239">
        <v>1</v>
      </c>
      <c r="H850" s="203">
        <v>2</v>
      </c>
      <c r="I850" s="198">
        <f>C850*10</f>
        <v>100</v>
      </c>
      <c r="J850" s="840">
        <v>4600</v>
      </c>
      <c r="K850" s="198">
        <v>100</v>
      </c>
      <c r="L850" s="198"/>
      <c r="M850" s="198"/>
      <c r="N850" s="721">
        <f t="shared" si="119"/>
        <v>4760</v>
      </c>
      <c r="O850" s="721">
        <f t="shared" si="120"/>
        <v>0</v>
      </c>
      <c r="P850" s="722" t="str">
        <f t="shared" si="121"/>
        <v>-</v>
      </c>
      <c r="Q850" s="686">
        <f t="shared" si="122"/>
        <v>9.52</v>
      </c>
      <c r="R850" s="686" t="str">
        <f t="shared" si="123"/>
        <v>-</v>
      </c>
      <c r="S850" s="686" t="str">
        <f t="shared" si="124"/>
        <v>-</v>
      </c>
      <c r="T850" s="686" t="str">
        <f t="shared" si="125"/>
        <v>-</v>
      </c>
      <c r="U850" s="723" t="str">
        <f t="shared" si="126"/>
        <v>-</v>
      </c>
      <c r="V850" s="695" t="str">
        <f t="shared" si="127"/>
        <v>-</v>
      </c>
      <c r="W850" s="711"/>
    </row>
    <row r="851" spans="1:23" ht="16.5" hidden="1" outlineLevel="1">
      <c r="A851" s="726"/>
      <c r="B851" s="726" t="s">
        <v>394</v>
      </c>
      <c r="C851" s="727">
        <v>8</v>
      </c>
      <c r="D851" s="690"/>
      <c r="E851" s="691" t="s">
        <v>1558</v>
      </c>
      <c r="F851" s="685">
        <v>1</v>
      </c>
      <c r="G851" s="239">
        <v>1</v>
      </c>
      <c r="H851" s="203">
        <f>((J849-460)/200)+1</f>
        <v>21.7</v>
      </c>
      <c r="I851" s="198">
        <v>180</v>
      </c>
      <c r="J851" s="198">
        <v>150</v>
      </c>
      <c r="K851" s="198">
        <v>180</v>
      </c>
      <c r="L851" s="198">
        <v>150</v>
      </c>
      <c r="M851" s="198"/>
      <c r="N851" s="721">
        <f t="shared" si="119"/>
        <v>740</v>
      </c>
      <c r="O851" s="721">
        <f t="shared" si="120"/>
        <v>0</v>
      </c>
      <c r="P851" s="722">
        <f t="shared" si="121"/>
        <v>16.058</v>
      </c>
      <c r="Q851" s="686" t="str">
        <f t="shared" si="122"/>
        <v>-</v>
      </c>
      <c r="R851" s="686" t="str">
        <f t="shared" si="123"/>
        <v>-</v>
      </c>
      <c r="S851" s="686" t="str">
        <f t="shared" si="124"/>
        <v>-</v>
      </c>
      <c r="T851" s="686" t="str">
        <f t="shared" si="125"/>
        <v>-</v>
      </c>
      <c r="U851" s="723" t="str">
        <f t="shared" si="126"/>
        <v>-</v>
      </c>
      <c r="V851" s="695" t="str">
        <f t="shared" si="127"/>
        <v>-</v>
      </c>
      <c r="W851" s="711"/>
    </row>
    <row r="852" spans="1:23" ht="16.5" hidden="1" outlineLevel="1">
      <c r="A852" s="726"/>
      <c r="B852" s="726"/>
      <c r="C852" s="727"/>
      <c r="D852" s="690"/>
      <c r="E852" s="727"/>
      <c r="F852" s="685">
        <v>1</v>
      </c>
      <c r="G852" s="239"/>
      <c r="H852" s="203"/>
      <c r="I852" s="198"/>
      <c r="J852" s="198"/>
      <c r="K852" s="198"/>
      <c r="L852" s="198"/>
      <c r="M852" s="198"/>
      <c r="N852" s="721" t="str">
        <f t="shared" si="119"/>
        <v>-</v>
      </c>
      <c r="O852" s="721" t="str">
        <f t="shared" si="120"/>
        <v/>
      </c>
      <c r="P852" s="722" t="str">
        <f t="shared" si="121"/>
        <v>-</v>
      </c>
      <c r="Q852" s="686" t="str">
        <f t="shared" si="122"/>
        <v>-</v>
      </c>
      <c r="R852" s="686" t="str">
        <f t="shared" si="123"/>
        <v>-</v>
      </c>
      <c r="S852" s="686" t="str">
        <f t="shared" si="124"/>
        <v>-</v>
      </c>
      <c r="T852" s="686" t="str">
        <f t="shared" si="125"/>
        <v>-</v>
      </c>
      <c r="U852" s="723" t="str">
        <f t="shared" si="126"/>
        <v>-</v>
      </c>
      <c r="V852" s="695" t="str">
        <f t="shared" si="127"/>
        <v>-</v>
      </c>
      <c r="W852" s="711"/>
    </row>
    <row r="853" spans="1:23" ht="16.5" hidden="1" outlineLevel="1">
      <c r="A853" s="726">
        <v>11</v>
      </c>
      <c r="B853" s="730" t="s">
        <v>1572</v>
      </c>
      <c r="C853" s="727">
        <v>10</v>
      </c>
      <c r="D853" s="690"/>
      <c r="E853" s="720" t="s">
        <v>1557</v>
      </c>
      <c r="F853" s="685">
        <v>1</v>
      </c>
      <c r="G853" s="239">
        <v>1</v>
      </c>
      <c r="H853" s="203">
        <v>2</v>
      </c>
      <c r="I853" s="198">
        <f>C853*10</f>
        <v>100</v>
      </c>
      <c r="J853" s="198">
        <f>1760+230-50</f>
        <v>1940</v>
      </c>
      <c r="K853" s="198">
        <v>100</v>
      </c>
      <c r="L853" s="198"/>
      <c r="M853" s="198"/>
      <c r="N853" s="721">
        <f t="shared" si="119"/>
        <v>2100</v>
      </c>
      <c r="O853" s="721">
        <f t="shared" si="120"/>
        <v>0</v>
      </c>
      <c r="P853" s="722" t="str">
        <f t="shared" si="121"/>
        <v>-</v>
      </c>
      <c r="Q853" s="686">
        <f t="shared" si="122"/>
        <v>4.2</v>
      </c>
      <c r="R853" s="686" t="str">
        <f t="shared" si="123"/>
        <v>-</v>
      </c>
      <c r="S853" s="686" t="str">
        <f t="shared" si="124"/>
        <v>-</v>
      </c>
      <c r="T853" s="686" t="str">
        <f t="shared" si="125"/>
        <v>-</v>
      </c>
      <c r="U853" s="723" t="str">
        <f t="shared" si="126"/>
        <v>-</v>
      </c>
      <c r="V853" s="695" t="str">
        <f t="shared" si="127"/>
        <v>-</v>
      </c>
      <c r="W853" s="711"/>
    </row>
    <row r="854" spans="1:23" ht="16.5" hidden="1" outlineLevel="1">
      <c r="A854" s="726"/>
      <c r="B854" s="726" t="s">
        <v>393</v>
      </c>
      <c r="C854" s="727">
        <v>10</v>
      </c>
      <c r="D854" s="690"/>
      <c r="E854" s="720" t="s">
        <v>1557</v>
      </c>
      <c r="F854" s="685">
        <v>1</v>
      </c>
      <c r="G854" s="239">
        <v>1</v>
      </c>
      <c r="H854" s="203">
        <v>2</v>
      </c>
      <c r="I854" s="198">
        <f>C854*10</f>
        <v>100</v>
      </c>
      <c r="J854" s="198">
        <f>1760+230-50</f>
        <v>1940</v>
      </c>
      <c r="K854" s="198">
        <v>100</v>
      </c>
      <c r="L854" s="198"/>
      <c r="M854" s="198"/>
      <c r="N854" s="721">
        <f t="shared" si="119"/>
        <v>2100</v>
      </c>
      <c r="O854" s="721">
        <f t="shared" si="120"/>
        <v>0</v>
      </c>
      <c r="P854" s="722" t="str">
        <f t="shared" si="121"/>
        <v>-</v>
      </c>
      <c r="Q854" s="686">
        <f t="shared" si="122"/>
        <v>4.2</v>
      </c>
      <c r="R854" s="686" t="str">
        <f t="shared" si="123"/>
        <v>-</v>
      </c>
      <c r="S854" s="686" t="str">
        <f t="shared" si="124"/>
        <v>-</v>
      </c>
      <c r="T854" s="686" t="str">
        <f t="shared" si="125"/>
        <v>-</v>
      </c>
      <c r="U854" s="723" t="str">
        <f t="shared" si="126"/>
        <v>-</v>
      </c>
      <c r="V854" s="695" t="str">
        <f t="shared" si="127"/>
        <v>-</v>
      </c>
      <c r="W854" s="711"/>
    </row>
    <row r="855" spans="1:23" ht="16.5" hidden="1" outlineLevel="1">
      <c r="A855" s="726"/>
      <c r="B855" s="726" t="s">
        <v>394</v>
      </c>
      <c r="C855" s="727">
        <v>8</v>
      </c>
      <c r="D855" s="690"/>
      <c r="E855" s="691" t="s">
        <v>1558</v>
      </c>
      <c r="F855" s="685">
        <v>1</v>
      </c>
      <c r="G855" s="239">
        <v>1</v>
      </c>
      <c r="H855" s="203">
        <f>((J853-460)/200)+1</f>
        <v>8.4</v>
      </c>
      <c r="I855" s="198">
        <v>180</v>
      </c>
      <c r="J855" s="198">
        <v>150</v>
      </c>
      <c r="K855" s="198">
        <v>180</v>
      </c>
      <c r="L855" s="198">
        <v>150</v>
      </c>
      <c r="M855" s="198"/>
      <c r="N855" s="721">
        <f t="shared" si="119"/>
        <v>740</v>
      </c>
      <c r="O855" s="721">
        <f t="shared" si="120"/>
        <v>0</v>
      </c>
      <c r="P855" s="722">
        <f t="shared" si="121"/>
        <v>6.2160000000000002</v>
      </c>
      <c r="Q855" s="686" t="str">
        <f t="shared" si="122"/>
        <v>-</v>
      </c>
      <c r="R855" s="686" t="str">
        <f t="shared" si="123"/>
        <v>-</v>
      </c>
      <c r="S855" s="686" t="str">
        <f t="shared" si="124"/>
        <v>-</v>
      </c>
      <c r="T855" s="686" t="str">
        <f t="shared" si="125"/>
        <v>-</v>
      </c>
      <c r="U855" s="723" t="str">
        <f t="shared" si="126"/>
        <v>-</v>
      </c>
      <c r="V855" s="695" t="str">
        <f t="shared" si="127"/>
        <v>-</v>
      </c>
      <c r="W855" s="711"/>
    </row>
    <row r="856" spans="1:23" ht="16.5" hidden="1" outlineLevel="1">
      <c r="A856" s="726"/>
      <c r="B856" s="726"/>
      <c r="C856" s="727"/>
      <c r="D856" s="690"/>
      <c r="E856" s="727"/>
      <c r="F856" s="685">
        <v>1</v>
      </c>
      <c r="G856" s="239"/>
      <c r="H856" s="203"/>
      <c r="I856" s="198"/>
      <c r="J856" s="198"/>
      <c r="K856" s="198"/>
      <c r="L856" s="198"/>
      <c r="M856" s="198"/>
      <c r="N856" s="721" t="str">
        <f t="shared" si="119"/>
        <v>-</v>
      </c>
      <c r="O856" s="721" t="str">
        <f t="shared" si="120"/>
        <v/>
      </c>
      <c r="P856" s="722" t="str">
        <f t="shared" si="121"/>
        <v>-</v>
      </c>
      <c r="Q856" s="686" t="str">
        <f t="shared" si="122"/>
        <v>-</v>
      </c>
      <c r="R856" s="686" t="str">
        <f t="shared" si="123"/>
        <v>-</v>
      </c>
      <c r="S856" s="686" t="str">
        <f t="shared" si="124"/>
        <v>-</v>
      </c>
      <c r="T856" s="686" t="str">
        <f t="shared" si="125"/>
        <v>-</v>
      </c>
      <c r="U856" s="723" t="str">
        <f t="shared" si="126"/>
        <v>-</v>
      </c>
      <c r="V856" s="695" t="str">
        <f t="shared" si="127"/>
        <v>-</v>
      </c>
      <c r="W856" s="711"/>
    </row>
    <row r="857" spans="1:23" ht="16.5" hidden="1" outlineLevel="1">
      <c r="A857" s="726">
        <v>12</v>
      </c>
      <c r="B857" s="730" t="s">
        <v>1572</v>
      </c>
      <c r="C857" s="727">
        <v>10</v>
      </c>
      <c r="D857" s="690"/>
      <c r="E857" s="720" t="s">
        <v>1557</v>
      </c>
      <c r="F857" s="685">
        <v>1</v>
      </c>
      <c r="G857" s="239">
        <v>1</v>
      </c>
      <c r="H857" s="203">
        <v>2</v>
      </c>
      <c r="I857" s="198">
        <f>C857*10</f>
        <v>100</v>
      </c>
      <c r="J857" s="840">
        <v>3070</v>
      </c>
      <c r="K857" s="198">
        <v>100</v>
      </c>
      <c r="L857" s="198"/>
      <c r="M857" s="198"/>
      <c r="N857" s="721">
        <f t="shared" si="119"/>
        <v>3230</v>
      </c>
      <c r="O857" s="721">
        <f t="shared" si="120"/>
        <v>0</v>
      </c>
      <c r="P857" s="722" t="str">
        <f t="shared" si="121"/>
        <v>-</v>
      </c>
      <c r="Q857" s="686">
        <f t="shared" si="122"/>
        <v>6.46</v>
      </c>
      <c r="R857" s="686" t="str">
        <f t="shared" si="123"/>
        <v>-</v>
      </c>
      <c r="S857" s="686" t="str">
        <f t="shared" si="124"/>
        <v>-</v>
      </c>
      <c r="T857" s="686" t="str">
        <f t="shared" si="125"/>
        <v>-</v>
      </c>
      <c r="U857" s="723" t="str">
        <f t="shared" si="126"/>
        <v>-</v>
      </c>
      <c r="V857" s="695" t="str">
        <f t="shared" si="127"/>
        <v>-</v>
      </c>
      <c r="W857" s="711"/>
    </row>
    <row r="858" spans="1:23" ht="16.5" hidden="1" outlineLevel="1">
      <c r="A858" s="726"/>
      <c r="B858" s="726" t="s">
        <v>393</v>
      </c>
      <c r="C858" s="727">
        <v>10</v>
      </c>
      <c r="D858" s="690"/>
      <c r="E858" s="720" t="s">
        <v>1557</v>
      </c>
      <c r="F858" s="685">
        <v>1</v>
      </c>
      <c r="G858" s="239">
        <v>1</v>
      </c>
      <c r="H858" s="203">
        <v>2</v>
      </c>
      <c r="I858" s="198">
        <f>C858*10</f>
        <v>100</v>
      </c>
      <c r="J858" s="840">
        <v>3070</v>
      </c>
      <c r="K858" s="198">
        <v>100</v>
      </c>
      <c r="L858" s="198"/>
      <c r="M858" s="198"/>
      <c r="N858" s="721">
        <f t="shared" ref="N858:N921" si="130">IF(E858="L Shape",(I858+J858)-(C858*2*1),IF(E858="U Shape",(I858+J858+K858)-(C858*2*2),IF(E858="Rectangle",(I858+J858+K858+L858)+(C858*10*2)-(C858*2*5),IF(E858="Straight",J858-(C858*0),IF(E858="Chair",(I858+J858+K858+L858+M858)-(C858*2*4),IF(E858="U2 Shape",(I858+J858+K858+L858+M858)-(C858*2*4),IF(E858="U3 Shape",(I858+J858+K858+L858)-(C858*2*3),IF(E858="Z Shape",(I858+J858+K858)-(C858*2*2),IF(E858="Triangle",(I858+J858+K858)+(C858*10*2)-(C858*2*4),IF(E858="Trapezoid2",(I858+I858+J858+K858+K858+L858)+(C858*10*2)-(C858*2*7),IF(E858="Trapezoid",(I858+J858+K858+L858)+(C858*10*2)-(C858*2*5),IF(E858="Link",J858+(C858*10*2),IF(E858="U5 Shape",(I858+J858+K858+L858)-(C858*2*3),IF(E858="DU2 Shape",(I858+J858+K858+L858)-(C858*2*4),IF(E858="SU Shape",(I858+J858+K858)-(C858*2*2),"-")))))))))))))))</f>
        <v>3230</v>
      </c>
      <c r="O858" s="721">
        <f t="shared" ref="O858:O921" si="131">IF(N858&lt;12001,C858*49*0,IF(N858&lt;24001,C858*49*1,IF(N858&lt;36001,C858*49*2,IF(N858&lt;48001,C858*49*3,IF(N858&lt;60001,C858*49*4,IF(N858&lt;72001,(C858*49*5),IF(N858&lt;84001,(C858*49*6),IF(N858&lt;96001,(C858*49*7),IF(N858&lt;108001,(C858*49*8),IF(N858&lt;120001,(C858*49*9),IF(N858&lt;132001,(C858*49*10),IF(N858&lt;144001,(C858*49*11),""))))))))))))</f>
        <v>0</v>
      </c>
      <c r="P858" s="722" t="str">
        <f t="shared" ref="P858:P921" si="132">IF(C858=8,ROUND(((N858+O858)*F858*G858*H858)/1000,3),"-")</f>
        <v>-</v>
      </c>
      <c r="Q858" s="686">
        <f t="shared" ref="Q858:Q921" si="133">IF(C858=10,ROUND(((N858+O858)*F858*G858*H858)/1000,3),"-")</f>
        <v>6.46</v>
      </c>
      <c r="R858" s="686" t="str">
        <f t="shared" ref="R858:R921" si="134">IF(C858=12,ROUND(((N858+O858)*F858*G858*H858)/1000,3),"-")</f>
        <v>-</v>
      </c>
      <c r="S858" s="686" t="str">
        <f t="shared" ref="S858:S921" si="135">IF(C858=16,ROUND(((N858+O858)*F858*G858*H858)/1000,3),"-")</f>
        <v>-</v>
      </c>
      <c r="T858" s="686" t="str">
        <f t="shared" ref="T858:T921" si="136">IF(C858=20,ROUND(((N858+O858)*F858*G858*H858)/1000,3),"-")</f>
        <v>-</v>
      </c>
      <c r="U858" s="723" t="str">
        <f t="shared" ref="U858:U921" si="137">IF(C858=25,ROUND(((N858+O858)*F858*G858*H858)/1000,3),"-")</f>
        <v>-</v>
      </c>
      <c r="V858" s="695" t="str">
        <f t="shared" ref="V858:V921" si="138">IF(C858=32,ROUND(((N858+O858)*F858*G858*H858)/1000,3),"-")</f>
        <v>-</v>
      </c>
      <c r="W858" s="711"/>
    </row>
    <row r="859" spans="1:23" ht="16.5" hidden="1" outlineLevel="1">
      <c r="A859" s="726"/>
      <c r="B859" s="726" t="s">
        <v>394</v>
      </c>
      <c r="C859" s="727">
        <v>8</v>
      </c>
      <c r="D859" s="690"/>
      <c r="E859" s="691" t="s">
        <v>1558</v>
      </c>
      <c r="F859" s="685">
        <v>1</v>
      </c>
      <c r="G859" s="239">
        <v>1</v>
      </c>
      <c r="H859" s="203">
        <f>((J857-460)/200)+1</f>
        <v>14.05</v>
      </c>
      <c r="I859" s="198">
        <v>180</v>
      </c>
      <c r="J859" s="198">
        <v>150</v>
      </c>
      <c r="K859" s="198">
        <v>180</v>
      </c>
      <c r="L859" s="198">
        <v>150</v>
      </c>
      <c r="M859" s="198"/>
      <c r="N859" s="721">
        <f t="shared" si="130"/>
        <v>740</v>
      </c>
      <c r="O859" s="721">
        <f t="shared" si="131"/>
        <v>0</v>
      </c>
      <c r="P859" s="722">
        <f t="shared" si="132"/>
        <v>10.397</v>
      </c>
      <c r="Q859" s="686" t="str">
        <f t="shared" si="133"/>
        <v>-</v>
      </c>
      <c r="R859" s="686" t="str">
        <f t="shared" si="134"/>
        <v>-</v>
      </c>
      <c r="S859" s="686" t="str">
        <f t="shared" si="135"/>
        <v>-</v>
      </c>
      <c r="T859" s="686" t="str">
        <f t="shared" si="136"/>
        <v>-</v>
      </c>
      <c r="U859" s="723" t="str">
        <f t="shared" si="137"/>
        <v>-</v>
      </c>
      <c r="V859" s="695" t="str">
        <f t="shared" si="138"/>
        <v>-</v>
      </c>
      <c r="W859" s="711"/>
    </row>
    <row r="860" spans="1:23" ht="16.5" hidden="1" outlineLevel="1">
      <c r="A860" s="726"/>
      <c r="B860" s="726"/>
      <c r="C860" s="727"/>
      <c r="D860" s="690"/>
      <c r="E860" s="727"/>
      <c r="F860" s="685">
        <v>1</v>
      </c>
      <c r="G860" s="239"/>
      <c r="H860" s="203"/>
      <c r="I860" s="198"/>
      <c r="J860" s="198"/>
      <c r="K860" s="198"/>
      <c r="L860" s="198"/>
      <c r="M860" s="198"/>
      <c r="N860" s="721" t="str">
        <f t="shared" si="130"/>
        <v>-</v>
      </c>
      <c r="O860" s="721" t="str">
        <f t="shared" si="131"/>
        <v/>
      </c>
      <c r="P860" s="722" t="str">
        <f t="shared" si="132"/>
        <v>-</v>
      </c>
      <c r="Q860" s="686" t="str">
        <f t="shared" si="133"/>
        <v>-</v>
      </c>
      <c r="R860" s="686" t="str">
        <f t="shared" si="134"/>
        <v>-</v>
      </c>
      <c r="S860" s="686" t="str">
        <f t="shared" si="135"/>
        <v>-</v>
      </c>
      <c r="T860" s="686" t="str">
        <f t="shared" si="136"/>
        <v>-</v>
      </c>
      <c r="U860" s="723" t="str">
        <f t="shared" si="137"/>
        <v>-</v>
      </c>
      <c r="V860" s="695" t="str">
        <f t="shared" si="138"/>
        <v>-</v>
      </c>
      <c r="W860" s="711"/>
    </row>
    <row r="861" spans="1:23" ht="16.5" hidden="1" outlineLevel="1">
      <c r="A861" s="726">
        <v>13</v>
      </c>
      <c r="B861" s="730" t="s">
        <v>1573</v>
      </c>
      <c r="C861" s="727">
        <v>10</v>
      </c>
      <c r="D861" s="690"/>
      <c r="E861" s="720" t="s">
        <v>1557</v>
      </c>
      <c r="F861" s="685">
        <v>1</v>
      </c>
      <c r="G861" s="239">
        <v>1</v>
      </c>
      <c r="H861" s="203">
        <v>2</v>
      </c>
      <c r="I861" s="198">
        <f>C861*10</f>
        <v>100</v>
      </c>
      <c r="J861" s="840">
        <v>3070</v>
      </c>
      <c r="K861" s="198">
        <v>100</v>
      </c>
      <c r="L861" s="198"/>
      <c r="M861" s="198"/>
      <c r="N861" s="721">
        <f t="shared" si="130"/>
        <v>3230</v>
      </c>
      <c r="O861" s="721">
        <f t="shared" si="131"/>
        <v>0</v>
      </c>
      <c r="P861" s="722" t="str">
        <f t="shared" si="132"/>
        <v>-</v>
      </c>
      <c r="Q861" s="686">
        <f t="shared" si="133"/>
        <v>6.46</v>
      </c>
      <c r="R861" s="686" t="str">
        <f t="shared" si="134"/>
        <v>-</v>
      </c>
      <c r="S861" s="686" t="str">
        <f t="shared" si="135"/>
        <v>-</v>
      </c>
      <c r="T861" s="686" t="str">
        <f t="shared" si="136"/>
        <v>-</v>
      </c>
      <c r="U861" s="723" t="str">
        <f t="shared" si="137"/>
        <v>-</v>
      </c>
      <c r="V861" s="695" t="str">
        <f t="shared" si="138"/>
        <v>-</v>
      </c>
      <c r="W861" s="711"/>
    </row>
    <row r="862" spans="1:23" ht="16.5" hidden="1" outlineLevel="1">
      <c r="A862" s="726"/>
      <c r="B862" s="726" t="s">
        <v>393</v>
      </c>
      <c r="C862" s="727">
        <v>10</v>
      </c>
      <c r="D862" s="690"/>
      <c r="E862" s="720" t="s">
        <v>1557</v>
      </c>
      <c r="F862" s="685">
        <v>1</v>
      </c>
      <c r="G862" s="239">
        <v>1</v>
      </c>
      <c r="H862" s="203">
        <v>2</v>
      </c>
      <c r="I862" s="198">
        <f>C862*10</f>
        <v>100</v>
      </c>
      <c r="J862" s="840">
        <v>3070</v>
      </c>
      <c r="K862" s="198">
        <v>100</v>
      </c>
      <c r="L862" s="198"/>
      <c r="M862" s="198"/>
      <c r="N862" s="721">
        <f t="shared" si="130"/>
        <v>3230</v>
      </c>
      <c r="O862" s="721">
        <f t="shared" si="131"/>
        <v>0</v>
      </c>
      <c r="P862" s="722" t="str">
        <f t="shared" si="132"/>
        <v>-</v>
      </c>
      <c r="Q862" s="686">
        <f t="shared" si="133"/>
        <v>6.46</v>
      </c>
      <c r="R862" s="686" t="str">
        <f t="shared" si="134"/>
        <v>-</v>
      </c>
      <c r="S862" s="686" t="str">
        <f t="shared" si="135"/>
        <v>-</v>
      </c>
      <c r="T862" s="686" t="str">
        <f t="shared" si="136"/>
        <v>-</v>
      </c>
      <c r="U862" s="723" t="str">
        <f t="shared" si="137"/>
        <v>-</v>
      </c>
      <c r="V862" s="695" t="str">
        <f t="shared" si="138"/>
        <v>-</v>
      </c>
      <c r="W862" s="711"/>
    </row>
    <row r="863" spans="1:23" ht="16.5" hidden="1" outlineLevel="1">
      <c r="A863" s="726"/>
      <c r="B863" s="726" t="s">
        <v>394</v>
      </c>
      <c r="C863" s="727">
        <v>8</v>
      </c>
      <c r="D863" s="690"/>
      <c r="E863" s="691" t="s">
        <v>1558</v>
      </c>
      <c r="F863" s="685">
        <v>1</v>
      </c>
      <c r="G863" s="239">
        <v>1</v>
      </c>
      <c r="H863" s="203">
        <f>((J861-460)/200)+1</f>
        <v>14.05</v>
      </c>
      <c r="I863" s="198">
        <v>180</v>
      </c>
      <c r="J863" s="198">
        <v>150</v>
      </c>
      <c r="K863" s="198">
        <v>180</v>
      </c>
      <c r="L863" s="198">
        <v>150</v>
      </c>
      <c r="M863" s="198"/>
      <c r="N863" s="721">
        <f t="shared" si="130"/>
        <v>740</v>
      </c>
      <c r="O863" s="721">
        <f t="shared" si="131"/>
        <v>0</v>
      </c>
      <c r="P863" s="722">
        <f t="shared" si="132"/>
        <v>10.397</v>
      </c>
      <c r="Q863" s="686" t="str">
        <f t="shared" si="133"/>
        <v>-</v>
      </c>
      <c r="R863" s="686" t="str">
        <f t="shared" si="134"/>
        <v>-</v>
      </c>
      <c r="S863" s="686" t="str">
        <f t="shared" si="135"/>
        <v>-</v>
      </c>
      <c r="T863" s="686" t="str">
        <f t="shared" si="136"/>
        <v>-</v>
      </c>
      <c r="U863" s="723" t="str">
        <f t="shared" si="137"/>
        <v>-</v>
      </c>
      <c r="V863" s="695" t="str">
        <f t="shared" si="138"/>
        <v>-</v>
      </c>
      <c r="W863" s="711"/>
    </row>
    <row r="864" spans="1:23" ht="16.5" hidden="1" outlineLevel="1">
      <c r="A864" s="726"/>
      <c r="B864" s="726"/>
      <c r="C864" s="727"/>
      <c r="D864" s="690"/>
      <c r="E864" s="727"/>
      <c r="F864" s="685">
        <v>1</v>
      </c>
      <c r="G864" s="239"/>
      <c r="H864" s="203"/>
      <c r="I864" s="198"/>
      <c r="J864" s="198"/>
      <c r="K864" s="198"/>
      <c r="L864" s="198"/>
      <c r="M864" s="198"/>
      <c r="N864" s="721" t="str">
        <f t="shared" si="130"/>
        <v>-</v>
      </c>
      <c r="O864" s="721" t="str">
        <f t="shared" si="131"/>
        <v/>
      </c>
      <c r="P864" s="722" t="str">
        <f t="shared" si="132"/>
        <v>-</v>
      </c>
      <c r="Q864" s="686" t="str">
        <f t="shared" si="133"/>
        <v>-</v>
      </c>
      <c r="R864" s="686" t="str">
        <f t="shared" si="134"/>
        <v>-</v>
      </c>
      <c r="S864" s="686" t="str">
        <f t="shared" si="135"/>
        <v>-</v>
      </c>
      <c r="T864" s="686" t="str">
        <f t="shared" si="136"/>
        <v>-</v>
      </c>
      <c r="U864" s="723" t="str">
        <f t="shared" si="137"/>
        <v>-</v>
      </c>
      <c r="V864" s="695" t="str">
        <f t="shared" si="138"/>
        <v>-</v>
      </c>
      <c r="W864" s="711"/>
    </row>
    <row r="865" spans="1:23" ht="16.5" hidden="1" outlineLevel="1">
      <c r="A865" s="726">
        <v>14</v>
      </c>
      <c r="B865" s="730" t="s">
        <v>1573</v>
      </c>
      <c r="C865" s="727">
        <v>10</v>
      </c>
      <c r="D865" s="690"/>
      <c r="E865" s="720" t="s">
        <v>1557</v>
      </c>
      <c r="F865" s="685">
        <v>1</v>
      </c>
      <c r="G865" s="239">
        <v>1</v>
      </c>
      <c r="H865" s="203">
        <v>2</v>
      </c>
      <c r="I865" s="198">
        <f>C865*10</f>
        <v>100</v>
      </c>
      <c r="J865" s="198">
        <f>5350-50</f>
        <v>5300</v>
      </c>
      <c r="K865" s="198">
        <v>100</v>
      </c>
      <c r="L865" s="198"/>
      <c r="M865" s="198"/>
      <c r="N865" s="721">
        <f t="shared" si="130"/>
        <v>5460</v>
      </c>
      <c r="O865" s="721">
        <f t="shared" si="131"/>
        <v>0</v>
      </c>
      <c r="P865" s="722" t="str">
        <f t="shared" si="132"/>
        <v>-</v>
      </c>
      <c r="Q865" s="686">
        <f t="shared" si="133"/>
        <v>10.92</v>
      </c>
      <c r="R865" s="686" t="str">
        <f t="shared" si="134"/>
        <v>-</v>
      </c>
      <c r="S865" s="686" t="str">
        <f t="shared" si="135"/>
        <v>-</v>
      </c>
      <c r="T865" s="686" t="str">
        <f t="shared" si="136"/>
        <v>-</v>
      </c>
      <c r="U865" s="723" t="str">
        <f t="shared" si="137"/>
        <v>-</v>
      </c>
      <c r="V865" s="695" t="str">
        <f t="shared" si="138"/>
        <v>-</v>
      </c>
      <c r="W865" s="711"/>
    </row>
    <row r="866" spans="1:23" ht="16.5" hidden="1" outlineLevel="1">
      <c r="A866" s="726"/>
      <c r="B866" s="726" t="s">
        <v>393</v>
      </c>
      <c r="C866" s="727">
        <v>10</v>
      </c>
      <c r="D866" s="690"/>
      <c r="E866" s="720" t="s">
        <v>1557</v>
      </c>
      <c r="F866" s="685">
        <v>1</v>
      </c>
      <c r="G866" s="239">
        <v>1</v>
      </c>
      <c r="H866" s="203">
        <v>2</v>
      </c>
      <c r="I866" s="198">
        <f>C866*10</f>
        <v>100</v>
      </c>
      <c r="J866" s="198">
        <f>5350-50</f>
        <v>5300</v>
      </c>
      <c r="K866" s="198">
        <v>100</v>
      </c>
      <c r="L866" s="198"/>
      <c r="M866" s="198"/>
      <c r="N866" s="721">
        <f t="shared" si="130"/>
        <v>5460</v>
      </c>
      <c r="O866" s="721">
        <f t="shared" si="131"/>
        <v>0</v>
      </c>
      <c r="P866" s="722" t="str">
        <f t="shared" si="132"/>
        <v>-</v>
      </c>
      <c r="Q866" s="686">
        <f t="shared" si="133"/>
        <v>10.92</v>
      </c>
      <c r="R866" s="686" t="str">
        <f t="shared" si="134"/>
        <v>-</v>
      </c>
      <c r="S866" s="686" t="str">
        <f t="shared" si="135"/>
        <v>-</v>
      </c>
      <c r="T866" s="686" t="str">
        <f t="shared" si="136"/>
        <v>-</v>
      </c>
      <c r="U866" s="723" t="str">
        <f t="shared" si="137"/>
        <v>-</v>
      </c>
      <c r="V866" s="695" t="str">
        <f t="shared" si="138"/>
        <v>-</v>
      </c>
      <c r="W866" s="711"/>
    </row>
    <row r="867" spans="1:23" ht="16.5" hidden="1" outlineLevel="1">
      <c r="A867" s="726"/>
      <c r="B867" s="726" t="s">
        <v>394</v>
      </c>
      <c r="C867" s="727">
        <v>8</v>
      </c>
      <c r="D867" s="690"/>
      <c r="E867" s="691" t="s">
        <v>1558</v>
      </c>
      <c r="F867" s="685">
        <v>1</v>
      </c>
      <c r="G867" s="239">
        <v>1</v>
      </c>
      <c r="H867" s="203">
        <f>((J865-460)/200)+1</f>
        <v>25.2</v>
      </c>
      <c r="I867" s="198">
        <v>180</v>
      </c>
      <c r="J867" s="198">
        <v>150</v>
      </c>
      <c r="K867" s="198">
        <v>180</v>
      </c>
      <c r="L867" s="198">
        <v>150</v>
      </c>
      <c r="M867" s="198"/>
      <c r="N867" s="721">
        <f t="shared" si="130"/>
        <v>740</v>
      </c>
      <c r="O867" s="721">
        <f t="shared" si="131"/>
        <v>0</v>
      </c>
      <c r="P867" s="722">
        <f t="shared" si="132"/>
        <v>18.648</v>
      </c>
      <c r="Q867" s="686" t="str">
        <f t="shared" si="133"/>
        <v>-</v>
      </c>
      <c r="R867" s="686" t="str">
        <f t="shared" si="134"/>
        <v>-</v>
      </c>
      <c r="S867" s="686" t="str">
        <f t="shared" si="135"/>
        <v>-</v>
      </c>
      <c r="T867" s="686" t="str">
        <f t="shared" si="136"/>
        <v>-</v>
      </c>
      <c r="U867" s="723" t="str">
        <f t="shared" si="137"/>
        <v>-</v>
      </c>
      <c r="V867" s="695" t="str">
        <f t="shared" si="138"/>
        <v>-</v>
      </c>
      <c r="W867" s="711"/>
    </row>
    <row r="868" spans="1:23" ht="16.5" hidden="1" outlineLevel="1">
      <c r="A868" s="726"/>
      <c r="B868" s="726"/>
      <c r="C868" s="727"/>
      <c r="D868" s="690"/>
      <c r="E868" s="727"/>
      <c r="F868" s="685">
        <v>1</v>
      </c>
      <c r="G868" s="239"/>
      <c r="H868" s="203"/>
      <c r="I868" s="198"/>
      <c r="J868" s="198"/>
      <c r="K868" s="198"/>
      <c r="L868" s="198"/>
      <c r="M868" s="198"/>
      <c r="N868" s="721" t="str">
        <f t="shared" si="130"/>
        <v>-</v>
      </c>
      <c r="O868" s="721" t="str">
        <f t="shared" si="131"/>
        <v/>
      </c>
      <c r="P868" s="722" t="str">
        <f t="shared" si="132"/>
        <v>-</v>
      </c>
      <c r="Q868" s="686" t="str">
        <f t="shared" si="133"/>
        <v>-</v>
      </c>
      <c r="R868" s="686" t="str">
        <f t="shared" si="134"/>
        <v>-</v>
      </c>
      <c r="S868" s="686" t="str">
        <f t="shared" si="135"/>
        <v>-</v>
      </c>
      <c r="T868" s="686" t="str">
        <f t="shared" si="136"/>
        <v>-</v>
      </c>
      <c r="U868" s="723" t="str">
        <f t="shared" si="137"/>
        <v>-</v>
      </c>
      <c r="V868" s="695" t="str">
        <f t="shared" si="138"/>
        <v>-</v>
      </c>
      <c r="W868" s="711"/>
    </row>
    <row r="869" spans="1:23" ht="16.5" hidden="1" outlineLevel="1">
      <c r="A869" s="195"/>
      <c r="B869" s="731" t="s">
        <v>604</v>
      </c>
      <c r="C869" s="196"/>
      <c r="D869" s="685"/>
      <c r="E869" s="196"/>
      <c r="F869" s="685">
        <v>1</v>
      </c>
      <c r="G869" s="204"/>
      <c r="H869" s="203"/>
      <c r="I869" s="198"/>
      <c r="J869" s="198"/>
      <c r="K869" s="198"/>
      <c r="L869" s="198"/>
      <c r="M869" s="198"/>
      <c r="N869" s="721" t="str">
        <f t="shared" si="130"/>
        <v>-</v>
      </c>
      <c r="O869" s="721" t="str">
        <f t="shared" si="131"/>
        <v/>
      </c>
      <c r="P869" s="722" t="str">
        <f t="shared" si="132"/>
        <v>-</v>
      </c>
      <c r="Q869" s="686" t="str">
        <f t="shared" si="133"/>
        <v>-</v>
      </c>
      <c r="R869" s="686" t="str">
        <f t="shared" si="134"/>
        <v>-</v>
      </c>
      <c r="S869" s="686" t="str">
        <f t="shared" si="135"/>
        <v>-</v>
      </c>
      <c r="T869" s="686" t="str">
        <f t="shared" si="136"/>
        <v>-</v>
      </c>
      <c r="U869" s="723" t="str">
        <f t="shared" si="137"/>
        <v>-</v>
      </c>
      <c r="V869" s="695" t="str">
        <f t="shared" si="138"/>
        <v>-</v>
      </c>
      <c r="W869" s="711"/>
    </row>
    <row r="870" spans="1:23" ht="16.5" hidden="1" outlineLevel="1">
      <c r="A870" s="726"/>
      <c r="B870" s="726"/>
      <c r="C870" s="727"/>
      <c r="D870" s="690"/>
      <c r="E870" s="727"/>
      <c r="F870" s="685">
        <v>1</v>
      </c>
      <c r="G870" s="239"/>
      <c r="H870" s="203"/>
      <c r="I870" s="198"/>
      <c r="J870" s="198"/>
      <c r="K870" s="198"/>
      <c r="L870" s="198"/>
      <c r="M870" s="198"/>
      <c r="N870" s="721" t="str">
        <f t="shared" si="130"/>
        <v>-</v>
      </c>
      <c r="O870" s="721" t="str">
        <f t="shared" si="131"/>
        <v/>
      </c>
      <c r="P870" s="722" t="str">
        <f t="shared" si="132"/>
        <v>-</v>
      </c>
      <c r="Q870" s="686" t="str">
        <f t="shared" si="133"/>
        <v>-</v>
      </c>
      <c r="R870" s="686" t="str">
        <f t="shared" si="134"/>
        <v>-</v>
      </c>
      <c r="S870" s="686" t="str">
        <f t="shared" si="135"/>
        <v>-</v>
      </c>
      <c r="T870" s="686" t="str">
        <f t="shared" si="136"/>
        <v>-</v>
      </c>
      <c r="U870" s="723" t="str">
        <f t="shared" si="137"/>
        <v>-</v>
      </c>
      <c r="V870" s="695" t="str">
        <f t="shared" si="138"/>
        <v>-</v>
      </c>
      <c r="W870" s="711"/>
    </row>
    <row r="871" spans="1:23" ht="16.5" hidden="1" outlineLevel="1">
      <c r="A871" s="726">
        <v>15</v>
      </c>
      <c r="B871" s="730" t="s">
        <v>1574</v>
      </c>
      <c r="C871" s="727">
        <v>10</v>
      </c>
      <c r="D871" s="690"/>
      <c r="E871" s="720" t="s">
        <v>1557</v>
      </c>
      <c r="F871" s="685">
        <v>1</v>
      </c>
      <c r="G871" s="239">
        <v>6</v>
      </c>
      <c r="H871" s="203">
        <v>2</v>
      </c>
      <c r="I871" s="198">
        <f>C871*10</f>
        <v>100</v>
      </c>
      <c r="J871" s="198">
        <f>615+230+230-50</f>
        <v>1025</v>
      </c>
      <c r="K871" s="198">
        <v>100</v>
      </c>
      <c r="L871" s="198"/>
      <c r="M871" s="198"/>
      <c r="N871" s="721">
        <f t="shared" si="130"/>
        <v>1185</v>
      </c>
      <c r="O871" s="721">
        <f t="shared" si="131"/>
        <v>0</v>
      </c>
      <c r="P871" s="722" t="str">
        <f t="shared" si="132"/>
        <v>-</v>
      </c>
      <c r="Q871" s="686">
        <f t="shared" si="133"/>
        <v>14.22</v>
      </c>
      <c r="R871" s="686" t="str">
        <f t="shared" si="134"/>
        <v>-</v>
      </c>
      <c r="S871" s="686" t="str">
        <f t="shared" si="135"/>
        <v>-</v>
      </c>
      <c r="T871" s="686" t="str">
        <f t="shared" si="136"/>
        <v>-</v>
      </c>
      <c r="U871" s="723" t="str">
        <f t="shared" si="137"/>
        <v>-</v>
      </c>
      <c r="V871" s="695" t="str">
        <f t="shared" si="138"/>
        <v>-</v>
      </c>
      <c r="W871" s="711"/>
    </row>
    <row r="872" spans="1:23" ht="16.5" hidden="1" outlineLevel="1">
      <c r="A872" s="726"/>
      <c r="B872" s="726" t="s">
        <v>393</v>
      </c>
      <c r="C872" s="727">
        <v>10</v>
      </c>
      <c r="D872" s="690"/>
      <c r="E872" s="720" t="s">
        <v>1557</v>
      </c>
      <c r="F872" s="685">
        <v>1</v>
      </c>
      <c r="G872" s="239">
        <v>6</v>
      </c>
      <c r="H872" s="203">
        <v>2</v>
      </c>
      <c r="I872" s="198">
        <f>C872*10</f>
        <v>100</v>
      </c>
      <c r="J872" s="198">
        <f>615+230+230-50</f>
        <v>1025</v>
      </c>
      <c r="K872" s="198">
        <v>100</v>
      </c>
      <c r="L872" s="198"/>
      <c r="M872" s="198"/>
      <c r="N872" s="721">
        <f t="shared" si="130"/>
        <v>1185</v>
      </c>
      <c r="O872" s="721">
        <f t="shared" si="131"/>
        <v>0</v>
      </c>
      <c r="P872" s="722" t="str">
        <f t="shared" si="132"/>
        <v>-</v>
      </c>
      <c r="Q872" s="686">
        <f t="shared" si="133"/>
        <v>14.22</v>
      </c>
      <c r="R872" s="686" t="str">
        <f t="shared" si="134"/>
        <v>-</v>
      </c>
      <c r="S872" s="686" t="str">
        <f t="shared" si="135"/>
        <v>-</v>
      </c>
      <c r="T872" s="686" t="str">
        <f t="shared" si="136"/>
        <v>-</v>
      </c>
      <c r="U872" s="723" t="str">
        <f t="shared" si="137"/>
        <v>-</v>
      </c>
      <c r="V872" s="695" t="str">
        <f t="shared" si="138"/>
        <v>-</v>
      </c>
      <c r="W872" s="711"/>
    </row>
    <row r="873" spans="1:23" ht="16.5" hidden="1" outlineLevel="1">
      <c r="A873" s="726"/>
      <c r="B873" s="726" t="s">
        <v>394</v>
      </c>
      <c r="C873" s="727">
        <v>8</v>
      </c>
      <c r="D873" s="690"/>
      <c r="E873" s="691" t="s">
        <v>1558</v>
      </c>
      <c r="F873" s="685">
        <v>1</v>
      </c>
      <c r="G873" s="239">
        <v>6</v>
      </c>
      <c r="H873" s="203">
        <f>((J871-460)/200)+1</f>
        <v>3.8250000000000002</v>
      </c>
      <c r="I873" s="198">
        <v>180</v>
      </c>
      <c r="J873" s="198">
        <v>150</v>
      </c>
      <c r="K873" s="198">
        <v>180</v>
      </c>
      <c r="L873" s="198">
        <v>150</v>
      </c>
      <c r="M873" s="198"/>
      <c r="N873" s="721">
        <f t="shared" si="130"/>
        <v>740</v>
      </c>
      <c r="O873" s="721">
        <f t="shared" si="131"/>
        <v>0</v>
      </c>
      <c r="P873" s="722">
        <f t="shared" si="132"/>
        <v>16.983000000000001</v>
      </c>
      <c r="Q873" s="686" t="str">
        <f t="shared" si="133"/>
        <v>-</v>
      </c>
      <c r="R873" s="686" t="str">
        <f t="shared" si="134"/>
        <v>-</v>
      </c>
      <c r="S873" s="686" t="str">
        <f t="shared" si="135"/>
        <v>-</v>
      </c>
      <c r="T873" s="686" t="str">
        <f t="shared" si="136"/>
        <v>-</v>
      </c>
      <c r="U873" s="723" t="str">
        <f t="shared" si="137"/>
        <v>-</v>
      </c>
      <c r="V873" s="695" t="str">
        <f t="shared" si="138"/>
        <v>-</v>
      </c>
      <c r="W873" s="711"/>
    </row>
    <row r="874" spans="1:23" ht="16.5" hidden="1" outlineLevel="1">
      <c r="A874" s="726"/>
      <c r="B874" s="726"/>
      <c r="C874" s="727"/>
      <c r="D874" s="690"/>
      <c r="E874" s="727"/>
      <c r="F874" s="685">
        <v>1</v>
      </c>
      <c r="G874" s="239"/>
      <c r="H874" s="203"/>
      <c r="I874" s="198"/>
      <c r="J874" s="198"/>
      <c r="K874" s="198"/>
      <c r="L874" s="198"/>
      <c r="M874" s="198"/>
      <c r="N874" s="721" t="str">
        <f t="shared" si="130"/>
        <v>-</v>
      </c>
      <c r="O874" s="721" t="str">
        <f t="shared" si="131"/>
        <v/>
      </c>
      <c r="P874" s="722" t="str">
        <f t="shared" si="132"/>
        <v>-</v>
      </c>
      <c r="Q874" s="686" t="str">
        <f t="shared" si="133"/>
        <v>-</v>
      </c>
      <c r="R874" s="686" t="str">
        <f t="shared" si="134"/>
        <v>-</v>
      </c>
      <c r="S874" s="686" t="str">
        <f t="shared" si="135"/>
        <v>-</v>
      </c>
      <c r="T874" s="686" t="str">
        <f t="shared" si="136"/>
        <v>-</v>
      </c>
      <c r="U874" s="723" t="str">
        <f t="shared" si="137"/>
        <v>-</v>
      </c>
      <c r="V874" s="695" t="str">
        <f t="shared" si="138"/>
        <v>-</v>
      </c>
      <c r="W874" s="711"/>
    </row>
    <row r="875" spans="1:23" ht="16.5" hidden="1" outlineLevel="1">
      <c r="A875" s="726">
        <v>16</v>
      </c>
      <c r="B875" s="730" t="s">
        <v>1574</v>
      </c>
      <c r="C875" s="727">
        <v>10</v>
      </c>
      <c r="D875" s="690"/>
      <c r="E875" s="720" t="s">
        <v>1557</v>
      </c>
      <c r="F875" s="685">
        <v>1</v>
      </c>
      <c r="G875" s="239">
        <v>3</v>
      </c>
      <c r="H875" s="203">
        <v>2</v>
      </c>
      <c r="I875" s="198">
        <f>C875*10</f>
        <v>100</v>
      </c>
      <c r="J875" s="198">
        <f>2515+230+230-50</f>
        <v>2925</v>
      </c>
      <c r="K875" s="198">
        <v>100</v>
      </c>
      <c r="L875" s="198"/>
      <c r="M875" s="198"/>
      <c r="N875" s="721">
        <f t="shared" si="130"/>
        <v>3085</v>
      </c>
      <c r="O875" s="721">
        <f t="shared" si="131"/>
        <v>0</v>
      </c>
      <c r="P875" s="722" t="str">
        <f t="shared" si="132"/>
        <v>-</v>
      </c>
      <c r="Q875" s="686">
        <f t="shared" si="133"/>
        <v>18.510000000000002</v>
      </c>
      <c r="R875" s="686" t="str">
        <f t="shared" si="134"/>
        <v>-</v>
      </c>
      <c r="S875" s="686" t="str">
        <f t="shared" si="135"/>
        <v>-</v>
      </c>
      <c r="T875" s="686" t="str">
        <f t="shared" si="136"/>
        <v>-</v>
      </c>
      <c r="U875" s="723" t="str">
        <f t="shared" si="137"/>
        <v>-</v>
      </c>
      <c r="V875" s="695" t="str">
        <f t="shared" si="138"/>
        <v>-</v>
      </c>
      <c r="W875" s="711"/>
    </row>
    <row r="876" spans="1:23" ht="16.5" hidden="1" outlineLevel="1">
      <c r="A876" s="726"/>
      <c r="B876" s="726" t="s">
        <v>393</v>
      </c>
      <c r="C876" s="727">
        <v>10</v>
      </c>
      <c r="D876" s="690"/>
      <c r="E876" s="720" t="s">
        <v>1557</v>
      </c>
      <c r="F876" s="685">
        <v>1</v>
      </c>
      <c r="G876" s="239">
        <v>3</v>
      </c>
      <c r="H876" s="203">
        <v>2</v>
      </c>
      <c r="I876" s="198">
        <f>C876*10</f>
        <v>100</v>
      </c>
      <c r="J876" s="198">
        <f>2515+230+230-50</f>
        <v>2925</v>
      </c>
      <c r="K876" s="198">
        <v>100</v>
      </c>
      <c r="L876" s="198"/>
      <c r="M876" s="198"/>
      <c r="N876" s="721">
        <f t="shared" si="130"/>
        <v>3085</v>
      </c>
      <c r="O876" s="721">
        <f t="shared" si="131"/>
        <v>0</v>
      </c>
      <c r="P876" s="722" t="str">
        <f t="shared" si="132"/>
        <v>-</v>
      </c>
      <c r="Q876" s="686">
        <f t="shared" si="133"/>
        <v>18.510000000000002</v>
      </c>
      <c r="R876" s="686" t="str">
        <f t="shared" si="134"/>
        <v>-</v>
      </c>
      <c r="S876" s="686" t="str">
        <f t="shared" si="135"/>
        <v>-</v>
      </c>
      <c r="T876" s="686" t="str">
        <f t="shared" si="136"/>
        <v>-</v>
      </c>
      <c r="U876" s="723" t="str">
        <f t="shared" si="137"/>
        <v>-</v>
      </c>
      <c r="V876" s="695" t="str">
        <f t="shared" si="138"/>
        <v>-</v>
      </c>
      <c r="W876" s="711"/>
    </row>
    <row r="877" spans="1:23" ht="16.5" hidden="1" outlineLevel="1">
      <c r="A877" s="726"/>
      <c r="B877" s="726" t="s">
        <v>394</v>
      </c>
      <c r="C877" s="727">
        <v>8</v>
      </c>
      <c r="D877" s="690"/>
      <c r="E877" s="691" t="s">
        <v>1558</v>
      </c>
      <c r="F877" s="685">
        <v>1</v>
      </c>
      <c r="G877" s="239">
        <v>3</v>
      </c>
      <c r="H877" s="203">
        <f>((J875-460)/200)+1</f>
        <v>13.324999999999999</v>
      </c>
      <c r="I877" s="198">
        <v>180</v>
      </c>
      <c r="J877" s="198">
        <v>150</v>
      </c>
      <c r="K877" s="198">
        <v>180</v>
      </c>
      <c r="L877" s="198">
        <v>150</v>
      </c>
      <c r="M877" s="198"/>
      <c r="N877" s="721">
        <f t="shared" si="130"/>
        <v>740</v>
      </c>
      <c r="O877" s="721">
        <f t="shared" si="131"/>
        <v>0</v>
      </c>
      <c r="P877" s="722">
        <f t="shared" si="132"/>
        <v>29.582000000000001</v>
      </c>
      <c r="Q877" s="686" t="str">
        <f t="shared" si="133"/>
        <v>-</v>
      </c>
      <c r="R877" s="686" t="str">
        <f t="shared" si="134"/>
        <v>-</v>
      </c>
      <c r="S877" s="686" t="str">
        <f t="shared" si="135"/>
        <v>-</v>
      </c>
      <c r="T877" s="686" t="str">
        <f t="shared" si="136"/>
        <v>-</v>
      </c>
      <c r="U877" s="723" t="str">
        <f t="shared" si="137"/>
        <v>-</v>
      </c>
      <c r="V877" s="695" t="str">
        <f t="shared" si="138"/>
        <v>-</v>
      </c>
      <c r="W877" s="711"/>
    </row>
    <row r="878" spans="1:23" ht="16.5" hidden="1" outlineLevel="1">
      <c r="A878" s="726"/>
      <c r="B878" s="726"/>
      <c r="C878" s="727"/>
      <c r="D878" s="690"/>
      <c r="E878" s="727"/>
      <c r="F878" s="685">
        <v>1</v>
      </c>
      <c r="G878" s="239"/>
      <c r="H878" s="203"/>
      <c r="I878" s="198"/>
      <c r="J878" s="198"/>
      <c r="K878" s="198"/>
      <c r="L878" s="198"/>
      <c r="M878" s="198"/>
      <c r="N878" s="721" t="str">
        <f t="shared" si="130"/>
        <v>-</v>
      </c>
      <c r="O878" s="721" t="str">
        <f t="shared" si="131"/>
        <v/>
      </c>
      <c r="P878" s="722" t="str">
        <f t="shared" si="132"/>
        <v>-</v>
      </c>
      <c r="Q878" s="686" t="str">
        <f t="shared" si="133"/>
        <v>-</v>
      </c>
      <c r="R878" s="686" t="str">
        <f t="shared" si="134"/>
        <v>-</v>
      </c>
      <c r="S878" s="686" t="str">
        <f t="shared" si="135"/>
        <v>-</v>
      </c>
      <c r="T878" s="686" t="str">
        <f t="shared" si="136"/>
        <v>-</v>
      </c>
      <c r="U878" s="723" t="str">
        <f t="shared" si="137"/>
        <v>-</v>
      </c>
      <c r="V878" s="695" t="str">
        <f t="shared" si="138"/>
        <v>-</v>
      </c>
      <c r="W878" s="711"/>
    </row>
    <row r="879" spans="1:23" ht="16.5" hidden="1" outlineLevel="1">
      <c r="A879" s="726">
        <v>17</v>
      </c>
      <c r="B879" s="730" t="s">
        <v>1574</v>
      </c>
      <c r="C879" s="727">
        <v>10</v>
      </c>
      <c r="D879" s="690"/>
      <c r="E879" s="720" t="s">
        <v>1557</v>
      </c>
      <c r="F879" s="685">
        <v>1</v>
      </c>
      <c r="G879" s="239">
        <v>1</v>
      </c>
      <c r="H879" s="203">
        <v>2</v>
      </c>
      <c r="I879" s="198">
        <f>C879*10</f>
        <v>100</v>
      </c>
      <c r="J879" s="198">
        <f>2210+230+230-50</f>
        <v>2620</v>
      </c>
      <c r="K879" s="198">
        <v>100</v>
      </c>
      <c r="L879" s="198"/>
      <c r="M879" s="198"/>
      <c r="N879" s="721">
        <f t="shared" si="130"/>
        <v>2780</v>
      </c>
      <c r="O879" s="721">
        <f t="shared" si="131"/>
        <v>0</v>
      </c>
      <c r="P879" s="722" t="str">
        <f t="shared" si="132"/>
        <v>-</v>
      </c>
      <c r="Q879" s="686">
        <f t="shared" si="133"/>
        <v>5.56</v>
      </c>
      <c r="R879" s="686" t="str">
        <f t="shared" si="134"/>
        <v>-</v>
      </c>
      <c r="S879" s="686" t="str">
        <f t="shared" si="135"/>
        <v>-</v>
      </c>
      <c r="T879" s="686" t="str">
        <f t="shared" si="136"/>
        <v>-</v>
      </c>
      <c r="U879" s="723" t="str">
        <f t="shared" si="137"/>
        <v>-</v>
      </c>
      <c r="V879" s="695" t="str">
        <f t="shared" si="138"/>
        <v>-</v>
      </c>
      <c r="W879" s="711"/>
    </row>
    <row r="880" spans="1:23" ht="16.5" hidden="1" outlineLevel="1">
      <c r="A880" s="726"/>
      <c r="B880" s="726" t="s">
        <v>393</v>
      </c>
      <c r="C880" s="727">
        <v>10</v>
      </c>
      <c r="D880" s="690"/>
      <c r="E880" s="720" t="s">
        <v>1557</v>
      </c>
      <c r="F880" s="685">
        <v>1</v>
      </c>
      <c r="G880" s="239">
        <v>1</v>
      </c>
      <c r="H880" s="203">
        <v>2</v>
      </c>
      <c r="I880" s="198">
        <f>C880*10</f>
        <v>100</v>
      </c>
      <c r="J880" s="198">
        <f>2210+230+230-50</f>
        <v>2620</v>
      </c>
      <c r="K880" s="198">
        <v>100</v>
      </c>
      <c r="L880" s="198"/>
      <c r="M880" s="198"/>
      <c r="N880" s="721">
        <f t="shared" si="130"/>
        <v>2780</v>
      </c>
      <c r="O880" s="721">
        <f t="shared" si="131"/>
        <v>0</v>
      </c>
      <c r="P880" s="722" t="str">
        <f t="shared" si="132"/>
        <v>-</v>
      </c>
      <c r="Q880" s="686">
        <f t="shared" si="133"/>
        <v>5.56</v>
      </c>
      <c r="R880" s="686" t="str">
        <f t="shared" si="134"/>
        <v>-</v>
      </c>
      <c r="S880" s="686" t="str">
        <f t="shared" si="135"/>
        <v>-</v>
      </c>
      <c r="T880" s="686" t="str">
        <f t="shared" si="136"/>
        <v>-</v>
      </c>
      <c r="U880" s="723" t="str">
        <f t="shared" si="137"/>
        <v>-</v>
      </c>
      <c r="V880" s="695" t="str">
        <f t="shared" si="138"/>
        <v>-</v>
      </c>
      <c r="W880" s="711"/>
    </row>
    <row r="881" spans="1:23" ht="16.5" hidden="1" outlineLevel="1">
      <c r="A881" s="726"/>
      <c r="B881" s="726" t="s">
        <v>394</v>
      </c>
      <c r="C881" s="727">
        <v>8</v>
      </c>
      <c r="D881" s="690"/>
      <c r="E881" s="691" t="s">
        <v>1558</v>
      </c>
      <c r="F881" s="685">
        <v>1</v>
      </c>
      <c r="G881" s="239">
        <v>1</v>
      </c>
      <c r="H881" s="203">
        <f>((J879-460)/200)+1</f>
        <v>11.8</v>
      </c>
      <c r="I881" s="198">
        <v>180</v>
      </c>
      <c r="J881" s="198">
        <v>150</v>
      </c>
      <c r="K881" s="198">
        <v>180</v>
      </c>
      <c r="L881" s="198">
        <v>150</v>
      </c>
      <c r="M881" s="198"/>
      <c r="N881" s="721">
        <f t="shared" si="130"/>
        <v>740</v>
      </c>
      <c r="O881" s="721">
        <f t="shared" si="131"/>
        <v>0</v>
      </c>
      <c r="P881" s="722">
        <f t="shared" si="132"/>
        <v>8.7319999999999993</v>
      </c>
      <c r="Q881" s="686" t="str">
        <f t="shared" si="133"/>
        <v>-</v>
      </c>
      <c r="R881" s="686" t="str">
        <f t="shared" si="134"/>
        <v>-</v>
      </c>
      <c r="S881" s="686" t="str">
        <f t="shared" si="135"/>
        <v>-</v>
      </c>
      <c r="T881" s="686" t="str">
        <f t="shared" si="136"/>
        <v>-</v>
      </c>
      <c r="U881" s="723" t="str">
        <f t="shared" si="137"/>
        <v>-</v>
      </c>
      <c r="V881" s="695" t="str">
        <f t="shared" si="138"/>
        <v>-</v>
      </c>
      <c r="W881" s="711"/>
    </row>
    <row r="882" spans="1:23" ht="16.5" hidden="1" outlineLevel="1">
      <c r="A882" s="726"/>
      <c r="B882" s="726"/>
      <c r="C882" s="727"/>
      <c r="D882" s="690"/>
      <c r="E882" s="727"/>
      <c r="F882" s="685">
        <v>1</v>
      </c>
      <c r="G882" s="239"/>
      <c r="H882" s="203"/>
      <c r="I882" s="198"/>
      <c r="J882" s="198"/>
      <c r="K882" s="198"/>
      <c r="L882" s="198"/>
      <c r="M882" s="198"/>
      <c r="N882" s="721" t="str">
        <f t="shared" si="130"/>
        <v>-</v>
      </c>
      <c r="O882" s="721" t="str">
        <f t="shared" si="131"/>
        <v/>
      </c>
      <c r="P882" s="722" t="str">
        <f t="shared" si="132"/>
        <v>-</v>
      </c>
      <c r="Q882" s="686" t="str">
        <f t="shared" si="133"/>
        <v>-</v>
      </c>
      <c r="R882" s="686" t="str">
        <f t="shared" si="134"/>
        <v>-</v>
      </c>
      <c r="S882" s="686" t="str">
        <f t="shared" si="135"/>
        <v>-</v>
      </c>
      <c r="T882" s="686" t="str">
        <f t="shared" si="136"/>
        <v>-</v>
      </c>
      <c r="U882" s="723" t="str">
        <f t="shared" si="137"/>
        <v>-</v>
      </c>
      <c r="V882" s="695" t="str">
        <f t="shared" si="138"/>
        <v>-</v>
      </c>
      <c r="W882" s="711"/>
    </row>
    <row r="883" spans="1:23" ht="16.5" hidden="1" outlineLevel="1">
      <c r="A883" s="726">
        <v>18</v>
      </c>
      <c r="B883" s="730" t="s">
        <v>1574</v>
      </c>
      <c r="C883" s="727">
        <v>10</v>
      </c>
      <c r="D883" s="690"/>
      <c r="E883" s="720" t="s">
        <v>1557</v>
      </c>
      <c r="F883" s="685">
        <v>1</v>
      </c>
      <c r="G883" s="239">
        <v>3</v>
      </c>
      <c r="H883" s="203">
        <v>2</v>
      </c>
      <c r="I883" s="198">
        <f>C883*10</f>
        <v>100</v>
      </c>
      <c r="J883" s="198">
        <f>1670+230+230-50</f>
        <v>2080</v>
      </c>
      <c r="K883" s="198">
        <v>100</v>
      </c>
      <c r="L883" s="198"/>
      <c r="M883" s="198"/>
      <c r="N883" s="721">
        <f t="shared" si="130"/>
        <v>2240</v>
      </c>
      <c r="O883" s="721">
        <f t="shared" si="131"/>
        <v>0</v>
      </c>
      <c r="P883" s="722" t="str">
        <f t="shared" si="132"/>
        <v>-</v>
      </c>
      <c r="Q883" s="686">
        <f t="shared" si="133"/>
        <v>13.44</v>
      </c>
      <c r="R883" s="686" t="str">
        <f t="shared" si="134"/>
        <v>-</v>
      </c>
      <c r="S883" s="686" t="str">
        <f t="shared" si="135"/>
        <v>-</v>
      </c>
      <c r="T883" s="686" t="str">
        <f t="shared" si="136"/>
        <v>-</v>
      </c>
      <c r="U883" s="723" t="str">
        <f t="shared" si="137"/>
        <v>-</v>
      </c>
      <c r="V883" s="695" t="str">
        <f t="shared" si="138"/>
        <v>-</v>
      </c>
      <c r="W883" s="711"/>
    </row>
    <row r="884" spans="1:23" ht="16.5" hidden="1" outlineLevel="1">
      <c r="A884" s="726"/>
      <c r="B884" s="726" t="s">
        <v>393</v>
      </c>
      <c r="C884" s="727">
        <v>10</v>
      </c>
      <c r="D884" s="690"/>
      <c r="E884" s="720" t="s">
        <v>1557</v>
      </c>
      <c r="F884" s="685">
        <v>1</v>
      </c>
      <c r="G884" s="239">
        <v>3</v>
      </c>
      <c r="H884" s="203">
        <v>2</v>
      </c>
      <c r="I884" s="198">
        <f>C884*10</f>
        <v>100</v>
      </c>
      <c r="J884" s="198">
        <f>1670+230+230-50</f>
        <v>2080</v>
      </c>
      <c r="K884" s="198">
        <v>100</v>
      </c>
      <c r="L884" s="198"/>
      <c r="M884" s="198"/>
      <c r="N884" s="721">
        <f t="shared" si="130"/>
        <v>2240</v>
      </c>
      <c r="O884" s="721">
        <f t="shared" si="131"/>
        <v>0</v>
      </c>
      <c r="P884" s="722" t="str">
        <f t="shared" si="132"/>
        <v>-</v>
      </c>
      <c r="Q884" s="686">
        <f t="shared" si="133"/>
        <v>13.44</v>
      </c>
      <c r="R884" s="686" t="str">
        <f t="shared" si="134"/>
        <v>-</v>
      </c>
      <c r="S884" s="686" t="str">
        <f t="shared" si="135"/>
        <v>-</v>
      </c>
      <c r="T884" s="686" t="str">
        <f t="shared" si="136"/>
        <v>-</v>
      </c>
      <c r="U884" s="723" t="str">
        <f t="shared" si="137"/>
        <v>-</v>
      </c>
      <c r="V884" s="695" t="str">
        <f t="shared" si="138"/>
        <v>-</v>
      </c>
      <c r="W884" s="711"/>
    </row>
    <row r="885" spans="1:23" ht="16.5" hidden="1" outlineLevel="1">
      <c r="A885" s="726"/>
      <c r="B885" s="726" t="s">
        <v>394</v>
      </c>
      <c r="C885" s="727">
        <v>8</v>
      </c>
      <c r="D885" s="690"/>
      <c r="E885" s="691" t="s">
        <v>1558</v>
      </c>
      <c r="F885" s="685">
        <v>1</v>
      </c>
      <c r="G885" s="239">
        <v>3</v>
      </c>
      <c r="H885" s="203">
        <f>((J883-460)/200)+1</f>
        <v>9.1</v>
      </c>
      <c r="I885" s="198">
        <v>180</v>
      </c>
      <c r="J885" s="198">
        <v>150</v>
      </c>
      <c r="K885" s="198">
        <v>180</v>
      </c>
      <c r="L885" s="198">
        <v>150</v>
      </c>
      <c r="M885" s="198"/>
      <c r="N885" s="721">
        <f t="shared" si="130"/>
        <v>740</v>
      </c>
      <c r="O885" s="721">
        <f t="shared" si="131"/>
        <v>0</v>
      </c>
      <c r="P885" s="722">
        <f t="shared" si="132"/>
        <v>20.202000000000002</v>
      </c>
      <c r="Q885" s="686" t="str">
        <f t="shared" si="133"/>
        <v>-</v>
      </c>
      <c r="R885" s="686" t="str">
        <f t="shared" si="134"/>
        <v>-</v>
      </c>
      <c r="S885" s="686" t="str">
        <f t="shared" si="135"/>
        <v>-</v>
      </c>
      <c r="T885" s="686" t="str">
        <f t="shared" si="136"/>
        <v>-</v>
      </c>
      <c r="U885" s="723" t="str">
        <f t="shared" si="137"/>
        <v>-</v>
      </c>
      <c r="V885" s="695" t="str">
        <f t="shared" si="138"/>
        <v>-</v>
      </c>
      <c r="W885" s="711"/>
    </row>
    <row r="886" spans="1:23" ht="16.5" hidden="1" outlineLevel="1">
      <c r="A886" s="726"/>
      <c r="B886" s="726"/>
      <c r="C886" s="727"/>
      <c r="D886" s="690"/>
      <c r="E886" s="727"/>
      <c r="F886" s="685">
        <v>1</v>
      </c>
      <c r="G886" s="239"/>
      <c r="H886" s="203"/>
      <c r="I886" s="198"/>
      <c r="J886" s="198"/>
      <c r="K886" s="198"/>
      <c r="L886" s="198"/>
      <c r="M886" s="198"/>
      <c r="N886" s="721" t="str">
        <f t="shared" si="130"/>
        <v>-</v>
      </c>
      <c r="O886" s="721" t="str">
        <f t="shared" si="131"/>
        <v/>
      </c>
      <c r="P886" s="722" t="str">
        <f t="shared" si="132"/>
        <v>-</v>
      </c>
      <c r="Q886" s="686" t="str">
        <f t="shared" si="133"/>
        <v>-</v>
      </c>
      <c r="R886" s="686" t="str">
        <f t="shared" si="134"/>
        <v>-</v>
      </c>
      <c r="S886" s="686" t="str">
        <f t="shared" si="135"/>
        <v>-</v>
      </c>
      <c r="T886" s="686" t="str">
        <f t="shared" si="136"/>
        <v>-</v>
      </c>
      <c r="U886" s="723" t="str">
        <f t="shared" si="137"/>
        <v>-</v>
      </c>
      <c r="V886" s="695" t="str">
        <f t="shared" si="138"/>
        <v>-</v>
      </c>
      <c r="W886" s="711"/>
    </row>
    <row r="887" spans="1:23" ht="16.5" hidden="1" outlineLevel="1">
      <c r="A887" s="726">
        <v>17</v>
      </c>
      <c r="B887" s="730" t="s">
        <v>1574</v>
      </c>
      <c r="C887" s="727">
        <v>10</v>
      </c>
      <c r="D887" s="690"/>
      <c r="E887" s="720" t="s">
        <v>1557</v>
      </c>
      <c r="F887" s="685">
        <v>1</v>
      </c>
      <c r="G887" s="239">
        <v>1</v>
      </c>
      <c r="H887" s="203">
        <v>2</v>
      </c>
      <c r="I887" s="198">
        <f>C887*10</f>
        <v>100</v>
      </c>
      <c r="J887" s="198">
        <f>1365+230+230-50</f>
        <v>1775</v>
      </c>
      <c r="K887" s="198">
        <v>100</v>
      </c>
      <c r="L887" s="198"/>
      <c r="M887" s="198"/>
      <c r="N887" s="721">
        <f t="shared" si="130"/>
        <v>1935</v>
      </c>
      <c r="O887" s="721">
        <f t="shared" si="131"/>
        <v>0</v>
      </c>
      <c r="P887" s="722" t="str">
        <f t="shared" si="132"/>
        <v>-</v>
      </c>
      <c r="Q887" s="686">
        <f t="shared" si="133"/>
        <v>3.87</v>
      </c>
      <c r="R887" s="686" t="str">
        <f t="shared" si="134"/>
        <v>-</v>
      </c>
      <c r="S887" s="686" t="str">
        <f t="shared" si="135"/>
        <v>-</v>
      </c>
      <c r="T887" s="686" t="str">
        <f t="shared" si="136"/>
        <v>-</v>
      </c>
      <c r="U887" s="723" t="str">
        <f t="shared" si="137"/>
        <v>-</v>
      </c>
      <c r="V887" s="695" t="str">
        <f t="shared" si="138"/>
        <v>-</v>
      </c>
      <c r="W887" s="711"/>
    </row>
    <row r="888" spans="1:23" ht="16.5" hidden="1" outlineLevel="1">
      <c r="A888" s="726"/>
      <c r="B888" s="726" t="s">
        <v>393</v>
      </c>
      <c r="C888" s="727">
        <v>10</v>
      </c>
      <c r="D888" s="690"/>
      <c r="E888" s="720" t="s">
        <v>1557</v>
      </c>
      <c r="F888" s="685">
        <v>1</v>
      </c>
      <c r="G888" s="239">
        <v>1</v>
      </c>
      <c r="H888" s="203">
        <v>2</v>
      </c>
      <c r="I888" s="198">
        <f>C888*10</f>
        <v>100</v>
      </c>
      <c r="J888" s="198">
        <f>1365+230+230-50</f>
        <v>1775</v>
      </c>
      <c r="K888" s="198">
        <v>100</v>
      </c>
      <c r="L888" s="198"/>
      <c r="M888" s="198"/>
      <c r="N888" s="721">
        <f t="shared" si="130"/>
        <v>1935</v>
      </c>
      <c r="O888" s="721">
        <f t="shared" si="131"/>
        <v>0</v>
      </c>
      <c r="P888" s="722" t="str">
        <f t="shared" si="132"/>
        <v>-</v>
      </c>
      <c r="Q888" s="686">
        <f t="shared" si="133"/>
        <v>3.87</v>
      </c>
      <c r="R888" s="686" t="str">
        <f t="shared" si="134"/>
        <v>-</v>
      </c>
      <c r="S888" s="686" t="str">
        <f t="shared" si="135"/>
        <v>-</v>
      </c>
      <c r="T888" s="686" t="str">
        <f t="shared" si="136"/>
        <v>-</v>
      </c>
      <c r="U888" s="723" t="str">
        <f t="shared" si="137"/>
        <v>-</v>
      </c>
      <c r="V888" s="695" t="str">
        <f t="shared" si="138"/>
        <v>-</v>
      </c>
      <c r="W888" s="711"/>
    </row>
    <row r="889" spans="1:23" ht="16.5" hidden="1" outlineLevel="1">
      <c r="A889" s="726"/>
      <c r="B889" s="726" t="s">
        <v>394</v>
      </c>
      <c r="C889" s="727">
        <v>8</v>
      </c>
      <c r="D889" s="690"/>
      <c r="E889" s="691" t="s">
        <v>1558</v>
      </c>
      <c r="F889" s="685">
        <v>1</v>
      </c>
      <c r="G889" s="239">
        <v>1</v>
      </c>
      <c r="H889" s="203">
        <f>((J887-460)/200)+1</f>
        <v>7.5750000000000002</v>
      </c>
      <c r="I889" s="198">
        <v>180</v>
      </c>
      <c r="J889" s="198">
        <v>150</v>
      </c>
      <c r="K889" s="198">
        <v>180</v>
      </c>
      <c r="L889" s="198">
        <v>150</v>
      </c>
      <c r="M889" s="198"/>
      <c r="N889" s="721">
        <f t="shared" si="130"/>
        <v>740</v>
      </c>
      <c r="O889" s="721">
        <f t="shared" si="131"/>
        <v>0</v>
      </c>
      <c r="P889" s="722">
        <f t="shared" si="132"/>
        <v>5.6059999999999999</v>
      </c>
      <c r="Q889" s="686" t="str">
        <f t="shared" si="133"/>
        <v>-</v>
      </c>
      <c r="R889" s="686" t="str">
        <f t="shared" si="134"/>
        <v>-</v>
      </c>
      <c r="S889" s="686" t="str">
        <f t="shared" si="135"/>
        <v>-</v>
      </c>
      <c r="T889" s="686" t="str">
        <f t="shared" si="136"/>
        <v>-</v>
      </c>
      <c r="U889" s="723" t="str">
        <f t="shared" si="137"/>
        <v>-</v>
      </c>
      <c r="V889" s="695" t="str">
        <f t="shared" si="138"/>
        <v>-</v>
      </c>
      <c r="W889" s="711"/>
    </row>
    <row r="890" spans="1:23" ht="16.5" hidden="1" outlineLevel="1">
      <c r="A890" s="726"/>
      <c r="B890" s="726"/>
      <c r="C890" s="727"/>
      <c r="D890" s="690"/>
      <c r="E890" s="727"/>
      <c r="F890" s="685">
        <v>1</v>
      </c>
      <c r="G890" s="239"/>
      <c r="H890" s="203"/>
      <c r="I890" s="198"/>
      <c r="J890" s="198"/>
      <c r="K890" s="198"/>
      <c r="L890" s="198"/>
      <c r="M890" s="198"/>
      <c r="N890" s="721" t="str">
        <f t="shared" si="130"/>
        <v>-</v>
      </c>
      <c r="O890" s="721" t="str">
        <f t="shared" si="131"/>
        <v/>
      </c>
      <c r="P890" s="722" t="str">
        <f t="shared" si="132"/>
        <v>-</v>
      </c>
      <c r="Q890" s="686" t="str">
        <f t="shared" si="133"/>
        <v>-</v>
      </c>
      <c r="R890" s="686" t="str">
        <f t="shared" si="134"/>
        <v>-</v>
      </c>
      <c r="S890" s="686" t="str">
        <f t="shared" si="135"/>
        <v>-</v>
      </c>
      <c r="T890" s="686" t="str">
        <f t="shared" si="136"/>
        <v>-</v>
      </c>
      <c r="U890" s="723" t="str">
        <f t="shared" si="137"/>
        <v>-</v>
      </c>
      <c r="V890" s="695" t="str">
        <f t="shared" si="138"/>
        <v>-</v>
      </c>
      <c r="W890" s="711"/>
    </row>
    <row r="891" spans="1:23" ht="45.75" hidden="1" outlineLevel="1">
      <c r="A891" s="732" t="s">
        <v>34</v>
      </c>
      <c r="B891" s="729" t="s">
        <v>1575</v>
      </c>
      <c r="C891" s="196"/>
      <c r="D891" s="685"/>
      <c r="E891" s="196"/>
      <c r="F891" s="685">
        <v>1</v>
      </c>
      <c r="G891" s="171"/>
      <c r="H891" s="203"/>
      <c r="I891" s="198"/>
      <c r="J891" s="198"/>
      <c r="K891" s="198"/>
      <c r="L891" s="198"/>
      <c r="M891" s="198"/>
      <c r="N891" s="721" t="str">
        <f t="shared" si="130"/>
        <v>-</v>
      </c>
      <c r="O891" s="721" t="str">
        <f t="shared" si="131"/>
        <v/>
      </c>
      <c r="P891" s="722" t="str">
        <f t="shared" si="132"/>
        <v>-</v>
      </c>
      <c r="Q891" s="686" t="str">
        <f t="shared" si="133"/>
        <v>-</v>
      </c>
      <c r="R891" s="686" t="str">
        <f t="shared" si="134"/>
        <v>-</v>
      </c>
      <c r="S891" s="686" t="str">
        <f t="shared" si="135"/>
        <v>-</v>
      </c>
      <c r="T891" s="686" t="str">
        <f t="shared" si="136"/>
        <v>-</v>
      </c>
      <c r="U891" s="723" t="str">
        <f t="shared" si="137"/>
        <v>-</v>
      </c>
      <c r="V891" s="695" t="str">
        <f t="shared" si="138"/>
        <v>-</v>
      </c>
      <c r="W891" s="711"/>
    </row>
    <row r="892" spans="1:23" ht="16.5" hidden="1" outlineLevel="1">
      <c r="A892" s="727"/>
      <c r="B892" s="172" t="s">
        <v>607</v>
      </c>
      <c r="C892" s="727"/>
      <c r="D892" s="690"/>
      <c r="E892" s="727"/>
      <c r="F892" s="685">
        <v>1</v>
      </c>
      <c r="G892" s="239"/>
      <c r="H892" s="203"/>
      <c r="I892" s="198"/>
      <c r="J892" s="198"/>
      <c r="K892" s="198"/>
      <c r="L892" s="198"/>
      <c r="M892" s="198"/>
      <c r="N892" s="721" t="str">
        <f t="shared" si="130"/>
        <v>-</v>
      </c>
      <c r="O892" s="721" t="str">
        <f t="shared" si="131"/>
        <v/>
      </c>
      <c r="P892" s="722" t="str">
        <f t="shared" si="132"/>
        <v>-</v>
      </c>
      <c r="Q892" s="686" t="str">
        <f t="shared" si="133"/>
        <v>-</v>
      </c>
      <c r="R892" s="686" t="str">
        <f t="shared" si="134"/>
        <v>-</v>
      </c>
      <c r="S892" s="686" t="str">
        <f t="shared" si="135"/>
        <v>-</v>
      </c>
      <c r="T892" s="686" t="str">
        <f t="shared" si="136"/>
        <v>-</v>
      </c>
      <c r="U892" s="723" t="str">
        <f t="shared" si="137"/>
        <v>-</v>
      </c>
      <c r="V892" s="695" t="str">
        <f t="shared" si="138"/>
        <v>-</v>
      </c>
      <c r="W892" s="711"/>
    </row>
    <row r="893" spans="1:23" ht="16.5" hidden="1" outlineLevel="1">
      <c r="A893" s="726">
        <v>1</v>
      </c>
      <c r="B893" s="726" t="s">
        <v>392</v>
      </c>
      <c r="C893" s="727">
        <v>10</v>
      </c>
      <c r="D893" s="690"/>
      <c r="E893" s="720" t="s">
        <v>1557</v>
      </c>
      <c r="F893" s="685">
        <v>1</v>
      </c>
      <c r="G893" s="239">
        <v>1</v>
      </c>
      <c r="H893" s="203">
        <v>2</v>
      </c>
      <c r="I893" s="198">
        <f>C893*10</f>
        <v>100</v>
      </c>
      <c r="J893" s="198">
        <f>29850+230+230-50</f>
        <v>30260</v>
      </c>
      <c r="K893" s="198">
        <v>100</v>
      </c>
      <c r="L893" s="198"/>
      <c r="M893" s="198"/>
      <c r="N893" s="721">
        <f t="shared" si="130"/>
        <v>30420</v>
      </c>
      <c r="O893" s="721">
        <f t="shared" si="131"/>
        <v>980</v>
      </c>
      <c r="P893" s="722" t="str">
        <f t="shared" si="132"/>
        <v>-</v>
      </c>
      <c r="Q893" s="686">
        <f t="shared" si="133"/>
        <v>62.8</v>
      </c>
      <c r="R893" s="686" t="str">
        <f t="shared" si="134"/>
        <v>-</v>
      </c>
      <c r="S893" s="686" t="str">
        <f t="shared" si="135"/>
        <v>-</v>
      </c>
      <c r="T893" s="686" t="str">
        <f t="shared" si="136"/>
        <v>-</v>
      </c>
      <c r="U893" s="723" t="str">
        <f t="shared" si="137"/>
        <v>-</v>
      </c>
      <c r="V893" s="695" t="str">
        <f t="shared" si="138"/>
        <v>-</v>
      </c>
      <c r="W893" s="711"/>
    </row>
    <row r="894" spans="1:23" ht="16.5" hidden="1" outlineLevel="1">
      <c r="A894" s="726"/>
      <c r="B894" s="726" t="s">
        <v>393</v>
      </c>
      <c r="C894" s="727">
        <v>10</v>
      </c>
      <c r="D894" s="690"/>
      <c r="E894" s="720" t="s">
        <v>1557</v>
      </c>
      <c r="F894" s="685">
        <v>1</v>
      </c>
      <c r="G894" s="239">
        <v>1</v>
      </c>
      <c r="H894" s="203">
        <v>2</v>
      </c>
      <c r="I894" s="198">
        <f>C894*10</f>
        <v>100</v>
      </c>
      <c r="J894" s="198">
        <f>29850+230+230-50</f>
        <v>30260</v>
      </c>
      <c r="K894" s="198">
        <v>100</v>
      </c>
      <c r="L894" s="198"/>
      <c r="M894" s="198"/>
      <c r="N894" s="721">
        <f t="shared" si="130"/>
        <v>30420</v>
      </c>
      <c r="O894" s="721">
        <f t="shared" si="131"/>
        <v>980</v>
      </c>
      <c r="P894" s="722" t="str">
        <f t="shared" si="132"/>
        <v>-</v>
      </c>
      <c r="Q894" s="686">
        <f t="shared" si="133"/>
        <v>62.8</v>
      </c>
      <c r="R894" s="686" t="str">
        <f t="shared" si="134"/>
        <v>-</v>
      </c>
      <c r="S894" s="686" t="str">
        <f t="shared" si="135"/>
        <v>-</v>
      </c>
      <c r="T894" s="686" t="str">
        <f t="shared" si="136"/>
        <v>-</v>
      </c>
      <c r="U894" s="723" t="str">
        <f t="shared" si="137"/>
        <v>-</v>
      </c>
      <c r="V894" s="695" t="str">
        <f t="shared" si="138"/>
        <v>-</v>
      </c>
      <c r="W894" s="711"/>
    </row>
    <row r="895" spans="1:23" ht="16.5" hidden="1" outlineLevel="1">
      <c r="A895" s="726"/>
      <c r="B895" s="726" t="s">
        <v>394</v>
      </c>
      <c r="C895" s="727">
        <v>8</v>
      </c>
      <c r="D895" s="690"/>
      <c r="E895" s="691" t="s">
        <v>1558</v>
      </c>
      <c r="F895" s="685">
        <v>1</v>
      </c>
      <c r="G895" s="239">
        <v>1</v>
      </c>
      <c r="H895" s="203">
        <f>((J893-460)/200)+1</f>
        <v>150</v>
      </c>
      <c r="I895" s="198">
        <v>180</v>
      </c>
      <c r="J895" s="198">
        <v>150</v>
      </c>
      <c r="K895" s="198">
        <v>180</v>
      </c>
      <c r="L895" s="198">
        <v>150</v>
      </c>
      <c r="M895" s="198"/>
      <c r="N895" s="721">
        <f t="shared" si="130"/>
        <v>740</v>
      </c>
      <c r="O895" s="721">
        <f t="shared" si="131"/>
        <v>0</v>
      </c>
      <c r="P895" s="722">
        <f t="shared" si="132"/>
        <v>111</v>
      </c>
      <c r="Q895" s="686" t="str">
        <f t="shared" si="133"/>
        <v>-</v>
      </c>
      <c r="R895" s="686" t="str">
        <f t="shared" si="134"/>
        <v>-</v>
      </c>
      <c r="S895" s="686" t="str">
        <f t="shared" si="135"/>
        <v>-</v>
      </c>
      <c r="T895" s="686" t="str">
        <f t="shared" si="136"/>
        <v>-</v>
      </c>
      <c r="U895" s="723" t="str">
        <f t="shared" si="137"/>
        <v>-</v>
      </c>
      <c r="V895" s="695" t="str">
        <f t="shared" si="138"/>
        <v>-</v>
      </c>
      <c r="W895" s="711"/>
    </row>
    <row r="896" spans="1:23" ht="16.5" hidden="1" outlineLevel="1">
      <c r="A896" s="726"/>
      <c r="B896" s="726"/>
      <c r="C896" s="727"/>
      <c r="D896" s="690"/>
      <c r="E896" s="727"/>
      <c r="F896" s="685">
        <v>1</v>
      </c>
      <c r="G896" s="239"/>
      <c r="H896" s="203"/>
      <c r="I896" s="198"/>
      <c r="J896" s="198"/>
      <c r="K896" s="198"/>
      <c r="L896" s="198"/>
      <c r="M896" s="198"/>
      <c r="N896" s="721" t="str">
        <f t="shared" si="130"/>
        <v>-</v>
      </c>
      <c r="O896" s="721" t="str">
        <f t="shared" si="131"/>
        <v/>
      </c>
      <c r="P896" s="722" t="str">
        <f t="shared" si="132"/>
        <v>-</v>
      </c>
      <c r="Q896" s="686" t="str">
        <f t="shared" si="133"/>
        <v>-</v>
      </c>
      <c r="R896" s="686" t="str">
        <f t="shared" si="134"/>
        <v>-</v>
      </c>
      <c r="S896" s="686" t="str">
        <f t="shared" si="135"/>
        <v>-</v>
      </c>
      <c r="T896" s="686" t="str">
        <f t="shared" si="136"/>
        <v>-</v>
      </c>
      <c r="U896" s="723" t="str">
        <f t="shared" si="137"/>
        <v>-</v>
      </c>
      <c r="V896" s="695" t="str">
        <f t="shared" si="138"/>
        <v>-</v>
      </c>
      <c r="W896" s="711"/>
    </row>
    <row r="897" spans="1:23" ht="16.5" hidden="1" outlineLevel="1">
      <c r="A897" s="726">
        <v>2</v>
      </c>
      <c r="B897" s="730" t="s">
        <v>1574</v>
      </c>
      <c r="C897" s="727">
        <v>10</v>
      </c>
      <c r="D897" s="690"/>
      <c r="E897" s="720" t="s">
        <v>1557</v>
      </c>
      <c r="F897" s="685">
        <v>1</v>
      </c>
      <c r="G897" s="239">
        <v>1</v>
      </c>
      <c r="H897" s="203">
        <v>2</v>
      </c>
      <c r="I897" s="198">
        <f>C897*10</f>
        <v>100</v>
      </c>
      <c r="J897" s="198">
        <f>1840+230+230-50</f>
        <v>2250</v>
      </c>
      <c r="K897" s="198">
        <v>100</v>
      </c>
      <c r="L897" s="198"/>
      <c r="M897" s="198"/>
      <c r="N897" s="721">
        <f t="shared" si="130"/>
        <v>2410</v>
      </c>
      <c r="O897" s="721">
        <f t="shared" si="131"/>
        <v>0</v>
      </c>
      <c r="P897" s="722" t="str">
        <f t="shared" si="132"/>
        <v>-</v>
      </c>
      <c r="Q897" s="686">
        <f t="shared" si="133"/>
        <v>4.82</v>
      </c>
      <c r="R897" s="686" t="str">
        <f t="shared" si="134"/>
        <v>-</v>
      </c>
      <c r="S897" s="686" t="str">
        <f t="shared" si="135"/>
        <v>-</v>
      </c>
      <c r="T897" s="686" t="str">
        <f t="shared" si="136"/>
        <v>-</v>
      </c>
      <c r="U897" s="723" t="str">
        <f t="shared" si="137"/>
        <v>-</v>
      </c>
      <c r="V897" s="695" t="str">
        <f t="shared" si="138"/>
        <v>-</v>
      </c>
      <c r="W897" s="711"/>
    </row>
    <row r="898" spans="1:23" ht="16.5" hidden="1" outlineLevel="1">
      <c r="A898" s="726"/>
      <c r="B898" s="726" t="s">
        <v>393</v>
      </c>
      <c r="C898" s="727">
        <v>10</v>
      </c>
      <c r="D898" s="690"/>
      <c r="E898" s="720" t="s">
        <v>1557</v>
      </c>
      <c r="F898" s="685">
        <v>1</v>
      </c>
      <c r="G898" s="239">
        <v>1</v>
      </c>
      <c r="H898" s="203">
        <v>2</v>
      </c>
      <c r="I898" s="198">
        <f>C898*10</f>
        <v>100</v>
      </c>
      <c r="J898" s="198">
        <f>1840+230+230-50</f>
        <v>2250</v>
      </c>
      <c r="K898" s="198">
        <v>100</v>
      </c>
      <c r="L898" s="198"/>
      <c r="M898" s="198"/>
      <c r="N898" s="721">
        <f t="shared" si="130"/>
        <v>2410</v>
      </c>
      <c r="O898" s="721">
        <f t="shared" si="131"/>
        <v>0</v>
      </c>
      <c r="P898" s="722" t="str">
        <f t="shared" si="132"/>
        <v>-</v>
      </c>
      <c r="Q898" s="686">
        <f t="shared" si="133"/>
        <v>4.82</v>
      </c>
      <c r="R898" s="686" t="str">
        <f t="shared" si="134"/>
        <v>-</v>
      </c>
      <c r="S898" s="686" t="str">
        <f t="shared" si="135"/>
        <v>-</v>
      </c>
      <c r="T898" s="686" t="str">
        <f t="shared" si="136"/>
        <v>-</v>
      </c>
      <c r="U898" s="723" t="str">
        <f t="shared" si="137"/>
        <v>-</v>
      </c>
      <c r="V898" s="695" t="str">
        <f t="shared" si="138"/>
        <v>-</v>
      </c>
      <c r="W898" s="711"/>
    </row>
    <row r="899" spans="1:23" ht="16.5" hidden="1" outlineLevel="1">
      <c r="A899" s="726"/>
      <c r="B899" s="726" t="s">
        <v>394</v>
      </c>
      <c r="C899" s="727">
        <v>8</v>
      </c>
      <c r="D899" s="690"/>
      <c r="E899" s="691" t="s">
        <v>1558</v>
      </c>
      <c r="F899" s="685">
        <v>1</v>
      </c>
      <c r="G899" s="239">
        <v>1</v>
      </c>
      <c r="H899" s="203">
        <f>((J897-460)/200)+1</f>
        <v>9.9499999999999993</v>
      </c>
      <c r="I899" s="198">
        <v>180</v>
      </c>
      <c r="J899" s="198">
        <v>150</v>
      </c>
      <c r="K899" s="198">
        <v>180</v>
      </c>
      <c r="L899" s="198">
        <v>150</v>
      </c>
      <c r="M899" s="198"/>
      <c r="N899" s="721">
        <f t="shared" si="130"/>
        <v>740</v>
      </c>
      <c r="O899" s="721">
        <f t="shared" si="131"/>
        <v>0</v>
      </c>
      <c r="P899" s="722">
        <f t="shared" si="132"/>
        <v>7.3630000000000004</v>
      </c>
      <c r="Q899" s="686" t="str">
        <f t="shared" si="133"/>
        <v>-</v>
      </c>
      <c r="R899" s="686" t="str">
        <f t="shared" si="134"/>
        <v>-</v>
      </c>
      <c r="S899" s="686" t="str">
        <f t="shared" si="135"/>
        <v>-</v>
      </c>
      <c r="T899" s="686" t="str">
        <f t="shared" si="136"/>
        <v>-</v>
      </c>
      <c r="U899" s="723" t="str">
        <f t="shared" si="137"/>
        <v>-</v>
      </c>
      <c r="V899" s="695" t="str">
        <f t="shared" si="138"/>
        <v>-</v>
      </c>
      <c r="W899" s="711"/>
    </row>
    <row r="900" spans="1:23" ht="16.5" hidden="1" outlineLevel="1">
      <c r="A900" s="726"/>
      <c r="B900" s="726"/>
      <c r="C900" s="727"/>
      <c r="D900" s="690"/>
      <c r="E900" s="727"/>
      <c r="F900" s="685">
        <v>1</v>
      </c>
      <c r="G900" s="239"/>
      <c r="H900" s="203"/>
      <c r="I900" s="198"/>
      <c r="J900" s="198"/>
      <c r="K900" s="198"/>
      <c r="L900" s="198"/>
      <c r="M900" s="198"/>
      <c r="N900" s="721" t="str">
        <f t="shared" si="130"/>
        <v>-</v>
      </c>
      <c r="O900" s="721" t="str">
        <f t="shared" si="131"/>
        <v/>
      </c>
      <c r="P900" s="722" t="str">
        <f t="shared" si="132"/>
        <v>-</v>
      </c>
      <c r="Q900" s="686" t="str">
        <f t="shared" si="133"/>
        <v>-</v>
      </c>
      <c r="R900" s="686" t="str">
        <f t="shared" si="134"/>
        <v>-</v>
      </c>
      <c r="S900" s="686" t="str">
        <f t="shared" si="135"/>
        <v>-</v>
      </c>
      <c r="T900" s="686" t="str">
        <f t="shared" si="136"/>
        <v>-</v>
      </c>
      <c r="U900" s="723" t="str">
        <f t="shared" si="137"/>
        <v>-</v>
      </c>
      <c r="V900" s="695" t="str">
        <f t="shared" si="138"/>
        <v>-</v>
      </c>
      <c r="W900" s="711"/>
    </row>
    <row r="901" spans="1:23" ht="16.5" hidden="1" outlineLevel="1">
      <c r="A901" s="726">
        <v>3</v>
      </c>
      <c r="B901" s="730" t="s">
        <v>1574</v>
      </c>
      <c r="C901" s="727">
        <v>10</v>
      </c>
      <c r="D901" s="690"/>
      <c r="E901" s="720" t="s">
        <v>1557</v>
      </c>
      <c r="F901" s="685">
        <v>1</v>
      </c>
      <c r="G901" s="239">
        <v>7</v>
      </c>
      <c r="H901" s="203">
        <v>2</v>
      </c>
      <c r="I901" s="198">
        <f>C901*10</f>
        <v>100</v>
      </c>
      <c r="J901" s="198">
        <f>1540+230+230-50</f>
        <v>1950</v>
      </c>
      <c r="K901" s="198">
        <v>100</v>
      </c>
      <c r="L901" s="198"/>
      <c r="M901" s="198"/>
      <c r="N901" s="721">
        <f t="shared" si="130"/>
        <v>2110</v>
      </c>
      <c r="O901" s="721">
        <f t="shared" si="131"/>
        <v>0</v>
      </c>
      <c r="P901" s="722" t="str">
        <f t="shared" si="132"/>
        <v>-</v>
      </c>
      <c r="Q901" s="686">
        <f t="shared" si="133"/>
        <v>29.54</v>
      </c>
      <c r="R901" s="686" t="str">
        <f t="shared" si="134"/>
        <v>-</v>
      </c>
      <c r="S901" s="686" t="str">
        <f t="shared" si="135"/>
        <v>-</v>
      </c>
      <c r="T901" s="686" t="str">
        <f t="shared" si="136"/>
        <v>-</v>
      </c>
      <c r="U901" s="723" t="str">
        <f t="shared" si="137"/>
        <v>-</v>
      </c>
      <c r="V901" s="695" t="str">
        <f t="shared" si="138"/>
        <v>-</v>
      </c>
      <c r="W901" s="711"/>
    </row>
    <row r="902" spans="1:23" ht="16.5" hidden="1" outlineLevel="1">
      <c r="A902" s="726"/>
      <c r="B902" s="726" t="s">
        <v>393</v>
      </c>
      <c r="C902" s="727">
        <v>10</v>
      </c>
      <c r="D902" s="690"/>
      <c r="E902" s="720" t="s">
        <v>1557</v>
      </c>
      <c r="F902" s="685">
        <v>1</v>
      </c>
      <c r="G902" s="239">
        <v>7</v>
      </c>
      <c r="H902" s="203">
        <v>2</v>
      </c>
      <c r="I902" s="198">
        <f>C902*10</f>
        <v>100</v>
      </c>
      <c r="J902" s="198">
        <f>1540+230+230-50</f>
        <v>1950</v>
      </c>
      <c r="K902" s="198">
        <v>100</v>
      </c>
      <c r="L902" s="198"/>
      <c r="M902" s="198"/>
      <c r="N902" s="721">
        <f t="shared" si="130"/>
        <v>2110</v>
      </c>
      <c r="O902" s="721">
        <f t="shared" si="131"/>
        <v>0</v>
      </c>
      <c r="P902" s="722" t="str">
        <f t="shared" si="132"/>
        <v>-</v>
      </c>
      <c r="Q902" s="686">
        <f t="shared" si="133"/>
        <v>29.54</v>
      </c>
      <c r="R902" s="686" t="str">
        <f t="shared" si="134"/>
        <v>-</v>
      </c>
      <c r="S902" s="686" t="str">
        <f t="shared" si="135"/>
        <v>-</v>
      </c>
      <c r="T902" s="686" t="str">
        <f t="shared" si="136"/>
        <v>-</v>
      </c>
      <c r="U902" s="723" t="str">
        <f t="shared" si="137"/>
        <v>-</v>
      </c>
      <c r="V902" s="695" t="str">
        <f t="shared" si="138"/>
        <v>-</v>
      </c>
      <c r="W902" s="711"/>
    </row>
    <row r="903" spans="1:23" ht="16.5" hidden="1" outlineLevel="1">
      <c r="A903" s="726"/>
      <c r="B903" s="726" t="s">
        <v>394</v>
      </c>
      <c r="C903" s="727">
        <v>8</v>
      </c>
      <c r="D903" s="690"/>
      <c r="E903" s="691" t="s">
        <v>1558</v>
      </c>
      <c r="F903" s="685">
        <v>1</v>
      </c>
      <c r="G903" s="239">
        <v>7</v>
      </c>
      <c r="H903" s="203">
        <f>((J901-460)/200)+1</f>
        <v>8.4499999999999993</v>
      </c>
      <c r="I903" s="198">
        <v>180</v>
      </c>
      <c r="J903" s="198">
        <v>150</v>
      </c>
      <c r="K903" s="198">
        <v>180</v>
      </c>
      <c r="L903" s="198">
        <v>150</v>
      </c>
      <c r="M903" s="198"/>
      <c r="N903" s="721">
        <f t="shared" si="130"/>
        <v>740</v>
      </c>
      <c r="O903" s="721">
        <f t="shared" si="131"/>
        <v>0</v>
      </c>
      <c r="P903" s="722">
        <f t="shared" si="132"/>
        <v>43.771000000000001</v>
      </c>
      <c r="Q903" s="686" t="str">
        <f t="shared" si="133"/>
        <v>-</v>
      </c>
      <c r="R903" s="686" t="str">
        <f t="shared" si="134"/>
        <v>-</v>
      </c>
      <c r="S903" s="686" t="str">
        <f t="shared" si="135"/>
        <v>-</v>
      </c>
      <c r="T903" s="686" t="str">
        <f t="shared" si="136"/>
        <v>-</v>
      </c>
      <c r="U903" s="723" t="str">
        <f t="shared" si="137"/>
        <v>-</v>
      </c>
      <c r="V903" s="695" t="str">
        <f t="shared" si="138"/>
        <v>-</v>
      </c>
      <c r="W903" s="711"/>
    </row>
    <row r="904" spans="1:23" ht="16.5" hidden="1" outlineLevel="1">
      <c r="A904" s="726"/>
      <c r="B904" s="726"/>
      <c r="C904" s="727"/>
      <c r="D904" s="690"/>
      <c r="E904" s="727"/>
      <c r="F904" s="685"/>
      <c r="G904" s="239"/>
      <c r="H904" s="203"/>
      <c r="I904" s="198"/>
      <c r="J904" s="198"/>
      <c r="K904" s="198"/>
      <c r="L904" s="198"/>
      <c r="M904" s="198"/>
      <c r="N904" s="721" t="str">
        <f t="shared" si="130"/>
        <v>-</v>
      </c>
      <c r="O904" s="721" t="str">
        <f t="shared" si="131"/>
        <v/>
      </c>
      <c r="P904" s="722" t="str">
        <f t="shared" si="132"/>
        <v>-</v>
      </c>
      <c r="Q904" s="686" t="str">
        <f t="shared" si="133"/>
        <v>-</v>
      </c>
      <c r="R904" s="686" t="str">
        <f t="shared" si="134"/>
        <v>-</v>
      </c>
      <c r="S904" s="686" t="str">
        <f t="shared" si="135"/>
        <v>-</v>
      </c>
      <c r="T904" s="686" t="str">
        <f t="shared" si="136"/>
        <v>-</v>
      </c>
      <c r="U904" s="723" t="str">
        <f t="shared" si="137"/>
        <v>-</v>
      </c>
      <c r="V904" s="695" t="str">
        <f t="shared" si="138"/>
        <v>-</v>
      </c>
      <c r="W904" s="711"/>
    </row>
    <row r="905" spans="1:23" ht="16.5" hidden="1" outlineLevel="1">
      <c r="A905" s="726">
        <v>3</v>
      </c>
      <c r="B905" s="730" t="s">
        <v>1574</v>
      </c>
      <c r="C905" s="727">
        <v>10</v>
      </c>
      <c r="D905" s="690"/>
      <c r="E905" s="720" t="s">
        <v>1557</v>
      </c>
      <c r="F905" s="685">
        <v>1</v>
      </c>
      <c r="G905" s="239">
        <v>1</v>
      </c>
      <c r="H905" s="203">
        <v>2</v>
      </c>
      <c r="I905" s="198">
        <f>C905*10</f>
        <v>100</v>
      </c>
      <c r="J905" s="198">
        <f>1790+230+230-50</f>
        <v>2200</v>
      </c>
      <c r="K905" s="198">
        <v>100</v>
      </c>
      <c r="L905" s="198"/>
      <c r="M905" s="198"/>
      <c r="N905" s="721">
        <f t="shared" si="130"/>
        <v>2360</v>
      </c>
      <c r="O905" s="721">
        <f t="shared" si="131"/>
        <v>0</v>
      </c>
      <c r="P905" s="722" t="str">
        <f t="shared" si="132"/>
        <v>-</v>
      </c>
      <c r="Q905" s="686">
        <f t="shared" si="133"/>
        <v>4.72</v>
      </c>
      <c r="R905" s="686" t="str">
        <f t="shared" si="134"/>
        <v>-</v>
      </c>
      <c r="S905" s="686" t="str">
        <f t="shared" si="135"/>
        <v>-</v>
      </c>
      <c r="T905" s="686" t="str">
        <f t="shared" si="136"/>
        <v>-</v>
      </c>
      <c r="U905" s="723" t="str">
        <f t="shared" si="137"/>
        <v>-</v>
      </c>
      <c r="V905" s="695" t="str">
        <f t="shared" si="138"/>
        <v>-</v>
      </c>
      <c r="W905" s="711"/>
    </row>
    <row r="906" spans="1:23" ht="16.5" hidden="1" outlineLevel="1">
      <c r="A906" s="726"/>
      <c r="B906" s="726" t="s">
        <v>393</v>
      </c>
      <c r="C906" s="727">
        <v>10</v>
      </c>
      <c r="D906" s="690"/>
      <c r="E906" s="720" t="s">
        <v>1557</v>
      </c>
      <c r="F906" s="685">
        <v>1</v>
      </c>
      <c r="G906" s="239">
        <v>1</v>
      </c>
      <c r="H906" s="203">
        <v>2</v>
      </c>
      <c r="I906" s="198">
        <f>C906*10</f>
        <v>100</v>
      </c>
      <c r="J906" s="198">
        <f>1790+230+230-50</f>
        <v>2200</v>
      </c>
      <c r="K906" s="198">
        <v>100</v>
      </c>
      <c r="L906" s="198"/>
      <c r="M906" s="198"/>
      <c r="N906" s="721">
        <f t="shared" si="130"/>
        <v>2360</v>
      </c>
      <c r="O906" s="721">
        <f t="shared" si="131"/>
        <v>0</v>
      </c>
      <c r="P906" s="722" t="str">
        <f t="shared" si="132"/>
        <v>-</v>
      </c>
      <c r="Q906" s="686">
        <f t="shared" si="133"/>
        <v>4.72</v>
      </c>
      <c r="R906" s="686" t="str">
        <f t="shared" si="134"/>
        <v>-</v>
      </c>
      <c r="S906" s="686" t="str">
        <f t="shared" si="135"/>
        <v>-</v>
      </c>
      <c r="T906" s="686" t="str">
        <f t="shared" si="136"/>
        <v>-</v>
      </c>
      <c r="U906" s="723" t="str">
        <f t="shared" si="137"/>
        <v>-</v>
      </c>
      <c r="V906" s="695" t="str">
        <f t="shared" si="138"/>
        <v>-</v>
      </c>
      <c r="W906" s="711"/>
    </row>
    <row r="907" spans="1:23" ht="16.5" hidden="1" outlineLevel="1">
      <c r="A907" s="726"/>
      <c r="B907" s="726" t="s">
        <v>394</v>
      </c>
      <c r="C907" s="727">
        <v>8</v>
      </c>
      <c r="D907" s="690"/>
      <c r="E907" s="691" t="s">
        <v>1558</v>
      </c>
      <c r="F907" s="685">
        <v>1</v>
      </c>
      <c r="G907" s="239">
        <v>1</v>
      </c>
      <c r="H907" s="203">
        <f>((J905-460)/200)+1</f>
        <v>9.6999999999999993</v>
      </c>
      <c r="I907" s="198">
        <v>180</v>
      </c>
      <c r="J907" s="198">
        <v>150</v>
      </c>
      <c r="K907" s="198">
        <v>180</v>
      </c>
      <c r="L907" s="198">
        <v>150</v>
      </c>
      <c r="M907" s="198"/>
      <c r="N907" s="721">
        <f t="shared" si="130"/>
        <v>740</v>
      </c>
      <c r="O907" s="721">
        <f t="shared" si="131"/>
        <v>0</v>
      </c>
      <c r="P907" s="722">
        <f t="shared" si="132"/>
        <v>7.1779999999999999</v>
      </c>
      <c r="Q907" s="686" t="str">
        <f t="shared" si="133"/>
        <v>-</v>
      </c>
      <c r="R907" s="686" t="str">
        <f t="shared" si="134"/>
        <v>-</v>
      </c>
      <c r="S907" s="686" t="str">
        <f t="shared" si="135"/>
        <v>-</v>
      </c>
      <c r="T907" s="686" t="str">
        <f t="shared" si="136"/>
        <v>-</v>
      </c>
      <c r="U907" s="723" t="str">
        <f t="shared" si="137"/>
        <v>-</v>
      </c>
      <c r="V907" s="695" t="str">
        <f t="shared" si="138"/>
        <v>-</v>
      </c>
      <c r="W907" s="711"/>
    </row>
    <row r="908" spans="1:23" ht="16.5" hidden="1" outlineLevel="1">
      <c r="A908" s="726"/>
      <c r="B908" s="726"/>
      <c r="C908" s="727"/>
      <c r="D908" s="690"/>
      <c r="E908" s="727"/>
      <c r="F908" s="685">
        <v>1</v>
      </c>
      <c r="G908" s="239"/>
      <c r="H908" s="203"/>
      <c r="I908" s="198"/>
      <c r="J908" s="198"/>
      <c r="K908" s="198"/>
      <c r="L908" s="198"/>
      <c r="M908" s="198"/>
      <c r="N908" s="721" t="str">
        <f t="shared" si="130"/>
        <v>-</v>
      </c>
      <c r="O908" s="721" t="str">
        <f t="shared" si="131"/>
        <v/>
      </c>
      <c r="P908" s="722" t="str">
        <f t="shared" si="132"/>
        <v>-</v>
      </c>
      <c r="Q908" s="686" t="str">
        <f t="shared" si="133"/>
        <v>-</v>
      </c>
      <c r="R908" s="686" t="str">
        <f t="shared" si="134"/>
        <v>-</v>
      </c>
      <c r="S908" s="686" t="str">
        <f t="shared" si="135"/>
        <v>-</v>
      </c>
      <c r="T908" s="686" t="str">
        <f t="shared" si="136"/>
        <v>-</v>
      </c>
      <c r="U908" s="723" t="str">
        <f t="shared" si="137"/>
        <v>-</v>
      </c>
      <c r="V908" s="695" t="str">
        <f t="shared" si="138"/>
        <v>-</v>
      </c>
      <c r="W908" s="711"/>
    </row>
    <row r="909" spans="1:23" ht="16.5" hidden="1" outlineLevel="1">
      <c r="A909" s="726">
        <v>3</v>
      </c>
      <c r="B909" s="730" t="s">
        <v>1574</v>
      </c>
      <c r="C909" s="727">
        <v>10</v>
      </c>
      <c r="D909" s="690"/>
      <c r="E909" s="720" t="s">
        <v>1557</v>
      </c>
      <c r="F909" s="685">
        <v>1</v>
      </c>
      <c r="G909" s="239">
        <v>1</v>
      </c>
      <c r="H909" s="203">
        <v>2</v>
      </c>
      <c r="I909" s="198">
        <f>C909*10</f>
        <v>100</v>
      </c>
      <c r="J909" s="198">
        <f>1290+230+230-50</f>
        <v>1700</v>
      </c>
      <c r="K909" s="198">
        <v>100</v>
      </c>
      <c r="L909" s="198"/>
      <c r="M909" s="198"/>
      <c r="N909" s="721">
        <f t="shared" si="130"/>
        <v>1860</v>
      </c>
      <c r="O909" s="721">
        <f t="shared" si="131"/>
        <v>0</v>
      </c>
      <c r="P909" s="722" t="str">
        <f t="shared" si="132"/>
        <v>-</v>
      </c>
      <c r="Q909" s="686">
        <f t="shared" si="133"/>
        <v>3.72</v>
      </c>
      <c r="R909" s="686" t="str">
        <f t="shared" si="134"/>
        <v>-</v>
      </c>
      <c r="S909" s="686" t="str">
        <f t="shared" si="135"/>
        <v>-</v>
      </c>
      <c r="T909" s="686" t="str">
        <f t="shared" si="136"/>
        <v>-</v>
      </c>
      <c r="U909" s="723" t="str">
        <f t="shared" si="137"/>
        <v>-</v>
      </c>
      <c r="V909" s="695" t="str">
        <f t="shared" si="138"/>
        <v>-</v>
      </c>
      <c r="W909" s="711"/>
    </row>
    <row r="910" spans="1:23" ht="16.5" hidden="1" outlineLevel="1">
      <c r="A910" s="726"/>
      <c r="B910" s="726" t="s">
        <v>393</v>
      </c>
      <c r="C910" s="727">
        <v>10</v>
      </c>
      <c r="D910" s="690"/>
      <c r="E910" s="720" t="s">
        <v>1557</v>
      </c>
      <c r="F910" s="685">
        <v>1</v>
      </c>
      <c r="G910" s="239">
        <v>1</v>
      </c>
      <c r="H910" s="203">
        <v>2</v>
      </c>
      <c r="I910" s="198">
        <f>C910*10</f>
        <v>100</v>
      </c>
      <c r="J910" s="198">
        <f>1290+230+230-50</f>
        <v>1700</v>
      </c>
      <c r="K910" s="198">
        <v>100</v>
      </c>
      <c r="L910" s="198"/>
      <c r="M910" s="198"/>
      <c r="N910" s="721">
        <f t="shared" si="130"/>
        <v>1860</v>
      </c>
      <c r="O910" s="721">
        <f t="shared" si="131"/>
        <v>0</v>
      </c>
      <c r="P910" s="722" t="str">
        <f t="shared" si="132"/>
        <v>-</v>
      </c>
      <c r="Q910" s="686">
        <f t="shared" si="133"/>
        <v>3.72</v>
      </c>
      <c r="R910" s="686" t="str">
        <f t="shared" si="134"/>
        <v>-</v>
      </c>
      <c r="S910" s="686" t="str">
        <f t="shared" si="135"/>
        <v>-</v>
      </c>
      <c r="T910" s="686" t="str">
        <f t="shared" si="136"/>
        <v>-</v>
      </c>
      <c r="U910" s="723" t="str">
        <f t="shared" si="137"/>
        <v>-</v>
      </c>
      <c r="V910" s="695" t="str">
        <f t="shared" si="138"/>
        <v>-</v>
      </c>
      <c r="W910" s="711"/>
    </row>
    <row r="911" spans="1:23" ht="16.5" hidden="1" outlineLevel="1">
      <c r="A911" s="726"/>
      <c r="B911" s="726" t="s">
        <v>394</v>
      </c>
      <c r="C911" s="727">
        <v>8</v>
      </c>
      <c r="D911" s="690"/>
      <c r="E911" s="691" t="s">
        <v>1558</v>
      </c>
      <c r="F911" s="685">
        <v>1</v>
      </c>
      <c r="G911" s="239">
        <v>1</v>
      </c>
      <c r="H911" s="203">
        <f>((J909-460)/200)+1</f>
        <v>7.2</v>
      </c>
      <c r="I911" s="198">
        <v>180</v>
      </c>
      <c r="J911" s="198">
        <v>150</v>
      </c>
      <c r="K911" s="198">
        <v>180</v>
      </c>
      <c r="L911" s="198">
        <v>150</v>
      </c>
      <c r="M911" s="198"/>
      <c r="N911" s="721">
        <f t="shared" si="130"/>
        <v>740</v>
      </c>
      <c r="O911" s="721">
        <f t="shared" si="131"/>
        <v>0</v>
      </c>
      <c r="P911" s="722">
        <f t="shared" si="132"/>
        <v>5.3280000000000003</v>
      </c>
      <c r="Q911" s="686" t="str">
        <f t="shared" si="133"/>
        <v>-</v>
      </c>
      <c r="R911" s="686" t="str">
        <f t="shared" si="134"/>
        <v>-</v>
      </c>
      <c r="S911" s="686" t="str">
        <f t="shared" si="135"/>
        <v>-</v>
      </c>
      <c r="T911" s="686" t="str">
        <f t="shared" si="136"/>
        <v>-</v>
      </c>
      <c r="U911" s="723" t="str">
        <f t="shared" si="137"/>
        <v>-</v>
      </c>
      <c r="V911" s="695" t="str">
        <f t="shared" si="138"/>
        <v>-</v>
      </c>
      <c r="W911" s="711"/>
    </row>
    <row r="912" spans="1:23" ht="16.5" hidden="1" outlineLevel="1">
      <c r="A912" s="726"/>
      <c r="B912" s="726"/>
      <c r="C912" s="727"/>
      <c r="D912" s="690"/>
      <c r="E912" s="727"/>
      <c r="F912" s="685">
        <v>1</v>
      </c>
      <c r="G912" s="239"/>
      <c r="H912" s="203"/>
      <c r="I912" s="198"/>
      <c r="J912" s="198"/>
      <c r="K912" s="198"/>
      <c r="L912" s="198"/>
      <c r="M912" s="198"/>
      <c r="N912" s="721" t="str">
        <f t="shared" si="130"/>
        <v>-</v>
      </c>
      <c r="O912" s="721" t="str">
        <f t="shared" si="131"/>
        <v/>
      </c>
      <c r="P912" s="722" t="str">
        <f t="shared" si="132"/>
        <v>-</v>
      </c>
      <c r="Q912" s="686" t="str">
        <f t="shared" si="133"/>
        <v>-</v>
      </c>
      <c r="R912" s="686" t="str">
        <f t="shared" si="134"/>
        <v>-</v>
      </c>
      <c r="S912" s="686" t="str">
        <f t="shared" si="135"/>
        <v>-</v>
      </c>
      <c r="T912" s="686" t="str">
        <f t="shared" si="136"/>
        <v>-</v>
      </c>
      <c r="U912" s="723" t="str">
        <f t="shared" si="137"/>
        <v>-</v>
      </c>
      <c r="V912" s="695" t="str">
        <f t="shared" si="138"/>
        <v>-</v>
      </c>
      <c r="W912" s="711"/>
    </row>
    <row r="913" spans="1:23" ht="16.5" hidden="1" outlineLevel="1">
      <c r="A913" s="726">
        <v>4</v>
      </c>
      <c r="B913" s="730" t="s">
        <v>1574</v>
      </c>
      <c r="C913" s="727">
        <v>10</v>
      </c>
      <c r="D913" s="690"/>
      <c r="E913" s="720" t="s">
        <v>1557</v>
      </c>
      <c r="F913" s="685">
        <v>1</v>
      </c>
      <c r="G913" s="239">
        <v>12</v>
      </c>
      <c r="H913" s="203">
        <v>2</v>
      </c>
      <c r="I913" s="198">
        <f>C913*10</f>
        <v>100</v>
      </c>
      <c r="J913" s="198">
        <f>600+230+230-50</f>
        <v>1010</v>
      </c>
      <c r="K913" s="198">
        <v>100</v>
      </c>
      <c r="L913" s="198"/>
      <c r="M913" s="198"/>
      <c r="N913" s="721">
        <f t="shared" si="130"/>
        <v>1170</v>
      </c>
      <c r="O913" s="721">
        <f t="shared" si="131"/>
        <v>0</v>
      </c>
      <c r="P913" s="722" t="str">
        <f t="shared" si="132"/>
        <v>-</v>
      </c>
      <c r="Q913" s="686">
        <f t="shared" si="133"/>
        <v>28.08</v>
      </c>
      <c r="R913" s="686" t="str">
        <f t="shared" si="134"/>
        <v>-</v>
      </c>
      <c r="S913" s="686" t="str">
        <f t="shared" si="135"/>
        <v>-</v>
      </c>
      <c r="T913" s="686" t="str">
        <f t="shared" si="136"/>
        <v>-</v>
      </c>
      <c r="U913" s="723" t="str">
        <f t="shared" si="137"/>
        <v>-</v>
      </c>
      <c r="V913" s="695" t="str">
        <f t="shared" si="138"/>
        <v>-</v>
      </c>
      <c r="W913" s="711"/>
    </row>
    <row r="914" spans="1:23" ht="16.5" hidden="1" outlineLevel="1">
      <c r="A914" s="726"/>
      <c r="B914" s="726" t="s">
        <v>393</v>
      </c>
      <c r="C914" s="727">
        <v>10</v>
      </c>
      <c r="D914" s="690"/>
      <c r="E914" s="720" t="s">
        <v>1557</v>
      </c>
      <c r="F914" s="685">
        <v>1</v>
      </c>
      <c r="G914" s="239">
        <v>12</v>
      </c>
      <c r="H914" s="203">
        <v>2</v>
      </c>
      <c r="I914" s="198">
        <f>C914*10</f>
        <v>100</v>
      </c>
      <c r="J914" s="198">
        <f>600+230+230-50</f>
        <v>1010</v>
      </c>
      <c r="K914" s="198">
        <v>100</v>
      </c>
      <c r="L914" s="198"/>
      <c r="M914" s="198"/>
      <c r="N914" s="721">
        <f t="shared" si="130"/>
        <v>1170</v>
      </c>
      <c r="O914" s="721">
        <f t="shared" si="131"/>
        <v>0</v>
      </c>
      <c r="P914" s="722" t="str">
        <f t="shared" si="132"/>
        <v>-</v>
      </c>
      <c r="Q914" s="686">
        <f t="shared" si="133"/>
        <v>28.08</v>
      </c>
      <c r="R914" s="686" t="str">
        <f t="shared" si="134"/>
        <v>-</v>
      </c>
      <c r="S914" s="686" t="str">
        <f t="shared" si="135"/>
        <v>-</v>
      </c>
      <c r="T914" s="686" t="str">
        <f t="shared" si="136"/>
        <v>-</v>
      </c>
      <c r="U914" s="723" t="str">
        <f t="shared" si="137"/>
        <v>-</v>
      </c>
      <c r="V914" s="695" t="str">
        <f t="shared" si="138"/>
        <v>-</v>
      </c>
      <c r="W914" s="711"/>
    </row>
    <row r="915" spans="1:23" ht="16.5" hidden="1" outlineLevel="1">
      <c r="A915" s="726"/>
      <c r="B915" s="726" t="s">
        <v>394</v>
      </c>
      <c r="C915" s="727">
        <v>8</v>
      </c>
      <c r="D915" s="690"/>
      <c r="E915" s="691" t="s">
        <v>1558</v>
      </c>
      <c r="F915" s="685">
        <v>1</v>
      </c>
      <c r="G915" s="239">
        <v>1</v>
      </c>
      <c r="H915" s="203">
        <f>((J913-460)/200)+1</f>
        <v>3.75</v>
      </c>
      <c r="I915" s="198">
        <v>180</v>
      </c>
      <c r="J915" s="198">
        <v>150</v>
      </c>
      <c r="K915" s="198">
        <v>180</v>
      </c>
      <c r="L915" s="198">
        <v>150</v>
      </c>
      <c r="M915" s="198"/>
      <c r="N915" s="721">
        <f t="shared" si="130"/>
        <v>740</v>
      </c>
      <c r="O915" s="721">
        <f t="shared" si="131"/>
        <v>0</v>
      </c>
      <c r="P915" s="722">
        <f t="shared" si="132"/>
        <v>2.7749999999999999</v>
      </c>
      <c r="Q915" s="686" t="str">
        <f t="shared" si="133"/>
        <v>-</v>
      </c>
      <c r="R915" s="686" t="str">
        <f t="shared" si="134"/>
        <v>-</v>
      </c>
      <c r="S915" s="686" t="str">
        <f t="shared" si="135"/>
        <v>-</v>
      </c>
      <c r="T915" s="686" t="str">
        <f t="shared" si="136"/>
        <v>-</v>
      </c>
      <c r="U915" s="723" t="str">
        <f t="shared" si="137"/>
        <v>-</v>
      </c>
      <c r="V915" s="695" t="str">
        <f t="shared" si="138"/>
        <v>-</v>
      </c>
      <c r="W915" s="711"/>
    </row>
    <row r="916" spans="1:23" ht="16.5" hidden="1" outlineLevel="1">
      <c r="A916" s="726"/>
      <c r="B916" s="726"/>
      <c r="C916" s="727"/>
      <c r="D916" s="690"/>
      <c r="E916" s="727"/>
      <c r="F916" s="685">
        <v>1</v>
      </c>
      <c r="G916" s="239"/>
      <c r="H916" s="203"/>
      <c r="I916" s="198"/>
      <c r="J916" s="198"/>
      <c r="K916" s="198"/>
      <c r="L916" s="198"/>
      <c r="M916" s="198"/>
      <c r="N916" s="721" t="str">
        <f t="shared" si="130"/>
        <v>-</v>
      </c>
      <c r="O916" s="721" t="str">
        <f t="shared" si="131"/>
        <v/>
      </c>
      <c r="P916" s="722" t="str">
        <f t="shared" si="132"/>
        <v>-</v>
      </c>
      <c r="Q916" s="686" t="str">
        <f t="shared" si="133"/>
        <v>-</v>
      </c>
      <c r="R916" s="686" t="str">
        <f t="shared" si="134"/>
        <v>-</v>
      </c>
      <c r="S916" s="686" t="str">
        <f t="shared" si="135"/>
        <v>-</v>
      </c>
      <c r="T916" s="686" t="str">
        <f t="shared" si="136"/>
        <v>-</v>
      </c>
      <c r="U916" s="723" t="str">
        <f t="shared" si="137"/>
        <v>-</v>
      </c>
      <c r="V916" s="695" t="str">
        <f t="shared" si="138"/>
        <v>-</v>
      </c>
      <c r="W916" s="711"/>
    </row>
    <row r="917" spans="1:23" ht="16.5" hidden="1" outlineLevel="1">
      <c r="A917" s="726"/>
      <c r="B917" s="731" t="s">
        <v>608</v>
      </c>
      <c r="C917" s="727"/>
      <c r="D917" s="690"/>
      <c r="E917" s="727"/>
      <c r="F917" s="685">
        <v>1</v>
      </c>
      <c r="G917" s="239"/>
      <c r="H917" s="203"/>
      <c r="I917" s="198"/>
      <c r="J917" s="198"/>
      <c r="K917" s="198"/>
      <c r="L917" s="198"/>
      <c r="M917" s="198"/>
      <c r="N917" s="721" t="str">
        <f t="shared" si="130"/>
        <v>-</v>
      </c>
      <c r="O917" s="721" t="str">
        <f t="shared" si="131"/>
        <v/>
      </c>
      <c r="P917" s="722" t="str">
        <f t="shared" si="132"/>
        <v>-</v>
      </c>
      <c r="Q917" s="686" t="str">
        <f t="shared" si="133"/>
        <v>-</v>
      </c>
      <c r="R917" s="686" t="str">
        <f t="shared" si="134"/>
        <v>-</v>
      </c>
      <c r="S917" s="686" t="str">
        <f t="shared" si="135"/>
        <v>-</v>
      </c>
      <c r="T917" s="686" t="str">
        <f t="shared" si="136"/>
        <v>-</v>
      </c>
      <c r="U917" s="723" t="str">
        <f t="shared" si="137"/>
        <v>-</v>
      </c>
      <c r="V917" s="695" t="str">
        <f t="shared" si="138"/>
        <v>-</v>
      </c>
      <c r="W917" s="711"/>
    </row>
    <row r="918" spans="1:23" ht="16.5" hidden="1" outlineLevel="1">
      <c r="A918" s="726"/>
      <c r="B918" s="726"/>
      <c r="C918" s="727"/>
      <c r="D918" s="690"/>
      <c r="E918" s="727"/>
      <c r="F918" s="685">
        <v>1</v>
      </c>
      <c r="G918" s="239"/>
      <c r="H918" s="203"/>
      <c r="I918" s="198"/>
      <c r="J918" s="198"/>
      <c r="K918" s="198"/>
      <c r="L918" s="198"/>
      <c r="M918" s="198"/>
      <c r="N918" s="721" t="str">
        <f t="shared" si="130"/>
        <v>-</v>
      </c>
      <c r="O918" s="721" t="str">
        <f t="shared" si="131"/>
        <v/>
      </c>
      <c r="P918" s="722" t="str">
        <f t="shared" si="132"/>
        <v>-</v>
      </c>
      <c r="Q918" s="686" t="str">
        <f t="shared" si="133"/>
        <v>-</v>
      </c>
      <c r="R918" s="686" t="str">
        <f t="shared" si="134"/>
        <v>-</v>
      </c>
      <c r="S918" s="686" t="str">
        <f t="shared" si="135"/>
        <v>-</v>
      </c>
      <c r="T918" s="686" t="str">
        <f t="shared" si="136"/>
        <v>-</v>
      </c>
      <c r="U918" s="723" t="str">
        <f t="shared" si="137"/>
        <v>-</v>
      </c>
      <c r="V918" s="695" t="str">
        <f t="shared" si="138"/>
        <v>-</v>
      </c>
      <c r="W918" s="711"/>
    </row>
    <row r="919" spans="1:23" ht="16.5" hidden="1" outlineLevel="1">
      <c r="A919" s="726">
        <v>5</v>
      </c>
      <c r="B919" s="730" t="s">
        <v>1574</v>
      </c>
      <c r="C919" s="727">
        <v>10</v>
      </c>
      <c r="D919" s="690"/>
      <c r="E919" s="720" t="s">
        <v>1557</v>
      </c>
      <c r="F919" s="685">
        <v>1</v>
      </c>
      <c r="G919" s="239">
        <v>1</v>
      </c>
      <c r="H919" s="203">
        <v>2</v>
      </c>
      <c r="I919" s="198">
        <f>C919*10</f>
        <v>100</v>
      </c>
      <c r="J919" s="198">
        <f>10775-50</f>
        <v>10725</v>
      </c>
      <c r="K919" s="198">
        <v>100</v>
      </c>
      <c r="L919" s="198"/>
      <c r="M919" s="198"/>
      <c r="N919" s="721">
        <f t="shared" si="130"/>
        <v>10885</v>
      </c>
      <c r="O919" s="721">
        <f t="shared" si="131"/>
        <v>0</v>
      </c>
      <c r="P919" s="722" t="str">
        <f t="shared" si="132"/>
        <v>-</v>
      </c>
      <c r="Q919" s="686">
        <f t="shared" si="133"/>
        <v>21.77</v>
      </c>
      <c r="R919" s="686" t="str">
        <f t="shared" si="134"/>
        <v>-</v>
      </c>
      <c r="S919" s="686" t="str">
        <f t="shared" si="135"/>
        <v>-</v>
      </c>
      <c r="T919" s="686" t="str">
        <f t="shared" si="136"/>
        <v>-</v>
      </c>
      <c r="U919" s="723" t="str">
        <f t="shared" si="137"/>
        <v>-</v>
      </c>
      <c r="V919" s="695" t="str">
        <f t="shared" si="138"/>
        <v>-</v>
      </c>
      <c r="W919" s="711"/>
    </row>
    <row r="920" spans="1:23" ht="16.5" hidden="1" outlineLevel="1">
      <c r="A920" s="726"/>
      <c r="B920" s="726" t="s">
        <v>393</v>
      </c>
      <c r="C920" s="727">
        <v>10</v>
      </c>
      <c r="D920" s="690"/>
      <c r="E920" s="720" t="s">
        <v>1557</v>
      </c>
      <c r="F920" s="685">
        <v>1</v>
      </c>
      <c r="G920" s="239">
        <v>1</v>
      </c>
      <c r="H920" s="203">
        <v>2</v>
      </c>
      <c r="I920" s="198">
        <f>C920*10</f>
        <v>100</v>
      </c>
      <c r="J920" s="198">
        <f>10775-50</f>
        <v>10725</v>
      </c>
      <c r="K920" s="198">
        <v>100</v>
      </c>
      <c r="L920" s="198"/>
      <c r="M920" s="198"/>
      <c r="N920" s="721">
        <f t="shared" si="130"/>
        <v>10885</v>
      </c>
      <c r="O920" s="721">
        <f t="shared" si="131"/>
        <v>0</v>
      </c>
      <c r="P920" s="722" t="str">
        <f t="shared" si="132"/>
        <v>-</v>
      </c>
      <c r="Q920" s="686">
        <f t="shared" si="133"/>
        <v>21.77</v>
      </c>
      <c r="R920" s="686" t="str">
        <f t="shared" si="134"/>
        <v>-</v>
      </c>
      <c r="S920" s="686" t="str">
        <f t="shared" si="135"/>
        <v>-</v>
      </c>
      <c r="T920" s="686" t="str">
        <f t="shared" si="136"/>
        <v>-</v>
      </c>
      <c r="U920" s="723" t="str">
        <f t="shared" si="137"/>
        <v>-</v>
      </c>
      <c r="V920" s="695" t="str">
        <f t="shared" si="138"/>
        <v>-</v>
      </c>
      <c r="W920" s="711"/>
    </row>
    <row r="921" spans="1:23" ht="16.5" hidden="1" outlineLevel="1">
      <c r="A921" s="726"/>
      <c r="B921" s="726" t="s">
        <v>394</v>
      </c>
      <c r="C921" s="727">
        <v>8</v>
      </c>
      <c r="D921" s="690"/>
      <c r="E921" s="691" t="s">
        <v>1558</v>
      </c>
      <c r="F921" s="685">
        <v>1</v>
      </c>
      <c r="G921" s="239">
        <v>1</v>
      </c>
      <c r="H921" s="203">
        <f>((J919-460)/200)+1</f>
        <v>52.325000000000003</v>
      </c>
      <c r="I921" s="198">
        <v>180</v>
      </c>
      <c r="J921" s="198">
        <v>150</v>
      </c>
      <c r="K921" s="198">
        <v>180</v>
      </c>
      <c r="L921" s="198">
        <v>150</v>
      </c>
      <c r="M921" s="198"/>
      <c r="N921" s="721">
        <f t="shared" si="130"/>
        <v>740</v>
      </c>
      <c r="O921" s="721">
        <f t="shared" si="131"/>
        <v>0</v>
      </c>
      <c r="P921" s="722">
        <f t="shared" si="132"/>
        <v>38.720999999999997</v>
      </c>
      <c r="Q921" s="686" t="str">
        <f t="shared" si="133"/>
        <v>-</v>
      </c>
      <c r="R921" s="686" t="str">
        <f t="shared" si="134"/>
        <v>-</v>
      </c>
      <c r="S921" s="686" t="str">
        <f t="shared" si="135"/>
        <v>-</v>
      </c>
      <c r="T921" s="686" t="str">
        <f t="shared" si="136"/>
        <v>-</v>
      </c>
      <c r="U921" s="723" t="str">
        <f t="shared" si="137"/>
        <v>-</v>
      </c>
      <c r="V921" s="695" t="str">
        <f t="shared" si="138"/>
        <v>-</v>
      </c>
      <c r="W921" s="711"/>
    </row>
    <row r="922" spans="1:23" ht="16.5" hidden="1" outlineLevel="1">
      <c r="A922" s="726"/>
      <c r="B922" s="726"/>
      <c r="C922" s="727"/>
      <c r="D922" s="690"/>
      <c r="E922" s="727"/>
      <c r="F922" s="685">
        <v>1</v>
      </c>
      <c r="G922" s="239"/>
      <c r="H922" s="203"/>
      <c r="I922" s="198"/>
      <c r="J922" s="198"/>
      <c r="K922" s="198"/>
      <c r="L922" s="198"/>
      <c r="M922" s="198"/>
      <c r="N922" s="721" t="str">
        <f t="shared" ref="N922:N985" si="139">IF(E922="L Shape",(I922+J922)-(C922*2*1),IF(E922="U Shape",(I922+J922+K922)-(C922*2*2),IF(E922="Rectangle",(I922+J922+K922+L922)+(C922*10*2)-(C922*2*5),IF(E922="Straight",J922-(C922*0),IF(E922="Chair",(I922+J922+K922+L922+M922)-(C922*2*4),IF(E922="U2 Shape",(I922+J922+K922+L922+M922)-(C922*2*4),IF(E922="U3 Shape",(I922+J922+K922+L922)-(C922*2*3),IF(E922="Z Shape",(I922+J922+K922)-(C922*2*2),IF(E922="Triangle",(I922+J922+K922)+(C922*10*2)-(C922*2*4),IF(E922="Trapezoid2",(I922+I922+J922+K922+K922+L922)+(C922*10*2)-(C922*2*7),IF(E922="Trapezoid",(I922+J922+K922+L922)+(C922*10*2)-(C922*2*5),IF(E922="Link",J922+(C922*10*2),IF(E922="U5 Shape",(I922+J922+K922+L922)-(C922*2*3),IF(E922="DU2 Shape",(I922+J922+K922+L922)-(C922*2*4),IF(E922="SU Shape",(I922+J922+K922)-(C922*2*2),"-")))))))))))))))</f>
        <v>-</v>
      </c>
      <c r="O922" s="721" t="str">
        <f t="shared" ref="O922:O985" si="140">IF(N922&lt;12001,C922*49*0,IF(N922&lt;24001,C922*49*1,IF(N922&lt;36001,C922*49*2,IF(N922&lt;48001,C922*49*3,IF(N922&lt;60001,C922*49*4,IF(N922&lt;72001,(C922*49*5),IF(N922&lt;84001,(C922*49*6),IF(N922&lt;96001,(C922*49*7),IF(N922&lt;108001,(C922*49*8),IF(N922&lt;120001,(C922*49*9),IF(N922&lt;132001,(C922*49*10),IF(N922&lt;144001,(C922*49*11),""))))))))))))</f>
        <v/>
      </c>
      <c r="P922" s="722" t="str">
        <f t="shared" ref="P922:P985" si="141">IF(C922=8,ROUND(((N922+O922)*F922*G922*H922)/1000,3),"-")</f>
        <v>-</v>
      </c>
      <c r="Q922" s="686" t="str">
        <f t="shared" ref="Q922:Q985" si="142">IF(C922=10,ROUND(((N922+O922)*F922*G922*H922)/1000,3),"-")</f>
        <v>-</v>
      </c>
      <c r="R922" s="686" t="str">
        <f t="shared" ref="R922:R985" si="143">IF(C922=12,ROUND(((N922+O922)*F922*G922*H922)/1000,3),"-")</f>
        <v>-</v>
      </c>
      <c r="S922" s="686" t="str">
        <f t="shared" ref="S922:S985" si="144">IF(C922=16,ROUND(((N922+O922)*F922*G922*H922)/1000,3),"-")</f>
        <v>-</v>
      </c>
      <c r="T922" s="686" t="str">
        <f t="shared" ref="T922:T985" si="145">IF(C922=20,ROUND(((N922+O922)*F922*G922*H922)/1000,3),"-")</f>
        <v>-</v>
      </c>
      <c r="U922" s="723" t="str">
        <f t="shared" ref="U922:U985" si="146">IF(C922=25,ROUND(((N922+O922)*F922*G922*H922)/1000,3),"-")</f>
        <v>-</v>
      </c>
      <c r="V922" s="695" t="str">
        <f t="shared" ref="V922:V985" si="147">IF(C922=32,ROUND(((N922+O922)*F922*G922*H922)/1000,3),"-")</f>
        <v>-</v>
      </c>
      <c r="W922" s="711"/>
    </row>
    <row r="923" spans="1:23" ht="16.5" hidden="1" outlineLevel="1">
      <c r="A923" s="726">
        <v>6</v>
      </c>
      <c r="B923" s="730" t="s">
        <v>1576</v>
      </c>
      <c r="C923" s="727">
        <v>10</v>
      </c>
      <c r="D923" s="690"/>
      <c r="E923" s="720" t="s">
        <v>1557</v>
      </c>
      <c r="F923" s="685">
        <v>1</v>
      </c>
      <c r="G923" s="239">
        <v>1</v>
      </c>
      <c r="H923" s="203">
        <v>2</v>
      </c>
      <c r="I923" s="198">
        <f>C923*10</f>
        <v>100</v>
      </c>
      <c r="J923" s="198">
        <f>9545+230-50</f>
        <v>9725</v>
      </c>
      <c r="K923" s="198">
        <v>100</v>
      </c>
      <c r="L923" s="198"/>
      <c r="M923" s="198"/>
      <c r="N923" s="721">
        <f t="shared" si="139"/>
        <v>9885</v>
      </c>
      <c r="O923" s="721">
        <f t="shared" si="140"/>
        <v>0</v>
      </c>
      <c r="P923" s="722" t="str">
        <f t="shared" si="141"/>
        <v>-</v>
      </c>
      <c r="Q923" s="686">
        <f t="shared" si="142"/>
        <v>19.77</v>
      </c>
      <c r="R923" s="686" t="str">
        <f t="shared" si="143"/>
        <v>-</v>
      </c>
      <c r="S923" s="686" t="str">
        <f t="shared" si="144"/>
        <v>-</v>
      </c>
      <c r="T923" s="686" t="str">
        <f t="shared" si="145"/>
        <v>-</v>
      </c>
      <c r="U923" s="723" t="str">
        <f t="shared" si="146"/>
        <v>-</v>
      </c>
      <c r="V923" s="695" t="str">
        <f t="shared" si="147"/>
        <v>-</v>
      </c>
      <c r="W923" s="711"/>
    </row>
    <row r="924" spans="1:23" ht="16.5" hidden="1" outlineLevel="1">
      <c r="A924" s="726"/>
      <c r="B924" s="726" t="s">
        <v>393</v>
      </c>
      <c r="C924" s="727">
        <v>10</v>
      </c>
      <c r="D924" s="690"/>
      <c r="E924" s="720" t="s">
        <v>1557</v>
      </c>
      <c r="F924" s="685">
        <v>1</v>
      </c>
      <c r="G924" s="239">
        <v>1</v>
      </c>
      <c r="H924" s="203">
        <v>2</v>
      </c>
      <c r="I924" s="198">
        <f>C924*10</f>
        <v>100</v>
      </c>
      <c r="J924" s="198">
        <f>9545+230-50</f>
        <v>9725</v>
      </c>
      <c r="K924" s="198">
        <v>100</v>
      </c>
      <c r="L924" s="198"/>
      <c r="M924" s="198"/>
      <c r="N924" s="721">
        <f t="shared" si="139"/>
        <v>9885</v>
      </c>
      <c r="O924" s="721">
        <f t="shared" si="140"/>
        <v>0</v>
      </c>
      <c r="P924" s="722" t="str">
        <f t="shared" si="141"/>
        <v>-</v>
      </c>
      <c r="Q924" s="686">
        <f t="shared" si="142"/>
        <v>19.77</v>
      </c>
      <c r="R924" s="686" t="str">
        <f t="shared" si="143"/>
        <v>-</v>
      </c>
      <c r="S924" s="686" t="str">
        <f t="shared" si="144"/>
        <v>-</v>
      </c>
      <c r="T924" s="686" t="str">
        <f t="shared" si="145"/>
        <v>-</v>
      </c>
      <c r="U924" s="723" t="str">
        <f t="shared" si="146"/>
        <v>-</v>
      </c>
      <c r="V924" s="695" t="str">
        <f t="shared" si="147"/>
        <v>-</v>
      </c>
      <c r="W924" s="711"/>
    </row>
    <row r="925" spans="1:23" ht="16.5" hidden="1" outlineLevel="1">
      <c r="A925" s="726"/>
      <c r="B925" s="726" t="s">
        <v>394</v>
      </c>
      <c r="C925" s="727">
        <v>8</v>
      </c>
      <c r="D925" s="690"/>
      <c r="E925" s="691" t="s">
        <v>1558</v>
      </c>
      <c r="F925" s="685">
        <v>1</v>
      </c>
      <c r="G925" s="239">
        <v>1</v>
      </c>
      <c r="H925" s="203">
        <f>((J923-460)/200)+1</f>
        <v>47.325000000000003</v>
      </c>
      <c r="I925" s="198">
        <v>180</v>
      </c>
      <c r="J925" s="198">
        <v>150</v>
      </c>
      <c r="K925" s="198">
        <v>180</v>
      </c>
      <c r="L925" s="198">
        <v>150</v>
      </c>
      <c r="M925" s="198"/>
      <c r="N925" s="721">
        <f t="shared" si="139"/>
        <v>740</v>
      </c>
      <c r="O925" s="721">
        <f t="shared" si="140"/>
        <v>0</v>
      </c>
      <c r="P925" s="722">
        <f t="shared" si="141"/>
        <v>35.021000000000001</v>
      </c>
      <c r="Q925" s="686" t="str">
        <f t="shared" si="142"/>
        <v>-</v>
      </c>
      <c r="R925" s="686" t="str">
        <f t="shared" si="143"/>
        <v>-</v>
      </c>
      <c r="S925" s="686" t="str">
        <f t="shared" si="144"/>
        <v>-</v>
      </c>
      <c r="T925" s="686" t="str">
        <f t="shared" si="145"/>
        <v>-</v>
      </c>
      <c r="U925" s="723" t="str">
        <f t="shared" si="146"/>
        <v>-</v>
      </c>
      <c r="V925" s="695" t="str">
        <f t="shared" si="147"/>
        <v>-</v>
      </c>
      <c r="W925" s="711"/>
    </row>
    <row r="926" spans="1:23" ht="16.5" hidden="1" outlineLevel="1">
      <c r="A926" s="726"/>
      <c r="B926" s="726"/>
      <c r="C926" s="727"/>
      <c r="D926" s="690"/>
      <c r="E926" s="727"/>
      <c r="F926" s="685">
        <v>1</v>
      </c>
      <c r="G926" s="239"/>
      <c r="H926" s="203"/>
      <c r="I926" s="198"/>
      <c r="J926" s="198"/>
      <c r="K926" s="198"/>
      <c r="L926" s="198"/>
      <c r="M926" s="198"/>
      <c r="N926" s="721" t="str">
        <f t="shared" si="139"/>
        <v>-</v>
      </c>
      <c r="O926" s="721" t="str">
        <f t="shared" si="140"/>
        <v/>
      </c>
      <c r="P926" s="722" t="str">
        <f t="shared" si="141"/>
        <v>-</v>
      </c>
      <c r="Q926" s="686" t="str">
        <f t="shared" si="142"/>
        <v>-</v>
      </c>
      <c r="R926" s="686" t="str">
        <f t="shared" si="143"/>
        <v>-</v>
      </c>
      <c r="S926" s="686" t="str">
        <f t="shared" si="144"/>
        <v>-</v>
      </c>
      <c r="T926" s="686" t="str">
        <f t="shared" si="145"/>
        <v>-</v>
      </c>
      <c r="U926" s="723" t="str">
        <f t="shared" si="146"/>
        <v>-</v>
      </c>
      <c r="V926" s="695" t="str">
        <f t="shared" si="147"/>
        <v>-</v>
      </c>
      <c r="W926" s="711"/>
    </row>
    <row r="927" spans="1:23" ht="16.5" hidden="1" outlineLevel="1">
      <c r="A927" s="726">
        <v>7</v>
      </c>
      <c r="B927" s="730" t="s">
        <v>1577</v>
      </c>
      <c r="C927" s="727">
        <v>10</v>
      </c>
      <c r="D927" s="690"/>
      <c r="E927" s="720" t="s">
        <v>1557</v>
      </c>
      <c r="F927" s="685">
        <v>1</v>
      </c>
      <c r="G927" s="239">
        <v>1</v>
      </c>
      <c r="H927" s="203">
        <v>2</v>
      </c>
      <c r="I927" s="198">
        <f>C927*10</f>
        <v>100</v>
      </c>
      <c r="J927" s="840">
        <v>7965</v>
      </c>
      <c r="K927" s="198">
        <v>100</v>
      </c>
      <c r="L927" s="198"/>
      <c r="M927" s="198"/>
      <c r="N927" s="721">
        <f t="shared" si="139"/>
        <v>8125</v>
      </c>
      <c r="O927" s="721">
        <f t="shared" si="140"/>
        <v>0</v>
      </c>
      <c r="P927" s="722" t="str">
        <f t="shared" si="141"/>
        <v>-</v>
      </c>
      <c r="Q927" s="686">
        <f t="shared" si="142"/>
        <v>16.25</v>
      </c>
      <c r="R927" s="686" t="str">
        <f t="shared" si="143"/>
        <v>-</v>
      </c>
      <c r="S927" s="686" t="str">
        <f t="shared" si="144"/>
        <v>-</v>
      </c>
      <c r="T927" s="686" t="str">
        <f t="shared" si="145"/>
        <v>-</v>
      </c>
      <c r="U927" s="723" t="str">
        <f t="shared" si="146"/>
        <v>-</v>
      </c>
      <c r="V927" s="695" t="str">
        <f t="shared" si="147"/>
        <v>-</v>
      </c>
      <c r="W927" s="711"/>
    </row>
    <row r="928" spans="1:23" ht="16.5" hidden="1" outlineLevel="1">
      <c r="A928" s="726"/>
      <c r="B928" s="726" t="s">
        <v>393</v>
      </c>
      <c r="C928" s="727">
        <v>10</v>
      </c>
      <c r="D928" s="690"/>
      <c r="E928" s="720" t="s">
        <v>1557</v>
      </c>
      <c r="F928" s="685">
        <v>1</v>
      </c>
      <c r="G928" s="239">
        <v>1</v>
      </c>
      <c r="H928" s="203">
        <v>2</v>
      </c>
      <c r="I928" s="198">
        <f>C928*10</f>
        <v>100</v>
      </c>
      <c r="J928" s="840">
        <v>7965</v>
      </c>
      <c r="K928" s="198">
        <v>100</v>
      </c>
      <c r="L928" s="198"/>
      <c r="M928" s="198"/>
      <c r="N928" s="721">
        <f t="shared" si="139"/>
        <v>8125</v>
      </c>
      <c r="O928" s="721">
        <f t="shared" si="140"/>
        <v>0</v>
      </c>
      <c r="P928" s="722" t="str">
        <f t="shared" si="141"/>
        <v>-</v>
      </c>
      <c r="Q928" s="686">
        <f t="shared" si="142"/>
        <v>16.25</v>
      </c>
      <c r="R928" s="686" t="str">
        <f t="shared" si="143"/>
        <v>-</v>
      </c>
      <c r="S928" s="686" t="str">
        <f t="shared" si="144"/>
        <v>-</v>
      </c>
      <c r="T928" s="686" t="str">
        <f t="shared" si="145"/>
        <v>-</v>
      </c>
      <c r="U928" s="723" t="str">
        <f t="shared" si="146"/>
        <v>-</v>
      </c>
      <c r="V928" s="695" t="str">
        <f t="shared" si="147"/>
        <v>-</v>
      </c>
      <c r="W928" s="711"/>
    </row>
    <row r="929" spans="1:23" ht="16.5" hidden="1" outlineLevel="1">
      <c r="A929" s="726"/>
      <c r="B929" s="726" t="s">
        <v>394</v>
      </c>
      <c r="C929" s="727">
        <v>8</v>
      </c>
      <c r="D929" s="690"/>
      <c r="E929" s="691" t="s">
        <v>1558</v>
      </c>
      <c r="F929" s="685">
        <v>1</v>
      </c>
      <c r="G929" s="239">
        <v>1</v>
      </c>
      <c r="H929" s="203">
        <f>((J927-460)/200)+1</f>
        <v>38.524999999999999</v>
      </c>
      <c r="I929" s="198">
        <v>180</v>
      </c>
      <c r="J929" s="198">
        <v>150</v>
      </c>
      <c r="K929" s="198">
        <v>180</v>
      </c>
      <c r="L929" s="198">
        <v>150</v>
      </c>
      <c r="M929" s="198"/>
      <c r="N929" s="721">
        <f t="shared" si="139"/>
        <v>740</v>
      </c>
      <c r="O929" s="721">
        <f t="shared" si="140"/>
        <v>0</v>
      </c>
      <c r="P929" s="722">
        <f t="shared" si="141"/>
        <v>28.509</v>
      </c>
      <c r="Q929" s="686" t="str">
        <f t="shared" si="142"/>
        <v>-</v>
      </c>
      <c r="R929" s="686" t="str">
        <f t="shared" si="143"/>
        <v>-</v>
      </c>
      <c r="S929" s="686" t="str">
        <f t="shared" si="144"/>
        <v>-</v>
      </c>
      <c r="T929" s="686" t="str">
        <f t="shared" si="145"/>
        <v>-</v>
      </c>
      <c r="U929" s="723" t="str">
        <f t="shared" si="146"/>
        <v>-</v>
      </c>
      <c r="V929" s="695" t="str">
        <f t="shared" si="147"/>
        <v>-</v>
      </c>
      <c r="W929" s="711"/>
    </row>
    <row r="930" spans="1:23" ht="16.5" hidden="1" outlineLevel="1">
      <c r="A930" s="726"/>
      <c r="B930" s="726"/>
      <c r="C930" s="727"/>
      <c r="D930" s="690"/>
      <c r="E930" s="727"/>
      <c r="F930" s="685">
        <v>1</v>
      </c>
      <c r="G930" s="239"/>
      <c r="H930" s="203"/>
      <c r="I930" s="198"/>
      <c r="J930" s="198"/>
      <c r="K930" s="198"/>
      <c r="L930" s="198"/>
      <c r="M930" s="198"/>
      <c r="N930" s="721" t="str">
        <f t="shared" si="139"/>
        <v>-</v>
      </c>
      <c r="O930" s="721" t="str">
        <f t="shared" si="140"/>
        <v/>
      </c>
      <c r="P930" s="722" t="str">
        <f t="shared" si="141"/>
        <v>-</v>
      </c>
      <c r="Q930" s="686" t="str">
        <f t="shared" si="142"/>
        <v>-</v>
      </c>
      <c r="R930" s="686" t="str">
        <f t="shared" si="143"/>
        <v>-</v>
      </c>
      <c r="S930" s="686" t="str">
        <f t="shared" si="144"/>
        <v>-</v>
      </c>
      <c r="T930" s="686" t="str">
        <f t="shared" si="145"/>
        <v>-</v>
      </c>
      <c r="U930" s="723" t="str">
        <f t="shared" si="146"/>
        <v>-</v>
      </c>
      <c r="V930" s="695" t="str">
        <f t="shared" si="147"/>
        <v>-</v>
      </c>
      <c r="W930" s="711"/>
    </row>
    <row r="931" spans="1:23" ht="16.5" hidden="1" outlineLevel="1">
      <c r="A931" s="726">
        <v>8</v>
      </c>
      <c r="B931" s="730" t="s">
        <v>1578</v>
      </c>
      <c r="C931" s="727">
        <v>10</v>
      </c>
      <c r="D931" s="690"/>
      <c r="E931" s="720" t="s">
        <v>1557</v>
      </c>
      <c r="F931" s="685">
        <v>1</v>
      </c>
      <c r="G931" s="239">
        <v>1</v>
      </c>
      <c r="H931" s="203">
        <v>2</v>
      </c>
      <c r="I931" s="198">
        <f>C931*10</f>
        <v>100</v>
      </c>
      <c r="J931" s="840">
        <v>6645</v>
      </c>
      <c r="K931" s="198">
        <v>100</v>
      </c>
      <c r="L931" s="198"/>
      <c r="M931" s="198"/>
      <c r="N931" s="721">
        <f t="shared" si="139"/>
        <v>6805</v>
      </c>
      <c r="O931" s="721">
        <f t="shared" si="140"/>
        <v>0</v>
      </c>
      <c r="P931" s="722" t="str">
        <f t="shared" si="141"/>
        <v>-</v>
      </c>
      <c r="Q931" s="686">
        <f t="shared" si="142"/>
        <v>13.61</v>
      </c>
      <c r="R931" s="686" t="str">
        <f t="shared" si="143"/>
        <v>-</v>
      </c>
      <c r="S931" s="686" t="str">
        <f t="shared" si="144"/>
        <v>-</v>
      </c>
      <c r="T931" s="686" t="str">
        <f t="shared" si="145"/>
        <v>-</v>
      </c>
      <c r="U931" s="723" t="str">
        <f t="shared" si="146"/>
        <v>-</v>
      </c>
      <c r="V931" s="695" t="str">
        <f t="shared" si="147"/>
        <v>-</v>
      </c>
      <c r="W931" s="711"/>
    </row>
    <row r="932" spans="1:23" ht="16.5" hidden="1" outlineLevel="1">
      <c r="A932" s="726"/>
      <c r="B932" s="726" t="s">
        <v>393</v>
      </c>
      <c r="C932" s="727">
        <v>10</v>
      </c>
      <c r="D932" s="690"/>
      <c r="E932" s="720" t="s">
        <v>1557</v>
      </c>
      <c r="F932" s="685">
        <v>1</v>
      </c>
      <c r="G932" s="239">
        <v>1</v>
      </c>
      <c r="H932" s="203">
        <v>2</v>
      </c>
      <c r="I932" s="198">
        <f>C932*10</f>
        <v>100</v>
      </c>
      <c r="J932" s="840">
        <v>6645</v>
      </c>
      <c r="K932" s="198">
        <v>100</v>
      </c>
      <c r="L932" s="198"/>
      <c r="M932" s="198"/>
      <c r="N932" s="721">
        <f t="shared" si="139"/>
        <v>6805</v>
      </c>
      <c r="O932" s="721">
        <f t="shared" si="140"/>
        <v>0</v>
      </c>
      <c r="P932" s="722" t="str">
        <f t="shared" si="141"/>
        <v>-</v>
      </c>
      <c r="Q932" s="686">
        <f t="shared" si="142"/>
        <v>13.61</v>
      </c>
      <c r="R932" s="686" t="str">
        <f t="shared" si="143"/>
        <v>-</v>
      </c>
      <c r="S932" s="686" t="str">
        <f t="shared" si="144"/>
        <v>-</v>
      </c>
      <c r="T932" s="686" t="str">
        <f t="shared" si="145"/>
        <v>-</v>
      </c>
      <c r="U932" s="723" t="str">
        <f t="shared" si="146"/>
        <v>-</v>
      </c>
      <c r="V932" s="695" t="str">
        <f t="shared" si="147"/>
        <v>-</v>
      </c>
      <c r="W932" s="711"/>
    </row>
    <row r="933" spans="1:23" ht="16.5" hidden="1" outlineLevel="1">
      <c r="A933" s="726"/>
      <c r="B933" s="726" t="s">
        <v>394</v>
      </c>
      <c r="C933" s="727">
        <v>8</v>
      </c>
      <c r="D933" s="690"/>
      <c r="E933" s="691" t="s">
        <v>1558</v>
      </c>
      <c r="F933" s="685">
        <v>1</v>
      </c>
      <c r="G933" s="239">
        <v>1</v>
      </c>
      <c r="H933" s="203">
        <f>((J931-460)/200)+1</f>
        <v>31.925000000000001</v>
      </c>
      <c r="I933" s="198">
        <v>180</v>
      </c>
      <c r="J933" s="198">
        <v>150</v>
      </c>
      <c r="K933" s="198">
        <v>180</v>
      </c>
      <c r="L933" s="198">
        <v>150</v>
      </c>
      <c r="M933" s="198"/>
      <c r="N933" s="721">
        <f t="shared" si="139"/>
        <v>740</v>
      </c>
      <c r="O933" s="721">
        <f t="shared" si="140"/>
        <v>0</v>
      </c>
      <c r="P933" s="722">
        <f t="shared" si="141"/>
        <v>23.625</v>
      </c>
      <c r="Q933" s="686" t="str">
        <f t="shared" si="142"/>
        <v>-</v>
      </c>
      <c r="R933" s="686" t="str">
        <f t="shared" si="143"/>
        <v>-</v>
      </c>
      <c r="S933" s="686" t="str">
        <f t="shared" si="144"/>
        <v>-</v>
      </c>
      <c r="T933" s="686" t="str">
        <f t="shared" si="145"/>
        <v>-</v>
      </c>
      <c r="U933" s="723" t="str">
        <f t="shared" si="146"/>
        <v>-</v>
      </c>
      <c r="V933" s="695" t="str">
        <f t="shared" si="147"/>
        <v>-</v>
      </c>
      <c r="W933" s="711"/>
    </row>
    <row r="934" spans="1:23" ht="16.5" hidden="1" outlineLevel="1">
      <c r="A934" s="726"/>
      <c r="B934" s="726"/>
      <c r="C934" s="727"/>
      <c r="D934" s="690"/>
      <c r="E934" s="727"/>
      <c r="F934" s="685">
        <v>1</v>
      </c>
      <c r="G934" s="239"/>
      <c r="H934" s="203"/>
      <c r="I934" s="198"/>
      <c r="J934" s="198"/>
      <c r="K934" s="198"/>
      <c r="L934" s="198"/>
      <c r="M934" s="198"/>
      <c r="N934" s="721" t="str">
        <f t="shared" si="139"/>
        <v>-</v>
      </c>
      <c r="O934" s="721" t="str">
        <f t="shared" si="140"/>
        <v/>
      </c>
      <c r="P934" s="722" t="str">
        <f t="shared" si="141"/>
        <v>-</v>
      </c>
      <c r="Q934" s="686" t="str">
        <f t="shared" si="142"/>
        <v>-</v>
      </c>
      <c r="R934" s="686" t="str">
        <f t="shared" si="143"/>
        <v>-</v>
      </c>
      <c r="S934" s="686" t="str">
        <f t="shared" si="144"/>
        <v>-</v>
      </c>
      <c r="T934" s="686" t="str">
        <f t="shared" si="145"/>
        <v>-</v>
      </c>
      <c r="U934" s="723" t="str">
        <f t="shared" si="146"/>
        <v>-</v>
      </c>
      <c r="V934" s="695" t="str">
        <f t="shared" si="147"/>
        <v>-</v>
      </c>
      <c r="W934" s="711"/>
    </row>
    <row r="935" spans="1:23" ht="16.5" hidden="1" outlineLevel="1">
      <c r="A935" s="726">
        <v>9</v>
      </c>
      <c r="B935" s="730" t="s">
        <v>1579</v>
      </c>
      <c r="C935" s="727">
        <v>10</v>
      </c>
      <c r="D935" s="690"/>
      <c r="E935" s="720" t="s">
        <v>1557</v>
      </c>
      <c r="F935" s="685">
        <v>1</v>
      </c>
      <c r="G935" s="239">
        <v>1</v>
      </c>
      <c r="H935" s="203">
        <v>2</v>
      </c>
      <c r="I935" s="198">
        <f>C935*10</f>
        <v>100</v>
      </c>
      <c r="J935" s="840">
        <v>6445</v>
      </c>
      <c r="K935" s="198">
        <v>100</v>
      </c>
      <c r="L935" s="198"/>
      <c r="M935" s="198"/>
      <c r="N935" s="721">
        <f t="shared" si="139"/>
        <v>6605</v>
      </c>
      <c r="O935" s="721">
        <f t="shared" si="140"/>
        <v>0</v>
      </c>
      <c r="P935" s="722" t="str">
        <f t="shared" si="141"/>
        <v>-</v>
      </c>
      <c r="Q935" s="686">
        <f t="shared" si="142"/>
        <v>13.21</v>
      </c>
      <c r="R935" s="686" t="str">
        <f t="shared" si="143"/>
        <v>-</v>
      </c>
      <c r="S935" s="686" t="str">
        <f t="shared" si="144"/>
        <v>-</v>
      </c>
      <c r="T935" s="686" t="str">
        <f t="shared" si="145"/>
        <v>-</v>
      </c>
      <c r="U935" s="723" t="str">
        <f t="shared" si="146"/>
        <v>-</v>
      </c>
      <c r="V935" s="695" t="str">
        <f t="shared" si="147"/>
        <v>-</v>
      </c>
      <c r="W935" s="711"/>
    </row>
    <row r="936" spans="1:23" ht="16.5" hidden="1" outlineLevel="1">
      <c r="A936" s="726"/>
      <c r="B936" s="726" t="s">
        <v>393</v>
      </c>
      <c r="C936" s="727">
        <v>10</v>
      </c>
      <c r="D936" s="690"/>
      <c r="E936" s="720" t="s">
        <v>1557</v>
      </c>
      <c r="F936" s="685">
        <v>1</v>
      </c>
      <c r="G936" s="239">
        <v>1</v>
      </c>
      <c r="H936" s="203">
        <v>2</v>
      </c>
      <c r="I936" s="198">
        <f>C936*10</f>
        <v>100</v>
      </c>
      <c r="J936" s="840">
        <v>6445</v>
      </c>
      <c r="K936" s="198">
        <v>100</v>
      </c>
      <c r="L936" s="198"/>
      <c r="M936" s="198"/>
      <c r="N936" s="721">
        <f t="shared" si="139"/>
        <v>6605</v>
      </c>
      <c r="O936" s="721">
        <f t="shared" si="140"/>
        <v>0</v>
      </c>
      <c r="P936" s="722" t="str">
        <f t="shared" si="141"/>
        <v>-</v>
      </c>
      <c r="Q936" s="686">
        <f t="shared" si="142"/>
        <v>13.21</v>
      </c>
      <c r="R936" s="686" t="str">
        <f t="shared" si="143"/>
        <v>-</v>
      </c>
      <c r="S936" s="686" t="str">
        <f t="shared" si="144"/>
        <v>-</v>
      </c>
      <c r="T936" s="686" t="str">
        <f t="shared" si="145"/>
        <v>-</v>
      </c>
      <c r="U936" s="723" t="str">
        <f t="shared" si="146"/>
        <v>-</v>
      </c>
      <c r="V936" s="695" t="str">
        <f t="shared" si="147"/>
        <v>-</v>
      </c>
      <c r="W936" s="711"/>
    </row>
    <row r="937" spans="1:23" ht="16.5" hidden="1" outlineLevel="1">
      <c r="A937" s="726"/>
      <c r="B937" s="726" t="s">
        <v>394</v>
      </c>
      <c r="C937" s="727">
        <v>8</v>
      </c>
      <c r="D937" s="690"/>
      <c r="E937" s="691" t="s">
        <v>1558</v>
      </c>
      <c r="F937" s="685">
        <v>1</v>
      </c>
      <c r="G937" s="239">
        <v>1</v>
      </c>
      <c r="H937" s="203">
        <f>((J935-460)/200)+1</f>
        <v>30.925000000000001</v>
      </c>
      <c r="I937" s="198">
        <v>180</v>
      </c>
      <c r="J937" s="198">
        <v>150</v>
      </c>
      <c r="K937" s="198">
        <v>180</v>
      </c>
      <c r="L937" s="198">
        <v>150</v>
      </c>
      <c r="M937" s="198"/>
      <c r="N937" s="721">
        <f t="shared" si="139"/>
        <v>740</v>
      </c>
      <c r="O937" s="721">
        <f t="shared" si="140"/>
        <v>0</v>
      </c>
      <c r="P937" s="722">
        <f t="shared" si="141"/>
        <v>22.885000000000002</v>
      </c>
      <c r="Q937" s="686" t="str">
        <f t="shared" si="142"/>
        <v>-</v>
      </c>
      <c r="R937" s="686" t="str">
        <f t="shared" si="143"/>
        <v>-</v>
      </c>
      <c r="S937" s="686" t="str">
        <f t="shared" si="144"/>
        <v>-</v>
      </c>
      <c r="T937" s="686" t="str">
        <f t="shared" si="145"/>
        <v>-</v>
      </c>
      <c r="U937" s="723" t="str">
        <f t="shared" si="146"/>
        <v>-</v>
      </c>
      <c r="V937" s="695" t="str">
        <f t="shared" si="147"/>
        <v>-</v>
      </c>
      <c r="W937" s="711"/>
    </row>
    <row r="938" spans="1:23" ht="16.5" hidden="1" outlineLevel="1">
      <c r="A938" s="726"/>
      <c r="B938" s="726"/>
      <c r="C938" s="727"/>
      <c r="D938" s="690"/>
      <c r="E938" s="727"/>
      <c r="F938" s="685">
        <v>1</v>
      </c>
      <c r="G938" s="239"/>
      <c r="H938" s="203"/>
      <c r="I938" s="198"/>
      <c r="J938" s="198"/>
      <c r="K938" s="198"/>
      <c r="L938" s="198"/>
      <c r="M938" s="198"/>
      <c r="N938" s="721" t="str">
        <f t="shared" si="139"/>
        <v>-</v>
      </c>
      <c r="O938" s="721" t="str">
        <f t="shared" si="140"/>
        <v/>
      </c>
      <c r="P938" s="722" t="str">
        <f t="shared" si="141"/>
        <v>-</v>
      </c>
      <c r="Q938" s="686" t="str">
        <f t="shared" si="142"/>
        <v>-</v>
      </c>
      <c r="R938" s="686" t="str">
        <f t="shared" si="143"/>
        <v>-</v>
      </c>
      <c r="S938" s="686" t="str">
        <f t="shared" si="144"/>
        <v>-</v>
      </c>
      <c r="T938" s="686" t="str">
        <f t="shared" si="145"/>
        <v>-</v>
      </c>
      <c r="U938" s="723" t="str">
        <f t="shared" si="146"/>
        <v>-</v>
      </c>
      <c r="V938" s="695" t="str">
        <f t="shared" si="147"/>
        <v>-</v>
      </c>
      <c r="W938" s="711"/>
    </row>
    <row r="939" spans="1:23" ht="16.5" hidden="1" outlineLevel="1">
      <c r="A939" s="726">
        <v>10</v>
      </c>
      <c r="B939" s="730" t="s">
        <v>1579</v>
      </c>
      <c r="C939" s="727">
        <v>10</v>
      </c>
      <c r="D939" s="690"/>
      <c r="E939" s="720" t="s">
        <v>1557</v>
      </c>
      <c r="F939" s="685">
        <v>1</v>
      </c>
      <c r="G939" s="239">
        <v>1</v>
      </c>
      <c r="H939" s="203">
        <v>2</v>
      </c>
      <c r="I939" s="198">
        <f>C939*10</f>
        <v>100</v>
      </c>
      <c r="J939" s="840">
        <v>4950</v>
      </c>
      <c r="K939" s="198">
        <v>100</v>
      </c>
      <c r="L939" s="198"/>
      <c r="M939" s="198"/>
      <c r="N939" s="721">
        <f t="shared" si="139"/>
        <v>5110</v>
      </c>
      <c r="O939" s="721">
        <f t="shared" si="140"/>
        <v>0</v>
      </c>
      <c r="P939" s="722" t="str">
        <f t="shared" si="141"/>
        <v>-</v>
      </c>
      <c r="Q939" s="686">
        <f t="shared" si="142"/>
        <v>10.220000000000001</v>
      </c>
      <c r="R939" s="686" t="str">
        <f t="shared" si="143"/>
        <v>-</v>
      </c>
      <c r="S939" s="686" t="str">
        <f t="shared" si="144"/>
        <v>-</v>
      </c>
      <c r="T939" s="686" t="str">
        <f t="shared" si="145"/>
        <v>-</v>
      </c>
      <c r="U939" s="723" t="str">
        <f t="shared" si="146"/>
        <v>-</v>
      </c>
      <c r="V939" s="695" t="str">
        <f t="shared" si="147"/>
        <v>-</v>
      </c>
      <c r="W939" s="711"/>
    </row>
    <row r="940" spans="1:23" ht="16.5" hidden="1" outlineLevel="1">
      <c r="A940" s="726"/>
      <c r="B940" s="726" t="s">
        <v>393</v>
      </c>
      <c r="C940" s="727">
        <v>10</v>
      </c>
      <c r="D940" s="690"/>
      <c r="E940" s="720" t="s">
        <v>1557</v>
      </c>
      <c r="F940" s="685">
        <v>1</v>
      </c>
      <c r="G940" s="239">
        <v>1</v>
      </c>
      <c r="H940" s="203">
        <v>2</v>
      </c>
      <c r="I940" s="198">
        <f>C940*10</f>
        <v>100</v>
      </c>
      <c r="J940" s="840">
        <v>4950</v>
      </c>
      <c r="K940" s="198">
        <v>100</v>
      </c>
      <c r="L940" s="198"/>
      <c r="M940" s="198"/>
      <c r="N940" s="721">
        <f t="shared" si="139"/>
        <v>5110</v>
      </c>
      <c r="O940" s="721">
        <f t="shared" si="140"/>
        <v>0</v>
      </c>
      <c r="P940" s="722" t="str">
        <f t="shared" si="141"/>
        <v>-</v>
      </c>
      <c r="Q940" s="686">
        <f t="shared" si="142"/>
        <v>10.220000000000001</v>
      </c>
      <c r="R940" s="686" t="str">
        <f t="shared" si="143"/>
        <v>-</v>
      </c>
      <c r="S940" s="686" t="str">
        <f t="shared" si="144"/>
        <v>-</v>
      </c>
      <c r="T940" s="686" t="str">
        <f t="shared" si="145"/>
        <v>-</v>
      </c>
      <c r="U940" s="723" t="str">
        <f t="shared" si="146"/>
        <v>-</v>
      </c>
      <c r="V940" s="695" t="str">
        <f t="shared" si="147"/>
        <v>-</v>
      </c>
      <c r="W940" s="711"/>
    </row>
    <row r="941" spans="1:23" ht="16.5" hidden="1" outlineLevel="1">
      <c r="A941" s="726"/>
      <c r="B941" s="726" t="s">
        <v>394</v>
      </c>
      <c r="C941" s="727">
        <v>8</v>
      </c>
      <c r="D941" s="690"/>
      <c r="E941" s="691" t="s">
        <v>1558</v>
      </c>
      <c r="F941" s="685">
        <v>1</v>
      </c>
      <c r="G941" s="239">
        <v>1</v>
      </c>
      <c r="H941" s="203">
        <f>((J939-460)/200)+1</f>
        <v>23.45</v>
      </c>
      <c r="I941" s="198">
        <v>180</v>
      </c>
      <c r="J941" s="198">
        <v>150</v>
      </c>
      <c r="K941" s="198">
        <v>180</v>
      </c>
      <c r="L941" s="198">
        <v>150</v>
      </c>
      <c r="M941" s="198"/>
      <c r="N941" s="721">
        <f t="shared" si="139"/>
        <v>740</v>
      </c>
      <c r="O941" s="721">
        <f t="shared" si="140"/>
        <v>0</v>
      </c>
      <c r="P941" s="722">
        <f t="shared" si="141"/>
        <v>17.353000000000002</v>
      </c>
      <c r="Q941" s="686" t="str">
        <f t="shared" si="142"/>
        <v>-</v>
      </c>
      <c r="R941" s="686" t="str">
        <f t="shared" si="143"/>
        <v>-</v>
      </c>
      <c r="S941" s="686" t="str">
        <f t="shared" si="144"/>
        <v>-</v>
      </c>
      <c r="T941" s="686" t="str">
        <f t="shared" si="145"/>
        <v>-</v>
      </c>
      <c r="U941" s="723" t="str">
        <f t="shared" si="146"/>
        <v>-</v>
      </c>
      <c r="V941" s="695" t="str">
        <f t="shared" si="147"/>
        <v>-</v>
      </c>
      <c r="W941" s="711"/>
    </row>
    <row r="942" spans="1:23" ht="16.5" hidden="1" outlineLevel="1">
      <c r="A942" s="726"/>
      <c r="B942" s="726"/>
      <c r="C942" s="727"/>
      <c r="D942" s="690"/>
      <c r="E942" s="727"/>
      <c r="F942" s="685">
        <v>1</v>
      </c>
      <c r="G942" s="239"/>
      <c r="H942" s="203"/>
      <c r="I942" s="198"/>
      <c r="J942" s="198"/>
      <c r="K942" s="198"/>
      <c r="L942" s="198"/>
      <c r="M942" s="198"/>
      <c r="N942" s="721" t="str">
        <f t="shared" si="139"/>
        <v>-</v>
      </c>
      <c r="O942" s="721" t="str">
        <f t="shared" si="140"/>
        <v/>
      </c>
      <c r="P942" s="722" t="str">
        <f t="shared" si="141"/>
        <v>-</v>
      </c>
      <c r="Q942" s="686" t="str">
        <f t="shared" si="142"/>
        <v>-</v>
      </c>
      <c r="R942" s="686" t="str">
        <f t="shared" si="143"/>
        <v>-</v>
      </c>
      <c r="S942" s="686" t="str">
        <f t="shared" si="144"/>
        <v>-</v>
      </c>
      <c r="T942" s="686" t="str">
        <f t="shared" si="145"/>
        <v>-</v>
      </c>
      <c r="U942" s="723" t="str">
        <f t="shared" si="146"/>
        <v>-</v>
      </c>
      <c r="V942" s="695" t="str">
        <f t="shared" si="147"/>
        <v>-</v>
      </c>
      <c r="W942" s="711"/>
    </row>
    <row r="943" spans="1:23" ht="16.5" hidden="1" outlineLevel="1">
      <c r="A943" s="726">
        <v>11</v>
      </c>
      <c r="B943" s="730" t="s">
        <v>1579</v>
      </c>
      <c r="C943" s="727">
        <v>10</v>
      </c>
      <c r="D943" s="690"/>
      <c r="E943" s="720" t="s">
        <v>1557</v>
      </c>
      <c r="F943" s="685">
        <v>1</v>
      </c>
      <c r="G943" s="239">
        <v>1</v>
      </c>
      <c r="H943" s="203">
        <v>2</v>
      </c>
      <c r="I943" s="198">
        <f>C943*10</f>
        <v>100</v>
      </c>
      <c r="J943" s="840">
        <v>3700</v>
      </c>
      <c r="K943" s="198">
        <v>100</v>
      </c>
      <c r="L943" s="198"/>
      <c r="M943" s="198">
        <f>C943*10</f>
        <v>100</v>
      </c>
      <c r="N943" s="721">
        <f t="shared" si="139"/>
        <v>3860</v>
      </c>
      <c r="O943" s="721">
        <f t="shared" si="140"/>
        <v>0</v>
      </c>
      <c r="P943" s="722" t="str">
        <f t="shared" si="141"/>
        <v>-</v>
      </c>
      <c r="Q943" s="686">
        <f t="shared" si="142"/>
        <v>7.72</v>
      </c>
      <c r="R943" s="686" t="str">
        <f t="shared" si="143"/>
        <v>-</v>
      </c>
      <c r="S943" s="686" t="str">
        <f t="shared" si="144"/>
        <v>-</v>
      </c>
      <c r="T943" s="686" t="str">
        <f t="shared" si="145"/>
        <v>-</v>
      </c>
      <c r="U943" s="723" t="str">
        <f t="shared" si="146"/>
        <v>-</v>
      </c>
      <c r="V943" s="695" t="str">
        <f t="shared" si="147"/>
        <v>-</v>
      </c>
      <c r="W943" s="711"/>
    </row>
    <row r="944" spans="1:23" ht="16.5" hidden="1" outlineLevel="1">
      <c r="A944" s="726"/>
      <c r="B944" s="726" t="s">
        <v>393</v>
      </c>
      <c r="C944" s="727">
        <v>10</v>
      </c>
      <c r="D944" s="690"/>
      <c r="E944" s="720" t="s">
        <v>1557</v>
      </c>
      <c r="F944" s="685">
        <v>1</v>
      </c>
      <c r="G944" s="239">
        <v>1</v>
      </c>
      <c r="H944" s="203">
        <v>2</v>
      </c>
      <c r="I944" s="198">
        <f>C944*10</f>
        <v>100</v>
      </c>
      <c r="J944" s="840">
        <v>3700</v>
      </c>
      <c r="K944" s="198">
        <v>100</v>
      </c>
      <c r="L944" s="198"/>
      <c r="M944" s="198">
        <f>C944*10</f>
        <v>100</v>
      </c>
      <c r="N944" s="721">
        <f t="shared" si="139"/>
        <v>3860</v>
      </c>
      <c r="O944" s="721">
        <f t="shared" si="140"/>
        <v>0</v>
      </c>
      <c r="P944" s="722" t="str">
        <f t="shared" si="141"/>
        <v>-</v>
      </c>
      <c r="Q944" s="686">
        <f t="shared" si="142"/>
        <v>7.72</v>
      </c>
      <c r="R944" s="686" t="str">
        <f t="shared" si="143"/>
        <v>-</v>
      </c>
      <c r="S944" s="686" t="str">
        <f t="shared" si="144"/>
        <v>-</v>
      </c>
      <c r="T944" s="686" t="str">
        <f t="shared" si="145"/>
        <v>-</v>
      </c>
      <c r="U944" s="723" t="str">
        <f t="shared" si="146"/>
        <v>-</v>
      </c>
      <c r="V944" s="695" t="str">
        <f t="shared" si="147"/>
        <v>-</v>
      </c>
      <c r="W944" s="711"/>
    </row>
    <row r="945" spans="1:23" ht="16.5" hidden="1" outlineLevel="1">
      <c r="A945" s="726"/>
      <c r="B945" s="726" t="s">
        <v>394</v>
      </c>
      <c r="C945" s="727">
        <v>8</v>
      </c>
      <c r="D945" s="690"/>
      <c r="E945" s="691" t="s">
        <v>1558</v>
      </c>
      <c r="F945" s="685">
        <v>1</v>
      </c>
      <c r="G945" s="239">
        <v>1</v>
      </c>
      <c r="H945" s="203">
        <f>((J943-460)/200)+1</f>
        <v>17.2</v>
      </c>
      <c r="I945" s="198">
        <v>180</v>
      </c>
      <c r="J945" s="198">
        <v>150</v>
      </c>
      <c r="K945" s="198">
        <v>180</v>
      </c>
      <c r="L945" s="198">
        <v>150</v>
      </c>
      <c r="M945" s="198"/>
      <c r="N945" s="721">
        <f t="shared" si="139"/>
        <v>740</v>
      </c>
      <c r="O945" s="721">
        <f t="shared" si="140"/>
        <v>0</v>
      </c>
      <c r="P945" s="722">
        <f t="shared" si="141"/>
        <v>12.728</v>
      </c>
      <c r="Q945" s="686" t="str">
        <f t="shared" si="142"/>
        <v>-</v>
      </c>
      <c r="R945" s="686" t="str">
        <f t="shared" si="143"/>
        <v>-</v>
      </c>
      <c r="S945" s="686" t="str">
        <f t="shared" si="144"/>
        <v>-</v>
      </c>
      <c r="T945" s="686" t="str">
        <f t="shared" si="145"/>
        <v>-</v>
      </c>
      <c r="U945" s="723" t="str">
        <f t="shared" si="146"/>
        <v>-</v>
      </c>
      <c r="V945" s="695" t="str">
        <f t="shared" si="147"/>
        <v>-</v>
      </c>
      <c r="W945" s="711"/>
    </row>
    <row r="946" spans="1:23" ht="16.5" hidden="1" outlineLevel="1">
      <c r="A946" s="726"/>
      <c r="B946" s="726"/>
      <c r="C946" s="727"/>
      <c r="D946" s="690"/>
      <c r="E946" s="727"/>
      <c r="F946" s="685">
        <v>1</v>
      </c>
      <c r="G946" s="239"/>
      <c r="H946" s="203"/>
      <c r="I946" s="198"/>
      <c r="J946" s="198"/>
      <c r="K946" s="198"/>
      <c r="L946" s="198"/>
      <c r="M946" s="198"/>
      <c r="N946" s="721" t="str">
        <f t="shared" si="139"/>
        <v>-</v>
      </c>
      <c r="O946" s="721" t="str">
        <f t="shared" si="140"/>
        <v/>
      </c>
      <c r="P946" s="722" t="str">
        <f t="shared" si="141"/>
        <v>-</v>
      </c>
      <c r="Q946" s="686" t="str">
        <f t="shared" si="142"/>
        <v>-</v>
      </c>
      <c r="R946" s="686" t="str">
        <f t="shared" si="143"/>
        <v>-</v>
      </c>
      <c r="S946" s="686" t="str">
        <f t="shared" si="144"/>
        <v>-</v>
      </c>
      <c r="T946" s="686" t="str">
        <f t="shared" si="145"/>
        <v>-</v>
      </c>
      <c r="U946" s="723" t="str">
        <f t="shared" si="146"/>
        <v>-</v>
      </c>
      <c r="V946" s="695" t="str">
        <f t="shared" si="147"/>
        <v>-</v>
      </c>
      <c r="W946" s="711"/>
    </row>
    <row r="947" spans="1:23" ht="16.5" hidden="1" outlineLevel="1">
      <c r="A947" s="726">
        <v>12</v>
      </c>
      <c r="B947" s="730" t="s">
        <v>1579</v>
      </c>
      <c r="C947" s="727">
        <v>10</v>
      </c>
      <c r="D947" s="690"/>
      <c r="E947" s="720" t="s">
        <v>1557</v>
      </c>
      <c r="F947" s="685">
        <v>1</v>
      </c>
      <c r="G947" s="239">
        <v>12</v>
      </c>
      <c r="H947" s="203">
        <v>2</v>
      </c>
      <c r="I947" s="198">
        <f>C947*10</f>
        <v>100</v>
      </c>
      <c r="J947" s="840">
        <v>3395</v>
      </c>
      <c r="K947" s="198">
        <v>100</v>
      </c>
      <c r="L947" s="198"/>
      <c r="M947" s="198"/>
      <c r="N947" s="721">
        <f t="shared" si="139"/>
        <v>3555</v>
      </c>
      <c r="O947" s="721">
        <f t="shared" si="140"/>
        <v>0</v>
      </c>
      <c r="P947" s="722" t="str">
        <f t="shared" si="141"/>
        <v>-</v>
      </c>
      <c r="Q947" s="686">
        <f t="shared" si="142"/>
        <v>85.32</v>
      </c>
      <c r="R947" s="686" t="str">
        <f t="shared" si="143"/>
        <v>-</v>
      </c>
      <c r="S947" s="686" t="str">
        <f t="shared" si="144"/>
        <v>-</v>
      </c>
      <c r="T947" s="686" t="str">
        <f t="shared" si="145"/>
        <v>-</v>
      </c>
      <c r="U947" s="723" t="str">
        <f t="shared" si="146"/>
        <v>-</v>
      </c>
      <c r="V947" s="695" t="str">
        <f t="shared" si="147"/>
        <v>-</v>
      </c>
      <c r="W947" s="711"/>
    </row>
    <row r="948" spans="1:23" ht="16.5" hidden="1" outlineLevel="1">
      <c r="A948" s="726"/>
      <c r="B948" s="726" t="s">
        <v>393</v>
      </c>
      <c r="C948" s="727">
        <v>10</v>
      </c>
      <c r="D948" s="690"/>
      <c r="E948" s="720" t="s">
        <v>1557</v>
      </c>
      <c r="F948" s="685">
        <v>1</v>
      </c>
      <c r="G948" s="239">
        <v>12</v>
      </c>
      <c r="H948" s="203">
        <v>2</v>
      </c>
      <c r="I948" s="198">
        <f>C948*10</f>
        <v>100</v>
      </c>
      <c r="J948" s="840">
        <v>3395</v>
      </c>
      <c r="K948" s="198">
        <v>100</v>
      </c>
      <c r="L948" s="198"/>
      <c r="M948" s="198"/>
      <c r="N948" s="721">
        <f t="shared" si="139"/>
        <v>3555</v>
      </c>
      <c r="O948" s="721">
        <f t="shared" si="140"/>
        <v>0</v>
      </c>
      <c r="P948" s="722" t="str">
        <f t="shared" si="141"/>
        <v>-</v>
      </c>
      <c r="Q948" s="686">
        <f t="shared" si="142"/>
        <v>85.32</v>
      </c>
      <c r="R948" s="686" t="str">
        <f t="shared" si="143"/>
        <v>-</v>
      </c>
      <c r="S948" s="686" t="str">
        <f t="shared" si="144"/>
        <v>-</v>
      </c>
      <c r="T948" s="686" t="str">
        <f t="shared" si="145"/>
        <v>-</v>
      </c>
      <c r="U948" s="723" t="str">
        <f t="shared" si="146"/>
        <v>-</v>
      </c>
      <c r="V948" s="695" t="str">
        <f t="shared" si="147"/>
        <v>-</v>
      </c>
      <c r="W948" s="711"/>
    </row>
    <row r="949" spans="1:23" ht="16.5" hidden="1" outlineLevel="1">
      <c r="A949" s="726"/>
      <c r="B949" s="726" t="s">
        <v>394</v>
      </c>
      <c r="C949" s="727">
        <v>8</v>
      </c>
      <c r="D949" s="690"/>
      <c r="E949" s="691" t="s">
        <v>1558</v>
      </c>
      <c r="F949" s="685">
        <v>1</v>
      </c>
      <c r="G949" s="239">
        <v>1</v>
      </c>
      <c r="H949" s="203">
        <f>((J947-460)/200)+1</f>
        <v>15.675000000000001</v>
      </c>
      <c r="I949" s="198">
        <v>180</v>
      </c>
      <c r="J949" s="198">
        <v>150</v>
      </c>
      <c r="K949" s="198">
        <v>180</v>
      </c>
      <c r="L949" s="198">
        <v>150</v>
      </c>
      <c r="M949" s="198"/>
      <c r="N949" s="721">
        <f t="shared" si="139"/>
        <v>740</v>
      </c>
      <c r="O949" s="721">
        <f t="shared" si="140"/>
        <v>0</v>
      </c>
      <c r="P949" s="722">
        <f t="shared" si="141"/>
        <v>11.6</v>
      </c>
      <c r="Q949" s="686" t="str">
        <f t="shared" si="142"/>
        <v>-</v>
      </c>
      <c r="R949" s="686" t="str">
        <f t="shared" si="143"/>
        <v>-</v>
      </c>
      <c r="S949" s="686" t="str">
        <f t="shared" si="144"/>
        <v>-</v>
      </c>
      <c r="T949" s="686" t="str">
        <f t="shared" si="145"/>
        <v>-</v>
      </c>
      <c r="U949" s="723" t="str">
        <f t="shared" si="146"/>
        <v>-</v>
      </c>
      <c r="V949" s="695" t="str">
        <f t="shared" si="147"/>
        <v>-</v>
      </c>
      <c r="W949" s="711"/>
    </row>
    <row r="950" spans="1:23" ht="16.5" hidden="1" outlineLevel="1">
      <c r="A950" s="726"/>
      <c r="B950" s="726"/>
      <c r="C950" s="727"/>
      <c r="D950" s="690"/>
      <c r="E950" s="727"/>
      <c r="F950" s="685">
        <v>1</v>
      </c>
      <c r="G950" s="239"/>
      <c r="H950" s="203"/>
      <c r="I950" s="198"/>
      <c r="J950" s="198"/>
      <c r="K950" s="198"/>
      <c r="L950" s="198"/>
      <c r="M950" s="198"/>
      <c r="N950" s="721" t="str">
        <f t="shared" si="139"/>
        <v>-</v>
      </c>
      <c r="O950" s="721" t="str">
        <f t="shared" si="140"/>
        <v/>
      </c>
      <c r="P950" s="722" t="str">
        <f t="shared" si="141"/>
        <v>-</v>
      </c>
      <c r="Q950" s="686" t="str">
        <f t="shared" si="142"/>
        <v>-</v>
      </c>
      <c r="R950" s="686" t="str">
        <f t="shared" si="143"/>
        <v>-</v>
      </c>
      <c r="S950" s="686" t="str">
        <f t="shared" si="144"/>
        <v>-</v>
      </c>
      <c r="T950" s="686" t="str">
        <f t="shared" si="145"/>
        <v>-</v>
      </c>
      <c r="U950" s="723" t="str">
        <f t="shared" si="146"/>
        <v>-</v>
      </c>
      <c r="V950" s="695" t="str">
        <f t="shared" si="147"/>
        <v>-</v>
      </c>
      <c r="W950" s="711"/>
    </row>
    <row r="951" spans="1:23" ht="16.5" hidden="1" outlineLevel="1">
      <c r="A951" s="726">
        <v>12</v>
      </c>
      <c r="B951" s="730" t="s">
        <v>1579</v>
      </c>
      <c r="C951" s="727">
        <v>10</v>
      </c>
      <c r="D951" s="690"/>
      <c r="E951" s="720" t="s">
        <v>1557</v>
      </c>
      <c r="F951" s="685">
        <v>1</v>
      </c>
      <c r="G951" s="239">
        <v>1</v>
      </c>
      <c r="H951" s="203">
        <v>2</v>
      </c>
      <c r="I951" s="198">
        <f>C951*10</f>
        <v>100</v>
      </c>
      <c r="J951" s="840">
        <v>3395</v>
      </c>
      <c r="K951" s="198">
        <v>100</v>
      </c>
      <c r="L951" s="198"/>
      <c r="M951" s="198"/>
      <c r="N951" s="721">
        <f t="shared" si="139"/>
        <v>3555</v>
      </c>
      <c r="O951" s="721">
        <f t="shared" si="140"/>
        <v>0</v>
      </c>
      <c r="P951" s="722" t="str">
        <f t="shared" si="141"/>
        <v>-</v>
      </c>
      <c r="Q951" s="686">
        <f t="shared" si="142"/>
        <v>7.11</v>
      </c>
      <c r="R951" s="686" t="str">
        <f t="shared" si="143"/>
        <v>-</v>
      </c>
      <c r="S951" s="686" t="str">
        <f t="shared" si="144"/>
        <v>-</v>
      </c>
      <c r="T951" s="686" t="str">
        <f t="shared" si="145"/>
        <v>-</v>
      </c>
      <c r="U951" s="723" t="str">
        <f t="shared" si="146"/>
        <v>-</v>
      </c>
      <c r="V951" s="695" t="str">
        <f t="shared" si="147"/>
        <v>-</v>
      </c>
      <c r="W951" s="711"/>
    </row>
    <row r="952" spans="1:23" ht="16.5" hidden="1" outlineLevel="1">
      <c r="A952" s="726"/>
      <c r="B952" s="726" t="s">
        <v>393</v>
      </c>
      <c r="C952" s="727">
        <v>10</v>
      </c>
      <c r="D952" s="690"/>
      <c r="E952" s="720" t="s">
        <v>1557</v>
      </c>
      <c r="F952" s="685">
        <v>1</v>
      </c>
      <c r="G952" s="239">
        <v>1</v>
      </c>
      <c r="H952" s="203">
        <v>2</v>
      </c>
      <c r="I952" s="198">
        <f>C952*10</f>
        <v>100</v>
      </c>
      <c r="J952" s="840">
        <v>3395</v>
      </c>
      <c r="K952" s="198">
        <v>100</v>
      </c>
      <c r="L952" s="198"/>
      <c r="M952" s="198"/>
      <c r="N952" s="721">
        <f t="shared" si="139"/>
        <v>3555</v>
      </c>
      <c r="O952" s="721">
        <f t="shared" si="140"/>
        <v>0</v>
      </c>
      <c r="P952" s="722" t="str">
        <f t="shared" si="141"/>
        <v>-</v>
      </c>
      <c r="Q952" s="686">
        <f t="shared" si="142"/>
        <v>7.11</v>
      </c>
      <c r="R952" s="686" t="str">
        <f t="shared" si="143"/>
        <v>-</v>
      </c>
      <c r="S952" s="686" t="str">
        <f t="shared" si="144"/>
        <v>-</v>
      </c>
      <c r="T952" s="686" t="str">
        <f t="shared" si="145"/>
        <v>-</v>
      </c>
      <c r="U952" s="723" t="str">
        <f t="shared" si="146"/>
        <v>-</v>
      </c>
      <c r="V952" s="695" t="str">
        <f t="shared" si="147"/>
        <v>-</v>
      </c>
      <c r="W952" s="711"/>
    </row>
    <row r="953" spans="1:23" ht="16.5" hidden="1" outlineLevel="1">
      <c r="A953" s="726"/>
      <c r="B953" s="726" t="s">
        <v>394</v>
      </c>
      <c r="C953" s="727">
        <v>8</v>
      </c>
      <c r="D953" s="690"/>
      <c r="E953" s="691" t="s">
        <v>1558</v>
      </c>
      <c r="F953" s="685">
        <v>1</v>
      </c>
      <c r="G953" s="239">
        <v>1</v>
      </c>
      <c r="H953" s="203">
        <f>((J951-460)/200)+1</f>
        <v>15.675000000000001</v>
      </c>
      <c r="I953" s="198">
        <v>180</v>
      </c>
      <c r="J953" s="198">
        <v>150</v>
      </c>
      <c r="K953" s="198">
        <v>180</v>
      </c>
      <c r="L953" s="198">
        <v>150</v>
      </c>
      <c r="M953" s="198"/>
      <c r="N953" s="721">
        <f t="shared" si="139"/>
        <v>740</v>
      </c>
      <c r="O953" s="721">
        <f t="shared" si="140"/>
        <v>0</v>
      </c>
      <c r="P953" s="722">
        <f t="shared" si="141"/>
        <v>11.6</v>
      </c>
      <c r="Q953" s="686" t="str">
        <f t="shared" si="142"/>
        <v>-</v>
      </c>
      <c r="R953" s="686" t="str">
        <f t="shared" si="143"/>
        <v>-</v>
      </c>
      <c r="S953" s="686" t="str">
        <f t="shared" si="144"/>
        <v>-</v>
      </c>
      <c r="T953" s="686" t="str">
        <f t="shared" si="145"/>
        <v>-</v>
      </c>
      <c r="U953" s="723" t="str">
        <f t="shared" si="146"/>
        <v>-</v>
      </c>
      <c r="V953" s="695" t="str">
        <f t="shared" si="147"/>
        <v>-</v>
      </c>
      <c r="W953" s="711"/>
    </row>
    <row r="954" spans="1:23" ht="16.5" hidden="1" outlineLevel="1">
      <c r="A954" s="726"/>
      <c r="B954" s="726"/>
      <c r="C954" s="727"/>
      <c r="D954" s="690"/>
      <c r="E954" s="727"/>
      <c r="F954" s="685">
        <v>1</v>
      </c>
      <c r="G954" s="239"/>
      <c r="H954" s="203"/>
      <c r="I954" s="198"/>
      <c r="J954" s="198"/>
      <c r="K954" s="198"/>
      <c r="L954" s="198"/>
      <c r="M954" s="198"/>
      <c r="N954" s="721" t="str">
        <f t="shared" si="139"/>
        <v>-</v>
      </c>
      <c r="O954" s="721" t="str">
        <f t="shared" si="140"/>
        <v/>
      </c>
      <c r="P954" s="722" t="str">
        <f t="shared" si="141"/>
        <v>-</v>
      </c>
      <c r="Q954" s="686" t="str">
        <f t="shared" si="142"/>
        <v>-</v>
      </c>
      <c r="R954" s="686" t="str">
        <f t="shared" si="143"/>
        <v>-</v>
      </c>
      <c r="S954" s="686" t="str">
        <f t="shared" si="144"/>
        <v>-</v>
      </c>
      <c r="T954" s="686" t="str">
        <f t="shared" si="145"/>
        <v>-</v>
      </c>
      <c r="U954" s="723" t="str">
        <f t="shared" si="146"/>
        <v>-</v>
      </c>
      <c r="V954" s="695" t="str">
        <f t="shared" si="147"/>
        <v>-</v>
      </c>
      <c r="W954" s="711"/>
    </row>
    <row r="955" spans="1:23" ht="16.5" hidden="1" outlineLevel="1">
      <c r="A955" s="726">
        <v>13</v>
      </c>
      <c r="B955" s="730" t="s">
        <v>1579</v>
      </c>
      <c r="C955" s="727">
        <v>10</v>
      </c>
      <c r="D955" s="690"/>
      <c r="E955" s="720" t="s">
        <v>1557</v>
      </c>
      <c r="F955" s="685">
        <v>1</v>
      </c>
      <c r="G955" s="239">
        <v>1</v>
      </c>
      <c r="H955" s="203">
        <v>2</v>
      </c>
      <c r="I955" s="198">
        <f>C955*10</f>
        <v>100</v>
      </c>
      <c r="J955" s="198">
        <f>4675-50</f>
        <v>4625</v>
      </c>
      <c r="K955" s="198">
        <v>100</v>
      </c>
      <c r="L955" s="198"/>
      <c r="M955" s="198"/>
      <c r="N955" s="721">
        <f t="shared" si="139"/>
        <v>4785</v>
      </c>
      <c r="O955" s="721">
        <f t="shared" si="140"/>
        <v>0</v>
      </c>
      <c r="P955" s="722" t="str">
        <f t="shared" si="141"/>
        <v>-</v>
      </c>
      <c r="Q955" s="686">
        <f t="shared" si="142"/>
        <v>9.57</v>
      </c>
      <c r="R955" s="686" t="str">
        <f t="shared" si="143"/>
        <v>-</v>
      </c>
      <c r="S955" s="686" t="str">
        <f t="shared" si="144"/>
        <v>-</v>
      </c>
      <c r="T955" s="686" t="str">
        <f t="shared" si="145"/>
        <v>-</v>
      </c>
      <c r="U955" s="723" t="str">
        <f t="shared" si="146"/>
        <v>-</v>
      </c>
      <c r="V955" s="695" t="str">
        <f t="shared" si="147"/>
        <v>-</v>
      </c>
      <c r="W955" s="711"/>
    </row>
    <row r="956" spans="1:23" ht="16.5" hidden="1" outlineLevel="1">
      <c r="A956" s="726"/>
      <c r="B956" s="726" t="s">
        <v>393</v>
      </c>
      <c r="C956" s="727">
        <v>10</v>
      </c>
      <c r="D956" s="690"/>
      <c r="E956" s="720" t="s">
        <v>1557</v>
      </c>
      <c r="F956" s="685">
        <v>1</v>
      </c>
      <c r="G956" s="239">
        <v>1</v>
      </c>
      <c r="H956" s="203">
        <v>2</v>
      </c>
      <c r="I956" s="198">
        <f>C956*10</f>
        <v>100</v>
      </c>
      <c r="J956" s="198">
        <f>4675-50</f>
        <v>4625</v>
      </c>
      <c r="K956" s="198">
        <v>100</v>
      </c>
      <c r="L956" s="198"/>
      <c r="M956" s="198"/>
      <c r="N956" s="721">
        <f t="shared" si="139"/>
        <v>4785</v>
      </c>
      <c r="O956" s="721">
        <f t="shared" si="140"/>
        <v>0</v>
      </c>
      <c r="P956" s="722" t="str">
        <f t="shared" si="141"/>
        <v>-</v>
      </c>
      <c r="Q956" s="686">
        <f t="shared" si="142"/>
        <v>9.57</v>
      </c>
      <c r="R956" s="686" t="str">
        <f t="shared" si="143"/>
        <v>-</v>
      </c>
      <c r="S956" s="686" t="str">
        <f t="shared" si="144"/>
        <v>-</v>
      </c>
      <c r="T956" s="686" t="str">
        <f t="shared" si="145"/>
        <v>-</v>
      </c>
      <c r="U956" s="723" t="str">
        <f t="shared" si="146"/>
        <v>-</v>
      </c>
      <c r="V956" s="695" t="str">
        <f t="shared" si="147"/>
        <v>-</v>
      </c>
      <c r="W956" s="711"/>
    </row>
    <row r="957" spans="1:23" ht="16.5" hidden="1" outlineLevel="1">
      <c r="A957" s="726"/>
      <c r="B957" s="726" t="s">
        <v>394</v>
      </c>
      <c r="C957" s="727">
        <v>8</v>
      </c>
      <c r="D957" s="690"/>
      <c r="E957" s="691" t="s">
        <v>1558</v>
      </c>
      <c r="F957" s="685">
        <v>1</v>
      </c>
      <c r="G957" s="239">
        <v>1</v>
      </c>
      <c r="H957" s="203">
        <f>((J955-460)/200)+1</f>
        <v>21.824999999999999</v>
      </c>
      <c r="I957" s="198">
        <v>180</v>
      </c>
      <c r="J957" s="198">
        <v>150</v>
      </c>
      <c r="K957" s="198">
        <v>180</v>
      </c>
      <c r="L957" s="198">
        <v>150</v>
      </c>
      <c r="M957" s="198"/>
      <c r="N957" s="721">
        <f t="shared" si="139"/>
        <v>740</v>
      </c>
      <c r="O957" s="721">
        <f t="shared" si="140"/>
        <v>0</v>
      </c>
      <c r="P957" s="722">
        <f t="shared" si="141"/>
        <v>16.151</v>
      </c>
      <c r="Q957" s="686" t="str">
        <f t="shared" si="142"/>
        <v>-</v>
      </c>
      <c r="R957" s="686" t="str">
        <f t="shared" si="143"/>
        <v>-</v>
      </c>
      <c r="S957" s="686" t="str">
        <f t="shared" si="144"/>
        <v>-</v>
      </c>
      <c r="T957" s="686" t="str">
        <f t="shared" si="145"/>
        <v>-</v>
      </c>
      <c r="U957" s="723" t="str">
        <f t="shared" si="146"/>
        <v>-</v>
      </c>
      <c r="V957" s="695" t="str">
        <f t="shared" si="147"/>
        <v>-</v>
      </c>
      <c r="W957" s="711"/>
    </row>
    <row r="958" spans="1:23" ht="16.5" hidden="1" outlineLevel="1">
      <c r="A958" s="195"/>
      <c r="B958" s="172"/>
      <c r="C958" s="196"/>
      <c r="D958" s="685"/>
      <c r="E958" s="196"/>
      <c r="F958" s="685">
        <v>1</v>
      </c>
      <c r="G958" s="204"/>
      <c r="H958" s="203"/>
      <c r="I958" s="198"/>
      <c r="J958" s="198"/>
      <c r="K958" s="198"/>
      <c r="L958" s="198"/>
      <c r="M958" s="198"/>
      <c r="N958" s="721" t="str">
        <f t="shared" si="139"/>
        <v>-</v>
      </c>
      <c r="O958" s="721" t="str">
        <f t="shared" si="140"/>
        <v/>
      </c>
      <c r="P958" s="722" t="str">
        <f t="shared" si="141"/>
        <v>-</v>
      </c>
      <c r="Q958" s="686" t="str">
        <f t="shared" si="142"/>
        <v>-</v>
      </c>
      <c r="R958" s="686" t="str">
        <f t="shared" si="143"/>
        <v>-</v>
      </c>
      <c r="S958" s="686" t="str">
        <f t="shared" si="144"/>
        <v>-</v>
      </c>
      <c r="T958" s="686" t="str">
        <f t="shared" si="145"/>
        <v>-</v>
      </c>
      <c r="U958" s="723" t="str">
        <f t="shared" si="146"/>
        <v>-</v>
      </c>
      <c r="V958" s="695" t="str">
        <f t="shared" si="147"/>
        <v>-</v>
      </c>
      <c r="W958" s="711"/>
    </row>
    <row r="959" spans="1:23" ht="18.75" hidden="1" customHeight="1" outlineLevel="1">
      <c r="A959" s="726"/>
      <c r="B959" s="726"/>
      <c r="C959" s="727"/>
      <c r="D959" s="690"/>
      <c r="E959" s="727"/>
      <c r="F959" s="685">
        <v>1</v>
      </c>
      <c r="G959" s="239"/>
      <c r="H959" s="203"/>
      <c r="I959" s="198"/>
      <c r="J959" s="198"/>
      <c r="K959" s="198"/>
      <c r="L959" s="198"/>
      <c r="M959" s="198"/>
      <c r="N959" s="721" t="str">
        <f t="shared" si="139"/>
        <v>-</v>
      </c>
      <c r="O959" s="721" t="str">
        <f t="shared" si="140"/>
        <v/>
      </c>
      <c r="P959" s="722" t="str">
        <f t="shared" si="141"/>
        <v>-</v>
      </c>
      <c r="Q959" s="686" t="str">
        <f t="shared" si="142"/>
        <v>-</v>
      </c>
      <c r="R959" s="686" t="str">
        <f t="shared" si="143"/>
        <v>-</v>
      </c>
      <c r="S959" s="686" t="str">
        <f t="shared" si="144"/>
        <v>-</v>
      </c>
      <c r="T959" s="686" t="str">
        <f t="shared" si="145"/>
        <v>-</v>
      </c>
      <c r="U959" s="723" t="str">
        <f t="shared" si="146"/>
        <v>-</v>
      </c>
      <c r="V959" s="695" t="str">
        <f t="shared" si="147"/>
        <v>-</v>
      </c>
      <c r="W959" s="711"/>
    </row>
    <row r="960" spans="1:23" ht="16.5" hidden="1" outlineLevel="1">
      <c r="A960" s="207">
        <v>14</v>
      </c>
      <c r="B960" s="208" t="s">
        <v>1580</v>
      </c>
      <c r="C960" s="727">
        <v>12</v>
      </c>
      <c r="D960" s="690"/>
      <c r="E960" s="720" t="s">
        <v>1557</v>
      </c>
      <c r="F960" s="685">
        <v>1</v>
      </c>
      <c r="G960" s="239">
        <v>11</v>
      </c>
      <c r="H960" s="203">
        <v>3</v>
      </c>
      <c r="I960" s="198">
        <f>C960*10</f>
        <v>120</v>
      </c>
      <c r="J960" s="198">
        <f>3000-50</f>
        <v>2950</v>
      </c>
      <c r="K960" s="198">
        <v>120</v>
      </c>
      <c r="L960" s="198"/>
      <c r="M960" s="198"/>
      <c r="N960" s="721">
        <f t="shared" si="139"/>
        <v>3142</v>
      </c>
      <c r="O960" s="721">
        <f t="shared" si="140"/>
        <v>0</v>
      </c>
      <c r="P960" s="722" t="str">
        <f t="shared" si="141"/>
        <v>-</v>
      </c>
      <c r="Q960" s="686" t="str">
        <f t="shared" si="142"/>
        <v>-</v>
      </c>
      <c r="R960" s="686">
        <f t="shared" si="143"/>
        <v>103.68600000000001</v>
      </c>
      <c r="S960" s="686" t="str">
        <f t="shared" si="144"/>
        <v>-</v>
      </c>
      <c r="T960" s="686" t="str">
        <f t="shared" si="145"/>
        <v>-</v>
      </c>
      <c r="U960" s="723" t="str">
        <f t="shared" si="146"/>
        <v>-</v>
      </c>
      <c r="V960" s="695" t="str">
        <f t="shared" si="147"/>
        <v>-</v>
      </c>
      <c r="W960" s="711"/>
    </row>
    <row r="961" spans="1:23" ht="16.5" hidden="1" outlineLevel="1">
      <c r="A961" s="726"/>
      <c r="B961" s="726" t="s">
        <v>393</v>
      </c>
      <c r="C961" s="727">
        <v>12</v>
      </c>
      <c r="D961" s="690"/>
      <c r="E961" s="720" t="s">
        <v>1557</v>
      </c>
      <c r="F961" s="685">
        <v>1</v>
      </c>
      <c r="G961" s="239">
        <f>G960</f>
        <v>11</v>
      </c>
      <c r="H961" s="203">
        <v>3</v>
      </c>
      <c r="I961" s="198">
        <f>C961*10</f>
        <v>120</v>
      </c>
      <c r="J961" s="198">
        <f>3000-50</f>
        <v>2950</v>
      </c>
      <c r="K961" s="198">
        <v>120</v>
      </c>
      <c r="L961" s="198"/>
      <c r="M961" s="198"/>
      <c r="N961" s="721">
        <f t="shared" si="139"/>
        <v>3142</v>
      </c>
      <c r="O961" s="721">
        <f t="shared" si="140"/>
        <v>0</v>
      </c>
      <c r="P961" s="722" t="str">
        <f t="shared" si="141"/>
        <v>-</v>
      </c>
      <c r="Q961" s="686" t="str">
        <f t="shared" si="142"/>
        <v>-</v>
      </c>
      <c r="R961" s="686">
        <f t="shared" si="143"/>
        <v>103.68600000000001</v>
      </c>
      <c r="S961" s="686" t="str">
        <f t="shared" si="144"/>
        <v>-</v>
      </c>
      <c r="T961" s="686" t="str">
        <f t="shared" si="145"/>
        <v>-</v>
      </c>
      <c r="U961" s="723" t="str">
        <f t="shared" si="146"/>
        <v>-</v>
      </c>
      <c r="V961" s="695" t="str">
        <f t="shared" si="147"/>
        <v>-</v>
      </c>
      <c r="W961" s="711"/>
    </row>
    <row r="962" spans="1:23" ht="16.5" hidden="1" outlineLevel="1">
      <c r="A962" s="726"/>
      <c r="B962" s="726" t="s">
        <v>400</v>
      </c>
      <c r="C962" s="727">
        <v>8</v>
      </c>
      <c r="D962" s="690"/>
      <c r="E962" s="691" t="s">
        <v>1558</v>
      </c>
      <c r="F962" s="685">
        <v>1</v>
      </c>
      <c r="G962" s="239">
        <v>1</v>
      </c>
      <c r="H962" s="203">
        <f>((J960-460)/200)+1</f>
        <v>13.45</v>
      </c>
      <c r="I962" s="198">
        <v>335</v>
      </c>
      <c r="J962" s="198">
        <v>225</v>
      </c>
      <c r="K962" s="198">
        <v>335</v>
      </c>
      <c r="L962" s="198">
        <v>225</v>
      </c>
      <c r="M962" s="198"/>
      <c r="N962" s="721">
        <f t="shared" si="139"/>
        <v>1200</v>
      </c>
      <c r="O962" s="721">
        <f t="shared" si="140"/>
        <v>0</v>
      </c>
      <c r="P962" s="722">
        <f t="shared" si="141"/>
        <v>16.14</v>
      </c>
      <c r="Q962" s="686" t="str">
        <f t="shared" si="142"/>
        <v>-</v>
      </c>
      <c r="R962" s="686" t="str">
        <f t="shared" si="143"/>
        <v>-</v>
      </c>
      <c r="S962" s="686" t="str">
        <f t="shared" si="144"/>
        <v>-</v>
      </c>
      <c r="T962" s="686" t="str">
        <f t="shared" si="145"/>
        <v>-</v>
      </c>
      <c r="U962" s="723" t="str">
        <f t="shared" si="146"/>
        <v>-</v>
      </c>
      <c r="V962" s="695" t="str">
        <f t="shared" si="147"/>
        <v>-</v>
      </c>
      <c r="W962" s="711"/>
    </row>
    <row r="963" spans="1:23" ht="16.5" hidden="1" outlineLevel="1">
      <c r="A963" s="726"/>
      <c r="B963" s="726"/>
      <c r="C963" s="727"/>
      <c r="D963" s="690"/>
      <c r="E963" s="727"/>
      <c r="F963" s="685">
        <v>1</v>
      </c>
      <c r="G963" s="239"/>
      <c r="H963" s="203"/>
      <c r="I963" s="198"/>
      <c r="J963" s="198"/>
      <c r="K963" s="198"/>
      <c r="L963" s="198"/>
      <c r="M963" s="198"/>
      <c r="N963" s="721" t="str">
        <f t="shared" si="139"/>
        <v>-</v>
      </c>
      <c r="O963" s="721" t="str">
        <f t="shared" si="140"/>
        <v/>
      </c>
      <c r="P963" s="722" t="str">
        <f t="shared" si="141"/>
        <v>-</v>
      </c>
      <c r="Q963" s="686" t="str">
        <f t="shared" si="142"/>
        <v>-</v>
      </c>
      <c r="R963" s="686" t="str">
        <f t="shared" si="143"/>
        <v>-</v>
      </c>
      <c r="S963" s="686" t="str">
        <f t="shared" si="144"/>
        <v>-</v>
      </c>
      <c r="T963" s="686" t="str">
        <f t="shared" si="145"/>
        <v>-</v>
      </c>
      <c r="U963" s="723" t="str">
        <f t="shared" si="146"/>
        <v>-</v>
      </c>
      <c r="V963" s="695" t="str">
        <f t="shared" si="147"/>
        <v>-</v>
      </c>
      <c r="W963" s="711"/>
    </row>
    <row r="964" spans="1:23" ht="45.75" hidden="1" outlineLevel="1">
      <c r="A964" s="733" t="s">
        <v>35</v>
      </c>
      <c r="B964" s="729" t="s">
        <v>1581</v>
      </c>
      <c r="C964" s="196"/>
      <c r="D964" s="685"/>
      <c r="E964" s="196"/>
      <c r="F964" s="685">
        <v>1</v>
      </c>
      <c r="G964" s="204"/>
      <c r="H964" s="203"/>
      <c r="I964" s="198"/>
      <c r="J964" s="198"/>
      <c r="K964" s="198"/>
      <c r="L964" s="198"/>
      <c r="M964" s="198"/>
      <c r="N964" s="721" t="str">
        <f t="shared" si="139"/>
        <v>-</v>
      </c>
      <c r="O964" s="721" t="str">
        <f t="shared" si="140"/>
        <v/>
      </c>
      <c r="P964" s="722" t="str">
        <f t="shared" si="141"/>
        <v>-</v>
      </c>
      <c r="Q964" s="686" t="str">
        <f t="shared" si="142"/>
        <v>-</v>
      </c>
      <c r="R964" s="686" t="str">
        <f t="shared" si="143"/>
        <v>-</v>
      </c>
      <c r="S964" s="686" t="str">
        <f t="shared" si="144"/>
        <v>-</v>
      </c>
      <c r="T964" s="686" t="str">
        <f t="shared" si="145"/>
        <v>-</v>
      </c>
      <c r="U964" s="723" t="str">
        <f t="shared" si="146"/>
        <v>-</v>
      </c>
      <c r="V964" s="695" t="str">
        <f t="shared" si="147"/>
        <v>-</v>
      </c>
      <c r="W964" s="711"/>
    </row>
    <row r="965" spans="1:23" ht="16.5" hidden="1" outlineLevel="1">
      <c r="A965" s="195"/>
      <c r="B965" s="172"/>
      <c r="C965" s="196"/>
      <c r="D965" s="685"/>
      <c r="E965" s="196"/>
      <c r="F965" s="685">
        <v>1</v>
      </c>
      <c r="G965" s="204"/>
      <c r="H965" s="203"/>
      <c r="I965" s="198"/>
      <c r="J965" s="198"/>
      <c r="K965" s="198"/>
      <c r="L965" s="198"/>
      <c r="M965" s="198"/>
      <c r="N965" s="721" t="str">
        <f t="shared" si="139"/>
        <v>-</v>
      </c>
      <c r="O965" s="721" t="str">
        <f t="shared" si="140"/>
        <v/>
      </c>
      <c r="P965" s="722" t="str">
        <f t="shared" si="141"/>
        <v>-</v>
      </c>
      <c r="Q965" s="686" t="str">
        <f t="shared" si="142"/>
        <v>-</v>
      </c>
      <c r="R965" s="686" t="str">
        <f t="shared" si="143"/>
        <v>-</v>
      </c>
      <c r="S965" s="686" t="str">
        <f t="shared" si="144"/>
        <v>-</v>
      </c>
      <c r="T965" s="686" t="str">
        <f t="shared" si="145"/>
        <v>-</v>
      </c>
      <c r="U965" s="723" t="str">
        <f t="shared" si="146"/>
        <v>-</v>
      </c>
      <c r="V965" s="695" t="str">
        <f t="shared" si="147"/>
        <v>-</v>
      </c>
      <c r="W965" s="711"/>
    </row>
    <row r="966" spans="1:23" ht="33" hidden="1" outlineLevel="1">
      <c r="A966" s="195"/>
      <c r="B966" s="172" t="s">
        <v>1582</v>
      </c>
      <c r="C966" s="196"/>
      <c r="D966" s="685"/>
      <c r="E966" s="196"/>
      <c r="F966" s="685">
        <v>1</v>
      </c>
      <c r="G966" s="204"/>
      <c r="H966" s="203"/>
      <c r="I966" s="198"/>
      <c r="J966" s="198"/>
      <c r="K966" s="198"/>
      <c r="L966" s="198"/>
      <c r="M966" s="198"/>
      <c r="N966" s="721" t="str">
        <f t="shared" si="139"/>
        <v>-</v>
      </c>
      <c r="O966" s="721" t="str">
        <f t="shared" si="140"/>
        <v/>
      </c>
      <c r="P966" s="722" t="str">
        <f t="shared" si="141"/>
        <v>-</v>
      </c>
      <c r="Q966" s="686" t="str">
        <f t="shared" si="142"/>
        <v>-</v>
      </c>
      <c r="R966" s="686" t="str">
        <f t="shared" si="143"/>
        <v>-</v>
      </c>
      <c r="S966" s="686" t="str">
        <f t="shared" si="144"/>
        <v>-</v>
      </c>
      <c r="T966" s="686" t="str">
        <f t="shared" si="145"/>
        <v>-</v>
      </c>
      <c r="U966" s="723" t="str">
        <f t="shared" si="146"/>
        <v>-</v>
      </c>
      <c r="V966" s="695" t="str">
        <f t="shared" si="147"/>
        <v>-</v>
      </c>
      <c r="W966" s="711"/>
    </row>
    <row r="967" spans="1:23" ht="16.5" hidden="1" outlineLevel="1">
      <c r="A967" s="726">
        <v>1</v>
      </c>
      <c r="B967" s="730" t="s">
        <v>1579</v>
      </c>
      <c r="C967" s="727">
        <v>10</v>
      </c>
      <c r="D967" s="690"/>
      <c r="E967" s="720" t="s">
        <v>1557</v>
      </c>
      <c r="F967" s="685">
        <v>1</v>
      </c>
      <c r="G967" s="239">
        <v>2</v>
      </c>
      <c r="H967" s="203">
        <v>2</v>
      </c>
      <c r="I967" s="198">
        <f>C967*10</f>
        <v>100</v>
      </c>
      <c r="J967" s="198">
        <f>3820-50</f>
        <v>3770</v>
      </c>
      <c r="K967" s="198">
        <v>100</v>
      </c>
      <c r="L967" s="198"/>
      <c r="M967" s="198"/>
      <c r="N967" s="721">
        <f t="shared" si="139"/>
        <v>3930</v>
      </c>
      <c r="O967" s="721">
        <f t="shared" si="140"/>
        <v>0</v>
      </c>
      <c r="P967" s="722" t="str">
        <f t="shared" si="141"/>
        <v>-</v>
      </c>
      <c r="Q967" s="686">
        <f t="shared" si="142"/>
        <v>15.72</v>
      </c>
      <c r="R967" s="686" t="str">
        <f t="shared" si="143"/>
        <v>-</v>
      </c>
      <c r="S967" s="686" t="str">
        <f t="shared" si="144"/>
        <v>-</v>
      </c>
      <c r="T967" s="686" t="str">
        <f t="shared" si="145"/>
        <v>-</v>
      </c>
      <c r="U967" s="723" t="str">
        <f t="shared" si="146"/>
        <v>-</v>
      </c>
      <c r="V967" s="695" t="str">
        <f t="shared" si="147"/>
        <v>-</v>
      </c>
      <c r="W967" s="711"/>
    </row>
    <row r="968" spans="1:23" ht="16.5" hidden="1" outlineLevel="1">
      <c r="A968" s="726"/>
      <c r="B968" s="726" t="s">
        <v>393</v>
      </c>
      <c r="C968" s="727">
        <v>10</v>
      </c>
      <c r="D968" s="690"/>
      <c r="E968" s="720" t="s">
        <v>1557</v>
      </c>
      <c r="F968" s="685">
        <v>1</v>
      </c>
      <c r="G968" s="239">
        <v>2</v>
      </c>
      <c r="H968" s="203">
        <v>2</v>
      </c>
      <c r="I968" s="198">
        <f>C968*10</f>
        <v>100</v>
      </c>
      <c r="J968" s="198">
        <f>3820-50</f>
        <v>3770</v>
      </c>
      <c r="K968" s="198">
        <v>100</v>
      </c>
      <c r="L968" s="198"/>
      <c r="M968" s="198"/>
      <c r="N968" s="721">
        <f t="shared" si="139"/>
        <v>3930</v>
      </c>
      <c r="O968" s="721">
        <f t="shared" si="140"/>
        <v>0</v>
      </c>
      <c r="P968" s="722" t="str">
        <f t="shared" si="141"/>
        <v>-</v>
      </c>
      <c r="Q968" s="686">
        <f t="shared" si="142"/>
        <v>15.72</v>
      </c>
      <c r="R968" s="686" t="str">
        <f t="shared" si="143"/>
        <v>-</v>
      </c>
      <c r="S968" s="686" t="str">
        <f t="shared" si="144"/>
        <v>-</v>
      </c>
      <c r="T968" s="686" t="str">
        <f t="shared" si="145"/>
        <v>-</v>
      </c>
      <c r="U968" s="723" t="str">
        <f t="shared" si="146"/>
        <v>-</v>
      </c>
      <c r="V968" s="695" t="str">
        <f t="shared" si="147"/>
        <v>-</v>
      </c>
      <c r="W968" s="711"/>
    </row>
    <row r="969" spans="1:23" ht="16.5" hidden="1" outlineLevel="1">
      <c r="A969" s="726"/>
      <c r="B969" s="726" t="s">
        <v>394</v>
      </c>
      <c r="C969" s="727">
        <v>8</v>
      </c>
      <c r="D969" s="690"/>
      <c r="E969" s="691" t="s">
        <v>1558</v>
      </c>
      <c r="F969" s="685">
        <v>1</v>
      </c>
      <c r="G969" s="239">
        <v>1</v>
      </c>
      <c r="H969" s="203">
        <f>((J967-460)/200)+1</f>
        <v>17.55</v>
      </c>
      <c r="I969" s="198">
        <v>180</v>
      </c>
      <c r="J969" s="198">
        <v>150</v>
      </c>
      <c r="K969" s="198">
        <v>180</v>
      </c>
      <c r="L969" s="198">
        <v>150</v>
      </c>
      <c r="M969" s="198"/>
      <c r="N969" s="721">
        <f t="shared" si="139"/>
        <v>740</v>
      </c>
      <c r="O969" s="721">
        <f t="shared" si="140"/>
        <v>0</v>
      </c>
      <c r="P969" s="722">
        <f t="shared" si="141"/>
        <v>12.987</v>
      </c>
      <c r="Q969" s="686" t="str">
        <f t="shared" si="142"/>
        <v>-</v>
      </c>
      <c r="R969" s="686" t="str">
        <f t="shared" si="143"/>
        <v>-</v>
      </c>
      <c r="S969" s="686" t="str">
        <f t="shared" si="144"/>
        <v>-</v>
      </c>
      <c r="T969" s="686" t="str">
        <f t="shared" si="145"/>
        <v>-</v>
      </c>
      <c r="U969" s="723" t="str">
        <f t="shared" si="146"/>
        <v>-</v>
      </c>
      <c r="V969" s="695" t="str">
        <f t="shared" si="147"/>
        <v>-</v>
      </c>
      <c r="W969" s="711"/>
    </row>
    <row r="970" spans="1:23" ht="16.5" hidden="1" outlineLevel="1">
      <c r="A970" s="195"/>
      <c r="B970" s="172"/>
      <c r="C970" s="196"/>
      <c r="D970" s="685"/>
      <c r="E970" s="196"/>
      <c r="F970" s="685">
        <v>1</v>
      </c>
      <c r="G970" s="204"/>
      <c r="H970" s="203"/>
      <c r="I970" s="198"/>
      <c r="J970" s="198"/>
      <c r="K970" s="198"/>
      <c r="L970" s="198"/>
      <c r="M970" s="198"/>
      <c r="N970" s="721" t="str">
        <f t="shared" si="139"/>
        <v>-</v>
      </c>
      <c r="O970" s="721" t="str">
        <f t="shared" si="140"/>
        <v/>
      </c>
      <c r="P970" s="722" t="str">
        <f t="shared" si="141"/>
        <v>-</v>
      </c>
      <c r="Q970" s="686" t="str">
        <f t="shared" si="142"/>
        <v>-</v>
      </c>
      <c r="R970" s="686" t="str">
        <f t="shared" si="143"/>
        <v>-</v>
      </c>
      <c r="S970" s="686" t="str">
        <f t="shared" si="144"/>
        <v>-</v>
      </c>
      <c r="T970" s="686" t="str">
        <f t="shared" si="145"/>
        <v>-</v>
      </c>
      <c r="U970" s="723" t="str">
        <f t="shared" si="146"/>
        <v>-</v>
      </c>
      <c r="V970" s="695" t="str">
        <f t="shared" si="147"/>
        <v>-</v>
      </c>
      <c r="W970" s="711"/>
    </row>
    <row r="971" spans="1:23" ht="16.5" hidden="1" outlineLevel="1">
      <c r="A971" s="726">
        <v>2</v>
      </c>
      <c r="B971" s="730" t="s">
        <v>1579</v>
      </c>
      <c r="C971" s="727">
        <v>10</v>
      </c>
      <c r="D971" s="690"/>
      <c r="E971" s="720" t="s">
        <v>1557</v>
      </c>
      <c r="F971" s="685">
        <v>1</v>
      </c>
      <c r="G971" s="239">
        <v>2</v>
      </c>
      <c r="H971" s="203">
        <v>2</v>
      </c>
      <c r="I971" s="198">
        <f>C971*10</f>
        <v>100</v>
      </c>
      <c r="J971" s="198">
        <f>5955-50</f>
        <v>5905</v>
      </c>
      <c r="K971" s="198">
        <v>100</v>
      </c>
      <c r="L971" s="198"/>
      <c r="M971" s="198"/>
      <c r="N971" s="721">
        <f t="shared" si="139"/>
        <v>6065</v>
      </c>
      <c r="O971" s="721">
        <f t="shared" si="140"/>
        <v>0</v>
      </c>
      <c r="P971" s="722" t="str">
        <f t="shared" si="141"/>
        <v>-</v>
      </c>
      <c r="Q971" s="686">
        <f t="shared" si="142"/>
        <v>24.26</v>
      </c>
      <c r="R971" s="686" t="str">
        <f t="shared" si="143"/>
        <v>-</v>
      </c>
      <c r="S971" s="686" t="str">
        <f t="shared" si="144"/>
        <v>-</v>
      </c>
      <c r="T971" s="686" t="str">
        <f t="shared" si="145"/>
        <v>-</v>
      </c>
      <c r="U971" s="723" t="str">
        <f t="shared" si="146"/>
        <v>-</v>
      </c>
      <c r="V971" s="695" t="str">
        <f t="shared" si="147"/>
        <v>-</v>
      </c>
      <c r="W971" s="711"/>
    </row>
    <row r="972" spans="1:23" ht="16.5" hidden="1" outlineLevel="1">
      <c r="A972" s="726"/>
      <c r="B972" s="726" t="s">
        <v>393</v>
      </c>
      <c r="C972" s="727">
        <v>10</v>
      </c>
      <c r="D972" s="690"/>
      <c r="E972" s="720" t="s">
        <v>1557</v>
      </c>
      <c r="F972" s="685">
        <v>1</v>
      </c>
      <c r="G972" s="239">
        <v>2</v>
      </c>
      <c r="H972" s="203">
        <v>2</v>
      </c>
      <c r="I972" s="198">
        <f>C972*10</f>
        <v>100</v>
      </c>
      <c r="J972" s="198">
        <f>5955-50</f>
        <v>5905</v>
      </c>
      <c r="K972" s="198">
        <v>100</v>
      </c>
      <c r="L972" s="198"/>
      <c r="M972" s="198"/>
      <c r="N972" s="721">
        <f t="shared" si="139"/>
        <v>6065</v>
      </c>
      <c r="O972" s="721">
        <f t="shared" si="140"/>
        <v>0</v>
      </c>
      <c r="P972" s="722" t="str">
        <f t="shared" si="141"/>
        <v>-</v>
      </c>
      <c r="Q972" s="686">
        <f t="shared" si="142"/>
        <v>24.26</v>
      </c>
      <c r="R972" s="686" t="str">
        <f t="shared" si="143"/>
        <v>-</v>
      </c>
      <c r="S972" s="686" t="str">
        <f t="shared" si="144"/>
        <v>-</v>
      </c>
      <c r="T972" s="686" t="str">
        <f t="shared" si="145"/>
        <v>-</v>
      </c>
      <c r="U972" s="723" t="str">
        <f t="shared" si="146"/>
        <v>-</v>
      </c>
      <c r="V972" s="695" t="str">
        <f t="shared" si="147"/>
        <v>-</v>
      </c>
      <c r="W972" s="711"/>
    </row>
    <row r="973" spans="1:23" ht="16.5" hidden="1" outlineLevel="1">
      <c r="A973" s="726"/>
      <c r="B973" s="726" t="s">
        <v>394</v>
      </c>
      <c r="C973" s="727">
        <v>8</v>
      </c>
      <c r="D973" s="690"/>
      <c r="E973" s="691" t="s">
        <v>1558</v>
      </c>
      <c r="F973" s="685">
        <v>1</v>
      </c>
      <c r="G973" s="239">
        <v>1</v>
      </c>
      <c r="H973" s="203">
        <f>((J971-460)/200)+1</f>
        <v>28.225000000000001</v>
      </c>
      <c r="I973" s="198">
        <v>180</v>
      </c>
      <c r="J973" s="198">
        <v>150</v>
      </c>
      <c r="K973" s="198">
        <v>180</v>
      </c>
      <c r="L973" s="198">
        <v>150</v>
      </c>
      <c r="M973" s="198"/>
      <c r="N973" s="721">
        <f t="shared" si="139"/>
        <v>740</v>
      </c>
      <c r="O973" s="721">
        <f t="shared" si="140"/>
        <v>0</v>
      </c>
      <c r="P973" s="722">
        <f t="shared" si="141"/>
        <v>20.887</v>
      </c>
      <c r="Q973" s="686" t="str">
        <f t="shared" si="142"/>
        <v>-</v>
      </c>
      <c r="R973" s="686" t="str">
        <f t="shared" si="143"/>
        <v>-</v>
      </c>
      <c r="S973" s="686" t="str">
        <f t="shared" si="144"/>
        <v>-</v>
      </c>
      <c r="T973" s="686" t="str">
        <f t="shared" si="145"/>
        <v>-</v>
      </c>
      <c r="U973" s="723" t="str">
        <f t="shared" si="146"/>
        <v>-</v>
      </c>
      <c r="V973" s="695" t="str">
        <f t="shared" si="147"/>
        <v>-</v>
      </c>
      <c r="W973" s="711"/>
    </row>
    <row r="974" spans="1:23" ht="16.5" hidden="1" outlineLevel="1">
      <c r="A974" s="195"/>
      <c r="B974" s="172"/>
      <c r="C974" s="196"/>
      <c r="D974" s="685"/>
      <c r="E974" s="196"/>
      <c r="F974" s="685">
        <v>1</v>
      </c>
      <c r="G974" s="204"/>
      <c r="H974" s="203"/>
      <c r="I974" s="198"/>
      <c r="J974" s="198"/>
      <c r="K974" s="198"/>
      <c r="L974" s="198"/>
      <c r="M974" s="198"/>
      <c r="N974" s="721" t="str">
        <f t="shared" si="139"/>
        <v>-</v>
      </c>
      <c r="O974" s="721" t="str">
        <f t="shared" si="140"/>
        <v/>
      </c>
      <c r="P974" s="722" t="str">
        <f t="shared" si="141"/>
        <v>-</v>
      </c>
      <c r="Q974" s="686" t="str">
        <f t="shared" si="142"/>
        <v>-</v>
      </c>
      <c r="R974" s="686" t="str">
        <f t="shared" si="143"/>
        <v>-</v>
      </c>
      <c r="S974" s="686" t="str">
        <f t="shared" si="144"/>
        <v>-</v>
      </c>
      <c r="T974" s="686" t="str">
        <f t="shared" si="145"/>
        <v>-</v>
      </c>
      <c r="U974" s="723" t="str">
        <f t="shared" si="146"/>
        <v>-</v>
      </c>
      <c r="V974" s="695" t="str">
        <f t="shared" si="147"/>
        <v>-</v>
      </c>
      <c r="W974" s="711"/>
    </row>
    <row r="975" spans="1:23" ht="16.5" hidden="1" outlineLevel="1">
      <c r="A975" s="726">
        <v>3</v>
      </c>
      <c r="B975" s="730" t="s">
        <v>1579</v>
      </c>
      <c r="C975" s="727">
        <v>10</v>
      </c>
      <c r="D975" s="690"/>
      <c r="E975" s="720" t="s">
        <v>1557</v>
      </c>
      <c r="F975" s="685">
        <v>1</v>
      </c>
      <c r="G975" s="239">
        <v>2</v>
      </c>
      <c r="H975" s="203">
        <v>2</v>
      </c>
      <c r="I975" s="198">
        <f>C975*10</f>
        <v>100</v>
      </c>
      <c r="J975" s="840">
        <v>6820</v>
      </c>
      <c r="K975" s="198">
        <v>100</v>
      </c>
      <c r="L975" s="198"/>
      <c r="M975" s="198"/>
      <c r="N975" s="721">
        <f t="shared" si="139"/>
        <v>6980</v>
      </c>
      <c r="O975" s="721">
        <f t="shared" si="140"/>
        <v>0</v>
      </c>
      <c r="P975" s="722" t="str">
        <f t="shared" si="141"/>
        <v>-</v>
      </c>
      <c r="Q975" s="686">
        <f t="shared" si="142"/>
        <v>27.92</v>
      </c>
      <c r="R975" s="686" t="str">
        <f t="shared" si="143"/>
        <v>-</v>
      </c>
      <c r="S975" s="686" t="str">
        <f t="shared" si="144"/>
        <v>-</v>
      </c>
      <c r="T975" s="686" t="str">
        <f t="shared" si="145"/>
        <v>-</v>
      </c>
      <c r="U975" s="723" t="str">
        <f t="shared" si="146"/>
        <v>-</v>
      </c>
      <c r="V975" s="695" t="str">
        <f t="shared" si="147"/>
        <v>-</v>
      </c>
      <c r="W975" s="711"/>
    </row>
    <row r="976" spans="1:23" ht="16.5" hidden="1" outlineLevel="1">
      <c r="A976" s="726"/>
      <c r="B976" s="726" t="s">
        <v>393</v>
      </c>
      <c r="C976" s="727">
        <v>10</v>
      </c>
      <c r="D976" s="690"/>
      <c r="E976" s="720" t="s">
        <v>1557</v>
      </c>
      <c r="F976" s="685">
        <v>1</v>
      </c>
      <c r="G976" s="239">
        <v>2</v>
      </c>
      <c r="H976" s="203">
        <v>2</v>
      </c>
      <c r="I976" s="198">
        <f>C976*10</f>
        <v>100</v>
      </c>
      <c r="J976" s="840">
        <v>6820</v>
      </c>
      <c r="K976" s="198">
        <v>100</v>
      </c>
      <c r="L976" s="198"/>
      <c r="M976" s="198"/>
      <c r="N976" s="721">
        <f t="shared" si="139"/>
        <v>6980</v>
      </c>
      <c r="O976" s="721">
        <f t="shared" si="140"/>
        <v>0</v>
      </c>
      <c r="P976" s="722" t="str">
        <f t="shared" si="141"/>
        <v>-</v>
      </c>
      <c r="Q976" s="686">
        <f t="shared" si="142"/>
        <v>27.92</v>
      </c>
      <c r="R976" s="686" t="str">
        <f t="shared" si="143"/>
        <v>-</v>
      </c>
      <c r="S976" s="686" t="str">
        <f t="shared" si="144"/>
        <v>-</v>
      </c>
      <c r="T976" s="686" t="str">
        <f t="shared" si="145"/>
        <v>-</v>
      </c>
      <c r="U976" s="723" t="str">
        <f t="shared" si="146"/>
        <v>-</v>
      </c>
      <c r="V976" s="695" t="str">
        <f t="shared" si="147"/>
        <v>-</v>
      </c>
      <c r="W976" s="711"/>
    </row>
    <row r="977" spans="1:23" ht="16.5" hidden="1" outlineLevel="1">
      <c r="A977" s="726"/>
      <c r="B977" s="726" t="s">
        <v>394</v>
      </c>
      <c r="C977" s="727">
        <v>8</v>
      </c>
      <c r="D977" s="690"/>
      <c r="E977" s="691" t="s">
        <v>1558</v>
      </c>
      <c r="F977" s="685">
        <v>1</v>
      </c>
      <c r="G977" s="239">
        <v>1</v>
      </c>
      <c r="H977" s="203">
        <f>((J975-460)/200)+1</f>
        <v>32.799999999999997</v>
      </c>
      <c r="I977" s="198">
        <v>180</v>
      </c>
      <c r="J977" s="198">
        <v>150</v>
      </c>
      <c r="K977" s="198">
        <v>180</v>
      </c>
      <c r="L977" s="198">
        <v>150</v>
      </c>
      <c r="M977" s="198"/>
      <c r="N977" s="721">
        <f t="shared" si="139"/>
        <v>740</v>
      </c>
      <c r="O977" s="721">
        <f t="shared" si="140"/>
        <v>0</v>
      </c>
      <c r="P977" s="722">
        <f t="shared" si="141"/>
        <v>24.271999999999998</v>
      </c>
      <c r="Q977" s="686" t="str">
        <f t="shared" si="142"/>
        <v>-</v>
      </c>
      <c r="R977" s="686" t="str">
        <f t="shared" si="143"/>
        <v>-</v>
      </c>
      <c r="S977" s="686" t="str">
        <f t="shared" si="144"/>
        <v>-</v>
      </c>
      <c r="T977" s="686" t="str">
        <f t="shared" si="145"/>
        <v>-</v>
      </c>
      <c r="U977" s="723" t="str">
        <f t="shared" si="146"/>
        <v>-</v>
      </c>
      <c r="V977" s="695" t="str">
        <f t="shared" si="147"/>
        <v>-</v>
      </c>
      <c r="W977" s="711"/>
    </row>
    <row r="978" spans="1:23" ht="16.5" hidden="1" outlineLevel="1">
      <c r="A978" s="195"/>
      <c r="B978" s="172"/>
      <c r="C978" s="196"/>
      <c r="D978" s="685"/>
      <c r="E978" s="196"/>
      <c r="F978" s="685">
        <v>1</v>
      </c>
      <c r="G978" s="204"/>
      <c r="H978" s="203"/>
      <c r="I978" s="198"/>
      <c r="J978" s="198"/>
      <c r="K978" s="198"/>
      <c r="L978" s="198"/>
      <c r="M978" s="198"/>
      <c r="N978" s="721" t="str">
        <f t="shared" si="139"/>
        <v>-</v>
      </c>
      <c r="O978" s="721" t="str">
        <f t="shared" si="140"/>
        <v/>
      </c>
      <c r="P978" s="722" t="str">
        <f t="shared" si="141"/>
        <v>-</v>
      </c>
      <c r="Q978" s="686" t="str">
        <f t="shared" si="142"/>
        <v>-</v>
      </c>
      <c r="R978" s="686" t="str">
        <f t="shared" si="143"/>
        <v>-</v>
      </c>
      <c r="S978" s="686" t="str">
        <f t="shared" si="144"/>
        <v>-</v>
      </c>
      <c r="T978" s="686" t="str">
        <f t="shared" si="145"/>
        <v>-</v>
      </c>
      <c r="U978" s="723" t="str">
        <f t="shared" si="146"/>
        <v>-</v>
      </c>
      <c r="V978" s="695" t="str">
        <f t="shared" si="147"/>
        <v>-</v>
      </c>
      <c r="W978" s="711"/>
    </row>
    <row r="979" spans="1:23" ht="16.5" hidden="1" outlineLevel="1">
      <c r="A979" s="726">
        <v>3</v>
      </c>
      <c r="B979" s="730" t="s">
        <v>1579</v>
      </c>
      <c r="C979" s="727">
        <v>10</v>
      </c>
      <c r="D979" s="690"/>
      <c r="E979" s="720" t="s">
        <v>1557</v>
      </c>
      <c r="F979" s="685">
        <v>1</v>
      </c>
      <c r="G979" s="239">
        <v>2</v>
      </c>
      <c r="H979" s="203">
        <v>2</v>
      </c>
      <c r="I979" s="198">
        <f>C979*10</f>
        <v>100</v>
      </c>
      <c r="J979" s="198">
        <f>6260+230-50</f>
        <v>6440</v>
      </c>
      <c r="K979" s="198">
        <v>100</v>
      </c>
      <c r="L979" s="198"/>
      <c r="M979" s="198"/>
      <c r="N979" s="721">
        <f t="shared" si="139"/>
        <v>6600</v>
      </c>
      <c r="O979" s="721">
        <f t="shared" si="140"/>
        <v>0</v>
      </c>
      <c r="P979" s="722" t="str">
        <f t="shared" si="141"/>
        <v>-</v>
      </c>
      <c r="Q979" s="686">
        <f t="shared" si="142"/>
        <v>26.4</v>
      </c>
      <c r="R979" s="686" t="str">
        <f t="shared" si="143"/>
        <v>-</v>
      </c>
      <c r="S979" s="686" t="str">
        <f t="shared" si="144"/>
        <v>-</v>
      </c>
      <c r="T979" s="686" t="str">
        <f t="shared" si="145"/>
        <v>-</v>
      </c>
      <c r="U979" s="723" t="str">
        <f t="shared" si="146"/>
        <v>-</v>
      </c>
      <c r="V979" s="695" t="str">
        <f t="shared" si="147"/>
        <v>-</v>
      </c>
      <c r="W979" s="711"/>
    </row>
    <row r="980" spans="1:23" ht="16.5" hidden="1" outlineLevel="1">
      <c r="A980" s="726"/>
      <c r="B980" s="726" t="s">
        <v>393</v>
      </c>
      <c r="C980" s="727">
        <v>10</v>
      </c>
      <c r="D980" s="690"/>
      <c r="E980" s="720" t="s">
        <v>1557</v>
      </c>
      <c r="F980" s="685">
        <v>1</v>
      </c>
      <c r="G980" s="239">
        <v>2</v>
      </c>
      <c r="H980" s="203">
        <v>2</v>
      </c>
      <c r="I980" s="198">
        <f>C980*10</f>
        <v>100</v>
      </c>
      <c r="J980" s="198">
        <f>6260+230-50</f>
        <v>6440</v>
      </c>
      <c r="K980" s="198">
        <v>100</v>
      </c>
      <c r="L980" s="198"/>
      <c r="M980" s="198"/>
      <c r="N980" s="721">
        <f t="shared" si="139"/>
        <v>6600</v>
      </c>
      <c r="O980" s="721">
        <f t="shared" si="140"/>
        <v>0</v>
      </c>
      <c r="P980" s="722" t="str">
        <f t="shared" si="141"/>
        <v>-</v>
      </c>
      <c r="Q980" s="686">
        <f t="shared" si="142"/>
        <v>26.4</v>
      </c>
      <c r="R980" s="686" t="str">
        <f t="shared" si="143"/>
        <v>-</v>
      </c>
      <c r="S980" s="686" t="str">
        <f t="shared" si="144"/>
        <v>-</v>
      </c>
      <c r="T980" s="686" t="str">
        <f t="shared" si="145"/>
        <v>-</v>
      </c>
      <c r="U980" s="723" t="str">
        <f t="shared" si="146"/>
        <v>-</v>
      </c>
      <c r="V980" s="695" t="str">
        <f t="shared" si="147"/>
        <v>-</v>
      </c>
      <c r="W980" s="711"/>
    </row>
    <row r="981" spans="1:23" ht="16.5" hidden="1" outlineLevel="1">
      <c r="A981" s="726"/>
      <c r="B981" s="726" t="s">
        <v>394</v>
      </c>
      <c r="C981" s="727">
        <v>8</v>
      </c>
      <c r="D981" s="690"/>
      <c r="E981" s="691" t="s">
        <v>1558</v>
      </c>
      <c r="F981" s="685">
        <v>1</v>
      </c>
      <c r="G981" s="239">
        <v>1</v>
      </c>
      <c r="H981" s="203">
        <f>((J979-460)/200)+1</f>
        <v>30.9</v>
      </c>
      <c r="I981" s="198">
        <v>180</v>
      </c>
      <c r="J981" s="198">
        <v>150</v>
      </c>
      <c r="K981" s="198">
        <v>180</v>
      </c>
      <c r="L981" s="198">
        <v>150</v>
      </c>
      <c r="M981" s="198"/>
      <c r="N981" s="721">
        <f t="shared" si="139"/>
        <v>740</v>
      </c>
      <c r="O981" s="721">
        <f t="shared" si="140"/>
        <v>0</v>
      </c>
      <c r="P981" s="722">
        <f t="shared" si="141"/>
        <v>22.866</v>
      </c>
      <c r="Q981" s="686" t="str">
        <f t="shared" si="142"/>
        <v>-</v>
      </c>
      <c r="R981" s="686" t="str">
        <f t="shared" si="143"/>
        <v>-</v>
      </c>
      <c r="S981" s="686" t="str">
        <f t="shared" si="144"/>
        <v>-</v>
      </c>
      <c r="T981" s="686" t="str">
        <f t="shared" si="145"/>
        <v>-</v>
      </c>
      <c r="U981" s="723" t="str">
        <f t="shared" si="146"/>
        <v>-</v>
      </c>
      <c r="V981" s="695" t="str">
        <f t="shared" si="147"/>
        <v>-</v>
      </c>
      <c r="W981" s="711"/>
    </row>
    <row r="982" spans="1:23" ht="16.5" hidden="1" outlineLevel="1">
      <c r="A982" s="195"/>
      <c r="B982" s="172"/>
      <c r="C982" s="196"/>
      <c r="D982" s="685"/>
      <c r="E982" s="196"/>
      <c r="F982" s="685">
        <v>1</v>
      </c>
      <c r="G982" s="204"/>
      <c r="H982" s="203"/>
      <c r="I982" s="198"/>
      <c r="J982" s="198"/>
      <c r="K982" s="198"/>
      <c r="L982" s="198"/>
      <c r="M982" s="198"/>
      <c r="N982" s="721" t="str">
        <f t="shared" si="139"/>
        <v>-</v>
      </c>
      <c r="O982" s="721" t="str">
        <f t="shared" si="140"/>
        <v/>
      </c>
      <c r="P982" s="722" t="str">
        <f t="shared" si="141"/>
        <v>-</v>
      </c>
      <c r="Q982" s="686" t="str">
        <f t="shared" si="142"/>
        <v>-</v>
      </c>
      <c r="R982" s="686" t="str">
        <f t="shared" si="143"/>
        <v>-</v>
      </c>
      <c r="S982" s="686" t="str">
        <f t="shared" si="144"/>
        <v>-</v>
      </c>
      <c r="T982" s="686" t="str">
        <f t="shared" si="145"/>
        <v>-</v>
      </c>
      <c r="U982" s="723" t="str">
        <f t="shared" si="146"/>
        <v>-</v>
      </c>
      <c r="V982" s="695" t="str">
        <f t="shared" si="147"/>
        <v>-</v>
      </c>
      <c r="W982" s="711"/>
    </row>
    <row r="983" spans="1:23" ht="16.5" hidden="1" outlineLevel="1">
      <c r="A983" s="726">
        <v>3</v>
      </c>
      <c r="B983" s="730" t="s">
        <v>1579</v>
      </c>
      <c r="C983" s="727">
        <v>10</v>
      </c>
      <c r="D983" s="690"/>
      <c r="E983" s="720" t="s">
        <v>1557</v>
      </c>
      <c r="F983" s="685">
        <v>1</v>
      </c>
      <c r="G983" s="239">
        <v>5</v>
      </c>
      <c r="H983" s="203">
        <v>2</v>
      </c>
      <c r="I983" s="198">
        <f>C983*10</f>
        <v>100</v>
      </c>
      <c r="J983" s="198">
        <f>600+230+230-50</f>
        <v>1010</v>
      </c>
      <c r="K983" s="198">
        <v>100</v>
      </c>
      <c r="L983" s="198"/>
      <c r="M983" s="198"/>
      <c r="N983" s="721">
        <f t="shared" si="139"/>
        <v>1170</v>
      </c>
      <c r="O983" s="721">
        <f t="shared" si="140"/>
        <v>0</v>
      </c>
      <c r="P983" s="722" t="str">
        <f t="shared" si="141"/>
        <v>-</v>
      </c>
      <c r="Q983" s="686">
        <f t="shared" si="142"/>
        <v>11.7</v>
      </c>
      <c r="R983" s="686" t="str">
        <f t="shared" si="143"/>
        <v>-</v>
      </c>
      <c r="S983" s="686" t="str">
        <f t="shared" si="144"/>
        <v>-</v>
      </c>
      <c r="T983" s="686" t="str">
        <f t="shared" si="145"/>
        <v>-</v>
      </c>
      <c r="U983" s="723" t="str">
        <f t="shared" si="146"/>
        <v>-</v>
      </c>
      <c r="V983" s="695" t="str">
        <f t="shared" si="147"/>
        <v>-</v>
      </c>
      <c r="W983" s="711"/>
    </row>
    <row r="984" spans="1:23" ht="16.5" hidden="1" outlineLevel="1">
      <c r="A984" s="726"/>
      <c r="B984" s="726" t="s">
        <v>393</v>
      </c>
      <c r="C984" s="727">
        <v>10</v>
      </c>
      <c r="D984" s="690"/>
      <c r="E984" s="720" t="s">
        <v>1557</v>
      </c>
      <c r="F984" s="685">
        <v>1</v>
      </c>
      <c r="G984" s="239">
        <v>5</v>
      </c>
      <c r="H984" s="203">
        <v>2</v>
      </c>
      <c r="I984" s="198">
        <f>C984*10</f>
        <v>100</v>
      </c>
      <c r="J984" s="198">
        <f>600+230+230-50</f>
        <v>1010</v>
      </c>
      <c r="K984" s="198">
        <v>100</v>
      </c>
      <c r="L984" s="198"/>
      <c r="M984" s="198"/>
      <c r="N984" s="721">
        <f t="shared" si="139"/>
        <v>1170</v>
      </c>
      <c r="O984" s="721">
        <f t="shared" si="140"/>
        <v>0</v>
      </c>
      <c r="P984" s="722" t="str">
        <f t="shared" si="141"/>
        <v>-</v>
      </c>
      <c r="Q984" s="686">
        <f t="shared" si="142"/>
        <v>11.7</v>
      </c>
      <c r="R984" s="686" t="str">
        <f t="shared" si="143"/>
        <v>-</v>
      </c>
      <c r="S984" s="686" t="str">
        <f t="shared" si="144"/>
        <v>-</v>
      </c>
      <c r="T984" s="686" t="str">
        <f t="shared" si="145"/>
        <v>-</v>
      </c>
      <c r="U984" s="723" t="str">
        <f t="shared" si="146"/>
        <v>-</v>
      </c>
      <c r="V984" s="695" t="str">
        <f t="shared" si="147"/>
        <v>-</v>
      </c>
      <c r="W984" s="711"/>
    </row>
    <row r="985" spans="1:23" ht="16.5" hidden="1" outlineLevel="1">
      <c r="A985" s="726"/>
      <c r="B985" s="726" t="s">
        <v>394</v>
      </c>
      <c r="C985" s="727">
        <v>8</v>
      </c>
      <c r="D985" s="690"/>
      <c r="E985" s="691" t="s">
        <v>1558</v>
      </c>
      <c r="F985" s="685">
        <v>1</v>
      </c>
      <c r="G985" s="239">
        <v>1</v>
      </c>
      <c r="H985" s="203">
        <f>((J983-460)/200)+1</f>
        <v>3.75</v>
      </c>
      <c r="I985" s="198">
        <v>180</v>
      </c>
      <c r="J985" s="198">
        <v>150</v>
      </c>
      <c r="K985" s="198">
        <v>180</v>
      </c>
      <c r="L985" s="198">
        <v>150</v>
      </c>
      <c r="M985" s="198"/>
      <c r="N985" s="721">
        <f t="shared" si="139"/>
        <v>740</v>
      </c>
      <c r="O985" s="721">
        <f t="shared" si="140"/>
        <v>0</v>
      </c>
      <c r="P985" s="722">
        <f t="shared" si="141"/>
        <v>2.7749999999999999</v>
      </c>
      <c r="Q985" s="686" t="str">
        <f t="shared" si="142"/>
        <v>-</v>
      </c>
      <c r="R985" s="686" t="str">
        <f t="shared" si="143"/>
        <v>-</v>
      </c>
      <c r="S985" s="686" t="str">
        <f t="shared" si="144"/>
        <v>-</v>
      </c>
      <c r="T985" s="686" t="str">
        <f t="shared" si="145"/>
        <v>-</v>
      </c>
      <c r="U985" s="723" t="str">
        <f t="shared" si="146"/>
        <v>-</v>
      </c>
      <c r="V985" s="695" t="str">
        <f t="shared" si="147"/>
        <v>-</v>
      </c>
      <c r="W985" s="711"/>
    </row>
    <row r="986" spans="1:23" ht="16.5" hidden="1" outlineLevel="1">
      <c r="A986" s="195"/>
      <c r="B986" s="172"/>
      <c r="C986" s="196"/>
      <c r="D986" s="685"/>
      <c r="E986" s="196"/>
      <c r="F986" s="685">
        <v>1</v>
      </c>
      <c r="G986" s="204"/>
      <c r="H986" s="203"/>
      <c r="I986" s="198"/>
      <c r="J986" s="198"/>
      <c r="K986" s="198"/>
      <c r="L986" s="198"/>
      <c r="M986" s="198"/>
      <c r="N986" s="721" t="str">
        <f t="shared" ref="N986:N1049" si="148">IF(E986="L Shape",(I986+J986)-(C986*2*1),IF(E986="U Shape",(I986+J986+K986)-(C986*2*2),IF(E986="Rectangle",(I986+J986+K986+L986)+(C986*10*2)-(C986*2*5),IF(E986="Straight",J986-(C986*0),IF(E986="Chair",(I986+J986+K986+L986+M986)-(C986*2*4),IF(E986="U2 Shape",(I986+J986+K986+L986+M986)-(C986*2*4),IF(E986="U3 Shape",(I986+J986+K986+L986)-(C986*2*3),IF(E986="Z Shape",(I986+J986+K986)-(C986*2*2),IF(E986="Triangle",(I986+J986+K986)+(C986*10*2)-(C986*2*4),IF(E986="Trapezoid2",(I986+I986+J986+K986+K986+L986)+(C986*10*2)-(C986*2*7),IF(E986="Trapezoid",(I986+J986+K986+L986)+(C986*10*2)-(C986*2*5),IF(E986="Link",J986+(C986*10*2),IF(E986="U5 Shape",(I986+J986+K986+L986)-(C986*2*3),IF(E986="DU2 Shape",(I986+J986+K986+L986)-(C986*2*4),IF(E986="SU Shape",(I986+J986+K986)-(C986*2*2),"-")))))))))))))))</f>
        <v>-</v>
      </c>
      <c r="O986" s="721" t="str">
        <f t="shared" ref="O986:O1049" si="149">IF(N986&lt;12001,C986*49*0,IF(N986&lt;24001,C986*49*1,IF(N986&lt;36001,C986*49*2,IF(N986&lt;48001,C986*49*3,IF(N986&lt;60001,C986*49*4,IF(N986&lt;72001,(C986*49*5),IF(N986&lt;84001,(C986*49*6),IF(N986&lt;96001,(C986*49*7),IF(N986&lt;108001,(C986*49*8),IF(N986&lt;120001,(C986*49*9),IF(N986&lt;132001,(C986*49*10),IF(N986&lt;144001,(C986*49*11),""))))))))))))</f>
        <v/>
      </c>
      <c r="P986" s="722" t="str">
        <f t="shared" ref="P986:P1049" si="150">IF(C986=8,ROUND(((N986+O986)*F986*G986*H986)/1000,3),"-")</f>
        <v>-</v>
      </c>
      <c r="Q986" s="686" t="str">
        <f t="shared" ref="Q986:Q1049" si="151">IF(C986=10,ROUND(((N986+O986)*F986*G986*H986)/1000,3),"-")</f>
        <v>-</v>
      </c>
      <c r="R986" s="686" t="str">
        <f t="shared" ref="R986:R1049" si="152">IF(C986=12,ROUND(((N986+O986)*F986*G986*H986)/1000,3),"-")</f>
        <v>-</v>
      </c>
      <c r="S986" s="686" t="str">
        <f t="shared" ref="S986:S1049" si="153">IF(C986=16,ROUND(((N986+O986)*F986*G986*H986)/1000,3),"-")</f>
        <v>-</v>
      </c>
      <c r="T986" s="686" t="str">
        <f t="shared" ref="T986:T1049" si="154">IF(C986=20,ROUND(((N986+O986)*F986*G986*H986)/1000,3),"-")</f>
        <v>-</v>
      </c>
      <c r="U986" s="723" t="str">
        <f t="shared" ref="U986:U1049" si="155">IF(C986=25,ROUND(((N986+O986)*F986*G986*H986)/1000,3),"-")</f>
        <v>-</v>
      </c>
      <c r="V986" s="695" t="str">
        <f t="shared" ref="V986:V1049" si="156">IF(C986=32,ROUND(((N986+O986)*F986*G986*H986)/1000,3),"-")</f>
        <v>-</v>
      </c>
      <c r="W986" s="711"/>
    </row>
    <row r="987" spans="1:23" ht="45.75" hidden="1" outlineLevel="1">
      <c r="A987" s="733" t="s">
        <v>37</v>
      </c>
      <c r="B987" s="729" t="s">
        <v>1583</v>
      </c>
      <c r="C987" s="196"/>
      <c r="D987" s="685"/>
      <c r="E987" s="196"/>
      <c r="F987" s="685">
        <v>1</v>
      </c>
      <c r="G987" s="204"/>
      <c r="H987" s="203"/>
      <c r="I987" s="198"/>
      <c r="J987" s="198"/>
      <c r="K987" s="198"/>
      <c r="L987" s="198"/>
      <c r="M987" s="198"/>
      <c r="N987" s="721" t="str">
        <f t="shared" si="148"/>
        <v>-</v>
      </c>
      <c r="O987" s="721" t="str">
        <f t="shared" si="149"/>
        <v/>
      </c>
      <c r="P987" s="722" t="str">
        <f t="shared" si="150"/>
        <v>-</v>
      </c>
      <c r="Q987" s="686" t="str">
        <f t="shared" si="151"/>
        <v>-</v>
      </c>
      <c r="R987" s="686" t="str">
        <f t="shared" si="152"/>
        <v>-</v>
      </c>
      <c r="S987" s="686" t="str">
        <f t="shared" si="153"/>
        <v>-</v>
      </c>
      <c r="T987" s="686" t="str">
        <f t="shared" si="154"/>
        <v>-</v>
      </c>
      <c r="U987" s="723" t="str">
        <f t="shared" si="155"/>
        <v>-</v>
      </c>
      <c r="V987" s="695" t="str">
        <f t="shared" si="156"/>
        <v>-</v>
      </c>
      <c r="W987" s="711"/>
    </row>
    <row r="988" spans="1:23" ht="16.5" hidden="1" outlineLevel="1">
      <c r="A988" s="195"/>
      <c r="B988" s="172"/>
      <c r="C988" s="196"/>
      <c r="D988" s="685"/>
      <c r="E988" s="196"/>
      <c r="F988" s="685">
        <v>1</v>
      </c>
      <c r="G988" s="204"/>
      <c r="H988" s="203"/>
      <c r="I988" s="198"/>
      <c r="J988" s="198"/>
      <c r="K988" s="198"/>
      <c r="L988" s="198"/>
      <c r="M988" s="198"/>
      <c r="N988" s="721" t="str">
        <f t="shared" si="148"/>
        <v>-</v>
      </c>
      <c r="O988" s="721" t="str">
        <f t="shared" si="149"/>
        <v/>
      </c>
      <c r="P988" s="722" t="str">
        <f t="shared" si="150"/>
        <v>-</v>
      </c>
      <c r="Q988" s="686" t="str">
        <f t="shared" si="151"/>
        <v>-</v>
      </c>
      <c r="R988" s="686" t="str">
        <f t="shared" si="152"/>
        <v>-</v>
      </c>
      <c r="S988" s="686" t="str">
        <f t="shared" si="153"/>
        <v>-</v>
      </c>
      <c r="T988" s="686" t="str">
        <f t="shared" si="154"/>
        <v>-</v>
      </c>
      <c r="U988" s="723" t="str">
        <f t="shared" si="155"/>
        <v>-</v>
      </c>
      <c r="V988" s="695" t="str">
        <f t="shared" si="156"/>
        <v>-</v>
      </c>
      <c r="W988" s="711"/>
    </row>
    <row r="989" spans="1:23" ht="30.75" hidden="1" outlineLevel="1">
      <c r="A989" s="195"/>
      <c r="B989" s="734" t="s">
        <v>1584</v>
      </c>
      <c r="C989" s="196"/>
      <c r="D989" s="685"/>
      <c r="E989" s="196"/>
      <c r="F989" s="685">
        <v>1</v>
      </c>
      <c r="G989" s="204"/>
      <c r="H989" s="203"/>
      <c r="I989" s="198"/>
      <c r="J989" s="198"/>
      <c r="K989" s="198"/>
      <c r="L989" s="198"/>
      <c r="M989" s="198"/>
      <c r="N989" s="721" t="str">
        <f t="shared" si="148"/>
        <v>-</v>
      </c>
      <c r="O989" s="721" t="str">
        <f t="shared" si="149"/>
        <v/>
      </c>
      <c r="P989" s="722" t="str">
        <f t="shared" si="150"/>
        <v>-</v>
      </c>
      <c r="Q989" s="686" t="str">
        <f t="shared" si="151"/>
        <v>-</v>
      </c>
      <c r="R989" s="686" t="str">
        <f t="shared" si="152"/>
        <v>-</v>
      </c>
      <c r="S989" s="686" t="str">
        <f t="shared" si="153"/>
        <v>-</v>
      </c>
      <c r="T989" s="686" t="str">
        <f t="shared" si="154"/>
        <v>-</v>
      </c>
      <c r="U989" s="723" t="str">
        <f t="shared" si="155"/>
        <v>-</v>
      </c>
      <c r="V989" s="695" t="str">
        <f t="shared" si="156"/>
        <v>-</v>
      </c>
      <c r="W989" s="711"/>
    </row>
    <row r="990" spans="1:23" ht="16.5" hidden="1" outlineLevel="1">
      <c r="A990" s="726">
        <v>1</v>
      </c>
      <c r="B990" s="730" t="s">
        <v>1585</v>
      </c>
      <c r="C990" s="727">
        <v>10</v>
      </c>
      <c r="D990" s="690"/>
      <c r="E990" s="720" t="s">
        <v>1557</v>
      </c>
      <c r="F990" s="685">
        <v>1</v>
      </c>
      <c r="G990" s="239">
        <v>1</v>
      </c>
      <c r="H990" s="203">
        <v>2</v>
      </c>
      <c r="I990" s="198">
        <f>C990*10</f>
        <v>100</v>
      </c>
      <c r="J990" s="198">
        <f>4635-50</f>
        <v>4585</v>
      </c>
      <c r="K990" s="198">
        <v>100</v>
      </c>
      <c r="L990" s="198"/>
      <c r="M990" s="198"/>
      <c r="N990" s="721">
        <f t="shared" si="148"/>
        <v>4745</v>
      </c>
      <c r="O990" s="721">
        <f t="shared" si="149"/>
        <v>0</v>
      </c>
      <c r="P990" s="722" t="str">
        <f t="shared" si="150"/>
        <v>-</v>
      </c>
      <c r="Q990" s="686">
        <f t="shared" si="151"/>
        <v>9.49</v>
      </c>
      <c r="R990" s="686" t="str">
        <f t="shared" si="152"/>
        <v>-</v>
      </c>
      <c r="S990" s="686" t="str">
        <f t="shared" si="153"/>
        <v>-</v>
      </c>
      <c r="T990" s="686" t="str">
        <f t="shared" si="154"/>
        <v>-</v>
      </c>
      <c r="U990" s="723" t="str">
        <f t="shared" si="155"/>
        <v>-</v>
      </c>
      <c r="V990" s="695" t="str">
        <f t="shared" si="156"/>
        <v>-</v>
      </c>
      <c r="W990" s="711"/>
    </row>
    <row r="991" spans="1:23" ht="16.5" hidden="1" outlineLevel="1">
      <c r="A991" s="726"/>
      <c r="B991" s="726" t="s">
        <v>393</v>
      </c>
      <c r="C991" s="727">
        <v>10</v>
      </c>
      <c r="D991" s="690"/>
      <c r="E991" s="720" t="s">
        <v>1557</v>
      </c>
      <c r="F991" s="685">
        <v>1</v>
      </c>
      <c r="G991" s="239">
        <v>1</v>
      </c>
      <c r="H991" s="203">
        <v>2</v>
      </c>
      <c r="I991" s="198">
        <f>C991*10</f>
        <v>100</v>
      </c>
      <c r="J991" s="198">
        <f>4635-50</f>
        <v>4585</v>
      </c>
      <c r="K991" s="198">
        <v>100</v>
      </c>
      <c r="L991" s="198"/>
      <c r="M991" s="198"/>
      <c r="N991" s="721">
        <f t="shared" si="148"/>
        <v>4745</v>
      </c>
      <c r="O991" s="721">
        <f t="shared" si="149"/>
        <v>0</v>
      </c>
      <c r="P991" s="722" t="str">
        <f t="shared" si="150"/>
        <v>-</v>
      </c>
      <c r="Q991" s="686">
        <f t="shared" si="151"/>
        <v>9.49</v>
      </c>
      <c r="R991" s="686" t="str">
        <f t="shared" si="152"/>
        <v>-</v>
      </c>
      <c r="S991" s="686" t="str">
        <f t="shared" si="153"/>
        <v>-</v>
      </c>
      <c r="T991" s="686" t="str">
        <f t="shared" si="154"/>
        <v>-</v>
      </c>
      <c r="U991" s="723" t="str">
        <f t="shared" si="155"/>
        <v>-</v>
      </c>
      <c r="V991" s="695" t="str">
        <f t="shared" si="156"/>
        <v>-</v>
      </c>
      <c r="W991" s="711"/>
    </row>
    <row r="992" spans="1:23" ht="16.5" hidden="1" outlineLevel="1">
      <c r="A992" s="726"/>
      <c r="B992" s="726" t="s">
        <v>394</v>
      </c>
      <c r="C992" s="727">
        <v>8</v>
      </c>
      <c r="D992" s="690"/>
      <c r="E992" s="691" t="s">
        <v>1558</v>
      </c>
      <c r="F992" s="685">
        <v>1</v>
      </c>
      <c r="G992" s="239">
        <v>1</v>
      </c>
      <c r="H992" s="203">
        <f>((J990-460)/200)+1</f>
        <v>21.625</v>
      </c>
      <c r="I992" s="198">
        <v>180</v>
      </c>
      <c r="J992" s="198">
        <v>150</v>
      </c>
      <c r="K992" s="198">
        <v>180</v>
      </c>
      <c r="L992" s="198">
        <v>150</v>
      </c>
      <c r="M992" s="198"/>
      <c r="N992" s="721">
        <f t="shared" si="148"/>
        <v>740</v>
      </c>
      <c r="O992" s="721">
        <f t="shared" si="149"/>
        <v>0</v>
      </c>
      <c r="P992" s="722">
        <f t="shared" si="150"/>
        <v>16.003</v>
      </c>
      <c r="Q992" s="686" t="str">
        <f t="shared" si="151"/>
        <v>-</v>
      </c>
      <c r="R992" s="686" t="str">
        <f t="shared" si="152"/>
        <v>-</v>
      </c>
      <c r="S992" s="686" t="str">
        <f t="shared" si="153"/>
        <v>-</v>
      </c>
      <c r="T992" s="686" t="str">
        <f t="shared" si="154"/>
        <v>-</v>
      </c>
      <c r="U992" s="723" t="str">
        <f t="shared" si="155"/>
        <v>-</v>
      </c>
      <c r="V992" s="695" t="str">
        <f t="shared" si="156"/>
        <v>-</v>
      </c>
      <c r="W992" s="711"/>
    </row>
    <row r="993" spans="1:23" ht="16.5" hidden="1" outlineLevel="1">
      <c r="A993" s="195"/>
      <c r="B993" s="172"/>
      <c r="C993" s="196"/>
      <c r="D993" s="685"/>
      <c r="E993" s="196"/>
      <c r="F993" s="685">
        <v>1</v>
      </c>
      <c r="G993" s="204"/>
      <c r="H993" s="203"/>
      <c r="I993" s="198"/>
      <c r="J993" s="198"/>
      <c r="K993" s="198"/>
      <c r="L993" s="198"/>
      <c r="M993" s="198"/>
      <c r="N993" s="721" t="str">
        <f t="shared" si="148"/>
        <v>-</v>
      </c>
      <c r="O993" s="721" t="str">
        <f t="shared" si="149"/>
        <v/>
      </c>
      <c r="P993" s="722" t="str">
        <f t="shared" si="150"/>
        <v>-</v>
      </c>
      <c r="Q993" s="686" t="str">
        <f t="shared" si="151"/>
        <v>-</v>
      </c>
      <c r="R993" s="686" t="str">
        <f t="shared" si="152"/>
        <v>-</v>
      </c>
      <c r="S993" s="686" t="str">
        <f t="shared" si="153"/>
        <v>-</v>
      </c>
      <c r="T993" s="686" t="str">
        <f t="shared" si="154"/>
        <v>-</v>
      </c>
      <c r="U993" s="723" t="str">
        <f t="shared" si="155"/>
        <v>-</v>
      </c>
      <c r="V993" s="695" t="str">
        <f t="shared" si="156"/>
        <v>-</v>
      </c>
      <c r="W993" s="711"/>
    </row>
    <row r="994" spans="1:23" ht="16.5" hidden="1" outlineLevel="1">
      <c r="A994" s="726">
        <v>2</v>
      </c>
      <c r="B994" s="730" t="s">
        <v>1585</v>
      </c>
      <c r="C994" s="727">
        <v>10</v>
      </c>
      <c r="D994" s="690"/>
      <c r="E994" s="720" t="s">
        <v>1557</v>
      </c>
      <c r="F994" s="685">
        <v>1</v>
      </c>
      <c r="G994" s="239">
        <v>10</v>
      </c>
      <c r="H994" s="203">
        <v>2</v>
      </c>
      <c r="I994" s="198">
        <f>C994*10</f>
        <v>100</v>
      </c>
      <c r="J994" s="198">
        <f>7625-50</f>
        <v>7575</v>
      </c>
      <c r="K994" s="198">
        <v>100</v>
      </c>
      <c r="L994" s="198"/>
      <c r="M994" s="198"/>
      <c r="N994" s="721">
        <f t="shared" si="148"/>
        <v>7735</v>
      </c>
      <c r="O994" s="721">
        <f t="shared" si="149"/>
        <v>0</v>
      </c>
      <c r="P994" s="722" t="str">
        <f t="shared" si="150"/>
        <v>-</v>
      </c>
      <c r="Q994" s="686">
        <f t="shared" si="151"/>
        <v>154.69999999999999</v>
      </c>
      <c r="R994" s="686" t="str">
        <f t="shared" si="152"/>
        <v>-</v>
      </c>
      <c r="S994" s="686" t="str">
        <f t="shared" si="153"/>
        <v>-</v>
      </c>
      <c r="T994" s="686" t="str">
        <f t="shared" si="154"/>
        <v>-</v>
      </c>
      <c r="U994" s="723" t="str">
        <f t="shared" si="155"/>
        <v>-</v>
      </c>
      <c r="V994" s="695" t="str">
        <f t="shared" si="156"/>
        <v>-</v>
      </c>
      <c r="W994" s="711"/>
    </row>
    <row r="995" spans="1:23" ht="16.5" hidden="1" outlineLevel="1">
      <c r="A995" s="726"/>
      <c r="B995" s="726" t="s">
        <v>393</v>
      </c>
      <c r="C995" s="727">
        <v>10</v>
      </c>
      <c r="D995" s="690"/>
      <c r="E995" s="720" t="s">
        <v>1557</v>
      </c>
      <c r="F995" s="685">
        <v>1</v>
      </c>
      <c r="G995" s="239">
        <v>10</v>
      </c>
      <c r="H995" s="203">
        <v>2</v>
      </c>
      <c r="I995" s="198">
        <f>C995*10</f>
        <v>100</v>
      </c>
      <c r="J995" s="198">
        <f>7625-50</f>
        <v>7575</v>
      </c>
      <c r="K995" s="198">
        <v>100</v>
      </c>
      <c r="L995" s="198"/>
      <c r="M995" s="198"/>
      <c r="N995" s="721">
        <f t="shared" si="148"/>
        <v>7735</v>
      </c>
      <c r="O995" s="721">
        <f t="shared" si="149"/>
        <v>0</v>
      </c>
      <c r="P995" s="722" t="str">
        <f t="shared" si="150"/>
        <v>-</v>
      </c>
      <c r="Q995" s="686">
        <f t="shared" si="151"/>
        <v>154.69999999999999</v>
      </c>
      <c r="R995" s="686" t="str">
        <f t="shared" si="152"/>
        <v>-</v>
      </c>
      <c r="S995" s="686" t="str">
        <f t="shared" si="153"/>
        <v>-</v>
      </c>
      <c r="T995" s="686" t="str">
        <f t="shared" si="154"/>
        <v>-</v>
      </c>
      <c r="U995" s="723" t="str">
        <f t="shared" si="155"/>
        <v>-</v>
      </c>
      <c r="V995" s="695" t="str">
        <f t="shared" si="156"/>
        <v>-</v>
      </c>
      <c r="W995" s="711"/>
    </row>
    <row r="996" spans="1:23" ht="16.5" hidden="1" outlineLevel="1">
      <c r="A996" s="726"/>
      <c r="B996" s="726" t="s">
        <v>394</v>
      </c>
      <c r="C996" s="727">
        <v>8</v>
      </c>
      <c r="D996" s="690"/>
      <c r="E996" s="691" t="s">
        <v>1558</v>
      </c>
      <c r="F996" s="685">
        <v>1</v>
      </c>
      <c r="G996" s="239">
        <v>1</v>
      </c>
      <c r="H996" s="203">
        <f>((J994-460)/200)+1</f>
        <v>36.575000000000003</v>
      </c>
      <c r="I996" s="198">
        <v>180</v>
      </c>
      <c r="J996" s="198">
        <v>150</v>
      </c>
      <c r="K996" s="198">
        <v>180</v>
      </c>
      <c r="L996" s="198">
        <v>150</v>
      </c>
      <c r="M996" s="198"/>
      <c r="N996" s="721">
        <f t="shared" si="148"/>
        <v>740</v>
      </c>
      <c r="O996" s="721">
        <f t="shared" si="149"/>
        <v>0</v>
      </c>
      <c r="P996" s="722">
        <f t="shared" si="150"/>
        <v>27.065999999999999</v>
      </c>
      <c r="Q996" s="686" t="str">
        <f t="shared" si="151"/>
        <v>-</v>
      </c>
      <c r="R996" s="686" t="str">
        <f t="shared" si="152"/>
        <v>-</v>
      </c>
      <c r="S996" s="686" t="str">
        <f t="shared" si="153"/>
        <v>-</v>
      </c>
      <c r="T996" s="686" t="str">
        <f t="shared" si="154"/>
        <v>-</v>
      </c>
      <c r="U996" s="723" t="str">
        <f t="shared" si="155"/>
        <v>-</v>
      </c>
      <c r="V996" s="695" t="str">
        <f t="shared" si="156"/>
        <v>-</v>
      </c>
      <c r="W996" s="711"/>
    </row>
    <row r="997" spans="1:23" ht="16.5" hidden="1" outlineLevel="1">
      <c r="A997" s="195"/>
      <c r="B997" s="172"/>
      <c r="C997" s="196"/>
      <c r="D997" s="685"/>
      <c r="E997" s="196"/>
      <c r="F997" s="685">
        <v>1</v>
      </c>
      <c r="G997" s="204"/>
      <c r="H997" s="203"/>
      <c r="I997" s="198"/>
      <c r="J997" s="198"/>
      <c r="K997" s="198"/>
      <c r="L997" s="198"/>
      <c r="M997" s="198"/>
      <c r="N997" s="721" t="str">
        <f t="shared" si="148"/>
        <v>-</v>
      </c>
      <c r="O997" s="721" t="str">
        <f t="shared" si="149"/>
        <v/>
      </c>
      <c r="P997" s="722" t="str">
        <f t="shared" si="150"/>
        <v>-</v>
      </c>
      <c r="Q997" s="686" t="str">
        <f t="shared" si="151"/>
        <v>-</v>
      </c>
      <c r="R997" s="686" t="str">
        <f t="shared" si="152"/>
        <v>-</v>
      </c>
      <c r="S997" s="686" t="str">
        <f t="shared" si="153"/>
        <v>-</v>
      </c>
      <c r="T997" s="686" t="str">
        <f t="shared" si="154"/>
        <v>-</v>
      </c>
      <c r="U997" s="723" t="str">
        <f t="shared" si="155"/>
        <v>-</v>
      </c>
      <c r="V997" s="695" t="str">
        <f t="shared" si="156"/>
        <v>-</v>
      </c>
      <c r="W997" s="711"/>
    </row>
    <row r="998" spans="1:23" ht="16.5" hidden="1" outlineLevel="1">
      <c r="A998" s="726">
        <v>3</v>
      </c>
      <c r="B998" s="730" t="s">
        <v>1585</v>
      </c>
      <c r="C998" s="727">
        <v>10</v>
      </c>
      <c r="D998" s="690"/>
      <c r="E998" s="720" t="s">
        <v>1557</v>
      </c>
      <c r="F998" s="685">
        <v>1</v>
      </c>
      <c r="G998" s="239">
        <v>1</v>
      </c>
      <c r="H998" s="203">
        <v>2</v>
      </c>
      <c r="I998" s="198">
        <f>C998*10</f>
        <v>100</v>
      </c>
      <c r="J998" s="840">
        <v>9785</v>
      </c>
      <c r="K998" s="198">
        <v>100</v>
      </c>
      <c r="L998" s="198"/>
      <c r="M998" s="198"/>
      <c r="N998" s="721">
        <f t="shared" si="148"/>
        <v>9945</v>
      </c>
      <c r="O998" s="721">
        <f t="shared" si="149"/>
        <v>0</v>
      </c>
      <c r="P998" s="722" t="str">
        <f t="shared" si="150"/>
        <v>-</v>
      </c>
      <c r="Q998" s="686">
        <f t="shared" si="151"/>
        <v>19.89</v>
      </c>
      <c r="R998" s="686" t="str">
        <f t="shared" si="152"/>
        <v>-</v>
      </c>
      <c r="S998" s="686" t="str">
        <f t="shared" si="153"/>
        <v>-</v>
      </c>
      <c r="T998" s="686" t="str">
        <f t="shared" si="154"/>
        <v>-</v>
      </c>
      <c r="U998" s="723" t="str">
        <f t="shared" si="155"/>
        <v>-</v>
      </c>
      <c r="V998" s="695" t="str">
        <f t="shared" si="156"/>
        <v>-</v>
      </c>
      <c r="W998" s="711"/>
    </row>
    <row r="999" spans="1:23" ht="16.5" hidden="1" outlineLevel="1">
      <c r="A999" s="726"/>
      <c r="B999" s="726" t="s">
        <v>393</v>
      </c>
      <c r="C999" s="727">
        <v>10</v>
      </c>
      <c r="D999" s="690"/>
      <c r="E999" s="720" t="s">
        <v>1557</v>
      </c>
      <c r="F999" s="685">
        <v>1</v>
      </c>
      <c r="G999" s="239">
        <v>1</v>
      </c>
      <c r="H999" s="203">
        <v>2</v>
      </c>
      <c r="I999" s="198">
        <f>C999*10</f>
        <v>100</v>
      </c>
      <c r="J999" s="840">
        <v>9785</v>
      </c>
      <c r="K999" s="198">
        <v>100</v>
      </c>
      <c r="L999" s="198"/>
      <c r="M999" s="198"/>
      <c r="N999" s="721">
        <f t="shared" si="148"/>
        <v>9945</v>
      </c>
      <c r="O999" s="721">
        <f t="shared" si="149"/>
        <v>0</v>
      </c>
      <c r="P999" s="722" t="str">
        <f t="shared" si="150"/>
        <v>-</v>
      </c>
      <c r="Q999" s="686">
        <f t="shared" si="151"/>
        <v>19.89</v>
      </c>
      <c r="R999" s="686" t="str">
        <f t="shared" si="152"/>
        <v>-</v>
      </c>
      <c r="S999" s="686" t="str">
        <f t="shared" si="153"/>
        <v>-</v>
      </c>
      <c r="T999" s="686" t="str">
        <f t="shared" si="154"/>
        <v>-</v>
      </c>
      <c r="U999" s="723" t="str">
        <f t="shared" si="155"/>
        <v>-</v>
      </c>
      <c r="V999" s="695" t="str">
        <f t="shared" si="156"/>
        <v>-</v>
      </c>
      <c r="W999" s="711"/>
    </row>
    <row r="1000" spans="1:23" ht="16.5" hidden="1" outlineLevel="1">
      <c r="A1000" s="726"/>
      <c r="B1000" s="726" t="s">
        <v>394</v>
      </c>
      <c r="C1000" s="727">
        <v>8</v>
      </c>
      <c r="D1000" s="690"/>
      <c r="E1000" s="691" t="s">
        <v>1558</v>
      </c>
      <c r="F1000" s="685">
        <v>1</v>
      </c>
      <c r="G1000" s="239">
        <v>1</v>
      </c>
      <c r="H1000" s="203">
        <f>((J998-460)/200)+1</f>
        <v>47.625</v>
      </c>
      <c r="I1000" s="198">
        <v>180</v>
      </c>
      <c r="J1000" s="198">
        <v>150</v>
      </c>
      <c r="K1000" s="198">
        <v>180</v>
      </c>
      <c r="L1000" s="198">
        <v>150</v>
      </c>
      <c r="M1000" s="198"/>
      <c r="N1000" s="721">
        <f t="shared" si="148"/>
        <v>740</v>
      </c>
      <c r="O1000" s="721">
        <f t="shared" si="149"/>
        <v>0</v>
      </c>
      <c r="P1000" s="722">
        <f t="shared" si="150"/>
        <v>35.243000000000002</v>
      </c>
      <c r="Q1000" s="686" t="str">
        <f t="shared" si="151"/>
        <v>-</v>
      </c>
      <c r="R1000" s="686" t="str">
        <f t="shared" si="152"/>
        <v>-</v>
      </c>
      <c r="S1000" s="686" t="str">
        <f t="shared" si="153"/>
        <v>-</v>
      </c>
      <c r="T1000" s="686" t="str">
        <f t="shared" si="154"/>
        <v>-</v>
      </c>
      <c r="U1000" s="723" t="str">
        <f t="shared" si="155"/>
        <v>-</v>
      </c>
      <c r="V1000" s="695" t="str">
        <f t="shared" si="156"/>
        <v>-</v>
      </c>
      <c r="W1000" s="711"/>
    </row>
    <row r="1001" spans="1:23" ht="16.5" hidden="1" outlineLevel="1">
      <c r="A1001" s="726"/>
      <c r="B1001" s="735"/>
      <c r="C1001" s="727"/>
      <c r="D1001" s="690"/>
      <c r="E1001" s="727"/>
      <c r="F1001" s="685">
        <v>1</v>
      </c>
      <c r="G1001" s="239"/>
      <c r="H1001" s="203"/>
      <c r="I1001" s="198"/>
      <c r="J1001" s="198"/>
      <c r="K1001" s="198"/>
      <c r="L1001" s="198"/>
      <c r="M1001" s="198"/>
      <c r="N1001" s="721" t="str">
        <f t="shared" si="148"/>
        <v>-</v>
      </c>
      <c r="O1001" s="721" t="str">
        <f t="shared" si="149"/>
        <v/>
      </c>
      <c r="P1001" s="722" t="str">
        <f t="shared" si="150"/>
        <v>-</v>
      </c>
      <c r="Q1001" s="686" t="str">
        <f t="shared" si="151"/>
        <v>-</v>
      </c>
      <c r="R1001" s="686" t="str">
        <f t="shared" si="152"/>
        <v>-</v>
      </c>
      <c r="S1001" s="686" t="str">
        <f t="shared" si="153"/>
        <v>-</v>
      </c>
      <c r="T1001" s="686" t="str">
        <f t="shared" si="154"/>
        <v>-</v>
      </c>
      <c r="U1001" s="723" t="str">
        <f t="shared" si="155"/>
        <v>-</v>
      </c>
      <c r="V1001" s="695" t="str">
        <f t="shared" si="156"/>
        <v>-</v>
      </c>
      <c r="W1001" s="711"/>
    </row>
    <row r="1002" spans="1:23" ht="30.75" hidden="1" outlineLevel="1">
      <c r="A1002" s="195"/>
      <c r="B1002" s="734" t="s">
        <v>1584</v>
      </c>
      <c r="C1002" s="196"/>
      <c r="D1002" s="685"/>
      <c r="E1002" s="196"/>
      <c r="F1002" s="685"/>
      <c r="G1002" s="204"/>
      <c r="H1002" s="203"/>
      <c r="I1002" s="198"/>
      <c r="J1002" s="198"/>
      <c r="K1002" s="198"/>
      <c r="L1002" s="198"/>
      <c r="M1002" s="198"/>
      <c r="N1002" s="721" t="str">
        <f t="shared" si="148"/>
        <v>-</v>
      </c>
      <c r="O1002" s="721" t="str">
        <f t="shared" si="149"/>
        <v/>
      </c>
      <c r="P1002" s="722" t="str">
        <f t="shared" si="150"/>
        <v>-</v>
      </c>
      <c r="Q1002" s="686" t="str">
        <f t="shared" si="151"/>
        <v>-</v>
      </c>
      <c r="R1002" s="686" t="str">
        <f t="shared" si="152"/>
        <v>-</v>
      </c>
      <c r="S1002" s="686" t="str">
        <f t="shared" si="153"/>
        <v>-</v>
      </c>
      <c r="T1002" s="686" t="str">
        <f t="shared" si="154"/>
        <v>-</v>
      </c>
      <c r="U1002" s="723" t="str">
        <f t="shared" si="155"/>
        <v>-</v>
      </c>
      <c r="V1002" s="695" t="str">
        <f t="shared" si="156"/>
        <v>-</v>
      </c>
      <c r="W1002" s="711"/>
    </row>
    <row r="1003" spans="1:23" ht="16.5" hidden="1" outlineLevel="1">
      <c r="A1003" s="726">
        <v>1</v>
      </c>
      <c r="B1003" s="730" t="s">
        <v>1586</v>
      </c>
      <c r="C1003" s="727">
        <v>10</v>
      </c>
      <c r="D1003" s="690"/>
      <c r="E1003" s="720" t="s">
        <v>1557</v>
      </c>
      <c r="F1003" s="685">
        <v>1</v>
      </c>
      <c r="G1003" s="239">
        <v>1</v>
      </c>
      <c r="H1003" s="203">
        <v>2</v>
      </c>
      <c r="I1003" s="198">
        <f>C1003*10</f>
        <v>100</v>
      </c>
      <c r="J1003" s="840">
        <v>14160</v>
      </c>
      <c r="K1003" s="198">
        <v>100</v>
      </c>
      <c r="L1003" s="198"/>
      <c r="M1003" s="198"/>
      <c r="N1003" s="721">
        <f t="shared" si="148"/>
        <v>14320</v>
      </c>
      <c r="O1003" s="721">
        <f t="shared" si="149"/>
        <v>490</v>
      </c>
      <c r="P1003" s="722" t="str">
        <f t="shared" si="150"/>
        <v>-</v>
      </c>
      <c r="Q1003" s="686">
        <f t="shared" si="151"/>
        <v>29.62</v>
      </c>
      <c r="R1003" s="686" t="str">
        <f t="shared" si="152"/>
        <v>-</v>
      </c>
      <c r="S1003" s="686" t="str">
        <f t="shared" si="153"/>
        <v>-</v>
      </c>
      <c r="T1003" s="686" t="str">
        <f t="shared" si="154"/>
        <v>-</v>
      </c>
      <c r="U1003" s="723" t="str">
        <f t="shared" si="155"/>
        <v>-</v>
      </c>
      <c r="V1003" s="695" t="str">
        <f t="shared" si="156"/>
        <v>-</v>
      </c>
      <c r="W1003" s="711"/>
    </row>
    <row r="1004" spans="1:23" ht="16.5" hidden="1" outlineLevel="1">
      <c r="A1004" s="726"/>
      <c r="B1004" s="726" t="s">
        <v>393</v>
      </c>
      <c r="C1004" s="727">
        <v>10</v>
      </c>
      <c r="D1004" s="690"/>
      <c r="E1004" s="720" t="s">
        <v>1557</v>
      </c>
      <c r="F1004" s="685">
        <v>1</v>
      </c>
      <c r="G1004" s="239">
        <v>1</v>
      </c>
      <c r="H1004" s="203">
        <v>2</v>
      </c>
      <c r="I1004" s="198">
        <f>C1004*10</f>
        <v>100</v>
      </c>
      <c r="J1004" s="840">
        <v>14160</v>
      </c>
      <c r="K1004" s="198">
        <v>100</v>
      </c>
      <c r="L1004" s="198"/>
      <c r="M1004" s="198"/>
      <c r="N1004" s="721">
        <f t="shared" si="148"/>
        <v>14320</v>
      </c>
      <c r="O1004" s="721">
        <f t="shared" si="149"/>
        <v>490</v>
      </c>
      <c r="P1004" s="722" t="str">
        <f t="shared" si="150"/>
        <v>-</v>
      </c>
      <c r="Q1004" s="686">
        <f t="shared" si="151"/>
        <v>29.62</v>
      </c>
      <c r="R1004" s="686" t="str">
        <f t="shared" si="152"/>
        <v>-</v>
      </c>
      <c r="S1004" s="686" t="str">
        <f t="shared" si="153"/>
        <v>-</v>
      </c>
      <c r="T1004" s="686" t="str">
        <f t="shared" si="154"/>
        <v>-</v>
      </c>
      <c r="U1004" s="723" t="str">
        <f t="shared" si="155"/>
        <v>-</v>
      </c>
      <c r="V1004" s="695" t="str">
        <f t="shared" si="156"/>
        <v>-</v>
      </c>
      <c r="W1004" s="711"/>
    </row>
    <row r="1005" spans="1:23" ht="16.5" hidden="1" outlineLevel="1">
      <c r="A1005" s="726"/>
      <c r="B1005" s="726" t="s">
        <v>394</v>
      </c>
      <c r="C1005" s="727">
        <v>8</v>
      </c>
      <c r="D1005" s="690"/>
      <c r="E1005" s="691" t="s">
        <v>1558</v>
      </c>
      <c r="F1005" s="685">
        <v>1</v>
      </c>
      <c r="G1005" s="239">
        <v>1</v>
      </c>
      <c r="H1005" s="203">
        <f>((J1004-460)/200)+1</f>
        <v>69.5</v>
      </c>
      <c r="I1005" s="198">
        <v>180</v>
      </c>
      <c r="J1005" s="198">
        <v>150</v>
      </c>
      <c r="K1005" s="198">
        <v>180</v>
      </c>
      <c r="L1005" s="198">
        <v>150</v>
      </c>
      <c r="M1005" s="198"/>
      <c r="N1005" s="721">
        <f t="shared" si="148"/>
        <v>740</v>
      </c>
      <c r="O1005" s="721">
        <f t="shared" si="149"/>
        <v>0</v>
      </c>
      <c r="P1005" s="722">
        <f t="shared" si="150"/>
        <v>51.43</v>
      </c>
      <c r="Q1005" s="686" t="str">
        <f t="shared" si="151"/>
        <v>-</v>
      </c>
      <c r="R1005" s="686" t="str">
        <f t="shared" si="152"/>
        <v>-</v>
      </c>
      <c r="S1005" s="686" t="str">
        <f t="shared" si="153"/>
        <v>-</v>
      </c>
      <c r="T1005" s="686" t="str">
        <f t="shared" si="154"/>
        <v>-</v>
      </c>
      <c r="U1005" s="723" t="str">
        <f t="shared" si="155"/>
        <v>-</v>
      </c>
      <c r="V1005" s="695" t="str">
        <f t="shared" si="156"/>
        <v>-</v>
      </c>
      <c r="W1005" s="711"/>
    </row>
    <row r="1006" spans="1:23" ht="16.5" hidden="1" outlineLevel="1">
      <c r="A1006" s="195"/>
      <c r="B1006" s="172"/>
      <c r="C1006" s="196"/>
      <c r="D1006" s="685"/>
      <c r="E1006" s="196"/>
      <c r="F1006" s="685">
        <v>1</v>
      </c>
      <c r="G1006" s="204"/>
      <c r="H1006" s="203"/>
      <c r="I1006" s="198"/>
      <c r="J1006" s="198"/>
      <c r="K1006" s="198"/>
      <c r="L1006" s="198"/>
      <c r="M1006" s="198"/>
      <c r="N1006" s="721" t="str">
        <f t="shared" si="148"/>
        <v>-</v>
      </c>
      <c r="O1006" s="721" t="str">
        <f t="shared" si="149"/>
        <v/>
      </c>
      <c r="P1006" s="722" t="str">
        <f t="shared" si="150"/>
        <v>-</v>
      </c>
      <c r="Q1006" s="686" t="str">
        <f t="shared" si="151"/>
        <v>-</v>
      </c>
      <c r="R1006" s="686" t="str">
        <f t="shared" si="152"/>
        <v>-</v>
      </c>
      <c r="S1006" s="686" t="str">
        <f t="shared" si="153"/>
        <v>-</v>
      </c>
      <c r="T1006" s="686" t="str">
        <f t="shared" si="154"/>
        <v>-</v>
      </c>
      <c r="U1006" s="723" t="str">
        <f t="shared" si="155"/>
        <v>-</v>
      </c>
      <c r="V1006" s="695" t="str">
        <f t="shared" si="156"/>
        <v>-</v>
      </c>
      <c r="W1006" s="711"/>
    </row>
    <row r="1007" spans="1:23" ht="16.5" hidden="1" outlineLevel="1">
      <c r="A1007" s="726">
        <v>2</v>
      </c>
      <c r="B1007" s="730" t="s">
        <v>1586</v>
      </c>
      <c r="C1007" s="727">
        <v>10</v>
      </c>
      <c r="D1007" s="690"/>
      <c r="E1007" s="720" t="s">
        <v>1557</v>
      </c>
      <c r="F1007" s="685">
        <v>1</v>
      </c>
      <c r="G1007" s="239">
        <v>5</v>
      </c>
      <c r="H1007" s="203">
        <v>2</v>
      </c>
      <c r="I1007" s="198">
        <f>C1007*10</f>
        <v>100</v>
      </c>
      <c r="J1007" s="198">
        <f>7625-50</f>
        <v>7575</v>
      </c>
      <c r="K1007" s="198">
        <v>100</v>
      </c>
      <c r="L1007" s="198"/>
      <c r="M1007" s="198"/>
      <c r="N1007" s="721">
        <f t="shared" si="148"/>
        <v>7735</v>
      </c>
      <c r="O1007" s="721">
        <f t="shared" si="149"/>
        <v>0</v>
      </c>
      <c r="P1007" s="722" t="str">
        <f t="shared" si="150"/>
        <v>-</v>
      </c>
      <c r="Q1007" s="686">
        <f t="shared" si="151"/>
        <v>77.349999999999994</v>
      </c>
      <c r="R1007" s="686" t="str">
        <f t="shared" si="152"/>
        <v>-</v>
      </c>
      <c r="S1007" s="686" t="str">
        <f t="shared" si="153"/>
        <v>-</v>
      </c>
      <c r="T1007" s="686" t="str">
        <f t="shared" si="154"/>
        <v>-</v>
      </c>
      <c r="U1007" s="723" t="str">
        <f t="shared" si="155"/>
        <v>-</v>
      </c>
      <c r="V1007" s="695" t="str">
        <f t="shared" si="156"/>
        <v>-</v>
      </c>
      <c r="W1007" s="711"/>
    </row>
    <row r="1008" spans="1:23" ht="16.5" hidden="1" outlineLevel="1">
      <c r="A1008" s="726"/>
      <c r="B1008" s="726" t="s">
        <v>393</v>
      </c>
      <c r="C1008" s="727">
        <v>10</v>
      </c>
      <c r="D1008" s="690"/>
      <c r="E1008" s="720" t="s">
        <v>1557</v>
      </c>
      <c r="F1008" s="685">
        <v>1</v>
      </c>
      <c r="G1008" s="239">
        <v>5</v>
      </c>
      <c r="H1008" s="203">
        <v>2</v>
      </c>
      <c r="I1008" s="198">
        <f>C1008*10</f>
        <v>100</v>
      </c>
      <c r="J1008" s="198">
        <f>7625-50</f>
        <v>7575</v>
      </c>
      <c r="K1008" s="198">
        <v>100</v>
      </c>
      <c r="L1008" s="198"/>
      <c r="M1008" s="198"/>
      <c r="N1008" s="721">
        <f t="shared" si="148"/>
        <v>7735</v>
      </c>
      <c r="O1008" s="721">
        <f t="shared" si="149"/>
        <v>0</v>
      </c>
      <c r="P1008" s="722" t="str">
        <f t="shared" si="150"/>
        <v>-</v>
      </c>
      <c r="Q1008" s="686">
        <f t="shared" si="151"/>
        <v>77.349999999999994</v>
      </c>
      <c r="R1008" s="686" t="str">
        <f t="shared" si="152"/>
        <v>-</v>
      </c>
      <c r="S1008" s="686" t="str">
        <f t="shared" si="153"/>
        <v>-</v>
      </c>
      <c r="T1008" s="686" t="str">
        <f t="shared" si="154"/>
        <v>-</v>
      </c>
      <c r="U1008" s="723" t="str">
        <f t="shared" si="155"/>
        <v>-</v>
      </c>
      <c r="V1008" s="695" t="str">
        <f t="shared" si="156"/>
        <v>-</v>
      </c>
      <c r="W1008" s="711"/>
    </row>
    <row r="1009" spans="1:23" ht="16.5" hidden="1" outlineLevel="1">
      <c r="A1009" s="726"/>
      <c r="B1009" s="726" t="s">
        <v>394</v>
      </c>
      <c r="C1009" s="727">
        <v>8</v>
      </c>
      <c r="D1009" s="690"/>
      <c r="E1009" s="691" t="s">
        <v>1558</v>
      </c>
      <c r="F1009" s="685">
        <v>1</v>
      </c>
      <c r="G1009" s="239">
        <v>1</v>
      </c>
      <c r="H1009" s="203">
        <f>((J1007-460)/200)+1</f>
        <v>36.575000000000003</v>
      </c>
      <c r="I1009" s="198">
        <v>180</v>
      </c>
      <c r="J1009" s="198">
        <v>150</v>
      </c>
      <c r="K1009" s="198">
        <v>180</v>
      </c>
      <c r="L1009" s="198">
        <v>150</v>
      </c>
      <c r="M1009" s="198"/>
      <c r="N1009" s="721">
        <f t="shared" si="148"/>
        <v>740</v>
      </c>
      <c r="O1009" s="721">
        <f t="shared" si="149"/>
        <v>0</v>
      </c>
      <c r="P1009" s="722">
        <f t="shared" si="150"/>
        <v>27.065999999999999</v>
      </c>
      <c r="Q1009" s="686" t="str">
        <f t="shared" si="151"/>
        <v>-</v>
      </c>
      <c r="R1009" s="686" t="str">
        <f t="shared" si="152"/>
        <v>-</v>
      </c>
      <c r="S1009" s="686" t="str">
        <f t="shared" si="153"/>
        <v>-</v>
      </c>
      <c r="T1009" s="686" t="str">
        <f t="shared" si="154"/>
        <v>-</v>
      </c>
      <c r="U1009" s="723" t="str">
        <f t="shared" si="155"/>
        <v>-</v>
      </c>
      <c r="V1009" s="695" t="str">
        <f t="shared" si="156"/>
        <v>-</v>
      </c>
      <c r="W1009" s="711"/>
    </row>
    <row r="1010" spans="1:23" ht="16.5" hidden="1" outlineLevel="1">
      <c r="A1010" s="195"/>
      <c r="B1010" s="172"/>
      <c r="C1010" s="196"/>
      <c r="D1010" s="685"/>
      <c r="E1010" s="196"/>
      <c r="F1010" s="685">
        <v>1</v>
      </c>
      <c r="G1010" s="204"/>
      <c r="H1010" s="203"/>
      <c r="I1010" s="198"/>
      <c r="J1010" s="198"/>
      <c r="K1010" s="198"/>
      <c r="L1010" s="198"/>
      <c r="M1010" s="198"/>
      <c r="N1010" s="721" t="str">
        <f t="shared" si="148"/>
        <v>-</v>
      </c>
      <c r="O1010" s="721" t="str">
        <f t="shared" si="149"/>
        <v/>
      </c>
      <c r="P1010" s="722" t="str">
        <f t="shared" si="150"/>
        <v>-</v>
      </c>
      <c r="Q1010" s="686" t="str">
        <f t="shared" si="151"/>
        <v>-</v>
      </c>
      <c r="R1010" s="686" t="str">
        <f t="shared" si="152"/>
        <v>-</v>
      </c>
      <c r="S1010" s="686" t="str">
        <f t="shared" si="153"/>
        <v>-</v>
      </c>
      <c r="T1010" s="686" t="str">
        <f t="shared" si="154"/>
        <v>-</v>
      </c>
      <c r="U1010" s="723" t="str">
        <f t="shared" si="155"/>
        <v>-</v>
      </c>
      <c r="V1010" s="695" t="str">
        <f t="shared" si="156"/>
        <v>-</v>
      </c>
      <c r="W1010" s="711"/>
    </row>
    <row r="1011" spans="1:23" ht="16.5" hidden="1" outlineLevel="1">
      <c r="A1011" s="726">
        <v>3</v>
      </c>
      <c r="B1011" s="730" t="s">
        <v>1586</v>
      </c>
      <c r="C1011" s="727">
        <v>10</v>
      </c>
      <c r="D1011" s="690"/>
      <c r="E1011" s="691" t="s">
        <v>1587</v>
      </c>
      <c r="F1011" s="685">
        <v>1</v>
      </c>
      <c r="G1011" s="239">
        <v>1</v>
      </c>
      <c r="H1011" s="203">
        <v>2</v>
      </c>
      <c r="I1011" s="198"/>
      <c r="J1011" s="840">
        <v>150</v>
      </c>
      <c r="K1011" s="198"/>
      <c r="L1011" s="198"/>
      <c r="M1011" s="198"/>
      <c r="N1011" s="721">
        <f t="shared" si="148"/>
        <v>150</v>
      </c>
      <c r="O1011" s="721">
        <f t="shared" si="149"/>
        <v>0</v>
      </c>
      <c r="P1011" s="722" t="str">
        <f t="shared" si="150"/>
        <v>-</v>
      </c>
      <c r="Q1011" s="686">
        <f t="shared" si="151"/>
        <v>0.3</v>
      </c>
      <c r="R1011" s="686" t="str">
        <f t="shared" si="152"/>
        <v>-</v>
      </c>
      <c r="S1011" s="686" t="str">
        <f t="shared" si="153"/>
        <v>-</v>
      </c>
      <c r="T1011" s="686" t="str">
        <f t="shared" si="154"/>
        <v>-</v>
      </c>
      <c r="U1011" s="723" t="str">
        <f t="shared" si="155"/>
        <v>-</v>
      </c>
      <c r="V1011" s="695" t="str">
        <f t="shared" si="156"/>
        <v>-</v>
      </c>
      <c r="W1011" s="711"/>
    </row>
    <row r="1012" spans="1:23" ht="16.5" hidden="1" outlineLevel="1">
      <c r="A1012" s="726"/>
      <c r="B1012" s="726" t="s">
        <v>393</v>
      </c>
      <c r="C1012" s="727">
        <v>10</v>
      </c>
      <c r="D1012" s="690"/>
      <c r="E1012" s="691" t="s">
        <v>1587</v>
      </c>
      <c r="F1012" s="685">
        <v>1</v>
      </c>
      <c r="G1012" s="239">
        <v>1</v>
      </c>
      <c r="H1012" s="203">
        <v>2</v>
      </c>
      <c r="I1012" s="198"/>
      <c r="J1012" s="840">
        <v>150</v>
      </c>
      <c r="K1012" s="198"/>
      <c r="L1012" s="198"/>
      <c r="M1012" s="198"/>
      <c r="N1012" s="721">
        <f t="shared" si="148"/>
        <v>150</v>
      </c>
      <c r="O1012" s="721">
        <f t="shared" si="149"/>
        <v>0</v>
      </c>
      <c r="P1012" s="722" t="str">
        <f t="shared" si="150"/>
        <v>-</v>
      </c>
      <c r="Q1012" s="686">
        <f t="shared" si="151"/>
        <v>0.3</v>
      </c>
      <c r="R1012" s="686" t="str">
        <f t="shared" si="152"/>
        <v>-</v>
      </c>
      <c r="S1012" s="686" t="str">
        <f t="shared" si="153"/>
        <v>-</v>
      </c>
      <c r="T1012" s="686" t="str">
        <f t="shared" si="154"/>
        <v>-</v>
      </c>
      <c r="U1012" s="723" t="str">
        <f t="shared" si="155"/>
        <v>-</v>
      </c>
      <c r="V1012" s="695" t="str">
        <f t="shared" si="156"/>
        <v>-</v>
      </c>
      <c r="W1012" s="711"/>
    </row>
    <row r="1013" spans="1:23" ht="16.5" hidden="1" outlineLevel="1">
      <c r="A1013" s="726"/>
      <c r="B1013" s="726" t="s">
        <v>394</v>
      </c>
      <c r="C1013" s="727">
        <v>8</v>
      </c>
      <c r="D1013" s="690"/>
      <c r="E1013" s="691" t="s">
        <v>1558</v>
      </c>
      <c r="F1013" s="685">
        <v>1</v>
      </c>
      <c r="G1013" s="239">
        <v>1</v>
      </c>
      <c r="H1013" s="203">
        <v>2</v>
      </c>
      <c r="I1013" s="198">
        <v>180</v>
      </c>
      <c r="J1013" s="198">
        <v>150</v>
      </c>
      <c r="K1013" s="198">
        <v>180</v>
      </c>
      <c r="L1013" s="198">
        <v>150</v>
      </c>
      <c r="M1013" s="198"/>
      <c r="N1013" s="721">
        <f t="shared" si="148"/>
        <v>740</v>
      </c>
      <c r="O1013" s="721">
        <f t="shared" si="149"/>
        <v>0</v>
      </c>
      <c r="P1013" s="722">
        <f t="shared" si="150"/>
        <v>1.48</v>
      </c>
      <c r="Q1013" s="686" t="str">
        <f t="shared" si="151"/>
        <v>-</v>
      </c>
      <c r="R1013" s="686" t="str">
        <f t="shared" si="152"/>
        <v>-</v>
      </c>
      <c r="S1013" s="686" t="str">
        <f t="shared" si="153"/>
        <v>-</v>
      </c>
      <c r="T1013" s="686" t="str">
        <f t="shared" si="154"/>
        <v>-</v>
      </c>
      <c r="U1013" s="723" t="str">
        <f t="shared" si="155"/>
        <v>-</v>
      </c>
      <c r="V1013" s="695" t="str">
        <f t="shared" si="156"/>
        <v>-</v>
      </c>
      <c r="W1013" s="711"/>
    </row>
    <row r="1014" spans="1:23" ht="16.5" hidden="1" outlineLevel="1">
      <c r="A1014" s="195"/>
      <c r="B1014" s="172"/>
      <c r="C1014" s="196"/>
      <c r="D1014" s="685"/>
      <c r="E1014" s="196"/>
      <c r="F1014" s="685">
        <v>1</v>
      </c>
      <c r="G1014" s="204"/>
      <c r="H1014" s="203"/>
      <c r="I1014" s="198"/>
      <c r="J1014" s="198"/>
      <c r="K1014" s="198"/>
      <c r="L1014" s="198"/>
      <c r="M1014" s="198"/>
      <c r="N1014" s="721" t="str">
        <f t="shared" si="148"/>
        <v>-</v>
      </c>
      <c r="O1014" s="721" t="str">
        <f t="shared" si="149"/>
        <v/>
      </c>
      <c r="P1014" s="722" t="str">
        <f t="shared" si="150"/>
        <v>-</v>
      </c>
      <c r="Q1014" s="686" t="str">
        <f t="shared" si="151"/>
        <v>-</v>
      </c>
      <c r="R1014" s="686" t="str">
        <f t="shared" si="152"/>
        <v>-</v>
      </c>
      <c r="S1014" s="686" t="str">
        <f t="shared" si="153"/>
        <v>-</v>
      </c>
      <c r="T1014" s="686" t="str">
        <f t="shared" si="154"/>
        <v>-</v>
      </c>
      <c r="U1014" s="723" t="str">
        <f t="shared" si="155"/>
        <v>-</v>
      </c>
      <c r="V1014" s="695" t="str">
        <f t="shared" si="156"/>
        <v>-</v>
      </c>
      <c r="W1014" s="711"/>
    </row>
    <row r="1015" spans="1:23" ht="16.5" hidden="1" outlineLevel="1">
      <c r="A1015" s="726"/>
      <c r="B1015" s="735"/>
      <c r="C1015" s="727"/>
      <c r="D1015" s="690"/>
      <c r="E1015" s="727"/>
      <c r="F1015" s="685">
        <v>1</v>
      </c>
      <c r="G1015" s="239"/>
      <c r="H1015" s="203"/>
      <c r="I1015" s="198"/>
      <c r="J1015" s="198"/>
      <c r="K1015" s="198"/>
      <c r="L1015" s="198"/>
      <c r="M1015" s="198"/>
      <c r="N1015" s="721" t="str">
        <f t="shared" si="148"/>
        <v>-</v>
      </c>
      <c r="O1015" s="721" t="str">
        <f t="shared" si="149"/>
        <v/>
      </c>
      <c r="P1015" s="722" t="str">
        <f t="shared" si="150"/>
        <v>-</v>
      </c>
      <c r="Q1015" s="686" t="str">
        <f t="shared" si="151"/>
        <v>-</v>
      </c>
      <c r="R1015" s="686" t="str">
        <f t="shared" si="152"/>
        <v>-</v>
      </c>
      <c r="S1015" s="686" t="str">
        <f t="shared" si="153"/>
        <v>-</v>
      </c>
      <c r="T1015" s="686" t="str">
        <f t="shared" si="154"/>
        <v>-</v>
      </c>
      <c r="U1015" s="723" t="str">
        <f t="shared" si="155"/>
        <v>-</v>
      </c>
      <c r="V1015" s="695" t="str">
        <f t="shared" si="156"/>
        <v>-</v>
      </c>
      <c r="W1015" s="711"/>
    </row>
    <row r="1016" spans="1:23" ht="30.75" hidden="1" outlineLevel="1">
      <c r="A1016" s="195"/>
      <c r="B1016" s="734" t="s">
        <v>1588</v>
      </c>
      <c r="C1016" s="196"/>
      <c r="D1016" s="685"/>
      <c r="E1016" s="196"/>
      <c r="F1016" s="685">
        <v>1</v>
      </c>
      <c r="G1016" s="204"/>
      <c r="H1016" s="203"/>
      <c r="I1016" s="198"/>
      <c r="J1016" s="198"/>
      <c r="K1016" s="198"/>
      <c r="L1016" s="198"/>
      <c r="M1016" s="198"/>
      <c r="N1016" s="721" t="str">
        <f t="shared" si="148"/>
        <v>-</v>
      </c>
      <c r="O1016" s="721" t="str">
        <f t="shared" si="149"/>
        <v/>
      </c>
      <c r="P1016" s="722" t="str">
        <f t="shared" si="150"/>
        <v>-</v>
      </c>
      <c r="Q1016" s="686" t="str">
        <f t="shared" si="151"/>
        <v>-</v>
      </c>
      <c r="R1016" s="686" t="str">
        <f t="shared" si="152"/>
        <v>-</v>
      </c>
      <c r="S1016" s="686" t="str">
        <f t="shared" si="153"/>
        <v>-</v>
      </c>
      <c r="T1016" s="686" t="str">
        <f t="shared" si="154"/>
        <v>-</v>
      </c>
      <c r="U1016" s="723" t="str">
        <f t="shared" si="155"/>
        <v>-</v>
      </c>
      <c r="V1016" s="695" t="str">
        <f t="shared" si="156"/>
        <v>-</v>
      </c>
      <c r="W1016" s="711"/>
    </row>
    <row r="1017" spans="1:23" ht="16.5" hidden="1" outlineLevel="1">
      <c r="A1017" s="726">
        <v>1</v>
      </c>
      <c r="B1017" s="730" t="s">
        <v>1586</v>
      </c>
      <c r="C1017" s="727">
        <v>10</v>
      </c>
      <c r="D1017" s="690"/>
      <c r="E1017" s="720" t="s">
        <v>1557</v>
      </c>
      <c r="F1017" s="685">
        <v>1</v>
      </c>
      <c r="G1017" s="239">
        <v>1</v>
      </c>
      <c r="H1017" s="203">
        <v>2</v>
      </c>
      <c r="I1017" s="198">
        <f>C1017*10</f>
        <v>100</v>
      </c>
      <c r="J1017" s="198">
        <f>7910+230-50</f>
        <v>8090</v>
      </c>
      <c r="K1017" s="198">
        <v>100</v>
      </c>
      <c r="L1017" s="198"/>
      <c r="M1017" s="198"/>
      <c r="N1017" s="721">
        <f t="shared" si="148"/>
        <v>8250</v>
      </c>
      <c r="O1017" s="721">
        <f t="shared" si="149"/>
        <v>0</v>
      </c>
      <c r="P1017" s="722" t="str">
        <f t="shared" si="150"/>
        <v>-</v>
      </c>
      <c r="Q1017" s="686">
        <f t="shared" si="151"/>
        <v>16.5</v>
      </c>
      <c r="R1017" s="686" t="str">
        <f t="shared" si="152"/>
        <v>-</v>
      </c>
      <c r="S1017" s="686" t="str">
        <f t="shared" si="153"/>
        <v>-</v>
      </c>
      <c r="T1017" s="686" t="str">
        <f t="shared" si="154"/>
        <v>-</v>
      </c>
      <c r="U1017" s="723" t="str">
        <f t="shared" si="155"/>
        <v>-</v>
      </c>
      <c r="V1017" s="695" t="str">
        <f t="shared" si="156"/>
        <v>-</v>
      </c>
      <c r="W1017" s="711"/>
    </row>
    <row r="1018" spans="1:23" ht="16.5" hidden="1" outlineLevel="1">
      <c r="A1018" s="726"/>
      <c r="B1018" s="726" t="s">
        <v>393</v>
      </c>
      <c r="C1018" s="727">
        <v>10</v>
      </c>
      <c r="D1018" s="690"/>
      <c r="E1018" s="720" t="s">
        <v>1557</v>
      </c>
      <c r="F1018" s="685">
        <v>1</v>
      </c>
      <c r="G1018" s="239">
        <v>1</v>
      </c>
      <c r="H1018" s="203">
        <v>2</v>
      </c>
      <c r="I1018" s="198">
        <f>C1018*10</f>
        <v>100</v>
      </c>
      <c r="J1018" s="198">
        <f>7910+230-50</f>
        <v>8090</v>
      </c>
      <c r="K1018" s="198">
        <v>100</v>
      </c>
      <c r="L1018" s="198"/>
      <c r="M1018" s="198"/>
      <c r="N1018" s="721">
        <f t="shared" si="148"/>
        <v>8250</v>
      </c>
      <c r="O1018" s="721">
        <f t="shared" si="149"/>
        <v>0</v>
      </c>
      <c r="P1018" s="722" t="str">
        <f t="shared" si="150"/>
        <v>-</v>
      </c>
      <c r="Q1018" s="686">
        <f t="shared" si="151"/>
        <v>16.5</v>
      </c>
      <c r="R1018" s="686" t="str">
        <f t="shared" si="152"/>
        <v>-</v>
      </c>
      <c r="S1018" s="686" t="str">
        <f t="shared" si="153"/>
        <v>-</v>
      </c>
      <c r="T1018" s="686" t="str">
        <f t="shared" si="154"/>
        <v>-</v>
      </c>
      <c r="U1018" s="723" t="str">
        <f t="shared" si="155"/>
        <v>-</v>
      </c>
      <c r="V1018" s="695" t="str">
        <f t="shared" si="156"/>
        <v>-</v>
      </c>
      <c r="W1018" s="711"/>
    </row>
    <row r="1019" spans="1:23" ht="16.5" hidden="1" outlineLevel="1">
      <c r="A1019" s="726"/>
      <c r="B1019" s="726" t="s">
        <v>394</v>
      </c>
      <c r="C1019" s="727">
        <v>8</v>
      </c>
      <c r="D1019" s="690"/>
      <c r="E1019" s="691" t="s">
        <v>1558</v>
      </c>
      <c r="F1019" s="685">
        <v>1</v>
      </c>
      <c r="G1019" s="239">
        <v>1</v>
      </c>
      <c r="H1019" s="203">
        <f>((J1017-460)/200)+1</f>
        <v>39.15</v>
      </c>
      <c r="I1019" s="198">
        <v>180</v>
      </c>
      <c r="J1019" s="198">
        <v>150</v>
      </c>
      <c r="K1019" s="198">
        <v>180</v>
      </c>
      <c r="L1019" s="198">
        <v>150</v>
      </c>
      <c r="M1019" s="198"/>
      <c r="N1019" s="721">
        <f t="shared" si="148"/>
        <v>740</v>
      </c>
      <c r="O1019" s="721">
        <f t="shared" si="149"/>
        <v>0</v>
      </c>
      <c r="P1019" s="722">
        <f t="shared" si="150"/>
        <v>28.971</v>
      </c>
      <c r="Q1019" s="686" t="str">
        <f t="shared" si="151"/>
        <v>-</v>
      </c>
      <c r="R1019" s="686" t="str">
        <f t="shared" si="152"/>
        <v>-</v>
      </c>
      <c r="S1019" s="686" t="str">
        <f t="shared" si="153"/>
        <v>-</v>
      </c>
      <c r="T1019" s="686" t="str">
        <f t="shared" si="154"/>
        <v>-</v>
      </c>
      <c r="U1019" s="723" t="str">
        <f t="shared" si="155"/>
        <v>-</v>
      </c>
      <c r="V1019" s="695" t="str">
        <f t="shared" si="156"/>
        <v>-</v>
      </c>
      <c r="W1019" s="711"/>
    </row>
    <row r="1020" spans="1:23" ht="16.5" hidden="1" outlineLevel="1">
      <c r="A1020" s="195"/>
      <c r="B1020" s="172"/>
      <c r="C1020" s="196"/>
      <c r="D1020" s="685"/>
      <c r="E1020" s="196"/>
      <c r="F1020" s="685">
        <v>1</v>
      </c>
      <c r="G1020" s="204"/>
      <c r="H1020" s="203"/>
      <c r="I1020" s="198"/>
      <c r="J1020" s="198"/>
      <c r="K1020" s="198"/>
      <c r="L1020" s="198"/>
      <c r="M1020" s="198"/>
      <c r="N1020" s="721" t="str">
        <f t="shared" si="148"/>
        <v>-</v>
      </c>
      <c r="O1020" s="721" t="str">
        <f t="shared" si="149"/>
        <v/>
      </c>
      <c r="P1020" s="722" t="str">
        <f t="shared" si="150"/>
        <v>-</v>
      </c>
      <c r="Q1020" s="686" t="str">
        <f t="shared" si="151"/>
        <v>-</v>
      </c>
      <c r="R1020" s="686" t="str">
        <f t="shared" si="152"/>
        <v>-</v>
      </c>
      <c r="S1020" s="686" t="str">
        <f t="shared" si="153"/>
        <v>-</v>
      </c>
      <c r="T1020" s="686" t="str">
        <f t="shared" si="154"/>
        <v>-</v>
      </c>
      <c r="U1020" s="723" t="str">
        <f t="shared" si="155"/>
        <v>-</v>
      </c>
      <c r="V1020" s="695" t="str">
        <f t="shared" si="156"/>
        <v>-</v>
      </c>
      <c r="W1020" s="711"/>
    </row>
    <row r="1021" spans="1:23" ht="16.5" hidden="1" outlineLevel="1">
      <c r="A1021" s="726">
        <v>2</v>
      </c>
      <c r="B1021" s="730" t="s">
        <v>1586</v>
      </c>
      <c r="C1021" s="727">
        <v>10</v>
      </c>
      <c r="D1021" s="690"/>
      <c r="E1021" s="720" t="s">
        <v>1557</v>
      </c>
      <c r="F1021" s="685">
        <v>1</v>
      </c>
      <c r="G1021" s="239">
        <v>2</v>
      </c>
      <c r="H1021" s="203">
        <v>2</v>
      </c>
      <c r="I1021" s="198">
        <f>C1021*10</f>
        <v>100</v>
      </c>
      <c r="J1021" s="198">
        <f>7625-50</f>
        <v>7575</v>
      </c>
      <c r="K1021" s="198">
        <v>100</v>
      </c>
      <c r="L1021" s="198"/>
      <c r="M1021" s="198"/>
      <c r="N1021" s="721">
        <f t="shared" si="148"/>
        <v>7735</v>
      </c>
      <c r="O1021" s="721">
        <f t="shared" si="149"/>
        <v>0</v>
      </c>
      <c r="P1021" s="722" t="str">
        <f t="shared" si="150"/>
        <v>-</v>
      </c>
      <c r="Q1021" s="686">
        <f t="shared" si="151"/>
        <v>30.94</v>
      </c>
      <c r="R1021" s="686" t="str">
        <f t="shared" si="152"/>
        <v>-</v>
      </c>
      <c r="S1021" s="686" t="str">
        <f t="shared" si="153"/>
        <v>-</v>
      </c>
      <c r="T1021" s="686" t="str">
        <f t="shared" si="154"/>
        <v>-</v>
      </c>
      <c r="U1021" s="723" t="str">
        <f t="shared" si="155"/>
        <v>-</v>
      </c>
      <c r="V1021" s="695" t="str">
        <f t="shared" si="156"/>
        <v>-</v>
      </c>
      <c r="W1021" s="711"/>
    </row>
    <row r="1022" spans="1:23" ht="16.5" hidden="1" outlineLevel="1">
      <c r="A1022" s="726"/>
      <c r="B1022" s="726" t="s">
        <v>393</v>
      </c>
      <c r="C1022" s="727">
        <v>10</v>
      </c>
      <c r="D1022" s="690"/>
      <c r="E1022" s="720" t="s">
        <v>1557</v>
      </c>
      <c r="F1022" s="685">
        <v>1</v>
      </c>
      <c r="G1022" s="239">
        <v>2</v>
      </c>
      <c r="H1022" s="203">
        <v>2</v>
      </c>
      <c r="I1022" s="198">
        <f>C1022*10</f>
        <v>100</v>
      </c>
      <c r="J1022" s="198">
        <f>7625-50</f>
        <v>7575</v>
      </c>
      <c r="K1022" s="198">
        <v>100</v>
      </c>
      <c r="L1022" s="198"/>
      <c r="M1022" s="198"/>
      <c r="N1022" s="721">
        <f t="shared" si="148"/>
        <v>7735</v>
      </c>
      <c r="O1022" s="721">
        <f t="shared" si="149"/>
        <v>0</v>
      </c>
      <c r="P1022" s="722" t="str">
        <f t="shared" si="150"/>
        <v>-</v>
      </c>
      <c r="Q1022" s="686">
        <f t="shared" si="151"/>
        <v>30.94</v>
      </c>
      <c r="R1022" s="686" t="str">
        <f t="shared" si="152"/>
        <v>-</v>
      </c>
      <c r="S1022" s="686" t="str">
        <f t="shared" si="153"/>
        <v>-</v>
      </c>
      <c r="T1022" s="686" t="str">
        <f t="shared" si="154"/>
        <v>-</v>
      </c>
      <c r="U1022" s="723" t="str">
        <f t="shared" si="155"/>
        <v>-</v>
      </c>
      <c r="V1022" s="695" t="str">
        <f t="shared" si="156"/>
        <v>-</v>
      </c>
      <c r="W1022" s="711"/>
    </row>
    <row r="1023" spans="1:23" ht="16.5" hidden="1" outlineLevel="1">
      <c r="A1023" s="726"/>
      <c r="B1023" s="726" t="s">
        <v>394</v>
      </c>
      <c r="C1023" s="727">
        <v>8</v>
      </c>
      <c r="D1023" s="690"/>
      <c r="E1023" s="691" t="s">
        <v>1558</v>
      </c>
      <c r="F1023" s="685">
        <v>1</v>
      </c>
      <c r="G1023" s="239">
        <v>2</v>
      </c>
      <c r="H1023" s="203">
        <f>((J1021-460)/200)+1</f>
        <v>36.575000000000003</v>
      </c>
      <c r="I1023" s="198">
        <v>180</v>
      </c>
      <c r="J1023" s="198">
        <v>150</v>
      </c>
      <c r="K1023" s="198">
        <v>180</v>
      </c>
      <c r="L1023" s="198">
        <v>150</v>
      </c>
      <c r="M1023" s="198"/>
      <c r="N1023" s="721">
        <f t="shared" si="148"/>
        <v>740</v>
      </c>
      <c r="O1023" s="721">
        <f t="shared" si="149"/>
        <v>0</v>
      </c>
      <c r="P1023" s="722">
        <f t="shared" si="150"/>
        <v>54.131</v>
      </c>
      <c r="Q1023" s="686" t="str">
        <f t="shared" si="151"/>
        <v>-</v>
      </c>
      <c r="R1023" s="686" t="str">
        <f t="shared" si="152"/>
        <v>-</v>
      </c>
      <c r="S1023" s="686" t="str">
        <f t="shared" si="153"/>
        <v>-</v>
      </c>
      <c r="T1023" s="686" t="str">
        <f t="shared" si="154"/>
        <v>-</v>
      </c>
      <c r="U1023" s="723" t="str">
        <f t="shared" si="155"/>
        <v>-</v>
      </c>
      <c r="V1023" s="695" t="str">
        <f t="shared" si="156"/>
        <v>-</v>
      </c>
      <c r="W1023" s="711"/>
    </row>
    <row r="1024" spans="1:23" ht="16.5" hidden="1" outlineLevel="1">
      <c r="A1024" s="195"/>
      <c r="B1024" s="172"/>
      <c r="C1024" s="196"/>
      <c r="D1024" s="685"/>
      <c r="E1024" s="196"/>
      <c r="F1024" s="685"/>
      <c r="G1024" s="204"/>
      <c r="H1024" s="203"/>
      <c r="I1024" s="198"/>
      <c r="J1024" s="198"/>
      <c r="K1024" s="198"/>
      <c r="L1024" s="198"/>
      <c r="M1024" s="198"/>
      <c r="N1024" s="721" t="str">
        <f t="shared" si="148"/>
        <v>-</v>
      </c>
      <c r="O1024" s="721" t="str">
        <f t="shared" si="149"/>
        <v/>
      </c>
      <c r="P1024" s="722" t="str">
        <f t="shared" si="150"/>
        <v>-</v>
      </c>
      <c r="Q1024" s="686" t="str">
        <f t="shared" si="151"/>
        <v>-</v>
      </c>
      <c r="R1024" s="686" t="str">
        <f t="shared" si="152"/>
        <v>-</v>
      </c>
      <c r="S1024" s="686" t="str">
        <f t="shared" si="153"/>
        <v>-</v>
      </c>
      <c r="T1024" s="686" t="str">
        <f t="shared" si="154"/>
        <v>-</v>
      </c>
      <c r="U1024" s="723" t="str">
        <f t="shared" si="155"/>
        <v>-</v>
      </c>
      <c r="V1024" s="695" t="str">
        <f t="shared" si="156"/>
        <v>-</v>
      </c>
      <c r="W1024" s="711"/>
    </row>
    <row r="1025" spans="1:23" ht="16.5" hidden="1" outlineLevel="1">
      <c r="A1025" s="726"/>
      <c r="B1025" s="726"/>
      <c r="C1025" s="727"/>
      <c r="D1025" s="690"/>
      <c r="E1025" s="727"/>
      <c r="F1025" s="685"/>
      <c r="G1025" s="239"/>
      <c r="H1025" s="203"/>
      <c r="I1025" s="198"/>
      <c r="J1025" s="198"/>
      <c r="K1025" s="198"/>
      <c r="L1025" s="198"/>
      <c r="M1025" s="198"/>
      <c r="N1025" s="721" t="str">
        <f t="shared" si="148"/>
        <v>-</v>
      </c>
      <c r="O1025" s="721" t="str">
        <f t="shared" si="149"/>
        <v/>
      </c>
      <c r="P1025" s="722" t="str">
        <f t="shared" si="150"/>
        <v>-</v>
      </c>
      <c r="Q1025" s="686" t="str">
        <f t="shared" si="151"/>
        <v>-</v>
      </c>
      <c r="R1025" s="686" t="str">
        <f t="shared" si="152"/>
        <v>-</v>
      </c>
      <c r="S1025" s="686" t="str">
        <f t="shared" si="153"/>
        <v>-</v>
      </c>
      <c r="T1025" s="686" t="str">
        <f t="shared" si="154"/>
        <v>-</v>
      </c>
      <c r="U1025" s="723" t="str">
        <f t="shared" si="155"/>
        <v>-</v>
      </c>
      <c r="V1025" s="695" t="str">
        <f t="shared" si="156"/>
        <v>-</v>
      </c>
      <c r="W1025" s="711"/>
    </row>
    <row r="1026" spans="1:23" ht="49.5" hidden="1" outlineLevel="1">
      <c r="A1026" s="728" t="s">
        <v>1589</v>
      </c>
      <c r="B1026" s="736" t="s">
        <v>1590</v>
      </c>
      <c r="C1026" s="727"/>
      <c r="D1026" s="690"/>
      <c r="E1026" s="727"/>
      <c r="F1026" s="685"/>
      <c r="G1026" s="239"/>
      <c r="H1026" s="203"/>
      <c r="I1026" s="198"/>
      <c r="J1026" s="198"/>
      <c r="K1026" s="198"/>
      <c r="L1026" s="198"/>
      <c r="M1026" s="198"/>
      <c r="N1026" s="721" t="str">
        <f t="shared" si="148"/>
        <v>-</v>
      </c>
      <c r="O1026" s="721" t="str">
        <f t="shared" si="149"/>
        <v/>
      </c>
      <c r="P1026" s="722" t="str">
        <f t="shared" si="150"/>
        <v>-</v>
      </c>
      <c r="Q1026" s="686" t="str">
        <f t="shared" si="151"/>
        <v>-</v>
      </c>
      <c r="R1026" s="686" t="str">
        <f t="shared" si="152"/>
        <v>-</v>
      </c>
      <c r="S1026" s="686" t="str">
        <f t="shared" si="153"/>
        <v>-</v>
      </c>
      <c r="T1026" s="686" t="str">
        <f t="shared" si="154"/>
        <v>-</v>
      </c>
      <c r="U1026" s="723" t="str">
        <f t="shared" si="155"/>
        <v>-</v>
      </c>
      <c r="V1026" s="695" t="str">
        <f t="shared" si="156"/>
        <v>-</v>
      </c>
      <c r="W1026" s="711"/>
    </row>
    <row r="1027" spans="1:23" ht="16.5" hidden="1" outlineLevel="1">
      <c r="A1027" s="209" t="s">
        <v>1591</v>
      </c>
      <c r="B1027" s="209" t="s">
        <v>463</v>
      </c>
      <c r="C1027" s="727"/>
      <c r="D1027" s="690"/>
      <c r="E1027" s="727"/>
      <c r="F1027" s="685">
        <v>1</v>
      </c>
      <c r="G1027" s="239">
        <v>3</v>
      </c>
      <c r="H1027" s="203"/>
      <c r="I1027" s="198"/>
      <c r="J1027" s="198"/>
      <c r="K1027" s="198"/>
      <c r="L1027" s="198"/>
      <c r="M1027" s="198"/>
      <c r="N1027" s="721" t="str">
        <f t="shared" si="148"/>
        <v>-</v>
      </c>
      <c r="O1027" s="721" t="str">
        <f t="shared" si="149"/>
        <v/>
      </c>
      <c r="P1027" s="722" t="str">
        <f t="shared" si="150"/>
        <v>-</v>
      </c>
      <c r="Q1027" s="686" t="str">
        <f t="shared" si="151"/>
        <v>-</v>
      </c>
      <c r="R1027" s="686" t="str">
        <f t="shared" si="152"/>
        <v>-</v>
      </c>
      <c r="S1027" s="686" t="str">
        <f t="shared" si="153"/>
        <v>-</v>
      </c>
      <c r="T1027" s="686" t="str">
        <f t="shared" si="154"/>
        <v>-</v>
      </c>
      <c r="U1027" s="723" t="str">
        <f t="shared" si="155"/>
        <v>-</v>
      </c>
      <c r="V1027" s="695" t="str">
        <f t="shared" si="156"/>
        <v>-</v>
      </c>
      <c r="W1027" s="711"/>
    </row>
    <row r="1028" spans="1:23" ht="16.5" hidden="1" outlineLevel="1">
      <c r="A1028" s="726"/>
      <c r="B1028" s="726" t="s">
        <v>464</v>
      </c>
      <c r="C1028" s="727"/>
      <c r="D1028" s="690"/>
      <c r="E1028" s="727"/>
      <c r="F1028" s="685">
        <v>1</v>
      </c>
      <c r="G1028" s="239"/>
      <c r="H1028" s="203"/>
      <c r="I1028" s="198"/>
      <c r="J1028" s="198"/>
      <c r="K1028" s="198"/>
      <c r="L1028" s="198"/>
      <c r="M1028" s="198"/>
      <c r="N1028" s="721" t="str">
        <f t="shared" si="148"/>
        <v>-</v>
      </c>
      <c r="O1028" s="721" t="str">
        <f t="shared" si="149"/>
        <v/>
      </c>
      <c r="P1028" s="722" t="str">
        <f t="shared" si="150"/>
        <v>-</v>
      </c>
      <c r="Q1028" s="686" t="str">
        <f t="shared" si="151"/>
        <v>-</v>
      </c>
      <c r="R1028" s="686" t="str">
        <f t="shared" si="152"/>
        <v>-</v>
      </c>
      <c r="S1028" s="686" t="str">
        <f t="shared" si="153"/>
        <v>-</v>
      </c>
      <c r="T1028" s="686" t="str">
        <f t="shared" si="154"/>
        <v>-</v>
      </c>
      <c r="U1028" s="723" t="str">
        <f t="shared" si="155"/>
        <v>-</v>
      </c>
      <c r="V1028" s="695" t="str">
        <f t="shared" si="156"/>
        <v>-</v>
      </c>
      <c r="W1028" s="711"/>
    </row>
    <row r="1029" spans="1:23" ht="16.5" hidden="1" outlineLevel="1">
      <c r="A1029" s="726"/>
      <c r="B1029" s="726" t="s">
        <v>465</v>
      </c>
      <c r="C1029" s="727">
        <v>8</v>
      </c>
      <c r="D1029" s="690"/>
      <c r="E1029" s="720" t="s">
        <v>1557</v>
      </c>
      <c r="F1029" s="685">
        <v>1</v>
      </c>
      <c r="G1029" s="239">
        <v>3</v>
      </c>
      <c r="H1029" s="203">
        <f>(4700/150)+1</f>
        <v>32.333333333333329</v>
      </c>
      <c r="I1029" s="840">
        <v>150</v>
      </c>
      <c r="J1029" s="198">
        <f>1300-100</f>
        <v>1200</v>
      </c>
      <c r="K1029" s="840">
        <v>150</v>
      </c>
      <c r="L1029" s="198"/>
      <c r="M1029" s="198"/>
      <c r="N1029" s="721">
        <f t="shared" si="148"/>
        <v>1468</v>
      </c>
      <c r="O1029" s="721">
        <f t="shared" si="149"/>
        <v>0</v>
      </c>
      <c r="P1029" s="722">
        <f t="shared" si="150"/>
        <v>142.39599999999999</v>
      </c>
      <c r="Q1029" s="686" t="str">
        <f t="shared" si="151"/>
        <v>-</v>
      </c>
      <c r="R1029" s="686" t="str">
        <f t="shared" si="152"/>
        <v>-</v>
      </c>
      <c r="S1029" s="686" t="str">
        <f t="shared" si="153"/>
        <v>-</v>
      </c>
      <c r="T1029" s="686" t="str">
        <f t="shared" si="154"/>
        <v>-</v>
      </c>
      <c r="U1029" s="723" t="str">
        <f t="shared" si="155"/>
        <v>-</v>
      </c>
      <c r="V1029" s="695" t="str">
        <f t="shared" si="156"/>
        <v>-</v>
      </c>
      <c r="W1029" s="711"/>
    </row>
    <row r="1030" spans="1:23" ht="16.5" hidden="1" outlineLevel="1">
      <c r="A1030" s="726"/>
      <c r="B1030" s="726" t="s">
        <v>466</v>
      </c>
      <c r="C1030" s="727">
        <v>8</v>
      </c>
      <c r="D1030" s="690"/>
      <c r="E1030" s="720" t="s">
        <v>1557</v>
      </c>
      <c r="F1030" s="685">
        <v>1</v>
      </c>
      <c r="G1030" s="239">
        <v>3</v>
      </c>
      <c r="H1030" s="203">
        <f>(1200/200)+1</f>
        <v>7</v>
      </c>
      <c r="I1030" s="840">
        <v>150</v>
      </c>
      <c r="J1030" s="198">
        <f>4800-100</f>
        <v>4700</v>
      </c>
      <c r="K1030" s="840">
        <v>150</v>
      </c>
      <c r="L1030" s="198"/>
      <c r="M1030" s="198"/>
      <c r="N1030" s="721">
        <f t="shared" si="148"/>
        <v>4968</v>
      </c>
      <c r="O1030" s="721">
        <f t="shared" si="149"/>
        <v>0</v>
      </c>
      <c r="P1030" s="722">
        <f t="shared" si="150"/>
        <v>104.328</v>
      </c>
      <c r="Q1030" s="686" t="str">
        <f t="shared" si="151"/>
        <v>-</v>
      </c>
      <c r="R1030" s="686" t="str">
        <f t="shared" si="152"/>
        <v>-</v>
      </c>
      <c r="S1030" s="686" t="str">
        <f t="shared" si="153"/>
        <v>-</v>
      </c>
      <c r="T1030" s="686" t="str">
        <f t="shared" si="154"/>
        <v>-</v>
      </c>
      <c r="U1030" s="723" t="str">
        <f t="shared" si="155"/>
        <v>-</v>
      </c>
      <c r="V1030" s="695" t="str">
        <f t="shared" si="156"/>
        <v>-</v>
      </c>
      <c r="W1030" s="711"/>
    </row>
    <row r="1031" spans="1:23" ht="16.5" hidden="1" outlineLevel="1">
      <c r="A1031" s="726"/>
      <c r="B1031" s="726" t="s">
        <v>467</v>
      </c>
      <c r="C1031" s="727"/>
      <c r="D1031" s="690"/>
      <c r="E1031" s="727"/>
      <c r="F1031" s="685">
        <v>1</v>
      </c>
      <c r="G1031" s="239"/>
      <c r="H1031" s="203"/>
      <c r="I1031" s="198"/>
      <c r="J1031" s="198"/>
      <c r="K1031" s="198"/>
      <c r="L1031" s="198"/>
      <c r="M1031" s="198"/>
      <c r="N1031" s="721" t="str">
        <f t="shared" si="148"/>
        <v>-</v>
      </c>
      <c r="O1031" s="721" t="str">
        <f t="shared" si="149"/>
        <v/>
      </c>
      <c r="P1031" s="722" t="str">
        <f t="shared" si="150"/>
        <v>-</v>
      </c>
      <c r="Q1031" s="686" t="str">
        <f t="shared" si="151"/>
        <v>-</v>
      </c>
      <c r="R1031" s="686" t="str">
        <f t="shared" si="152"/>
        <v>-</v>
      </c>
      <c r="S1031" s="686" t="str">
        <f t="shared" si="153"/>
        <v>-</v>
      </c>
      <c r="T1031" s="686" t="str">
        <f t="shared" si="154"/>
        <v>-</v>
      </c>
      <c r="U1031" s="723" t="str">
        <f t="shared" si="155"/>
        <v>-</v>
      </c>
      <c r="V1031" s="695" t="str">
        <f t="shared" si="156"/>
        <v>-</v>
      </c>
      <c r="W1031" s="711"/>
    </row>
    <row r="1032" spans="1:23" ht="16.5" hidden="1" outlineLevel="1">
      <c r="A1032" s="726"/>
      <c r="B1032" s="726" t="s">
        <v>465</v>
      </c>
      <c r="C1032" s="727">
        <v>8</v>
      </c>
      <c r="D1032" s="690"/>
      <c r="E1032" s="720" t="s">
        <v>1557</v>
      </c>
      <c r="F1032" s="685">
        <v>1</v>
      </c>
      <c r="G1032" s="239">
        <v>3</v>
      </c>
      <c r="H1032" s="203">
        <f>(4700/150)+1</f>
        <v>32.333333333333329</v>
      </c>
      <c r="I1032" s="840">
        <v>150</v>
      </c>
      <c r="J1032" s="198">
        <f>1300-100</f>
        <v>1200</v>
      </c>
      <c r="K1032" s="840">
        <v>150</v>
      </c>
      <c r="L1032" s="198"/>
      <c r="M1032" s="198"/>
      <c r="N1032" s="721">
        <f t="shared" si="148"/>
        <v>1468</v>
      </c>
      <c r="O1032" s="721">
        <f t="shared" si="149"/>
        <v>0</v>
      </c>
      <c r="P1032" s="722">
        <f t="shared" si="150"/>
        <v>142.39599999999999</v>
      </c>
      <c r="Q1032" s="686" t="str">
        <f t="shared" si="151"/>
        <v>-</v>
      </c>
      <c r="R1032" s="686" t="str">
        <f t="shared" si="152"/>
        <v>-</v>
      </c>
      <c r="S1032" s="686" t="str">
        <f t="shared" si="153"/>
        <v>-</v>
      </c>
      <c r="T1032" s="686" t="str">
        <f t="shared" si="154"/>
        <v>-</v>
      </c>
      <c r="U1032" s="723" t="str">
        <f t="shared" si="155"/>
        <v>-</v>
      </c>
      <c r="V1032" s="695" t="str">
        <f t="shared" si="156"/>
        <v>-</v>
      </c>
      <c r="W1032" s="711"/>
    </row>
    <row r="1033" spans="1:23" ht="16.5" hidden="1" outlineLevel="1">
      <c r="A1033" s="726"/>
      <c r="B1033" s="726" t="s">
        <v>466</v>
      </c>
      <c r="C1033" s="727">
        <v>8</v>
      </c>
      <c r="D1033" s="690"/>
      <c r="E1033" s="720" t="s">
        <v>1557</v>
      </c>
      <c r="F1033" s="685">
        <v>1</v>
      </c>
      <c r="G1033" s="239">
        <v>3</v>
      </c>
      <c r="H1033" s="203">
        <f>(1200/200)+1</f>
        <v>7</v>
      </c>
      <c r="I1033" s="840">
        <v>150</v>
      </c>
      <c r="J1033" s="198">
        <f>4800-100</f>
        <v>4700</v>
      </c>
      <c r="K1033" s="840">
        <v>150</v>
      </c>
      <c r="L1033" s="198"/>
      <c r="M1033" s="198"/>
      <c r="N1033" s="721">
        <f t="shared" si="148"/>
        <v>4968</v>
      </c>
      <c r="O1033" s="721">
        <f t="shared" si="149"/>
        <v>0</v>
      </c>
      <c r="P1033" s="722">
        <f t="shared" si="150"/>
        <v>104.328</v>
      </c>
      <c r="Q1033" s="686" t="str">
        <f t="shared" si="151"/>
        <v>-</v>
      </c>
      <c r="R1033" s="686" t="str">
        <f t="shared" si="152"/>
        <v>-</v>
      </c>
      <c r="S1033" s="686" t="str">
        <f t="shared" si="153"/>
        <v>-</v>
      </c>
      <c r="T1033" s="686" t="str">
        <f t="shared" si="154"/>
        <v>-</v>
      </c>
      <c r="U1033" s="723" t="str">
        <f t="shared" si="155"/>
        <v>-</v>
      </c>
      <c r="V1033" s="695" t="str">
        <f t="shared" si="156"/>
        <v>-</v>
      </c>
      <c r="W1033" s="711"/>
    </row>
    <row r="1034" spans="1:23" ht="16.5" hidden="1" outlineLevel="1">
      <c r="A1034" s="726"/>
      <c r="B1034" s="726" t="s">
        <v>468</v>
      </c>
      <c r="C1034" s="727">
        <v>10</v>
      </c>
      <c r="D1034" s="690"/>
      <c r="E1034" s="691" t="s">
        <v>1566</v>
      </c>
      <c r="F1034" s="685">
        <v>1</v>
      </c>
      <c r="G1034" s="239">
        <v>3</v>
      </c>
      <c r="H1034" s="249">
        <v>6</v>
      </c>
      <c r="I1034" s="198">
        <v>300</v>
      </c>
      <c r="J1034" s="198">
        <f>300-100-32</f>
        <v>168</v>
      </c>
      <c r="K1034" s="198">
        <v>500</v>
      </c>
      <c r="L1034" s="198">
        <f>300-100-32</f>
        <v>168</v>
      </c>
      <c r="M1034" s="198">
        <v>300</v>
      </c>
      <c r="N1034" s="721">
        <f t="shared" si="148"/>
        <v>1356</v>
      </c>
      <c r="O1034" s="721">
        <f t="shared" si="149"/>
        <v>0</v>
      </c>
      <c r="P1034" s="722" t="str">
        <f t="shared" si="150"/>
        <v>-</v>
      </c>
      <c r="Q1034" s="686">
        <f t="shared" si="151"/>
        <v>24.408000000000001</v>
      </c>
      <c r="R1034" s="686" t="str">
        <f t="shared" si="152"/>
        <v>-</v>
      </c>
      <c r="S1034" s="686" t="str">
        <f t="shared" si="153"/>
        <v>-</v>
      </c>
      <c r="T1034" s="686" t="str">
        <f t="shared" si="154"/>
        <v>-</v>
      </c>
      <c r="U1034" s="723" t="str">
        <f t="shared" si="155"/>
        <v>-</v>
      </c>
      <c r="V1034" s="695" t="str">
        <f t="shared" si="156"/>
        <v>-</v>
      </c>
      <c r="W1034" s="711"/>
    </row>
    <row r="1035" spans="1:23" ht="16.5" hidden="1" outlineLevel="1">
      <c r="A1035" s="726"/>
      <c r="B1035" s="726"/>
      <c r="C1035" s="727"/>
      <c r="D1035" s="690"/>
      <c r="E1035" s="727"/>
      <c r="F1035" s="685">
        <v>1</v>
      </c>
      <c r="G1035" s="239"/>
      <c r="H1035" s="203"/>
      <c r="I1035" s="198"/>
      <c r="J1035" s="198"/>
      <c r="K1035" s="198"/>
      <c r="L1035" s="198"/>
      <c r="M1035" s="198"/>
      <c r="N1035" s="721" t="str">
        <f t="shared" si="148"/>
        <v>-</v>
      </c>
      <c r="O1035" s="721" t="str">
        <f t="shared" si="149"/>
        <v/>
      </c>
      <c r="P1035" s="722" t="str">
        <f t="shared" si="150"/>
        <v>-</v>
      </c>
      <c r="Q1035" s="686" t="str">
        <f t="shared" si="151"/>
        <v>-</v>
      </c>
      <c r="R1035" s="686" t="str">
        <f t="shared" si="152"/>
        <v>-</v>
      </c>
      <c r="S1035" s="686" t="str">
        <f t="shared" si="153"/>
        <v>-</v>
      </c>
      <c r="T1035" s="686" t="str">
        <f t="shared" si="154"/>
        <v>-</v>
      </c>
      <c r="U1035" s="723" t="str">
        <f t="shared" si="155"/>
        <v>-</v>
      </c>
      <c r="V1035" s="695" t="str">
        <f t="shared" si="156"/>
        <v>-</v>
      </c>
      <c r="W1035" s="711"/>
    </row>
    <row r="1036" spans="1:23" ht="16.5" hidden="1" outlineLevel="1">
      <c r="A1036" s="209" t="s">
        <v>1592</v>
      </c>
      <c r="B1036" s="209" t="s">
        <v>470</v>
      </c>
      <c r="C1036" s="727"/>
      <c r="D1036" s="690"/>
      <c r="E1036" s="727"/>
      <c r="F1036" s="685">
        <v>1</v>
      </c>
      <c r="G1036" s="239"/>
      <c r="H1036" s="203"/>
      <c r="I1036" s="198"/>
      <c r="J1036" s="198"/>
      <c r="K1036" s="198"/>
      <c r="L1036" s="198"/>
      <c r="M1036" s="198"/>
      <c r="N1036" s="721" t="str">
        <f t="shared" si="148"/>
        <v>-</v>
      </c>
      <c r="O1036" s="721" t="str">
        <f t="shared" si="149"/>
        <v/>
      </c>
      <c r="P1036" s="722" t="str">
        <f t="shared" si="150"/>
        <v>-</v>
      </c>
      <c r="Q1036" s="686" t="str">
        <f t="shared" si="151"/>
        <v>-</v>
      </c>
      <c r="R1036" s="686" t="str">
        <f t="shared" si="152"/>
        <v>-</v>
      </c>
      <c r="S1036" s="686" t="str">
        <f t="shared" si="153"/>
        <v>-</v>
      </c>
      <c r="T1036" s="686" t="str">
        <f t="shared" si="154"/>
        <v>-</v>
      </c>
      <c r="U1036" s="723" t="str">
        <f t="shared" si="155"/>
        <v>-</v>
      </c>
      <c r="V1036" s="695" t="str">
        <f t="shared" si="156"/>
        <v>-</v>
      </c>
      <c r="W1036" s="711"/>
    </row>
    <row r="1037" spans="1:23" ht="16.5" hidden="1" outlineLevel="1">
      <c r="A1037" s="726"/>
      <c r="B1037" s="726" t="s">
        <v>471</v>
      </c>
      <c r="C1037" s="727">
        <v>8</v>
      </c>
      <c r="D1037" s="690"/>
      <c r="E1037" s="737" t="s">
        <v>1593</v>
      </c>
      <c r="F1037" s="685">
        <v>1</v>
      </c>
      <c r="G1037" s="239">
        <f>2*2*2</f>
        <v>8</v>
      </c>
      <c r="H1037" s="203">
        <f>(4700/150)+1</f>
        <v>32.333333333333329</v>
      </c>
      <c r="I1037" s="198">
        <v>250</v>
      </c>
      <c r="J1037" s="198">
        <f>300+1025-50-25+150</f>
        <v>1400</v>
      </c>
      <c r="K1037" s="198"/>
      <c r="L1037" s="198"/>
      <c r="M1037" s="198"/>
      <c r="N1037" s="721">
        <f t="shared" si="148"/>
        <v>1634</v>
      </c>
      <c r="O1037" s="721">
        <f t="shared" si="149"/>
        <v>0</v>
      </c>
      <c r="P1037" s="722">
        <f t="shared" si="150"/>
        <v>422.661</v>
      </c>
      <c r="Q1037" s="686" t="str">
        <f t="shared" si="151"/>
        <v>-</v>
      </c>
      <c r="R1037" s="686" t="str">
        <f t="shared" si="152"/>
        <v>-</v>
      </c>
      <c r="S1037" s="686" t="str">
        <f t="shared" si="153"/>
        <v>-</v>
      </c>
      <c r="T1037" s="686" t="str">
        <f t="shared" si="154"/>
        <v>-</v>
      </c>
      <c r="U1037" s="723" t="str">
        <f t="shared" si="155"/>
        <v>-</v>
      </c>
      <c r="V1037" s="695" t="str">
        <f t="shared" si="156"/>
        <v>-</v>
      </c>
      <c r="W1037" s="711"/>
    </row>
    <row r="1038" spans="1:23" ht="16.5" hidden="1" outlineLevel="1">
      <c r="A1038" s="726"/>
      <c r="B1038" s="726" t="s">
        <v>472</v>
      </c>
      <c r="C1038" s="727">
        <v>8</v>
      </c>
      <c r="D1038" s="690"/>
      <c r="E1038" s="720" t="s">
        <v>1557</v>
      </c>
      <c r="F1038" s="685">
        <v>1</v>
      </c>
      <c r="G1038" s="239">
        <f>2*2*2</f>
        <v>8</v>
      </c>
      <c r="H1038" s="203">
        <f>(1050/200)+1</f>
        <v>6.25</v>
      </c>
      <c r="I1038" s="198">
        <f>8*50</f>
        <v>400</v>
      </c>
      <c r="J1038" s="198">
        <f>4500-25-25</f>
        <v>4450</v>
      </c>
      <c r="K1038" s="198">
        <v>400</v>
      </c>
      <c r="L1038" s="198"/>
      <c r="M1038" s="198"/>
      <c r="N1038" s="721">
        <f t="shared" si="148"/>
        <v>5218</v>
      </c>
      <c r="O1038" s="721">
        <f t="shared" si="149"/>
        <v>0</v>
      </c>
      <c r="P1038" s="722">
        <f t="shared" si="150"/>
        <v>260.89999999999998</v>
      </c>
      <c r="Q1038" s="686" t="str">
        <f t="shared" si="151"/>
        <v>-</v>
      </c>
      <c r="R1038" s="686" t="str">
        <f t="shared" si="152"/>
        <v>-</v>
      </c>
      <c r="S1038" s="686" t="str">
        <f t="shared" si="153"/>
        <v>-</v>
      </c>
      <c r="T1038" s="686" t="str">
        <f t="shared" si="154"/>
        <v>-</v>
      </c>
      <c r="U1038" s="723" t="str">
        <f t="shared" si="155"/>
        <v>-</v>
      </c>
      <c r="V1038" s="695" t="str">
        <f t="shared" si="156"/>
        <v>-</v>
      </c>
      <c r="W1038" s="711"/>
    </row>
    <row r="1039" spans="1:23" ht="16.5" hidden="1" outlineLevel="1">
      <c r="A1039" s="726"/>
      <c r="B1039" s="726"/>
      <c r="C1039" s="727">
        <v>8</v>
      </c>
      <c r="D1039" s="690"/>
      <c r="E1039" s="720" t="s">
        <v>1557</v>
      </c>
      <c r="F1039" s="685">
        <v>1</v>
      </c>
      <c r="G1039" s="239">
        <f>2*2*2</f>
        <v>8</v>
      </c>
      <c r="H1039" s="203">
        <f>(1050/200)+1</f>
        <v>6.25</v>
      </c>
      <c r="I1039" s="198">
        <f>8*50</f>
        <v>400</v>
      </c>
      <c r="J1039" s="198">
        <f>1000-25-25</f>
        <v>950</v>
      </c>
      <c r="K1039" s="198">
        <v>400</v>
      </c>
      <c r="L1039" s="198"/>
      <c r="M1039" s="198"/>
      <c r="N1039" s="721">
        <f t="shared" si="148"/>
        <v>1718</v>
      </c>
      <c r="O1039" s="721">
        <f t="shared" si="149"/>
        <v>0</v>
      </c>
      <c r="P1039" s="722">
        <f t="shared" si="150"/>
        <v>85.9</v>
      </c>
      <c r="Q1039" s="686" t="str">
        <f t="shared" si="151"/>
        <v>-</v>
      </c>
      <c r="R1039" s="686" t="str">
        <f t="shared" si="152"/>
        <v>-</v>
      </c>
      <c r="S1039" s="686" t="str">
        <f t="shared" si="153"/>
        <v>-</v>
      </c>
      <c r="T1039" s="686" t="str">
        <f t="shared" si="154"/>
        <v>-</v>
      </c>
      <c r="U1039" s="723" t="str">
        <f t="shared" si="155"/>
        <v>-</v>
      </c>
      <c r="V1039" s="695" t="str">
        <f t="shared" si="156"/>
        <v>-</v>
      </c>
      <c r="W1039" s="711"/>
    </row>
    <row r="1040" spans="1:23" ht="16.5" hidden="1" outlineLevel="1">
      <c r="A1040" s="726"/>
      <c r="B1040" s="726" t="s">
        <v>473</v>
      </c>
      <c r="C1040" s="727">
        <v>8</v>
      </c>
      <c r="D1040" s="690"/>
      <c r="E1040" s="720" t="s">
        <v>1557</v>
      </c>
      <c r="F1040" s="685">
        <v>1</v>
      </c>
      <c r="G1040" s="239">
        <f>2*2</f>
        <v>4</v>
      </c>
      <c r="H1040" s="249">
        <v>14</v>
      </c>
      <c r="I1040" s="198">
        <v>300</v>
      </c>
      <c r="J1040" s="198">
        <f>200-50-32</f>
        <v>118</v>
      </c>
      <c r="K1040" s="198">
        <v>300</v>
      </c>
      <c r="L1040" s="198"/>
      <c r="M1040" s="198"/>
      <c r="N1040" s="721">
        <f t="shared" si="148"/>
        <v>686</v>
      </c>
      <c r="O1040" s="721">
        <f t="shared" si="149"/>
        <v>0</v>
      </c>
      <c r="P1040" s="722">
        <f t="shared" si="150"/>
        <v>38.415999999999997</v>
      </c>
      <c r="Q1040" s="686" t="str">
        <f t="shared" si="151"/>
        <v>-</v>
      </c>
      <c r="R1040" s="686" t="str">
        <f t="shared" si="152"/>
        <v>-</v>
      </c>
      <c r="S1040" s="686" t="str">
        <f t="shared" si="153"/>
        <v>-</v>
      </c>
      <c r="T1040" s="686" t="str">
        <f t="shared" si="154"/>
        <v>-</v>
      </c>
      <c r="U1040" s="723" t="str">
        <f t="shared" si="155"/>
        <v>-</v>
      </c>
      <c r="V1040" s="695" t="str">
        <f t="shared" si="156"/>
        <v>-</v>
      </c>
      <c r="W1040" s="711"/>
    </row>
    <row r="1041" spans="1:23" ht="16.5" hidden="1" outlineLevel="1">
      <c r="A1041" s="726"/>
      <c r="B1041" s="726"/>
      <c r="C1041" s="727"/>
      <c r="D1041" s="690"/>
      <c r="E1041" s="727"/>
      <c r="F1041" s="685">
        <v>1</v>
      </c>
      <c r="G1041" s="239"/>
      <c r="H1041" s="203"/>
      <c r="I1041" s="198"/>
      <c r="J1041" s="198"/>
      <c r="K1041" s="198"/>
      <c r="L1041" s="198"/>
      <c r="M1041" s="198"/>
      <c r="N1041" s="721" t="str">
        <f t="shared" si="148"/>
        <v>-</v>
      </c>
      <c r="O1041" s="721" t="str">
        <f t="shared" si="149"/>
        <v/>
      </c>
      <c r="P1041" s="722" t="str">
        <f t="shared" si="150"/>
        <v>-</v>
      </c>
      <c r="Q1041" s="686" t="str">
        <f t="shared" si="151"/>
        <v>-</v>
      </c>
      <c r="R1041" s="686" t="str">
        <f t="shared" si="152"/>
        <v>-</v>
      </c>
      <c r="S1041" s="686" t="str">
        <f t="shared" si="153"/>
        <v>-</v>
      </c>
      <c r="T1041" s="686" t="str">
        <f t="shared" si="154"/>
        <v>-</v>
      </c>
      <c r="U1041" s="723" t="str">
        <f t="shared" si="155"/>
        <v>-</v>
      </c>
      <c r="V1041" s="695" t="str">
        <f t="shared" si="156"/>
        <v>-</v>
      </c>
      <c r="W1041" s="711"/>
    </row>
    <row r="1042" spans="1:23" ht="16.5" hidden="1" outlineLevel="1">
      <c r="A1042" s="209" t="s">
        <v>1594</v>
      </c>
      <c r="B1042" s="209" t="s">
        <v>475</v>
      </c>
      <c r="C1042" s="727"/>
      <c r="D1042" s="690"/>
      <c r="E1042" s="727"/>
      <c r="F1042" s="685">
        <v>1</v>
      </c>
      <c r="G1042" s="239">
        <v>6</v>
      </c>
      <c r="H1042" s="203"/>
      <c r="I1042" s="198"/>
      <c r="J1042" s="198"/>
      <c r="K1042" s="198"/>
      <c r="L1042" s="198"/>
      <c r="M1042" s="198"/>
      <c r="N1042" s="721" t="str">
        <f t="shared" si="148"/>
        <v>-</v>
      </c>
      <c r="O1042" s="721" t="str">
        <f t="shared" si="149"/>
        <v/>
      </c>
      <c r="P1042" s="722" t="str">
        <f t="shared" si="150"/>
        <v>-</v>
      </c>
      <c r="Q1042" s="686" t="str">
        <f t="shared" si="151"/>
        <v>-</v>
      </c>
      <c r="R1042" s="686" t="str">
        <f t="shared" si="152"/>
        <v>-</v>
      </c>
      <c r="S1042" s="686" t="str">
        <f t="shared" si="153"/>
        <v>-</v>
      </c>
      <c r="T1042" s="686" t="str">
        <f t="shared" si="154"/>
        <v>-</v>
      </c>
      <c r="U1042" s="723" t="str">
        <f t="shared" si="155"/>
        <v>-</v>
      </c>
      <c r="V1042" s="695" t="str">
        <f t="shared" si="156"/>
        <v>-</v>
      </c>
      <c r="W1042" s="711"/>
    </row>
    <row r="1043" spans="1:23" ht="16.5" hidden="1" outlineLevel="1">
      <c r="A1043" s="726"/>
      <c r="B1043" s="726" t="s">
        <v>464</v>
      </c>
      <c r="C1043" s="727"/>
      <c r="D1043" s="690"/>
      <c r="E1043" s="727"/>
      <c r="F1043" s="685">
        <v>1</v>
      </c>
      <c r="G1043" s="239"/>
      <c r="H1043" s="203"/>
      <c r="I1043" s="198"/>
      <c r="J1043" s="198"/>
      <c r="K1043" s="198"/>
      <c r="L1043" s="198"/>
      <c r="M1043" s="198"/>
      <c r="N1043" s="721" t="str">
        <f t="shared" si="148"/>
        <v>-</v>
      </c>
      <c r="O1043" s="721" t="str">
        <f t="shared" si="149"/>
        <v/>
      </c>
      <c r="P1043" s="722" t="str">
        <f t="shared" si="150"/>
        <v>-</v>
      </c>
      <c r="Q1043" s="686" t="str">
        <f t="shared" si="151"/>
        <v>-</v>
      </c>
      <c r="R1043" s="686" t="str">
        <f t="shared" si="152"/>
        <v>-</v>
      </c>
      <c r="S1043" s="686" t="str">
        <f t="shared" si="153"/>
        <v>-</v>
      </c>
      <c r="T1043" s="686" t="str">
        <f t="shared" si="154"/>
        <v>-</v>
      </c>
      <c r="U1043" s="723" t="str">
        <f t="shared" si="155"/>
        <v>-</v>
      </c>
      <c r="V1043" s="695" t="str">
        <f t="shared" si="156"/>
        <v>-</v>
      </c>
      <c r="W1043" s="711"/>
    </row>
    <row r="1044" spans="1:23" ht="16.5" hidden="1" outlineLevel="1">
      <c r="A1044" s="726"/>
      <c r="B1044" s="726" t="s">
        <v>465</v>
      </c>
      <c r="C1044" s="727">
        <v>8</v>
      </c>
      <c r="D1044" s="690"/>
      <c r="E1044" s="720" t="s">
        <v>1557</v>
      </c>
      <c r="F1044" s="685">
        <v>1</v>
      </c>
      <c r="G1044" s="239">
        <v>6</v>
      </c>
      <c r="H1044" s="203">
        <f>(4700/150)+1</f>
        <v>32.333333333333329</v>
      </c>
      <c r="I1044" s="840">
        <v>150</v>
      </c>
      <c r="J1044" s="198">
        <f>1150-100</f>
        <v>1050</v>
      </c>
      <c r="K1044" s="840">
        <v>150</v>
      </c>
      <c r="L1044" s="198"/>
      <c r="M1044" s="198"/>
      <c r="N1044" s="721">
        <f t="shared" si="148"/>
        <v>1318</v>
      </c>
      <c r="O1044" s="721">
        <f t="shared" si="149"/>
        <v>0</v>
      </c>
      <c r="P1044" s="722">
        <f t="shared" si="150"/>
        <v>255.69200000000001</v>
      </c>
      <c r="Q1044" s="686" t="str">
        <f t="shared" si="151"/>
        <v>-</v>
      </c>
      <c r="R1044" s="686" t="str">
        <f t="shared" si="152"/>
        <v>-</v>
      </c>
      <c r="S1044" s="686" t="str">
        <f t="shared" si="153"/>
        <v>-</v>
      </c>
      <c r="T1044" s="686" t="str">
        <f t="shared" si="154"/>
        <v>-</v>
      </c>
      <c r="U1044" s="723" t="str">
        <f t="shared" si="155"/>
        <v>-</v>
      </c>
      <c r="V1044" s="695" t="str">
        <f t="shared" si="156"/>
        <v>-</v>
      </c>
      <c r="W1044" s="711"/>
    </row>
    <row r="1045" spans="1:23" ht="16.5" hidden="1" outlineLevel="1">
      <c r="A1045" s="726"/>
      <c r="B1045" s="726" t="s">
        <v>466</v>
      </c>
      <c r="C1045" s="727">
        <v>8</v>
      </c>
      <c r="D1045" s="690"/>
      <c r="E1045" s="720" t="s">
        <v>1557</v>
      </c>
      <c r="F1045" s="685">
        <v>1</v>
      </c>
      <c r="G1045" s="239">
        <v>6</v>
      </c>
      <c r="H1045" s="203">
        <f>(1150/200)+1</f>
        <v>6.75</v>
      </c>
      <c r="I1045" s="840">
        <v>150</v>
      </c>
      <c r="J1045" s="198">
        <f>4800-100</f>
        <v>4700</v>
      </c>
      <c r="K1045" s="840">
        <v>150</v>
      </c>
      <c r="L1045" s="198"/>
      <c r="M1045" s="198"/>
      <c r="N1045" s="721">
        <f t="shared" si="148"/>
        <v>4968</v>
      </c>
      <c r="O1045" s="721">
        <f t="shared" si="149"/>
        <v>0</v>
      </c>
      <c r="P1045" s="722">
        <f t="shared" si="150"/>
        <v>201.20400000000001</v>
      </c>
      <c r="Q1045" s="686" t="str">
        <f t="shared" si="151"/>
        <v>-</v>
      </c>
      <c r="R1045" s="686" t="str">
        <f t="shared" si="152"/>
        <v>-</v>
      </c>
      <c r="S1045" s="686" t="str">
        <f t="shared" si="153"/>
        <v>-</v>
      </c>
      <c r="T1045" s="686" t="str">
        <f t="shared" si="154"/>
        <v>-</v>
      </c>
      <c r="U1045" s="723" t="str">
        <f t="shared" si="155"/>
        <v>-</v>
      </c>
      <c r="V1045" s="695" t="str">
        <f t="shared" si="156"/>
        <v>-</v>
      </c>
      <c r="W1045" s="711"/>
    </row>
    <row r="1046" spans="1:23" ht="16.5" hidden="1" outlineLevel="1">
      <c r="A1046" s="726"/>
      <c r="B1046" s="726" t="s">
        <v>467</v>
      </c>
      <c r="C1046" s="727"/>
      <c r="D1046" s="690"/>
      <c r="E1046" s="727"/>
      <c r="F1046" s="685">
        <v>1</v>
      </c>
      <c r="G1046" s="239"/>
      <c r="H1046" s="203"/>
      <c r="I1046" s="198"/>
      <c r="J1046" s="198"/>
      <c r="K1046" s="198"/>
      <c r="L1046" s="198"/>
      <c r="M1046" s="198"/>
      <c r="N1046" s="721" t="str">
        <f t="shared" si="148"/>
        <v>-</v>
      </c>
      <c r="O1046" s="721" t="str">
        <f t="shared" si="149"/>
        <v/>
      </c>
      <c r="P1046" s="722" t="str">
        <f t="shared" si="150"/>
        <v>-</v>
      </c>
      <c r="Q1046" s="686" t="str">
        <f t="shared" si="151"/>
        <v>-</v>
      </c>
      <c r="R1046" s="686" t="str">
        <f t="shared" si="152"/>
        <v>-</v>
      </c>
      <c r="S1046" s="686" t="str">
        <f t="shared" si="153"/>
        <v>-</v>
      </c>
      <c r="T1046" s="686" t="str">
        <f t="shared" si="154"/>
        <v>-</v>
      </c>
      <c r="U1046" s="723" t="str">
        <f t="shared" si="155"/>
        <v>-</v>
      </c>
      <c r="V1046" s="695" t="str">
        <f t="shared" si="156"/>
        <v>-</v>
      </c>
      <c r="W1046" s="711"/>
    </row>
    <row r="1047" spans="1:23" ht="16.5" hidden="1" outlineLevel="1">
      <c r="A1047" s="726"/>
      <c r="B1047" s="726" t="s">
        <v>465</v>
      </c>
      <c r="C1047" s="727">
        <v>8</v>
      </c>
      <c r="D1047" s="690"/>
      <c r="E1047" s="720" t="s">
        <v>1557</v>
      </c>
      <c r="F1047" s="685">
        <v>1</v>
      </c>
      <c r="G1047" s="239">
        <v>6</v>
      </c>
      <c r="H1047" s="203">
        <f>(4700/150)+1</f>
        <v>32.333333333333329</v>
      </c>
      <c r="I1047" s="840">
        <v>150</v>
      </c>
      <c r="J1047" s="198">
        <f>1150-100</f>
        <v>1050</v>
      </c>
      <c r="K1047" s="840">
        <v>150</v>
      </c>
      <c r="L1047" s="198"/>
      <c r="M1047" s="198"/>
      <c r="N1047" s="721">
        <f t="shared" si="148"/>
        <v>1318</v>
      </c>
      <c r="O1047" s="721">
        <f t="shared" si="149"/>
        <v>0</v>
      </c>
      <c r="P1047" s="722">
        <f t="shared" si="150"/>
        <v>255.69200000000001</v>
      </c>
      <c r="Q1047" s="686" t="str">
        <f t="shared" si="151"/>
        <v>-</v>
      </c>
      <c r="R1047" s="686" t="str">
        <f t="shared" si="152"/>
        <v>-</v>
      </c>
      <c r="S1047" s="686" t="str">
        <f t="shared" si="153"/>
        <v>-</v>
      </c>
      <c r="T1047" s="686" t="str">
        <f t="shared" si="154"/>
        <v>-</v>
      </c>
      <c r="U1047" s="723" t="str">
        <f t="shared" si="155"/>
        <v>-</v>
      </c>
      <c r="V1047" s="695" t="str">
        <f t="shared" si="156"/>
        <v>-</v>
      </c>
      <c r="W1047" s="711"/>
    </row>
    <row r="1048" spans="1:23" ht="16.5" hidden="1" outlineLevel="1">
      <c r="A1048" s="726"/>
      <c r="B1048" s="726" t="s">
        <v>466</v>
      </c>
      <c r="C1048" s="727">
        <v>8</v>
      </c>
      <c r="D1048" s="690"/>
      <c r="E1048" s="720" t="s">
        <v>1557</v>
      </c>
      <c r="F1048" s="685">
        <v>1</v>
      </c>
      <c r="G1048" s="239">
        <v>6</v>
      </c>
      <c r="H1048" s="203">
        <f>(1150/200)+1</f>
        <v>6.75</v>
      </c>
      <c r="I1048" s="840">
        <v>150</v>
      </c>
      <c r="J1048" s="198">
        <f>4800-100</f>
        <v>4700</v>
      </c>
      <c r="K1048" s="840">
        <v>150</v>
      </c>
      <c r="L1048" s="198"/>
      <c r="M1048" s="198"/>
      <c r="N1048" s="721">
        <f t="shared" si="148"/>
        <v>4968</v>
      </c>
      <c r="O1048" s="721">
        <f t="shared" si="149"/>
        <v>0</v>
      </c>
      <c r="P1048" s="722">
        <f t="shared" si="150"/>
        <v>201.20400000000001</v>
      </c>
      <c r="Q1048" s="686" t="str">
        <f t="shared" si="151"/>
        <v>-</v>
      </c>
      <c r="R1048" s="686" t="str">
        <f t="shared" si="152"/>
        <v>-</v>
      </c>
      <c r="S1048" s="686" t="str">
        <f t="shared" si="153"/>
        <v>-</v>
      </c>
      <c r="T1048" s="686" t="str">
        <f t="shared" si="154"/>
        <v>-</v>
      </c>
      <c r="U1048" s="723" t="str">
        <f t="shared" si="155"/>
        <v>-</v>
      </c>
      <c r="V1048" s="695" t="str">
        <f t="shared" si="156"/>
        <v>-</v>
      </c>
      <c r="W1048" s="711"/>
    </row>
    <row r="1049" spans="1:23" ht="16.5" hidden="1" outlineLevel="1">
      <c r="A1049" s="726"/>
      <c r="B1049" s="726" t="s">
        <v>468</v>
      </c>
      <c r="C1049" s="727">
        <v>10</v>
      </c>
      <c r="D1049" s="690"/>
      <c r="E1049" s="691" t="s">
        <v>1566</v>
      </c>
      <c r="F1049" s="685">
        <v>1</v>
      </c>
      <c r="G1049" s="239">
        <v>6</v>
      </c>
      <c r="H1049" s="249">
        <v>5</v>
      </c>
      <c r="I1049" s="198">
        <v>300</v>
      </c>
      <c r="J1049" s="198">
        <f>300-100-32</f>
        <v>168</v>
      </c>
      <c r="K1049" s="198">
        <v>500</v>
      </c>
      <c r="L1049" s="198">
        <f>300-100-32</f>
        <v>168</v>
      </c>
      <c r="M1049" s="198">
        <v>300</v>
      </c>
      <c r="N1049" s="721">
        <f t="shared" si="148"/>
        <v>1356</v>
      </c>
      <c r="O1049" s="721">
        <f t="shared" si="149"/>
        <v>0</v>
      </c>
      <c r="P1049" s="722" t="str">
        <f t="shared" si="150"/>
        <v>-</v>
      </c>
      <c r="Q1049" s="686">
        <f t="shared" si="151"/>
        <v>40.68</v>
      </c>
      <c r="R1049" s="686" t="str">
        <f t="shared" si="152"/>
        <v>-</v>
      </c>
      <c r="S1049" s="686" t="str">
        <f t="shared" si="153"/>
        <v>-</v>
      </c>
      <c r="T1049" s="686" t="str">
        <f t="shared" si="154"/>
        <v>-</v>
      </c>
      <c r="U1049" s="723" t="str">
        <f t="shared" si="155"/>
        <v>-</v>
      </c>
      <c r="V1049" s="695" t="str">
        <f t="shared" si="156"/>
        <v>-</v>
      </c>
      <c r="W1049" s="711"/>
    </row>
    <row r="1050" spans="1:23" ht="16.5" hidden="1" outlineLevel="1">
      <c r="A1050" s="726"/>
      <c r="B1050" s="726"/>
      <c r="C1050" s="727"/>
      <c r="D1050" s="690"/>
      <c r="E1050" s="727"/>
      <c r="F1050" s="685">
        <v>1</v>
      </c>
      <c r="G1050" s="239"/>
      <c r="H1050" s="203"/>
      <c r="I1050" s="198"/>
      <c r="J1050" s="198"/>
      <c r="K1050" s="198"/>
      <c r="L1050" s="198"/>
      <c r="M1050" s="198"/>
      <c r="N1050" s="721" t="str">
        <f t="shared" ref="N1050:N1113" si="157">IF(E1050="L Shape",(I1050+J1050)-(C1050*2*1),IF(E1050="U Shape",(I1050+J1050+K1050)-(C1050*2*2),IF(E1050="Rectangle",(I1050+J1050+K1050+L1050)+(C1050*10*2)-(C1050*2*5),IF(E1050="Straight",J1050-(C1050*0),IF(E1050="Chair",(I1050+J1050+K1050+L1050+M1050)-(C1050*2*4),IF(E1050="U2 Shape",(I1050+J1050+K1050+L1050+M1050)-(C1050*2*4),IF(E1050="U3 Shape",(I1050+J1050+K1050+L1050)-(C1050*2*3),IF(E1050="Z Shape",(I1050+J1050+K1050)-(C1050*2*2),IF(E1050="Triangle",(I1050+J1050+K1050)+(C1050*10*2)-(C1050*2*4),IF(E1050="Trapezoid2",(I1050+I1050+J1050+K1050+K1050+L1050)+(C1050*10*2)-(C1050*2*7),IF(E1050="Trapezoid",(I1050+J1050+K1050+L1050)+(C1050*10*2)-(C1050*2*5),IF(E1050="Link",J1050+(C1050*10*2),IF(E1050="U5 Shape",(I1050+J1050+K1050+L1050)-(C1050*2*3),IF(E1050="DU2 Shape",(I1050+J1050+K1050+L1050)-(C1050*2*4),IF(E1050="SU Shape",(I1050+J1050+K1050)-(C1050*2*2),"-")))))))))))))))</f>
        <v>-</v>
      </c>
      <c r="O1050" s="721" t="str">
        <f t="shared" ref="O1050:O1113" si="158">IF(N1050&lt;12001,C1050*49*0,IF(N1050&lt;24001,C1050*49*1,IF(N1050&lt;36001,C1050*49*2,IF(N1050&lt;48001,C1050*49*3,IF(N1050&lt;60001,C1050*49*4,IF(N1050&lt;72001,(C1050*49*5),IF(N1050&lt;84001,(C1050*49*6),IF(N1050&lt;96001,(C1050*49*7),IF(N1050&lt;108001,(C1050*49*8),IF(N1050&lt;120001,(C1050*49*9),IF(N1050&lt;132001,(C1050*49*10),IF(N1050&lt;144001,(C1050*49*11),""))))))))))))</f>
        <v/>
      </c>
      <c r="P1050" s="722" t="str">
        <f t="shared" ref="P1050:P1113" si="159">IF(C1050=8,ROUND(((N1050+O1050)*F1050*G1050*H1050)/1000,3),"-")</f>
        <v>-</v>
      </c>
      <c r="Q1050" s="686" t="str">
        <f t="shared" ref="Q1050:Q1113" si="160">IF(C1050=10,ROUND(((N1050+O1050)*F1050*G1050*H1050)/1000,3),"-")</f>
        <v>-</v>
      </c>
      <c r="R1050" s="686" t="str">
        <f t="shared" ref="R1050:R1113" si="161">IF(C1050=12,ROUND(((N1050+O1050)*F1050*G1050*H1050)/1000,3),"-")</f>
        <v>-</v>
      </c>
      <c r="S1050" s="686" t="str">
        <f t="shared" ref="S1050:S1113" si="162">IF(C1050=16,ROUND(((N1050+O1050)*F1050*G1050*H1050)/1000,3),"-")</f>
        <v>-</v>
      </c>
      <c r="T1050" s="686" t="str">
        <f t="shared" ref="T1050:T1113" si="163">IF(C1050=20,ROUND(((N1050+O1050)*F1050*G1050*H1050)/1000,3),"-")</f>
        <v>-</v>
      </c>
      <c r="U1050" s="723" t="str">
        <f t="shared" ref="U1050:U1113" si="164">IF(C1050=25,ROUND(((N1050+O1050)*F1050*G1050*H1050)/1000,3),"-")</f>
        <v>-</v>
      </c>
      <c r="V1050" s="695" t="str">
        <f t="shared" ref="V1050:V1113" si="165">IF(C1050=32,ROUND(((N1050+O1050)*F1050*G1050*H1050)/1000,3),"-")</f>
        <v>-</v>
      </c>
      <c r="W1050" s="711"/>
    </row>
    <row r="1051" spans="1:23" ht="16.5" hidden="1" outlineLevel="1">
      <c r="A1051" s="209" t="s">
        <v>1595</v>
      </c>
      <c r="B1051" s="209" t="s">
        <v>470</v>
      </c>
      <c r="C1051" s="727"/>
      <c r="D1051" s="690"/>
      <c r="E1051" s="727"/>
      <c r="F1051" s="685">
        <v>1</v>
      </c>
      <c r="G1051" s="239"/>
      <c r="H1051" s="203"/>
      <c r="I1051" s="198"/>
      <c r="J1051" s="198"/>
      <c r="K1051" s="198"/>
      <c r="L1051" s="198"/>
      <c r="M1051" s="198"/>
      <c r="N1051" s="721" t="str">
        <f t="shared" si="157"/>
        <v>-</v>
      </c>
      <c r="O1051" s="721" t="str">
        <f t="shared" si="158"/>
        <v/>
      </c>
      <c r="P1051" s="722" t="str">
        <f t="shared" si="159"/>
        <v>-</v>
      </c>
      <c r="Q1051" s="686" t="str">
        <f t="shared" si="160"/>
        <v>-</v>
      </c>
      <c r="R1051" s="686" t="str">
        <f t="shared" si="161"/>
        <v>-</v>
      </c>
      <c r="S1051" s="686" t="str">
        <f t="shared" si="162"/>
        <v>-</v>
      </c>
      <c r="T1051" s="686" t="str">
        <f t="shared" si="163"/>
        <v>-</v>
      </c>
      <c r="U1051" s="723" t="str">
        <f t="shared" si="164"/>
        <v>-</v>
      </c>
      <c r="V1051" s="695" t="str">
        <f t="shared" si="165"/>
        <v>-</v>
      </c>
      <c r="W1051" s="711"/>
    </row>
    <row r="1052" spans="1:23" ht="16.5" hidden="1" outlineLevel="1">
      <c r="A1052" s="726"/>
      <c r="B1052" s="726" t="s">
        <v>471</v>
      </c>
      <c r="C1052" s="727">
        <v>8</v>
      </c>
      <c r="D1052" s="690"/>
      <c r="E1052" s="737" t="s">
        <v>1593</v>
      </c>
      <c r="F1052" s="685">
        <v>1</v>
      </c>
      <c r="G1052" s="239">
        <f>2*2*6</f>
        <v>24</v>
      </c>
      <c r="H1052" s="249">
        <v>31</v>
      </c>
      <c r="I1052" s="198">
        <v>250</v>
      </c>
      <c r="J1052" s="198">
        <f>300+1025-50-25+150</f>
        <v>1400</v>
      </c>
      <c r="K1052" s="198"/>
      <c r="L1052" s="198"/>
      <c r="M1052" s="198"/>
      <c r="N1052" s="721">
        <f t="shared" si="157"/>
        <v>1634</v>
      </c>
      <c r="O1052" s="721">
        <f t="shared" si="158"/>
        <v>0</v>
      </c>
      <c r="P1052" s="722">
        <f t="shared" si="159"/>
        <v>1215.6959999999999</v>
      </c>
      <c r="Q1052" s="686" t="str">
        <f t="shared" si="160"/>
        <v>-</v>
      </c>
      <c r="R1052" s="686" t="str">
        <f t="shared" si="161"/>
        <v>-</v>
      </c>
      <c r="S1052" s="686" t="str">
        <f t="shared" si="162"/>
        <v>-</v>
      </c>
      <c r="T1052" s="686" t="str">
        <f t="shared" si="163"/>
        <v>-</v>
      </c>
      <c r="U1052" s="723" t="str">
        <f t="shared" si="164"/>
        <v>-</v>
      </c>
      <c r="V1052" s="695" t="str">
        <f t="shared" si="165"/>
        <v>-</v>
      </c>
      <c r="W1052" s="711"/>
    </row>
    <row r="1053" spans="1:23" ht="16.5" hidden="1" outlineLevel="1">
      <c r="A1053" s="726"/>
      <c r="B1053" s="726" t="s">
        <v>472</v>
      </c>
      <c r="C1053" s="727">
        <v>8</v>
      </c>
      <c r="D1053" s="690"/>
      <c r="E1053" s="720" t="s">
        <v>1557</v>
      </c>
      <c r="F1053" s="685">
        <v>1</v>
      </c>
      <c r="G1053" s="239">
        <f>2*2*6</f>
        <v>24</v>
      </c>
      <c r="H1053" s="203">
        <f>(1050/200)+1</f>
        <v>6.25</v>
      </c>
      <c r="I1053" s="198">
        <f>8*50</f>
        <v>400</v>
      </c>
      <c r="J1053" s="198">
        <f>4500-25-25</f>
        <v>4450</v>
      </c>
      <c r="K1053" s="198">
        <v>400</v>
      </c>
      <c r="L1053" s="198"/>
      <c r="M1053" s="198"/>
      <c r="N1053" s="721">
        <f t="shared" si="157"/>
        <v>5218</v>
      </c>
      <c r="O1053" s="721">
        <f t="shared" si="158"/>
        <v>0</v>
      </c>
      <c r="P1053" s="722">
        <f t="shared" si="159"/>
        <v>782.7</v>
      </c>
      <c r="Q1053" s="686" t="str">
        <f t="shared" si="160"/>
        <v>-</v>
      </c>
      <c r="R1053" s="686" t="str">
        <f t="shared" si="161"/>
        <v>-</v>
      </c>
      <c r="S1053" s="686" t="str">
        <f t="shared" si="162"/>
        <v>-</v>
      </c>
      <c r="T1053" s="686" t="str">
        <f t="shared" si="163"/>
        <v>-</v>
      </c>
      <c r="U1053" s="723" t="str">
        <f t="shared" si="164"/>
        <v>-</v>
      </c>
      <c r="V1053" s="695" t="str">
        <f t="shared" si="165"/>
        <v>-</v>
      </c>
      <c r="W1053" s="711"/>
    </row>
    <row r="1054" spans="1:23" ht="16.5" hidden="1" outlineLevel="1">
      <c r="A1054" s="726"/>
      <c r="B1054" s="726"/>
      <c r="C1054" s="727">
        <v>8</v>
      </c>
      <c r="D1054" s="690"/>
      <c r="E1054" s="720" t="s">
        <v>1557</v>
      </c>
      <c r="F1054" s="685">
        <v>1</v>
      </c>
      <c r="G1054" s="239">
        <f>2*2*6</f>
        <v>24</v>
      </c>
      <c r="H1054" s="203">
        <f>(1050/200)+1</f>
        <v>6.25</v>
      </c>
      <c r="I1054" s="198">
        <f>8*50</f>
        <v>400</v>
      </c>
      <c r="J1054" s="198">
        <f>1000-25-25</f>
        <v>950</v>
      </c>
      <c r="K1054" s="198">
        <v>400</v>
      </c>
      <c r="L1054" s="198"/>
      <c r="M1054" s="198"/>
      <c r="N1054" s="721">
        <f t="shared" si="157"/>
        <v>1718</v>
      </c>
      <c r="O1054" s="721">
        <f t="shared" si="158"/>
        <v>0</v>
      </c>
      <c r="P1054" s="722">
        <f t="shared" si="159"/>
        <v>257.7</v>
      </c>
      <c r="Q1054" s="686" t="str">
        <f t="shared" si="160"/>
        <v>-</v>
      </c>
      <c r="R1054" s="686" t="str">
        <f t="shared" si="161"/>
        <v>-</v>
      </c>
      <c r="S1054" s="686" t="str">
        <f t="shared" si="162"/>
        <v>-</v>
      </c>
      <c r="T1054" s="686" t="str">
        <f t="shared" si="163"/>
        <v>-</v>
      </c>
      <c r="U1054" s="723" t="str">
        <f t="shared" si="164"/>
        <v>-</v>
      </c>
      <c r="V1054" s="695" t="str">
        <f t="shared" si="165"/>
        <v>-</v>
      </c>
      <c r="W1054" s="711"/>
    </row>
    <row r="1055" spans="1:23" ht="16.5" hidden="1" outlineLevel="1">
      <c r="A1055" s="726"/>
      <c r="B1055" s="726" t="s">
        <v>473</v>
      </c>
      <c r="C1055" s="727">
        <v>8</v>
      </c>
      <c r="D1055" s="690"/>
      <c r="E1055" s="720" t="s">
        <v>1557</v>
      </c>
      <c r="F1055" s="685">
        <v>1</v>
      </c>
      <c r="G1055" s="239">
        <f>2*6</f>
        <v>12</v>
      </c>
      <c r="H1055" s="249">
        <v>14</v>
      </c>
      <c r="I1055" s="198">
        <v>300</v>
      </c>
      <c r="J1055" s="198">
        <f>200-50-32</f>
        <v>118</v>
      </c>
      <c r="K1055" s="198">
        <v>300</v>
      </c>
      <c r="L1055" s="198"/>
      <c r="M1055" s="198"/>
      <c r="N1055" s="721">
        <f t="shared" si="157"/>
        <v>686</v>
      </c>
      <c r="O1055" s="721">
        <f t="shared" si="158"/>
        <v>0</v>
      </c>
      <c r="P1055" s="722">
        <f t="shared" si="159"/>
        <v>115.248</v>
      </c>
      <c r="Q1055" s="686" t="str">
        <f t="shared" si="160"/>
        <v>-</v>
      </c>
      <c r="R1055" s="686" t="str">
        <f t="shared" si="161"/>
        <v>-</v>
      </c>
      <c r="S1055" s="686" t="str">
        <f t="shared" si="162"/>
        <v>-</v>
      </c>
      <c r="T1055" s="686" t="str">
        <f t="shared" si="163"/>
        <v>-</v>
      </c>
      <c r="U1055" s="723" t="str">
        <f t="shared" si="164"/>
        <v>-</v>
      </c>
      <c r="V1055" s="695" t="str">
        <f t="shared" si="165"/>
        <v>-</v>
      </c>
      <c r="W1055" s="711"/>
    </row>
    <row r="1056" spans="1:23" ht="16.5" hidden="1" outlineLevel="1">
      <c r="A1056" s="726"/>
      <c r="B1056" s="726"/>
      <c r="C1056" s="727"/>
      <c r="D1056" s="690"/>
      <c r="E1056" s="727"/>
      <c r="F1056" s="685">
        <v>1</v>
      </c>
      <c r="G1056" s="239"/>
      <c r="H1056" s="203"/>
      <c r="I1056" s="198"/>
      <c r="J1056" s="198"/>
      <c r="K1056" s="198"/>
      <c r="L1056" s="198"/>
      <c r="M1056" s="198"/>
      <c r="N1056" s="721" t="str">
        <f t="shared" si="157"/>
        <v>-</v>
      </c>
      <c r="O1056" s="721" t="str">
        <f t="shared" si="158"/>
        <v/>
      </c>
      <c r="P1056" s="722" t="str">
        <f t="shared" si="159"/>
        <v>-</v>
      </c>
      <c r="Q1056" s="686" t="str">
        <f t="shared" si="160"/>
        <v>-</v>
      </c>
      <c r="R1056" s="686" t="str">
        <f t="shared" si="161"/>
        <v>-</v>
      </c>
      <c r="S1056" s="686" t="str">
        <f t="shared" si="162"/>
        <v>-</v>
      </c>
      <c r="T1056" s="686" t="str">
        <f t="shared" si="163"/>
        <v>-</v>
      </c>
      <c r="U1056" s="723" t="str">
        <f t="shared" si="164"/>
        <v>-</v>
      </c>
      <c r="V1056" s="695" t="str">
        <f t="shared" si="165"/>
        <v>-</v>
      </c>
      <c r="W1056" s="711"/>
    </row>
    <row r="1057" spans="1:23" ht="16.5" hidden="1" outlineLevel="1">
      <c r="A1057" s="726"/>
      <c r="B1057" s="726"/>
      <c r="C1057" s="727"/>
      <c r="D1057" s="690"/>
      <c r="E1057" s="727"/>
      <c r="F1057" s="685"/>
      <c r="G1057" s="239"/>
      <c r="H1057" s="203"/>
      <c r="I1057" s="198"/>
      <c r="J1057" s="198"/>
      <c r="K1057" s="198"/>
      <c r="L1057" s="198"/>
      <c r="M1057" s="198"/>
      <c r="N1057" s="721" t="str">
        <f t="shared" si="157"/>
        <v>-</v>
      </c>
      <c r="O1057" s="721" t="str">
        <f t="shared" si="158"/>
        <v/>
      </c>
      <c r="P1057" s="722" t="str">
        <f t="shared" si="159"/>
        <v>-</v>
      </c>
      <c r="Q1057" s="686" t="str">
        <f t="shared" si="160"/>
        <v>-</v>
      </c>
      <c r="R1057" s="686" t="str">
        <f t="shared" si="161"/>
        <v>-</v>
      </c>
      <c r="S1057" s="686" t="str">
        <f t="shared" si="162"/>
        <v>-</v>
      </c>
      <c r="T1057" s="686" t="str">
        <f t="shared" si="163"/>
        <v>-</v>
      </c>
      <c r="U1057" s="723" t="str">
        <f t="shared" si="164"/>
        <v>-</v>
      </c>
      <c r="V1057" s="695" t="str">
        <f t="shared" si="165"/>
        <v>-</v>
      </c>
      <c r="W1057" s="711"/>
    </row>
    <row r="1058" spans="1:23" ht="33" hidden="1" outlineLevel="1">
      <c r="A1058" s="728" t="s">
        <v>1596</v>
      </c>
      <c r="B1058" s="736" t="s">
        <v>1597</v>
      </c>
      <c r="C1058" s="727"/>
      <c r="D1058" s="690"/>
      <c r="E1058" s="727"/>
      <c r="F1058" s="685"/>
      <c r="G1058" s="239"/>
      <c r="H1058" s="203"/>
      <c r="I1058" s="198"/>
      <c r="J1058" s="198"/>
      <c r="K1058" s="198"/>
      <c r="L1058" s="198"/>
      <c r="M1058" s="198"/>
      <c r="N1058" s="721" t="str">
        <f t="shared" si="157"/>
        <v>-</v>
      </c>
      <c r="O1058" s="721" t="str">
        <f t="shared" si="158"/>
        <v/>
      </c>
      <c r="P1058" s="722" t="str">
        <f t="shared" si="159"/>
        <v>-</v>
      </c>
      <c r="Q1058" s="686" t="str">
        <f t="shared" si="160"/>
        <v>-</v>
      </c>
      <c r="R1058" s="686" t="str">
        <f t="shared" si="161"/>
        <v>-</v>
      </c>
      <c r="S1058" s="686" t="str">
        <f t="shared" si="162"/>
        <v>-</v>
      </c>
      <c r="T1058" s="686" t="str">
        <f t="shared" si="163"/>
        <v>-</v>
      </c>
      <c r="U1058" s="723" t="str">
        <f t="shared" si="164"/>
        <v>-</v>
      </c>
      <c r="V1058" s="695" t="str">
        <f t="shared" si="165"/>
        <v>-</v>
      </c>
      <c r="W1058" s="711"/>
    </row>
    <row r="1059" spans="1:23" ht="16.5" hidden="1" outlineLevel="1">
      <c r="A1059" s="209" t="s">
        <v>1598</v>
      </c>
      <c r="B1059" s="209" t="s">
        <v>463</v>
      </c>
      <c r="C1059" s="727"/>
      <c r="D1059" s="690"/>
      <c r="E1059" s="727"/>
      <c r="F1059" s="685"/>
      <c r="G1059" s="239">
        <v>2</v>
      </c>
      <c r="H1059" s="203"/>
      <c r="I1059" s="198"/>
      <c r="J1059" s="198"/>
      <c r="K1059" s="198"/>
      <c r="L1059" s="198"/>
      <c r="M1059" s="198"/>
      <c r="N1059" s="721" t="str">
        <f t="shared" si="157"/>
        <v>-</v>
      </c>
      <c r="O1059" s="721" t="str">
        <f t="shared" si="158"/>
        <v/>
      </c>
      <c r="P1059" s="722" t="str">
        <f t="shared" si="159"/>
        <v>-</v>
      </c>
      <c r="Q1059" s="686" t="str">
        <f t="shared" si="160"/>
        <v>-</v>
      </c>
      <c r="R1059" s="686" t="str">
        <f t="shared" si="161"/>
        <v>-</v>
      </c>
      <c r="S1059" s="686" t="str">
        <f t="shared" si="162"/>
        <v>-</v>
      </c>
      <c r="T1059" s="686" t="str">
        <f t="shared" si="163"/>
        <v>-</v>
      </c>
      <c r="U1059" s="723" t="str">
        <f t="shared" si="164"/>
        <v>-</v>
      </c>
      <c r="V1059" s="695" t="str">
        <f t="shared" si="165"/>
        <v>-</v>
      </c>
      <c r="W1059" s="711"/>
    </row>
    <row r="1060" spans="1:23" ht="16.5" hidden="1" outlineLevel="1">
      <c r="A1060" s="726"/>
      <c r="B1060" s="726" t="s">
        <v>464</v>
      </c>
      <c r="C1060" s="727"/>
      <c r="D1060" s="690"/>
      <c r="E1060" s="727"/>
      <c r="F1060" s="685"/>
      <c r="G1060" s="239"/>
      <c r="H1060" s="203"/>
      <c r="I1060" s="198"/>
      <c r="J1060" s="198"/>
      <c r="K1060" s="198"/>
      <c r="L1060" s="198"/>
      <c r="M1060" s="198"/>
      <c r="N1060" s="721" t="str">
        <f t="shared" si="157"/>
        <v>-</v>
      </c>
      <c r="O1060" s="721" t="str">
        <f t="shared" si="158"/>
        <v/>
      </c>
      <c r="P1060" s="722" t="str">
        <f t="shared" si="159"/>
        <v>-</v>
      </c>
      <c r="Q1060" s="686" t="str">
        <f t="shared" si="160"/>
        <v>-</v>
      </c>
      <c r="R1060" s="686" t="str">
        <f t="shared" si="161"/>
        <v>-</v>
      </c>
      <c r="S1060" s="686" t="str">
        <f t="shared" si="162"/>
        <v>-</v>
      </c>
      <c r="T1060" s="686" t="str">
        <f t="shared" si="163"/>
        <v>-</v>
      </c>
      <c r="U1060" s="723" t="str">
        <f t="shared" si="164"/>
        <v>-</v>
      </c>
      <c r="V1060" s="695" t="str">
        <f t="shared" si="165"/>
        <v>-</v>
      </c>
      <c r="W1060" s="711"/>
    </row>
    <row r="1061" spans="1:23" ht="16.5" hidden="1" outlineLevel="1">
      <c r="A1061" s="726"/>
      <c r="B1061" s="726" t="s">
        <v>465</v>
      </c>
      <c r="C1061" s="727">
        <v>8</v>
      </c>
      <c r="D1061" s="690"/>
      <c r="E1061" s="720" t="s">
        <v>1557</v>
      </c>
      <c r="F1061" s="685">
        <v>1</v>
      </c>
      <c r="G1061" s="239">
        <v>2</v>
      </c>
      <c r="H1061" s="203">
        <f>(4700/150)+1</f>
        <v>32.333333333333329</v>
      </c>
      <c r="I1061" s="840">
        <v>150</v>
      </c>
      <c r="J1061" s="198">
        <f>1300-100</f>
        <v>1200</v>
      </c>
      <c r="K1061" s="840">
        <v>150</v>
      </c>
      <c r="L1061" s="198"/>
      <c r="M1061" s="198"/>
      <c r="N1061" s="721">
        <f t="shared" si="157"/>
        <v>1468</v>
      </c>
      <c r="O1061" s="721">
        <f t="shared" si="158"/>
        <v>0</v>
      </c>
      <c r="P1061" s="722">
        <f t="shared" si="159"/>
        <v>94.930999999999997</v>
      </c>
      <c r="Q1061" s="686" t="str">
        <f t="shared" si="160"/>
        <v>-</v>
      </c>
      <c r="R1061" s="686" t="str">
        <f t="shared" si="161"/>
        <v>-</v>
      </c>
      <c r="S1061" s="686" t="str">
        <f t="shared" si="162"/>
        <v>-</v>
      </c>
      <c r="T1061" s="686" t="str">
        <f t="shared" si="163"/>
        <v>-</v>
      </c>
      <c r="U1061" s="723" t="str">
        <f t="shared" si="164"/>
        <v>-</v>
      </c>
      <c r="V1061" s="695" t="str">
        <f t="shared" si="165"/>
        <v>-</v>
      </c>
      <c r="W1061" s="711"/>
    </row>
    <row r="1062" spans="1:23" ht="16.5" hidden="1" outlineLevel="1">
      <c r="A1062" s="726"/>
      <c r="B1062" s="726" t="s">
        <v>466</v>
      </c>
      <c r="C1062" s="727">
        <v>8</v>
      </c>
      <c r="D1062" s="690"/>
      <c r="E1062" s="720" t="s">
        <v>1557</v>
      </c>
      <c r="F1062" s="685">
        <v>1</v>
      </c>
      <c r="G1062" s="239">
        <v>2</v>
      </c>
      <c r="H1062" s="203">
        <f>(1200/200)+1</f>
        <v>7</v>
      </c>
      <c r="I1062" s="840">
        <v>150</v>
      </c>
      <c r="J1062" s="198">
        <f>4800-100</f>
        <v>4700</v>
      </c>
      <c r="K1062" s="840">
        <v>150</v>
      </c>
      <c r="L1062" s="198"/>
      <c r="M1062" s="198"/>
      <c r="N1062" s="721">
        <f t="shared" si="157"/>
        <v>4968</v>
      </c>
      <c r="O1062" s="721">
        <f t="shared" si="158"/>
        <v>0</v>
      </c>
      <c r="P1062" s="722">
        <f t="shared" si="159"/>
        <v>69.552000000000007</v>
      </c>
      <c r="Q1062" s="686" t="str">
        <f t="shared" si="160"/>
        <v>-</v>
      </c>
      <c r="R1062" s="686" t="str">
        <f t="shared" si="161"/>
        <v>-</v>
      </c>
      <c r="S1062" s="686" t="str">
        <f t="shared" si="162"/>
        <v>-</v>
      </c>
      <c r="T1062" s="686" t="str">
        <f t="shared" si="163"/>
        <v>-</v>
      </c>
      <c r="U1062" s="723" t="str">
        <f t="shared" si="164"/>
        <v>-</v>
      </c>
      <c r="V1062" s="695" t="str">
        <f t="shared" si="165"/>
        <v>-</v>
      </c>
      <c r="W1062" s="711"/>
    </row>
    <row r="1063" spans="1:23" ht="16.5" hidden="1" outlineLevel="1">
      <c r="A1063" s="726"/>
      <c r="B1063" s="726" t="s">
        <v>467</v>
      </c>
      <c r="C1063" s="727"/>
      <c r="D1063" s="690"/>
      <c r="E1063" s="727"/>
      <c r="F1063" s="685">
        <v>1</v>
      </c>
      <c r="G1063" s="239"/>
      <c r="H1063" s="203"/>
      <c r="I1063" s="198"/>
      <c r="J1063" s="198"/>
      <c r="K1063" s="198"/>
      <c r="L1063" s="198"/>
      <c r="M1063" s="198"/>
      <c r="N1063" s="721" t="str">
        <f t="shared" si="157"/>
        <v>-</v>
      </c>
      <c r="O1063" s="721" t="str">
        <f t="shared" si="158"/>
        <v/>
      </c>
      <c r="P1063" s="722" t="str">
        <f t="shared" si="159"/>
        <v>-</v>
      </c>
      <c r="Q1063" s="686" t="str">
        <f t="shared" si="160"/>
        <v>-</v>
      </c>
      <c r="R1063" s="686" t="str">
        <f t="shared" si="161"/>
        <v>-</v>
      </c>
      <c r="S1063" s="686" t="str">
        <f t="shared" si="162"/>
        <v>-</v>
      </c>
      <c r="T1063" s="686" t="str">
        <f t="shared" si="163"/>
        <v>-</v>
      </c>
      <c r="U1063" s="723" t="str">
        <f t="shared" si="164"/>
        <v>-</v>
      </c>
      <c r="V1063" s="695" t="str">
        <f t="shared" si="165"/>
        <v>-</v>
      </c>
      <c r="W1063" s="711"/>
    </row>
    <row r="1064" spans="1:23" ht="16.5" hidden="1" outlineLevel="1">
      <c r="A1064" s="726"/>
      <c r="B1064" s="726" t="s">
        <v>465</v>
      </c>
      <c r="C1064" s="727">
        <v>8</v>
      </c>
      <c r="D1064" s="690"/>
      <c r="E1064" s="720" t="s">
        <v>1557</v>
      </c>
      <c r="F1064" s="685">
        <v>1</v>
      </c>
      <c r="G1064" s="239">
        <v>2</v>
      </c>
      <c r="H1064" s="203">
        <f>(4700/150)+1</f>
        <v>32.333333333333329</v>
      </c>
      <c r="I1064" s="840">
        <v>150</v>
      </c>
      <c r="J1064" s="198">
        <f>1300-100</f>
        <v>1200</v>
      </c>
      <c r="K1064" s="840">
        <v>150</v>
      </c>
      <c r="L1064" s="198"/>
      <c r="M1064" s="198"/>
      <c r="N1064" s="721">
        <f t="shared" si="157"/>
        <v>1468</v>
      </c>
      <c r="O1064" s="721">
        <f t="shared" si="158"/>
        <v>0</v>
      </c>
      <c r="P1064" s="722">
        <f t="shared" si="159"/>
        <v>94.930999999999997</v>
      </c>
      <c r="Q1064" s="686" t="str">
        <f t="shared" si="160"/>
        <v>-</v>
      </c>
      <c r="R1064" s="686" t="str">
        <f t="shared" si="161"/>
        <v>-</v>
      </c>
      <c r="S1064" s="686" t="str">
        <f t="shared" si="162"/>
        <v>-</v>
      </c>
      <c r="T1064" s="686" t="str">
        <f t="shared" si="163"/>
        <v>-</v>
      </c>
      <c r="U1064" s="723" t="str">
        <f t="shared" si="164"/>
        <v>-</v>
      </c>
      <c r="V1064" s="695" t="str">
        <f t="shared" si="165"/>
        <v>-</v>
      </c>
      <c r="W1064" s="711"/>
    </row>
    <row r="1065" spans="1:23" ht="16.5" hidden="1" outlineLevel="1">
      <c r="A1065" s="726"/>
      <c r="B1065" s="726" t="s">
        <v>466</v>
      </c>
      <c r="C1065" s="727">
        <v>8</v>
      </c>
      <c r="D1065" s="690"/>
      <c r="E1065" s="720" t="s">
        <v>1557</v>
      </c>
      <c r="F1065" s="685">
        <v>1</v>
      </c>
      <c r="G1065" s="239">
        <v>2</v>
      </c>
      <c r="H1065" s="203">
        <f>(1200/200)+1</f>
        <v>7</v>
      </c>
      <c r="I1065" s="840">
        <v>150</v>
      </c>
      <c r="J1065" s="198">
        <f>4800-100</f>
        <v>4700</v>
      </c>
      <c r="K1065" s="840">
        <v>150</v>
      </c>
      <c r="L1065" s="198"/>
      <c r="M1065" s="198"/>
      <c r="N1065" s="721">
        <f t="shared" si="157"/>
        <v>4968</v>
      </c>
      <c r="O1065" s="721">
        <f t="shared" si="158"/>
        <v>0</v>
      </c>
      <c r="P1065" s="722">
        <f t="shared" si="159"/>
        <v>69.552000000000007</v>
      </c>
      <c r="Q1065" s="686" t="str">
        <f t="shared" si="160"/>
        <v>-</v>
      </c>
      <c r="R1065" s="686" t="str">
        <f t="shared" si="161"/>
        <v>-</v>
      </c>
      <c r="S1065" s="686" t="str">
        <f t="shared" si="162"/>
        <v>-</v>
      </c>
      <c r="T1065" s="686" t="str">
        <f t="shared" si="163"/>
        <v>-</v>
      </c>
      <c r="U1065" s="723" t="str">
        <f t="shared" si="164"/>
        <v>-</v>
      </c>
      <c r="V1065" s="695" t="str">
        <f t="shared" si="165"/>
        <v>-</v>
      </c>
      <c r="W1065" s="711"/>
    </row>
    <row r="1066" spans="1:23" ht="16.5" hidden="1" outlineLevel="1">
      <c r="A1066" s="726"/>
      <c r="B1066" s="726" t="s">
        <v>468</v>
      </c>
      <c r="C1066" s="727">
        <v>10</v>
      </c>
      <c r="D1066" s="690"/>
      <c r="E1066" s="691" t="s">
        <v>1566</v>
      </c>
      <c r="F1066" s="685">
        <v>1</v>
      </c>
      <c r="G1066" s="239">
        <v>2</v>
      </c>
      <c r="H1066" s="249">
        <v>6</v>
      </c>
      <c r="I1066" s="198">
        <v>300</v>
      </c>
      <c r="J1066" s="198">
        <f>300-100-32</f>
        <v>168</v>
      </c>
      <c r="K1066" s="198">
        <v>500</v>
      </c>
      <c r="L1066" s="198">
        <f>300-100-32</f>
        <v>168</v>
      </c>
      <c r="M1066" s="198">
        <v>300</v>
      </c>
      <c r="N1066" s="721">
        <f t="shared" si="157"/>
        <v>1356</v>
      </c>
      <c r="O1066" s="721">
        <f t="shared" si="158"/>
        <v>0</v>
      </c>
      <c r="P1066" s="722" t="str">
        <f t="shared" si="159"/>
        <v>-</v>
      </c>
      <c r="Q1066" s="686">
        <f t="shared" si="160"/>
        <v>16.271999999999998</v>
      </c>
      <c r="R1066" s="686" t="str">
        <f t="shared" si="161"/>
        <v>-</v>
      </c>
      <c r="S1066" s="686" t="str">
        <f t="shared" si="162"/>
        <v>-</v>
      </c>
      <c r="T1066" s="686" t="str">
        <f t="shared" si="163"/>
        <v>-</v>
      </c>
      <c r="U1066" s="723" t="str">
        <f t="shared" si="164"/>
        <v>-</v>
      </c>
      <c r="V1066" s="695" t="str">
        <f t="shared" si="165"/>
        <v>-</v>
      </c>
      <c r="W1066" s="711"/>
    </row>
    <row r="1067" spans="1:23" ht="16.5" hidden="1" outlineLevel="1">
      <c r="A1067" s="726"/>
      <c r="B1067" s="726"/>
      <c r="C1067" s="727"/>
      <c r="D1067" s="690"/>
      <c r="E1067" s="727"/>
      <c r="F1067" s="685">
        <v>1</v>
      </c>
      <c r="G1067" s="239"/>
      <c r="H1067" s="203"/>
      <c r="I1067" s="198"/>
      <c r="J1067" s="198"/>
      <c r="K1067" s="198"/>
      <c r="L1067" s="198"/>
      <c r="M1067" s="198"/>
      <c r="N1067" s="721" t="str">
        <f t="shared" si="157"/>
        <v>-</v>
      </c>
      <c r="O1067" s="721" t="str">
        <f t="shared" si="158"/>
        <v/>
      </c>
      <c r="P1067" s="722" t="str">
        <f t="shared" si="159"/>
        <v>-</v>
      </c>
      <c r="Q1067" s="686" t="str">
        <f t="shared" si="160"/>
        <v>-</v>
      </c>
      <c r="R1067" s="686" t="str">
        <f t="shared" si="161"/>
        <v>-</v>
      </c>
      <c r="S1067" s="686" t="str">
        <f t="shared" si="162"/>
        <v>-</v>
      </c>
      <c r="T1067" s="686" t="str">
        <f t="shared" si="163"/>
        <v>-</v>
      </c>
      <c r="U1067" s="723" t="str">
        <f t="shared" si="164"/>
        <v>-</v>
      </c>
      <c r="V1067" s="695" t="str">
        <f t="shared" si="165"/>
        <v>-</v>
      </c>
      <c r="W1067" s="711"/>
    </row>
    <row r="1068" spans="1:23" ht="16.5" hidden="1" outlineLevel="1">
      <c r="A1068" s="209" t="s">
        <v>1599</v>
      </c>
      <c r="B1068" s="209" t="s">
        <v>470</v>
      </c>
      <c r="C1068" s="727"/>
      <c r="D1068" s="690"/>
      <c r="E1068" s="727"/>
      <c r="F1068" s="685">
        <v>1</v>
      </c>
      <c r="G1068" s="239"/>
      <c r="H1068" s="203"/>
      <c r="I1068" s="198"/>
      <c r="J1068" s="198"/>
      <c r="K1068" s="198"/>
      <c r="L1068" s="198"/>
      <c r="M1068" s="198"/>
      <c r="N1068" s="721" t="str">
        <f t="shared" si="157"/>
        <v>-</v>
      </c>
      <c r="O1068" s="721" t="str">
        <f t="shared" si="158"/>
        <v/>
      </c>
      <c r="P1068" s="722" t="str">
        <f t="shared" si="159"/>
        <v>-</v>
      </c>
      <c r="Q1068" s="686" t="str">
        <f t="shared" si="160"/>
        <v>-</v>
      </c>
      <c r="R1068" s="686" t="str">
        <f t="shared" si="161"/>
        <v>-</v>
      </c>
      <c r="S1068" s="686" t="str">
        <f t="shared" si="162"/>
        <v>-</v>
      </c>
      <c r="T1068" s="686" t="str">
        <f t="shared" si="163"/>
        <v>-</v>
      </c>
      <c r="U1068" s="723" t="str">
        <f t="shared" si="164"/>
        <v>-</v>
      </c>
      <c r="V1068" s="695" t="str">
        <f t="shared" si="165"/>
        <v>-</v>
      </c>
      <c r="W1068" s="711"/>
    </row>
    <row r="1069" spans="1:23" ht="16.5" hidden="1" outlineLevel="1">
      <c r="A1069" s="726"/>
      <c r="B1069" s="726" t="s">
        <v>471</v>
      </c>
      <c r="C1069" s="727">
        <v>8</v>
      </c>
      <c r="D1069" s="690"/>
      <c r="E1069" s="737" t="s">
        <v>1593</v>
      </c>
      <c r="F1069" s="685">
        <v>1</v>
      </c>
      <c r="G1069" s="239">
        <f>2*2*2</f>
        <v>8</v>
      </c>
      <c r="H1069" s="203">
        <f>(4700/150)+1</f>
        <v>32.333333333333329</v>
      </c>
      <c r="I1069" s="198">
        <v>250</v>
      </c>
      <c r="J1069" s="198">
        <f>300+1025-50-25+150</f>
        <v>1400</v>
      </c>
      <c r="K1069" s="198"/>
      <c r="L1069" s="198"/>
      <c r="M1069" s="198"/>
      <c r="N1069" s="721">
        <f t="shared" si="157"/>
        <v>1634</v>
      </c>
      <c r="O1069" s="721">
        <f t="shared" si="158"/>
        <v>0</v>
      </c>
      <c r="P1069" s="722">
        <f t="shared" si="159"/>
        <v>422.661</v>
      </c>
      <c r="Q1069" s="686" t="str">
        <f t="shared" si="160"/>
        <v>-</v>
      </c>
      <c r="R1069" s="686" t="str">
        <f t="shared" si="161"/>
        <v>-</v>
      </c>
      <c r="S1069" s="686" t="str">
        <f t="shared" si="162"/>
        <v>-</v>
      </c>
      <c r="T1069" s="686" t="str">
        <f t="shared" si="163"/>
        <v>-</v>
      </c>
      <c r="U1069" s="723" t="str">
        <f t="shared" si="164"/>
        <v>-</v>
      </c>
      <c r="V1069" s="695" t="str">
        <f t="shared" si="165"/>
        <v>-</v>
      </c>
      <c r="W1069" s="711"/>
    </row>
    <row r="1070" spans="1:23" ht="16.5" hidden="1" outlineLevel="1">
      <c r="A1070" s="726"/>
      <c r="B1070" s="726" t="s">
        <v>472</v>
      </c>
      <c r="C1070" s="727">
        <v>8</v>
      </c>
      <c r="D1070" s="690"/>
      <c r="E1070" s="720" t="s">
        <v>1557</v>
      </c>
      <c r="F1070" s="685">
        <v>1</v>
      </c>
      <c r="G1070" s="239">
        <f>2*2*2</f>
        <v>8</v>
      </c>
      <c r="H1070" s="203">
        <f>(1050/200)+1</f>
        <v>6.25</v>
      </c>
      <c r="I1070" s="198">
        <f>8*50</f>
        <v>400</v>
      </c>
      <c r="J1070" s="198">
        <f>4500-25-25</f>
        <v>4450</v>
      </c>
      <c r="K1070" s="198">
        <v>400</v>
      </c>
      <c r="L1070" s="198"/>
      <c r="M1070" s="198"/>
      <c r="N1070" s="721">
        <f t="shared" si="157"/>
        <v>5218</v>
      </c>
      <c r="O1070" s="721">
        <f t="shared" si="158"/>
        <v>0</v>
      </c>
      <c r="P1070" s="722">
        <f t="shared" si="159"/>
        <v>260.89999999999998</v>
      </c>
      <c r="Q1070" s="686" t="str">
        <f t="shared" si="160"/>
        <v>-</v>
      </c>
      <c r="R1070" s="686" t="str">
        <f t="shared" si="161"/>
        <v>-</v>
      </c>
      <c r="S1070" s="686" t="str">
        <f t="shared" si="162"/>
        <v>-</v>
      </c>
      <c r="T1070" s="686" t="str">
        <f t="shared" si="163"/>
        <v>-</v>
      </c>
      <c r="U1070" s="723" t="str">
        <f t="shared" si="164"/>
        <v>-</v>
      </c>
      <c r="V1070" s="695" t="str">
        <f t="shared" si="165"/>
        <v>-</v>
      </c>
      <c r="W1070" s="711"/>
    </row>
    <row r="1071" spans="1:23" ht="16.5" hidden="1" outlineLevel="1">
      <c r="A1071" s="726"/>
      <c r="B1071" s="726"/>
      <c r="C1071" s="727">
        <v>8</v>
      </c>
      <c r="D1071" s="690"/>
      <c r="E1071" s="720" t="s">
        <v>1557</v>
      </c>
      <c r="F1071" s="685">
        <v>1</v>
      </c>
      <c r="G1071" s="239">
        <f>2*2*2</f>
        <v>8</v>
      </c>
      <c r="H1071" s="203">
        <f>(1050/200)+1</f>
        <v>6.25</v>
      </c>
      <c r="I1071" s="198">
        <f>8*50</f>
        <v>400</v>
      </c>
      <c r="J1071" s="198">
        <f>1000-25-25</f>
        <v>950</v>
      </c>
      <c r="K1071" s="198">
        <v>400</v>
      </c>
      <c r="L1071" s="198"/>
      <c r="M1071" s="198"/>
      <c r="N1071" s="721">
        <f t="shared" si="157"/>
        <v>1718</v>
      </c>
      <c r="O1071" s="721">
        <f t="shared" si="158"/>
        <v>0</v>
      </c>
      <c r="P1071" s="722">
        <f t="shared" si="159"/>
        <v>85.9</v>
      </c>
      <c r="Q1071" s="686" t="str">
        <f t="shared" si="160"/>
        <v>-</v>
      </c>
      <c r="R1071" s="686" t="str">
        <f t="shared" si="161"/>
        <v>-</v>
      </c>
      <c r="S1071" s="686" t="str">
        <f t="shared" si="162"/>
        <v>-</v>
      </c>
      <c r="T1071" s="686" t="str">
        <f t="shared" si="163"/>
        <v>-</v>
      </c>
      <c r="U1071" s="723" t="str">
        <f t="shared" si="164"/>
        <v>-</v>
      </c>
      <c r="V1071" s="695" t="str">
        <f t="shared" si="165"/>
        <v>-</v>
      </c>
      <c r="W1071" s="711"/>
    </row>
    <row r="1072" spans="1:23" ht="16.5" hidden="1" outlineLevel="1">
      <c r="A1072" s="726"/>
      <c r="B1072" s="726" t="s">
        <v>473</v>
      </c>
      <c r="C1072" s="727">
        <v>8</v>
      </c>
      <c r="D1072" s="690"/>
      <c r="E1072" s="720" t="s">
        <v>1557</v>
      </c>
      <c r="F1072" s="685">
        <v>1</v>
      </c>
      <c r="G1072" s="239">
        <f>2*2</f>
        <v>4</v>
      </c>
      <c r="H1072" s="249">
        <v>14</v>
      </c>
      <c r="I1072" s="198">
        <v>300</v>
      </c>
      <c r="J1072" s="198">
        <f>200-50-32</f>
        <v>118</v>
      </c>
      <c r="K1072" s="198">
        <v>300</v>
      </c>
      <c r="L1072" s="198"/>
      <c r="M1072" s="198"/>
      <c r="N1072" s="721">
        <f t="shared" si="157"/>
        <v>686</v>
      </c>
      <c r="O1072" s="721">
        <f t="shared" si="158"/>
        <v>0</v>
      </c>
      <c r="P1072" s="722">
        <f t="shared" si="159"/>
        <v>38.415999999999997</v>
      </c>
      <c r="Q1072" s="686" t="str">
        <f t="shared" si="160"/>
        <v>-</v>
      </c>
      <c r="R1072" s="686" t="str">
        <f t="shared" si="161"/>
        <v>-</v>
      </c>
      <c r="S1072" s="686" t="str">
        <f t="shared" si="162"/>
        <v>-</v>
      </c>
      <c r="T1072" s="686" t="str">
        <f t="shared" si="163"/>
        <v>-</v>
      </c>
      <c r="U1072" s="723" t="str">
        <f t="shared" si="164"/>
        <v>-</v>
      </c>
      <c r="V1072" s="695" t="str">
        <f t="shared" si="165"/>
        <v>-</v>
      </c>
      <c r="W1072" s="711"/>
    </row>
    <row r="1073" spans="1:23" ht="16.5" hidden="1" outlineLevel="1">
      <c r="A1073" s="726"/>
      <c r="B1073" s="726"/>
      <c r="C1073" s="727"/>
      <c r="D1073" s="690"/>
      <c r="E1073" s="727"/>
      <c r="F1073" s="685">
        <v>1</v>
      </c>
      <c r="G1073" s="239"/>
      <c r="H1073" s="203"/>
      <c r="I1073" s="198"/>
      <c r="J1073" s="198"/>
      <c r="K1073" s="198"/>
      <c r="L1073" s="198"/>
      <c r="M1073" s="198"/>
      <c r="N1073" s="721" t="str">
        <f t="shared" si="157"/>
        <v>-</v>
      </c>
      <c r="O1073" s="721" t="str">
        <f t="shared" si="158"/>
        <v/>
      </c>
      <c r="P1073" s="722" t="str">
        <f t="shared" si="159"/>
        <v>-</v>
      </c>
      <c r="Q1073" s="686" t="str">
        <f t="shared" si="160"/>
        <v>-</v>
      </c>
      <c r="R1073" s="686" t="str">
        <f t="shared" si="161"/>
        <v>-</v>
      </c>
      <c r="S1073" s="686" t="str">
        <f t="shared" si="162"/>
        <v>-</v>
      </c>
      <c r="T1073" s="686" t="str">
        <f t="shared" si="163"/>
        <v>-</v>
      </c>
      <c r="U1073" s="723" t="str">
        <f t="shared" si="164"/>
        <v>-</v>
      </c>
      <c r="V1073" s="695" t="str">
        <f t="shared" si="165"/>
        <v>-</v>
      </c>
      <c r="W1073" s="711"/>
    </row>
    <row r="1074" spans="1:23" ht="16.5" hidden="1" outlineLevel="1">
      <c r="A1074" s="209" t="s">
        <v>1600</v>
      </c>
      <c r="B1074" s="209" t="s">
        <v>475</v>
      </c>
      <c r="C1074" s="727"/>
      <c r="D1074" s="690"/>
      <c r="E1074" s="727"/>
      <c r="F1074" s="685">
        <v>1</v>
      </c>
      <c r="G1074" s="239">
        <v>6</v>
      </c>
      <c r="H1074" s="203"/>
      <c r="I1074" s="198"/>
      <c r="J1074" s="198"/>
      <c r="K1074" s="198"/>
      <c r="L1074" s="198"/>
      <c r="M1074" s="198"/>
      <c r="N1074" s="721" t="str">
        <f t="shared" si="157"/>
        <v>-</v>
      </c>
      <c r="O1074" s="721" t="str">
        <f t="shared" si="158"/>
        <v/>
      </c>
      <c r="P1074" s="722" t="str">
        <f t="shared" si="159"/>
        <v>-</v>
      </c>
      <c r="Q1074" s="686" t="str">
        <f t="shared" si="160"/>
        <v>-</v>
      </c>
      <c r="R1074" s="686" t="str">
        <f t="shared" si="161"/>
        <v>-</v>
      </c>
      <c r="S1074" s="686" t="str">
        <f t="shared" si="162"/>
        <v>-</v>
      </c>
      <c r="T1074" s="686" t="str">
        <f t="shared" si="163"/>
        <v>-</v>
      </c>
      <c r="U1074" s="723" t="str">
        <f t="shared" si="164"/>
        <v>-</v>
      </c>
      <c r="V1074" s="695" t="str">
        <f t="shared" si="165"/>
        <v>-</v>
      </c>
      <c r="W1074" s="711"/>
    </row>
    <row r="1075" spans="1:23" ht="16.5" hidden="1" outlineLevel="1">
      <c r="A1075" s="726"/>
      <c r="B1075" s="726" t="s">
        <v>464</v>
      </c>
      <c r="C1075" s="727"/>
      <c r="D1075" s="690"/>
      <c r="E1075" s="727"/>
      <c r="F1075" s="685">
        <v>1</v>
      </c>
      <c r="G1075" s="239"/>
      <c r="H1075" s="203"/>
      <c r="I1075" s="198"/>
      <c r="J1075" s="198"/>
      <c r="K1075" s="198"/>
      <c r="L1075" s="198"/>
      <c r="M1075" s="198"/>
      <c r="N1075" s="721" t="str">
        <f t="shared" si="157"/>
        <v>-</v>
      </c>
      <c r="O1075" s="721" t="str">
        <f t="shared" si="158"/>
        <v/>
      </c>
      <c r="P1075" s="722" t="str">
        <f t="shared" si="159"/>
        <v>-</v>
      </c>
      <c r="Q1075" s="686" t="str">
        <f t="shared" si="160"/>
        <v>-</v>
      </c>
      <c r="R1075" s="686" t="str">
        <f t="shared" si="161"/>
        <v>-</v>
      </c>
      <c r="S1075" s="686" t="str">
        <f t="shared" si="162"/>
        <v>-</v>
      </c>
      <c r="T1075" s="686" t="str">
        <f t="shared" si="163"/>
        <v>-</v>
      </c>
      <c r="U1075" s="723" t="str">
        <f t="shared" si="164"/>
        <v>-</v>
      </c>
      <c r="V1075" s="695" t="str">
        <f t="shared" si="165"/>
        <v>-</v>
      </c>
      <c r="W1075" s="711"/>
    </row>
    <row r="1076" spans="1:23" ht="16.5" hidden="1" outlineLevel="1">
      <c r="A1076" s="726"/>
      <c r="B1076" s="726" t="s">
        <v>465</v>
      </c>
      <c r="C1076" s="727">
        <v>8</v>
      </c>
      <c r="D1076" s="690"/>
      <c r="E1076" s="720" t="s">
        <v>1557</v>
      </c>
      <c r="F1076" s="685">
        <v>1</v>
      </c>
      <c r="G1076" s="239">
        <v>6</v>
      </c>
      <c r="H1076" s="203">
        <f>(4700/150)+1</f>
        <v>32.333333333333329</v>
      </c>
      <c r="I1076" s="840">
        <v>150</v>
      </c>
      <c r="J1076" s="198">
        <f>1150-100</f>
        <v>1050</v>
      </c>
      <c r="K1076" s="840">
        <v>150</v>
      </c>
      <c r="L1076" s="198"/>
      <c r="M1076" s="198"/>
      <c r="N1076" s="721">
        <f t="shared" si="157"/>
        <v>1318</v>
      </c>
      <c r="O1076" s="721">
        <f t="shared" si="158"/>
        <v>0</v>
      </c>
      <c r="P1076" s="722">
        <f t="shared" si="159"/>
        <v>255.69200000000001</v>
      </c>
      <c r="Q1076" s="686" t="str">
        <f t="shared" si="160"/>
        <v>-</v>
      </c>
      <c r="R1076" s="686" t="str">
        <f t="shared" si="161"/>
        <v>-</v>
      </c>
      <c r="S1076" s="686" t="str">
        <f t="shared" si="162"/>
        <v>-</v>
      </c>
      <c r="T1076" s="686" t="str">
        <f t="shared" si="163"/>
        <v>-</v>
      </c>
      <c r="U1076" s="723" t="str">
        <f t="shared" si="164"/>
        <v>-</v>
      </c>
      <c r="V1076" s="695" t="str">
        <f t="shared" si="165"/>
        <v>-</v>
      </c>
      <c r="W1076" s="711"/>
    </row>
    <row r="1077" spans="1:23" ht="16.5" hidden="1" outlineLevel="1">
      <c r="A1077" s="726"/>
      <c r="B1077" s="726" t="s">
        <v>466</v>
      </c>
      <c r="C1077" s="727">
        <v>8</v>
      </c>
      <c r="D1077" s="690"/>
      <c r="E1077" s="720" t="s">
        <v>1557</v>
      </c>
      <c r="F1077" s="685">
        <v>1</v>
      </c>
      <c r="G1077" s="239">
        <v>6</v>
      </c>
      <c r="H1077" s="203">
        <f>(1150/200)+1</f>
        <v>6.75</v>
      </c>
      <c r="I1077" s="840">
        <v>150</v>
      </c>
      <c r="J1077" s="198">
        <f>4800-100</f>
        <v>4700</v>
      </c>
      <c r="K1077" s="840">
        <v>150</v>
      </c>
      <c r="L1077" s="198"/>
      <c r="M1077" s="198"/>
      <c r="N1077" s="721">
        <f t="shared" si="157"/>
        <v>4968</v>
      </c>
      <c r="O1077" s="721">
        <f t="shared" si="158"/>
        <v>0</v>
      </c>
      <c r="P1077" s="722">
        <f t="shared" si="159"/>
        <v>201.20400000000001</v>
      </c>
      <c r="Q1077" s="686" t="str">
        <f t="shared" si="160"/>
        <v>-</v>
      </c>
      <c r="R1077" s="686" t="str">
        <f t="shared" si="161"/>
        <v>-</v>
      </c>
      <c r="S1077" s="686" t="str">
        <f t="shared" si="162"/>
        <v>-</v>
      </c>
      <c r="T1077" s="686" t="str">
        <f t="shared" si="163"/>
        <v>-</v>
      </c>
      <c r="U1077" s="723" t="str">
        <f t="shared" si="164"/>
        <v>-</v>
      </c>
      <c r="V1077" s="695" t="str">
        <f t="shared" si="165"/>
        <v>-</v>
      </c>
      <c r="W1077" s="711"/>
    </row>
    <row r="1078" spans="1:23" ht="16.5" hidden="1" outlineLevel="1">
      <c r="A1078" s="726"/>
      <c r="B1078" s="726" t="s">
        <v>467</v>
      </c>
      <c r="C1078" s="727"/>
      <c r="D1078" s="690"/>
      <c r="E1078" s="727"/>
      <c r="F1078" s="685">
        <v>1</v>
      </c>
      <c r="G1078" s="239"/>
      <c r="H1078" s="203"/>
      <c r="I1078" s="198"/>
      <c r="J1078" s="198"/>
      <c r="K1078" s="198"/>
      <c r="L1078" s="198"/>
      <c r="M1078" s="198"/>
      <c r="N1078" s="721" t="str">
        <f t="shared" si="157"/>
        <v>-</v>
      </c>
      <c r="O1078" s="721" t="str">
        <f t="shared" si="158"/>
        <v/>
      </c>
      <c r="P1078" s="722" t="str">
        <f t="shared" si="159"/>
        <v>-</v>
      </c>
      <c r="Q1078" s="686" t="str">
        <f t="shared" si="160"/>
        <v>-</v>
      </c>
      <c r="R1078" s="686" t="str">
        <f t="shared" si="161"/>
        <v>-</v>
      </c>
      <c r="S1078" s="686" t="str">
        <f t="shared" si="162"/>
        <v>-</v>
      </c>
      <c r="T1078" s="686" t="str">
        <f t="shared" si="163"/>
        <v>-</v>
      </c>
      <c r="U1078" s="723" t="str">
        <f t="shared" si="164"/>
        <v>-</v>
      </c>
      <c r="V1078" s="695" t="str">
        <f t="shared" si="165"/>
        <v>-</v>
      </c>
      <c r="W1078" s="711"/>
    </row>
    <row r="1079" spans="1:23" ht="16.5" hidden="1" outlineLevel="1">
      <c r="A1079" s="726"/>
      <c r="B1079" s="726" t="s">
        <v>465</v>
      </c>
      <c r="C1079" s="727">
        <v>8</v>
      </c>
      <c r="D1079" s="690"/>
      <c r="E1079" s="720" t="s">
        <v>1557</v>
      </c>
      <c r="F1079" s="685">
        <v>1</v>
      </c>
      <c r="G1079" s="239">
        <v>6</v>
      </c>
      <c r="H1079" s="203">
        <f>(4700/150)+1</f>
        <v>32.333333333333329</v>
      </c>
      <c r="I1079" s="840">
        <v>150</v>
      </c>
      <c r="J1079" s="198">
        <f>1150-100</f>
        <v>1050</v>
      </c>
      <c r="K1079" s="840">
        <v>150</v>
      </c>
      <c r="L1079" s="198"/>
      <c r="M1079" s="198"/>
      <c r="N1079" s="721">
        <f t="shared" si="157"/>
        <v>1318</v>
      </c>
      <c r="O1079" s="721">
        <f t="shared" si="158"/>
        <v>0</v>
      </c>
      <c r="P1079" s="722">
        <f t="shared" si="159"/>
        <v>255.69200000000001</v>
      </c>
      <c r="Q1079" s="686" t="str">
        <f t="shared" si="160"/>
        <v>-</v>
      </c>
      <c r="R1079" s="686" t="str">
        <f t="shared" si="161"/>
        <v>-</v>
      </c>
      <c r="S1079" s="686" t="str">
        <f t="shared" si="162"/>
        <v>-</v>
      </c>
      <c r="T1079" s="686" t="str">
        <f t="shared" si="163"/>
        <v>-</v>
      </c>
      <c r="U1079" s="723" t="str">
        <f t="shared" si="164"/>
        <v>-</v>
      </c>
      <c r="V1079" s="695" t="str">
        <f t="shared" si="165"/>
        <v>-</v>
      </c>
      <c r="W1079" s="711"/>
    </row>
    <row r="1080" spans="1:23" ht="16.5" hidden="1" outlineLevel="1">
      <c r="A1080" s="726"/>
      <c r="B1080" s="726" t="s">
        <v>466</v>
      </c>
      <c r="C1080" s="727">
        <v>8</v>
      </c>
      <c r="D1080" s="690"/>
      <c r="E1080" s="720" t="s">
        <v>1557</v>
      </c>
      <c r="F1080" s="685">
        <v>1</v>
      </c>
      <c r="G1080" s="239">
        <v>6</v>
      </c>
      <c r="H1080" s="203">
        <f>(1150/200)+1</f>
        <v>6.75</v>
      </c>
      <c r="I1080" s="840">
        <v>150</v>
      </c>
      <c r="J1080" s="198">
        <f>4800-100</f>
        <v>4700</v>
      </c>
      <c r="K1080" s="840">
        <v>150</v>
      </c>
      <c r="L1080" s="198"/>
      <c r="M1080" s="198"/>
      <c r="N1080" s="721">
        <f t="shared" si="157"/>
        <v>4968</v>
      </c>
      <c r="O1080" s="721">
        <f t="shared" si="158"/>
        <v>0</v>
      </c>
      <c r="P1080" s="722">
        <f t="shared" si="159"/>
        <v>201.20400000000001</v>
      </c>
      <c r="Q1080" s="686" t="str">
        <f t="shared" si="160"/>
        <v>-</v>
      </c>
      <c r="R1080" s="686" t="str">
        <f t="shared" si="161"/>
        <v>-</v>
      </c>
      <c r="S1080" s="686" t="str">
        <f t="shared" si="162"/>
        <v>-</v>
      </c>
      <c r="T1080" s="686" t="str">
        <f t="shared" si="163"/>
        <v>-</v>
      </c>
      <c r="U1080" s="723" t="str">
        <f t="shared" si="164"/>
        <v>-</v>
      </c>
      <c r="V1080" s="695" t="str">
        <f t="shared" si="165"/>
        <v>-</v>
      </c>
      <c r="W1080" s="711"/>
    </row>
    <row r="1081" spans="1:23" ht="16.5" hidden="1" outlineLevel="1">
      <c r="A1081" s="726"/>
      <c r="B1081" s="726" t="s">
        <v>468</v>
      </c>
      <c r="C1081" s="727">
        <v>10</v>
      </c>
      <c r="D1081" s="690"/>
      <c r="E1081" s="691" t="s">
        <v>1566</v>
      </c>
      <c r="F1081" s="685">
        <v>1</v>
      </c>
      <c r="G1081" s="239">
        <v>6</v>
      </c>
      <c r="H1081" s="249">
        <v>6</v>
      </c>
      <c r="I1081" s="198">
        <v>300</v>
      </c>
      <c r="J1081" s="198">
        <f>300-100-32</f>
        <v>168</v>
      </c>
      <c r="K1081" s="198">
        <v>500</v>
      </c>
      <c r="L1081" s="198">
        <f>300-100-32</f>
        <v>168</v>
      </c>
      <c r="M1081" s="198">
        <v>300</v>
      </c>
      <c r="N1081" s="721">
        <f t="shared" si="157"/>
        <v>1356</v>
      </c>
      <c r="O1081" s="721">
        <f t="shared" si="158"/>
        <v>0</v>
      </c>
      <c r="P1081" s="722" t="str">
        <f t="shared" si="159"/>
        <v>-</v>
      </c>
      <c r="Q1081" s="686">
        <f t="shared" si="160"/>
        <v>48.816000000000003</v>
      </c>
      <c r="R1081" s="686" t="str">
        <f t="shared" si="161"/>
        <v>-</v>
      </c>
      <c r="S1081" s="686" t="str">
        <f t="shared" si="162"/>
        <v>-</v>
      </c>
      <c r="T1081" s="686" t="str">
        <f t="shared" si="163"/>
        <v>-</v>
      </c>
      <c r="U1081" s="723" t="str">
        <f t="shared" si="164"/>
        <v>-</v>
      </c>
      <c r="V1081" s="695" t="str">
        <f t="shared" si="165"/>
        <v>-</v>
      </c>
      <c r="W1081" s="711"/>
    </row>
    <row r="1082" spans="1:23" ht="16.5" hidden="1" outlineLevel="1">
      <c r="A1082" s="726"/>
      <c r="B1082" s="726"/>
      <c r="C1082" s="727"/>
      <c r="D1082" s="690"/>
      <c r="E1082" s="727"/>
      <c r="F1082" s="685"/>
      <c r="G1082" s="239"/>
      <c r="H1082" s="203"/>
      <c r="I1082" s="198"/>
      <c r="J1082" s="198"/>
      <c r="K1082" s="198"/>
      <c r="L1082" s="198"/>
      <c r="M1082" s="198"/>
      <c r="N1082" s="721" t="str">
        <f t="shared" si="157"/>
        <v>-</v>
      </c>
      <c r="O1082" s="721" t="str">
        <f t="shared" si="158"/>
        <v/>
      </c>
      <c r="P1082" s="722" t="str">
        <f t="shared" si="159"/>
        <v>-</v>
      </c>
      <c r="Q1082" s="686" t="str">
        <f t="shared" si="160"/>
        <v>-</v>
      </c>
      <c r="R1082" s="686" t="str">
        <f t="shared" si="161"/>
        <v>-</v>
      </c>
      <c r="S1082" s="686" t="str">
        <f t="shared" si="162"/>
        <v>-</v>
      </c>
      <c r="T1082" s="686" t="str">
        <f t="shared" si="163"/>
        <v>-</v>
      </c>
      <c r="U1082" s="723" t="str">
        <f t="shared" si="164"/>
        <v>-</v>
      </c>
      <c r="V1082" s="695" t="str">
        <f t="shared" si="165"/>
        <v>-</v>
      </c>
      <c r="W1082" s="711"/>
    </row>
    <row r="1083" spans="1:23" ht="16.5" hidden="1" outlineLevel="1">
      <c r="A1083" s="209" t="s">
        <v>1601</v>
      </c>
      <c r="B1083" s="209" t="s">
        <v>470</v>
      </c>
      <c r="C1083" s="727"/>
      <c r="D1083" s="690"/>
      <c r="E1083" s="727"/>
      <c r="F1083" s="685"/>
      <c r="G1083" s="239"/>
      <c r="H1083" s="203"/>
      <c r="I1083" s="198"/>
      <c r="J1083" s="198"/>
      <c r="K1083" s="198"/>
      <c r="L1083" s="198"/>
      <c r="M1083" s="198"/>
      <c r="N1083" s="721" t="str">
        <f t="shared" si="157"/>
        <v>-</v>
      </c>
      <c r="O1083" s="721" t="str">
        <f t="shared" si="158"/>
        <v/>
      </c>
      <c r="P1083" s="722" t="str">
        <f t="shared" si="159"/>
        <v>-</v>
      </c>
      <c r="Q1083" s="686" t="str">
        <f t="shared" si="160"/>
        <v>-</v>
      </c>
      <c r="R1083" s="686" t="str">
        <f t="shared" si="161"/>
        <v>-</v>
      </c>
      <c r="S1083" s="686" t="str">
        <f t="shared" si="162"/>
        <v>-</v>
      </c>
      <c r="T1083" s="686" t="str">
        <f t="shared" si="163"/>
        <v>-</v>
      </c>
      <c r="U1083" s="723" t="str">
        <f t="shared" si="164"/>
        <v>-</v>
      </c>
      <c r="V1083" s="695" t="str">
        <f t="shared" si="165"/>
        <v>-</v>
      </c>
      <c r="W1083" s="711"/>
    </row>
    <row r="1084" spans="1:23" ht="16.5" hidden="1" outlineLevel="1">
      <c r="A1084" s="726"/>
      <c r="B1084" s="726" t="s">
        <v>471</v>
      </c>
      <c r="C1084" s="727">
        <v>8</v>
      </c>
      <c r="D1084" s="690"/>
      <c r="E1084" s="737" t="s">
        <v>1593</v>
      </c>
      <c r="F1084" s="685">
        <v>1</v>
      </c>
      <c r="G1084" s="250">
        <v>20</v>
      </c>
      <c r="H1084" s="203">
        <f>(4700/150)+1</f>
        <v>32.333333333333329</v>
      </c>
      <c r="I1084" s="198">
        <v>250</v>
      </c>
      <c r="J1084" s="198">
        <f>300+1025-50-25+150</f>
        <v>1400</v>
      </c>
      <c r="K1084" s="198"/>
      <c r="L1084" s="198"/>
      <c r="M1084" s="198"/>
      <c r="N1084" s="721">
        <f t="shared" si="157"/>
        <v>1634</v>
      </c>
      <c r="O1084" s="721">
        <f t="shared" si="158"/>
        <v>0</v>
      </c>
      <c r="P1084" s="722">
        <f t="shared" si="159"/>
        <v>1056.653</v>
      </c>
      <c r="Q1084" s="686" t="str">
        <f t="shared" si="160"/>
        <v>-</v>
      </c>
      <c r="R1084" s="686" t="str">
        <f t="shared" si="161"/>
        <v>-</v>
      </c>
      <c r="S1084" s="686" t="str">
        <f t="shared" si="162"/>
        <v>-</v>
      </c>
      <c r="T1084" s="686" t="str">
        <f t="shared" si="163"/>
        <v>-</v>
      </c>
      <c r="U1084" s="723" t="str">
        <f t="shared" si="164"/>
        <v>-</v>
      </c>
      <c r="V1084" s="695" t="str">
        <f t="shared" si="165"/>
        <v>-</v>
      </c>
      <c r="W1084" s="711"/>
    </row>
    <row r="1085" spans="1:23" ht="16.5" hidden="1" outlineLevel="1">
      <c r="A1085" s="726"/>
      <c r="B1085" s="726" t="s">
        <v>472</v>
      </c>
      <c r="C1085" s="727">
        <v>8</v>
      </c>
      <c r="D1085" s="690"/>
      <c r="E1085" s="720" t="s">
        <v>1557</v>
      </c>
      <c r="F1085" s="685">
        <v>1</v>
      </c>
      <c r="G1085" s="250">
        <v>20</v>
      </c>
      <c r="H1085" s="203">
        <f>(1050/200)+1</f>
        <v>6.25</v>
      </c>
      <c r="I1085" s="198">
        <f>8*50</f>
        <v>400</v>
      </c>
      <c r="J1085" s="198">
        <f>4500-25-25</f>
        <v>4450</v>
      </c>
      <c r="K1085" s="198">
        <v>400</v>
      </c>
      <c r="L1085" s="198"/>
      <c r="M1085" s="198"/>
      <c r="N1085" s="721">
        <f t="shared" si="157"/>
        <v>5218</v>
      </c>
      <c r="O1085" s="721">
        <f t="shared" si="158"/>
        <v>0</v>
      </c>
      <c r="P1085" s="722">
        <f t="shared" si="159"/>
        <v>652.25</v>
      </c>
      <c r="Q1085" s="686" t="str">
        <f t="shared" si="160"/>
        <v>-</v>
      </c>
      <c r="R1085" s="686" t="str">
        <f t="shared" si="161"/>
        <v>-</v>
      </c>
      <c r="S1085" s="686" t="str">
        <f t="shared" si="162"/>
        <v>-</v>
      </c>
      <c r="T1085" s="686" t="str">
        <f t="shared" si="163"/>
        <v>-</v>
      </c>
      <c r="U1085" s="723" t="str">
        <f t="shared" si="164"/>
        <v>-</v>
      </c>
      <c r="V1085" s="695" t="str">
        <f t="shared" si="165"/>
        <v>-</v>
      </c>
      <c r="W1085" s="711"/>
    </row>
    <row r="1086" spans="1:23" ht="16.5" hidden="1" outlineLevel="1">
      <c r="A1086" s="726"/>
      <c r="B1086" s="726"/>
      <c r="C1086" s="727">
        <v>8</v>
      </c>
      <c r="D1086" s="690"/>
      <c r="E1086" s="720" t="s">
        <v>1557</v>
      </c>
      <c r="F1086" s="685">
        <v>1</v>
      </c>
      <c r="G1086" s="250">
        <v>20</v>
      </c>
      <c r="H1086" s="203">
        <f>(1050/200)+1</f>
        <v>6.25</v>
      </c>
      <c r="I1086" s="198">
        <f>8*50</f>
        <v>400</v>
      </c>
      <c r="J1086" s="198">
        <f>1000-25-25</f>
        <v>950</v>
      </c>
      <c r="K1086" s="198">
        <v>400</v>
      </c>
      <c r="L1086" s="198"/>
      <c r="M1086" s="198"/>
      <c r="N1086" s="721">
        <f t="shared" si="157"/>
        <v>1718</v>
      </c>
      <c r="O1086" s="721">
        <f t="shared" si="158"/>
        <v>0</v>
      </c>
      <c r="P1086" s="722">
        <f t="shared" si="159"/>
        <v>214.75</v>
      </c>
      <c r="Q1086" s="686" t="str">
        <f t="shared" si="160"/>
        <v>-</v>
      </c>
      <c r="R1086" s="686" t="str">
        <f t="shared" si="161"/>
        <v>-</v>
      </c>
      <c r="S1086" s="686" t="str">
        <f t="shared" si="162"/>
        <v>-</v>
      </c>
      <c r="T1086" s="686" t="str">
        <f t="shared" si="163"/>
        <v>-</v>
      </c>
      <c r="U1086" s="723" t="str">
        <f t="shared" si="164"/>
        <v>-</v>
      </c>
      <c r="V1086" s="695" t="str">
        <f t="shared" si="165"/>
        <v>-</v>
      </c>
      <c r="W1086" s="711"/>
    </row>
    <row r="1087" spans="1:23" ht="16.5" hidden="1" outlineLevel="1">
      <c r="A1087" s="726"/>
      <c r="B1087" s="726" t="s">
        <v>473</v>
      </c>
      <c r="C1087" s="727">
        <v>8</v>
      </c>
      <c r="D1087" s="690"/>
      <c r="E1087" s="720" t="s">
        <v>1557</v>
      </c>
      <c r="F1087" s="685">
        <v>1</v>
      </c>
      <c r="G1087" s="239">
        <f>2*6</f>
        <v>12</v>
      </c>
      <c r="H1087" s="249">
        <v>14</v>
      </c>
      <c r="I1087" s="198">
        <v>300</v>
      </c>
      <c r="J1087" s="198">
        <f>200-50-32</f>
        <v>118</v>
      </c>
      <c r="K1087" s="198">
        <v>300</v>
      </c>
      <c r="L1087" s="198"/>
      <c r="M1087" s="198"/>
      <c r="N1087" s="721">
        <f t="shared" si="157"/>
        <v>686</v>
      </c>
      <c r="O1087" s="721">
        <f t="shared" si="158"/>
        <v>0</v>
      </c>
      <c r="P1087" s="722">
        <f t="shared" si="159"/>
        <v>115.248</v>
      </c>
      <c r="Q1087" s="686" t="str">
        <f t="shared" si="160"/>
        <v>-</v>
      </c>
      <c r="R1087" s="686" t="str">
        <f t="shared" si="161"/>
        <v>-</v>
      </c>
      <c r="S1087" s="686" t="str">
        <f t="shared" si="162"/>
        <v>-</v>
      </c>
      <c r="T1087" s="686" t="str">
        <f t="shared" si="163"/>
        <v>-</v>
      </c>
      <c r="U1087" s="723" t="str">
        <f t="shared" si="164"/>
        <v>-</v>
      </c>
      <c r="V1087" s="695" t="str">
        <f t="shared" si="165"/>
        <v>-</v>
      </c>
      <c r="W1087" s="711"/>
    </row>
    <row r="1088" spans="1:23" ht="16.5" hidden="1" outlineLevel="1">
      <c r="A1088" s="726"/>
      <c r="B1088" s="726"/>
      <c r="C1088" s="727"/>
      <c r="D1088" s="690"/>
      <c r="E1088" s="727"/>
      <c r="F1088" s="685"/>
      <c r="G1088" s="239"/>
      <c r="H1088" s="203"/>
      <c r="I1088" s="198"/>
      <c r="J1088" s="198"/>
      <c r="K1088" s="198"/>
      <c r="L1088" s="198"/>
      <c r="M1088" s="198"/>
      <c r="N1088" s="721" t="str">
        <f t="shared" si="157"/>
        <v>-</v>
      </c>
      <c r="O1088" s="721" t="str">
        <f t="shared" si="158"/>
        <v/>
      </c>
      <c r="P1088" s="722" t="str">
        <f t="shared" si="159"/>
        <v>-</v>
      </c>
      <c r="Q1088" s="686" t="str">
        <f t="shared" si="160"/>
        <v>-</v>
      </c>
      <c r="R1088" s="686" t="str">
        <f t="shared" si="161"/>
        <v>-</v>
      </c>
      <c r="S1088" s="686" t="str">
        <f t="shared" si="162"/>
        <v>-</v>
      </c>
      <c r="T1088" s="686" t="str">
        <f t="shared" si="163"/>
        <v>-</v>
      </c>
      <c r="U1088" s="723" t="str">
        <f t="shared" si="164"/>
        <v>-</v>
      </c>
      <c r="V1088" s="695" t="str">
        <f t="shared" si="165"/>
        <v>-</v>
      </c>
      <c r="W1088" s="711"/>
    </row>
    <row r="1089" spans="1:23" ht="16.5" hidden="1" outlineLevel="1">
      <c r="A1089" s="195"/>
      <c r="B1089" s="172"/>
      <c r="C1089" s="196"/>
      <c r="D1089" s="685"/>
      <c r="E1089" s="196"/>
      <c r="F1089" s="685"/>
      <c r="G1089" s="203"/>
      <c r="H1089" s="197"/>
      <c r="I1089" s="198"/>
      <c r="J1089" s="198"/>
      <c r="K1089" s="198"/>
      <c r="L1089" s="198"/>
      <c r="M1089" s="198"/>
      <c r="N1089" s="721" t="str">
        <f t="shared" si="157"/>
        <v>-</v>
      </c>
      <c r="O1089" s="721" t="str">
        <f t="shared" si="158"/>
        <v/>
      </c>
      <c r="P1089" s="722" t="str">
        <f t="shared" si="159"/>
        <v>-</v>
      </c>
      <c r="Q1089" s="686" t="str">
        <f t="shared" si="160"/>
        <v>-</v>
      </c>
      <c r="R1089" s="686" t="str">
        <f t="shared" si="161"/>
        <v>-</v>
      </c>
      <c r="S1089" s="686" t="str">
        <f t="shared" si="162"/>
        <v>-</v>
      </c>
      <c r="T1089" s="686" t="str">
        <f t="shared" si="163"/>
        <v>-</v>
      </c>
      <c r="U1089" s="723" t="str">
        <f t="shared" si="164"/>
        <v>-</v>
      </c>
      <c r="V1089" s="695" t="str">
        <f t="shared" si="165"/>
        <v>-</v>
      </c>
      <c r="W1089" s="711"/>
    </row>
    <row r="1090" spans="1:23" ht="16.5" hidden="1" outlineLevel="1">
      <c r="A1090" s="728" t="s">
        <v>633</v>
      </c>
      <c r="B1090" s="736" t="s">
        <v>1602</v>
      </c>
      <c r="C1090" s="196"/>
      <c r="D1090" s="685"/>
      <c r="E1090" s="196"/>
      <c r="F1090" s="685"/>
      <c r="G1090" s="204"/>
      <c r="H1090" s="203"/>
      <c r="I1090" s="198"/>
      <c r="J1090" s="198"/>
      <c r="K1090" s="198"/>
      <c r="L1090" s="198"/>
      <c r="M1090" s="198"/>
      <c r="N1090" s="721" t="str">
        <f t="shared" si="157"/>
        <v>-</v>
      </c>
      <c r="O1090" s="721" t="str">
        <f t="shared" si="158"/>
        <v/>
      </c>
      <c r="P1090" s="722" t="str">
        <f t="shared" si="159"/>
        <v>-</v>
      </c>
      <c r="Q1090" s="686" t="str">
        <f t="shared" si="160"/>
        <v>-</v>
      </c>
      <c r="R1090" s="686" t="str">
        <f t="shared" si="161"/>
        <v>-</v>
      </c>
      <c r="S1090" s="686" t="str">
        <f t="shared" si="162"/>
        <v>-</v>
      </c>
      <c r="T1090" s="686" t="str">
        <f t="shared" si="163"/>
        <v>-</v>
      </c>
      <c r="U1090" s="723" t="str">
        <f t="shared" si="164"/>
        <v>-</v>
      </c>
      <c r="V1090" s="695" t="str">
        <f t="shared" si="165"/>
        <v>-</v>
      </c>
      <c r="W1090" s="711"/>
    </row>
    <row r="1091" spans="1:23" ht="16.5" hidden="1" outlineLevel="1">
      <c r="A1091" s="726"/>
      <c r="B1091" s="726"/>
      <c r="C1091" s="727"/>
      <c r="D1091" s="690"/>
      <c r="E1091" s="727"/>
      <c r="F1091" s="685"/>
      <c r="G1091" s="239"/>
      <c r="H1091" s="203"/>
      <c r="I1091" s="198"/>
      <c r="J1091" s="198"/>
      <c r="K1091" s="198"/>
      <c r="L1091" s="198"/>
      <c r="M1091" s="198"/>
      <c r="N1091" s="721" t="str">
        <f t="shared" si="157"/>
        <v>-</v>
      </c>
      <c r="O1091" s="721" t="str">
        <f t="shared" si="158"/>
        <v/>
      </c>
      <c r="P1091" s="722" t="str">
        <f t="shared" si="159"/>
        <v>-</v>
      </c>
      <c r="Q1091" s="686" t="str">
        <f t="shared" si="160"/>
        <v>-</v>
      </c>
      <c r="R1091" s="686" t="str">
        <f t="shared" si="161"/>
        <v>-</v>
      </c>
      <c r="S1091" s="686" t="str">
        <f t="shared" si="162"/>
        <v>-</v>
      </c>
      <c r="T1091" s="686" t="str">
        <f t="shared" si="163"/>
        <v>-</v>
      </c>
      <c r="U1091" s="723" t="str">
        <f t="shared" si="164"/>
        <v>-</v>
      </c>
      <c r="V1091" s="695" t="str">
        <f t="shared" si="165"/>
        <v>-</v>
      </c>
      <c r="W1091" s="711"/>
    </row>
    <row r="1092" spans="1:23" ht="66" hidden="1" outlineLevel="1">
      <c r="A1092" s="726"/>
      <c r="B1092" s="738" t="s">
        <v>1603</v>
      </c>
      <c r="C1092" s="727"/>
      <c r="D1092" s="690"/>
      <c r="E1092" s="727"/>
      <c r="F1092" s="685"/>
      <c r="G1092" s="239"/>
      <c r="H1092" s="203"/>
      <c r="I1092" s="198"/>
      <c r="J1092" s="198"/>
      <c r="K1092" s="198"/>
      <c r="L1092" s="198"/>
      <c r="M1092" s="198"/>
      <c r="N1092" s="721" t="str">
        <f t="shared" si="157"/>
        <v>-</v>
      </c>
      <c r="O1092" s="721" t="str">
        <f t="shared" si="158"/>
        <v/>
      </c>
      <c r="P1092" s="722" t="str">
        <f t="shared" si="159"/>
        <v>-</v>
      </c>
      <c r="Q1092" s="686" t="str">
        <f t="shared" si="160"/>
        <v>-</v>
      </c>
      <c r="R1092" s="686" t="str">
        <f t="shared" si="161"/>
        <v>-</v>
      </c>
      <c r="S1092" s="686" t="str">
        <f t="shared" si="162"/>
        <v>-</v>
      </c>
      <c r="T1092" s="686" t="str">
        <f t="shared" si="163"/>
        <v>-</v>
      </c>
      <c r="U1092" s="723" t="str">
        <f t="shared" si="164"/>
        <v>-</v>
      </c>
      <c r="V1092" s="695" t="str">
        <f t="shared" si="165"/>
        <v>-</v>
      </c>
      <c r="W1092" s="711"/>
    </row>
    <row r="1093" spans="1:23" ht="16.5" hidden="1" outlineLevel="1">
      <c r="A1093" s="205" t="s">
        <v>1604</v>
      </c>
      <c r="B1093" s="739" t="s">
        <v>676</v>
      </c>
      <c r="C1093" s="727"/>
      <c r="D1093" s="690"/>
      <c r="E1093" s="727"/>
      <c r="F1093" s="685"/>
      <c r="G1093" s="841"/>
      <c r="H1093" s="203"/>
      <c r="I1093" s="198"/>
      <c r="J1093" s="198"/>
      <c r="K1093" s="198"/>
      <c r="L1093" s="198"/>
      <c r="M1093" s="198"/>
      <c r="N1093" s="721" t="str">
        <f t="shared" si="157"/>
        <v>-</v>
      </c>
      <c r="O1093" s="721" t="str">
        <f t="shared" si="158"/>
        <v/>
      </c>
      <c r="P1093" s="722" t="str">
        <f t="shared" si="159"/>
        <v>-</v>
      </c>
      <c r="Q1093" s="686" t="str">
        <f t="shared" si="160"/>
        <v>-</v>
      </c>
      <c r="R1093" s="686" t="str">
        <f t="shared" si="161"/>
        <v>-</v>
      </c>
      <c r="S1093" s="686" t="str">
        <f t="shared" si="162"/>
        <v>-</v>
      </c>
      <c r="T1093" s="686" t="str">
        <f t="shared" si="163"/>
        <v>-</v>
      </c>
      <c r="U1093" s="723" t="str">
        <f t="shared" si="164"/>
        <v>-</v>
      </c>
      <c r="V1093" s="695" t="str">
        <f t="shared" si="165"/>
        <v>-</v>
      </c>
      <c r="W1093" s="711"/>
    </row>
    <row r="1094" spans="1:23" ht="16.5" hidden="1" outlineLevel="1">
      <c r="A1094" s="726"/>
      <c r="B1094" s="726" t="s">
        <v>1605</v>
      </c>
      <c r="C1094" s="727"/>
      <c r="D1094" s="690"/>
      <c r="E1094" s="727"/>
      <c r="F1094" s="685"/>
      <c r="G1094" s="239"/>
      <c r="H1094" s="203"/>
      <c r="I1094" s="198"/>
      <c r="J1094" s="198"/>
      <c r="K1094" s="198"/>
      <c r="L1094" s="198"/>
      <c r="M1094" s="198"/>
      <c r="N1094" s="721" t="str">
        <f t="shared" si="157"/>
        <v>-</v>
      </c>
      <c r="O1094" s="721" t="str">
        <f t="shared" si="158"/>
        <v/>
      </c>
      <c r="P1094" s="722" t="str">
        <f t="shared" si="159"/>
        <v>-</v>
      </c>
      <c r="Q1094" s="686" t="str">
        <f t="shared" si="160"/>
        <v>-</v>
      </c>
      <c r="R1094" s="686" t="str">
        <f t="shared" si="161"/>
        <v>-</v>
      </c>
      <c r="S1094" s="686" t="str">
        <f t="shared" si="162"/>
        <v>-</v>
      </c>
      <c r="T1094" s="686" t="str">
        <f t="shared" si="163"/>
        <v>-</v>
      </c>
      <c r="U1094" s="723" t="str">
        <f t="shared" si="164"/>
        <v>-</v>
      </c>
      <c r="V1094" s="695" t="str">
        <f t="shared" si="165"/>
        <v>-</v>
      </c>
      <c r="W1094" s="711"/>
    </row>
    <row r="1095" spans="1:23" ht="16.5" hidden="1" outlineLevel="1">
      <c r="A1095" s="726"/>
      <c r="B1095" s="726" t="s">
        <v>465</v>
      </c>
      <c r="C1095" s="727">
        <v>10</v>
      </c>
      <c r="D1095" s="690"/>
      <c r="E1095" s="737" t="s">
        <v>1593</v>
      </c>
      <c r="F1095" s="685">
        <v>1</v>
      </c>
      <c r="G1095" s="842">
        <v>1</v>
      </c>
      <c r="H1095" s="843">
        <v>452</v>
      </c>
      <c r="I1095" s="198">
        <f>10*C1095</f>
        <v>100</v>
      </c>
      <c r="J1095" s="198">
        <f>600+200+900+900-50</f>
        <v>2550</v>
      </c>
      <c r="K1095" s="198"/>
      <c r="L1095" s="198"/>
      <c r="M1095" s="198"/>
      <c r="N1095" s="721">
        <f t="shared" si="157"/>
        <v>2630</v>
      </c>
      <c r="O1095" s="721">
        <f t="shared" si="158"/>
        <v>0</v>
      </c>
      <c r="P1095" s="722" t="str">
        <f t="shared" si="159"/>
        <v>-</v>
      </c>
      <c r="Q1095" s="686">
        <f t="shared" si="160"/>
        <v>1188.76</v>
      </c>
      <c r="R1095" s="686" t="str">
        <f t="shared" si="161"/>
        <v>-</v>
      </c>
      <c r="S1095" s="686" t="str">
        <f t="shared" si="162"/>
        <v>-</v>
      </c>
      <c r="T1095" s="686" t="str">
        <f t="shared" si="163"/>
        <v>-</v>
      </c>
      <c r="U1095" s="723" t="str">
        <f t="shared" si="164"/>
        <v>-</v>
      </c>
      <c r="V1095" s="695" t="str">
        <f t="shared" si="165"/>
        <v>-</v>
      </c>
      <c r="W1095" s="711"/>
    </row>
    <row r="1096" spans="1:23" ht="16.5" hidden="1" outlineLevel="1">
      <c r="A1096" s="726"/>
      <c r="B1096" s="726" t="s">
        <v>1606</v>
      </c>
      <c r="C1096" s="727">
        <v>10</v>
      </c>
      <c r="D1096" s="690"/>
      <c r="E1096" s="740" t="s">
        <v>1587</v>
      </c>
      <c r="F1096" s="685">
        <v>1</v>
      </c>
      <c r="G1096" s="239">
        <v>1</v>
      </c>
      <c r="H1096" s="203">
        <f>(1700/200)+1</f>
        <v>9.5</v>
      </c>
      <c r="I1096" s="198"/>
      <c r="J1096" s="198">
        <f>68201</f>
        <v>68201</v>
      </c>
      <c r="K1096" s="198"/>
      <c r="L1096" s="198"/>
      <c r="M1096" s="198"/>
      <c r="N1096" s="721">
        <f t="shared" si="157"/>
        <v>68201</v>
      </c>
      <c r="O1096" s="721">
        <f t="shared" si="158"/>
        <v>2450</v>
      </c>
      <c r="P1096" s="722" t="str">
        <f t="shared" si="159"/>
        <v>-</v>
      </c>
      <c r="Q1096" s="686">
        <f t="shared" si="160"/>
        <v>671.18499999999995</v>
      </c>
      <c r="R1096" s="686" t="str">
        <f t="shared" si="161"/>
        <v>-</v>
      </c>
      <c r="S1096" s="686" t="str">
        <f t="shared" si="162"/>
        <v>-</v>
      </c>
      <c r="T1096" s="686" t="str">
        <f t="shared" si="163"/>
        <v>-</v>
      </c>
      <c r="U1096" s="723" t="str">
        <f t="shared" si="164"/>
        <v>-</v>
      </c>
      <c r="V1096" s="695" t="str">
        <f t="shared" si="165"/>
        <v>-</v>
      </c>
      <c r="W1096" s="711"/>
    </row>
    <row r="1097" spans="1:23" ht="16.5" hidden="1" outlineLevel="1">
      <c r="A1097" s="726"/>
      <c r="B1097" s="726" t="s">
        <v>393</v>
      </c>
      <c r="C1097" s="727"/>
      <c r="D1097" s="690"/>
      <c r="E1097" s="727"/>
      <c r="F1097" s="685">
        <v>1</v>
      </c>
      <c r="G1097" s="239"/>
      <c r="H1097" s="203"/>
      <c r="I1097" s="198"/>
      <c r="J1097" s="198"/>
      <c r="K1097" s="198"/>
      <c r="L1097" s="198"/>
      <c r="M1097" s="198"/>
      <c r="N1097" s="721" t="str">
        <f t="shared" si="157"/>
        <v>-</v>
      </c>
      <c r="O1097" s="721" t="str">
        <f t="shared" si="158"/>
        <v/>
      </c>
      <c r="P1097" s="722" t="str">
        <f t="shared" si="159"/>
        <v>-</v>
      </c>
      <c r="Q1097" s="686" t="str">
        <f t="shared" si="160"/>
        <v>-</v>
      </c>
      <c r="R1097" s="686" t="str">
        <f t="shared" si="161"/>
        <v>-</v>
      </c>
      <c r="S1097" s="686" t="str">
        <f t="shared" si="162"/>
        <v>-</v>
      </c>
      <c r="T1097" s="686" t="str">
        <f t="shared" si="163"/>
        <v>-</v>
      </c>
      <c r="U1097" s="723" t="str">
        <f t="shared" si="164"/>
        <v>-</v>
      </c>
      <c r="V1097" s="695" t="str">
        <f t="shared" si="165"/>
        <v>-</v>
      </c>
      <c r="W1097" s="711"/>
    </row>
    <row r="1098" spans="1:23" ht="16.5" hidden="1" outlineLevel="1">
      <c r="A1098" s="726"/>
      <c r="B1098" s="726" t="s">
        <v>465</v>
      </c>
      <c r="C1098" s="727">
        <v>10</v>
      </c>
      <c r="D1098" s="690"/>
      <c r="E1098" s="737" t="s">
        <v>1593</v>
      </c>
      <c r="F1098" s="685">
        <v>1</v>
      </c>
      <c r="G1098" s="842">
        <v>1</v>
      </c>
      <c r="H1098" s="843">
        <v>452</v>
      </c>
      <c r="I1098" s="198">
        <f>10*C1098</f>
        <v>100</v>
      </c>
      <c r="J1098" s="198">
        <f>600+200+900+900-50</f>
        <v>2550</v>
      </c>
      <c r="K1098" s="198"/>
      <c r="L1098" s="198"/>
      <c r="M1098" s="198"/>
      <c r="N1098" s="721">
        <f t="shared" si="157"/>
        <v>2630</v>
      </c>
      <c r="O1098" s="721">
        <f t="shared" si="158"/>
        <v>0</v>
      </c>
      <c r="P1098" s="722" t="str">
        <f t="shared" si="159"/>
        <v>-</v>
      </c>
      <c r="Q1098" s="686">
        <f t="shared" si="160"/>
        <v>1188.76</v>
      </c>
      <c r="R1098" s="686" t="str">
        <f t="shared" si="161"/>
        <v>-</v>
      </c>
      <c r="S1098" s="686" t="str">
        <f t="shared" si="162"/>
        <v>-</v>
      </c>
      <c r="T1098" s="686" t="str">
        <f t="shared" si="163"/>
        <v>-</v>
      </c>
      <c r="U1098" s="723" t="str">
        <f t="shared" si="164"/>
        <v>-</v>
      </c>
      <c r="V1098" s="695" t="str">
        <f t="shared" si="165"/>
        <v>-</v>
      </c>
      <c r="W1098" s="711"/>
    </row>
    <row r="1099" spans="1:23" ht="16.5" hidden="1" outlineLevel="1">
      <c r="A1099" s="726"/>
      <c r="B1099" s="726" t="s">
        <v>1606</v>
      </c>
      <c r="C1099" s="727">
        <v>10</v>
      </c>
      <c r="D1099" s="690"/>
      <c r="E1099" s="740" t="s">
        <v>1587</v>
      </c>
      <c r="F1099" s="685">
        <v>1</v>
      </c>
      <c r="G1099" s="239">
        <v>1</v>
      </c>
      <c r="H1099" s="203">
        <f>(1700/200)+1</f>
        <v>9.5</v>
      </c>
      <c r="I1099" s="198"/>
      <c r="J1099" s="198">
        <f>68201</f>
        <v>68201</v>
      </c>
      <c r="K1099" s="198">
        <f>68201</f>
        <v>68201</v>
      </c>
      <c r="L1099" s="198"/>
      <c r="M1099" s="198"/>
      <c r="N1099" s="721">
        <f t="shared" si="157"/>
        <v>68201</v>
      </c>
      <c r="O1099" s="721">
        <f t="shared" si="158"/>
        <v>2450</v>
      </c>
      <c r="P1099" s="722" t="str">
        <f t="shared" si="159"/>
        <v>-</v>
      </c>
      <c r="Q1099" s="686">
        <f t="shared" si="160"/>
        <v>671.18499999999995</v>
      </c>
      <c r="R1099" s="686" t="str">
        <f t="shared" si="161"/>
        <v>-</v>
      </c>
      <c r="S1099" s="686" t="str">
        <f t="shared" si="162"/>
        <v>-</v>
      </c>
      <c r="T1099" s="686" t="str">
        <f t="shared" si="163"/>
        <v>-</v>
      </c>
      <c r="U1099" s="723" t="str">
        <f t="shared" si="164"/>
        <v>-</v>
      </c>
      <c r="V1099" s="695" t="str">
        <f t="shared" si="165"/>
        <v>-</v>
      </c>
      <c r="W1099" s="711"/>
    </row>
    <row r="1100" spans="1:23" ht="16.5" hidden="1" outlineLevel="1">
      <c r="A1100" s="726"/>
      <c r="B1100" s="726" t="s">
        <v>1566</v>
      </c>
      <c r="C1100" s="727">
        <v>10</v>
      </c>
      <c r="D1100" s="690"/>
      <c r="E1100" s="691" t="s">
        <v>1566</v>
      </c>
      <c r="F1100" s="685">
        <v>1</v>
      </c>
      <c r="G1100" s="239">
        <v>1</v>
      </c>
      <c r="H1100" s="249">
        <v>202</v>
      </c>
      <c r="I1100" s="198">
        <v>300</v>
      </c>
      <c r="J1100" s="198">
        <f>200-50-50-40</f>
        <v>60</v>
      </c>
      <c r="K1100" s="198">
        <v>500</v>
      </c>
      <c r="L1100" s="198">
        <f>200-50-50-40</f>
        <v>60</v>
      </c>
      <c r="M1100" s="198">
        <v>300</v>
      </c>
      <c r="N1100" s="721">
        <f t="shared" si="157"/>
        <v>1140</v>
      </c>
      <c r="O1100" s="721">
        <f t="shared" si="158"/>
        <v>0</v>
      </c>
      <c r="P1100" s="722" t="str">
        <f t="shared" si="159"/>
        <v>-</v>
      </c>
      <c r="Q1100" s="686">
        <f t="shared" si="160"/>
        <v>230.28</v>
      </c>
      <c r="R1100" s="686" t="str">
        <f t="shared" si="161"/>
        <v>-</v>
      </c>
      <c r="S1100" s="686" t="str">
        <f t="shared" si="162"/>
        <v>-</v>
      </c>
      <c r="T1100" s="686" t="str">
        <f t="shared" si="163"/>
        <v>-</v>
      </c>
      <c r="U1100" s="723" t="str">
        <f t="shared" si="164"/>
        <v>-</v>
      </c>
      <c r="V1100" s="695" t="str">
        <f t="shared" si="165"/>
        <v>-</v>
      </c>
      <c r="W1100" s="711"/>
    </row>
    <row r="1101" spans="1:23" ht="16.5" hidden="1" outlineLevel="1">
      <c r="A1101" s="726"/>
      <c r="B1101" s="726"/>
      <c r="C1101" s="727"/>
      <c r="D1101" s="690"/>
      <c r="E1101" s="727"/>
      <c r="F1101" s="685">
        <v>1</v>
      </c>
      <c r="G1101" s="239"/>
      <c r="H1101" s="203"/>
      <c r="I1101" s="198"/>
      <c r="J1101" s="198"/>
      <c r="K1101" s="198"/>
      <c r="L1101" s="198"/>
      <c r="M1101" s="198"/>
      <c r="N1101" s="721" t="str">
        <f t="shared" si="157"/>
        <v>-</v>
      </c>
      <c r="O1101" s="721" t="str">
        <f t="shared" si="158"/>
        <v/>
      </c>
      <c r="P1101" s="722" t="str">
        <f t="shared" si="159"/>
        <v>-</v>
      </c>
      <c r="Q1101" s="686" t="str">
        <f t="shared" si="160"/>
        <v>-</v>
      </c>
      <c r="R1101" s="686" t="str">
        <f t="shared" si="161"/>
        <v>-</v>
      </c>
      <c r="S1101" s="686" t="str">
        <f t="shared" si="162"/>
        <v>-</v>
      </c>
      <c r="T1101" s="686" t="str">
        <f t="shared" si="163"/>
        <v>-</v>
      </c>
      <c r="U1101" s="723" t="str">
        <f t="shared" si="164"/>
        <v>-</v>
      </c>
      <c r="V1101" s="695" t="str">
        <f t="shared" si="165"/>
        <v>-</v>
      </c>
      <c r="W1101" s="711"/>
    </row>
    <row r="1102" spans="1:23" ht="16.5" hidden="1" outlineLevel="1">
      <c r="A1102" s="741">
        <v>1.2</v>
      </c>
      <c r="B1102" s="210" t="s">
        <v>1607</v>
      </c>
      <c r="C1102" s="727"/>
      <c r="D1102" s="690"/>
      <c r="E1102" s="727"/>
      <c r="F1102" s="685">
        <v>1</v>
      </c>
      <c r="G1102" s="239"/>
      <c r="H1102" s="203"/>
      <c r="I1102" s="198"/>
      <c r="J1102" s="198"/>
      <c r="K1102" s="198"/>
      <c r="L1102" s="198"/>
      <c r="M1102" s="198"/>
      <c r="N1102" s="721" t="str">
        <f t="shared" si="157"/>
        <v>-</v>
      </c>
      <c r="O1102" s="721" t="str">
        <f t="shared" si="158"/>
        <v/>
      </c>
      <c r="P1102" s="722" t="str">
        <f t="shared" si="159"/>
        <v>-</v>
      </c>
      <c r="Q1102" s="686" t="str">
        <f t="shared" si="160"/>
        <v>-</v>
      </c>
      <c r="R1102" s="686" t="str">
        <f t="shared" si="161"/>
        <v>-</v>
      </c>
      <c r="S1102" s="686" t="str">
        <f t="shared" si="162"/>
        <v>-</v>
      </c>
      <c r="T1102" s="686" t="str">
        <f t="shared" si="163"/>
        <v>-</v>
      </c>
      <c r="U1102" s="723" t="str">
        <f t="shared" si="164"/>
        <v>-</v>
      </c>
      <c r="V1102" s="695" t="str">
        <f t="shared" si="165"/>
        <v>-</v>
      </c>
      <c r="W1102" s="711"/>
    </row>
    <row r="1103" spans="1:23" ht="16.5" hidden="1" outlineLevel="1">
      <c r="A1103" s="726"/>
      <c r="B1103" s="726" t="s">
        <v>1608</v>
      </c>
      <c r="C1103" s="727">
        <v>10</v>
      </c>
      <c r="D1103" s="690"/>
      <c r="E1103" s="737" t="s">
        <v>1593</v>
      </c>
      <c r="F1103" s="685">
        <v>1</v>
      </c>
      <c r="G1103" s="239">
        <v>1</v>
      </c>
      <c r="H1103" s="249">
        <v>452</v>
      </c>
      <c r="I1103" s="198">
        <v>150</v>
      </c>
      <c r="J1103" s="198"/>
      <c r="K1103" s="198">
        <f>750+450-150-100-50-55-25+10*10</f>
        <v>920</v>
      </c>
      <c r="L1103" s="198"/>
      <c r="M1103" s="198"/>
      <c r="N1103" s="721">
        <f t="shared" si="157"/>
        <v>130</v>
      </c>
      <c r="O1103" s="721">
        <f t="shared" si="158"/>
        <v>0</v>
      </c>
      <c r="P1103" s="722" t="str">
        <f t="shared" si="159"/>
        <v>-</v>
      </c>
      <c r="Q1103" s="686">
        <f t="shared" si="160"/>
        <v>58.76</v>
      </c>
      <c r="R1103" s="686" t="str">
        <f t="shared" si="161"/>
        <v>-</v>
      </c>
      <c r="S1103" s="686" t="str">
        <f t="shared" si="162"/>
        <v>-</v>
      </c>
      <c r="T1103" s="686" t="str">
        <f t="shared" si="163"/>
        <v>-</v>
      </c>
      <c r="U1103" s="723" t="str">
        <f t="shared" si="164"/>
        <v>-</v>
      </c>
      <c r="V1103" s="695" t="str">
        <f t="shared" si="165"/>
        <v>-</v>
      </c>
      <c r="W1103" s="711"/>
    </row>
    <row r="1104" spans="1:23" ht="16.5" hidden="1" outlineLevel="1">
      <c r="A1104" s="726"/>
      <c r="B1104" s="726" t="s">
        <v>1608</v>
      </c>
      <c r="C1104" s="727">
        <v>10</v>
      </c>
      <c r="D1104" s="690"/>
      <c r="E1104" s="737" t="s">
        <v>1593</v>
      </c>
      <c r="F1104" s="685">
        <v>1</v>
      </c>
      <c r="G1104" s="239">
        <v>1</v>
      </c>
      <c r="H1104" s="249">
        <v>452</v>
      </c>
      <c r="I1104" s="198">
        <v>150</v>
      </c>
      <c r="J1104" s="198"/>
      <c r="K1104" s="198">
        <f>750+450-150-100-50-55-25+390-50+10*10</f>
        <v>1260</v>
      </c>
      <c r="L1104" s="198"/>
      <c r="M1104" s="198"/>
      <c r="N1104" s="721">
        <f t="shared" si="157"/>
        <v>130</v>
      </c>
      <c r="O1104" s="721">
        <f t="shared" si="158"/>
        <v>0</v>
      </c>
      <c r="P1104" s="722" t="str">
        <f t="shared" si="159"/>
        <v>-</v>
      </c>
      <c r="Q1104" s="686">
        <f t="shared" si="160"/>
        <v>58.76</v>
      </c>
      <c r="R1104" s="686" t="str">
        <f t="shared" si="161"/>
        <v>-</v>
      </c>
      <c r="S1104" s="686" t="str">
        <f t="shared" si="162"/>
        <v>-</v>
      </c>
      <c r="T1104" s="686" t="str">
        <f t="shared" si="163"/>
        <v>-</v>
      </c>
      <c r="U1104" s="723" t="str">
        <f t="shared" si="164"/>
        <v>-</v>
      </c>
      <c r="V1104" s="695" t="str">
        <f t="shared" si="165"/>
        <v>-</v>
      </c>
      <c r="W1104" s="711"/>
    </row>
    <row r="1105" spans="1:23" ht="30" hidden="1" customHeight="1" outlineLevel="1">
      <c r="A1105" s="726"/>
      <c r="B1105" s="730" t="s">
        <v>1609</v>
      </c>
      <c r="C1105" s="727">
        <v>10</v>
      </c>
      <c r="D1105" s="690"/>
      <c r="E1105" s="740" t="s">
        <v>1587</v>
      </c>
      <c r="F1105" s="685">
        <v>1</v>
      </c>
      <c r="G1105" s="239">
        <v>2</v>
      </c>
      <c r="H1105" s="203">
        <f>(545/200)+1</f>
        <v>3.7250000000000001</v>
      </c>
      <c r="I1105" s="198"/>
      <c r="J1105" s="198">
        <f>68201</f>
        <v>68201</v>
      </c>
      <c r="K1105" s="198"/>
      <c r="L1105" s="198"/>
      <c r="M1105" s="198"/>
      <c r="N1105" s="721">
        <f t="shared" si="157"/>
        <v>68201</v>
      </c>
      <c r="O1105" s="721">
        <f t="shared" si="158"/>
        <v>2450</v>
      </c>
      <c r="P1105" s="722" t="str">
        <f t="shared" si="159"/>
        <v>-</v>
      </c>
      <c r="Q1105" s="686">
        <f t="shared" si="160"/>
        <v>526.35</v>
      </c>
      <c r="R1105" s="686" t="str">
        <f t="shared" si="161"/>
        <v>-</v>
      </c>
      <c r="S1105" s="686" t="str">
        <f t="shared" si="162"/>
        <v>-</v>
      </c>
      <c r="T1105" s="686" t="str">
        <f t="shared" si="163"/>
        <v>-</v>
      </c>
      <c r="U1105" s="723" t="str">
        <f t="shared" si="164"/>
        <v>-</v>
      </c>
      <c r="V1105" s="695" t="str">
        <f t="shared" si="165"/>
        <v>-</v>
      </c>
      <c r="W1105" s="711"/>
    </row>
    <row r="1106" spans="1:23" ht="16.5" hidden="1" outlineLevel="1">
      <c r="A1106" s="726"/>
      <c r="B1106" s="726" t="s">
        <v>1610</v>
      </c>
      <c r="C1106" s="727">
        <v>10</v>
      </c>
      <c r="D1106" s="690"/>
      <c r="E1106" s="720" t="s">
        <v>1557</v>
      </c>
      <c r="F1106" s="685">
        <v>1</v>
      </c>
      <c r="G1106" s="239">
        <v>1</v>
      </c>
      <c r="H1106" s="249">
        <v>452</v>
      </c>
      <c r="I1106" s="198">
        <f>C1106*10</f>
        <v>100</v>
      </c>
      <c r="J1106" s="198">
        <f>390-50</f>
        <v>340</v>
      </c>
      <c r="K1106" s="198">
        <v>100</v>
      </c>
      <c r="L1106" s="198"/>
      <c r="M1106" s="198"/>
      <c r="N1106" s="721">
        <f t="shared" si="157"/>
        <v>500</v>
      </c>
      <c r="O1106" s="721">
        <f t="shared" si="158"/>
        <v>0</v>
      </c>
      <c r="P1106" s="722" t="str">
        <f t="shared" si="159"/>
        <v>-</v>
      </c>
      <c r="Q1106" s="686">
        <f t="shared" si="160"/>
        <v>226</v>
      </c>
      <c r="R1106" s="686" t="str">
        <f t="shared" si="161"/>
        <v>-</v>
      </c>
      <c r="S1106" s="686" t="str">
        <f t="shared" si="162"/>
        <v>-</v>
      </c>
      <c r="T1106" s="686" t="str">
        <f t="shared" si="163"/>
        <v>-</v>
      </c>
      <c r="U1106" s="723" t="str">
        <f t="shared" si="164"/>
        <v>-</v>
      </c>
      <c r="V1106" s="695" t="str">
        <f t="shared" si="165"/>
        <v>-</v>
      </c>
      <c r="W1106" s="711"/>
    </row>
    <row r="1107" spans="1:23" ht="16.5" hidden="1" outlineLevel="1">
      <c r="A1107" s="726"/>
      <c r="B1107" s="726" t="s">
        <v>1611</v>
      </c>
      <c r="C1107" s="727">
        <v>8</v>
      </c>
      <c r="D1107" s="690"/>
      <c r="E1107" s="740" t="s">
        <v>1587</v>
      </c>
      <c r="F1107" s="685">
        <v>1</v>
      </c>
      <c r="G1107" s="239">
        <v>2</v>
      </c>
      <c r="H1107" s="203">
        <v>4</v>
      </c>
      <c r="I1107" s="198"/>
      <c r="J1107" s="198">
        <f>68201</f>
        <v>68201</v>
      </c>
      <c r="K1107" s="198"/>
      <c r="L1107" s="198"/>
      <c r="M1107" s="198"/>
      <c r="N1107" s="721">
        <f t="shared" si="157"/>
        <v>68201</v>
      </c>
      <c r="O1107" s="721">
        <f t="shared" si="158"/>
        <v>1960</v>
      </c>
      <c r="P1107" s="722">
        <f t="shared" si="159"/>
        <v>561.28800000000001</v>
      </c>
      <c r="Q1107" s="686" t="str">
        <f t="shared" si="160"/>
        <v>-</v>
      </c>
      <c r="R1107" s="686" t="str">
        <f t="shared" si="161"/>
        <v>-</v>
      </c>
      <c r="S1107" s="686" t="str">
        <f t="shared" si="162"/>
        <v>-</v>
      </c>
      <c r="T1107" s="686" t="str">
        <f t="shared" si="163"/>
        <v>-</v>
      </c>
      <c r="U1107" s="723" t="str">
        <f t="shared" si="164"/>
        <v>-</v>
      </c>
      <c r="V1107" s="695" t="str">
        <f t="shared" si="165"/>
        <v>-</v>
      </c>
      <c r="W1107" s="711"/>
    </row>
    <row r="1108" spans="1:23" ht="16.5" hidden="1" outlineLevel="1">
      <c r="A1108" s="726"/>
      <c r="B1108" s="726" t="s">
        <v>1612</v>
      </c>
      <c r="C1108" s="727">
        <v>10</v>
      </c>
      <c r="D1108" s="690"/>
      <c r="E1108" s="720" t="s">
        <v>1557</v>
      </c>
      <c r="F1108" s="685">
        <v>1</v>
      </c>
      <c r="G1108" s="239">
        <v>2</v>
      </c>
      <c r="H1108" s="203">
        <v>68</v>
      </c>
      <c r="I1108" s="198">
        <v>300</v>
      </c>
      <c r="J1108" s="198">
        <f>200-50-40</f>
        <v>110</v>
      </c>
      <c r="K1108" s="198">
        <v>300</v>
      </c>
      <c r="L1108" s="198"/>
      <c r="M1108" s="198"/>
      <c r="N1108" s="721">
        <f t="shared" si="157"/>
        <v>670</v>
      </c>
      <c r="O1108" s="721">
        <f t="shared" si="158"/>
        <v>0</v>
      </c>
      <c r="P1108" s="722" t="str">
        <f t="shared" si="159"/>
        <v>-</v>
      </c>
      <c r="Q1108" s="686">
        <f t="shared" si="160"/>
        <v>91.12</v>
      </c>
      <c r="R1108" s="686" t="str">
        <f t="shared" si="161"/>
        <v>-</v>
      </c>
      <c r="S1108" s="686" t="str">
        <f t="shared" si="162"/>
        <v>-</v>
      </c>
      <c r="T1108" s="686" t="str">
        <f t="shared" si="163"/>
        <v>-</v>
      </c>
      <c r="U1108" s="723" t="str">
        <f t="shared" si="164"/>
        <v>-</v>
      </c>
      <c r="V1108" s="695" t="str">
        <f t="shared" si="165"/>
        <v>-</v>
      </c>
      <c r="W1108" s="711"/>
    </row>
    <row r="1109" spans="1:23" ht="16.5" hidden="1" outlineLevel="1">
      <c r="A1109" s="726"/>
      <c r="B1109" s="726"/>
      <c r="C1109" s="727"/>
      <c r="D1109" s="690"/>
      <c r="E1109" s="727"/>
      <c r="F1109" s="836"/>
      <c r="G1109" s="239"/>
      <c r="H1109" s="203"/>
      <c r="I1109" s="198"/>
      <c r="J1109" s="198"/>
      <c r="K1109" s="198"/>
      <c r="L1109" s="198"/>
      <c r="M1109" s="198"/>
      <c r="N1109" s="721" t="str">
        <f t="shared" si="157"/>
        <v>-</v>
      </c>
      <c r="O1109" s="721" t="str">
        <f t="shared" si="158"/>
        <v/>
      </c>
      <c r="P1109" s="722" t="str">
        <f t="shared" si="159"/>
        <v>-</v>
      </c>
      <c r="Q1109" s="686" t="str">
        <f t="shared" si="160"/>
        <v>-</v>
      </c>
      <c r="R1109" s="686" t="str">
        <f t="shared" si="161"/>
        <v>-</v>
      </c>
      <c r="S1109" s="686" t="str">
        <f t="shared" si="162"/>
        <v>-</v>
      </c>
      <c r="T1109" s="686" t="str">
        <f t="shared" si="163"/>
        <v>-</v>
      </c>
      <c r="U1109" s="723" t="str">
        <f t="shared" si="164"/>
        <v>-</v>
      </c>
      <c r="V1109" s="695" t="str">
        <f t="shared" si="165"/>
        <v>-</v>
      </c>
      <c r="W1109" s="711"/>
    </row>
    <row r="1110" spans="1:23" ht="16.5" hidden="1" outlineLevel="1">
      <c r="A1110" s="195"/>
      <c r="B1110" s="172"/>
      <c r="C1110" s="196"/>
      <c r="D1110" s="685"/>
      <c r="E1110" s="196"/>
      <c r="F1110" s="685"/>
      <c r="G1110" s="204"/>
      <c r="H1110" s="203"/>
      <c r="I1110" s="198"/>
      <c r="J1110" s="198"/>
      <c r="K1110" s="198"/>
      <c r="L1110" s="198"/>
      <c r="M1110" s="198"/>
      <c r="N1110" s="721" t="str">
        <f t="shared" si="157"/>
        <v>-</v>
      </c>
      <c r="O1110" s="721" t="str">
        <f t="shared" si="158"/>
        <v/>
      </c>
      <c r="P1110" s="722" t="str">
        <f t="shared" si="159"/>
        <v>-</v>
      </c>
      <c r="Q1110" s="686" t="str">
        <f t="shared" si="160"/>
        <v>-</v>
      </c>
      <c r="R1110" s="686" t="str">
        <f t="shared" si="161"/>
        <v>-</v>
      </c>
      <c r="S1110" s="686" t="str">
        <f t="shared" si="162"/>
        <v>-</v>
      </c>
      <c r="T1110" s="686" t="str">
        <f t="shared" si="163"/>
        <v>-</v>
      </c>
      <c r="U1110" s="723" t="str">
        <f t="shared" si="164"/>
        <v>-</v>
      </c>
      <c r="V1110" s="695" t="str">
        <f t="shared" si="165"/>
        <v>-</v>
      </c>
      <c r="W1110" s="711"/>
    </row>
    <row r="1111" spans="1:23" ht="16.5" hidden="1" outlineLevel="1">
      <c r="A1111" s="195"/>
      <c r="B1111" s="172"/>
      <c r="C1111" s="196"/>
      <c r="D1111" s="685"/>
      <c r="E1111" s="196"/>
      <c r="F1111" s="685"/>
      <c r="G1111" s="204"/>
      <c r="H1111" s="203"/>
      <c r="I1111" s="198"/>
      <c r="J1111" s="198"/>
      <c r="K1111" s="198"/>
      <c r="L1111" s="198"/>
      <c r="M1111" s="198"/>
      <c r="N1111" s="721" t="str">
        <f t="shared" si="157"/>
        <v>-</v>
      </c>
      <c r="O1111" s="721" t="str">
        <f t="shared" si="158"/>
        <v/>
      </c>
      <c r="P1111" s="722" t="str">
        <f t="shared" si="159"/>
        <v>-</v>
      </c>
      <c r="Q1111" s="686" t="str">
        <f t="shared" si="160"/>
        <v>-</v>
      </c>
      <c r="R1111" s="686" t="str">
        <f t="shared" si="161"/>
        <v>-</v>
      </c>
      <c r="S1111" s="686" t="str">
        <f t="shared" si="162"/>
        <v>-</v>
      </c>
      <c r="T1111" s="686" t="str">
        <f t="shared" si="163"/>
        <v>-</v>
      </c>
      <c r="U1111" s="723" t="str">
        <f t="shared" si="164"/>
        <v>-</v>
      </c>
      <c r="V1111" s="695" t="str">
        <f t="shared" si="165"/>
        <v>-</v>
      </c>
      <c r="W1111" s="711"/>
    </row>
    <row r="1112" spans="1:23" ht="16.5" hidden="1" outlineLevel="1">
      <c r="A1112" s="195"/>
      <c r="B1112" s="172"/>
      <c r="C1112" s="196"/>
      <c r="D1112" s="685"/>
      <c r="E1112" s="196"/>
      <c r="F1112" s="685"/>
      <c r="G1112" s="204"/>
      <c r="H1112" s="203"/>
      <c r="I1112" s="198"/>
      <c r="J1112" s="198"/>
      <c r="K1112" s="198"/>
      <c r="L1112" s="198"/>
      <c r="M1112" s="198"/>
      <c r="N1112" s="721" t="str">
        <f t="shared" si="157"/>
        <v>-</v>
      </c>
      <c r="O1112" s="721" t="str">
        <f t="shared" si="158"/>
        <v/>
      </c>
      <c r="P1112" s="722" t="str">
        <f t="shared" si="159"/>
        <v>-</v>
      </c>
      <c r="Q1112" s="686" t="str">
        <f t="shared" si="160"/>
        <v>-</v>
      </c>
      <c r="R1112" s="686" t="str">
        <f t="shared" si="161"/>
        <v>-</v>
      </c>
      <c r="S1112" s="686" t="str">
        <f t="shared" si="162"/>
        <v>-</v>
      </c>
      <c r="T1112" s="686" t="str">
        <f t="shared" si="163"/>
        <v>-</v>
      </c>
      <c r="U1112" s="723" t="str">
        <f t="shared" si="164"/>
        <v>-</v>
      </c>
      <c r="V1112" s="695" t="str">
        <f t="shared" si="165"/>
        <v>-</v>
      </c>
      <c r="W1112" s="711"/>
    </row>
    <row r="1113" spans="1:23" ht="16.5" hidden="1" outlineLevel="1">
      <c r="A1113" s="195"/>
      <c r="B1113" s="172"/>
      <c r="C1113" s="196"/>
      <c r="D1113" s="685"/>
      <c r="E1113" s="196"/>
      <c r="F1113" s="685"/>
      <c r="G1113" s="204"/>
      <c r="H1113" s="203"/>
      <c r="I1113" s="198"/>
      <c r="J1113" s="198"/>
      <c r="K1113" s="198"/>
      <c r="L1113" s="198"/>
      <c r="M1113" s="198"/>
      <c r="N1113" s="721" t="str">
        <f t="shared" si="157"/>
        <v>-</v>
      </c>
      <c r="O1113" s="721" t="str">
        <f t="shared" si="158"/>
        <v/>
      </c>
      <c r="P1113" s="722" t="str">
        <f t="shared" si="159"/>
        <v>-</v>
      </c>
      <c r="Q1113" s="686" t="str">
        <f t="shared" si="160"/>
        <v>-</v>
      </c>
      <c r="R1113" s="686" t="str">
        <f t="shared" si="161"/>
        <v>-</v>
      </c>
      <c r="S1113" s="686" t="str">
        <f t="shared" si="162"/>
        <v>-</v>
      </c>
      <c r="T1113" s="686" t="str">
        <f t="shared" si="163"/>
        <v>-</v>
      </c>
      <c r="U1113" s="723" t="str">
        <f t="shared" si="164"/>
        <v>-</v>
      </c>
      <c r="V1113" s="695" t="str">
        <f t="shared" si="165"/>
        <v>-</v>
      </c>
      <c r="W1113" s="711"/>
    </row>
    <row r="1114" spans="1:23" ht="16.5" hidden="1" outlineLevel="1">
      <c r="A1114" s="195"/>
      <c r="B1114" s="172"/>
      <c r="C1114" s="196"/>
      <c r="D1114" s="685"/>
      <c r="E1114" s="196"/>
      <c r="F1114" s="685"/>
      <c r="G1114" s="204"/>
      <c r="H1114" s="203"/>
      <c r="I1114" s="198"/>
      <c r="J1114" s="198"/>
      <c r="K1114" s="198"/>
      <c r="L1114" s="198"/>
      <c r="M1114" s="198"/>
      <c r="N1114" s="721" t="str">
        <f t="shared" ref="N1114" si="166">IF(E1114="L Shape",(I1114+J1114)-(C1114*2*1),IF(E1114="U Shape",(I1114+J1114+K1114)-(C1114*2*2),IF(E1114="Rectangle",(I1114+J1114+K1114+L1114)+(C1114*10*2)-(C1114*2*5),IF(E1114="Straight",J1114-(C1114*0),IF(E1114="Chair",(I1114+J1114+K1114+L1114+M1114)-(C1114*2*4),IF(E1114="U2 Shape",(I1114+J1114+K1114+L1114+M1114)-(C1114*2*4),IF(E1114="U3 Shape",(I1114+J1114+K1114+L1114)-(C1114*2*3),IF(E1114="Z Shape",(I1114+J1114+K1114)-(C1114*2*2),IF(E1114="Triangle",(I1114+J1114+K1114)+(C1114*10*2)-(C1114*2*4),IF(E1114="Trapezoid2",(I1114+I1114+J1114+K1114+K1114+L1114)+(C1114*10*2)-(C1114*2*7),IF(E1114="Trapezoid",(I1114+J1114+K1114+L1114)+(C1114*10*2)-(C1114*2*5),IF(E1114="Link",J1114+(C1114*10*2),IF(E1114="U5 Shape",(I1114+J1114+K1114+L1114)-(C1114*2*3),IF(E1114="DU2 Shape",(I1114+J1114+K1114+L1114)-(C1114*2*4),IF(E1114="SU Shape",(I1114+J1114+K1114)-(C1114*2*2),"-")))))))))))))))</f>
        <v>-</v>
      </c>
      <c r="O1114" s="721" t="str">
        <f t="shared" ref="O1114" si="167">IF(N1114&lt;12001,C1114*49*0,IF(N1114&lt;24001,C1114*49*1,IF(N1114&lt;36001,C1114*49*2,IF(N1114&lt;48001,C1114*49*3,IF(N1114&lt;60001,C1114*49*4,IF(N1114&lt;72001,(C1114*49*5),IF(N1114&lt;84001,(C1114*49*6),IF(N1114&lt;96001,(C1114*49*7),IF(N1114&lt;108001,(C1114*49*8),IF(N1114&lt;120001,(C1114*49*9),IF(N1114&lt;132001,(C1114*49*10),IF(N1114&lt;144001,(C1114*49*11),""))))))))))))</f>
        <v/>
      </c>
      <c r="P1114" s="722" t="str">
        <f t="shared" ref="P1114" si="168">IF(C1114=8,ROUND(((N1114+O1114)*F1114*G1114*H1114)/1000,3),"-")</f>
        <v>-</v>
      </c>
      <c r="Q1114" s="686" t="str">
        <f t="shared" ref="Q1114" si="169">IF(C1114=10,ROUND(((N1114+O1114)*F1114*G1114*H1114)/1000,3),"-")</f>
        <v>-</v>
      </c>
      <c r="R1114" s="686" t="str">
        <f t="shared" ref="R1114" si="170">IF(C1114=12,ROUND(((N1114+O1114)*F1114*G1114*H1114)/1000,3),"-")</f>
        <v>-</v>
      </c>
      <c r="S1114" s="686" t="str">
        <f t="shared" ref="S1114" si="171">IF(C1114=16,ROUND(((N1114+O1114)*F1114*G1114*H1114)/1000,3),"-")</f>
        <v>-</v>
      </c>
      <c r="T1114" s="686" t="str">
        <f t="shared" ref="T1114" si="172">IF(C1114=20,ROUND(((N1114+O1114)*F1114*G1114*H1114)/1000,3),"-")</f>
        <v>-</v>
      </c>
      <c r="U1114" s="723" t="str">
        <f t="shared" ref="U1114" si="173">IF(C1114=25,ROUND(((N1114+O1114)*F1114*G1114*H1114)/1000,3),"-")</f>
        <v>-</v>
      </c>
      <c r="V1114" s="695" t="str">
        <f t="shared" ref="V1114" si="174">IF(C1114=32,ROUND(((N1114+O1114)*F1114*G1114*H1114)/1000,3),"-")</f>
        <v>-</v>
      </c>
      <c r="W1114" s="711"/>
    </row>
    <row r="1115" spans="1:23" ht="16.5" hidden="1" outlineLevel="1">
      <c r="A1115" s="195"/>
      <c r="B1115" s="212" t="s">
        <v>482</v>
      </c>
      <c r="C1115" s="196"/>
      <c r="D1115" s="685"/>
      <c r="E1115" s="196"/>
      <c r="F1115" s="685"/>
      <c r="G1115" s="204"/>
      <c r="H1115" s="213"/>
      <c r="I1115" s="198">
        <v>0</v>
      </c>
      <c r="J1115" s="198">
        <v>0</v>
      </c>
      <c r="K1115" s="198">
        <v>0</v>
      </c>
      <c r="L1115" s="198">
        <v>0</v>
      </c>
      <c r="M1115" s="198">
        <v>0</v>
      </c>
      <c r="N1115" s="198"/>
      <c r="O1115" s="198"/>
      <c r="P1115" s="200">
        <f>SUM(P813:P1114)</f>
        <v>10288.340999999997</v>
      </c>
      <c r="Q1115" s="200">
        <f t="shared" ref="Q1115:V1115" si="175">SUM(Q813:Q1114)</f>
        <v>6994.0159999999996</v>
      </c>
      <c r="R1115" s="200">
        <f t="shared" si="175"/>
        <v>207.37200000000001</v>
      </c>
      <c r="S1115" s="200">
        <f t="shared" si="175"/>
        <v>0</v>
      </c>
      <c r="T1115" s="200">
        <f t="shared" si="175"/>
        <v>0</v>
      </c>
      <c r="U1115" s="688">
        <f t="shared" si="175"/>
        <v>0</v>
      </c>
      <c r="V1115" s="200">
        <f t="shared" si="175"/>
        <v>0</v>
      </c>
      <c r="W1115" s="684"/>
    </row>
    <row r="1116" spans="1:23" ht="16.5" hidden="1" outlineLevel="1">
      <c r="A1116" s="195"/>
      <c r="B1116" s="214" t="s">
        <v>483</v>
      </c>
      <c r="C1116" s="196"/>
      <c r="D1116" s="685"/>
      <c r="E1116" s="196"/>
      <c r="F1116" s="685"/>
      <c r="G1116" s="204"/>
      <c r="H1116" s="213"/>
      <c r="I1116" s="198">
        <v>0</v>
      </c>
      <c r="J1116" s="198">
        <v>0</v>
      </c>
      <c r="K1116" s="198">
        <v>0</v>
      </c>
      <c r="L1116" s="198">
        <v>0</v>
      </c>
      <c r="M1116" s="198">
        <v>0</v>
      </c>
      <c r="N1116" s="198"/>
      <c r="O1116" s="198"/>
      <c r="P1116" s="215">
        <f>8^2/162</f>
        <v>0.39506172839506171</v>
      </c>
      <c r="Q1116" s="215">
        <f>10^2/162</f>
        <v>0.61728395061728392</v>
      </c>
      <c r="R1116" s="215">
        <f>12^2/162</f>
        <v>0.88888888888888884</v>
      </c>
      <c r="S1116" s="215">
        <f>16^2/162</f>
        <v>1.5802469135802468</v>
      </c>
      <c r="T1116" s="215">
        <f>20^2/162</f>
        <v>2.4691358024691357</v>
      </c>
      <c r="U1116" s="724">
        <f>25^2/162</f>
        <v>3.8580246913580245</v>
      </c>
      <c r="V1116" s="215">
        <f>32^2/162</f>
        <v>6.3209876543209873</v>
      </c>
      <c r="W1116" s="684"/>
    </row>
    <row r="1117" spans="1:23" ht="16.5" hidden="1" outlineLevel="1">
      <c r="A1117" s="195"/>
      <c r="B1117" s="216" t="s">
        <v>484</v>
      </c>
      <c r="C1117" s="196"/>
      <c r="D1117" s="685"/>
      <c r="E1117" s="196"/>
      <c r="F1117" s="685"/>
      <c r="G1117" s="204"/>
      <c r="H1117" s="213"/>
      <c r="I1117" s="198">
        <v>0</v>
      </c>
      <c r="J1117" s="198">
        <v>0</v>
      </c>
      <c r="K1117" s="198">
        <v>0</v>
      </c>
      <c r="L1117" s="198">
        <v>0</v>
      </c>
      <c r="M1117" s="198">
        <v>0</v>
      </c>
      <c r="N1117" s="198"/>
      <c r="O1117" s="198"/>
      <c r="P1117" s="200">
        <f>P1115*P1116</f>
        <v>4064.5297777777764</v>
      </c>
      <c r="Q1117" s="200">
        <f t="shared" ref="Q1117:V1117" si="176">Q1115*Q1116</f>
        <v>4317.2938271604935</v>
      </c>
      <c r="R1117" s="200">
        <f t="shared" si="176"/>
        <v>184.33066666666667</v>
      </c>
      <c r="S1117" s="200">
        <f t="shared" si="176"/>
        <v>0</v>
      </c>
      <c r="T1117" s="200">
        <f t="shared" si="176"/>
        <v>0</v>
      </c>
      <c r="U1117" s="688">
        <f t="shared" si="176"/>
        <v>0</v>
      </c>
      <c r="V1117" s="200">
        <f t="shared" si="176"/>
        <v>0</v>
      </c>
      <c r="W1117" s="684"/>
    </row>
    <row r="1118" spans="1:23" ht="16.5" hidden="1" outlineLevel="1">
      <c r="A1118" s="195"/>
      <c r="B1118" s="212" t="s">
        <v>485</v>
      </c>
      <c r="C1118" s="196"/>
      <c r="D1118" s="685"/>
      <c r="E1118" s="196"/>
      <c r="F1118" s="685"/>
      <c r="G1118" s="204"/>
      <c r="H1118" s="213"/>
      <c r="I1118" s="198">
        <v>0</v>
      </c>
      <c r="J1118" s="198">
        <v>0</v>
      </c>
      <c r="K1118" s="198">
        <v>0</v>
      </c>
      <c r="L1118" s="198">
        <v>0</v>
      </c>
      <c r="M1118" s="198">
        <v>0</v>
      </c>
      <c r="N1118" s="198"/>
      <c r="O1118" s="198"/>
      <c r="P1118" s="200">
        <f>P1117+Q1117+R1117+S1117+T1117+U1117+V1117</f>
        <v>8566.1542716049371</v>
      </c>
      <c r="Q1118" s="200" t="s">
        <v>486</v>
      </c>
      <c r="R1118" s="200"/>
      <c r="S1118" s="200"/>
      <c r="T1118" s="200"/>
      <c r="U1118" s="688"/>
      <c r="V1118" s="200"/>
      <c r="W1118" s="684"/>
    </row>
    <row r="1119" spans="1:23" ht="16.5" hidden="1" outlineLevel="1">
      <c r="A1119" s="195"/>
      <c r="B1119" s="217" t="s">
        <v>487</v>
      </c>
      <c r="C1119" s="218"/>
      <c r="D1119" s="702"/>
      <c r="E1119" s="218"/>
      <c r="F1119" s="837"/>
      <c r="G1119" s="838"/>
      <c r="H1119" s="839"/>
      <c r="I1119" s="198">
        <v>0</v>
      </c>
      <c r="J1119" s="198">
        <v>0</v>
      </c>
      <c r="K1119" s="198">
        <v>0</v>
      </c>
      <c r="L1119" s="198">
        <v>0</v>
      </c>
      <c r="M1119" s="198">
        <v>0</v>
      </c>
      <c r="N1119" s="198"/>
      <c r="O1119" s="198"/>
      <c r="P1119" s="221">
        <f>P1118/1000</f>
        <v>8.5661542716049368</v>
      </c>
      <c r="Q1119" s="222" t="s">
        <v>374</v>
      </c>
      <c r="R1119" s="200"/>
      <c r="S1119" s="200"/>
      <c r="T1119" s="200"/>
      <c r="U1119" s="688"/>
      <c r="V1119" s="200"/>
      <c r="W1119" s="684"/>
    </row>
    <row r="1120" spans="1:23" ht="16.5" hidden="1" outlineLevel="1">
      <c r="A1120" s="195"/>
      <c r="B1120" s="172"/>
      <c r="C1120" s="196"/>
      <c r="D1120" s="685"/>
      <c r="E1120" s="196"/>
      <c r="F1120" s="685"/>
      <c r="G1120" s="204"/>
      <c r="H1120" s="203"/>
      <c r="I1120" s="198"/>
      <c r="J1120" s="198"/>
      <c r="K1120" s="198"/>
      <c r="L1120" s="198"/>
      <c r="M1120" s="198"/>
      <c r="N1120" s="198">
        <v>0</v>
      </c>
      <c r="O1120" s="198"/>
      <c r="P1120" s="199">
        <v>0</v>
      </c>
      <c r="Q1120" s="200">
        <v>0</v>
      </c>
      <c r="R1120" s="200">
        <v>0</v>
      </c>
      <c r="S1120" s="200">
        <v>0</v>
      </c>
      <c r="T1120" s="200">
        <v>0</v>
      </c>
      <c r="U1120" s="688">
        <v>0</v>
      </c>
      <c r="V1120" s="200">
        <v>0</v>
      </c>
      <c r="W1120" s="711"/>
    </row>
    <row r="1121" spans="1:23" ht="16.5" hidden="1" outlineLevel="1">
      <c r="A1121" s="195"/>
      <c r="B1121" s="202" t="s">
        <v>1613</v>
      </c>
      <c r="C1121" s="742"/>
      <c r="D1121" s="743"/>
      <c r="E1121" s="742"/>
      <c r="F1121" s="837"/>
      <c r="G1121" s="838"/>
      <c r="H1121" s="249"/>
      <c r="I1121" s="840"/>
      <c r="J1121" s="840"/>
      <c r="K1121" s="840"/>
      <c r="L1121" s="840"/>
      <c r="M1121" s="840"/>
      <c r="N1121" s="744"/>
      <c r="O1121" s="744"/>
      <c r="P1121" s="745">
        <f>P788+P806+P1119</f>
        <v>24.245130814814814</v>
      </c>
      <c r="Q1121" s="746" t="s">
        <v>374</v>
      </c>
      <c r="R1121" s="746"/>
      <c r="S1121" s="200"/>
      <c r="T1121" s="200"/>
      <c r="U1121" s="688"/>
      <c r="V1121" s="200"/>
      <c r="W1121" s="711"/>
    </row>
    <row r="1122" spans="1:23" ht="16.5" hidden="1" outlineLevel="1">
      <c r="A1122" s="195"/>
      <c r="B1122" s="202"/>
      <c r="C1122" s="742"/>
      <c r="D1122" s="743"/>
      <c r="E1122" s="742"/>
      <c r="F1122" s="837"/>
      <c r="G1122" s="838"/>
      <c r="H1122" s="249"/>
      <c r="I1122" s="840"/>
      <c r="J1122" s="840"/>
      <c r="K1122" s="840"/>
      <c r="L1122" s="840"/>
      <c r="M1122" s="840"/>
      <c r="N1122" s="744"/>
      <c r="O1122" s="744"/>
      <c r="P1122" s="745"/>
      <c r="Q1122" s="746"/>
      <c r="R1122" s="746"/>
      <c r="S1122" s="200"/>
      <c r="T1122" s="200"/>
      <c r="U1122" s="688"/>
      <c r="V1122" s="200"/>
      <c r="W1122" s="711"/>
    </row>
    <row r="1123" spans="1:23" ht="16.5" hidden="1" outlineLevel="1">
      <c r="A1123" s="195"/>
      <c r="B1123" s="202" t="s">
        <v>1614</v>
      </c>
      <c r="C1123" s="742"/>
      <c r="D1123" s="743"/>
      <c r="E1123" s="742"/>
      <c r="F1123" s="705"/>
      <c r="G1123" s="706"/>
      <c r="H1123" s="707"/>
      <c r="I1123" s="708"/>
      <c r="J1123" s="708"/>
      <c r="K1123" s="708"/>
      <c r="L1123" s="708"/>
      <c r="M1123" s="708"/>
      <c r="N1123" s="744"/>
      <c r="O1123" s="744"/>
      <c r="P1123" s="745">
        <f>P1121</f>
        <v>24.245130814814814</v>
      </c>
      <c r="Q1123" s="746" t="s">
        <v>374</v>
      </c>
      <c r="R1123" s="200"/>
      <c r="S1123" s="200"/>
      <c r="T1123" s="200"/>
      <c r="U1123" s="688"/>
      <c r="V1123" s="200"/>
      <c r="W1123" s="711"/>
    </row>
    <row r="1124" spans="1:23" ht="16.5" hidden="1" outlineLevel="1">
      <c r="A1124" s="195"/>
      <c r="B1124" s="172"/>
      <c r="C1124" s="196"/>
      <c r="D1124" s="685"/>
      <c r="E1124" s="196"/>
      <c r="F1124" s="685"/>
      <c r="G1124" s="204"/>
      <c r="H1124" s="203"/>
      <c r="I1124" s="198"/>
      <c r="J1124" s="198"/>
      <c r="K1124" s="198"/>
      <c r="L1124" s="198"/>
      <c r="M1124" s="198"/>
      <c r="N1124" s="198"/>
      <c r="O1124" s="198"/>
      <c r="P1124" s="199"/>
      <c r="Q1124" s="200"/>
      <c r="R1124" s="200"/>
      <c r="S1124" s="200"/>
      <c r="T1124" s="200"/>
      <c r="U1124" s="688"/>
      <c r="V1124" s="200"/>
      <c r="W1124" s="711"/>
    </row>
    <row r="1125" spans="1:23" ht="16.5" hidden="1" outlineLevel="1">
      <c r="A1125" s="195"/>
      <c r="B1125" s="719" t="s">
        <v>1615</v>
      </c>
      <c r="C1125" s="196"/>
      <c r="D1125" s="685"/>
      <c r="E1125" s="196"/>
      <c r="F1125" s="685"/>
      <c r="G1125" s="204"/>
      <c r="H1125" s="203"/>
      <c r="I1125" s="198"/>
      <c r="J1125" s="198"/>
      <c r="K1125" s="198"/>
      <c r="L1125" s="198"/>
      <c r="M1125" s="198"/>
      <c r="N1125" s="198"/>
      <c r="O1125" s="198"/>
      <c r="P1125" s="199"/>
      <c r="Q1125" s="200"/>
      <c r="R1125" s="200"/>
      <c r="S1125" s="200"/>
      <c r="T1125" s="200"/>
      <c r="U1125" s="688"/>
      <c r="V1125" s="200"/>
      <c r="W1125" s="711"/>
    </row>
    <row r="1126" spans="1:23" ht="16.5" hidden="1" outlineLevel="1">
      <c r="A1126" s="195"/>
      <c r="B1126" s="172"/>
      <c r="C1126" s="196"/>
      <c r="D1126" s="685"/>
      <c r="E1126" s="196"/>
      <c r="F1126" s="685"/>
      <c r="G1126" s="204"/>
      <c r="H1126" s="203"/>
      <c r="I1126" s="198"/>
      <c r="J1126" s="198"/>
      <c r="K1126" s="198"/>
      <c r="L1126" s="198"/>
      <c r="M1126" s="198"/>
      <c r="N1126" s="198"/>
      <c r="O1126" s="198"/>
      <c r="P1126" s="199"/>
      <c r="Q1126" s="200"/>
      <c r="R1126" s="200"/>
      <c r="S1126" s="200"/>
      <c r="T1126" s="200"/>
      <c r="U1126" s="688"/>
      <c r="V1126" s="200"/>
      <c r="W1126" s="711"/>
    </row>
    <row r="1127" spans="1:23" ht="66" hidden="1" outlineLevel="1">
      <c r="A1127" s="747">
        <v>1</v>
      </c>
      <c r="B1127" s="748" t="s">
        <v>1616</v>
      </c>
      <c r="C1127" s="196"/>
      <c r="D1127" s="685"/>
      <c r="E1127" s="196"/>
      <c r="F1127" s="685"/>
      <c r="G1127" s="204"/>
      <c r="H1127" s="203"/>
      <c r="I1127" s="198"/>
      <c r="J1127" s="198"/>
      <c r="K1127" s="198"/>
      <c r="L1127" s="198"/>
      <c r="M1127" s="198"/>
      <c r="N1127" s="198"/>
      <c r="O1127" s="198"/>
      <c r="P1127" s="199"/>
      <c r="Q1127" s="200"/>
      <c r="R1127" s="200"/>
      <c r="S1127" s="200"/>
      <c r="T1127" s="200"/>
      <c r="U1127" s="688"/>
      <c r="V1127" s="200"/>
      <c r="W1127" s="711"/>
    </row>
    <row r="1128" spans="1:23" ht="33" hidden="1" outlineLevel="1">
      <c r="A1128" s="195"/>
      <c r="B1128" s="172" t="s">
        <v>959</v>
      </c>
      <c r="C1128" s="196"/>
      <c r="D1128" s="685"/>
      <c r="E1128" s="196"/>
      <c r="F1128" s="685"/>
      <c r="G1128" s="204"/>
      <c r="H1128" s="203"/>
      <c r="I1128" s="198"/>
      <c r="J1128" s="198"/>
      <c r="K1128" s="198"/>
      <c r="L1128" s="198"/>
      <c r="M1128" s="198"/>
      <c r="N1128" s="198"/>
      <c r="O1128" s="198"/>
      <c r="P1128" s="199"/>
      <c r="Q1128" s="200"/>
      <c r="R1128" s="200"/>
      <c r="S1128" s="200"/>
      <c r="T1128" s="200"/>
      <c r="U1128" s="688"/>
      <c r="V1128" s="200"/>
      <c r="W1128" s="711"/>
    </row>
    <row r="1129" spans="1:23" ht="16.5" hidden="1" outlineLevel="1">
      <c r="A1129" s="195"/>
      <c r="B1129" s="172" t="s">
        <v>810</v>
      </c>
      <c r="C1129" s="196"/>
      <c r="D1129" s="685"/>
      <c r="E1129" s="196"/>
      <c r="F1129" s="685"/>
      <c r="G1129" s="204"/>
      <c r="H1129" s="203"/>
      <c r="I1129" s="198"/>
      <c r="J1129" s="198"/>
      <c r="K1129" s="198"/>
      <c r="L1129" s="198"/>
      <c r="M1129" s="198"/>
      <c r="N1129" s="198"/>
      <c r="O1129" s="198"/>
      <c r="P1129" s="199"/>
      <c r="Q1129" s="200"/>
      <c r="R1129" s="200"/>
      <c r="S1129" s="200"/>
      <c r="T1129" s="200"/>
      <c r="U1129" s="688"/>
      <c r="V1129" s="200"/>
      <c r="W1129" s="711"/>
    </row>
    <row r="1130" spans="1:23" ht="16.5" hidden="1" outlineLevel="1">
      <c r="A1130" s="195">
        <v>1</v>
      </c>
      <c r="B1130" s="172" t="s">
        <v>810</v>
      </c>
      <c r="C1130" s="196"/>
      <c r="D1130" s="685"/>
      <c r="E1130" s="196"/>
      <c r="F1130" s="685">
        <v>1</v>
      </c>
      <c r="G1130" s="204"/>
      <c r="H1130" s="203"/>
      <c r="I1130" s="198"/>
      <c r="J1130" s="198"/>
      <c r="K1130" s="198"/>
      <c r="L1130" s="198"/>
      <c r="M1130" s="198"/>
      <c r="N1130" s="721" t="str">
        <f t="shared" ref="N1130:N1141" si="177">IF(E1130="L Shape",(I1130+J1130)-(C1130*2*1),IF(E1130="U Shape",(I1130+J1130+K1130)-(C1130*2*2),IF(E1130="Rectangle",(I1130+J1130+K1130+L1130)+(C1130*10*2)-(C1130*2*5),IF(E1130="Straight",J1130-(C1130*0),IF(E1130="Chair",(I1130+J1130+K1130+L1130+M1130)-(C1130*2*4),IF(E1130="U2 Shape",(I1130+J1130+K1130+L1130+M1130)-(C1130*2*4),IF(E1130="U3 Shape",(I1130+J1130+K1130+L1130)-(C1130*2*3),IF(E1130="Z Shape",(I1130+J1130+K1130)-(C1130*2*2),IF(E1130="Triangle",(I1130+J1130+K1130)+(C1130*10*2)-(C1130*2*4),IF(E1130="Trapezoid2",(I1130+I1130+J1130+K1130+K1130+L1130)+(C1130*10*2)-(C1130*2*7),IF(E1130="Trapezoid",(I1130+J1130+K1130+L1130)+(C1130*10*2)-(C1130*2*5),IF(E1130="Link",J1130+(C1130*10*2),IF(E1130="U5 Shape",(I1130+J1130+K1130+L1130)-(C1130*2*3),IF(E1130="DU2 Shape",(I1130+J1130+K1130+L1130)-(C1130*2*4),IF(E1130="SU Shape",(I1130+J1130+K1130)-(C1130*2*2),"-")))))))))))))))</f>
        <v>-</v>
      </c>
      <c r="O1130" s="721" t="str">
        <f t="shared" ref="O1130:O1141" si="178">IF(N1130&lt;12001,C1130*49*0,IF(N1130&lt;24001,C1130*49*1,IF(N1130&lt;36001,C1130*49*2,IF(N1130&lt;48001,C1130*49*3,IF(N1130&lt;60001,C1130*49*4,IF(N1130&lt;72001,(C1130*49*5),IF(N1130&lt;84001,(C1130*49*6),IF(N1130&lt;96001,(C1130*49*7),IF(N1130&lt;108001,(C1130*49*8),IF(N1130&lt;120001,(C1130*49*9),IF(N1130&lt;132001,(C1130*49*10),IF(N1130&lt;144001,(C1130*49*11),""))))))))))))</f>
        <v/>
      </c>
      <c r="P1130" s="722" t="str">
        <f t="shared" ref="P1130:P1141" si="179">IF(C1130=8,ROUND(((N1130+O1130)*F1130*G1130*H1130)/1000,3),"-")</f>
        <v>-</v>
      </c>
      <c r="Q1130" s="686" t="str">
        <f t="shared" ref="Q1130:Q1141" si="180">IF(C1130=10,ROUND(((N1130+O1130)*F1130*G1130*H1130)/1000,3),"-")</f>
        <v>-</v>
      </c>
      <c r="R1130" s="686" t="str">
        <f t="shared" ref="R1130:R1141" si="181">IF(C1130=12,ROUND(((N1130+O1130)*F1130*G1130*H1130)/1000,3),"-")</f>
        <v>-</v>
      </c>
      <c r="S1130" s="686" t="str">
        <f t="shared" ref="S1130:S1141" si="182">IF(C1130=16,ROUND(((N1130+O1130)*F1130*G1130*H1130)/1000,3),"-")</f>
        <v>-</v>
      </c>
      <c r="T1130" s="686" t="str">
        <f t="shared" ref="T1130:T1141" si="183">IF(C1130=20,ROUND(((N1130+O1130)*F1130*G1130*H1130)/1000,3),"-")</f>
        <v>-</v>
      </c>
      <c r="U1130" s="723" t="str">
        <f t="shared" ref="U1130:U1141" si="184">IF(C1130=25,ROUND(((N1130+O1130)*F1130*G1130*H1130)/1000,3),"-")</f>
        <v>-</v>
      </c>
      <c r="V1130" s="695" t="str">
        <f t="shared" ref="V1130:V1141" si="185">IF(C1130=32,ROUND(((N1130+O1130)*F1130*G1130*H1130)/1000,3),"-")</f>
        <v>-</v>
      </c>
      <c r="W1130" s="711"/>
    </row>
    <row r="1131" spans="1:23" ht="16.5" hidden="1" outlineLevel="1">
      <c r="A1131" s="726">
        <v>1.1000000000000001</v>
      </c>
      <c r="B1131" s="730" t="s">
        <v>1574</v>
      </c>
      <c r="C1131" s="727">
        <v>10</v>
      </c>
      <c r="D1131" s="690"/>
      <c r="E1131" s="720" t="s">
        <v>1557</v>
      </c>
      <c r="F1131" s="685">
        <v>1</v>
      </c>
      <c r="G1131" s="239">
        <v>1</v>
      </c>
      <c r="H1131" s="203">
        <v>2</v>
      </c>
      <c r="I1131" s="198">
        <f>C1131*10</f>
        <v>100</v>
      </c>
      <c r="J1131" s="198">
        <f>9890-50</f>
        <v>9840</v>
      </c>
      <c r="K1131" s="198">
        <v>100</v>
      </c>
      <c r="L1131" s="198"/>
      <c r="M1131" s="198"/>
      <c r="N1131" s="721">
        <f t="shared" si="177"/>
        <v>10000</v>
      </c>
      <c r="O1131" s="721">
        <f t="shared" si="178"/>
        <v>0</v>
      </c>
      <c r="P1131" s="722" t="str">
        <f t="shared" si="179"/>
        <v>-</v>
      </c>
      <c r="Q1131" s="686">
        <f t="shared" si="180"/>
        <v>20</v>
      </c>
      <c r="R1131" s="686" t="str">
        <f t="shared" si="181"/>
        <v>-</v>
      </c>
      <c r="S1131" s="686" t="str">
        <f t="shared" si="182"/>
        <v>-</v>
      </c>
      <c r="T1131" s="686" t="str">
        <f t="shared" si="183"/>
        <v>-</v>
      </c>
      <c r="U1131" s="723" t="str">
        <f t="shared" si="184"/>
        <v>-</v>
      </c>
      <c r="V1131" s="695" t="str">
        <f t="shared" si="185"/>
        <v>-</v>
      </c>
      <c r="W1131" s="711"/>
    </row>
    <row r="1132" spans="1:23" ht="16.5" hidden="1" outlineLevel="1">
      <c r="A1132" s="726"/>
      <c r="B1132" s="726" t="s">
        <v>393</v>
      </c>
      <c r="C1132" s="727">
        <v>10</v>
      </c>
      <c r="D1132" s="690"/>
      <c r="E1132" s="720" t="s">
        <v>1557</v>
      </c>
      <c r="F1132" s="685">
        <v>1</v>
      </c>
      <c r="G1132" s="239">
        <v>1</v>
      </c>
      <c r="H1132" s="203">
        <v>2</v>
      </c>
      <c r="I1132" s="198">
        <f>C1132*10</f>
        <v>100</v>
      </c>
      <c r="J1132" s="198">
        <f>9890-50</f>
        <v>9840</v>
      </c>
      <c r="K1132" s="198">
        <v>100</v>
      </c>
      <c r="L1132" s="198"/>
      <c r="M1132" s="198"/>
      <c r="N1132" s="721">
        <f t="shared" si="177"/>
        <v>10000</v>
      </c>
      <c r="O1132" s="721">
        <f t="shared" si="178"/>
        <v>0</v>
      </c>
      <c r="P1132" s="722" t="str">
        <f t="shared" si="179"/>
        <v>-</v>
      </c>
      <c r="Q1132" s="686">
        <f t="shared" si="180"/>
        <v>20</v>
      </c>
      <c r="R1132" s="686" t="str">
        <f t="shared" si="181"/>
        <v>-</v>
      </c>
      <c r="S1132" s="686" t="str">
        <f t="shared" si="182"/>
        <v>-</v>
      </c>
      <c r="T1132" s="686" t="str">
        <f t="shared" si="183"/>
        <v>-</v>
      </c>
      <c r="U1132" s="723" t="str">
        <f t="shared" si="184"/>
        <v>-</v>
      </c>
      <c r="V1132" s="695" t="str">
        <f t="shared" si="185"/>
        <v>-</v>
      </c>
      <c r="W1132" s="711"/>
    </row>
    <row r="1133" spans="1:23" ht="16.5" hidden="1" outlineLevel="1">
      <c r="A1133" s="726"/>
      <c r="B1133" s="726" t="s">
        <v>394</v>
      </c>
      <c r="C1133" s="727">
        <v>8</v>
      </c>
      <c r="D1133" s="690"/>
      <c r="E1133" s="691" t="s">
        <v>1558</v>
      </c>
      <c r="F1133" s="685">
        <v>1</v>
      </c>
      <c r="G1133" s="239">
        <v>1</v>
      </c>
      <c r="H1133" s="203">
        <f>((J1131-230)/200)+1</f>
        <v>49.05</v>
      </c>
      <c r="I1133" s="198">
        <v>180</v>
      </c>
      <c r="J1133" s="198">
        <v>150</v>
      </c>
      <c r="K1133" s="198">
        <v>180</v>
      </c>
      <c r="L1133" s="198">
        <v>150</v>
      </c>
      <c r="M1133" s="198"/>
      <c r="N1133" s="721">
        <f t="shared" si="177"/>
        <v>740</v>
      </c>
      <c r="O1133" s="721">
        <f t="shared" si="178"/>
        <v>0</v>
      </c>
      <c r="P1133" s="722">
        <f t="shared" si="179"/>
        <v>36.296999999999997</v>
      </c>
      <c r="Q1133" s="686" t="str">
        <f t="shared" si="180"/>
        <v>-</v>
      </c>
      <c r="R1133" s="686" t="str">
        <f t="shared" si="181"/>
        <v>-</v>
      </c>
      <c r="S1133" s="686" t="str">
        <f t="shared" si="182"/>
        <v>-</v>
      </c>
      <c r="T1133" s="686" t="str">
        <f t="shared" si="183"/>
        <v>-</v>
      </c>
      <c r="U1133" s="723" t="str">
        <f t="shared" si="184"/>
        <v>-</v>
      </c>
      <c r="V1133" s="695" t="str">
        <f t="shared" si="185"/>
        <v>-</v>
      </c>
      <c r="W1133" s="711"/>
    </row>
    <row r="1134" spans="1:23" ht="16.5" hidden="1" outlineLevel="1">
      <c r="A1134" s="195"/>
      <c r="B1134" s="172"/>
      <c r="C1134" s="196"/>
      <c r="D1134" s="685"/>
      <c r="E1134" s="196"/>
      <c r="F1134" s="685"/>
      <c r="G1134" s="204"/>
      <c r="H1134" s="203"/>
      <c r="I1134" s="198"/>
      <c r="J1134" s="198"/>
      <c r="K1134" s="198"/>
      <c r="L1134" s="198"/>
      <c r="M1134" s="198"/>
      <c r="N1134" s="721" t="str">
        <f t="shared" si="177"/>
        <v>-</v>
      </c>
      <c r="O1134" s="721" t="str">
        <f t="shared" si="178"/>
        <v/>
      </c>
      <c r="P1134" s="722" t="str">
        <f t="shared" si="179"/>
        <v>-</v>
      </c>
      <c r="Q1134" s="686" t="str">
        <f t="shared" si="180"/>
        <v>-</v>
      </c>
      <c r="R1134" s="686" t="str">
        <f t="shared" si="181"/>
        <v>-</v>
      </c>
      <c r="S1134" s="686" t="str">
        <f t="shared" si="182"/>
        <v>-</v>
      </c>
      <c r="T1134" s="686" t="str">
        <f t="shared" si="183"/>
        <v>-</v>
      </c>
      <c r="U1134" s="723" t="str">
        <f t="shared" si="184"/>
        <v>-</v>
      </c>
      <c r="V1134" s="695" t="str">
        <f t="shared" si="185"/>
        <v>-</v>
      </c>
      <c r="W1134" s="711"/>
    </row>
    <row r="1135" spans="1:23" ht="16.5" hidden="1" outlineLevel="1">
      <c r="A1135" s="726">
        <v>1.2</v>
      </c>
      <c r="B1135" s="730" t="s">
        <v>1574</v>
      </c>
      <c r="C1135" s="727">
        <v>10</v>
      </c>
      <c r="D1135" s="690"/>
      <c r="E1135" s="720" t="s">
        <v>1557</v>
      </c>
      <c r="F1135" s="685">
        <v>1</v>
      </c>
      <c r="G1135" s="239">
        <v>1</v>
      </c>
      <c r="H1135" s="203">
        <v>2</v>
      </c>
      <c r="I1135" s="198">
        <f>C1135*10</f>
        <v>100</v>
      </c>
      <c r="J1135" s="171">
        <f>9630-50</f>
        <v>9580</v>
      </c>
      <c r="K1135" s="198">
        <v>100</v>
      </c>
      <c r="L1135" s="198"/>
      <c r="M1135" s="198"/>
      <c r="N1135" s="721">
        <f t="shared" si="177"/>
        <v>9740</v>
      </c>
      <c r="O1135" s="721">
        <f t="shared" si="178"/>
        <v>0</v>
      </c>
      <c r="P1135" s="722" t="str">
        <f t="shared" si="179"/>
        <v>-</v>
      </c>
      <c r="Q1135" s="686">
        <f t="shared" si="180"/>
        <v>19.48</v>
      </c>
      <c r="R1135" s="686" t="str">
        <f t="shared" si="181"/>
        <v>-</v>
      </c>
      <c r="S1135" s="686" t="str">
        <f t="shared" si="182"/>
        <v>-</v>
      </c>
      <c r="T1135" s="686" t="str">
        <f t="shared" si="183"/>
        <v>-</v>
      </c>
      <c r="U1135" s="723" t="str">
        <f t="shared" si="184"/>
        <v>-</v>
      </c>
      <c r="V1135" s="695" t="str">
        <f t="shared" si="185"/>
        <v>-</v>
      </c>
      <c r="W1135" s="711"/>
    </row>
    <row r="1136" spans="1:23" ht="16.5" hidden="1" outlineLevel="1">
      <c r="A1136" s="726"/>
      <c r="B1136" s="726" t="s">
        <v>393</v>
      </c>
      <c r="C1136" s="727">
        <v>10</v>
      </c>
      <c r="D1136" s="690"/>
      <c r="E1136" s="720" t="s">
        <v>1557</v>
      </c>
      <c r="F1136" s="685">
        <v>1</v>
      </c>
      <c r="G1136" s="239">
        <v>1</v>
      </c>
      <c r="H1136" s="203">
        <v>2</v>
      </c>
      <c r="I1136" s="198">
        <f>C1136*10</f>
        <v>100</v>
      </c>
      <c r="J1136" s="171">
        <f>9630-50</f>
        <v>9580</v>
      </c>
      <c r="K1136" s="198">
        <v>100</v>
      </c>
      <c r="L1136" s="198"/>
      <c r="M1136" s="198"/>
      <c r="N1136" s="721">
        <f t="shared" si="177"/>
        <v>9740</v>
      </c>
      <c r="O1136" s="721">
        <f t="shared" si="178"/>
        <v>0</v>
      </c>
      <c r="P1136" s="722" t="str">
        <f t="shared" si="179"/>
        <v>-</v>
      </c>
      <c r="Q1136" s="686">
        <f t="shared" si="180"/>
        <v>19.48</v>
      </c>
      <c r="R1136" s="686" t="str">
        <f t="shared" si="181"/>
        <v>-</v>
      </c>
      <c r="S1136" s="686" t="str">
        <f t="shared" si="182"/>
        <v>-</v>
      </c>
      <c r="T1136" s="686" t="str">
        <f t="shared" si="183"/>
        <v>-</v>
      </c>
      <c r="U1136" s="723" t="str">
        <f t="shared" si="184"/>
        <v>-</v>
      </c>
      <c r="V1136" s="695" t="str">
        <f t="shared" si="185"/>
        <v>-</v>
      </c>
      <c r="W1136" s="711"/>
    </row>
    <row r="1137" spans="1:23" ht="16.5" hidden="1" outlineLevel="1">
      <c r="A1137" s="726"/>
      <c r="B1137" s="726" t="s">
        <v>394</v>
      </c>
      <c r="C1137" s="727">
        <v>8</v>
      </c>
      <c r="D1137" s="690"/>
      <c r="E1137" s="691" t="s">
        <v>1558</v>
      </c>
      <c r="F1137" s="685">
        <v>1</v>
      </c>
      <c r="G1137" s="239">
        <v>1</v>
      </c>
      <c r="H1137" s="203">
        <f>((J1135-230)/200)+1</f>
        <v>47.75</v>
      </c>
      <c r="I1137" s="198">
        <v>180</v>
      </c>
      <c r="J1137" s="198">
        <v>150</v>
      </c>
      <c r="K1137" s="198">
        <v>180</v>
      </c>
      <c r="L1137" s="198">
        <v>150</v>
      </c>
      <c r="M1137" s="198"/>
      <c r="N1137" s="721">
        <f t="shared" si="177"/>
        <v>740</v>
      </c>
      <c r="O1137" s="721">
        <f t="shared" si="178"/>
        <v>0</v>
      </c>
      <c r="P1137" s="722">
        <f t="shared" si="179"/>
        <v>35.335000000000001</v>
      </c>
      <c r="Q1137" s="686" t="str">
        <f t="shared" si="180"/>
        <v>-</v>
      </c>
      <c r="R1137" s="686" t="str">
        <f t="shared" si="181"/>
        <v>-</v>
      </c>
      <c r="S1137" s="686" t="str">
        <f t="shared" si="182"/>
        <v>-</v>
      </c>
      <c r="T1137" s="686" t="str">
        <f t="shared" si="183"/>
        <v>-</v>
      </c>
      <c r="U1137" s="723" t="str">
        <f t="shared" si="184"/>
        <v>-</v>
      </c>
      <c r="V1137" s="695" t="str">
        <f t="shared" si="185"/>
        <v>-</v>
      </c>
      <c r="W1137" s="711"/>
    </row>
    <row r="1138" spans="1:23" ht="16.5" hidden="1" outlineLevel="1">
      <c r="A1138" s="195"/>
      <c r="B1138" s="172"/>
      <c r="C1138" s="196"/>
      <c r="D1138" s="685"/>
      <c r="E1138" s="196"/>
      <c r="F1138" s="685"/>
      <c r="G1138" s="204"/>
      <c r="H1138" s="203"/>
      <c r="I1138" s="198"/>
      <c r="J1138" s="198"/>
      <c r="K1138" s="198"/>
      <c r="L1138" s="198"/>
      <c r="M1138" s="198"/>
      <c r="N1138" s="721" t="str">
        <f t="shared" si="177"/>
        <v>-</v>
      </c>
      <c r="O1138" s="721" t="str">
        <f t="shared" si="178"/>
        <v/>
      </c>
      <c r="P1138" s="722" t="str">
        <f t="shared" si="179"/>
        <v>-</v>
      </c>
      <c r="Q1138" s="686" t="str">
        <f t="shared" si="180"/>
        <v>-</v>
      </c>
      <c r="R1138" s="686" t="str">
        <f t="shared" si="181"/>
        <v>-</v>
      </c>
      <c r="S1138" s="686" t="str">
        <f t="shared" si="182"/>
        <v>-</v>
      </c>
      <c r="T1138" s="686" t="str">
        <f t="shared" si="183"/>
        <v>-</v>
      </c>
      <c r="U1138" s="723" t="str">
        <f t="shared" si="184"/>
        <v>-</v>
      </c>
      <c r="V1138" s="695" t="str">
        <f t="shared" si="185"/>
        <v>-</v>
      </c>
      <c r="W1138" s="711"/>
    </row>
    <row r="1139" spans="1:23" ht="16.5" hidden="1" outlineLevel="1">
      <c r="A1139" s="726">
        <v>2</v>
      </c>
      <c r="B1139" s="730" t="s">
        <v>1617</v>
      </c>
      <c r="C1139" s="727">
        <v>10</v>
      </c>
      <c r="D1139" s="690"/>
      <c r="E1139" s="720" t="s">
        <v>1557</v>
      </c>
      <c r="F1139" s="685">
        <v>1</v>
      </c>
      <c r="G1139" s="239">
        <v>2</v>
      </c>
      <c r="H1139" s="203">
        <v>2</v>
      </c>
      <c r="I1139" s="198">
        <f>C1139*10</f>
        <v>100</v>
      </c>
      <c r="J1139" s="171">
        <f>8410-50</f>
        <v>8360</v>
      </c>
      <c r="K1139" s="198">
        <v>100</v>
      </c>
      <c r="L1139" s="198"/>
      <c r="M1139" s="198"/>
      <c r="N1139" s="721">
        <f t="shared" si="177"/>
        <v>8520</v>
      </c>
      <c r="O1139" s="721">
        <f t="shared" si="178"/>
        <v>0</v>
      </c>
      <c r="P1139" s="722" t="str">
        <f t="shared" si="179"/>
        <v>-</v>
      </c>
      <c r="Q1139" s="686">
        <f t="shared" si="180"/>
        <v>34.08</v>
      </c>
      <c r="R1139" s="686" t="str">
        <f t="shared" si="181"/>
        <v>-</v>
      </c>
      <c r="S1139" s="686" t="str">
        <f t="shared" si="182"/>
        <v>-</v>
      </c>
      <c r="T1139" s="686" t="str">
        <f t="shared" si="183"/>
        <v>-</v>
      </c>
      <c r="U1139" s="723" t="str">
        <f t="shared" si="184"/>
        <v>-</v>
      </c>
      <c r="V1139" s="695" t="str">
        <f t="shared" si="185"/>
        <v>-</v>
      </c>
      <c r="W1139" s="711"/>
    </row>
    <row r="1140" spans="1:23" ht="16.5" hidden="1" outlineLevel="1">
      <c r="A1140" s="726"/>
      <c r="B1140" s="726" t="s">
        <v>393</v>
      </c>
      <c r="C1140" s="727">
        <v>10</v>
      </c>
      <c r="D1140" s="690"/>
      <c r="E1140" s="720" t="s">
        <v>1557</v>
      </c>
      <c r="F1140" s="685">
        <v>1</v>
      </c>
      <c r="G1140" s="239">
        <v>2</v>
      </c>
      <c r="H1140" s="203">
        <v>2</v>
      </c>
      <c r="I1140" s="198">
        <f>C1140*10</f>
        <v>100</v>
      </c>
      <c r="J1140" s="171">
        <f>8410-50</f>
        <v>8360</v>
      </c>
      <c r="K1140" s="198">
        <v>100</v>
      </c>
      <c r="L1140" s="198"/>
      <c r="M1140" s="198"/>
      <c r="N1140" s="721">
        <f t="shared" si="177"/>
        <v>8520</v>
      </c>
      <c r="O1140" s="721">
        <f t="shared" si="178"/>
        <v>0</v>
      </c>
      <c r="P1140" s="722" t="str">
        <f t="shared" si="179"/>
        <v>-</v>
      </c>
      <c r="Q1140" s="686">
        <f t="shared" si="180"/>
        <v>34.08</v>
      </c>
      <c r="R1140" s="686" t="str">
        <f t="shared" si="181"/>
        <v>-</v>
      </c>
      <c r="S1140" s="686" t="str">
        <f t="shared" si="182"/>
        <v>-</v>
      </c>
      <c r="T1140" s="686" t="str">
        <f t="shared" si="183"/>
        <v>-</v>
      </c>
      <c r="U1140" s="723" t="str">
        <f t="shared" si="184"/>
        <v>-</v>
      </c>
      <c r="V1140" s="695" t="str">
        <f t="shared" si="185"/>
        <v>-</v>
      </c>
      <c r="W1140" s="711"/>
    </row>
    <row r="1141" spans="1:23" ht="16.5" hidden="1" outlineLevel="1">
      <c r="A1141" s="726"/>
      <c r="B1141" s="726" t="s">
        <v>394</v>
      </c>
      <c r="C1141" s="727">
        <v>8</v>
      </c>
      <c r="D1141" s="690"/>
      <c r="E1141" s="691" t="s">
        <v>1558</v>
      </c>
      <c r="F1141" s="685">
        <v>1</v>
      </c>
      <c r="G1141" s="239">
        <v>2</v>
      </c>
      <c r="H1141" s="203">
        <f>((J1139-230)/200)+1</f>
        <v>41.65</v>
      </c>
      <c r="I1141" s="198">
        <v>180</v>
      </c>
      <c r="J1141" s="198">
        <v>150</v>
      </c>
      <c r="K1141" s="198">
        <v>180</v>
      </c>
      <c r="L1141" s="198">
        <v>150</v>
      </c>
      <c r="M1141" s="198"/>
      <c r="N1141" s="721">
        <f t="shared" si="177"/>
        <v>740</v>
      </c>
      <c r="O1141" s="721">
        <f t="shared" si="178"/>
        <v>0</v>
      </c>
      <c r="P1141" s="722">
        <f t="shared" si="179"/>
        <v>61.642000000000003</v>
      </c>
      <c r="Q1141" s="686" t="str">
        <f t="shared" si="180"/>
        <v>-</v>
      </c>
      <c r="R1141" s="686" t="str">
        <f t="shared" si="181"/>
        <v>-</v>
      </c>
      <c r="S1141" s="686" t="str">
        <f t="shared" si="182"/>
        <v>-</v>
      </c>
      <c r="T1141" s="686" t="str">
        <f t="shared" si="183"/>
        <v>-</v>
      </c>
      <c r="U1141" s="723" t="str">
        <f t="shared" si="184"/>
        <v>-</v>
      </c>
      <c r="V1141" s="695" t="str">
        <f t="shared" si="185"/>
        <v>-</v>
      </c>
      <c r="W1141" s="711"/>
    </row>
    <row r="1142" spans="1:23" ht="16.5" hidden="1" outlineLevel="1">
      <c r="A1142" s="195"/>
      <c r="B1142" s="172"/>
      <c r="C1142" s="196"/>
      <c r="D1142" s="685"/>
      <c r="E1142" s="196"/>
      <c r="F1142" s="685"/>
      <c r="G1142" s="204"/>
      <c r="H1142" s="203"/>
      <c r="I1142" s="198"/>
      <c r="J1142" s="198"/>
      <c r="K1142" s="198"/>
      <c r="L1142" s="198"/>
      <c r="M1142" s="198"/>
      <c r="N1142" s="198"/>
      <c r="O1142" s="198"/>
      <c r="P1142" s="199"/>
      <c r="Q1142" s="200"/>
      <c r="R1142" s="200"/>
      <c r="S1142" s="200"/>
      <c r="T1142" s="200"/>
      <c r="U1142" s="688"/>
      <c r="V1142" s="200"/>
      <c r="W1142" s="711"/>
    </row>
    <row r="1143" spans="1:23" ht="16.5" hidden="1" outlineLevel="1">
      <c r="A1143" s="726">
        <v>3</v>
      </c>
      <c r="B1143" s="730" t="s">
        <v>1618</v>
      </c>
      <c r="C1143" s="727">
        <v>10</v>
      </c>
      <c r="D1143" s="690"/>
      <c r="E1143" s="720" t="s">
        <v>1557</v>
      </c>
      <c r="F1143" s="685">
        <v>1</v>
      </c>
      <c r="G1143" s="239">
        <v>2</v>
      </c>
      <c r="H1143" s="203">
        <v>2</v>
      </c>
      <c r="I1143" s="198">
        <f>C1143*10</f>
        <v>100</v>
      </c>
      <c r="J1143" s="171">
        <f>6880-50</f>
        <v>6830</v>
      </c>
      <c r="K1143" s="198">
        <v>100</v>
      </c>
      <c r="L1143" s="198"/>
      <c r="M1143" s="198"/>
      <c r="N1143" s="721">
        <f t="shared" ref="N1143:N1145" si="186">IF(E1143="L Shape",(I1143+J1143)-(C1143*2*1),IF(E1143="U Shape",(I1143+J1143+K1143)-(C1143*2*2),IF(E1143="Rectangle",(I1143+J1143+K1143+L1143)+(C1143*10*2)-(C1143*2*5),IF(E1143="Straight",J1143-(C1143*0),IF(E1143="Chair",(I1143+J1143+K1143+L1143+M1143)-(C1143*2*4),IF(E1143="U2 Shape",(I1143+J1143+K1143+L1143+M1143)-(C1143*2*4),IF(E1143="U3 Shape",(I1143+J1143+K1143+L1143)-(C1143*2*3),IF(E1143="Z Shape",(I1143+J1143+K1143)-(C1143*2*2),IF(E1143="Triangle",(I1143+J1143+K1143)+(C1143*10*2)-(C1143*2*4),IF(E1143="Trapezoid2",(I1143+I1143+J1143+K1143+K1143+L1143)+(C1143*10*2)-(C1143*2*7),IF(E1143="Trapezoid",(I1143+J1143+K1143+L1143)+(C1143*10*2)-(C1143*2*5),IF(E1143="Link",J1143+(C1143*10*2),IF(E1143="U5 Shape",(I1143+J1143+K1143+L1143)-(C1143*2*3),IF(E1143="DU2 Shape",(I1143+J1143+K1143+L1143)-(C1143*2*4),IF(E1143="SU Shape",(I1143+J1143+K1143)-(C1143*2*2),"-")))))))))))))))</f>
        <v>6990</v>
      </c>
      <c r="O1143" s="721">
        <f t="shared" ref="O1143:O1145" si="187">IF(N1143&lt;12001,C1143*49*0,IF(N1143&lt;24001,C1143*49*1,IF(N1143&lt;36001,C1143*49*2,IF(N1143&lt;48001,C1143*49*3,IF(N1143&lt;60001,C1143*49*4,IF(N1143&lt;72001,(C1143*49*5),IF(N1143&lt;84001,(C1143*49*6),IF(N1143&lt;96001,(C1143*49*7),IF(N1143&lt;108001,(C1143*49*8),IF(N1143&lt;120001,(C1143*49*9),IF(N1143&lt;132001,(C1143*49*10),IF(N1143&lt;144001,(C1143*49*11),""))))))))))))</f>
        <v>0</v>
      </c>
      <c r="P1143" s="722" t="str">
        <f t="shared" ref="P1143:P1145" si="188">IF(C1143=8,ROUND(((N1143+O1143)*F1143*G1143*H1143)/1000,3),"-")</f>
        <v>-</v>
      </c>
      <c r="Q1143" s="686">
        <f t="shared" ref="Q1143:Q1145" si="189">IF(C1143=10,ROUND(((N1143+O1143)*F1143*G1143*H1143)/1000,3),"-")</f>
        <v>27.96</v>
      </c>
      <c r="R1143" s="686" t="str">
        <f t="shared" ref="R1143:R1145" si="190">IF(C1143=12,ROUND(((N1143+O1143)*F1143*G1143*H1143)/1000,3),"-")</f>
        <v>-</v>
      </c>
      <c r="S1143" s="686" t="str">
        <f t="shared" ref="S1143:S1145" si="191">IF(C1143=16,ROUND(((N1143+O1143)*F1143*G1143*H1143)/1000,3),"-")</f>
        <v>-</v>
      </c>
      <c r="T1143" s="686" t="str">
        <f t="shared" ref="T1143:T1145" si="192">IF(C1143=20,ROUND(((N1143+O1143)*F1143*G1143*H1143)/1000,3),"-")</f>
        <v>-</v>
      </c>
      <c r="U1143" s="723" t="str">
        <f t="shared" ref="U1143:U1145" si="193">IF(C1143=25,ROUND(((N1143+O1143)*F1143*G1143*H1143)/1000,3),"-")</f>
        <v>-</v>
      </c>
      <c r="V1143" s="695" t="str">
        <f t="shared" ref="V1143:V1145" si="194">IF(C1143=32,ROUND(((N1143+O1143)*F1143*G1143*H1143)/1000,3),"-")</f>
        <v>-</v>
      </c>
      <c r="W1143" s="711"/>
    </row>
    <row r="1144" spans="1:23" ht="16.5" hidden="1" outlineLevel="1">
      <c r="A1144" s="726"/>
      <c r="B1144" s="726" t="s">
        <v>393</v>
      </c>
      <c r="C1144" s="727">
        <v>10</v>
      </c>
      <c r="D1144" s="690"/>
      <c r="E1144" s="720" t="s">
        <v>1557</v>
      </c>
      <c r="F1144" s="685">
        <v>1</v>
      </c>
      <c r="G1144" s="239">
        <v>2</v>
      </c>
      <c r="H1144" s="203">
        <v>2</v>
      </c>
      <c r="I1144" s="198">
        <f>C1144*10</f>
        <v>100</v>
      </c>
      <c r="J1144" s="171">
        <f>6880-50</f>
        <v>6830</v>
      </c>
      <c r="K1144" s="198">
        <v>100</v>
      </c>
      <c r="L1144" s="198"/>
      <c r="M1144" s="198"/>
      <c r="N1144" s="721">
        <f t="shared" si="186"/>
        <v>6990</v>
      </c>
      <c r="O1144" s="721">
        <f t="shared" si="187"/>
        <v>0</v>
      </c>
      <c r="P1144" s="722" t="str">
        <f t="shared" si="188"/>
        <v>-</v>
      </c>
      <c r="Q1144" s="686">
        <f t="shared" si="189"/>
        <v>27.96</v>
      </c>
      <c r="R1144" s="686" t="str">
        <f t="shared" si="190"/>
        <v>-</v>
      </c>
      <c r="S1144" s="686" t="str">
        <f t="shared" si="191"/>
        <v>-</v>
      </c>
      <c r="T1144" s="686" t="str">
        <f t="shared" si="192"/>
        <v>-</v>
      </c>
      <c r="U1144" s="723" t="str">
        <f t="shared" si="193"/>
        <v>-</v>
      </c>
      <c r="V1144" s="695" t="str">
        <f t="shared" si="194"/>
        <v>-</v>
      </c>
      <c r="W1144" s="711"/>
    </row>
    <row r="1145" spans="1:23" ht="16.5" hidden="1" outlineLevel="1">
      <c r="A1145" s="726"/>
      <c r="B1145" s="726" t="s">
        <v>394</v>
      </c>
      <c r="C1145" s="727">
        <v>8</v>
      </c>
      <c r="D1145" s="690"/>
      <c r="E1145" s="691" t="s">
        <v>1558</v>
      </c>
      <c r="F1145" s="685">
        <v>1</v>
      </c>
      <c r="G1145" s="239">
        <v>2</v>
      </c>
      <c r="H1145" s="203">
        <f>((J1143-230)/200)+1</f>
        <v>34</v>
      </c>
      <c r="I1145" s="198">
        <v>180</v>
      </c>
      <c r="J1145" s="198">
        <v>150</v>
      </c>
      <c r="K1145" s="198">
        <v>180</v>
      </c>
      <c r="L1145" s="198">
        <v>150</v>
      </c>
      <c r="M1145" s="198"/>
      <c r="N1145" s="721">
        <f t="shared" si="186"/>
        <v>740</v>
      </c>
      <c r="O1145" s="721">
        <f t="shared" si="187"/>
        <v>0</v>
      </c>
      <c r="P1145" s="722">
        <f t="shared" si="188"/>
        <v>50.32</v>
      </c>
      <c r="Q1145" s="686" t="str">
        <f t="shared" si="189"/>
        <v>-</v>
      </c>
      <c r="R1145" s="686" t="str">
        <f t="shared" si="190"/>
        <v>-</v>
      </c>
      <c r="S1145" s="686" t="str">
        <f t="shared" si="191"/>
        <v>-</v>
      </c>
      <c r="T1145" s="686" t="str">
        <f t="shared" si="192"/>
        <v>-</v>
      </c>
      <c r="U1145" s="723" t="str">
        <f t="shared" si="193"/>
        <v>-</v>
      </c>
      <c r="V1145" s="695" t="str">
        <f t="shared" si="194"/>
        <v>-</v>
      </c>
      <c r="W1145" s="711"/>
    </row>
    <row r="1146" spans="1:23" ht="16.5" hidden="1" outlineLevel="1">
      <c r="A1146" s="195"/>
      <c r="B1146" s="172"/>
      <c r="C1146" s="196"/>
      <c r="D1146" s="685"/>
      <c r="E1146" s="196"/>
      <c r="F1146" s="685"/>
      <c r="G1146" s="204"/>
      <c r="H1146" s="203"/>
      <c r="I1146" s="198"/>
      <c r="J1146" s="198"/>
      <c r="K1146" s="198"/>
      <c r="L1146" s="198"/>
      <c r="M1146" s="198"/>
      <c r="N1146" s="198"/>
      <c r="O1146" s="198"/>
      <c r="P1146" s="199"/>
      <c r="Q1146" s="200"/>
      <c r="R1146" s="200"/>
      <c r="S1146" s="200"/>
      <c r="T1146" s="200"/>
      <c r="U1146" s="688"/>
      <c r="V1146" s="200"/>
      <c r="W1146" s="711"/>
    </row>
    <row r="1147" spans="1:23" ht="16.5" hidden="1" outlineLevel="1">
      <c r="A1147" s="726">
        <v>4</v>
      </c>
      <c r="B1147" s="730" t="s">
        <v>1619</v>
      </c>
      <c r="C1147" s="727">
        <v>10</v>
      </c>
      <c r="D1147" s="690"/>
      <c r="E1147" s="720" t="s">
        <v>1557</v>
      </c>
      <c r="F1147" s="685">
        <v>1</v>
      </c>
      <c r="G1147" s="239">
        <v>2</v>
      </c>
      <c r="H1147" s="203">
        <v>2</v>
      </c>
      <c r="I1147" s="198">
        <f>C1147*10</f>
        <v>100</v>
      </c>
      <c r="J1147" s="171">
        <f>5050-50</f>
        <v>5000</v>
      </c>
      <c r="K1147" s="198">
        <v>100</v>
      </c>
      <c r="L1147" s="198"/>
      <c r="M1147" s="198"/>
      <c r="N1147" s="721">
        <f t="shared" ref="N1147:N1149" si="195">IF(E1147="L Shape",(I1147+J1147)-(C1147*2*1),IF(E1147="U Shape",(I1147+J1147+K1147)-(C1147*2*2),IF(E1147="Rectangle",(I1147+J1147+K1147+L1147)+(C1147*10*2)-(C1147*2*5),IF(E1147="Straight",J1147-(C1147*0),IF(E1147="Chair",(I1147+J1147+K1147+L1147+M1147)-(C1147*2*4),IF(E1147="U2 Shape",(I1147+J1147+K1147+L1147+M1147)-(C1147*2*4),IF(E1147="U3 Shape",(I1147+J1147+K1147+L1147)-(C1147*2*3),IF(E1147="Z Shape",(I1147+J1147+K1147)-(C1147*2*2),IF(E1147="Triangle",(I1147+J1147+K1147)+(C1147*10*2)-(C1147*2*4),IF(E1147="Trapezoid2",(I1147+I1147+J1147+K1147+K1147+L1147)+(C1147*10*2)-(C1147*2*7),IF(E1147="Trapezoid",(I1147+J1147+K1147+L1147)+(C1147*10*2)-(C1147*2*5),IF(E1147="Link",J1147+(C1147*10*2),IF(E1147="U5 Shape",(I1147+J1147+K1147+L1147)-(C1147*2*3),IF(E1147="DU2 Shape",(I1147+J1147+K1147+L1147)-(C1147*2*4),IF(E1147="SU Shape",(I1147+J1147+K1147)-(C1147*2*2),"-")))))))))))))))</f>
        <v>5160</v>
      </c>
      <c r="O1147" s="721">
        <f t="shared" ref="O1147:O1149" si="196">IF(N1147&lt;12001,C1147*49*0,IF(N1147&lt;24001,C1147*49*1,IF(N1147&lt;36001,C1147*49*2,IF(N1147&lt;48001,C1147*49*3,IF(N1147&lt;60001,C1147*49*4,IF(N1147&lt;72001,(C1147*49*5),IF(N1147&lt;84001,(C1147*49*6),IF(N1147&lt;96001,(C1147*49*7),IF(N1147&lt;108001,(C1147*49*8),IF(N1147&lt;120001,(C1147*49*9),IF(N1147&lt;132001,(C1147*49*10),IF(N1147&lt;144001,(C1147*49*11),""))))))))))))</f>
        <v>0</v>
      </c>
      <c r="P1147" s="722" t="str">
        <f t="shared" ref="P1147:P1149" si="197">IF(C1147=8,ROUND(((N1147+O1147)*F1147*G1147*H1147)/1000,3),"-")</f>
        <v>-</v>
      </c>
      <c r="Q1147" s="686">
        <f t="shared" ref="Q1147:Q1149" si="198">IF(C1147=10,ROUND(((N1147+O1147)*F1147*G1147*H1147)/1000,3),"-")</f>
        <v>20.64</v>
      </c>
      <c r="R1147" s="686" t="str">
        <f t="shared" ref="R1147:R1149" si="199">IF(C1147=12,ROUND(((N1147+O1147)*F1147*G1147*H1147)/1000,3),"-")</f>
        <v>-</v>
      </c>
      <c r="S1147" s="686" t="str">
        <f t="shared" ref="S1147:S1149" si="200">IF(C1147=16,ROUND(((N1147+O1147)*F1147*G1147*H1147)/1000,3),"-")</f>
        <v>-</v>
      </c>
      <c r="T1147" s="686" t="str">
        <f t="shared" ref="T1147:T1149" si="201">IF(C1147=20,ROUND(((N1147+O1147)*F1147*G1147*H1147)/1000,3),"-")</f>
        <v>-</v>
      </c>
      <c r="U1147" s="723" t="str">
        <f t="shared" ref="U1147:U1149" si="202">IF(C1147=25,ROUND(((N1147+O1147)*F1147*G1147*H1147)/1000,3),"-")</f>
        <v>-</v>
      </c>
      <c r="V1147" s="695" t="str">
        <f t="shared" ref="V1147:V1149" si="203">IF(C1147=32,ROUND(((N1147+O1147)*F1147*G1147*H1147)/1000,3),"-")</f>
        <v>-</v>
      </c>
      <c r="W1147" s="711"/>
    </row>
    <row r="1148" spans="1:23" ht="16.5" hidden="1" outlineLevel="1">
      <c r="A1148" s="726"/>
      <c r="B1148" s="726" t="s">
        <v>393</v>
      </c>
      <c r="C1148" s="727">
        <v>10</v>
      </c>
      <c r="D1148" s="690"/>
      <c r="E1148" s="720" t="s">
        <v>1557</v>
      </c>
      <c r="F1148" s="685">
        <v>1</v>
      </c>
      <c r="G1148" s="239">
        <v>2</v>
      </c>
      <c r="H1148" s="203">
        <v>2</v>
      </c>
      <c r="I1148" s="198">
        <f>C1148*10</f>
        <v>100</v>
      </c>
      <c r="J1148" s="171">
        <f>5050-50</f>
        <v>5000</v>
      </c>
      <c r="K1148" s="198">
        <v>100</v>
      </c>
      <c r="L1148" s="198"/>
      <c r="M1148" s="198"/>
      <c r="N1148" s="721">
        <f t="shared" si="195"/>
        <v>5160</v>
      </c>
      <c r="O1148" s="721">
        <f t="shared" si="196"/>
        <v>0</v>
      </c>
      <c r="P1148" s="722" t="str">
        <f t="shared" si="197"/>
        <v>-</v>
      </c>
      <c r="Q1148" s="686">
        <f t="shared" si="198"/>
        <v>20.64</v>
      </c>
      <c r="R1148" s="686" t="str">
        <f t="shared" si="199"/>
        <v>-</v>
      </c>
      <c r="S1148" s="686" t="str">
        <f t="shared" si="200"/>
        <v>-</v>
      </c>
      <c r="T1148" s="686" t="str">
        <f t="shared" si="201"/>
        <v>-</v>
      </c>
      <c r="U1148" s="723" t="str">
        <f t="shared" si="202"/>
        <v>-</v>
      </c>
      <c r="V1148" s="695" t="str">
        <f t="shared" si="203"/>
        <v>-</v>
      </c>
      <c r="W1148" s="711"/>
    </row>
    <row r="1149" spans="1:23" ht="16.5" hidden="1" outlineLevel="1">
      <c r="A1149" s="726"/>
      <c r="B1149" s="726" t="s">
        <v>394</v>
      </c>
      <c r="C1149" s="727">
        <v>8</v>
      </c>
      <c r="D1149" s="690"/>
      <c r="E1149" s="691" t="s">
        <v>1558</v>
      </c>
      <c r="F1149" s="685">
        <v>1</v>
      </c>
      <c r="G1149" s="239">
        <v>2</v>
      </c>
      <c r="H1149" s="203">
        <f>((J1147-230)/200)+1</f>
        <v>24.85</v>
      </c>
      <c r="I1149" s="198">
        <v>180</v>
      </c>
      <c r="J1149" s="198">
        <v>150</v>
      </c>
      <c r="K1149" s="198">
        <v>180</v>
      </c>
      <c r="L1149" s="198">
        <v>150</v>
      </c>
      <c r="M1149" s="198"/>
      <c r="N1149" s="721">
        <f t="shared" si="195"/>
        <v>740</v>
      </c>
      <c r="O1149" s="721">
        <f t="shared" si="196"/>
        <v>0</v>
      </c>
      <c r="P1149" s="722">
        <f t="shared" si="197"/>
        <v>36.777999999999999</v>
      </c>
      <c r="Q1149" s="686" t="str">
        <f t="shared" si="198"/>
        <v>-</v>
      </c>
      <c r="R1149" s="686" t="str">
        <f t="shared" si="199"/>
        <v>-</v>
      </c>
      <c r="S1149" s="686" t="str">
        <f t="shared" si="200"/>
        <v>-</v>
      </c>
      <c r="T1149" s="686" t="str">
        <f t="shared" si="201"/>
        <v>-</v>
      </c>
      <c r="U1149" s="723" t="str">
        <f t="shared" si="202"/>
        <v>-</v>
      </c>
      <c r="V1149" s="695" t="str">
        <f t="shared" si="203"/>
        <v>-</v>
      </c>
      <c r="W1149" s="711"/>
    </row>
    <row r="1150" spans="1:23" ht="16.5" hidden="1" outlineLevel="1">
      <c r="A1150" s="195"/>
      <c r="B1150" s="172"/>
      <c r="C1150" s="196"/>
      <c r="D1150" s="685"/>
      <c r="E1150" s="196"/>
      <c r="F1150" s="685"/>
      <c r="G1150" s="204"/>
      <c r="H1150" s="203"/>
      <c r="I1150" s="198"/>
      <c r="J1150" s="198"/>
      <c r="K1150" s="198"/>
      <c r="L1150" s="198"/>
      <c r="M1150" s="198"/>
      <c r="N1150" s="198"/>
      <c r="O1150" s="198"/>
      <c r="P1150" s="199"/>
      <c r="Q1150" s="200"/>
      <c r="R1150" s="200"/>
      <c r="S1150" s="200"/>
      <c r="T1150" s="200"/>
      <c r="U1150" s="688"/>
      <c r="V1150" s="200"/>
      <c r="W1150" s="711"/>
    </row>
    <row r="1151" spans="1:23" ht="16.5" hidden="1" outlineLevel="1">
      <c r="A1151" s="726">
        <v>5</v>
      </c>
      <c r="B1151" s="730" t="s">
        <v>1620</v>
      </c>
      <c r="C1151" s="727">
        <v>10</v>
      </c>
      <c r="D1151" s="690"/>
      <c r="E1151" s="720" t="s">
        <v>1557</v>
      </c>
      <c r="F1151" s="685">
        <v>1</v>
      </c>
      <c r="G1151" s="239">
        <v>1</v>
      </c>
      <c r="H1151" s="203">
        <v>2</v>
      </c>
      <c r="I1151" s="198">
        <f>C1151*10</f>
        <v>100</v>
      </c>
      <c r="J1151" s="171">
        <f>3530-50</f>
        <v>3480</v>
      </c>
      <c r="K1151" s="198">
        <v>100</v>
      </c>
      <c r="L1151" s="198"/>
      <c r="M1151" s="198"/>
      <c r="N1151" s="721">
        <f t="shared" ref="N1151:N1153" si="204">IF(E1151="L Shape",(I1151+J1151)-(C1151*2*1),IF(E1151="U Shape",(I1151+J1151+K1151)-(C1151*2*2),IF(E1151="Rectangle",(I1151+J1151+K1151+L1151)+(C1151*10*2)-(C1151*2*5),IF(E1151="Straight",J1151-(C1151*0),IF(E1151="Chair",(I1151+J1151+K1151+L1151+M1151)-(C1151*2*4),IF(E1151="U2 Shape",(I1151+J1151+K1151+L1151+M1151)-(C1151*2*4),IF(E1151="U3 Shape",(I1151+J1151+K1151+L1151)-(C1151*2*3),IF(E1151="Z Shape",(I1151+J1151+K1151)-(C1151*2*2),IF(E1151="Triangle",(I1151+J1151+K1151)+(C1151*10*2)-(C1151*2*4),IF(E1151="Trapezoid2",(I1151+I1151+J1151+K1151+K1151+L1151)+(C1151*10*2)-(C1151*2*7),IF(E1151="Trapezoid",(I1151+J1151+K1151+L1151)+(C1151*10*2)-(C1151*2*5),IF(E1151="Link",J1151+(C1151*10*2),IF(E1151="U5 Shape",(I1151+J1151+K1151+L1151)-(C1151*2*3),IF(E1151="DU2 Shape",(I1151+J1151+K1151+L1151)-(C1151*2*4),IF(E1151="SU Shape",(I1151+J1151+K1151)-(C1151*2*2),"-")))))))))))))))</f>
        <v>3640</v>
      </c>
      <c r="O1151" s="721">
        <f t="shared" ref="O1151:O1153" si="205">IF(N1151&lt;12001,C1151*49*0,IF(N1151&lt;24001,C1151*49*1,IF(N1151&lt;36001,C1151*49*2,IF(N1151&lt;48001,C1151*49*3,IF(N1151&lt;60001,C1151*49*4,IF(N1151&lt;72001,(C1151*49*5),IF(N1151&lt;84001,(C1151*49*6),IF(N1151&lt;96001,(C1151*49*7),IF(N1151&lt;108001,(C1151*49*8),IF(N1151&lt;120001,(C1151*49*9),IF(N1151&lt;132001,(C1151*49*10),IF(N1151&lt;144001,(C1151*49*11),""))))))))))))</f>
        <v>0</v>
      </c>
      <c r="P1151" s="722" t="str">
        <f t="shared" ref="P1151:P1153" si="206">IF(C1151=8,ROUND(((N1151+O1151)*F1151*G1151*H1151)/1000,3),"-")</f>
        <v>-</v>
      </c>
      <c r="Q1151" s="686">
        <f t="shared" ref="Q1151:Q1153" si="207">IF(C1151=10,ROUND(((N1151+O1151)*F1151*G1151*H1151)/1000,3),"-")</f>
        <v>7.28</v>
      </c>
      <c r="R1151" s="686" t="str">
        <f t="shared" ref="R1151:R1153" si="208">IF(C1151=12,ROUND(((N1151+O1151)*F1151*G1151*H1151)/1000,3),"-")</f>
        <v>-</v>
      </c>
      <c r="S1151" s="686" t="str">
        <f t="shared" ref="S1151:S1153" si="209">IF(C1151=16,ROUND(((N1151+O1151)*F1151*G1151*H1151)/1000,3),"-")</f>
        <v>-</v>
      </c>
      <c r="T1151" s="686" t="str">
        <f t="shared" ref="T1151:T1153" si="210">IF(C1151=20,ROUND(((N1151+O1151)*F1151*G1151*H1151)/1000,3),"-")</f>
        <v>-</v>
      </c>
      <c r="U1151" s="723" t="str">
        <f t="shared" ref="U1151:U1153" si="211">IF(C1151=25,ROUND(((N1151+O1151)*F1151*G1151*H1151)/1000,3),"-")</f>
        <v>-</v>
      </c>
      <c r="V1151" s="695" t="str">
        <f t="shared" ref="V1151:V1153" si="212">IF(C1151=32,ROUND(((N1151+O1151)*F1151*G1151*H1151)/1000,3),"-")</f>
        <v>-</v>
      </c>
      <c r="W1151" s="711"/>
    </row>
    <row r="1152" spans="1:23" ht="16.5" hidden="1" outlineLevel="1">
      <c r="A1152" s="726"/>
      <c r="B1152" s="726" t="s">
        <v>393</v>
      </c>
      <c r="C1152" s="727">
        <v>10</v>
      </c>
      <c r="D1152" s="690"/>
      <c r="E1152" s="720" t="s">
        <v>1557</v>
      </c>
      <c r="F1152" s="685">
        <v>1</v>
      </c>
      <c r="G1152" s="239">
        <v>1</v>
      </c>
      <c r="H1152" s="203">
        <v>2</v>
      </c>
      <c r="I1152" s="198">
        <f>C1152*10</f>
        <v>100</v>
      </c>
      <c r="J1152" s="171">
        <f>3530-50</f>
        <v>3480</v>
      </c>
      <c r="K1152" s="198">
        <v>100</v>
      </c>
      <c r="L1152" s="198"/>
      <c r="M1152" s="198"/>
      <c r="N1152" s="721">
        <f t="shared" si="204"/>
        <v>3640</v>
      </c>
      <c r="O1152" s="721">
        <f t="shared" si="205"/>
        <v>0</v>
      </c>
      <c r="P1152" s="722" t="str">
        <f t="shared" si="206"/>
        <v>-</v>
      </c>
      <c r="Q1152" s="686">
        <f t="shared" si="207"/>
        <v>7.28</v>
      </c>
      <c r="R1152" s="686" t="str">
        <f t="shared" si="208"/>
        <v>-</v>
      </c>
      <c r="S1152" s="686" t="str">
        <f t="shared" si="209"/>
        <v>-</v>
      </c>
      <c r="T1152" s="686" t="str">
        <f t="shared" si="210"/>
        <v>-</v>
      </c>
      <c r="U1152" s="723" t="str">
        <f t="shared" si="211"/>
        <v>-</v>
      </c>
      <c r="V1152" s="695" t="str">
        <f t="shared" si="212"/>
        <v>-</v>
      </c>
      <c r="W1152" s="711"/>
    </row>
    <row r="1153" spans="1:23" ht="16.5" hidden="1" outlineLevel="1">
      <c r="A1153" s="726"/>
      <c r="B1153" s="726" t="s">
        <v>394</v>
      </c>
      <c r="C1153" s="727">
        <v>8</v>
      </c>
      <c r="D1153" s="690"/>
      <c r="E1153" s="691" t="s">
        <v>1558</v>
      </c>
      <c r="F1153" s="685">
        <v>1</v>
      </c>
      <c r="G1153" s="239">
        <v>1</v>
      </c>
      <c r="H1153" s="203">
        <f>((J1151-230)/200)+1</f>
        <v>17.25</v>
      </c>
      <c r="I1153" s="198">
        <v>180</v>
      </c>
      <c r="J1153" s="198">
        <v>150</v>
      </c>
      <c r="K1153" s="198">
        <v>180</v>
      </c>
      <c r="L1153" s="198">
        <v>150</v>
      </c>
      <c r="M1153" s="198"/>
      <c r="N1153" s="721">
        <f t="shared" si="204"/>
        <v>740</v>
      </c>
      <c r="O1153" s="721">
        <f t="shared" si="205"/>
        <v>0</v>
      </c>
      <c r="P1153" s="722">
        <f t="shared" si="206"/>
        <v>12.765000000000001</v>
      </c>
      <c r="Q1153" s="686" t="str">
        <f t="shared" si="207"/>
        <v>-</v>
      </c>
      <c r="R1153" s="686" t="str">
        <f t="shared" si="208"/>
        <v>-</v>
      </c>
      <c r="S1153" s="686" t="str">
        <f t="shared" si="209"/>
        <v>-</v>
      </c>
      <c r="T1153" s="686" t="str">
        <f t="shared" si="210"/>
        <v>-</v>
      </c>
      <c r="U1153" s="723" t="str">
        <f t="shared" si="211"/>
        <v>-</v>
      </c>
      <c r="V1153" s="695" t="str">
        <f t="shared" si="212"/>
        <v>-</v>
      </c>
      <c r="W1153" s="711"/>
    </row>
    <row r="1154" spans="1:23" ht="16.5" hidden="1" outlineLevel="1">
      <c r="A1154" s="195"/>
      <c r="B1154" s="172"/>
      <c r="C1154" s="196"/>
      <c r="D1154" s="685"/>
      <c r="E1154" s="196"/>
      <c r="F1154" s="685"/>
      <c r="G1154" s="204"/>
      <c r="H1154" s="203"/>
      <c r="I1154" s="198"/>
      <c r="J1154" s="198"/>
      <c r="K1154" s="198"/>
      <c r="L1154" s="198"/>
      <c r="M1154" s="198"/>
      <c r="N1154" s="198"/>
      <c r="O1154" s="198"/>
      <c r="P1154" s="199"/>
      <c r="Q1154" s="200"/>
      <c r="R1154" s="200"/>
      <c r="S1154" s="200"/>
      <c r="T1154" s="200"/>
      <c r="U1154" s="688"/>
      <c r="V1154" s="200"/>
      <c r="W1154" s="711"/>
    </row>
    <row r="1155" spans="1:23" ht="16.5" hidden="1" outlineLevel="1">
      <c r="A1155" s="726">
        <v>5.0999999999999996</v>
      </c>
      <c r="B1155" s="730" t="s">
        <v>1620</v>
      </c>
      <c r="C1155" s="727">
        <v>10</v>
      </c>
      <c r="D1155" s="690"/>
      <c r="E1155" s="720" t="s">
        <v>1557</v>
      </c>
      <c r="F1155" s="685">
        <v>1</v>
      </c>
      <c r="G1155" s="239">
        <v>1</v>
      </c>
      <c r="H1155" s="203">
        <v>2</v>
      </c>
      <c r="I1155" s="198">
        <f>C1155*10</f>
        <v>100</v>
      </c>
      <c r="J1155" s="171">
        <f>3790-50</f>
        <v>3740</v>
      </c>
      <c r="K1155" s="198">
        <v>100</v>
      </c>
      <c r="L1155" s="198"/>
      <c r="M1155" s="198"/>
      <c r="N1155" s="721">
        <f t="shared" ref="N1155:N1157" si="213">IF(E1155="L Shape",(I1155+J1155)-(C1155*2*1),IF(E1155="U Shape",(I1155+J1155+K1155)-(C1155*2*2),IF(E1155="Rectangle",(I1155+J1155+K1155+L1155)+(C1155*10*2)-(C1155*2*5),IF(E1155="Straight",J1155-(C1155*0),IF(E1155="Chair",(I1155+J1155+K1155+L1155+M1155)-(C1155*2*4),IF(E1155="U2 Shape",(I1155+J1155+K1155+L1155+M1155)-(C1155*2*4),IF(E1155="U3 Shape",(I1155+J1155+K1155+L1155)-(C1155*2*3),IF(E1155="Z Shape",(I1155+J1155+K1155)-(C1155*2*2),IF(E1155="Triangle",(I1155+J1155+K1155)+(C1155*10*2)-(C1155*2*4),IF(E1155="Trapezoid2",(I1155+I1155+J1155+K1155+K1155+L1155)+(C1155*10*2)-(C1155*2*7),IF(E1155="Trapezoid",(I1155+J1155+K1155+L1155)+(C1155*10*2)-(C1155*2*5),IF(E1155="Link",J1155+(C1155*10*2),IF(E1155="U5 Shape",(I1155+J1155+K1155+L1155)-(C1155*2*3),IF(E1155="DU2 Shape",(I1155+J1155+K1155+L1155)-(C1155*2*4),IF(E1155="SU Shape",(I1155+J1155+K1155)-(C1155*2*2),"-")))))))))))))))</f>
        <v>3900</v>
      </c>
      <c r="O1155" s="721">
        <f t="shared" ref="O1155:O1157" si="214">IF(N1155&lt;12001,C1155*49*0,IF(N1155&lt;24001,C1155*49*1,IF(N1155&lt;36001,C1155*49*2,IF(N1155&lt;48001,C1155*49*3,IF(N1155&lt;60001,C1155*49*4,IF(N1155&lt;72001,(C1155*49*5),IF(N1155&lt;84001,(C1155*49*6),IF(N1155&lt;96001,(C1155*49*7),IF(N1155&lt;108001,(C1155*49*8),IF(N1155&lt;120001,(C1155*49*9),IF(N1155&lt;132001,(C1155*49*10),IF(N1155&lt;144001,(C1155*49*11),""))))))))))))</f>
        <v>0</v>
      </c>
      <c r="P1155" s="722" t="str">
        <f t="shared" ref="P1155:P1157" si="215">IF(C1155=8,ROUND(((N1155+O1155)*F1155*G1155*H1155)/1000,3),"-")</f>
        <v>-</v>
      </c>
      <c r="Q1155" s="686">
        <f t="shared" ref="Q1155:Q1157" si="216">IF(C1155=10,ROUND(((N1155+O1155)*F1155*G1155*H1155)/1000,3),"-")</f>
        <v>7.8</v>
      </c>
      <c r="R1155" s="686" t="str">
        <f t="shared" ref="R1155:R1157" si="217">IF(C1155=12,ROUND(((N1155+O1155)*F1155*G1155*H1155)/1000,3),"-")</f>
        <v>-</v>
      </c>
      <c r="S1155" s="686" t="str">
        <f t="shared" ref="S1155:S1157" si="218">IF(C1155=16,ROUND(((N1155+O1155)*F1155*G1155*H1155)/1000,3),"-")</f>
        <v>-</v>
      </c>
      <c r="T1155" s="686" t="str">
        <f t="shared" ref="T1155:T1157" si="219">IF(C1155=20,ROUND(((N1155+O1155)*F1155*G1155*H1155)/1000,3),"-")</f>
        <v>-</v>
      </c>
      <c r="U1155" s="723" t="str">
        <f t="shared" ref="U1155:U1157" si="220">IF(C1155=25,ROUND(((N1155+O1155)*F1155*G1155*H1155)/1000,3),"-")</f>
        <v>-</v>
      </c>
      <c r="V1155" s="695" t="str">
        <f t="shared" ref="V1155:V1157" si="221">IF(C1155=32,ROUND(((N1155+O1155)*F1155*G1155*H1155)/1000,3),"-")</f>
        <v>-</v>
      </c>
      <c r="W1155" s="711"/>
    </row>
    <row r="1156" spans="1:23" ht="16.5" hidden="1" outlineLevel="1">
      <c r="A1156" s="726"/>
      <c r="B1156" s="726" t="s">
        <v>393</v>
      </c>
      <c r="C1156" s="727">
        <v>10</v>
      </c>
      <c r="D1156" s="690"/>
      <c r="E1156" s="720" t="s">
        <v>1557</v>
      </c>
      <c r="F1156" s="685">
        <v>1</v>
      </c>
      <c r="G1156" s="239">
        <v>1</v>
      </c>
      <c r="H1156" s="203">
        <v>2</v>
      </c>
      <c r="I1156" s="198">
        <f>C1156*10</f>
        <v>100</v>
      </c>
      <c r="J1156" s="171">
        <f>3790-50</f>
        <v>3740</v>
      </c>
      <c r="K1156" s="198">
        <v>100</v>
      </c>
      <c r="L1156" s="198"/>
      <c r="M1156" s="198"/>
      <c r="N1156" s="721">
        <f t="shared" si="213"/>
        <v>3900</v>
      </c>
      <c r="O1156" s="721">
        <f t="shared" si="214"/>
        <v>0</v>
      </c>
      <c r="P1156" s="722" t="str">
        <f t="shared" si="215"/>
        <v>-</v>
      </c>
      <c r="Q1156" s="686">
        <f t="shared" si="216"/>
        <v>7.8</v>
      </c>
      <c r="R1156" s="686" t="str">
        <f t="shared" si="217"/>
        <v>-</v>
      </c>
      <c r="S1156" s="686" t="str">
        <f t="shared" si="218"/>
        <v>-</v>
      </c>
      <c r="T1156" s="686" t="str">
        <f t="shared" si="219"/>
        <v>-</v>
      </c>
      <c r="U1156" s="723" t="str">
        <f t="shared" si="220"/>
        <v>-</v>
      </c>
      <c r="V1156" s="695" t="str">
        <f t="shared" si="221"/>
        <v>-</v>
      </c>
      <c r="W1156" s="711"/>
    </row>
    <row r="1157" spans="1:23" ht="16.5" hidden="1" outlineLevel="1">
      <c r="A1157" s="726"/>
      <c r="B1157" s="726" t="s">
        <v>394</v>
      </c>
      <c r="C1157" s="727">
        <v>8</v>
      </c>
      <c r="D1157" s="690"/>
      <c r="E1157" s="691" t="s">
        <v>1558</v>
      </c>
      <c r="F1157" s="685">
        <v>1</v>
      </c>
      <c r="G1157" s="239">
        <v>1</v>
      </c>
      <c r="H1157" s="203">
        <f>((J1155-230)/200)+1</f>
        <v>18.55</v>
      </c>
      <c r="I1157" s="198">
        <v>180</v>
      </c>
      <c r="J1157" s="198">
        <v>150</v>
      </c>
      <c r="K1157" s="198">
        <v>180</v>
      </c>
      <c r="L1157" s="198">
        <v>150</v>
      </c>
      <c r="M1157" s="198"/>
      <c r="N1157" s="721">
        <f t="shared" si="213"/>
        <v>740</v>
      </c>
      <c r="O1157" s="721">
        <f t="shared" si="214"/>
        <v>0</v>
      </c>
      <c r="P1157" s="722">
        <f t="shared" si="215"/>
        <v>13.727</v>
      </c>
      <c r="Q1157" s="686" t="str">
        <f t="shared" si="216"/>
        <v>-</v>
      </c>
      <c r="R1157" s="686" t="str">
        <f t="shared" si="217"/>
        <v>-</v>
      </c>
      <c r="S1157" s="686" t="str">
        <f t="shared" si="218"/>
        <v>-</v>
      </c>
      <c r="T1157" s="686" t="str">
        <f t="shared" si="219"/>
        <v>-</v>
      </c>
      <c r="U1157" s="723" t="str">
        <f t="shared" si="220"/>
        <v>-</v>
      </c>
      <c r="V1157" s="695" t="str">
        <f t="shared" si="221"/>
        <v>-</v>
      </c>
      <c r="W1157" s="711"/>
    </row>
    <row r="1158" spans="1:23" ht="16.5" hidden="1" outlineLevel="1">
      <c r="A1158" s="195"/>
      <c r="B1158" s="748" t="s">
        <v>815</v>
      </c>
      <c r="C1158" s="196"/>
      <c r="D1158" s="685"/>
      <c r="E1158" s="196"/>
      <c r="F1158" s="685"/>
      <c r="G1158" s="204"/>
      <c r="H1158" s="203"/>
      <c r="I1158" s="198"/>
      <c r="J1158" s="198"/>
      <c r="K1158" s="198"/>
      <c r="L1158" s="198"/>
      <c r="M1158" s="198"/>
      <c r="N1158" s="198"/>
      <c r="O1158" s="198"/>
      <c r="P1158" s="199"/>
      <c r="Q1158" s="200"/>
      <c r="R1158" s="200"/>
      <c r="S1158" s="200"/>
      <c r="T1158" s="200"/>
      <c r="U1158" s="688"/>
      <c r="V1158" s="200"/>
      <c r="W1158" s="711"/>
    </row>
    <row r="1159" spans="1:23" ht="16.5" hidden="1" outlineLevel="1">
      <c r="A1159" s="726">
        <v>6</v>
      </c>
      <c r="B1159" s="730" t="s">
        <v>1620</v>
      </c>
      <c r="C1159" s="727">
        <v>10</v>
      </c>
      <c r="D1159" s="690"/>
      <c r="E1159" s="720" t="s">
        <v>1557</v>
      </c>
      <c r="F1159" s="685">
        <v>1</v>
      </c>
      <c r="G1159" s="239">
        <v>1</v>
      </c>
      <c r="H1159" s="203">
        <v>2</v>
      </c>
      <c r="I1159" s="198">
        <f>C1159*10</f>
        <v>100</v>
      </c>
      <c r="J1159" s="171">
        <f>670+230+230-50</f>
        <v>1080</v>
      </c>
      <c r="K1159" s="198">
        <v>100</v>
      </c>
      <c r="L1159" s="198"/>
      <c r="M1159" s="198"/>
      <c r="N1159" s="721">
        <f t="shared" ref="N1159:N1161" si="222">IF(E1159="L Shape",(I1159+J1159)-(C1159*2*1),IF(E1159="U Shape",(I1159+J1159+K1159)-(C1159*2*2),IF(E1159="Rectangle",(I1159+J1159+K1159+L1159)+(C1159*10*2)-(C1159*2*5),IF(E1159="Straight",J1159-(C1159*0),IF(E1159="Chair",(I1159+J1159+K1159+L1159+M1159)-(C1159*2*4),IF(E1159="U2 Shape",(I1159+J1159+K1159+L1159+M1159)-(C1159*2*4),IF(E1159="U3 Shape",(I1159+J1159+K1159+L1159)-(C1159*2*3),IF(E1159="Z Shape",(I1159+J1159+K1159)-(C1159*2*2),IF(E1159="Triangle",(I1159+J1159+K1159)+(C1159*10*2)-(C1159*2*4),IF(E1159="Trapezoid2",(I1159+I1159+J1159+K1159+K1159+L1159)+(C1159*10*2)-(C1159*2*7),IF(E1159="Trapezoid",(I1159+J1159+K1159+L1159)+(C1159*10*2)-(C1159*2*5),IF(E1159="Link",J1159+(C1159*10*2),IF(E1159="U5 Shape",(I1159+J1159+K1159+L1159)-(C1159*2*3),IF(E1159="DU2 Shape",(I1159+J1159+K1159+L1159)-(C1159*2*4),IF(E1159="SU Shape",(I1159+J1159+K1159)-(C1159*2*2),"-")))))))))))))))</f>
        <v>1240</v>
      </c>
      <c r="O1159" s="721">
        <f t="shared" ref="O1159:O1161" si="223">IF(N1159&lt;12001,C1159*49*0,IF(N1159&lt;24001,C1159*49*1,IF(N1159&lt;36001,C1159*49*2,IF(N1159&lt;48001,C1159*49*3,IF(N1159&lt;60001,C1159*49*4,IF(N1159&lt;72001,(C1159*49*5),IF(N1159&lt;84001,(C1159*49*6),IF(N1159&lt;96001,(C1159*49*7),IF(N1159&lt;108001,(C1159*49*8),IF(N1159&lt;120001,(C1159*49*9),IF(N1159&lt;132001,(C1159*49*10),IF(N1159&lt;144001,(C1159*49*11),""))))))))))))</f>
        <v>0</v>
      </c>
      <c r="P1159" s="722" t="str">
        <f t="shared" ref="P1159:P1161" si="224">IF(C1159=8,ROUND(((N1159+O1159)*F1159*G1159*H1159)/1000,3),"-")</f>
        <v>-</v>
      </c>
      <c r="Q1159" s="686">
        <f t="shared" ref="Q1159:Q1161" si="225">IF(C1159=10,ROUND(((N1159+O1159)*F1159*G1159*H1159)/1000,3),"-")</f>
        <v>2.48</v>
      </c>
      <c r="R1159" s="686" t="str">
        <f t="shared" ref="R1159:R1161" si="226">IF(C1159=12,ROUND(((N1159+O1159)*F1159*G1159*H1159)/1000,3),"-")</f>
        <v>-</v>
      </c>
      <c r="S1159" s="686" t="str">
        <f t="shared" ref="S1159:S1161" si="227">IF(C1159=16,ROUND(((N1159+O1159)*F1159*G1159*H1159)/1000,3),"-")</f>
        <v>-</v>
      </c>
      <c r="T1159" s="686" t="str">
        <f t="shared" ref="T1159:T1161" si="228">IF(C1159=20,ROUND(((N1159+O1159)*F1159*G1159*H1159)/1000,3),"-")</f>
        <v>-</v>
      </c>
      <c r="U1159" s="723" t="str">
        <f t="shared" ref="U1159:U1161" si="229">IF(C1159=25,ROUND(((N1159+O1159)*F1159*G1159*H1159)/1000,3),"-")</f>
        <v>-</v>
      </c>
      <c r="V1159" s="695" t="str">
        <f t="shared" ref="V1159:V1161" si="230">IF(C1159=32,ROUND(((N1159+O1159)*F1159*G1159*H1159)/1000,3),"-")</f>
        <v>-</v>
      </c>
      <c r="W1159" s="711"/>
    </row>
    <row r="1160" spans="1:23" ht="16.5" hidden="1" outlineLevel="1">
      <c r="A1160" s="726"/>
      <c r="B1160" s="726" t="s">
        <v>393</v>
      </c>
      <c r="C1160" s="727">
        <v>10</v>
      </c>
      <c r="D1160" s="690"/>
      <c r="E1160" s="720" t="s">
        <v>1557</v>
      </c>
      <c r="F1160" s="685">
        <v>1</v>
      </c>
      <c r="G1160" s="239">
        <v>1</v>
      </c>
      <c r="H1160" s="203">
        <v>2</v>
      </c>
      <c r="I1160" s="198">
        <f>C1160*10</f>
        <v>100</v>
      </c>
      <c r="J1160" s="171">
        <f>670+230+230-50</f>
        <v>1080</v>
      </c>
      <c r="K1160" s="198">
        <v>100</v>
      </c>
      <c r="L1160" s="198"/>
      <c r="M1160" s="198"/>
      <c r="N1160" s="721">
        <f t="shared" si="222"/>
        <v>1240</v>
      </c>
      <c r="O1160" s="721">
        <f t="shared" si="223"/>
        <v>0</v>
      </c>
      <c r="P1160" s="722" t="str">
        <f t="shared" si="224"/>
        <v>-</v>
      </c>
      <c r="Q1160" s="686">
        <f t="shared" si="225"/>
        <v>2.48</v>
      </c>
      <c r="R1160" s="686" t="str">
        <f t="shared" si="226"/>
        <v>-</v>
      </c>
      <c r="S1160" s="686" t="str">
        <f t="shared" si="227"/>
        <v>-</v>
      </c>
      <c r="T1160" s="686" t="str">
        <f t="shared" si="228"/>
        <v>-</v>
      </c>
      <c r="U1160" s="723" t="str">
        <f t="shared" si="229"/>
        <v>-</v>
      </c>
      <c r="V1160" s="695" t="str">
        <f t="shared" si="230"/>
        <v>-</v>
      </c>
      <c r="W1160" s="711"/>
    </row>
    <row r="1161" spans="1:23" ht="16.5" hidden="1" outlineLevel="1">
      <c r="A1161" s="726"/>
      <c r="B1161" s="726" t="s">
        <v>394</v>
      </c>
      <c r="C1161" s="727">
        <v>8</v>
      </c>
      <c r="D1161" s="690"/>
      <c r="E1161" s="691" t="s">
        <v>1558</v>
      </c>
      <c r="F1161" s="685">
        <v>1</v>
      </c>
      <c r="G1161" s="239">
        <v>1</v>
      </c>
      <c r="H1161" s="203">
        <f>((J1159-230)/200)+1</f>
        <v>5.25</v>
      </c>
      <c r="I1161" s="198">
        <v>180</v>
      </c>
      <c r="J1161" s="198">
        <v>150</v>
      </c>
      <c r="K1161" s="198">
        <v>180</v>
      </c>
      <c r="L1161" s="198">
        <v>150</v>
      </c>
      <c r="M1161" s="198"/>
      <c r="N1161" s="721">
        <f t="shared" si="222"/>
        <v>740</v>
      </c>
      <c r="O1161" s="721">
        <f t="shared" si="223"/>
        <v>0</v>
      </c>
      <c r="P1161" s="722">
        <f t="shared" si="224"/>
        <v>3.8849999999999998</v>
      </c>
      <c r="Q1161" s="686" t="str">
        <f t="shared" si="225"/>
        <v>-</v>
      </c>
      <c r="R1161" s="686" t="str">
        <f t="shared" si="226"/>
        <v>-</v>
      </c>
      <c r="S1161" s="686" t="str">
        <f t="shared" si="227"/>
        <v>-</v>
      </c>
      <c r="T1161" s="686" t="str">
        <f t="shared" si="228"/>
        <v>-</v>
      </c>
      <c r="U1161" s="723" t="str">
        <f t="shared" si="229"/>
        <v>-</v>
      </c>
      <c r="V1161" s="695" t="str">
        <f t="shared" si="230"/>
        <v>-</v>
      </c>
      <c r="W1161" s="711"/>
    </row>
    <row r="1162" spans="1:23" ht="16.5" hidden="1" outlineLevel="1">
      <c r="A1162" s="195"/>
      <c r="B1162" s="172"/>
      <c r="C1162" s="196"/>
      <c r="D1162" s="685"/>
      <c r="E1162" s="196"/>
      <c r="F1162" s="685"/>
      <c r="G1162" s="204"/>
      <c r="H1162" s="203"/>
      <c r="I1162" s="198"/>
      <c r="J1162" s="198"/>
      <c r="K1162" s="198"/>
      <c r="L1162" s="198"/>
      <c r="M1162" s="198"/>
      <c r="N1162" s="198"/>
      <c r="O1162" s="198"/>
      <c r="P1162" s="199"/>
      <c r="Q1162" s="200"/>
      <c r="R1162" s="200"/>
      <c r="S1162" s="200"/>
      <c r="T1162" s="200"/>
      <c r="U1162" s="688"/>
      <c r="V1162" s="200"/>
      <c r="W1162" s="711"/>
    </row>
    <row r="1163" spans="1:23" ht="16.5" hidden="1" outlineLevel="1">
      <c r="A1163" s="712" t="s">
        <v>33</v>
      </c>
      <c r="B1163" s="749" t="s">
        <v>1621</v>
      </c>
      <c r="C1163" s="196"/>
      <c r="D1163" s="685"/>
      <c r="E1163" s="196"/>
      <c r="F1163" s="685"/>
      <c r="G1163" s="204"/>
      <c r="H1163" s="203"/>
      <c r="I1163" s="198"/>
      <c r="J1163" s="198"/>
      <c r="K1163" s="198"/>
      <c r="L1163" s="198"/>
      <c r="M1163" s="198"/>
      <c r="N1163" s="198"/>
      <c r="O1163" s="198"/>
      <c r="P1163" s="199"/>
      <c r="Q1163" s="200"/>
      <c r="R1163" s="200"/>
      <c r="S1163" s="200"/>
      <c r="T1163" s="200"/>
      <c r="U1163" s="688"/>
      <c r="V1163" s="200"/>
      <c r="W1163" s="711"/>
    </row>
    <row r="1164" spans="1:23" ht="16.5" hidden="1" outlineLevel="1">
      <c r="A1164" s="726">
        <v>1</v>
      </c>
      <c r="B1164" s="730" t="s">
        <v>1622</v>
      </c>
      <c r="C1164" s="727">
        <v>10</v>
      </c>
      <c r="D1164" s="690"/>
      <c r="E1164" s="720" t="s">
        <v>1557</v>
      </c>
      <c r="F1164" s="685">
        <v>1</v>
      </c>
      <c r="G1164" s="239">
        <v>1</v>
      </c>
      <c r="H1164" s="203">
        <v>2</v>
      </c>
      <c r="I1164" s="198">
        <f>C1164*10</f>
        <v>100</v>
      </c>
      <c r="J1164" s="171">
        <f>7625-50</f>
        <v>7575</v>
      </c>
      <c r="K1164" s="198">
        <v>100</v>
      </c>
      <c r="L1164" s="198"/>
      <c r="M1164" s="198"/>
      <c r="N1164" s="721">
        <f t="shared" ref="N1164:N1166" si="231">IF(E1164="L Shape",(I1164+J1164)-(C1164*2*1),IF(E1164="U Shape",(I1164+J1164+K1164)-(C1164*2*2),IF(E1164="Rectangle",(I1164+J1164+K1164+L1164)+(C1164*10*2)-(C1164*2*5),IF(E1164="Straight",J1164-(C1164*0),IF(E1164="Chair",(I1164+J1164+K1164+L1164+M1164)-(C1164*2*4),IF(E1164="U2 Shape",(I1164+J1164+K1164+L1164+M1164)-(C1164*2*4),IF(E1164="U3 Shape",(I1164+J1164+K1164+L1164)-(C1164*2*3),IF(E1164="Z Shape",(I1164+J1164+K1164)-(C1164*2*2),IF(E1164="Triangle",(I1164+J1164+K1164)+(C1164*10*2)-(C1164*2*4),IF(E1164="Trapezoid2",(I1164+I1164+J1164+K1164+K1164+L1164)+(C1164*10*2)-(C1164*2*7),IF(E1164="Trapezoid",(I1164+J1164+K1164+L1164)+(C1164*10*2)-(C1164*2*5),IF(E1164="Link",J1164+(C1164*10*2),IF(E1164="U5 Shape",(I1164+J1164+K1164+L1164)-(C1164*2*3),IF(E1164="DU2 Shape",(I1164+J1164+K1164+L1164)-(C1164*2*4),IF(E1164="SU Shape",(I1164+J1164+K1164)-(C1164*2*2),"-")))))))))))))))</f>
        <v>7735</v>
      </c>
      <c r="O1164" s="721">
        <f t="shared" ref="O1164:O1166" si="232">IF(N1164&lt;12001,C1164*49*0,IF(N1164&lt;24001,C1164*49*1,IF(N1164&lt;36001,C1164*49*2,IF(N1164&lt;48001,C1164*49*3,IF(N1164&lt;60001,C1164*49*4,IF(N1164&lt;72001,(C1164*49*5),IF(N1164&lt;84001,(C1164*49*6),IF(N1164&lt;96001,(C1164*49*7),IF(N1164&lt;108001,(C1164*49*8),IF(N1164&lt;120001,(C1164*49*9),IF(N1164&lt;132001,(C1164*49*10),IF(N1164&lt;144001,(C1164*49*11),""))))))))))))</f>
        <v>0</v>
      </c>
      <c r="P1164" s="722" t="str">
        <f t="shared" ref="P1164:P1166" si="233">IF(C1164=8,ROUND(((N1164+O1164)*F1164*G1164*H1164)/1000,3),"-")</f>
        <v>-</v>
      </c>
      <c r="Q1164" s="686">
        <f t="shared" ref="Q1164:Q1166" si="234">IF(C1164=10,ROUND(((N1164+O1164)*F1164*G1164*H1164)/1000,3),"-")</f>
        <v>15.47</v>
      </c>
      <c r="R1164" s="686" t="str">
        <f t="shared" ref="R1164:R1166" si="235">IF(C1164=12,ROUND(((N1164+O1164)*F1164*G1164*H1164)/1000,3),"-")</f>
        <v>-</v>
      </c>
      <c r="S1164" s="686" t="str">
        <f t="shared" ref="S1164:S1166" si="236">IF(C1164=16,ROUND(((N1164+O1164)*F1164*G1164*H1164)/1000,3),"-")</f>
        <v>-</v>
      </c>
      <c r="T1164" s="686" t="str">
        <f t="shared" ref="T1164:T1166" si="237">IF(C1164=20,ROUND(((N1164+O1164)*F1164*G1164*H1164)/1000,3),"-")</f>
        <v>-</v>
      </c>
      <c r="U1164" s="723" t="str">
        <f t="shared" ref="U1164:U1166" si="238">IF(C1164=25,ROUND(((N1164+O1164)*F1164*G1164*H1164)/1000,3),"-")</f>
        <v>-</v>
      </c>
      <c r="V1164" s="695" t="str">
        <f t="shared" ref="V1164:V1166" si="239">IF(C1164=32,ROUND(((N1164+O1164)*F1164*G1164*H1164)/1000,3),"-")</f>
        <v>-</v>
      </c>
      <c r="W1164" s="711"/>
    </row>
    <row r="1165" spans="1:23" ht="16.5" hidden="1" outlineLevel="1">
      <c r="A1165" s="726"/>
      <c r="B1165" s="726" t="s">
        <v>393</v>
      </c>
      <c r="C1165" s="727">
        <v>10</v>
      </c>
      <c r="D1165" s="690"/>
      <c r="E1165" s="720" t="s">
        <v>1557</v>
      </c>
      <c r="F1165" s="685">
        <v>1</v>
      </c>
      <c r="G1165" s="239">
        <v>1</v>
      </c>
      <c r="H1165" s="203">
        <v>2</v>
      </c>
      <c r="I1165" s="198">
        <f>C1165*10</f>
        <v>100</v>
      </c>
      <c r="J1165" s="171">
        <f>7625-50</f>
        <v>7575</v>
      </c>
      <c r="K1165" s="198">
        <v>100</v>
      </c>
      <c r="L1165" s="198"/>
      <c r="M1165" s="198"/>
      <c r="N1165" s="721">
        <f t="shared" si="231"/>
        <v>7735</v>
      </c>
      <c r="O1165" s="721">
        <f t="shared" si="232"/>
        <v>0</v>
      </c>
      <c r="P1165" s="722" t="str">
        <f t="shared" si="233"/>
        <v>-</v>
      </c>
      <c r="Q1165" s="686">
        <f t="shared" si="234"/>
        <v>15.47</v>
      </c>
      <c r="R1165" s="686" t="str">
        <f t="shared" si="235"/>
        <v>-</v>
      </c>
      <c r="S1165" s="686" t="str">
        <f t="shared" si="236"/>
        <v>-</v>
      </c>
      <c r="T1165" s="686" t="str">
        <f t="shared" si="237"/>
        <v>-</v>
      </c>
      <c r="U1165" s="723" t="str">
        <f t="shared" si="238"/>
        <v>-</v>
      </c>
      <c r="V1165" s="695" t="str">
        <f t="shared" si="239"/>
        <v>-</v>
      </c>
      <c r="W1165" s="711"/>
    </row>
    <row r="1166" spans="1:23" ht="16.5" hidden="1" outlineLevel="1">
      <c r="A1166" s="726"/>
      <c r="B1166" s="726" t="s">
        <v>394</v>
      </c>
      <c r="C1166" s="727">
        <v>8</v>
      </c>
      <c r="D1166" s="690"/>
      <c r="E1166" s="691" t="s">
        <v>1558</v>
      </c>
      <c r="F1166" s="685">
        <v>1</v>
      </c>
      <c r="G1166" s="239">
        <v>1</v>
      </c>
      <c r="H1166" s="203">
        <f>((J1164)/200)+1</f>
        <v>38.875</v>
      </c>
      <c r="I1166" s="198">
        <v>180</v>
      </c>
      <c r="J1166" s="198">
        <v>150</v>
      </c>
      <c r="K1166" s="198">
        <v>180</v>
      </c>
      <c r="L1166" s="198">
        <v>150</v>
      </c>
      <c r="M1166" s="198"/>
      <c r="N1166" s="721">
        <f t="shared" si="231"/>
        <v>740</v>
      </c>
      <c r="O1166" s="721">
        <f t="shared" si="232"/>
        <v>0</v>
      </c>
      <c r="P1166" s="722">
        <f t="shared" si="233"/>
        <v>28.768000000000001</v>
      </c>
      <c r="Q1166" s="686" t="str">
        <f t="shared" si="234"/>
        <v>-</v>
      </c>
      <c r="R1166" s="686" t="str">
        <f t="shared" si="235"/>
        <v>-</v>
      </c>
      <c r="S1166" s="686" t="str">
        <f t="shared" si="236"/>
        <v>-</v>
      </c>
      <c r="T1166" s="686" t="str">
        <f t="shared" si="237"/>
        <v>-</v>
      </c>
      <c r="U1166" s="723" t="str">
        <f t="shared" si="238"/>
        <v>-</v>
      </c>
      <c r="V1166" s="695" t="str">
        <f t="shared" si="239"/>
        <v>-</v>
      </c>
      <c r="W1166" s="711"/>
    </row>
    <row r="1167" spans="1:23" ht="16.5" hidden="1" outlineLevel="1">
      <c r="A1167" s="195"/>
      <c r="B1167" s="172"/>
      <c r="C1167" s="196"/>
      <c r="D1167" s="685"/>
      <c r="E1167" s="196"/>
      <c r="F1167" s="685"/>
      <c r="G1167" s="204"/>
      <c r="H1167" s="203"/>
      <c r="I1167" s="198"/>
      <c r="J1167" s="198"/>
      <c r="K1167" s="198"/>
      <c r="L1167" s="198"/>
      <c r="M1167" s="198"/>
      <c r="N1167" s="198"/>
      <c r="O1167" s="198"/>
      <c r="P1167" s="199"/>
      <c r="Q1167" s="200"/>
      <c r="R1167" s="200"/>
      <c r="S1167" s="200"/>
      <c r="T1167" s="200"/>
      <c r="U1167" s="688"/>
      <c r="V1167" s="200"/>
      <c r="W1167" s="711"/>
    </row>
    <row r="1168" spans="1:23" ht="16.5" hidden="1" outlineLevel="1">
      <c r="A1168" s="726">
        <v>2</v>
      </c>
      <c r="B1168" s="730" t="s">
        <v>1622</v>
      </c>
      <c r="C1168" s="727">
        <v>10</v>
      </c>
      <c r="D1168" s="690"/>
      <c r="E1168" s="720" t="s">
        <v>1557</v>
      </c>
      <c r="F1168" s="685">
        <v>1</v>
      </c>
      <c r="G1168" s="239">
        <v>1</v>
      </c>
      <c r="H1168" s="203">
        <v>2</v>
      </c>
      <c r="I1168" s="198">
        <f>C1168*10</f>
        <v>100</v>
      </c>
      <c r="J1168" s="171">
        <f>1100-50</f>
        <v>1050</v>
      </c>
      <c r="K1168" s="198">
        <v>100</v>
      </c>
      <c r="L1168" s="198"/>
      <c r="M1168" s="198"/>
      <c r="N1168" s="721">
        <f t="shared" ref="N1168:N1170" si="240">IF(E1168="L Shape",(I1168+J1168)-(C1168*2*1),IF(E1168="U Shape",(I1168+J1168+K1168)-(C1168*2*2),IF(E1168="Rectangle",(I1168+J1168+K1168+L1168)+(C1168*10*2)-(C1168*2*5),IF(E1168="Straight",J1168-(C1168*0),IF(E1168="Chair",(I1168+J1168+K1168+L1168+M1168)-(C1168*2*4),IF(E1168="U2 Shape",(I1168+J1168+K1168+L1168+M1168)-(C1168*2*4),IF(E1168="U3 Shape",(I1168+J1168+K1168+L1168)-(C1168*2*3),IF(E1168="Z Shape",(I1168+J1168+K1168)-(C1168*2*2),IF(E1168="Triangle",(I1168+J1168+K1168)+(C1168*10*2)-(C1168*2*4),IF(E1168="Trapezoid2",(I1168+I1168+J1168+K1168+K1168+L1168)+(C1168*10*2)-(C1168*2*7),IF(E1168="Trapezoid",(I1168+J1168+K1168+L1168)+(C1168*10*2)-(C1168*2*5),IF(E1168="Link",J1168+(C1168*10*2),IF(E1168="U5 Shape",(I1168+J1168+K1168+L1168)-(C1168*2*3),IF(E1168="DU2 Shape",(I1168+J1168+K1168+L1168)-(C1168*2*4),IF(E1168="SU Shape",(I1168+J1168+K1168)-(C1168*2*2),"-")))))))))))))))</f>
        <v>1210</v>
      </c>
      <c r="O1168" s="721">
        <f t="shared" ref="O1168:O1170" si="241">IF(N1168&lt;12001,C1168*49*0,IF(N1168&lt;24001,C1168*49*1,IF(N1168&lt;36001,C1168*49*2,IF(N1168&lt;48001,C1168*49*3,IF(N1168&lt;60001,C1168*49*4,IF(N1168&lt;72001,(C1168*49*5),IF(N1168&lt;84001,(C1168*49*6),IF(N1168&lt;96001,(C1168*49*7),IF(N1168&lt;108001,(C1168*49*8),IF(N1168&lt;120001,(C1168*49*9),IF(N1168&lt;132001,(C1168*49*10),IF(N1168&lt;144001,(C1168*49*11),""))))))))))))</f>
        <v>0</v>
      </c>
      <c r="P1168" s="722" t="str">
        <f t="shared" ref="P1168:P1170" si="242">IF(C1168=8,ROUND(((N1168+O1168)*F1168*G1168*H1168)/1000,3),"-")</f>
        <v>-</v>
      </c>
      <c r="Q1168" s="686">
        <f t="shared" ref="Q1168:Q1170" si="243">IF(C1168=10,ROUND(((N1168+O1168)*F1168*G1168*H1168)/1000,3),"-")</f>
        <v>2.42</v>
      </c>
      <c r="R1168" s="686" t="str">
        <f t="shared" ref="R1168:R1170" si="244">IF(C1168=12,ROUND(((N1168+O1168)*F1168*G1168*H1168)/1000,3),"-")</f>
        <v>-</v>
      </c>
      <c r="S1168" s="686" t="str">
        <f t="shared" ref="S1168:S1170" si="245">IF(C1168=16,ROUND(((N1168+O1168)*F1168*G1168*H1168)/1000,3),"-")</f>
        <v>-</v>
      </c>
      <c r="T1168" s="686" t="str">
        <f t="shared" ref="T1168:T1170" si="246">IF(C1168=20,ROUND(((N1168+O1168)*F1168*G1168*H1168)/1000,3),"-")</f>
        <v>-</v>
      </c>
      <c r="U1168" s="723" t="str">
        <f t="shared" ref="U1168:U1170" si="247">IF(C1168=25,ROUND(((N1168+O1168)*F1168*G1168*H1168)/1000,3),"-")</f>
        <v>-</v>
      </c>
      <c r="V1168" s="695" t="str">
        <f t="shared" ref="V1168:V1170" si="248">IF(C1168=32,ROUND(((N1168+O1168)*F1168*G1168*H1168)/1000,3),"-")</f>
        <v>-</v>
      </c>
      <c r="W1168" s="711"/>
    </row>
    <row r="1169" spans="1:23" ht="16.5" hidden="1" outlineLevel="1">
      <c r="A1169" s="726"/>
      <c r="B1169" s="726" t="s">
        <v>393</v>
      </c>
      <c r="C1169" s="727">
        <v>10</v>
      </c>
      <c r="D1169" s="690"/>
      <c r="E1169" s="720" t="s">
        <v>1557</v>
      </c>
      <c r="F1169" s="685">
        <v>1</v>
      </c>
      <c r="G1169" s="239">
        <v>1</v>
      </c>
      <c r="H1169" s="203">
        <v>2</v>
      </c>
      <c r="I1169" s="198">
        <f>C1169*10</f>
        <v>100</v>
      </c>
      <c r="J1169" s="171">
        <f>1100-50</f>
        <v>1050</v>
      </c>
      <c r="K1169" s="198">
        <v>100</v>
      </c>
      <c r="L1169" s="198"/>
      <c r="M1169" s="198"/>
      <c r="N1169" s="721">
        <f t="shared" si="240"/>
        <v>1210</v>
      </c>
      <c r="O1169" s="721">
        <f t="shared" si="241"/>
        <v>0</v>
      </c>
      <c r="P1169" s="722" t="str">
        <f t="shared" si="242"/>
        <v>-</v>
      </c>
      <c r="Q1169" s="686">
        <f t="shared" si="243"/>
        <v>2.42</v>
      </c>
      <c r="R1169" s="686" t="str">
        <f t="shared" si="244"/>
        <v>-</v>
      </c>
      <c r="S1169" s="686" t="str">
        <f t="shared" si="245"/>
        <v>-</v>
      </c>
      <c r="T1169" s="686" t="str">
        <f t="shared" si="246"/>
        <v>-</v>
      </c>
      <c r="U1169" s="723" t="str">
        <f t="shared" si="247"/>
        <v>-</v>
      </c>
      <c r="V1169" s="695" t="str">
        <f t="shared" si="248"/>
        <v>-</v>
      </c>
      <c r="W1169" s="711"/>
    </row>
    <row r="1170" spans="1:23" ht="16.5" hidden="1" outlineLevel="1">
      <c r="A1170" s="726"/>
      <c r="B1170" s="726" t="s">
        <v>394</v>
      </c>
      <c r="C1170" s="727">
        <v>8</v>
      </c>
      <c r="D1170" s="690"/>
      <c r="E1170" s="691" t="s">
        <v>1558</v>
      </c>
      <c r="F1170" s="685">
        <v>1</v>
      </c>
      <c r="G1170" s="239">
        <v>1</v>
      </c>
      <c r="H1170" s="203">
        <f>((J1168)/200)+1</f>
        <v>6.25</v>
      </c>
      <c r="I1170" s="198">
        <v>180</v>
      </c>
      <c r="J1170" s="198">
        <v>150</v>
      </c>
      <c r="K1170" s="198">
        <v>180</v>
      </c>
      <c r="L1170" s="198">
        <v>150</v>
      </c>
      <c r="M1170" s="198"/>
      <c r="N1170" s="721">
        <f t="shared" si="240"/>
        <v>740</v>
      </c>
      <c r="O1170" s="721">
        <f t="shared" si="241"/>
        <v>0</v>
      </c>
      <c r="P1170" s="722">
        <f t="shared" si="242"/>
        <v>4.625</v>
      </c>
      <c r="Q1170" s="686" t="str">
        <f t="shared" si="243"/>
        <v>-</v>
      </c>
      <c r="R1170" s="686" t="str">
        <f t="shared" si="244"/>
        <v>-</v>
      </c>
      <c r="S1170" s="686" t="str">
        <f t="shared" si="245"/>
        <v>-</v>
      </c>
      <c r="T1170" s="686" t="str">
        <f t="shared" si="246"/>
        <v>-</v>
      </c>
      <c r="U1170" s="723" t="str">
        <f t="shared" si="247"/>
        <v>-</v>
      </c>
      <c r="V1170" s="695" t="str">
        <f t="shared" si="248"/>
        <v>-</v>
      </c>
      <c r="W1170" s="711"/>
    </row>
    <row r="1171" spans="1:23" ht="16.5" hidden="1" outlineLevel="1">
      <c r="A1171" s="195"/>
      <c r="B1171" s="172"/>
      <c r="C1171" s="196"/>
      <c r="D1171" s="685"/>
      <c r="E1171" s="196"/>
      <c r="F1171" s="685"/>
      <c r="G1171" s="204"/>
      <c r="H1171" s="203"/>
      <c r="I1171" s="198"/>
      <c r="J1171" s="198"/>
      <c r="K1171" s="198"/>
      <c r="L1171" s="198"/>
      <c r="M1171" s="198"/>
      <c r="N1171" s="198"/>
      <c r="O1171" s="198"/>
      <c r="P1171" s="199"/>
      <c r="Q1171" s="200"/>
      <c r="R1171" s="200"/>
      <c r="S1171" s="200"/>
      <c r="T1171" s="200"/>
      <c r="U1171" s="688"/>
      <c r="V1171" s="200"/>
      <c r="W1171" s="711"/>
    </row>
    <row r="1172" spans="1:23" ht="30.75" hidden="1" outlineLevel="1">
      <c r="A1172" s="195" t="s">
        <v>34</v>
      </c>
      <c r="B1172" s="750" t="s">
        <v>1623</v>
      </c>
      <c r="C1172" s="196"/>
      <c r="D1172" s="685"/>
      <c r="E1172" s="196"/>
      <c r="F1172" s="685"/>
      <c r="G1172" s="204"/>
      <c r="H1172" s="203"/>
      <c r="I1172" s="198"/>
      <c r="J1172" s="198"/>
      <c r="K1172" s="198"/>
      <c r="L1172" s="198"/>
      <c r="M1172" s="198"/>
      <c r="N1172" s="198"/>
      <c r="O1172" s="198"/>
      <c r="P1172" s="199"/>
      <c r="Q1172" s="200"/>
      <c r="R1172" s="200"/>
      <c r="S1172" s="200"/>
      <c r="T1172" s="200"/>
      <c r="U1172" s="688"/>
      <c r="V1172" s="200"/>
      <c r="W1172" s="711"/>
    </row>
    <row r="1173" spans="1:23" ht="16.5" hidden="1" outlineLevel="1">
      <c r="A1173" s="726">
        <v>1</v>
      </c>
      <c r="B1173" s="730" t="s">
        <v>1574</v>
      </c>
      <c r="C1173" s="727">
        <v>10</v>
      </c>
      <c r="D1173" s="690"/>
      <c r="E1173" s="720" t="s">
        <v>1557</v>
      </c>
      <c r="F1173" s="685">
        <v>1</v>
      </c>
      <c r="G1173" s="239">
        <v>1</v>
      </c>
      <c r="H1173" s="203">
        <v>2</v>
      </c>
      <c r="I1173" s="198">
        <f>C1173*10</f>
        <v>100</v>
      </c>
      <c r="J1173" s="171">
        <f>7625-50</f>
        <v>7575</v>
      </c>
      <c r="K1173" s="198">
        <v>100</v>
      </c>
      <c r="L1173" s="198"/>
      <c r="M1173" s="198"/>
      <c r="N1173" s="721">
        <f t="shared" ref="N1173:N1175" si="249">IF(E1173="L Shape",(I1173+J1173)-(C1173*2*1),IF(E1173="U Shape",(I1173+J1173+K1173)-(C1173*2*2),IF(E1173="Rectangle",(I1173+J1173+K1173+L1173)+(C1173*10*2)-(C1173*2*5),IF(E1173="Straight",J1173-(C1173*0),IF(E1173="Chair",(I1173+J1173+K1173+L1173+M1173)-(C1173*2*4),IF(E1173="U2 Shape",(I1173+J1173+K1173+L1173+M1173)-(C1173*2*4),IF(E1173="U3 Shape",(I1173+J1173+K1173+L1173)-(C1173*2*3),IF(E1173="Z Shape",(I1173+J1173+K1173)-(C1173*2*2),IF(E1173="Triangle",(I1173+J1173+K1173)+(C1173*10*2)-(C1173*2*4),IF(E1173="Trapezoid2",(I1173+I1173+J1173+K1173+K1173+L1173)+(C1173*10*2)-(C1173*2*7),IF(E1173="Trapezoid",(I1173+J1173+K1173+L1173)+(C1173*10*2)-(C1173*2*5),IF(E1173="Link",J1173+(C1173*10*2),IF(E1173="U5 Shape",(I1173+J1173+K1173+L1173)-(C1173*2*3),IF(E1173="DU2 Shape",(I1173+J1173+K1173+L1173)-(C1173*2*4),IF(E1173="SU Shape",(I1173+J1173+K1173)-(C1173*2*2),"-")))))))))))))))</f>
        <v>7735</v>
      </c>
      <c r="O1173" s="721">
        <f t="shared" ref="O1173:O1175" si="250">IF(N1173&lt;12001,C1173*49*0,IF(N1173&lt;24001,C1173*49*1,IF(N1173&lt;36001,C1173*49*2,IF(N1173&lt;48001,C1173*49*3,IF(N1173&lt;60001,C1173*49*4,IF(N1173&lt;72001,(C1173*49*5),IF(N1173&lt;84001,(C1173*49*6),IF(N1173&lt;96001,(C1173*49*7),IF(N1173&lt;108001,(C1173*49*8),IF(N1173&lt;120001,(C1173*49*9),IF(N1173&lt;132001,(C1173*49*10),IF(N1173&lt;144001,(C1173*49*11),""))))))))))))</f>
        <v>0</v>
      </c>
      <c r="P1173" s="722" t="str">
        <f t="shared" ref="P1173:P1175" si="251">IF(C1173=8,ROUND(((N1173+O1173)*F1173*G1173*H1173)/1000,3),"-")</f>
        <v>-</v>
      </c>
      <c r="Q1173" s="686">
        <f t="shared" ref="Q1173:Q1175" si="252">IF(C1173=10,ROUND(((N1173+O1173)*F1173*G1173*H1173)/1000,3),"-")</f>
        <v>15.47</v>
      </c>
      <c r="R1173" s="686" t="str">
        <f t="shared" ref="R1173:R1175" si="253">IF(C1173=12,ROUND(((N1173+O1173)*F1173*G1173*H1173)/1000,3),"-")</f>
        <v>-</v>
      </c>
      <c r="S1173" s="686" t="str">
        <f t="shared" ref="S1173:S1175" si="254">IF(C1173=16,ROUND(((N1173+O1173)*F1173*G1173*H1173)/1000,3),"-")</f>
        <v>-</v>
      </c>
      <c r="T1173" s="686" t="str">
        <f t="shared" ref="T1173:T1175" si="255">IF(C1173=20,ROUND(((N1173+O1173)*F1173*G1173*H1173)/1000,3),"-")</f>
        <v>-</v>
      </c>
      <c r="U1173" s="723" t="str">
        <f t="shared" ref="U1173:U1175" si="256">IF(C1173=25,ROUND(((N1173+O1173)*F1173*G1173*H1173)/1000,3),"-")</f>
        <v>-</v>
      </c>
      <c r="V1173" s="695" t="str">
        <f t="shared" ref="V1173:V1175" si="257">IF(C1173=32,ROUND(((N1173+O1173)*F1173*G1173*H1173)/1000,3),"-")</f>
        <v>-</v>
      </c>
      <c r="W1173" s="711"/>
    </row>
    <row r="1174" spans="1:23" ht="16.5" hidden="1" outlineLevel="1">
      <c r="A1174" s="726"/>
      <c r="B1174" s="726" t="s">
        <v>393</v>
      </c>
      <c r="C1174" s="727">
        <v>10</v>
      </c>
      <c r="D1174" s="690"/>
      <c r="E1174" s="720" t="s">
        <v>1557</v>
      </c>
      <c r="F1174" s="685">
        <v>1</v>
      </c>
      <c r="G1174" s="239">
        <v>1</v>
      </c>
      <c r="H1174" s="203">
        <v>2</v>
      </c>
      <c r="I1174" s="198">
        <f>C1174*10</f>
        <v>100</v>
      </c>
      <c r="J1174" s="171">
        <f>7625-50</f>
        <v>7575</v>
      </c>
      <c r="K1174" s="198">
        <v>100</v>
      </c>
      <c r="L1174" s="198"/>
      <c r="M1174" s="198"/>
      <c r="N1174" s="721">
        <f t="shared" si="249"/>
        <v>7735</v>
      </c>
      <c r="O1174" s="721">
        <f t="shared" si="250"/>
        <v>0</v>
      </c>
      <c r="P1174" s="722" t="str">
        <f t="shared" si="251"/>
        <v>-</v>
      </c>
      <c r="Q1174" s="686">
        <f t="shared" si="252"/>
        <v>15.47</v>
      </c>
      <c r="R1174" s="686" t="str">
        <f t="shared" si="253"/>
        <v>-</v>
      </c>
      <c r="S1174" s="686" t="str">
        <f t="shared" si="254"/>
        <v>-</v>
      </c>
      <c r="T1174" s="686" t="str">
        <f t="shared" si="255"/>
        <v>-</v>
      </c>
      <c r="U1174" s="723" t="str">
        <f t="shared" si="256"/>
        <v>-</v>
      </c>
      <c r="V1174" s="695" t="str">
        <f t="shared" si="257"/>
        <v>-</v>
      </c>
      <c r="W1174" s="711"/>
    </row>
    <row r="1175" spans="1:23" ht="16.5" hidden="1" outlineLevel="1">
      <c r="A1175" s="726"/>
      <c r="B1175" s="726" t="s">
        <v>394</v>
      </c>
      <c r="C1175" s="727">
        <v>8</v>
      </c>
      <c r="D1175" s="690"/>
      <c r="E1175" s="691" t="s">
        <v>1558</v>
      </c>
      <c r="F1175" s="685">
        <v>1</v>
      </c>
      <c r="G1175" s="239">
        <v>1</v>
      </c>
      <c r="H1175" s="203">
        <f>((J1173)/200)+1</f>
        <v>38.875</v>
      </c>
      <c r="I1175" s="198">
        <v>180</v>
      </c>
      <c r="J1175" s="198">
        <v>150</v>
      </c>
      <c r="K1175" s="198">
        <v>180</v>
      </c>
      <c r="L1175" s="198">
        <v>150</v>
      </c>
      <c r="M1175" s="198"/>
      <c r="N1175" s="721">
        <f t="shared" si="249"/>
        <v>740</v>
      </c>
      <c r="O1175" s="721">
        <f t="shared" si="250"/>
        <v>0</v>
      </c>
      <c r="P1175" s="722">
        <f t="shared" si="251"/>
        <v>28.768000000000001</v>
      </c>
      <c r="Q1175" s="686" t="str">
        <f t="shared" si="252"/>
        <v>-</v>
      </c>
      <c r="R1175" s="686" t="str">
        <f t="shared" si="253"/>
        <v>-</v>
      </c>
      <c r="S1175" s="686" t="str">
        <f t="shared" si="254"/>
        <v>-</v>
      </c>
      <c r="T1175" s="686" t="str">
        <f t="shared" si="255"/>
        <v>-</v>
      </c>
      <c r="U1175" s="723" t="str">
        <f t="shared" si="256"/>
        <v>-</v>
      </c>
      <c r="V1175" s="695" t="str">
        <f t="shared" si="257"/>
        <v>-</v>
      </c>
      <c r="W1175" s="711"/>
    </row>
    <row r="1176" spans="1:23" ht="16.5" hidden="1" outlineLevel="1">
      <c r="A1176" s="195"/>
      <c r="B1176" s="172"/>
      <c r="C1176" s="196"/>
      <c r="D1176" s="685"/>
      <c r="E1176" s="196"/>
      <c r="F1176" s="685"/>
      <c r="G1176" s="204"/>
      <c r="H1176" s="203"/>
      <c r="I1176" s="198"/>
      <c r="J1176" s="198"/>
      <c r="K1176" s="198"/>
      <c r="L1176" s="198"/>
      <c r="M1176" s="198"/>
      <c r="N1176" s="198"/>
      <c r="O1176" s="198"/>
      <c r="P1176" s="199"/>
      <c r="Q1176" s="200"/>
      <c r="R1176" s="200"/>
      <c r="S1176" s="200"/>
      <c r="T1176" s="200"/>
      <c r="U1176" s="688"/>
      <c r="V1176" s="200"/>
      <c r="W1176" s="711"/>
    </row>
    <row r="1177" spans="1:23" ht="16.5" hidden="1" outlineLevel="1">
      <c r="A1177" s="726">
        <v>2</v>
      </c>
      <c r="B1177" s="730" t="s">
        <v>1574</v>
      </c>
      <c r="C1177" s="727">
        <v>10</v>
      </c>
      <c r="D1177" s="690"/>
      <c r="E1177" s="720" t="s">
        <v>1557</v>
      </c>
      <c r="F1177" s="685">
        <v>1</v>
      </c>
      <c r="G1177" s="239">
        <v>1</v>
      </c>
      <c r="H1177" s="203">
        <v>2</v>
      </c>
      <c r="I1177" s="198">
        <f>C1177*10</f>
        <v>100</v>
      </c>
      <c r="J1177" s="171">
        <f>7125-50</f>
        <v>7075</v>
      </c>
      <c r="K1177" s="198">
        <v>100</v>
      </c>
      <c r="L1177" s="198"/>
      <c r="M1177" s="198"/>
      <c r="N1177" s="721">
        <f t="shared" ref="N1177:N1179" si="258">IF(E1177="L Shape",(I1177+J1177)-(C1177*2*1),IF(E1177="U Shape",(I1177+J1177+K1177)-(C1177*2*2),IF(E1177="Rectangle",(I1177+J1177+K1177+L1177)+(C1177*10*2)-(C1177*2*5),IF(E1177="Straight",J1177-(C1177*0),IF(E1177="Chair",(I1177+J1177+K1177+L1177+M1177)-(C1177*2*4),IF(E1177="U2 Shape",(I1177+J1177+K1177+L1177+M1177)-(C1177*2*4),IF(E1177="U3 Shape",(I1177+J1177+K1177+L1177)-(C1177*2*3),IF(E1177="Z Shape",(I1177+J1177+K1177)-(C1177*2*2),IF(E1177="Triangle",(I1177+J1177+K1177)+(C1177*10*2)-(C1177*2*4),IF(E1177="Trapezoid2",(I1177+I1177+J1177+K1177+K1177+L1177)+(C1177*10*2)-(C1177*2*7),IF(E1177="Trapezoid",(I1177+J1177+K1177+L1177)+(C1177*10*2)-(C1177*2*5),IF(E1177="Link",J1177+(C1177*10*2),IF(E1177="U5 Shape",(I1177+J1177+K1177+L1177)-(C1177*2*3),IF(E1177="DU2 Shape",(I1177+J1177+K1177+L1177)-(C1177*2*4),IF(E1177="SU Shape",(I1177+J1177+K1177)-(C1177*2*2),"-")))))))))))))))</f>
        <v>7235</v>
      </c>
      <c r="O1177" s="721">
        <f t="shared" ref="O1177:O1179" si="259">IF(N1177&lt;12001,C1177*49*0,IF(N1177&lt;24001,C1177*49*1,IF(N1177&lt;36001,C1177*49*2,IF(N1177&lt;48001,C1177*49*3,IF(N1177&lt;60001,C1177*49*4,IF(N1177&lt;72001,(C1177*49*5),IF(N1177&lt;84001,(C1177*49*6),IF(N1177&lt;96001,(C1177*49*7),IF(N1177&lt;108001,(C1177*49*8),IF(N1177&lt;120001,(C1177*49*9),IF(N1177&lt;132001,(C1177*49*10),IF(N1177&lt;144001,(C1177*49*11),""))))))))))))</f>
        <v>0</v>
      </c>
      <c r="P1177" s="722" t="str">
        <f t="shared" ref="P1177:P1179" si="260">IF(C1177=8,ROUND(((N1177+O1177)*F1177*G1177*H1177)/1000,3),"-")</f>
        <v>-</v>
      </c>
      <c r="Q1177" s="686">
        <f t="shared" ref="Q1177:Q1179" si="261">IF(C1177=10,ROUND(((N1177+O1177)*F1177*G1177*H1177)/1000,3),"-")</f>
        <v>14.47</v>
      </c>
      <c r="R1177" s="686" t="str">
        <f t="shared" ref="R1177:R1179" si="262">IF(C1177=12,ROUND(((N1177+O1177)*F1177*G1177*H1177)/1000,3),"-")</f>
        <v>-</v>
      </c>
      <c r="S1177" s="686" t="str">
        <f t="shared" ref="S1177:S1179" si="263">IF(C1177=16,ROUND(((N1177+O1177)*F1177*G1177*H1177)/1000,3),"-")</f>
        <v>-</v>
      </c>
      <c r="T1177" s="686" t="str">
        <f t="shared" ref="T1177:T1179" si="264">IF(C1177=20,ROUND(((N1177+O1177)*F1177*G1177*H1177)/1000,3),"-")</f>
        <v>-</v>
      </c>
      <c r="U1177" s="723" t="str">
        <f t="shared" ref="U1177:U1179" si="265">IF(C1177=25,ROUND(((N1177+O1177)*F1177*G1177*H1177)/1000,3),"-")</f>
        <v>-</v>
      </c>
      <c r="V1177" s="695" t="str">
        <f t="shared" ref="V1177:V1179" si="266">IF(C1177=32,ROUND(((N1177+O1177)*F1177*G1177*H1177)/1000,3),"-")</f>
        <v>-</v>
      </c>
      <c r="W1177" s="711"/>
    </row>
    <row r="1178" spans="1:23" ht="16.5" hidden="1" outlineLevel="1">
      <c r="A1178" s="726"/>
      <c r="B1178" s="726" t="s">
        <v>393</v>
      </c>
      <c r="C1178" s="727">
        <v>10</v>
      </c>
      <c r="D1178" s="690"/>
      <c r="E1178" s="720" t="s">
        <v>1557</v>
      </c>
      <c r="F1178" s="685">
        <v>1</v>
      </c>
      <c r="G1178" s="239">
        <v>1</v>
      </c>
      <c r="H1178" s="203">
        <v>2</v>
      </c>
      <c r="I1178" s="198">
        <f>C1178*10</f>
        <v>100</v>
      </c>
      <c r="J1178" s="171">
        <f>7125-50</f>
        <v>7075</v>
      </c>
      <c r="K1178" s="198">
        <v>100</v>
      </c>
      <c r="L1178" s="198"/>
      <c r="M1178" s="198"/>
      <c r="N1178" s="721">
        <f t="shared" si="258"/>
        <v>7235</v>
      </c>
      <c r="O1178" s="721">
        <f t="shared" si="259"/>
        <v>0</v>
      </c>
      <c r="P1178" s="722" t="str">
        <f t="shared" si="260"/>
        <v>-</v>
      </c>
      <c r="Q1178" s="686">
        <f t="shared" si="261"/>
        <v>14.47</v>
      </c>
      <c r="R1178" s="686" t="str">
        <f t="shared" si="262"/>
        <v>-</v>
      </c>
      <c r="S1178" s="686" t="str">
        <f t="shared" si="263"/>
        <v>-</v>
      </c>
      <c r="T1178" s="686" t="str">
        <f t="shared" si="264"/>
        <v>-</v>
      </c>
      <c r="U1178" s="723" t="str">
        <f t="shared" si="265"/>
        <v>-</v>
      </c>
      <c r="V1178" s="695" t="str">
        <f t="shared" si="266"/>
        <v>-</v>
      </c>
      <c r="W1178" s="711"/>
    </row>
    <row r="1179" spans="1:23" ht="16.5" hidden="1" outlineLevel="1">
      <c r="A1179" s="726"/>
      <c r="B1179" s="726" t="s">
        <v>394</v>
      </c>
      <c r="C1179" s="727">
        <v>8</v>
      </c>
      <c r="D1179" s="690"/>
      <c r="E1179" s="691" t="s">
        <v>1558</v>
      </c>
      <c r="F1179" s="685">
        <v>1</v>
      </c>
      <c r="G1179" s="239">
        <v>1</v>
      </c>
      <c r="H1179" s="203">
        <f>((J1177)/200)+1</f>
        <v>36.375</v>
      </c>
      <c r="I1179" s="198">
        <v>180</v>
      </c>
      <c r="J1179" s="198">
        <v>150</v>
      </c>
      <c r="K1179" s="198">
        <v>180</v>
      </c>
      <c r="L1179" s="198">
        <v>150</v>
      </c>
      <c r="M1179" s="198"/>
      <c r="N1179" s="721">
        <f t="shared" si="258"/>
        <v>740</v>
      </c>
      <c r="O1179" s="721">
        <f t="shared" si="259"/>
        <v>0</v>
      </c>
      <c r="P1179" s="722">
        <f t="shared" si="260"/>
        <v>26.917999999999999</v>
      </c>
      <c r="Q1179" s="686" t="str">
        <f t="shared" si="261"/>
        <v>-</v>
      </c>
      <c r="R1179" s="686" t="str">
        <f t="shared" si="262"/>
        <v>-</v>
      </c>
      <c r="S1179" s="686" t="str">
        <f t="shared" si="263"/>
        <v>-</v>
      </c>
      <c r="T1179" s="686" t="str">
        <f t="shared" si="264"/>
        <v>-</v>
      </c>
      <c r="U1179" s="723" t="str">
        <f t="shared" si="265"/>
        <v>-</v>
      </c>
      <c r="V1179" s="695" t="str">
        <f t="shared" si="266"/>
        <v>-</v>
      </c>
      <c r="W1179" s="711"/>
    </row>
    <row r="1180" spans="1:23" ht="16.5" hidden="1" outlineLevel="1">
      <c r="A1180" s="195"/>
      <c r="B1180" s="172"/>
      <c r="C1180" s="196"/>
      <c r="D1180" s="685"/>
      <c r="E1180" s="196"/>
      <c r="F1180" s="685"/>
      <c r="G1180" s="204"/>
      <c r="H1180" s="203"/>
      <c r="I1180" s="198"/>
      <c r="J1180" s="198"/>
      <c r="K1180" s="198"/>
      <c r="L1180" s="198"/>
      <c r="M1180" s="198"/>
      <c r="N1180" s="198"/>
      <c r="O1180" s="198"/>
      <c r="P1180" s="199"/>
      <c r="Q1180" s="200"/>
      <c r="R1180" s="200"/>
      <c r="S1180" s="200"/>
      <c r="T1180" s="200"/>
      <c r="U1180" s="688"/>
      <c r="V1180" s="200"/>
      <c r="W1180" s="711"/>
    </row>
    <row r="1181" spans="1:23" ht="49.5" hidden="1" outlineLevel="1">
      <c r="A1181" s="195" t="s">
        <v>35</v>
      </c>
      <c r="B1181" s="748" t="s">
        <v>1624</v>
      </c>
      <c r="C1181" s="196"/>
      <c r="D1181" s="685"/>
      <c r="E1181" s="196"/>
      <c r="F1181" s="685"/>
      <c r="G1181" s="204"/>
      <c r="H1181" s="203"/>
      <c r="I1181" s="198"/>
      <c r="J1181" s="198"/>
      <c r="K1181" s="198"/>
      <c r="L1181" s="198"/>
      <c r="M1181" s="198"/>
      <c r="N1181" s="198"/>
      <c r="O1181" s="198"/>
      <c r="P1181" s="199"/>
      <c r="Q1181" s="200"/>
      <c r="R1181" s="200"/>
      <c r="S1181" s="200"/>
      <c r="T1181" s="200"/>
      <c r="U1181" s="688"/>
      <c r="V1181" s="200"/>
      <c r="W1181" s="711"/>
    </row>
    <row r="1182" spans="1:23" ht="31.5" hidden="1" outlineLevel="1">
      <c r="A1182" s="5" t="s">
        <v>1625</v>
      </c>
      <c r="B1182" s="751" t="s">
        <v>960</v>
      </c>
      <c r="C1182" s="196"/>
      <c r="D1182" s="685"/>
      <c r="E1182" s="196"/>
      <c r="F1182" s="685"/>
      <c r="G1182" s="204"/>
      <c r="H1182" s="203"/>
      <c r="I1182" s="198"/>
      <c r="J1182" s="198"/>
      <c r="K1182" s="198"/>
      <c r="L1182" s="198"/>
      <c r="M1182" s="198"/>
      <c r="N1182" s="198"/>
      <c r="O1182" s="198"/>
      <c r="P1182" s="199"/>
      <c r="Q1182" s="200"/>
      <c r="R1182" s="200"/>
      <c r="S1182" s="200"/>
      <c r="T1182" s="200"/>
      <c r="U1182" s="688"/>
      <c r="V1182" s="200"/>
      <c r="W1182" s="711"/>
    </row>
    <row r="1183" spans="1:23" ht="16.5" hidden="1" outlineLevel="1">
      <c r="A1183" s="726">
        <v>1</v>
      </c>
      <c r="B1183" s="730" t="s">
        <v>1574</v>
      </c>
      <c r="C1183" s="727">
        <v>10</v>
      </c>
      <c r="D1183" s="690"/>
      <c r="E1183" s="720" t="s">
        <v>1557</v>
      </c>
      <c r="F1183" s="685">
        <v>1</v>
      </c>
      <c r="G1183" s="239">
        <v>1</v>
      </c>
      <c r="H1183" s="203">
        <v>2</v>
      </c>
      <c r="I1183" s="198">
        <f>C1183*10</f>
        <v>100</v>
      </c>
      <c r="J1183" s="171">
        <f>24945-50</f>
        <v>24895</v>
      </c>
      <c r="K1183" s="198">
        <v>100</v>
      </c>
      <c r="L1183" s="198"/>
      <c r="M1183" s="198"/>
      <c r="N1183" s="721">
        <f t="shared" ref="N1183:N1185" si="267">IF(E1183="L Shape",(I1183+J1183)-(C1183*2*1),IF(E1183="U Shape",(I1183+J1183+K1183)-(C1183*2*2),IF(E1183="Rectangle",(I1183+J1183+K1183+L1183)+(C1183*10*2)-(C1183*2*5),IF(E1183="Straight",J1183-(C1183*0),IF(E1183="Chair",(I1183+J1183+K1183+L1183+M1183)-(C1183*2*4),IF(E1183="U2 Shape",(I1183+J1183+K1183+L1183+M1183)-(C1183*2*4),IF(E1183="U3 Shape",(I1183+J1183+K1183+L1183)-(C1183*2*3),IF(E1183="Z Shape",(I1183+J1183+K1183)-(C1183*2*2),IF(E1183="Triangle",(I1183+J1183+K1183)+(C1183*10*2)-(C1183*2*4),IF(E1183="Trapezoid2",(I1183+I1183+J1183+K1183+K1183+L1183)+(C1183*10*2)-(C1183*2*7),IF(E1183="Trapezoid",(I1183+J1183+K1183+L1183)+(C1183*10*2)-(C1183*2*5),IF(E1183="Link",J1183+(C1183*10*2),IF(E1183="U5 Shape",(I1183+J1183+K1183+L1183)-(C1183*2*3),IF(E1183="DU2 Shape",(I1183+J1183+K1183+L1183)-(C1183*2*4),IF(E1183="SU Shape",(I1183+J1183+K1183)-(C1183*2*2),"-")))))))))))))))</f>
        <v>25055</v>
      </c>
      <c r="O1183" s="721">
        <f t="shared" ref="O1183:O1185" si="268">IF(N1183&lt;12001,C1183*49*0,IF(N1183&lt;24001,C1183*49*1,IF(N1183&lt;36001,C1183*49*2,IF(N1183&lt;48001,C1183*49*3,IF(N1183&lt;60001,C1183*49*4,IF(N1183&lt;72001,(C1183*49*5),IF(N1183&lt;84001,(C1183*49*6),IF(N1183&lt;96001,(C1183*49*7),IF(N1183&lt;108001,(C1183*49*8),IF(N1183&lt;120001,(C1183*49*9),IF(N1183&lt;132001,(C1183*49*10),IF(N1183&lt;144001,(C1183*49*11),""))))))))))))</f>
        <v>980</v>
      </c>
      <c r="P1183" s="722" t="str">
        <f t="shared" ref="P1183:P1185" si="269">IF(C1183=8,ROUND(((N1183+O1183)*F1183*G1183*H1183)/1000,3),"-")</f>
        <v>-</v>
      </c>
      <c r="Q1183" s="686">
        <f t="shared" ref="Q1183:Q1185" si="270">IF(C1183=10,ROUND(((N1183+O1183)*F1183*G1183*H1183)/1000,3),"-")</f>
        <v>52.07</v>
      </c>
      <c r="R1183" s="686" t="str">
        <f t="shared" ref="R1183:R1185" si="271">IF(C1183=12,ROUND(((N1183+O1183)*F1183*G1183*H1183)/1000,3),"-")</f>
        <v>-</v>
      </c>
      <c r="S1183" s="686" t="str">
        <f t="shared" ref="S1183:S1185" si="272">IF(C1183=16,ROUND(((N1183+O1183)*F1183*G1183*H1183)/1000,3),"-")</f>
        <v>-</v>
      </c>
      <c r="T1183" s="686" t="str">
        <f t="shared" ref="T1183:T1185" si="273">IF(C1183=20,ROUND(((N1183+O1183)*F1183*G1183*H1183)/1000,3),"-")</f>
        <v>-</v>
      </c>
      <c r="U1183" s="723" t="str">
        <f t="shared" ref="U1183:U1185" si="274">IF(C1183=25,ROUND(((N1183+O1183)*F1183*G1183*H1183)/1000,3),"-")</f>
        <v>-</v>
      </c>
      <c r="V1183" s="695" t="str">
        <f t="shared" ref="V1183:V1185" si="275">IF(C1183=32,ROUND(((N1183+O1183)*F1183*G1183*H1183)/1000,3),"-")</f>
        <v>-</v>
      </c>
      <c r="W1183" s="711"/>
    </row>
    <row r="1184" spans="1:23" ht="16.5" hidden="1" outlineLevel="1">
      <c r="A1184" s="726"/>
      <c r="B1184" s="726" t="s">
        <v>393</v>
      </c>
      <c r="C1184" s="727">
        <v>10</v>
      </c>
      <c r="D1184" s="690"/>
      <c r="E1184" s="720" t="s">
        <v>1557</v>
      </c>
      <c r="F1184" s="685">
        <v>1</v>
      </c>
      <c r="G1184" s="239">
        <v>1</v>
      </c>
      <c r="H1184" s="203">
        <v>2</v>
      </c>
      <c r="I1184" s="198">
        <f>C1184*10</f>
        <v>100</v>
      </c>
      <c r="J1184" s="171">
        <f>24945-50</f>
        <v>24895</v>
      </c>
      <c r="K1184" s="198">
        <v>100</v>
      </c>
      <c r="L1184" s="198"/>
      <c r="M1184" s="198"/>
      <c r="N1184" s="721">
        <f t="shared" si="267"/>
        <v>25055</v>
      </c>
      <c r="O1184" s="721">
        <f t="shared" si="268"/>
        <v>980</v>
      </c>
      <c r="P1184" s="722" t="str">
        <f t="shared" si="269"/>
        <v>-</v>
      </c>
      <c r="Q1184" s="686">
        <f t="shared" si="270"/>
        <v>52.07</v>
      </c>
      <c r="R1184" s="686" t="str">
        <f t="shared" si="271"/>
        <v>-</v>
      </c>
      <c r="S1184" s="686" t="str">
        <f t="shared" si="272"/>
        <v>-</v>
      </c>
      <c r="T1184" s="686" t="str">
        <f t="shared" si="273"/>
        <v>-</v>
      </c>
      <c r="U1184" s="723" t="str">
        <f t="shared" si="274"/>
        <v>-</v>
      </c>
      <c r="V1184" s="695" t="str">
        <f t="shared" si="275"/>
        <v>-</v>
      </c>
      <c r="W1184" s="711"/>
    </row>
    <row r="1185" spans="1:23" ht="16.5" hidden="1" outlineLevel="1">
      <c r="A1185" s="726"/>
      <c r="B1185" s="726" t="s">
        <v>394</v>
      </c>
      <c r="C1185" s="727">
        <v>8</v>
      </c>
      <c r="D1185" s="690"/>
      <c r="E1185" s="691" t="s">
        <v>1558</v>
      </c>
      <c r="F1185" s="685">
        <v>1</v>
      </c>
      <c r="G1185" s="239">
        <v>1</v>
      </c>
      <c r="H1185" s="203">
        <f>((J1183)/200)+1</f>
        <v>125.47499999999999</v>
      </c>
      <c r="I1185" s="198">
        <v>180</v>
      </c>
      <c r="J1185" s="198">
        <v>150</v>
      </c>
      <c r="K1185" s="198">
        <v>180</v>
      </c>
      <c r="L1185" s="198">
        <v>150</v>
      </c>
      <c r="M1185" s="198"/>
      <c r="N1185" s="721">
        <f t="shared" si="267"/>
        <v>740</v>
      </c>
      <c r="O1185" s="721">
        <f t="shared" si="268"/>
        <v>0</v>
      </c>
      <c r="P1185" s="722">
        <f t="shared" si="269"/>
        <v>92.852000000000004</v>
      </c>
      <c r="Q1185" s="686" t="str">
        <f t="shared" si="270"/>
        <v>-</v>
      </c>
      <c r="R1185" s="686" t="str">
        <f t="shared" si="271"/>
        <v>-</v>
      </c>
      <c r="S1185" s="686" t="str">
        <f t="shared" si="272"/>
        <v>-</v>
      </c>
      <c r="T1185" s="686" t="str">
        <f t="shared" si="273"/>
        <v>-</v>
      </c>
      <c r="U1185" s="723" t="str">
        <f t="shared" si="274"/>
        <v>-</v>
      </c>
      <c r="V1185" s="695" t="str">
        <f t="shared" si="275"/>
        <v>-</v>
      </c>
      <c r="W1185" s="711"/>
    </row>
    <row r="1186" spans="1:23" ht="16.5" hidden="1" outlineLevel="1">
      <c r="A1186" s="195"/>
      <c r="B1186" s="172"/>
      <c r="C1186" s="196"/>
      <c r="D1186" s="685"/>
      <c r="E1186" s="196"/>
      <c r="F1186" s="685"/>
      <c r="G1186" s="204"/>
      <c r="H1186" s="203"/>
      <c r="I1186" s="198"/>
      <c r="J1186" s="198"/>
      <c r="K1186" s="198"/>
      <c r="L1186" s="198"/>
      <c r="M1186" s="198"/>
      <c r="N1186" s="198"/>
      <c r="O1186" s="198"/>
      <c r="P1186" s="199"/>
      <c r="Q1186" s="200"/>
      <c r="R1186" s="200"/>
      <c r="S1186" s="200"/>
      <c r="T1186" s="200"/>
      <c r="U1186" s="688"/>
      <c r="V1186" s="200"/>
      <c r="W1186" s="711"/>
    </row>
    <row r="1187" spans="1:23" ht="16.5" hidden="1" outlineLevel="1">
      <c r="A1187" s="726">
        <v>2</v>
      </c>
      <c r="B1187" s="730" t="s">
        <v>1574</v>
      </c>
      <c r="C1187" s="727">
        <v>10</v>
      </c>
      <c r="D1187" s="690"/>
      <c r="E1187" s="720" t="s">
        <v>1557</v>
      </c>
      <c r="F1187" s="685">
        <v>1</v>
      </c>
      <c r="G1187" s="239">
        <v>1</v>
      </c>
      <c r="H1187" s="203">
        <v>2</v>
      </c>
      <c r="I1187" s="198">
        <f>C1187*10</f>
        <v>100</v>
      </c>
      <c r="J1187" s="171">
        <f>13774-50</f>
        <v>13724</v>
      </c>
      <c r="K1187" s="198">
        <v>100</v>
      </c>
      <c r="L1187" s="198"/>
      <c r="M1187" s="198"/>
      <c r="N1187" s="721">
        <f t="shared" ref="N1187:N1189" si="276">IF(E1187="L Shape",(I1187+J1187)-(C1187*2*1),IF(E1187="U Shape",(I1187+J1187+K1187)-(C1187*2*2),IF(E1187="Rectangle",(I1187+J1187+K1187+L1187)+(C1187*10*2)-(C1187*2*5),IF(E1187="Straight",J1187-(C1187*0),IF(E1187="Chair",(I1187+J1187+K1187+L1187+M1187)-(C1187*2*4),IF(E1187="U2 Shape",(I1187+J1187+K1187+L1187+M1187)-(C1187*2*4),IF(E1187="U3 Shape",(I1187+J1187+K1187+L1187)-(C1187*2*3),IF(E1187="Z Shape",(I1187+J1187+K1187)-(C1187*2*2),IF(E1187="Triangle",(I1187+J1187+K1187)+(C1187*10*2)-(C1187*2*4),IF(E1187="Trapezoid2",(I1187+I1187+J1187+K1187+K1187+L1187)+(C1187*10*2)-(C1187*2*7),IF(E1187="Trapezoid",(I1187+J1187+K1187+L1187)+(C1187*10*2)-(C1187*2*5),IF(E1187="Link",J1187+(C1187*10*2),IF(E1187="U5 Shape",(I1187+J1187+K1187+L1187)-(C1187*2*3),IF(E1187="DU2 Shape",(I1187+J1187+K1187+L1187)-(C1187*2*4),IF(E1187="SU Shape",(I1187+J1187+K1187)-(C1187*2*2),"-")))))))))))))))</f>
        <v>13884</v>
      </c>
      <c r="O1187" s="721">
        <f t="shared" ref="O1187:O1189" si="277">IF(N1187&lt;12001,C1187*49*0,IF(N1187&lt;24001,C1187*49*1,IF(N1187&lt;36001,C1187*49*2,IF(N1187&lt;48001,C1187*49*3,IF(N1187&lt;60001,C1187*49*4,IF(N1187&lt;72001,(C1187*49*5),IF(N1187&lt;84001,(C1187*49*6),IF(N1187&lt;96001,(C1187*49*7),IF(N1187&lt;108001,(C1187*49*8),IF(N1187&lt;120001,(C1187*49*9),IF(N1187&lt;132001,(C1187*49*10),IF(N1187&lt;144001,(C1187*49*11),""))))))))))))</f>
        <v>490</v>
      </c>
      <c r="P1187" s="722" t="str">
        <f t="shared" ref="P1187:P1189" si="278">IF(C1187=8,ROUND(((N1187+O1187)*F1187*G1187*H1187)/1000,3),"-")</f>
        <v>-</v>
      </c>
      <c r="Q1187" s="686">
        <f t="shared" ref="Q1187:Q1189" si="279">IF(C1187=10,ROUND(((N1187+O1187)*F1187*G1187*H1187)/1000,3),"-")</f>
        <v>28.748000000000001</v>
      </c>
      <c r="R1187" s="686" t="str">
        <f t="shared" ref="R1187:R1189" si="280">IF(C1187=12,ROUND(((N1187+O1187)*F1187*G1187*H1187)/1000,3),"-")</f>
        <v>-</v>
      </c>
      <c r="S1187" s="686" t="str">
        <f t="shared" ref="S1187:S1189" si="281">IF(C1187=16,ROUND(((N1187+O1187)*F1187*G1187*H1187)/1000,3),"-")</f>
        <v>-</v>
      </c>
      <c r="T1187" s="686" t="str">
        <f t="shared" ref="T1187:T1189" si="282">IF(C1187=20,ROUND(((N1187+O1187)*F1187*G1187*H1187)/1000,3),"-")</f>
        <v>-</v>
      </c>
      <c r="U1187" s="723" t="str">
        <f t="shared" ref="U1187:U1189" si="283">IF(C1187=25,ROUND(((N1187+O1187)*F1187*G1187*H1187)/1000,3),"-")</f>
        <v>-</v>
      </c>
      <c r="V1187" s="695" t="str">
        <f t="shared" ref="V1187:V1189" si="284">IF(C1187=32,ROUND(((N1187+O1187)*F1187*G1187*H1187)/1000,3),"-")</f>
        <v>-</v>
      </c>
      <c r="W1187" s="711"/>
    </row>
    <row r="1188" spans="1:23" ht="16.5" hidden="1" outlineLevel="1">
      <c r="A1188" s="726"/>
      <c r="B1188" s="726" t="s">
        <v>393</v>
      </c>
      <c r="C1188" s="727">
        <v>10</v>
      </c>
      <c r="D1188" s="690"/>
      <c r="E1188" s="720" t="s">
        <v>1557</v>
      </c>
      <c r="F1188" s="685">
        <v>1</v>
      </c>
      <c r="G1188" s="239">
        <v>1</v>
      </c>
      <c r="H1188" s="203">
        <v>2</v>
      </c>
      <c r="I1188" s="198">
        <f>C1188*10</f>
        <v>100</v>
      </c>
      <c r="J1188" s="171">
        <f>13774-50</f>
        <v>13724</v>
      </c>
      <c r="K1188" s="198">
        <v>100</v>
      </c>
      <c r="L1188" s="198"/>
      <c r="M1188" s="198"/>
      <c r="N1188" s="721">
        <f t="shared" si="276"/>
        <v>13884</v>
      </c>
      <c r="O1188" s="721">
        <f t="shared" si="277"/>
        <v>490</v>
      </c>
      <c r="P1188" s="722" t="str">
        <f t="shared" si="278"/>
        <v>-</v>
      </c>
      <c r="Q1188" s="686">
        <f t="shared" si="279"/>
        <v>28.748000000000001</v>
      </c>
      <c r="R1188" s="686" t="str">
        <f t="shared" si="280"/>
        <v>-</v>
      </c>
      <c r="S1188" s="686" t="str">
        <f t="shared" si="281"/>
        <v>-</v>
      </c>
      <c r="T1188" s="686" t="str">
        <f t="shared" si="282"/>
        <v>-</v>
      </c>
      <c r="U1188" s="723" t="str">
        <f t="shared" si="283"/>
        <v>-</v>
      </c>
      <c r="V1188" s="695" t="str">
        <f t="shared" si="284"/>
        <v>-</v>
      </c>
      <c r="W1188" s="711"/>
    </row>
    <row r="1189" spans="1:23" ht="16.5" hidden="1" outlineLevel="1">
      <c r="A1189" s="726"/>
      <c r="B1189" s="726" t="s">
        <v>394</v>
      </c>
      <c r="C1189" s="727">
        <v>8</v>
      </c>
      <c r="D1189" s="690"/>
      <c r="E1189" s="691" t="s">
        <v>1558</v>
      </c>
      <c r="F1189" s="685">
        <v>1</v>
      </c>
      <c r="G1189" s="239">
        <v>1</v>
      </c>
      <c r="H1189" s="203">
        <f>((J1187)/200)+1</f>
        <v>69.62</v>
      </c>
      <c r="I1189" s="198">
        <v>180</v>
      </c>
      <c r="J1189" s="198">
        <v>150</v>
      </c>
      <c r="K1189" s="198">
        <v>180</v>
      </c>
      <c r="L1189" s="198">
        <v>150</v>
      </c>
      <c r="M1189" s="198"/>
      <c r="N1189" s="721">
        <f t="shared" si="276"/>
        <v>740</v>
      </c>
      <c r="O1189" s="721">
        <f t="shared" si="277"/>
        <v>0</v>
      </c>
      <c r="P1189" s="722">
        <f t="shared" si="278"/>
        <v>51.518999999999998</v>
      </c>
      <c r="Q1189" s="686" t="str">
        <f t="shared" si="279"/>
        <v>-</v>
      </c>
      <c r="R1189" s="686" t="str">
        <f t="shared" si="280"/>
        <v>-</v>
      </c>
      <c r="S1189" s="686" t="str">
        <f t="shared" si="281"/>
        <v>-</v>
      </c>
      <c r="T1189" s="686" t="str">
        <f t="shared" si="282"/>
        <v>-</v>
      </c>
      <c r="U1189" s="723" t="str">
        <f t="shared" si="283"/>
        <v>-</v>
      </c>
      <c r="V1189" s="695" t="str">
        <f t="shared" si="284"/>
        <v>-</v>
      </c>
      <c r="W1189" s="711"/>
    </row>
    <row r="1190" spans="1:23" ht="16.5" hidden="1" outlineLevel="1">
      <c r="A1190" s="195"/>
      <c r="B1190" s="172"/>
      <c r="C1190" s="196"/>
      <c r="D1190" s="685"/>
      <c r="E1190" s="196"/>
      <c r="F1190" s="685"/>
      <c r="G1190" s="204"/>
      <c r="H1190" s="203"/>
      <c r="I1190" s="198"/>
      <c r="J1190" s="198"/>
      <c r="K1190" s="198"/>
      <c r="L1190" s="198"/>
      <c r="M1190" s="198"/>
      <c r="N1190" s="198"/>
      <c r="O1190" s="198"/>
      <c r="P1190" s="199"/>
      <c r="Q1190" s="200"/>
      <c r="R1190" s="200"/>
      <c r="S1190" s="200"/>
      <c r="T1190" s="200"/>
      <c r="U1190" s="688"/>
      <c r="V1190" s="200"/>
      <c r="W1190" s="711"/>
    </row>
    <row r="1191" spans="1:23" ht="16.5" hidden="1" outlineLevel="1">
      <c r="A1191" s="726">
        <v>3</v>
      </c>
      <c r="B1191" s="730" t="s">
        <v>1574</v>
      </c>
      <c r="C1191" s="727">
        <v>10</v>
      </c>
      <c r="D1191" s="690"/>
      <c r="E1191" s="720" t="s">
        <v>1557</v>
      </c>
      <c r="F1191" s="685">
        <v>1</v>
      </c>
      <c r="G1191" s="239">
        <v>1</v>
      </c>
      <c r="H1191" s="203">
        <v>2</v>
      </c>
      <c r="I1191" s="198">
        <f>C1191*10</f>
        <v>100</v>
      </c>
      <c r="J1191" s="171">
        <f>4343-50</f>
        <v>4293</v>
      </c>
      <c r="K1191" s="198">
        <v>100</v>
      </c>
      <c r="L1191" s="198"/>
      <c r="M1191" s="198"/>
      <c r="N1191" s="721">
        <f t="shared" ref="N1191:N1193" si="285">IF(E1191="L Shape",(I1191+J1191)-(C1191*2*1),IF(E1191="U Shape",(I1191+J1191+K1191)-(C1191*2*2),IF(E1191="Rectangle",(I1191+J1191+K1191+L1191)+(C1191*10*2)-(C1191*2*5),IF(E1191="Straight",J1191-(C1191*0),IF(E1191="Chair",(I1191+J1191+K1191+L1191+M1191)-(C1191*2*4),IF(E1191="U2 Shape",(I1191+J1191+K1191+L1191+M1191)-(C1191*2*4),IF(E1191="U3 Shape",(I1191+J1191+K1191+L1191)-(C1191*2*3),IF(E1191="Z Shape",(I1191+J1191+K1191)-(C1191*2*2),IF(E1191="Triangle",(I1191+J1191+K1191)+(C1191*10*2)-(C1191*2*4),IF(E1191="Trapezoid2",(I1191+I1191+J1191+K1191+K1191+L1191)+(C1191*10*2)-(C1191*2*7),IF(E1191="Trapezoid",(I1191+J1191+K1191+L1191)+(C1191*10*2)-(C1191*2*5),IF(E1191="Link",J1191+(C1191*10*2),IF(E1191="U5 Shape",(I1191+J1191+K1191+L1191)-(C1191*2*3),IF(E1191="DU2 Shape",(I1191+J1191+K1191+L1191)-(C1191*2*4),IF(E1191="SU Shape",(I1191+J1191+K1191)-(C1191*2*2),"-")))))))))))))))</f>
        <v>4453</v>
      </c>
      <c r="O1191" s="721">
        <f t="shared" ref="O1191:O1193" si="286">IF(N1191&lt;12001,C1191*49*0,IF(N1191&lt;24001,C1191*49*1,IF(N1191&lt;36001,C1191*49*2,IF(N1191&lt;48001,C1191*49*3,IF(N1191&lt;60001,C1191*49*4,IF(N1191&lt;72001,(C1191*49*5),IF(N1191&lt;84001,(C1191*49*6),IF(N1191&lt;96001,(C1191*49*7),IF(N1191&lt;108001,(C1191*49*8),IF(N1191&lt;120001,(C1191*49*9),IF(N1191&lt;132001,(C1191*49*10),IF(N1191&lt;144001,(C1191*49*11),""))))))))))))</f>
        <v>0</v>
      </c>
      <c r="P1191" s="722" t="str">
        <f t="shared" ref="P1191:P1193" si="287">IF(C1191=8,ROUND(((N1191+O1191)*F1191*G1191*H1191)/1000,3),"-")</f>
        <v>-</v>
      </c>
      <c r="Q1191" s="686">
        <f t="shared" ref="Q1191:Q1193" si="288">IF(C1191=10,ROUND(((N1191+O1191)*F1191*G1191*H1191)/1000,3),"-")</f>
        <v>8.9060000000000006</v>
      </c>
      <c r="R1191" s="686" t="str">
        <f t="shared" ref="R1191:R1193" si="289">IF(C1191=12,ROUND(((N1191+O1191)*F1191*G1191*H1191)/1000,3),"-")</f>
        <v>-</v>
      </c>
      <c r="S1191" s="686" t="str">
        <f t="shared" ref="S1191:S1193" si="290">IF(C1191=16,ROUND(((N1191+O1191)*F1191*G1191*H1191)/1000,3),"-")</f>
        <v>-</v>
      </c>
      <c r="T1191" s="686" t="str">
        <f t="shared" ref="T1191:T1193" si="291">IF(C1191=20,ROUND(((N1191+O1191)*F1191*G1191*H1191)/1000,3),"-")</f>
        <v>-</v>
      </c>
      <c r="U1191" s="723" t="str">
        <f t="shared" ref="U1191:U1193" si="292">IF(C1191=25,ROUND(((N1191+O1191)*F1191*G1191*H1191)/1000,3),"-")</f>
        <v>-</v>
      </c>
      <c r="V1191" s="695" t="str">
        <f t="shared" ref="V1191:V1193" si="293">IF(C1191=32,ROUND(((N1191+O1191)*F1191*G1191*H1191)/1000,3),"-")</f>
        <v>-</v>
      </c>
      <c r="W1191" s="711"/>
    </row>
    <row r="1192" spans="1:23" ht="16.5" hidden="1" outlineLevel="1">
      <c r="A1192" s="726"/>
      <c r="B1192" s="726" t="s">
        <v>393</v>
      </c>
      <c r="C1192" s="727">
        <v>10</v>
      </c>
      <c r="D1192" s="690"/>
      <c r="E1192" s="720" t="s">
        <v>1557</v>
      </c>
      <c r="F1192" s="685">
        <v>1</v>
      </c>
      <c r="G1192" s="239">
        <v>1</v>
      </c>
      <c r="H1192" s="203">
        <v>2</v>
      </c>
      <c r="I1192" s="198">
        <f>C1192*10</f>
        <v>100</v>
      </c>
      <c r="J1192" s="171">
        <f>4343-50</f>
        <v>4293</v>
      </c>
      <c r="K1192" s="198">
        <v>100</v>
      </c>
      <c r="L1192" s="198"/>
      <c r="M1192" s="198"/>
      <c r="N1192" s="721">
        <f t="shared" si="285"/>
        <v>4453</v>
      </c>
      <c r="O1192" s="721">
        <f t="shared" si="286"/>
        <v>0</v>
      </c>
      <c r="P1192" s="722" t="str">
        <f t="shared" si="287"/>
        <v>-</v>
      </c>
      <c r="Q1192" s="686">
        <f t="shared" si="288"/>
        <v>8.9060000000000006</v>
      </c>
      <c r="R1192" s="686" t="str">
        <f t="shared" si="289"/>
        <v>-</v>
      </c>
      <c r="S1192" s="686" t="str">
        <f t="shared" si="290"/>
        <v>-</v>
      </c>
      <c r="T1192" s="686" t="str">
        <f t="shared" si="291"/>
        <v>-</v>
      </c>
      <c r="U1192" s="723" t="str">
        <f t="shared" si="292"/>
        <v>-</v>
      </c>
      <c r="V1192" s="695" t="str">
        <f t="shared" si="293"/>
        <v>-</v>
      </c>
      <c r="W1192" s="711"/>
    </row>
    <row r="1193" spans="1:23" ht="16.5" hidden="1" outlineLevel="1">
      <c r="A1193" s="726"/>
      <c r="B1193" s="726" t="s">
        <v>394</v>
      </c>
      <c r="C1193" s="727">
        <v>8</v>
      </c>
      <c r="D1193" s="690"/>
      <c r="E1193" s="691" t="s">
        <v>1558</v>
      </c>
      <c r="F1193" s="685">
        <v>1</v>
      </c>
      <c r="G1193" s="239">
        <v>1</v>
      </c>
      <c r="H1193" s="203">
        <f>((J1191)/200)+1</f>
        <v>22.465</v>
      </c>
      <c r="I1193" s="198">
        <v>180</v>
      </c>
      <c r="J1193" s="198">
        <v>150</v>
      </c>
      <c r="K1193" s="198">
        <v>180</v>
      </c>
      <c r="L1193" s="198">
        <v>150</v>
      </c>
      <c r="M1193" s="198"/>
      <c r="N1193" s="721">
        <f t="shared" si="285"/>
        <v>740</v>
      </c>
      <c r="O1193" s="721">
        <f t="shared" si="286"/>
        <v>0</v>
      </c>
      <c r="P1193" s="722">
        <f t="shared" si="287"/>
        <v>16.623999999999999</v>
      </c>
      <c r="Q1193" s="686" t="str">
        <f t="shared" si="288"/>
        <v>-</v>
      </c>
      <c r="R1193" s="686" t="str">
        <f t="shared" si="289"/>
        <v>-</v>
      </c>
      <c r="S1193" s="686" t="str">
        <f t="shared" si="290"/>
        <v>-</v>
      </c>
      <c r="T1193" s="686" t="str">
        <f t="shared" si="291"/>
        <v>-</v>
      </c>
      <c r="U1193" s="723" t="str">
        <f t="shared" si="292"/>
        <v>-</v>
      </c>
      <c r="V1193" s="695" t="str">
        <f t="shared" si="293"/>
        <v>-</v>
      </c>
      <c r="W1193" s="711"/>
    </row>
    <row r="1194" spans="1:23" ht="16.5" hidden="1" outlineLevel="1">
      <c r="A1194" s="195"/>
      <c r="B1194" s="172"/>
      <c r="C1194" s="196"/>
      <c r="D1194" s="685"/>
      <c r="E1194" s="196"/>
      <c r="F1194" s="685"/>
      <c r="G1194" s="204"/>
      <c r="H1194" s="203"/>
      <c r="I1194" s="198"/>
      <c r="J1194" s="198"/>
      <c r="K1194" s="198"/>
      <c r="L1194" s="198"/>
      <c r="M1194" s="198"/>
      <c r="N1194" s="198"/>
      <c r="O1194" s="198"/>
      <c r="P1194" s="199"/>
      <c r="Q1194" s="200"/>
      <c r="R1194" s="200"/>
      <c r="S1194" s="200"/>
      <c r="T1194" s="200"/>
      <c r="U1194" s="688"/>
      <c r="V1194" s="200"/>
      <c r="W1194" s="711"/>
    </row>
    <row r="1195" spans="1:23" ht="16.5" hidden="1" outlineLevel="1">
      <c r="A1195" s="726">
        <v>4</v>
      </c>
      <c r="B1195" s="730" t="s">
        <v>1574</v>
      </c>
      <c r="C1195" s="727">
        <v>10</v>
      </c>
      <c r="D1195" s="690"/>
      <c r="E1195" s="720" t="s">
        <v>1557</v>
      </c>
      <c r="F1195" s="685">
        <v>1</v>
      </c>
      <c r="G1195" s="239">
        <v>1</v>
      </c>
      <c r="H1195" s="203">
        <v>2</v>
      </c>
      <c r="I1195" s="198">
        <f>C1195*10</f>
        <v>100</v>
      </c>
      <c r="J1195" s="171">
        <f>4748-50</f>
        <v>4698</v>
      </c>
      <c r="K1195" s="198">
        <v>100</v>
      </c>
      <c r="L1195" s="198"/>
      <c r="M1195" s="198"/>
      <c r="N1195" s="721">
        <f t="shared" ref="N1195:N1197" si="294">IF(E1195="L Shape",(I1195+J1195)-(C1195*2*1),IF(E1195="U Shape",(I1195+J1195+K1195)-(C1195*2*2),IF(E1195="Rectangle",(I1195+J1195+K1195+L1195)+(C1195*10*2)-(C1195*2*5),IF(E1195="Straight",J1195-(C1195*0),IF(E1195="Chair",(I1195+J1195+K1195+L1195+M1195)-(C1195*2*4),IF(E1195="U2 Shape",(I1195+J1195+K1195+L1195+M1195)-(C1195*2*4),IF(E1195="U3 Shape",(I1195+J1195+K1195+L1195)-(C1195*2*3),IF(E1195="Z Shape",(I1195+J1195+K1195)-(C1195*2*2),IF(E1195="Triangle",(I1195+J1195+K1195)+(C1195*10*2)-(C1195*2*4),IF(E1195="Trapezoid2",(I1195+I1195+J1195+K1195+K1195+L1195)+(C1195*10*2)-(C1195*2*7),IF(E1195="Trapezoid",(I1195+J1195+K1195+L1195)+(C1195*10*2)-(C1195*2*5),IF(E1195="Link",J1195+(C1195*10*2),IF(E1195="U5 Shape",(I1195+J1195+K1195+L1195)-(C1195*2*3),IF(E1195="DU2 Shape",(I1195+J1195+K1195+L1195)-(C1195*2*4),IF(E1195="SU Shape",(I1195+J1195+K1195)-(C1195*2*2),"-")))))))))))))))</f>
        <v>4858</v>
      </c>
      <c r="O1195" s="721">
        <f t="shared" ref="O1195:O1197" si="295">IF(N1195&lt;12001,C1195*49*0,IF(N1195&lt;24001,C1195*49*1,IF(N1195&lt;36001,C1195*49*2,IF(N1195&lt;48001,C1195*49*3,IF(N1195&lt;60001,C1195*49*4,IF(N1195&lt;72001,(C1195*49*5),IF(N1195&lt;84001,(C1195*49*6),IF(N1195&lt;96001,(C1195*49*7),IF(N1195&lt;108001,(C1195*49*8),IF(N1195&lt;120001,(C1195*49*9),IF(N1195&lt;132001,(C1195*49*10),IF(N1195&lt;144001,(C1195*49*11),""))))))))))))</f>
        <v>0</v>
      </c>
      <c r="P1195" s="722" t="str">
        <f t="shared" ref="P1195:P1197" si="296">IF(C1195=8,ROUND(((N1195+O1195)*F1195*G1195*H1195)/1000,3),"-")</f>
        <v>-</v>
      </c>
      <c r="Q1195" s="686">
        <f t="shared" ref="Q1195:Q1197" si="297">IF(C1195=10,ROUND(((N1195+O1195)*F1195*G1195*H1195)/1000,3),"-")</f>
        <v>9.7159999999999993</v>
      </c>
      <c r="R1195" s="686" t="str">
        <f t="shared" ref="R1195:R1197" si="298">IF(C1195=12,ROUND(((N1195+O1195)*F1195*G1195*H1195)/1000,3),"-")</f>
        <v>-</v>
      </c>
      <c r="S1195" s="686" t="str">
        <f t="shared" ref="S1195:S1197" si="299">IF(C1195=16,ROUND(((N1195+O1195)*F1195*G1195*H1195)/1000,3),"-")</f>
        <v>-</v>
      </c>
      <c r="T1195" s="686" t="str">
        <f t="shared" ref="T1195:T1197" si="300">IF(C1195=20,ROUND(((N1195+O1195)*F1195*G1195*H1195)/1000,3),"-")</f>
        <v>-</v>
      </c>
      <c r="U1195" s="723" t="str">
        <f t="shared" ref="U1195:U1197" si="301">IF(C1195=25,ROUND(((N1195+O1195)*F1195*G1195*H1195)/1000,3),"-")</f>
        <v>-</v>
      </c>
      <c r="V1195" s="695" t="str">
        <f t="shared" ref="V1195:V1197" si="302">IF(C1195=32,ROUND(((N1195+O1195)*F1195*G1195*H1195)/1000,3),"-")</f>
        <v>-</v>
      </c>
      <c r="W1195" s="711"/>
    </row>
    <row r="1196" spans="1:23" ht="16.5" hidden="1" outlineLevel="1">
      <c r="A1196" s="726"/>
      <c r="B1196" s="726" t="s">
        <v>393</v>
      </c>
      <c r="C1196" s="727">
        <v>10</v>
      </c>
      <c r="D1196" s="690"/>
      <c r="E1196" s="720" t="s">
        <v>1557</v>
      </c>
      <c r="F1196" s="685">
        <v>1</v>
      </c>
      <c r="G1196" s="239">
        <v>1</v>
      </c>
      <c r="H1196" s="203">
        <v>2</v>
      </c>
      <c r="I1196" s="198">
        <f>C1196*10</f>
        <v>100</v>
      </c>
      <c r="J1196" s="171">
        <f>4748-50</f>
        <v>4698</v>
      </c>
      <c r="K1196" s="198">
        <v>100</v>
      </c>
      <c r="L1196" s="198"/>
      <c r="M1196" s="198"/>
      <c r="N1196" s="721">
        <f t="shared" si="294"/>
        <v>4858</v>
      </c>
      <c r="O1196" s="721">
        <f t="shared" si="295"/>
        <v>0</v>
      </c>
      <c r="P1196" s="722" t="str">
        <f t="shared" si="296"/>
        <v>-</v>
      </c>
      <c r="Q1196" s="686">
        <f t="shared" si="297"/>
        <v>9.7159999999999993</v>
      </c>
      <c r="R1196" s="686" t="str">
        <f t="shared" si="298"/>
        <v>-</v>
      </c>
      <c r="S1196" s="686" t="str">
        <f t="shared" si="299"/>
        <v>-</v>
      </c>
      <c r="T1196" s="686" t="str">
        <f t="shared" si="300"/>
        <v>-</v>
      </c>
      <c r="U1196" s="723" t="str">
        <f t="shared" si="301"/>
        <v>-</v>
      </c>
      <c r="V1196" s="695" t="str">
        <f t="shared" si="302"/>
        <v>-</v>
      </c>
      <c r="W1196" s="711"/>
    </row>
    <row r="1197" spans="1:23" ht="16.5" hidden="1" outlineLevel="1">
      <c r="A1197" s="726"/>
      <c r="B1197" s="726" t="s">
        <v>394</v>
      </c>
      <c r="C1197" s="727">
        <v>8</v>
      </c>
      <c r="D1197" s="690"/>
      <c r="E1197" s="691" t="s">
        <v>1558</v>
      </c>
      <c r="F1197" s="685">
        <v>1</v>
      </c>
      <c r="G1197" s="239">
        <v>1</v>
      </c>
      <c r="H1197" s="203">
        <f>((J1195)/200)+1</f>
        <v>24.49</v>
      </c>
      <c r="I1197" s="198">
        <v>180</v>
      </c>
      <c r="J1197" s="198">
        <v>150</v>
      </c>
      <c r="K1197" s="198">
        <v>180</v>
      </c>
      <c r="L1197" s="198">
        <v>150</v>
      </c>
      <c r="M1197" s="198"/>
      <c r="N1197" s="721">
        <f t="shared" si="294"/>
        <v>740</v>
      </c>
      <c r="O1197" s="721">
        <f t="shared" si="295"/>
        <v>0</v>
      </c>
      <c r="P1197" s="722">
        <f t="shared" si="296"/>
        <v>18.123000000000001</v>
      </c>
      <c r="Q1197" s="686" t="str">
        <f t="shared" si="297"/>
        <v>-</v>
      </c>
      <c r="R1197" s="686" t="str">
        <f t="shared" si="298"/>
        <v>-</v>
      </c>
      <c r="S1197" s="686" t="str">
        <f t="shared" si="299"/>
        <v>-</v>
      </c>
      <c r="T1197" s="686" t="str">
        <f t="shared" si="300"/>
        <v>-</v>
      </c>
      <c r="U1197" s="723" t="str">
        <f t="shared" si="301"/>
        <v>-</v>
      </c>
      <c r="V1197" s="695" t="str">
        <f t="shared" si="302"/>
        <v>-</v>
      </c>
      <c r="W1197" s="711"/>
    </row>
    <row r="1198" spans="1:23" ht="16.5" hidden="1" outlineLevel="1">
      <c r="A1198" s="195"/>
      <c r="B1198" s="172"/>
      <c r="C1198" s="196"/>
      <c r="D1198" s="685"/>
      <c r="E1198" s="196"/>
      <c r="F1198" s="685"/>
      <c r="G1198" s="204"/>
      <c r="H1198" s="203"/>
      <c r="I1198" s="198"/>
      <c r="J1198" s="198"/>
      <c r="K1198" s="198"/>
      <c r="L1198" s="198"/>
      <c r="M1198" s="198"/>
      <c r="N1198" s="198"/>
      <c r="O1198" s="198"/>
      <c r="P1198" s="199"/>
      <c r="Q1198" s="200"/>
      <c r="R1198" s="200"/>
      <c r="S1198" s="200"/>
      <c r="T1198" s="200"/>
      <c r="U1198" s="688"/>
      <c r="V1198" s="200"/>
      <c r="W1198" s="711"/>
    </row>
    <row r="1199" spans="1:23" ht="16.5" hidden="1" outlineLevel="1">
      <c r="A1199" s="726">
        <v>5</v>
      </c>
      <c r="B1199" s="730" t="s">
        <v>1574</v>
      </c>
      <c r="C1199" s="727">
        <v>10</v>
      </c>
      <c r="D1199" s="690"/>
      <c r="E1199" s="720" t="s">
        <v>1557</v>
      </c>
      <c r="F1199" s="685">
        <v>1</v>
      </c>
      <c r="G1199" s="239">
        <v>1</v>
      </c>
      <c r="H1199" s="203">
        <v>2</v>
      </c>
      <c r="I1199" s="198">
        <f>C1199*10</f>
        <v>100</v>
      </c>
      <c r="J1199" s="171">
        <f>374-50</f>
        <v>324</v>
      </c>
      <c r="K1199" s="198">
        <v>100</v>
      </c>
      <c r="L1199" s="198"/>
      <c r="M1199" s="198"/>
      <c r="N1199" s="721">
        <f t="shared" ref="N1199:N1201" si="303">IF(E1199="L Shape",(I1199+J1199)-(C1199*2*1),IF(E1199="U Shape",(I1199+J1199+K1199)-(C1199*2*2),IF(E1199="Rectangle",(I1199+J1199+K1199+L1199)+(C1199*10*2)-(C1199*2*5),IF(E1199="Straight",J1199-(C1199*0),IF(E1199="Chair",(I1199+J1199+K1199+L1199+M1199)-(C1199*2*4),IF(E1199="U2 Shape",(I1199+J1199+K1199+L1199+M1199)-(C1199*2*4),IF(E1199="U3 Shape",(I1199+J1199+K1199+L1199)-(C1199*2*3),IF(E1199="Z Shape",(I1199+J1199+K1199)-(C1199*2*2),IF(E1199="Triangle",(I1199+J1199+K1199)+(C1199*10*2)-(C1199*2*4),IF(E1199="Trapezoid2",(I1199+I1199+J1199+K1199+K1199+L1199)+(C1199*10*2)-(C1199*2*7),IF(E1199="Trapezoid",(I1199+J1199+K1199+L1199)+(C1199*10*2)-(C1199*2*5),IF(E1199="Link",J1199+(C1199*10*2),IF(E1199="U5 Shape",(I1199+J1199+K1199+L1199)-(C1199*2*3),IF(E1199="DU2 Shape",(I1199+J1199+K1199+L1199)-(C1199*2*4),IF(E1199="SU Shape",(I1199+J1199+K1199)-(C1199*2*2),"-")))))))))))))))</f>
        <v>484</v>
      </c>
      <c r="O1199" s="721">
        <f t="shared" ref="O1199:O1201" si="304">IF(N1199&lt;12001,C1199*49*0,IF(N1199&lt;24001,C1199*49*1,IF(N1199&lt;36001,C1199*49*2,IF(N1199&lt;48001,C1199*49*3,IF(N1199&lt;60001,C1199*49*4,IF(N1199&lt;72001,(C1199*49*5),IF(N1199&lt;84001,(C1199*49*6),IF(N1199&lt;96001,(C1199*49*7),IF(N1199&lt;108001,(C1199*49*8),IF(N1199&lt;120001,(C1199*49*9),IF(N1199&lt;132001,(C1199*49*10),IF(N1199&lt;144001,(C1199*49*11),""))))))))))))</f>
        <v>0</v>
      </c>
      <c r="P1199" s="722" t="str">
        <f t="shared" ref="P1199:P1201" si="305">IF(C1199=8,ROUND(((N1199+O1199)*F1199*G1199*H1199)/1000,3),"-")</f>
        <v>-</v>
      </c>
      <c r="Q1199" s="686">
        <f t="shared" ref="Q1199:Q1201" si="306">IF(C1199=10,ROUND(((N1199+O1199)*F1199*G1199*H1199)/1000,3),"-")</f>
        <v>0.96799999999999997</v>
      </c>
      <c r="R1199" s="686" t="str">
        <f t="shared" ref="R1199:R1201" si="307">IF(C1199=12,ROUND(((N1199+O1199)*F1199*G1199*H1199)/1000,3),"-")</f>
        <v>-</v>
      </c>
      <c r="S1199" s="686" t="str">
        <f t="shared" ref="S1199:S1201" si="308">IF(C1199=16,ROUND(((N1199+O1199)*F1199*G1199*H1199)/1000,3),"-")</f>
        <v>-</v>
      </c>
      <c r="T1199" s="686" t="str">
        <f t="shared" ref="T1199:T1201" si="309">IF(C1199=20,ROUND(((N1199+O1199)*F1199*G1199*H1199)/1000,3),"-")</f>
        <v>-</v>
      </c>
      <c r="U1199" s="723" t="str">
        <f t="shared" ref="U1199:U1201" si="310">IF(C1199=25,ROUND(((N1199+O1199)*F1199*G1199*H1199)/1000,3),"-")</f>
        <v>-</v>
      </c>
      <c r="V1199" s="695" t="str">
        <f t="shared" ref="V1199:V1201" si="311">IF(C1199=32,ROUND(((N1199+O1199)*F1199*G1199*H1199)/1000,3),"-")</f>
        <v>-</v>
      </c>
      <c r="W1199" s="711"/>
    </row>
    <row r="1200" spans="1:23" ht="16.5" hidden="1" outlineLevel="1">
      <c r="A1200" s="726"/>
      <c r="B1200" s="726" t="s">
        <v>393</v>
      </c>
      <c r="C1200" s="727">
        <v>10</v>
      </c>
      <c r="D1200" s="690"/>
      <c r="E1200" s="720" t="s">
        <v>1557</v>
      </c>
      <c r="F1200" s="685">
        <v>1</v>
      </c>
      <c r="G1200" s="239">
        <v>1</v>
      </c>
      <c r="H1200" s="203">
        <v>2</v>
      </c>
      <c r="I1200" s="198">
        <f>C1200*10</f>
        <v>100</v>
      </c>
      <c r="J1200" s="171">
        <f>374-50</f>
        <v>324</v>
      </c>
      <c r="K1200" s="198">
        <v>100</v>
      </c>
      <c r="L1200" s="198"/>
      <c r="M1200" s="198"/>
      <c r="N1200" s="721">
        <f t="shared" si="303"/>
        <v>484</v>
      </c>
      <c r="O1200" s="721">
        <f t="shared" si="304"/>
        <v>0</v>
      </c>
      <c r="P1200" s="722" t="str">
        <f t="shared" si="305"/>
        <v>-</v>
      </c>
      <c r="Q1200" s="686">
        <f t="shared" si="306"/>
        <v>0.96799999999999997</v>
      </c>
      <c r="R1200" s="686" t="str">
        <f t="shared" si="307"/>
        <v>-</v>
      </c>
      <c r="S1200" s="686" t="str">
        <f t="shared" si="308"/>
        <v>-</v>
      </c>
      <c r="T1200" s="686" t="str">
        <f t="shared" si="309"/>
        <v>-</v>
      </c>
      <c r="U1200" s="723" t="str">
        <f t="shared" si="310"/>
        <v>-</v>
      </c>
      <c r="V1200" s="695" t="str">
        <f t="shared" si="311"/>
        <v>-</v>
      </c>
      <c r="W1200" s="711"/>
    </row>
    <row r="1201" spans="1:23" ht="16.5" hidden="1" outlineLevel="1">
      <c r="A1201" s="726"/>
      <c r="B1201" s="726" t="s">
        <v>394</v>
      </c>
      <c r="C1201" s="727">
        <v>8</v>
      </c>
      <c r="D1201" s="690"/>
      <c r="E1201" s="691" t="s">
        <v>1558</v>
      </c>
      <c r="F1201" s="685">
        <v>1</v>
      </c>
      <c r="G1201" s="239">
        <v>1</v>
      </c>
      <c r="H1201" s="203">
        <f>((J1199)/200)+1</f>
        <v>2.62</v>
      </c>
      <c r="I1201" s="198">
        <v>180</v>
      </c>
      <c r="J1201" s="198">
        <v>150</v>
      </c>
      <c r="K1201" s="198">
        <v>180</v>
      </c>
      <c r="L1201" s="198">
        <v>150</v>
      </c>
      <c r="M1201" s="198"/>
      <c r="N1201" s="721">
        <f t="shared" si="303"/>
        <v>740</v>
      </c>
      <c r="O1201" s="721">
        <f t="shared" si="304"/>
        <v>0</v>
      </c>
      <c r="P1201" s="722">
        <f t="shared" si="305"/>
        <v>1.9390000000000001</v>
      </c>
      <c r="Q1201" s="686" t="str">
        <f t="shared" si="306"/>
        <v>-</v>
      </c>
      <c r="R1201" s="686" t="str">
        <f t="shared" si="307"/>
        <v>-</v>
      </c>
      <c r="S1201" s="686" t="str">
        <f t="shared" si="308"/>
        <v>-</v>
      </c>
      <c r="T1201" s="686" t="str">
        <f t="shared" si="309"/>
        <v>-</v>
      </c>
      <c r="U1201" s="723" t="str">
        <f t="shared" si="310"/>
        <v>-</v>
      </c>
      <c r="V1201" s="695" t="str">
        <f t="shared" si="311"/>
        <v>-</v>
      </c>
      <c r="W1201" s="711"/>
    </row>
    <row r="1202" spans="1:23" ht="16.5" hidden="1" outlineLevel="1">
      <c r="A1202" s="195"/>
      <c r="B1202" s="172"/>
      <c r="C1202" s="196"/>
      <c r="D1202" s="685"/>
      <c r="E1202" s="196"/>
      <c r="F1202" s="685"/>
      <c r="G1202" s="204"/>
      <c r="H1202" s="203"/>
      <c r="I1202" s="198"/>
      <c r="J1202" s="198"/>
      <c r="K1202" s="198"/>
      <c r="L1202" s="198"/>
      <c r="M1202" s="198"/>
      <c r="N1202" s="198"/>
      <c r="O1202" s="198"/>
      <c r="P1202" s="199"/>
      <c r="Q1202" s="200"/>
      <c r="R1202" s="200"/>
      <c r="S1202" s="200"/>
      <c r="T1202" s="200"/>
      <c r="U1202" s="688"/>
      <c r="V1202" s="200"/>
      <c r="W1202" s="711"/>
    </row>
    <row r="1203" spans="1:23" ht="31.5" hidden="1" outlineLevel="1">
      <c r="A1203" s="5" t="s">
        <v>1626</v>
      </c>
      <c r="B1203" s="751" t="s">
        <v>1627</v>
      </c>
      <c r="C1203" s="196"/>
      <c r="D1203" s="685"/>
      <c r="E1203" s="196"/>
      <c r="F1203" s="685"/>
      <c r="G1203" s="204"/>
      <c r="H1203" s="203"/>
      <c r="I1203" s="198"/>
      <c r="J1203" s="198"/>
      <c r="K1203" s="198"/>
      <c r="L1203" s="198"/>
      <c r="M1203" s="198"/>
      <c r="N1203" s="198"/>
      <c r="O1203" s="198"/>
      <c r="P1203" s="199"/>
      <c r="Q1203" s="200"/>
      <c r="R1203" s="200"/>
      <c r="S1203" s="200"/>
      <c r="T1203" s="200"/>
      <c r="U1203" s="688"/>
      <c r="V1203" s="200"/>
      <c r="W1203" s="711"/>
    </row>
    <row r="1204" spans="1:23" ht="16.5" hidden="1" outlineLevel="1">
      <c r="A1204" s="195"/>
      <c r="B1204" s="172"/>
      <c r="C1204" s="196"/>
      <c r="D1204" s="685"/>
      <c r="E1204" s="196"/>
      <c r="F1204" s="685"/>
      <c r="G1204" s="204"/>
      <c r="H1204" s="203"/>
      <c r="I1204" s="198"/>
      <c r="J1204" s="198"/>
      <c r="K1204" s="198"/>
      <c r="L1204" s="198"/>
      <c r="M1204" s="198"/>
      <c r="N1204" s="198"/>
      <c r="O1204" s="198"/>
      <c r="P1204" s="199"/>
      <c r="Q1204" s="200"/>
      <c r="R1204" s="200"/>
      <c r="S1204" s="200"/>
      <c r="T1204" s="200"/>
      <c r="U1204" s="688"/>
      <c r="V1204" s="200"/>
      <c r="W1204" s="711"/>
    </row>
    <row r="1205" spans="1:23" ht="16.5" hidden="1" outlineLevel="1">
      <c r="A1205" s="726">
        <v>1</v>
      </c>
      <c r="B1205" s="730" t="s">
        <v>1574</v>
      </c>
      <c r="C1205" s="727">
        <v>10</v>
      </c>
      <c r="D1205" s="690"/>
      <c r="E1205" s="720" t="s">
        <v>1557</v>
      </c>
      <c r="F1205" s="685">
        <v>1</v>
      </c>
      <c r="G1205" s="239">
        <v>1</v>
      </c>
      <c r="H1205" s="203">
        <v>2</v>
      </c>
      <c r="I1205" s="198">
        <f>C1205*10</f>
        <v>100</v>
      </c>
      <c r="J1205" s="171">
        <f>1359-50</f>
        <v>1309</v>
      </c>
      <c r="K1205" s="198">
        <v>100</v>
      </c>
      <c r="L1205" s="198"/>
      <c r="M1205" s="198"/>
      <c r="N1205" s="721">
        <f t="shared" ref="N1205:N1207" si="312">IF(E1205="L Shape",(I1205+J1205)-(C1205*2*1),IF(E1205="U Shape",(I1205+J1205+K1205)-(C1205*2*2),IF(E1205="Rectangle",(I1205+J1205+K1205+L1205)+(C1205*10*2)-(C1205*2*5),IF(E1205="Straight",J1205-(C1205*0),IF(E1205="Chair",(I1205+J1205+K1205+L1205+M1205)-(C1205*2*4),IF(E1205="U2 Shape",(I1205+J1205+K1205+L1205+M1205)-(C1205*2*4),IF(E1205="U3 Shape",(I1205+J1205+K1205+L1205)-(C1205*2*3),IF(E1205="Z Shape",(I1205+J1205+K1205)-(C1205*2*2),IF(E1205="Triangle",(I1205+J1205+K1205)+(C1205*10*2)-(C1205*2*4),IF(E1205="Trapezoid2",(I1205+I1205+J1205+K1205+K1205+L1205)+(C1205*10*2)-(C1205*2*7),IF(E1205="Trapezoid",(I1205+J1205+K1205+L1205)+(C1205*10*2)-(C1205*2*5),IF(E1205="Link",J1205+(C1205*10*2),IF(E1205="U5 Shape",(I1205+J1205+K1205+L1205)-(C1205*2*3),IF(E1205="DU2 Shape",(I1205+J1205+K1205+L1205)-(C1205*2*4),IF(E1205="SU Shape",(I1205+J1205+K1205)-(C1205*2*2),"-")))))))))))))))</f>
        <v>1469</v>
      </c>
      <c r="O1205" s="721">
        <f t="shared" ref="O1205:O1207" si="313">IF(N1205&lt;12001,C1205*49*0,IF(N1205&lt;24001,C1205*49*1,IF(N1205&lt;36001,C1205*49*2,IF(N1205&lt;48001,C1205*49*3,IF(N1205&lt;60001,C1205*49*4,IF(N1205&lt;72001,(C1205*49*5),IF(N1205&lt;84001,(C1205*49*6),IF(N1205&lt;96001,(C1205*49*7),IF(N1205&lt;108001,(C1205*49*8),IF(N1205&lt;120001,(C1205*49*9),IF(N1205&lt;132001,(C1205*49*10),IF(N1205&lt;144001,(C1205*49*11),""))))))))))))</f>
        <v>0</v>
      </c>
      <c r="P1205" s="722" t="str">
        <f t="shared" ref="P1205:P1207" si="314">IF(C1205=8,ROUND(((N1205+O1205)*F1205*G1205*H1205)/1000,3),"-")</f>
        <v>-</v>
      </c>
      <c r="Q1205" s="686">
        <f t="shared" ref="Q1205:Q1207" si="315">IF(C1205=10,ROUND(((N1205+O1205)*F1205*G1205*H1205)/1000,3),"-")</f>
        <v>2.9380000000000002</v>
      </c>
      <c r="R1205" s="686" t="str">
        <f t="shared" ref="R1205:R1207" si="316">IF(C1205=12,ROUND(((N1205+O1205)*F1205*G1205*H1205)/1000,3),"-")</f>
        <v>-</v>
      </c>
      <c r="S1205" s="686" t="str">
        <f t="shared" ref="S1205:S1207" si="317">IF(C1205=16,ROUND(((N1205+O1205)*F1205*G1205*H1205)/1000,3),"-")</f>
        <v>-</v>
      </c>
      <c r="T1205" s="686" t="str">
        <f t="shared" ref="T1205:T1207" si="318">IF(C1205=20,ROUND(((N1205+O1205)*F1205*G1205*H1205)/1000,3),"-")</f>
        <v>-</v>
      </c>
      <c r="U1205" s="723" t="str">
        <f t="shared" ref="U1205:U1207" si="319">IF(C1205=25,ROUND(((N1205+O1205)*F1205*G1205*H1205)/1000,3),"-")</f>
        <v>-</v>
      </c>
      <c r="V1205" s="695" t="str">
        <f t="shared" ref="V1205:V1207" si="320">IF(C1205=32,ROUND(((N1205+O1205)*F1205*G1205*H1205)/1000,3),"-")</f>
        <v>-</v>
      </c>
      <c r="W1205" s="711"/>
    </row>
    <row r="1206" spans="1:23" ht="16.5" hidden="1" outlineLevel="1">
      <c r="A1206" s="726"/>
      <c r="B1206" s="726" t="s">
        <v>393</v>
      </c>
      <c r="C1206" s="727">
        <v>10</v>
      </c>
      <c r="D1206" s="690"/>
      <c r="E1206" s="720" t="s">
        <v>1557</v>
      </c>
      <c r="F1206" s="685">
        <v>1</v>
      </c>
      <c r="G1206" s="239">
        <v>1</v>
      </c>
      <c r="H1206" s="203">
        <v>2</v>
      </c>
      <c r="I1206" s="198">
        <f>C1206*10</f>
        <v>100</v>
      </c>
      <c r="J1206" s="171">
        <f>1359-50</f>
        <v>1309</v>
      </c>
      <c r="K1206" s="198">
        <v>100</v>
      </c>
      <c r="L1206" s="198"/>
      <c r="M1206" s="198"/>
      <c r="N1206" s="721">
        <f t="shared" si="312"/>
        <v>1469</v>
      </c>
      <c r="O1206" s="721">
        <f t="shared" si="313"/>
        <v>0</v>
      </c>
      <c r="P1206" s="722" t="str">
        <f t="shared" si="314"/>
        <v>-</v>
      </c>
      <c r="Q1206" s="686">
        <f t="shared" si="315"/>
        <v>2.9380000000000002</v>
      </c>
      <c r="R1206" s="686" t="str">
        <f t="shared" si="316"/>
        <v>-</v>
      </c>
      <c r="S1206" s="686" t="str">
        <f t="shared" si="317"/>
        <v>-</v>
      </c>
      <c r="T1206" s="686" t="str">
        <f t="shared" si="318"/>
        <v>-</v>
      </c>
      <c r="U1206" s="723" t="str">
        <f t="shared" si="319"/>
        <v>-</v>
      </c>
      <c r="V1206" s="695" t="str">
        <f t="shared" si="320"/>
        <v>-</v>
      </c>
      <c r="W1206" s="711"/>
    </row>
    <row r="1207" spans="1:23" ht="16.5" hidden="1" outlineLevel="1">
      <c r="A1207" s="726"/>
      <c r="B1207" s="726" t="s">
        <v>394</v>
      </c>
      <c r="C1207" s="727">
        <v>8</v>
      </c>
      <c r="D1207" s="690"/>
      <c r="E1207" s="691" t="s">
        <v>1558</v>
      </c>
      <c r="F1207" s="685">
        <v>1</v>
      </c>
      <c r="G1207" s="239">
        <v>1</v>
      </c>
      <c r="H1207" s="203">
        <f>((J1205)/200)+1</f>
        <v>7.5449999999999999</v>
      </c>
      <c r="I1207" s="198">
        <v>180</v>
      </c>
      <c r="J1207" s="198">
        <v>150</v>
      </c>
      <c r="K1207" s="198">
        <v>180</v>
      </c>
      <c r="L1207" s="198">
        <v>150</v>
      </c>
      <c r="M1207" s="198"/>
      <c r="N1207" s="721">
        <f t="shared" si="312"/>
        <v>740</v>
      </c>
      <c r="O1207" s="721">
        <f t="shared" si="313"/>
        <v>0</v>
      </c>
      <c r="P1207" s="722">
        <f t="shared" si="314"/>
        <v>5.5830000000000002</v>
      </c>
      <c r="Q1207" s="686" t="str">
        <f t="shared" si="315"/>
        <v>-</v>
      </c>
      <c r="R1207" s="686" t="str">
        <f t="shared" si="316"/>
        <v>-</v>
      </c>
      <c r="S1207" s="686" t="str">
        <f t="shared" si="317"/>
        <v>-</v>
      </c>
      <c r="T1207" s="686" t="str">
        <f t="shared" si="318"/>
        <v>-</v>
      </c>
      <c r="U1207" s="723" t="str">
        <f t="shared" si="319"/>
        <v>-</v>
      </c>
      <c r="V1207" s="695" t="str">
        <f t="shared" si="320"/>
        <v>-</v>
      </c>
      <c r="W1207" s="711"/>
    </row>
    <row r="1208" spans="1:23" ht="16.5" hidden="1" outlineLevel="1">
      <c r="A1208" s="195"/>
      <c r="B1208" s="172"/>
      <c r="C1208" s="196"/>
      <c r="D1208" s="685"/>
      <c r="E1208" s="196"/>
      <c r="F1208" s="685"/>
      <c r="G1208" s="204"/>
      <c r="H1208" s="203"/>
      <c r="I1208" s="198"/>
      <c r="J1208" s="198"/>
      <c r="K1208" s="198"/>
      <c r="L1208" s="198"/>
      <c r="M1208" s="198"/>
      <c r="N1208" s="198"/>
      <c r="O1208" s="198"/>
      <c r="P1208" s="199"/>
      <c r="Q1208" s="200"/>
      <c r="R1208" s="200"/>
      <c r="S1208" s="200"/>
      <c r="T1208" s="200"/>
      <c r="U1208" s="688"/>
      <c r="V1208" s="200"/>
      <c r="W1208" s="711"/>
    </row>
    <row r="1209" spans="1:23" ht="16.5" hidden="1" outlineLevel="1">
      <c r="A1209" s="726">
        <v>2</v>
      </c>
      <c r="B1209" s="730" t="s">
        <v>1574</v>
      </c>
      <c r="C1209" s="727">
        <v>10</v>
      </c>
      <c r="D1209" s="690"/>
      <c r="E1209" s="720" t="s">
        <v>1557</v>
      </c>
      <c r="F1209" s="685">
        <v>1</v>
      </c>
      <c r="G1209" s="239">
        <v>1</v>
      </c>
      <c r="H1209" s="203">
        <v>2</v>
      </c>
      <c r="I1209" s="198">
        <f>C1209*10</f>
        <v>100</v>
      </c>
      <c r="J1209" s="171">
        <f>26229-50</f>
        <v>26179</v>
      </c>
      <c r="K1209" s="198">
        <v>100</v>
      </c>
      <c r="L1209" s="198"/>
      <c r="M1209" s="198"/>
      <c r="N1209" s="721">
        <f t="shared" ref="N1209:N1211" si="321">IF(E1209="L Shape",(I1209+J1209)-(C1209*2*1),IF(E1209="U Shape",(I1209+J1209+K1209)-(C1209*2*2),IF(E1209="Rectangle",(I1209+J1209+K1209+L1209)+(C1209*10*2)-(C1209*2*5),IF(E1209="Straight",J1209-(C1209*0),IF(E1209="Chair",(I1209+J1209+K1209+L1209+M1209)-(C1209*2*4),IF(E1209="U2 Shape",(I1209+J1209+K1209+L1209+M1209)-(C1209*2*4),IF(E1209="U3 Shape",(I1209+J1209+K1209+L1209)-(C1209*2*3),IF(E1209="Z Shape",(I1209+J1209+K1209)-(C1209*2*2),IF(E1209="Triangle",(I1209+J1209+K1209)+(C1209*10*2)-(C1209*2*4),IF(E1209="Trapezoid2",(I1209+I1209+J1209+K1209+K1209+L1209)+(C1209*10*2)-(C1209*2*7),IF(E1209="Trapezoid",(I1209+J1209+K1209+L1209)+(C1209*10*2)-(C1209*2*5),IF(E1209="Link",J1209+(C1209*10*2),IF(E1209="U5 Shape",(I1209+J1209+K1209+L1209)-(C1209*2*3),IF(E1209="DU2 Shape",(I1209+J1209+K1209+L1209)-(C1209*2*4),IF(E1209="SU Shape",(I1209+J1209+K1209)-(C1209*2*2),"-")))))))))))))))</f>
        <v>26339</v>
      </c>
      <c r="O1209" s="721">
        <f t="shared" ref="O1209:O1211" si="322">IF(N1209&lt;12001,C1209*49*0,IF(N1209&lt;24001,C1209*49*1,IF(N1209&lt;36001,C1209*49*2,IF(N1209&lt;48001,C1209*49*3,IF(N1209&lt;60001,C1209*49*4,IF(N1209&lt;72001,(C1209*49*5),IF(N1209&lt;84001,(C1209*49*6),IF(N1209&lt;96001,(C1209*49*7),IF(N1209&lt;108001,(C1209*49*8),IF(N1209&lt;120001,(C1209*49*9),IF(N1209&lt;132001,(C1209*49*10),IF(N1209&lt;144001,(C1209*49*11),""))))))))))))</f>
        <v>980</v>
      </c>
      <c r="P1209" s="722" t="str">
        <f t="shared" ref="P1209:P1211" si="323">IF(C1209=8,ROUND(((N1209+O1209)*F1209*G1209*H1209)/1000,3),"-")</f>
        <v>-</v>
      </c>
      <c r="Q1209" s="686">
        <f t="shared" ref="Q1209:Q1211" si="324">IF(C1209=10,ROUND(((N1209+O1209)*F1209*G1209*H1209)/1000,3),"-")</f>
        <v>54.637999999999998</v>
      </c>
      <c r="R1209" s="686" t="str">
        <f t="shared" ref="R1209:R1211" si="325">IF(C1209=12,ROUND(((N1209+O1209)*F1209*G1209*H1209)/1000,3),"-")</f>
        <v>-</v>
      </c>
      <c r="S1209" s="686" t="str">
        <f t="shared" ref="S1209:S1211" si="326">IF(C1209=16,ROUND(((N1209+O1209)*F1209*G1209*H1209)/1000,3),"-")</f>
        <v>-</v>
      </c>
      <c r="T1209" s="686" t="str">
        <f t="shared" ref="T1209:T1211" si="327">IF(C1209=20,ROUND(((N1209+O1209)*F1209*G1209*H1209)/1000,3),"-")</f>
        <v>-</v>
      </c>
      <c r="U1209" s="723" t="str">
        <f t="shared" ref="U1209:U1211" si="328">IF(C1209=25,ROUND(((N1209+O1209)*F1209*G1209*H1209)/1000,3),"-")</f>
        <v>-</v>
      </c>
      <c r="V1209" s="695" t="str">
        <f t="shared" ref="V1209:V1211" si="329">IF(C1209=32,ROUND(((N1209+O1209)*F1209*G1209*H1209)/1000,3),"-")</f>
        <v>-</v>
      </c>
      <c r="W1209" s="711"/>
    </row>
    <row r="1210" spans="1:23" ht="16.5" hidden="1" outlineLevel="1">
      <c r="A1210" s="726"/>
      <c r="B1210" s="726" t="s">
        <v>393</v>
      </c>
      <c r="C1210" s="727">
        <v>10</v>
      </c>
      <c r="D1210" s="690"/>
      <c r="E1210" s="720" t="s">
        <v>1557</v>
      </c>
      <c r="F1210" s="685">
        <v>1</v>
      </c>
      <c r="G1210" s="239">
        <v>1</v>
      </c>
      <c r="H1210" s="203">
        <v>2</v>
      </c>
      <c r="I1210" s="198">
        <f>C1210*10</f>
        <v>100</v>
      </c>
      <c r="J1210" s="171">
        <f>26229-50</f>
        <v>26179</v>
      </c>
      <c r="K1210" s="198">
        <v>100</v>
      </c>
      <c r="L1210" s="198"/>
      <c r="M1210" s="198"/>
      <c r="N1210" s="721">
        <f t="shared" si="321"/>
        <v>26339</v>
      </c>
      <c r="O1210" s="721">
        <f t="shared" si="322"/>
        <v>980</v>
      </c>
      <c r="P1210" s="722" t="str">
        <f t="shared" si="323"/>
        <v>-</v>
      </c>
      <c r="Q1210" s="686">
        <f t="shared" si="324"/>
        <v>54.637999999999998</v>
      </c>
      <c r="R1210" s="686" t="str">
        <f t="shared" si="325"/>
        <v>-</v>
      </c>
      <c r="S1210" s="686" t="str">
        <f t="shared" si="326"/>
        <v>-</v>
      </c>
      <c r="T1210" s="686" t="str">
        <f t="shared" si="327"/>
        <v>-</v>
      </c>
      <c r="U1210" s="723" t="str">
        <f t="shared" si="328"/>
        <v>-</v>
      </c>
      <c r="V1210" s="695" t="str">
        <f t="shared" si="329"/>
        <v>-</v>
      </c>
      <c r="W1210" s="711"/>
    </row>
    <row r="1211" spans="1:23" ht="16.5" hidden="1" outlineLevel="1">
      <c r="A1211" s="726"/>
      <c r="B1211" s="726" t="s">
        <v>394</v>
      </c>
      <c r="C1211" s="727">
        <v>8</v>
      </c>
      <c r="D1211" s="690"/>
      <c r="E1211" s="691" t="s">
        <v>1558</v>
      </c>
      <c r="F1211" s="685">
        <v>1</v>
      </c>
      <c r="G1211" s="239">
        <v>1</v>
      </c>
      <c r="H1211" s="203">
        <f>((J1209)/200)+1</f>
        <v>131.89500000000001</v>
      </c>
      <c r="I1211" s="198">
        <v>180</v>
      </c>
      <c r="J1211" s="198">
        <v>150</v>
      </c>
      <c r="K1211" s="198">
        <v>180</v>
      </c>
      <c r="L1211" s="198">
        <v>150</v>
      </c>
      <c r="M1211" s="198"/>
      <c r="N1211" s="721">
        <f t="shared" si="321"/>
        <v>740</v>
      </c>
      <c r="O1211" s="721">
        <f t="shared" si="322"/>
        <v>0</v>
      </c>
      <c r="P1211" s="722">
        <f t="shared" si="323"/>
        <v>97.602000000000004</v>
      </c>
      <c r="Q1211" s="686" t="str">
        <f t="shared" si="324"/>
        <v>-</v>
      </c>
      <c r="R1211" s="686" t="str">
        <f t="shared" si="325"/>
        <v>-</v>
      </c>
      <c r="S1211" s="686" t="str">
        <f t="shared" si="326"/>
        <v>-</v>
      </c>
      <c r="T1211" s="686" t="str">
        <f t="shared" si="327"/>
        <v>-</v>
      </c>
      <c r="U1211" s="723" t="str">
        <f t="shared" si="328"/>
        <v>-</v>
      </c>
      <c r="V1211" s="695" t="str">
        <f t="shared" si="329"/>
        <v>-</v>
      </c>
      <c r="W1211" s="711"/>
    </row>
    <row r="1212" spans="1:23" ht="16.5" hidden="1" outlineLevel="1">
      <c r="A1212" s="195"/>
      <c r="B1212" s="172"/>
      <c r="C1212" s="196"/>
      <c r="D1212" s="685"/>
      <c r="E1212" s="196"/>
      <c r="F1212" s="685"/>
      <c r="G1212" s="204"/>
      <c r="H1212" s="203"/>
      <c r="I1212" s="198"/>
      <c r="J1212" s="198"/>
      <c r="K1212" s="198"/>
      <c r="L1212" s="198"/>
      <c r="M1212" s="198"/>
      <c r="N1212" s="198"/>
      <c r="O1212" s="198"/>
      <c r="P1212" s="199"/>
      <c r="Q1212" s="200"/>
      <c r="R1212" s="200"/>
      <c r="S1212" s="200"/>
      <c r="T1212" s="200"/>
      <c r="U1212" s="688"/>
      <c r="V1212" s="200"/>
      <c r="W1212" s="711"/>
    </row>
    <row r="1213" spans="1:23" ht="16.5" hidden="1" outlineLevel="1">
      <c r="A1213" s="5" t="s">
        <v>1628</v>
      </c>
      <c r="B1213" s="751" t="s">
        <v>841</v>
      </c>
      <c r="C1213" s="196"/>
      <c r="D1213" s="685"/>
      <c r="E1213" s="752"/>
      <c r="F1213" s="685"/>
      <c r="G1213" s="204"/>
      <c r="H1213" s="203"/>
      <c r="I1213" s="198"/>
      <c r="J1213" s="198"/>
      <c r="K1213" s="198"/>
      <c r="L1213" s="198"/>
      <c r="M1213" s="198"/>
      <c r="N1213" s="198"/>
      <c r="O1213" s="198"/>
      <c r="P1213" s="199"/>
      <c r="Q1213" s="200"/>
      <c r="R1213" s="200"/>
      <c r="S1213" s="200"/>
      <c r="T1213" s="200"/>
      <c r="U1213" s="688"/>
      <c r="V1213" s="200"/>
      <c r="W1213" s="711"/>
    </row>
    <row r="1214" spans="1:23" ht="16.5" hidden="1" outlineLevel="1">
      <c r="A1214" s="726">
        <v>1</v>
      </c>
      <c r="B1214" s="730" t="s">
        <v>1574</v>
      </c>
      <c r="C1214" s="727">
        <v>10</v>
      </c>
      <c r="D1214" s="690"/>
      <c r="E1214" s="753" t="s">
        <v>1557</v>
      </c>
      <c r="F1214" s="685">
        <v>1</v>
      </c>
      <c r="G1214" s="239">
        <v>1</v>
      </c>
      <c r="H1214" s="203">
        <v>2</v>
      </c>
      <c r="I1214" s="198">
        <f>C1214*10</f>
        <v>100</v>
      </c>
      <c r="J1214" s="171">
        <f>10508-50</f>
        <v>10458</v>
      </c>
      <c r="K1214" s="198">
        <v>100</v>
      </c>
      <c r="L1214" s="198"/>
      <c r="M1214" s="198"/>
      <c r="N1214" s="721">
        <f t="shared" ref="N1214:N1216" si="330">IF(E1214="L Shape",(I1214+J1214)-(C1214*2*1),IF(E1214="U Shape",(I1214+J1214+K1214)-(C1214*2*2),IF(E1214="Rectangle",(I1214+J1214+K1214+L1214)+(C1214*10*2)-(C1214*2*5),IF(E1214="Straight",J1214-(C1214*0),IF(E1214="Chair",(I1214+J1214+K1214+L1214+M1214)-(C1214*2*4),IF(E1214="U2 Shape",(I1214+J1214+K1214+L1214+M1214)-(C1214*2*4),IF(E1214="U3 Shape",(I1214+J1214+K1214+L1214)-(C1214*2*3),IF(E1214="Z Shape",(I1214+J1214+K1214)-(C1214*2*2),IF(E1214="Triangle",(I1214+J1214+K1214)+(C1214*10*2)-(C1214*2*4),IF(E1214="Trapezoid2",(I1214+I1214+J1214+K1214+K1214+L1214)+(C1214*10*2)-(C1214*2*7),IF(E1214="Trapezoid",(I1214+J1214+K1214+L1214)+(C1214*10*2)-(C1214*2*5),IF(E1214="Link",J1214+(C1214*10*2),IF(E1214="U5 Shape",(I1214+J1214+K1214+L1214)-(C1214*2*3),IF(E1214="DU2 Shape",(I1214+J1214+K1214+L1214)-(C1214*2*4),IF(E1214="SU Shape",(I1214+J1214+K1214)-(C1214*2*2),"-")))))))))))))))</f>
        <v>10618</v>
      </c>
      <c r="O1214" s="721">
        <f t="shared" ref="O1214:O1216" si="331">IF(N1214&lt;12001,C1214*49*0,IF(N1214&lt;24001,C1214*49*1,IF(N1214&lt;36001,C1214*49*2,IF(N1214&lt;48001,C1214*49*3,IF(N1214&lt;60001,C1214*49*4,IF(N1214&lt;72001,(C1214*49*5),IF(N1214&lt;84001,(C1214*49*6),IF(N1214&lt;96001,(C1214*49*7),IF(N1214&lt;108001,(C1214*49*8),IF(N1214&lt;120001,(C1214*49*9),IF(N1214&lt;132001,(C1214*49*10),IF(N1214&lt;144001,(C1214*49*11),""))))))))))))</f>
        <v>0</v>
      </c>
      <c r="P1214" s="722" t="str">
        <f t="shared" ref="P1214:P1216" si="332">IF(C1214=8,ROUND(((N1214+O1214)*F1214*G1214*H1214)/1000,3),"-")</f>
        <v>-</v>
      </c>
      <c r="Q1214" s="686">
        <f t="shared" ref="Q1214:Q1216" si="333">IF(C1214=10,ROUND(((N1214+O1214)*F1214*G1214*H1214)/1000,3),"-")</f>
        <v>21.236000000000001</v>
      </c>
      <c r="R1214" s="686" t="str">
        <f t="shared" ref="R1214:R1216" si="334">IF(C1214=12,ROUND(((N1214+O1214)*F1214*G1214*H1214)/1000,3),"-")</f>
        <v>-</v>
      </c>
      <c r="S1214" s="686" t="str">
        <f t="shared" ref="S1214:S1216" si="335">IF(C1214=16,ROUND(((N1214+O1214)*F1214*G1214*H1214)/1000,3),"-")</f>
        <v>-</v>
      </c>
      <c r="T1214" s="686" t="str">
        <f t="shared" ref="T1214:T1216" si="336">IF(C1214=20,ROUND(((N1214+O1214)*F1214*G1214*H1214)/1000,3),"-")</f>
        <v>-</v>
      </c>
      <c r="U1214" s="723" t="str">
        <f t="shared" ref="U1214:U1216" si="337">IF(C1214=25,ROUND(((N1214+O1214)*F1214*G1214*H1214)/1000,3),"-")</f>
        <v>-</v>
      </c>
      <c r="V1214" s="695" t="str">
        <f t="shared" ref="V1214:V1216" si="338">IF(C1214=32,ROUND(((N1214+O1214)*F1214*G1214*H1214)/1000,3),"-")</f>
        <v>-</v>
      </c>
      <c r="W1214" s="711"/>
    </row>
    <row r="1215" spans="1:23" ht="16.5" hidden="1" outlineLevel="1">
      <c r="A1215" s="726"/>
      <c r="B1215" s="726" t="s">
        <v>393</v>
      </c>
      <c r="C1215" s="727">
        <v>10</v>
      </c>
      <c r="D1215" s="690"/>
      <c r="E1215" s="753" t="s">
        <v>1557</v>
      </c>
      <c r="F1215" s="685">
        <v>1</v>
      </c>
      <c r="G1215" s="239">
        <v>1</v>
      </c>
      <c r="H1215" s="203">
        <v>2</v>
      </c>
      <c r="I1215" s="198">
        <f>C1215*10</f>
        <v>100</v>
      </c>
      <c r="J1215" s="171">
        <f>10508-50</f>
        <v>10458</v>
      </c>
      <c r="K1215" s="198">
        <v>100</v>
      </c>
      <c r="L1215" s="198"/>
      <c r="M1215" s="198"/>
      <c r="N1215" s="721">
        <f t="shared" si="330"/>
        <v>10618</v>
      </c>
      <c r="O1215" s="721">
        <f t="shared" si="331"/>
        <v>0</v>
      </c>
      <c r="P1215" s="722" t="str">
        <f t="shared" si="332"/>
        <v>-</v>
      </c>
      <c r="Q1215" s="686">
        <f t="shared" si="333"/>
        <v>21.236000000000001</v>
      </c>
      <c r="R1215" s="686" t="str">
        <f t="shared" si="334"/>
        <v>-</v>
      </c>
      <c r="S1215" s="686" t="str">
        <f t="shared" si="335"/>
        <v>-</v>
      </c>
      <c r="T1215" s="686" t="str">
        <f t="shared" si="336"/>
        <v>-</v>
      </c>
      <c r="U1215" s="723" t="str">
        <f t="shared" si="337"/>
        <v>-</v>
      </c>
      <c r="V1215" s="695" t="str">
        <f t="shared" si="338"/>
        <v>-</v>
      </c>
      <c r="W1215" s="711"/>
    </row>
    <row r="1216" spans="1:23" ht="16.5" hidden="1" outlineLevel="1">
      <c r="A1216" s="726"/>
      <c r="B1216" s="726" t="s">
        <v>394</v>
      </c>
      <c r="C1216" s="727">
        <v>8</v>
      </c>
      <c r="D1216" s="690"/>
      <c r="E1216" s="754" t="s">
        <v>1558</v>
      </c>
      <c r="F1216" s="685">
        <v>1</v>
      </c>
      <c r="G1216" s="239">
        <v>1</v>
      </c>
      <c r="H1216" s="203">
        <f>((J1214)/200)+1</f>
        <v>53.29</v>
      </c>
      <c r="I1216" s="198">
        <v>180</v>
      </c>
      <c r="J1216" s="198">
        <v>150</v>
      </c>
      <c r="K1216" s="198">
        <v>180</v>
      </c>
      <c r="L1216" s="198">
        <v>150</v>
      </c>
      <c r="M1216" s="198"/>
      <c r="N1216" s="721">
        <f t="shared" si="330"/>
        <v>740</v>
      </c>
      <c r="O1216" s="721">
        <f t="shared" si="331"/>
        <v>0</v>
      </c>
      <c r="P1216" s="722">
        <f t="shared" si="332"/>
        <v>39.435000000000002</v>
      </c>
      <c r="Q1216" s="686" t="str">
        <f t="shared" si="333"/>
        <v>-</v>
      </c>
      <c r="R1216" s="686" t="str">
        <f t="shared" si="334"/>
        <v>-</v>
      </c>
      <c r="S1216" s="686" t="str">
        <f t="shared" si="335"/>
        <v>-</v>
      </c>
      <c r="T1216" s="686" t="str">
        <f t="shared" si="336"/>
        <v>-</v>
      </c>
      <c r="U1216" s="723" t="str">
        <f t="shared" si="337"/>
        <v>-</v>
      </c>
      <c r="V1216" s="695" t="str">
        <f t="shared" si="338"/>
        <v>-</v>
      </c>
      <c r="W1216" s="711"/>
    </row>
    <row r="1217" spans="1:23" ht="16.5" hidden="1" outlineLevel="1">
      <c r="A1217" s="195"/>
      <c r="B1217" s="172"/>
      <c r="C1217" s="196"/>
      <c r="D1217" s="685"/>
      <c r="E1217" s="196"/>
      <c r="F1217" s="685"/>
      <c r="G1217" s="204"/>
      <c r="H1217" s="203"/>
      <c r="I1217" s="198"/>
      <c r="J1217" s="198"/>
      <c r="K1217" s="198"/>
      <c r="L1217" s="198"/>
      <c r="M1217" s="198"/>
      <c r="N1217" s="198"/>
      <c r="O1217" s="198"/>
      <c r="P1217" s="199"/>
      <c r="Q1217" s="200"/>
      <c r="R1217" s="200"/>
      <c r="S1217" s="200"/>
      <c r="T1217" s="200"/>
      <c r="U1217" s="688"/>
      <c r="V1217" s="200"/>
      <c r="W1217" s="711"/>
    </row>
    <row r="1218" spans="1:23" ht="16.5" hidden="1" outlineLevel="1">
      <c r="A1218" s="726">
        <v>2</v>
      </c>
      <c r="B1218" s="730" t="s">
        <v>1574</v>
      </c>
      <c r="C1218" s="727">
        <v>10</v>
      </c>
      <c r="D1218" s="690"/>
      <c r="E1218" s="753" t="s">
        <v>1557</v>
      </c>
      <c r="F1218" s="685">
        <v>1</v>
      </c>
      <c r="G1218" s="239">
        <v>1</v>
      </c>
      <c r="H1218" s="203">
        <v>2</v>
      </c>
      <c r="I1218" s="198">
        <f>C1218*10</f>
        <v>100</v>
      </c>
      <c r="J1218" s="171">
        <f>1639-50</f>
        <v>1589</v>
      </c>
      <c r="K1218" s="198">
        <v>100</v>
      </c>
      <c r="L1218" s="198"/>
      <c r="M1218" s="198"/>
      <c r="N1218" s="721">
        <f t="shared" ref="N1218:N1220" si="339">IF(E1218="L Shape",(I1218+J1218)-(C1218*2*1),IF(E1218="U Shape",(I1218+J1218+K1218)-(C1218*2*2),IF(E1218="Rectangle",(I1218+J1218+K1218+L1218)+(C1218*10*2)-(C1218*2*5),IF(E1218="Straight",J1218-(C1218*0),IF(E1218="Chair",(I1218+J1218+K1218+L1218+M1218)-(C1218*2*4),IF(E1218="U2 Shape",(I1218+J1218+K1218+L1218+M1218)-(C1218*2*4),IF(E1218="U3 Shape",(I1218+J1218+K1218+L1218)-(C1218*2*3),IF(E1218="Z Shape",(I1218+J1218+K1218)-(C1218*2*2),IF(E1218="Triangle",(I1218+J1218+K1218)+(C1218*10*2)-(C1218*2*4),IF(E1218="Trapezoid2",(I1218+I1218+J1218+K1218+K1218+L1218)+(C1218*10*2)-(C1218*2*7),IF(E1218="Trapezoid",(I1218+J1218+K1218+L1218)+(C1218*10*2)-(C1218*2*5),IF(E1218="Link",J1218+(C1218*10*2),IF(E1218="U5 Shape",(I1218+J1218+K1218+L1218)-(C1218*2*3),IF(E1218="DU2 Shape",(I1218+J1218+K1218+L1218)-(C1218*2*4),IF(E1218="SU Shape",(I1218+J1218+K1218)-(C1218*2*2),"-")))))))))))))))</f>
        <v>1749</v>
      </c>
      <c r="O1218" s="721">
        <f t="shared" ref="O1218:O1220" si="340">IF(N1218&lt;12001,C1218*49*0,IF(N1218&lt;24001,C1218*49*1,IF(N1218&lt;36001,C1218*49*2,IF(N1218&lt;48001,C1218*49*3,IF(N1218&lt;60001,C1218*49*4,IF(N1218&lt;72001,(C1218*49*5),IF(N1218&lt;84001,(C1218*49*6),IF(N1218&lt;96001,(C1218*49*7),IF(N1218&lt;108001,(C1218*49*8),IF(N1218&lt;120001,(C1218*49*9),IF(N1218&lt;132001,(C1218*49*10),IF(N1218&lt;144001,(C1218*49*11),""))))))))))))</f>
        <v>0</v>
      </c>
      <c r="P1218" s="722" t="str">
        <f t="shared" ref="P1218:P1220" si="341">IF(C1218=8,ROUND(((N1218+O1218)*F1218*G1218*H1218)/1000,3),"-")</f>
        <v>-</v>
      </c>
      <c r="Q1218" s="686">
        <f t="shared" ref="Q1218:Q1220" si="342">IF(C1218=10,ROUND(((N1218+O1218)*F1218*G1218*H1218)/1000,3),"-")</f>
        <v>3.4980000000000002</v>
      </c>
      <c r="R1218" s="686" t="str">
        <f t="shared" ref="R1218:R1220" si="343">IF(C1218=12,ROUND(((N1218+O1218)*F1218*G1218*H1218)/1000,3),"-")</f>
        <v>-</v>
      </c>
      <c r="S1218" s="686" t="str">
        <f t="shared" ref="S1218:S1220" si="344">IF(C1218=16,ROUND(((N1218+O1218)*F1218*G1218*H1218)/1000,3),"-")</f>
        <v>-</v>
      </c>
      <c r="T1218" s="686" t="str">
        <f t="shared" ref="T1218:T1220" si="345">IF(C1218=20,ROUND(((N1218+O1218)*F1218*G1218*H1218)/1000,3),"-")</f>
        <v>-</v>
      </c>
      <c r="U1218" s="723" t="str">
        <f t="shared" ref="U1218:U1220" si="346">IF(C1218=25,ROUND(((N1218+O1218)*F1218*G1218*H1218)/1000,3),"-")</f>
        <v>-</v>
      </c>
      <c r="V1218" s="695" t="str">
        <f t="shared" ref="V1218:V1220" si="347">IF(C1218=32,ROUND(((N1218+O1218)*F1218*G1218*H1218)/1000,3),"-")</f>
        <v>-</v>
      </c>
      <c r="W1218" s="711"/>
    </row>
    <row r="1219" spans="1:23" ht="16.5" hidden="1" outlineLevel="1">
      <c r="A1219" s="726"/>
      <c r="B1219" s="726" t="s">
        <v>393</v>
      </c>
      <c r="C1219" s="727">
        <v>10</v>
      </c>
      <c r="D1219" s="690"/>
      <c r="E1219" s="753" t="s">
        <v>1557</v>
      </c>
      <c r="F1219" s="685">
        <v>1</v>
      </c>
      <c r="G1219" s="239">
        <v>1</v>
      </c>
      <c r="H1219" s="203">
        <v>2</v>
      </c>
      <c r="I1219" s="198">
        <f>C1219*10</f>
        <v>100</v>
      </c>
      <c r="J1219" s="171">
        <f>1639-50</f>
        <v>1589</v>
      </c>
      <c r="K1219" s="198">
        <v>100</v>
      </c>
      <c r="L1219" s="198"/>
      <c r="M1219" s="198"/>
      <c r="N1219" s="721">
        <f t="shared" si="339"/>
        <v>1749</v>
      </c>
      <c r="O1219" s="721">
        <f t="shared" si="340"/>
        <v>0</v>
      </c>
      <c r="P1219" s="722" t="str">
        <f t="shared" si="341"/>
        <v>-</v>
      </c>
      <c r="Q1219" s="686">
        <f t="shared" si="342"/>
        <v>3.4980000000000002</v>
      </c>
      <c r="R1219" s="686" t="str">
        <f t="shared" si="343"/>
        <v>-</v>
      </c>
      <c r="S1219" s="686" t="str">
        <f t="shared" si="344"/>
        <v>-</v>
      </c>
      <c r="T1219" s="686" t="str">
        <f t="shared" si="345"/>
        <v>-</v>
      </c>
      <c r="U1219" s="723" t="str">
        <f t="shared" si="346"/>
        <v>-</v>
      </c>
      <c r="V1219" s="695" t="str">
        <f t="shared" si="347"/>
        <v>-</v>
      </c>
      <c r="W1219" s="711"/>
    </row>
    <row r="1220" spans="1:23" ht="16.5" hidden="1" outlineLevel="1">
      <c r="A1220" s="726"/>
      <c r="B1220" s="726" t="s">
        <v>394</v>
      </c>
      <c r="C1220" s="727">
        <v>8</v>
      </c>
      <c r="D1220" s="690"/>
      <c r="E1220" s="754" t="s">
        <v>1558</v>
      </c>
      <c r="F1220" s="685">
        <v>1</v>
      </c>
      <c r="G1220" s="239">
        <v>1</v>
      </c>
      <c r="H1220" s="203">
        <f>((J1218)/200)+1</f>
        <v>8.9450000000000003</v>
      </c>
      <c r="I1220" s="198">
        <v>180</v>
      </c>
      <c r="J1220" s="198">
        <v>150</v>
      </c>
      <c r="K1220" s="198">
        <v>180</v>
      </c>
      <c r="L1220" s="198">
        <v>150</v>
      </c>
      <c r="M1220" s="198"/>
      <c r="N1220" s="721">
        <f t="shared" si="339"/>
        <v>740</v>
      </c>
      <c r="O1220" s="721">
        <f t="shared" si="340"/>
        <v>0</v>
      </c>
      <c r="P1220" s="722">
        <f t="shared" si="341"/>
        <v>6.6189999999999998</v>
      </c>
      <c r="Q1220" s="686" t="str">
        <f t="shared" si="342"/>
        <v>-</v>
      </c>
      <c r="R1220" s="686" t="str">
        <f t="shared" si="343"/>
        <v>-</v>
      </c>
      <c r="S1220" s="686" t="str">
        <f t="shared" si="344"/>
        <v>-</v>
      </c>
      <c r="T1220" s="686" t="str">
        <f t="shared" si="345"/>
        <v>-</v>
      </c>
      <c r="U1220" s="723" t="str">
        <f t="shared" si="346"/>
        <v>-</v>
      </c>
      <c r="V1220" s="695" t="str">
        <f t="shared" si="347"/>
        <v>-</v>
      </c>
      <c r="W1220" s="711"/>
    </row>
    <row r="1221" spans="1:23" ht="16.5" hidden="1" outlineLevel="1">
      <c r="A1221" s="195"/>
      <c r="B1221" s="172"/>
      <c r="C1221" s="196"/>
      <c r="D1221" s="685"/>
      <c r="E1221" s="196"/>
      <c r="F1221" s="685"/>
      <c r="G1221" s="204"/>
      <c r="H1221" s="203"/>
      <c r="I1221" s="198"/>
      <c r="J1221" s="198"/>
      <c r="K1221" s="198"/>
      <c r="L1221" s="198"/>
      <c r="M1221" s="198"/>
      <c r="N1221" s="198"/>
      <c r="O1221" s="198"/>
      <c r="P1221" s="199"/>
      <c r="Q1221" s="200"/>
      <c r="R1221" s="200"/>
      <c r="S1221" s="200"/>
      <c r="T1221" s="200"/>
      <c r="U1221" s="688"/>
      <c r="V1221" s="200"/>
      <c r="W1221" s="711"/>
    </row>
    <row r="1222" spans="1:23" ht="16.5" hidden="1" outlineLevel="1">
      <c r="A1222" s="726">
        <v>3</v>
      </c>
      <c r="B1222" s="730" t="s">
        <v>1574</v>
      </c>
      <c r="C1222" s="727">
        <v>10</v>
      </c>
      <c r="D1222" s="690"/>
      <c r="E1222" s="753" t="s">
        <v>1557</v>
      </c>
      <c r="F1222" s="685">
        <v>1</v>
      </c>
      <c r="G1222" s="239">
        <v>1</v>
      </c>
      <c r="H1222" s="203">
        <v>2</v>
      </c>
      <c r="I1222" s="198">
        <f>C1222*10</f>
        <v>100</v>
      </c>
      <c r="J1222" s="171">
        <f>2063-50</f>
        <v>2013</v>
      </c>
      <c r="K1222" s="198">
        <v>100</v>
      </c>
      <c r="L1222" s="198"/>
      <c r="M1222" s="198"/>
      <c r="N1222" s="721">
        <f t="shared" ref="N1222:N1224" si="348">IF(E1222="L Shape",(I1222+J1222)-(C1222*2*1),IF(E1222="U Shape",(I1222+J1222+K1222)-(C1222*2*2),IF(E1222="Rectangle",(I1222+J1222+K1222+L1222)+(C1222*10*2)-(C1222*2*5),IF(E1222="Straight",J1222-(C1222*0),IF(E1222="Chair",(I1222+J1222+K1222+L1222+M1222)-(C1222*2*4),IF(E1222="U2 Shape",(I1222+J1222+K1222+L1222+M1222)-(C1222*2*4),IF(E1222="U3 Shape",(I1222+J1222+K1222+L1222)-(C1222*2*3),IF(E1222="Z Shape",(I1222+J1222+K1222)-(C1222*2*2),IF(E1222="Triangle",(I1222+J1222+K1222)+(C1222*10*2)-(C1222*2*4),IF(E1222="Trapezoid2",(I1222+I1222+J1222+K1222+K1222+L1222)+(C1222*10*2)-(C1222*2*7),IF(E1222="Trapezoid",(I1222+J1222+K1222+L1222)+(C1222*10*2)-(C1222*2*5),IF(E1222="Link",J1222+(C1222*10*2),IF(E1222="U5 Shape",(I1222+J1222+K1222+L1222)-(C1222*2*3),IF(E1222="DU2 Shape",(I1222+J1222+K1222+L1222)-(C1222*2*4),IF(E1222="SU Shape",(I1222+J1222+K1222)-(C1222*2*2),"-")))))))))))))))</f>
        <v>2173</v>
      </c>
      <c r="O1222" s="721">
        <f t="shared" ref="O1222:O1224" si="349">IF(N1222&lt;12001,C1222*49*0,IF(N1222&lt;24001,C1222*49*1,IF(N1222&lt;36001,C1222*49*2,IF(N1222&lt;48001,C1222*49*3,IF(N1222&lt;60001,C1222*49*4,IF(N1222&lt;72001,(C1222*49*5),IF(N1222&lt;84001,(C1222*49*6),IF(N1222&lt;96001,(C1222*49*7),IF(N1222&lt;108001,(C1222*49*8),IF(N1222&lt;120001,(C1222*49*9),IF(N1222&lt;132001,(C1222*49*10),IF(N1222&lt;144001,(C1222*49*11),""))))))))))))</f>
        <v>0</v>
      </c>
      <c r="P1222" s="722" t="str">
        <f t="shared" ref="P1222:P1224" si="350">IF(C1222=8,ROUND(((N1222+O1222)*F1222*G1222*H1222)/1000,3),"-")</f>
        <v>-</v>
      </c>
      <c r="Q1222" s="686">
        <f t="shared" ref="Q1222:Q1224" si="351">IF(C1222=10,ROUND(((N1222+O1222)*F1222*G1222*H1222)/1000,3),"-")</f>
        <v>4.3460000000000001</v>
      </c>
      <c r="R1222" s="686" t="str">
        <f t="shared" ref="R1222:R1224" si="352">IF(C1222=12,ROUND(((N1222+O1222)*F1222*G1222*H1222)/1000,3),"-")</f>
        <v>-</v>
      </c>
      <c r="S1222" s="686" t="str">
        <f t="shared" ref="S1222:S1224" si="353">IF(C1222=16,ROUND(((N1222+O1222)*F1222*G1222*H1222)/1000,3),"-")</f>
        <v>-</v>
      </c>
      <c r="T1222" s="686" t="str">
        <f t="shared" ref="T1222:T1224" si="354">IF(C1222=20,ROUND(((N1222+O1222)*F1222*G1222*H1222)/1000,3),"-")</f>
        <v>-</v>
      </c>
      <c r="U1222" s="723" t="str">
        <f t="shared" ref="U1222:U1224" si="355">IF(C1222=25,ROUND(((N1222+O1222)*F1222*G1222*H1222)/1000,3),"-")</f>
        <v>-</v>
      </c>
      <c r="V1222" s="695" t="str">
        <f t="shared" ref="V1222:V1224" si="356">IF(C1222=32,ROUND(((N1222+O1222)*F1222*G1222*H1222)/1000,3),"-")</f>
        <v>-</v>
      </c>
      <c r="W1222" s="711"/>
    </row>
    <row r="1223" spans="1:23" ht="16.5" hidden="1" outlineLevel="1">
      <c r="A1223" s="726"/>
      <c r="B1223" s="726" t="s">
        <v>393</v>
      </c>
      <c r="C1223" s="727">
        <v>10</v>
      </c>
      <c r="D1223" s="690"/>
      <c r="E1223" s="753" t="s">
        <v>1557</v>
      </c>
      <c r="F1223" s="685">
        <v>1</v>
      </c>
      <c r="G1223" s="239">
        <v>1</v>
      </c>
      <c r="H1223" s="203">
        <v>2</v>
      </c>
      <c r="I1223" s="198">
        <f>C1223*10</f>
        <v>100</v>
      </c>
      <c r="J1223" s="171">
        <f>2063-50</f>
        <v>2013</v>
      </c>
      <c r="K1223" s="198">
        <v>100</v>
      </c>
      <c r="L1223" s="198"/>
      <c r="M1223" s="198"/>
      <c r="N1223" s="721">
        <f t="shared" si="348"/>
        <v>2173</v>
      </c>
      <c r="O1223" s="721">
        <f t="shared" si="349"/>
        <v>0</v>
      </c>
      <c r="P1223" s="722" t="str">
        <f t="shared" si="350"/>
        <v>-</v>
      </c>
      <c r="Q1223" s="686">
        <f t="shared" si="351"/>
        <v>4.3460000000000001</v>
      </c>
      <c r="R1223" s="686" t="str">
        <f t="shared" si="352"/>
        <v>-</v>
      </c>
      <c r="S1223" s="686" t="str">
        <f t="shared" si="353"/>
        <v>-</v>
      </c>
      <c r="T1223" s="686" t="str">
        <f t="shared" si="354"/>
        <v>-</v>
      </c>
      <c r="U1223" s="723" t="str">
        <f t="shared" si="355"/>
        <v>-</v>
      </c>
      <c r="V1223" s="695" t="str">
        <f t="shared" si="356"/>
        <v>-</v>
      </c>
      <c r="W1223" s="711"/>
    </row>
    <row r="1224" spans="1:23" ht="16.5" hidden="1" outlineLevel="1">
      <c r="A1224" s="726"/>
      <c r="B1224" s="726" t="s">
        <v>394</v>
      </c>
      <c r="C1224" s="727">
        <v>8</v>
      </c>
      <c r="D1224" s="690"/>
      <c r="E1224" s="754" t="s">
        <v>1558</v>
      </c>
      <c r="F1224" s="685">
        <v>1</v>
      </c>
      <c r="G1224" s="239">
        <v>1</v>
      </c>
      <c r="H1224" s="203">
        <f>((J1222)/200)+1</f>
        <v>11.065</v>
      </c>
      <c r="I1224" s="198">
        <v>180</v>
      </c>
      <c r="J1224" s="198">
        <v>150</v>
      </c>
      <c r="K1224" s="198">
        <v>180</v>
      </c>
      <c r="L1224" s="198">
        <v>150</v>
      </c>
      <c r="M1224" s="198"/>
      <c r="N1224" s="721">
        <f t="shared" si="348"/>
        <v>740</v>
      </c>
      <c r="O1224" s="721">
        <f t="shared" si="349"/>
        <v>0</v>
      </c>
      <c r="P1224" s="722">
        <f t="shared" si="350"/>
        <v>8.1880000000000006</v>
      </c>
      <c r="Q1224" s="686" t="str">
        <f t="shared" si="351"/>
        <v>-</v>
      </c>
      <c r="R1224" s="686" t="str">
        <f t="shared" si="352"/>
        <v>-</v>
      </c>
      <c r="S1224" s="686" t="str">
        <f t="shared" si="353"/>
        <v>-</v>
      </c>
      <c r="T1224" s="686" t="str">
        <f t="shared" si="354"/>
        <v>-</v>
      </c>
      <c r="U1224" s="723" t="str">
        <f t="shared" si="355"/>
        <v>-</v>
      </c>
      <c r="V1224" s="695" t="str">
        <f t="shared" si="356"/>
        <v>-</v>
      </c>
      <c r="W1224" s="711"/>
    </row>
    <row r="1225" spans="1:23" ht="16.5" hidden="1" outlineLevel="1">
      <c r="A1225" s="195"/>
      <c r="B1225" s="172"/>
      <c r="C1225" s="196"/>
      <c r="D1225" s="685"/>
      <c r="E1225" s="196"/>
      <c r="F1225" s="685"/>
      <c r="G1225" s="204"/>
      <c r="H1225" s="203"/>
      <c r="I1225" s="198"/>
      <c r="J1225" s="198"/>
      <c r="K1225" s="198"/>
      <c r="L1225" s="198"/>
      <c r="M1225" s="198"/>
      <c r="N1225" s="198"/>
      <c r="O1225" s="198"/>
      <c r="P1225" s="199"/>
      <c r="Q1225" s="200"/>
      <c r="R1225" s="200"/>
      <c r="S1225" s="200"/>
      <c r="T1225" s="200"/>
      <c r="U1225" s="688"/>
      <c r="V1225" s="200"/>
      <c r="W1225" s="711"/>
    </row>
    <row r="1226" spans="1:23" ht="16.5" hidden="1" outlineLevel="1">
      <c r="A1226" s="726">
        <v>4</v>
      </c>
      <c r="B1226" s="730" t="s">
        <v>1574</v>
      </c>
      <c r="C1226" s="727">
        <v>10</v>
      </c>
      <c r="D1226" s="690"/>
      <c r="E1226" s="753" t="s">
        <v>1557</v>
      </c>
      <c r="F1226" s="685">
        <v>1</v>
      </c>
      <c r="G1226" s="239">
        <v>1</v>
      </c>
      <c r="H1226" s="203">
        <v>2</v>
      </c>
      <c r="I1226" s="198">
        <f>C1226*10</f>
        <v>100</v>
      </c>
      <c r="J1226" s="171">
        <f>2935-50</f>
        <v>2885</v>
      </c>
      <c r="K1226" s="198">
        <v>100</v>
      </c>
      <c r="L1226" s="198"/>
      <c r="M1226" s="198"/>
      <c r="N1226" s="721">
        <f t="shared" ref="N1226:N1228" si="357">IF(E1226="L Shape",(I1226+J1226)-(C1226*2*1),IF(E1226="U Shape",(I1226+J1226+K1226)-(C1226*2*2),IF(E1226="Rectangle",(I1226+J1226+K1226+L1226)+(C1226*10*2)-(C1226*2*5),IF(E1226="Straight",J1226-(C1226*0),IF(E1226="Chair",(I1226+J1226+K1226+L1226+M1226)-(C1226*2*4),IF(E1226="U2 Shape",(I1226+J1226+K1226+L1226+M1226)-(C1226*2*4),IF(E1226="U3 Shape",(I1226+J1226+K1226+L1226)-(C1226*2*3),IF(E1226="Z Shape",(I1226+J1226+K1226)-(C1226*2*2),IF(E1226="Triangle",(I1226+J1226+K1226)+(C1226*10*2)-(C1226*2*4),IF(E1226="Trapezoid2",(I1226+I1226+J1226+K1226+K1226+L1226)+(C1226*10*2)-(C1226*2*7),IF(E1226="Trapezoid",(I1226+J1226+K1226+L1226)+(C1226*10*2)-(C1226*2*5),IF(E1226="Link",J1226+(C1226*10*2),IF(E1226="U5 Shape",(I1226+J1226+K1226+L1226)-(C1226*2*3),IF(E1226="DU2 Shape",(I1226+J1226+K1226+L1226)-(C1226*2*4),IF(E1226="SU Shape",(I1226+J1226+K1226)-(C1226*2*2),"-")))))))))))))))</f>
        <v>3045</v>
      </c>
      <c r="O1226" s="721">
        <f t="shared" ref="O1226:O1228" si="358">IF(N1226&lt;12001,C1226*49*0,IF(N1226&lt;24001,C1226*49*1,IF(N1226&lt;36001,C1226*49*2,IF(N1226&lt;48001,C1226*49*3,IF(N1226&lt;60001,C1226*49*4,IF(N1226&lt;72001,(C1226*49*5),IF(N1226&lt;84001,(C1226*49*6),IF(N1226&lt;96001,(C1226*49*7),IF(N1226&lt;108001,(C1226*49*8),IF(N1226&lt;120001,(C1226*49*9),IF(N1226&lt;132001,(C1226*49*10),IF(N1226&lt;144001,(C1226*49*11),""))))))))))))</f>
        <v>0</v>
      </c>
      <c r="P1226" s="722" t="str">
        <f t="shared" ref="P1226:P1228" si="359">IF(C1226=8,ROUND(((N1226+O1226)*F1226*G1226*H1226)/1000,3),"-")</f>
        <v>-</v>
      </c>
      <c r="Q1226" s="686">
        <f t="shared" ref="Q1226:Q1228" si="360">IF(C1226=10,ROUND(((N1226+O1226)*F1226*G1226*H1226)/1000,3),"-")</f>
        <v>6.09</v>
      </c>
      <c r="R1226" s="686" t="str">
        <f t="shared" ref="R1226:R1228" si="361">IF(C1226=12,ROUND(((N1226+O1226)*F1226*G1226*H1226)/1000,3),"-")</f>
        <v>-</v>
      </c>
      <c r="S1226" s="686" t="str">
        <f t="shared" ref="S1226:S1228" si="362">IF(C1226=16,ROUND(((N1226+O1226)*F1226*G1226*H1226)/1000,3),"-")</f>
        <v>-</v>
      </c>
      <c r="T1226" s="686" t="str">
        <f t="shared" ref="T1226:T1228" si="363">IF(C1226=20,ROUND(((N1226+O1226)*F1226*G1226*H1226)/1000,3),"-")</f>
        <v>-</v>
      </c>
      <c r="U1226" s="723" t="str">
        <f t="shared" ref="U1226:U1228" si="364">IF(C1226=25,ROUND(((N1226+O1226)*F1226*G1226*H1226)/1000,3),"-")</f>
        <v>-</v>
      </c>
      <c r="V1226" s="695" t="str">
        <f t="shared" ref="V1226:V1228" si="365">IF(C1226=32,ROUND(((N1226+O1226)*F1226*G1226*H1226)/1000,3),"-")</f>
        <v>-</v>
      </c>
      <c r="W1226" s="711"/>
    </row>
    <row r="1227" spans="1:23" ht="16.5" hidden="1" outlineLevel="1">
      <c r="A1227" s="726"/>
      <c r="B1227" s="726" t="s">
        <v>393</v>
      </c>
      <c r="C1227" s="727">
        <v>10</v>
      </c>
      <c r="D1227" s="690"/>
      <c r="E1227" s="753" t="s">
        <v>1557</v>
      </c>
      <c r="F1227" s="685">
        <v>1</v>
      </c>
      <c r="G1227" s="239">
        <v>1</v>
      </c>
      <c r="H1227" s="203">
        <v>2</v>
      </c>
      <c r="I1227" s="198">
        <f>C1227*10</f>
        <v>100</v>
      </c>
      <c r="J1227" s="171">
        <f>2935-50</f>
        <v>2885</v>
      </c>
      <c r="K1227" s="198">
        <v>100</v>
      </c>
      <c r="L1227" s="198"/>
      <c r="M1227" s="198"/>
      <c r="N1227" s="721">
        <f t="shared" si="357"/>
        <v>3045</v>
      </c>
      <c r="O1227" s="721">
        <f t="shared" si="358"/>
        <v>0</v>
      </c>
      <c r="P1227" s="722" t="str">
        <f t="shared" si="359"/>
        <v>-</v>
      </c>
      <c r="Q1227" s="686">
        <f t="shared" si="360"/>
        <v>6.09</v>
      </c>
      <c r="R1227" s="686" t="str">
        <f t="shared" si="361"/>
        <v>-</v>
      </c>
      <c r="S1227" s="686" t="str">
        <f t="shared" si="362"/>
        <v>-</v>
      </c>
      <c r="T1227" s="686" t="str">
        <f t="shared" si="363"/>
        <v>-</v>
      </c>
      <c r="U1227" s="723" t="str">
        <f t="shared" si="364"/>
        <v>-</v>
      </c>
      <c r="V1227" s="695" t="str">
        <f t="shared" si="365"/>
        <v>-</v>
      </c>
      <c r="W1227" s="711"/>
    </row>
    <row r="1228" spans="1:23" ht="16.5" hidden="1" outlineLevel="1">
      <c r="A1228" s="726"/>
      <c r="B1228" s="726" t="s">
        <v>394</v>
      </c>
      <c r="C1228" s="727">
        <v>8</v>
      </c>
      <c r="D1228" s="690"/>
      <c r="E1228" s="754" t="s">
        <v>1558</v>
      </c>
      <c r="F1228" s="685">
        <v>1</v>
      </c>
      <c r="G1228" s="239">
        <v>1</v>
      </c>
      <c r="H1228" s="203">
        <f>((J1226)/200)+1</f>
        <v>15.425000000000001</v>
      </c>
      <c r="I1228" s="198">
        <v>180</v>
      </c>
      <c r="J1228" s="198">
        <v>150</v>
      </c>
      <c r="K1228" s="198">
        <v>180</v>
      </c>
      <c r="L1228" s="198">
        <v>150</v>
      </c>
      <c r="M1228" s="198"/>
      <c r="N1228" s="721">
        <f t="shared" si="357"/>
        <v>740</v>
      </c>
      <c r="O1228" s="721">
        <f t="shared" si="358"/>
        <v>0</v>
      </c>
      <c r="P1228" s="722">
        <f t="shared" si="359"/>
        <v>11.414999999999999</v>
      </c>
      <c r="Q1228" s="686" t="str">
        <f t="shared" si="360"/>
        <v>-</v>
      </c>
      <c r="R1228" s="686" t="str">
        <f t="shared" si="361"/>
        <v>-</v>
      </c>
      <c r="S1228" s="686" t="str">
        <f t="shared" si="362"/>
        <v>-</v>
      </c>
      <c r="T1228" s="686" t="str">
        <f t="shared" si="363"/>
        <v>-</v>
      </c>
      <c r="U1228" s="723" t="str">
        <f t="shared" si="364"/>
        <v>-</v>
      </c>
      <c r="V1228" s="695" t="str">
        <f t="shared" si="365"/>
        <v>-</v>
      </c>
      <c r="W1228" s="711"/>
    </row>
    <row r="1229" spans="1:23" ht="16.5" hidden="1" outlineLevel="1">
      <c r="A1229" s="195"/>
      <c r="B1229" s="172"/>
      <c r="C1229" s="196"/>
      <c r="D1229" s="685"/>
      <c r="E1229" s="196"/>
      <c r="F1229" s="685"/>
      <c r="G1229" s="204"/>
      <c r="H1229" s="203"/>
      <c r="I1229" s="198"/>
      <c r="J1229" s="198"/>
      <c r="K1229" s="198"/>
      <c r="L1229" s="198"/>
      <c r="M1229" s="198"/>
      <c r="N1229" s="198"/>
      <c r="O1229" s="198"/>
      <c r="P1229" s="199"/>
      <c r="Q1229" s="200"/>
      <c r="R1229" s="200"/>
      <c r="S1229" s="200"/>
      <c r="T1229" s="200"/>
      <c r="U1229" s="688"/>
      <c r="V1229" s="200"/>
      <c r="W1229" s="711"/>
    </row>
    <row r="1230" spans="1:23" ht="16.5" hidden="1" outlineLevel="1">
      <c r="A1230" s="726">
        <v>5</v>
      </c>
      <c r="B1230" s="730" t="s">
        <v>1574</v>
      </c>
      <c r="C1230" s="727">
        <v>10</v>
      </c>
      <c r="D1230" s="690"/>
      <c r="E1230" s="753" t="s">
        <v>1557</v>
      </c>
      <c r="F1230" s="685">
        <v>1</v>
      </c>
      <c r="G1230" s="239">
        <v>1</v>
      </c>
      <c r="H1230" s="203">
        <v>2</v>
      </c>
      <c r="I1230" s="198">
        <f>C1230*10</f>
        <v>100</v>
      </c>
      <c r="J1230" s="171">
        <f>7738-50</f>
        <v>7688</v>
      </c>
      <c r="K1230" s="198">
        <v>100</v>
      </c>
      <c r="L1230" s="198"/>
      <c r="M1230" s="198"/>
      <c r="N1230" s="721">
        <f t="shared" ref="N1230:N1232" si="366">IF(E1230="L Shape",(I1230+J1230)-(C1230*2*1),IF(E1230="U Shape",(I1230+J1230+K1230)-(C1230*2*2),IF(E1230="Rectangle",(I1230+J1230+K1230+L1230)+(C1230*10*2)-(C1230*2*5),IF(E1230="Straight",J1230-(C1230*0),IF(E1230="Chair",(I1230+J1230+K1230+L1230+M1230)-(C1230*2*4),IF(E1230="U2 Shape",(I1230+J1230+K1230+L1230+M1230)-(C1230*2*4),IF(E1230="U3 Shape",(I1230+J1230+K1230+L1230)-(C1230*2*3),IF(E1230="Z Shape",(I1230+J1230+K1230)-(C1230*2*2),IF(E1230="Triangle",(I1230+J1230+K1230)+(C1230*10*2)-(C1230*2*4),IF(E1230="Trapezoid2",(I1230+I1230+J1230+K1230+K1230+L1230)+(C1230*10*2)-(C1230*2*7),IF(E1230="Trapezoid",(I1230+J1230+K1230+L1230)+(C1230*10*2)-(C1230*2*5),IF(E1230="Link",J1230+(C1230*10*2),IF(E1230="U5 Shape",(I1230+J1230+K1230+L1230)-(C1230*2*3),IF(E1230="DU2 Shape",(I1230+J1230+K1230+L1230)-(C1230*2*4),IF(E1230="SU Shape",(I1230+J1230+K1230)-(C1230*2*2),"-")))))))))))))))</f>
        <v>7848</v>
      </c>
      <c r="O1230" s="721">
        <f t="shared" ref="O1230:O1232" si="367">IF(N1230&lt;12001,C1230*49*0,IF(N1230&lt;24001,C1230*49*1,IF(N1230&lt;36001,C1230*49*2,IF(N1230&lt;48001,C1230*49*3,IF(N1230&lt;60001,C1230*49*4,IF(N1230&lt;72001,(C1230*49*5),IF(N1230&lt;84001,(C1230*49*6),IF(N1230&lt;96001,(C1230*49*7),IF(N1230&lt;108001,(C1230*49*8),IF(N1230&lt;120001,(C1230*49*9),IF(N1230&lt;132001,(C1230*49*10),IF(N1230&lt;144001,(C1230*49*11),""))))))))))))</f>
        <v>0</v>
      </c>
      <c r="P1230" s="722" t="str">
        <f t="shared" ref="P1230:P1232" si="368">IF(C1230=8,ROUND(((N1230+O1230)*F1230*G1230*H1230)/1000,3),"-")</f>
        <v>-</v>
      </c>
      <c r="Q1230" s="686">
        <f t="shared" ref="Q1230:Q1232" si="369">IF(C1230=10,ROUND(((N1230+O1230)*F1230*G1230*H1230)/1000,3),"-")</f>
        <v>15.696</v>
      </c>
      <c r="R1230" s="686" t="str">
        <f t="shared" ref="R1230:R1232" si="370">IF(C1230=12,ROUND(((N1230+O1230)*F1230*G1230*H1230)/1000,3),"-")</f>
        <v>-</v>
      </c>
      <c r="S1230" s="686" t="str">
        <f t="shared" ref="S1230:S1232" si="371">IF(C1230=16,ROUND(((N1230+O1230)*F1230*G1230*H1230)/1000,3),"-")</f>
        <v>-</v>
      </c>
      <c r="T1230" s="686" t="str">
        <f t="shared" ref="T1230:T1232" si="372">IF(C1230=20,ROUND(((N1230+O1230)*F1230*G1230*H1230)/1000,3),"-")</f>
        <v>-</v>
      </c>
      <c r="U1230" s="723" t="str">
        <f t="shared" ref="U1230:U1232" si="373">IF(C1230=25,ROUND(((N1230+O1230)*F1230*G1230*H1230)/1000,3),"-")</f>
        <v>-</v>
      </c>
      <c r="V1230" s="695" t="str">
        <f t="shared" ref="V1230:V1232" si="374">IF(C1230=32,ROUND(((N1230+O1230)*F1230*G1230*H1230)/1000,3),"-")</f>
        <v>-</v>
      </c>
      <c r="W1230" s="711"/>
    </row>
    <row r="1231" spans="1:23" ht="16.5" hidden="1" outlineLevel="1">
      <c r="A1231" s="726"/>
      <c r="B1231" s="726" t="s">
        <v>393</v>
      </c>
      <c r="C1231" s="727">
        <v>10</v>
      </c>
      <c r="D1231" s="690"/>
      <c r="E1231" s="753" t="s">
        <v>1557</v>
      </c>
      <c r="F1231" s="685">
        <v>1</v>
      </c>
      <c r="G1231" s="239">
        <v>1</v>
      </c>
      <c r="H1231" s="203">
        <v>2</v>
      </c>
      <c r="I1231" s="198">
        <f>C1231*10</f>
        <v>100</v>
      </c>
      <c r="J1231" s="171">
        <f>7738-50</f>
        <v>7688</v>
      </c>
      <c r="K1231" s="198">
        <v>100</v>
      </c>
      <c r="L1231" s="198"/>
      <c r="M1231" s="198"/>
      <c r="N1231" s="721">
        <f t="shared" si="366"/>
        <v>7848</v>
      </c>
      <c r="O1231" s="721">
        <f t="shared" si="367"/>
        <v>0</v>
      </c>
      <c r="P1231" s="722" t="str">
        <f t="shared" si="368"/>
        <v>-</v>
      </c>
      <c r="Q1231" s="686">
        <f t="shared" si="369"/>
        <v>15.696</v>
      </c>
      <c r="R1231" s="686" t="str">
        <f t="shared" si="370"/>
        <v>-</v>
      </c>
      <c r="S1231" s="686" t="str">
        <f t="shared" si="371"/>
        <v>-</v>
      </c>
      <c r="T1231" s="686" t="str">
        <f t="shared" si="372"/>
        <v>-</v>
      </c>
      <c r="U1231" s="723" t="str">
        <f t="shared" si="373"/>
        <v>-</v>
      </c>
      <c r="V1231" s="695" t="str">
        <f t="shared" si="374"/>
        <v>-</v>
      </c>
      <c r="W1231" s="711"/>
    </row>
    <row r="1232" spans="1:23" ht="16.5" hidden="1" outlineLevel="1">
      <c r="A1232" s="726"/>
      <c r="B1232" s="726" t="s">
        <v>394</v>
      </c>
      <c r="C1232" s="727">
        <v>8</v>
      </c>
      <c r="D1232" s="690"/>
      <c r="E1232" s="754" t="s">
        <v>1558</v>
      </c>
      <c r="F1232" s="685">
        <v>1</v>
      </c>
      <c r="G1232" s="239">
        <v>1</v>
      </c>
      <c r="H1232" s="203">
        <f>((J1230)/200)+1</f>
        <v>39.44</v>
      </c>
      <c r="I1232" s="198">
        <v>180</v>
      </c>
      <c r="J1232" s="198">
        <v>150</v>
      </c>
      <c r="K1232" s="198">
        <v>180</v>
      </c>
      <c r="L1232" s="198">
        <v>150</v>
      </c>
      <c r="M1232" s="198"/>
      <c r="N1232" s="721">
        <f t="shared" si="366"/>
        <v>740</v>
      </c>
      <c r="O1232" s="721">
        <f t="shared" si="367"/>
        <v>0</v>
      </c>
      <c r="P1232" s="722">
        <f t="shared" si="368"/>
        <v>29.186</v>
      </c>
      <c r="Q1232" s="686" t="str">
        <f t="shared" si="369"/>
        <v>-</v>
      </c>
      <c r="R1232" s="686" t="str">
        <f t="shared" si="370"/>
        <v>-</v>
      </c>
      <c r="S1232" s="686" t="str">
        <f t="shared" si="371"/>
        <v>-</v>
      </c>
      <c r="T1232" s="686" t="str">
        <f t="shared" si="372"/>
        <v>-</v>
      </c>
      <c r="U1232" s="723" t="str">
        <f t="shared" si="373"/>
        <v>-</v>
      </c>
      <c r="V1232" s="695" t="str">
        <f t="shared" si="374"/>
        <v>-</v>
      </c>
      <c r="W1232" s="711"/>
    </row>
    <row r="1233" spans="1:23" ht="16.5" hidden="1" outlineLevel="1">
      <c r="A1233" s="195"/>
      <c r="B1233" s="172"/>
      <c r="C1233" s="196"/>
      <c r="D1233" s="685"/>
      <c r="E1233" s="196"/>
      <c r="F1233" s="685"/>
      <c r="G1233" s="204"/>
      <c r="H1233" s="203"/>
      <c r="I1233" s="198"/>
      <c r="J1233" s="198"/>
      <c r="K1233" s="198"/>
      <c r="L1233" s="198"/>
      <c r="M1233" s="198"/>
      <c r="N1233" s="198"/>
      <c r="O1233" s="198"/>
      <c r="P1233" s="199"/>
      <c r="Q1233" s="200"/>
      <c r="R1233" s="200"/>
      <c r="S1233" s="200"/>
      <c r="T1233" s="200"/>
      <c r="U1233" s="688"/>
      <c r="V1233" s="200"/>
      <c r="W1233" s="711"/>
    </row>
    <row r="1234" spans="1:23" ht="16.5" hidden="1" outlineLevel="1">
      <c r="A1234" s="726">
        <v>6</v>
      </c>
      <c r="B1234" s="730" t="s">
        <v>1574</v>
      </c>
      <c r="C1234" s="727">
        <v>10</v>
      </c>
      <c r="D1234" s="690"/>
      <c r="E1234" s="753" t="s">
        <v>1557</v>
      </c>
      <c r="F1234" s="685">
        <v>1</v>
      </c>
      <c r="G1234" s="239">
        <v>1</v>
      </c>
      <c r="H1234" s="203">
        <v>2</v>
      </c>
      <c r="I1234" s="198">
        <f>C1234*10</f>
        <v>100</v>
      </c>
      <c r="J1234" s="171">
        <f>2047-50</f>
        <v>1997</v>
      </c>
      <c r="K1234" s="198">
        <v>100</v>
      </c>
      <c r="L1234" s="198"/>
      <c r="M1234" s="198"/>
      <c r="N1234" s="721">
        <f t="shared" ref="N1234:N1236" si="375">IF(E1234="L Shape",(I1234+J1234)-(C1234*2*1),IF(E1234="U Shape",(I1234+J1234+K1234)-(C1234*2*2),IF(E1234="Rectangle",(I1234+J1234+K1234+L1234)+(C1234*10*2)-(C1234*2*5),IF(E1234="Straight",J1234-(C1234*0),IF(E1234="Chair",(I1234+J1234+K1234+L1234+M1234)-(C1234*2*4),IF(E1234="U2 Shape",(I1234+J1234+K1234+L1234+M1234)-(C1234*2*4),IF(E1234="U3 Shape",(I1234+J1234+K1234+L1234)-(C1234*2*3),IF(E1234="Z Shape",(I1234+J1234+K1234)-(C1234*2*2),IF(E1234="Triangle",(I1234+J1234+K1234)+(C1234*10*2)-(C1234*2*4),IF(E1234="Trapezoid2",(I1234+I1234+J1234+K1234+K1234+L1234)+(C1234*10*2)-(C1234*2*7),IF(E1234="Trapezoid",(I1234+J1234+K1234+L1234)+(C1234*10*2)-(C1234*2*5),IF(E1234="Link",J1234+(C1234*10*2),IF(E1234="U5 Shape",(I1234+J1234+K1234+L1234)-(C1234*2*3),IF(E1234="DU2 Shape",(I1234+J1234+K1234+L1234)-(C1234*2*4),IF(E1234="SU Shape",(I1234+J1234+K1234)-(C1234*2*2),"-")))))))))))))))</f>
        <v>2157</v>
      </c>
      <c r="O1234" s="721">
        <f t="shared" ref="O1234:O1236" si="376">IF(N1234&lt;12001,C1234*49*0,IF(N1234&lt;24001,C1234*49*1,IF(N1234&lt;36001,C1234*49*2,IF(N1234&lt;48001,C1234*49*3,IF(N1234&lt;60001,C1234*49*4,IF(N1234&lt;72001,(C1234*49*5),IF(N1234&lt;84001,(C1234*49*6),IF(N1234&lt;96001,(C1234*49*7),IF(N1234&lt;108001,(C1234*49*8),IF(N1234&lt;120001,(C1234*49*9),IF(N1234&lt;132001,(C1234*49*10),IF(N1234&lt;144001,(C1234*49*11),""))))))))))))</f>
        <v>0</v>
      </c>
      <c r="P1234" s="722" t="str">
        <f t="shared" ref="P1234:P1236" si="377">IF(C1234=8,ROUND(((N1234+O1234)*F1234*G1234*H1234)/1000,3),"-")</f>
        <v>-</v>
      </c>
      <c r="Q1234" s="686">
        <f t="shared" ref="Q1234:Q1236" si="378">IF(C1234=10,ROUND(((N1234+O1234)*F1234*G1234*H1234)/1000,3),"-")</f>
        <v>4.3140000000000001</v>
      </c>
      <c r="R1234" s="686" t="str">
        <f t="shared" ref="R1234:R1236" si="379">IF(C1234=12,ROUND(((N1234+O1234)*F1234*G1234*H1234)/1000,3),"-")</f>
        <v>-</v>
      </c>
      <c r="S1234" s="686" t="str">
        <f t="shared" ref="S1234:S1236" si="380">IF(C1234=16,ROUND(((N1234+O1234)*F1234*G1234*H1234)/1000,3),"-")</f>
        <v>-</v>
      </c>
      <c r="T1234" s="686" t="str">
        <f t="shared" ref="T1234:T1236" si="381">IF(C1234=20,ROUND(((N1234+O1234)*F1234*G1234*H1234)/1000,3),"-")</f>
        <v>-</v>
      </c>
      <c r="U1234" s="723" t="str">
        <f t="shared" ref="U1234:U1236" si="382">IF(C1234=25,ROUND(((N1234+O1234)*F1234*G1234*H1234)/1000,3),"-")</f>
        <v>-</v>
      </c>
      <c r="V1234" s="695" t="str">
        <f t="shared" ref="V1234:V1236" si="383">IF(C1234=32,ROUND(((N1234+O1234)*F1234*G1234*H1234)/1000,3),"-")</f>
        <v>-</v>
      </c>
      <c r="W1234" s="711"/>
    </row>
    <row r="1235" spans="1:23" ht="16.5" hidden="1" outlineLevel="1">
      <c r="A1235" s="726"/>
      <c r="B1235" s="726" t="s">
        <v>393</v>
      </c>
      <c r="C1235" s="727">
        <v>10</v>
      </c>
      <c r="D1235" s="690"/>
      <c r="E1235" s="753" t="s">
        <v>1557</v>
      </c>
      <c r="F1235" s="685">
        <v>1</v>
      </c>
      <c r="G1235" s="239">
        <v>1</v>
      </c>
      <c r="H1235" s="203">
        <v>2</v>
      </c>
      <c r="I1235" s="198">
        <f>C1235*10</f>
        <v>100</v>
      </c>
      <c r="J1235" s="171">
        <f>2047-50</f>
        <v>1997</v>
      </c>
      <c r="K1235" s="198">
        <v>100</v>
      </c>
      <c r="L1235" s="198"/>
      <c r="M1235" s="198"/>
      <c r="N1235" s="721">
        <f t="shared" si="375"/>
        <v>2157</v>
      </c>
      <c r="O1235" s="721">
        <f t="shared" si="376"/>
        <v>0</v>
      </c>
      <c r="P1235" s="722" t="str">
        <f t="shared" si="377"/>
        <v>-</v>
      </c>
      <c r="Q1235" s="686">
        <f t="shared" si="378"/>
        <v>4.3140000000000001</v>
      </c>
      <c r="R1235" s="686" t="str">
        <f t="shared" si="379"/>
        <v>-</v>
      </c>
      <c r="S1235" s="686" t="str">
        <f t="shared" si="380"/>
        <v>-</v>
      </c>
      <c r="T1235" s="686" t="str">
        <f t="shared" si="381"/>
        <v>-</v>
      </c>
      <c r="U1235" s="723" t="str">
        <f t="shared" si="382"/>
        <v>-</v>
      </c>
      <c r="V1235" s="695" t="str">
        <f t="shared" si="383"/>
        <v>-</v>
      </c>
      <c r="W1235" s="711"/>
    </row>
    <row r="1236" spans="1:23" ht="16.5" hidden="1" outlineLevel="1">
      <c r="A1236" s="726"/>
      <c r="B1236" s="726" t="s">
        <v>394</v>
      </c>
      <c r="C1236" s="727">
        <v>8</v>
      </c>
      <c r="D1236" s="690"/>
      <c r="E1236" s="754" t="s">
        <v>1558</v>
      </c>
      <c r="F1236" s="685">
        <v>1</v>
      </c>
      <c r="G1236" s="239">
        <v>1</v>
      </c>
      <c r="H1236" s="203">
        <f>((J1234)/200)+1</f>
        <v>10.984999999999999</v>
      </c>
      <c r="I1236" s="198">
        <v>180</v>
      </c>
      <c r="J1236" s="198">
        <v>150</v>
      </c>
      <c r="K1236" s="198">
        <v>180</v>
      </c>
      <c r="L1236" s="198">
        <v>150</v>
      </c>
      <c r="M1236" s="198"/>
      <c r="N1236" s="721">
        <f t="shared" si="375"/>
        <v>740</v>
      </c>
      <c r="O1236" s="721">
        <f t="shared" si="376"/>
        <v>0</v>
      </c>
      <c r="P1236" s="722">
        <f t="shared" si="377"/>
        <v>8.1289999999999996</v>
      </c>
      <c r="Q1236" s="686" t="str">
        <f t="shared" si="378"/>
        <v>-</v>
      </c>
      <c r="R1236" s="686" t="str">
        <f t="shared" si="379"/>
        <v>-</v>
      </c>
      <c r="S1236" s="686" t="str">
        <f t="shared" si="380"/>
        <v>-</v>
      </c>
      <c r="T1236" s="686" t="str">
        <f t="shared" si="381"/>
        <v>-</v>
      </c>
      <c r="U1236" s="723" t="str">
        <f t="shared" si="382"/>
        <v>-</v>
      </c>
      <c r="V1236" s="695" t="str">
        <f t="shared" si="383"/>
        <v>-</v>
      </c>
      <c r="W1236" s="711"/>
    </row>
    <row r="1237" spans="1:23" ht="16.5" hidden="1" outlineLevel="1">
      <c r="A1237" s="195"/>
      <c r="B1237" s="172"/>
      <c r="C1237" s="196"/>
      <c r="D1237" s="685"/>
      <c r="E1237" s="196"/>
      <c r="F1237" s="685"/>
      <c r="G1237" s="204"/>
      <c r="H1237" s="203"/>
      <c r="I1237" s="198"/>
      <c r="J1237" s="198"/>
      <c r="K1237" s="198"/>
      <c r="L1237" s="198"/>
      <c r="M1237" s="198"/>
      <c r="N1237" s="198"/>
      <c r="O1237" s="198"/>
      <c r="P1237" s="199"/>
      <c r="Q1237" s="200"/>
      <c r="R1237" s="200"/>
      <c r="S1237" s="200"/>
      <c r="T1237" s="200"/>
      <c r="U1237" s="688"/>
      <c r="V1237" s="200"/>
      <c r="W1237" s="711"/>
    </row>
    <row r="1238" spans="1:23" ht="16.5" hidden="1" outlineLevel="1">
      <c r="A1238" s="726">
        <v>7</v>
      </c>
      <c r="B1238" s="730" t="s">
        <v>1574</v>
      </c>
      <c r="C1238" s="727">
        <v>10</v>
      </c>
      <c r="D1238" s="690"/>
      <c r="E1238" s="753" t="s">
        <v>1557</v>
      </c>
      <c r="F1238" s="685">
        <v>1</v>
      </c>
      <c r="G1238" s="239">
        <v>1</v>
      </c>
      <c r="H1238" s="203">
        <v>2</v>
      </c>
      <c r="I1238" s="198">
        <f>C1238*10</f>
        <v>100</v>
      </c>
      <c r="J1238" s="171">
        <f>1093-50</f>
        <v>1043</v>
      </c>
      <c r="K1238" s="198">
        <v>100</v>
      </c>
      <c r="L1238" s="198"/>
      <c r="M1238" s="198"/>
      <c r="N1238" s="721">
        <f t="shared" ref="N1238:N1240" si="384">IF(E1238="L Shape",(I1238+J1238)-(C1238*2*1),IF(E1238="U Shape",(I1238+J1238+K1238)-(C1238*2*2),IF(E1238="Rectangle",(I1238+J1238+K1238+L1238)+(C1238*10*2)-(C1238*2*5),IF(E1238="Straight",J1238-(C1238*0),IF(E1238="Chair",(I1238+J1238+K1238+L1238+M1238)-(C1238*2*4),IF(E1238="U2 Shape",(I1238+J1238+K1238+L1238+M1238)-(C1238*2*4),IF(E1238="U3 Shape",(I1238+J1238+K1238+L1238)-(C1238*2*3),IF(E1238="Z Shape",(I1238+J1238+K1238)-(C1238*2*2),IF(E1238="Triangle",(I1238+J1238+K1238)+(C1238*10*2)-(C1238*2*4),IF(E1238="Trapezoid2",(I1238+I1238+J1238+K1238+K1238+L1238)+(C1238*10*2)-(C1238*2*7),IF(E1238="Trapezoid",(I1238+J1238+K1238+L1238)+(C1238*10*2)-(C1238*2*5),IF(E1238="Link",J1238+(C1238*10*2),IF(E1238="U5 Shape",(I1238+J1238+K1238+L1238)-(C1238*2*3),IF(E1238="DU2 Shape",(I1238+J1238+K1238+L1238)-(C1238*2*4),IF(E1238="SU Shape",(I1238+J1238+K1238)-(C1238*2*2),"-")))))))))))))))</f>
        <v>1203</v>
      </c>
      <c r="O1238" s="721">
        <f t="shared" ref="O1238:O1240" si="385">IF(N1238&lt;12001,C1238*49*0,IF(N1238&lt;24001,C1238*49*1,IF(N1238&lt;36001,C1238*49*2,IF(N1238&lt;48001,C1238*49*3,IF(N1238&lt;60001,C1238*49*4,IF(N1238&lt;72001,(C1238*49*5),IF(N1238&lt;84001,(C1238*49*6),IF(N1238&lt;96001,(C1238*49*7),IF(N1238&lt;108001,(C1238*49*8),IF(N1238&lt;120001,(C1238*49*9),IF(N1238&lt;132001,(C1238*49*10),IF(N1238&lt;144001,(C1238*49*11),""))))))))))))</f>
        <v>0</v>
      </c>
      <c r="P1238" s="722" t="str">
        <f t="shared" ref="P1238:P1240" si="386">IF(C1238=8,ROUND(((N1238+O1238)*F1238*G1238*H1238)/1000,3),"-")</f>
        <v>-</v>
      </c>
      <c r="Q1238" s="686">
        <f t="shared" ref="Q1238:Q1240" si="387">IF(C1238=10,ROUND(((N1238+O1238)*F1238*G1238*H1238)/1000,3),"-")</f>
        <v>2.4060000000000001</v>
      </c>
      <c r="R1238" s="686" t="str">
        <f t="shared" ref="R1238:R1240" si="388">IF(C1238=12,ROUND(((N1238+O1238)*F1238*G1238*H1238)/1000,3),"-")</f>
        <v>-</v>
      </c>
      <c r="S1238" s="686" t="str">
        <f t="shared" ref="S1238:S1240" si="389">IF(C1238=16,ROUND(((N1238+O1238)*F1238*G1238*H1238)/1000,3),"-")</f>
        <v>-</v>
      </c>
      <c r="T1238" s="686" t="str">
        <f t="shared" ref="T1238:T1240" si="390">IF(C1238=20,ROUND(((N1238+O1238)*F1238*G1238*H1238)/1000,3),"-")</f>
        <v>-</v>
      </c>
      <c r="U1238" s="723" t="str">
        <f t="shared" ref="U1238:U1240" si="391">IF(C1238=25,ROUND(((N1238+O1238)*F1238*G1238*H1238)/1000,3),"-")</f>
        <v>-</v>
      </c>
      <c r="V1238" s="695" t="str">
        <f t="shared" ref="V1238:V1240" si="392">IF(C1238=32,ROUND(((N1238+O1238)*F1238*G1238*H1238)/1000,3),"-")</f>
        <v>-</v>
      </c>
      <c r="W1238" s="711"/>
    </row>
    <row r="1239" spans="1:23" ht="16.5" hidden="1" outlineLevel="1">
      <c r="A1239" s="726"/>
      <c r="B1239" s="726" t="s">
        <v>393</v>
      </c>
      <c r="C1239" s="727">
        <v>10</v>
      </c>
      <c r="D1239" s="690"/>
      <c r="E1239" s="753" t="s">
        <v>1557</v>
      </c>
      <c r="F1239" s="685">
        <v>1</v>
      </c>
      <c r="G1239" s="239">
        <v>1</v>
      </c>
      <c r="H1239" s="203">
        <v>2</v>
      </c>
      <c r="I1239" s="198">
        <f>C1239*10</f>
        <v>100</v>
      </c>
      <c r="J1239" s="171">
        <f>1093-50</f>
        <v>1043</v>
      </c>
      <c r="K1239" s="198">
        <v>100</v>
      </c>
      <c r="L1239" s="198"/>
      <c r="M1239" s="198"/>
      <c r="N1239" s="721">
        <f t="shared" si="384"/>
        <v>1203</v>
      </c>
      <c r="O1239" s="721">
        <f t="shared" si="385"/>
        <v>0</v>
      </c>
      <c r="P1239" s="722" t="str">
        <f t="shared" si="386"/>
        <v>-</v>
      </c>
      <c r="Q1239" s="686">
        <f t="shared" si="387"/>
        <v>2.4060000000000001</v>
      </c>
      <c r="R1239" s="686" t="str">
        <f t="shared" si="388"/>
        <v>-</v>
      </c>
      <c r="S1239" s="686" t="str">
        <f t="shared" si="389"/>
        <v>-</v>
      </c>
      <c r="T1239" s="686" t="str">
        <f t="shared" si="390"/>
        <v>-</v>
      </c>
      <c r="U1239" s="723" t="str">
        <f t="shared" si="391"/>
        <v>-</v>
      </c>
      <c r="V1239" s="695" t="str">
        <f t="shared" si="392"/>
        <v>-</v>
      </c>
      <c r="W1239" s="711"/>
    </row>
    <row r="1240" spans="1:23" ht="16.5" hidden="1" outlineLevel="1">
      <c r="A1240" s="726"/>
      <c r="B1240" s="726" t="s">
        <v>394</v>
      </c>
      <c r="C1240" s="727">
        <v>8</v>
      </c>
      <c r="D1240" s="690"/>
      <c r="E1240" s="754" t="s">
        <v>1558</v>
      </c>
      <c r="F1240" s="685">
        <v>1</v>
      </c>
      <c r="G1240" s="239">
        <v>1</v>
      </c>
      <c r="H1240" s="203">
        <f>((J1238)/200)+1</f>
        <v>6.2149999999999999</v>
      </c>
      <c r="I1240" s="198">
        <v>180</v>
      </c>
      <c r="J1240" s="198">
        <v>150</v>
      </c>
      <c r="K1240" s="198">
        <v>180</v>
      </c>
      <c r="L1240" s="198">
        <v>150</v>
      </c>
      <c r="M1240" s="198"/>
      <c r="N1240" s="721">
        <f t="shared" si="384"/>
        <v>740</v>
      </c>
      <c r="O1240" s="721">
        <f t="shared" si="385"/>
        <v>0</v>
      </c>
      <c r="P1240" s="722">
        <f t="shared" si="386"/>
        <v>4.5990000000000002</v>
      </c>
      <c r="Q1240" s="686" t="str">
        <f t="shared" si="387"/>
        <v>-</v>
      </c>
      <c r="R1240" s="686" t="str">
        <f t="shared" si="388"/>
        <v>-</v>
      </c>
      <c r="S1240" s="686" t="str">
        <f t="shared" si="389"/>
        <v>-</v>
      </c>
      <c r="T1240" s="686" t="str">
        <f t="shared" si="390"/>
        <v>-</v>
      </c>
      <c r="U1240" s="723" t="str">
        <f t="shared" si="391"/>
        <v>-</v>
      </c>
      <c r="V1240" s="695" t="str">
        <f t="shared" si="392"/>
        <v>-</v>
      </c>
      <c r="W1240" s="711"/>
    </row>
    <row r="1241" spans="1:23" ht="16.5" hidden="1" outlineLevel="1">
      <c r="A1241" s="195"/>
      <c r="B1241" s="172"/>
      <c r="C1241" s="196"/>
      <c r="D1241" s="685"/>
      <c r="E1241" s="196"/>
      <c r="F1241" s="685"/>
      <c r="G1241" s="204"/>
      <c r="H1241" s="203"/>
      <c r="I1241" s="198"/>
      <c r="J1241" s="198"/>
      <c r="K1241" s="198"/>
      <c r="L1241" s="198"/>
      <c r="M1241" s="198"/>
      <c r="N1241" s="198"/>
      <c r="O1241" s="198"/>
      <c r="P1241" s="199"/>
      <c r="Q1241" s="200"/>
      <c r="R1241" s="200"/>
      <c r="S1241" s="200"/>
      <c r="T1241" s="200"/>
      <c r="U1241" s="688"/>
      <c r="V1241" s="200"/>
      <c r="W1241" s="711"/>
    </row>
    <row r="1242" spans="1:23" ht="16.5" hidden="1" outlineLevel="1">
      <c r="A1242" s="726">
        <v>8</v>
      </c>
      <c r="B1242" s="730" t="s">
        <v>1574</v>
      </c>
      <c r="C1242" s="727">
        <v>10</v>
      </c>
      <c r="D1242" s="690"/>
      <c r="E1242" s="753" t="s">
        <v>1557</v>
      </c>
      <c r="F1242" s="685">
        <v>1</v>
      </c>
      <c r="G1242" s="239">
        <v>1</v>
      </c>
      <c r="H1242" s="203">
        <v>2</v>
      </c>
      <c r="I1242" s="198">
        <f>C1242*10</f>
        <v>100</v>
      </c>
      <c r="J1242" s="171">
        <f>1093-50</f>
        <v>1043</v>
      </c>
      <c r="K1242" s="198">
        <v>100</v>
      </c>
      <c r="L1242" s="198"/>
      <c r="M1242" s="198"/>
      <c r="N1242" s="721">
        <f t="shared" ref="N1242:N1244" si="393">IF(E1242="L Shape",(I1242+J1242)-(C1242*2*1),IF(E1242="U Shape",(I1242+J1242+K1242)-(C1242*2*2),IF(E1242="Rectangle",(I1242+J1242+K1242+L1242)+(C1242*10*2)-(C1242*2*5),IF(E1242="Straight",J1242-(C1242*0),IF(E1242="Chair",(I1242+J1242+K1242+L1242+M1242)-(C1242*2*4),IF(E1242="U2 Shape",(I1242+J1242+K1242+L1242+M1242)-(C1242*2*4),IF(E1242="U3 Shape",(I1242+J1242+K1242+L1242)-(C1242*2*3),IF(E1242="Z Shape",(I1242+J1242+K1242)-(C1242*2*2),IF(E1242="Triangle",(I1242+J1242+K1242)+(C1242*10*2)-(C1242*2*4),IF(E1242="Trapezoid2",(I1242+I1242+J1242+K1242+K1242+L1242)+(C1242*10*2)-(C1242*2*7),IF(E1242="Trapezoid",(I1242+J1242+K1242+L1242)+(C1242*10*2)-(C1242*2*5),IF(E1242="Link",J1242+(C1242*10*2),IF(E1242="U5 Shape",(I1242+J1242+K1242+L1242)-(C1242*2*3),IF(E1242="DU2 Shape",(I1242+J1242+K1242+L1242)-(C1242*2*4),IF(E1242="SU Shape",(I1242+J1242+K1242)-(C1242*2*2),"-")))))))))))))))</f>
        <v>1203</v>
      </c>
      <c r="O1242" s="721">
        <f t="shared" ref="O1242:O1244" si="394">IF(N1242&lt;12001,C1242*49*0,IF(N1242&lt;24001,C1242*49*1,IF(N1242&lt;36001,C1242*49*2,IF(N1242&lt;48001,C1242*49*3,IF(N1242&lt;60001,C1242*49*4,IF(N1242&lt;72001,(C1242*49*5),IF(N1242&lt;84001,(C1242*49*6),IF(N1242&lt;96001,(C1242*49*7),IF(N1242&lt;108001,(C1242*49*8),IF(N1242&lt;120001,(C1242*49*9),IF(N1242&lt;132001,(C1242*49*10),IF(N1242&lt;144001,(C1242*49*11),""))))))))))))</f>
        <v>0</v>
      </c>
      <c r="P1242" s="722" t="str">
        <f t="shared" ref="P1242:P1244" si="395">IF(C1242=8,ROUND(((N1242+O1242)*F1242*G1242*H1242)/1000,3),"-")</f>
        <v>-</v>
      </c>
      <c r="Q1242" s="686">
        <f t="shared" ref="Q1242:Q1244" si="396">IF(C1242=10,ROUND(((N1242+O1242)*F1242*G1242*H1242)/1000,3),"-")</f>
        <v>2.4060000000000001</v>
      </c>
      <c r="R1242" s="686" t="str">
        <f t="shared" ref="R1242:R1244" si="397">IF(C1242=12,ROUND(((N1242+O1242)*F1242*G1242*H1242)/1000,3),"-")</f>
        <v>-</v>
      </c>
      <c r="S1242" s="686" t="str">
        <f t="shared" ref="S1242:S1244" si="398">IF(C1242=16,ROUND(((N1242+O1242)*F1242*G1242*H1242)/1000,3),"-")</f>
        <v>-</v>
      </c>
      <c r="T1242" s="686" t="str">
        <f t="shared" ref="T1242:T1244" si="399">IF(C1242=20,ROUND(((N1242+O1242)*F1242*G1242*H1242)/1000,3),"-")</f>
        <v>-</v>
      </c>
      <c r="U1242" s="723" t="str">
        <f t="shared" ref="U1242:U1244" si="400">IF(C1242=25,ROUND(((N1242+O1242)*F1242*G1242*H1242)/1000,3),"-")</f>
        <v>-</v>
      </c>
      <c r="V1242" s="695" t="str">
        <f t="shared" ref="V1242:V1244" si="401">IF(C1242=32,ROUND(((N1242+O1242)*F1242*G1242*H1242)/1000,3),"-")</f>
        <v>-</v>
      </c>
      <c r="W1242" s="711"/>
    </row>
    <row r="1243" spans="1:23" ht="16.5" hidden="1" outlineLevel="1">
      <c r="A1243" s="726"/>
      <c r="B1243" s="726" t="s">
        <v>393</v>
      </c>
      <c r="C1243" s="727">
        <v>10</v>
      </c>
      <c r="D1243" s="690"/>
      <c r="E1243" s="753" t="s">
        <v>1557</v>
      </c>
      <c r="F1243" s="685">
        <v>1</v>
      </c>
      <c r="G1243" s="239">
        <v>1</v>
      </c>
      <c r="H1243" s="203">
        <v>2</v>
      </c>
      <c r="I1243" s="198">
        <f>C1243*10</f>
        <v>100</v>
      </c>
      <c r="J1243" s="171">
        <f>1093-50</f>
        <v>1043</v>
      </c>
      <c r="K1243" s="198">
        <v>100</v>
      </c>
      <c r="L1243" s="198"/>
      <c r="M1243" s="198"/>
      <c r="N1243" s="721">
        <f t="shared" si="393"/>
        <v>1203</v>
      </c>
      <c r="O1243" s="721">
        <f t="shared" si="394"/>
        <v>0</v>
      </c>
      <c r="P1243" s="722" t="str">
        <f t="shared" si="395"/>
        <v>-</v>
      </c>
      <c r="Q1243" s="686">
        <f t="shared" si="396"/>
        <v>2.4060000000000001</v>
      </c>
      <c r="R1243" s="686" t="str">
        <f t="shared" si="397"/>
        <v>-</v>
      </c>
      <c r="S1243" s="686" t="str">
        <f t="shared" si="398"/>
        <v>-</v>
      </c>
      <c r="T1243" s="686" t="str">
        <f t="shared" si="399"/>
        <v>-</v>
      </c>
      <c r="U1243" s="723" t="str">
        <f t="shared" si="400"/>
        <v>-</v>
      </c>
      <c r="V1243" s="695" t="str">
        <f t="shared" si="401"/>
        <v>-</v>
      </c>
      <c r="W1243" s="711"/>
    </row>
    <row r="1244" spans="1:23" ht="16.5" hidden="1" outlineLevel="1">
      <c r="A1244" s="726"/>
      <c r="B1244" s="726" t="s">
        <v>394</v>
      </c>
      <c r="C1244" s="727">
        <v>8</v>
      </c>
      <c r="D1244" s="690"/>
      <c r="E1244" s="754" t="s">
        <v>1558</v>
      </c>
      <c r="F1244" s="685">
        <v>1</v>
      </c>
      <c r="G1244" s="239">
        <v>1</v>
      </c>
      <c r="H1244" s="203">
        <f>((J1242)/200)+1</f>
        <v>6.2149999999999999</v>
      </c>
      <c r="I1244" s="198">
        <v>180</v>
      </c>
      <c r="J1244" s="198">
        <v>150</v>
      </c>
      <c r="K1244" s="198">
        <v>180</v>
      </c>
      <c r="L1244" s="198">
        <v>150</v>
      </c>
      <c r="M1244" s="198"/>
      <c r="N1244" s="721">
        <f t="shared" si="393"/>
        <v>740</v>
      </c>
      <c r="O1244" s="721">
        <f t="shared" si="394"/>
        <v>0</v>
      </c>
      <c r="P1244" s="722">
        <f t="shared" si="395"/>
        <v>4.5990000000000002</v>
      </c>
      <c r="Q1244" s="686" t="str">
        <f t="shared" si="396"/>
        <v>-</v>
      </c>
      <c r="R1244" s="686" t="str">
        <f t="shared" si="397"/>
        <v>-</v>
      </c>
      <c r="S1244" s="686" t="str">
        <f t="shared" si="398"/>
        <v>-</v>
      </c>
      <c r="T1244" s="686" t="str">
        <f t="shared" si="399"/>
        <v>-</v>
      </c>
      <c r="U1244" s="723" t="str">
        <f t="shared" si="400"/>
        <v>-</v>
      </c>
      <c r="V1244" s="695" t="str">
        <f t="shared" si="401"/>
        <v>-</v>
      </c>
      <c r="W1244" s="711"/>
    </row>
    <row r="1245" spans="1:23" ht="16.5" hidden="1" outlineLevel="1">
      <c r="A1245" s="195"/>
      <c r="B1245" s="172"/>
      <c r="C1245" s="196"/>
      <c r="D1245" s="685"/>
      <c r="E1245" s="196"/>
      <c r="F1245" s="685"/>
      <c r="G1245" s="204"/>
      <c r="H1245" s="203"/>
      <c r="I1245" s="198"/>
      <c r="J1245" s="198"/>
      <c r="K1245" s="198"/>
      <c r="L1245" s="198"/>
      <c r="M1245" s="198"/>
      <c r="N1245" s="198"/>
      <c r="O1245" s="198"/>
      <c r="P1245" s="199"/>
      <c r="Q1245" s="200"/>
      <c r="R1245" s="200"/>
      <c r="S1245" s="200"/>
      <c r="T1245" s="200"/>
      <c r="U1245" s="688"/>
      <c r="V1245" s="200"/>
      <c r="W1245" s="711"/>
    </row>
    <row r="1246" spans="1:23" ht="16.5" hidden="1" outlineLevel="1">
      <c r="A1246" s="726">
        <v>9</v>
      </c>
      <c r="B1246" s="730" t="s">
        <v>1574</v>
      </c>
      <c r="C1246" s="727">
        <v>10</v>
      </c>
      <c r="D1246" s="690"/>
      <c r="E1246" s="753" t="s">
        <v>1557</v>
      </c>
      <c r="F1246" s="685">
        <v>1</v>
      </c>
      <c r="G1246" s="239">
        <v>1</v>
      </c>
      <c r="H1246" s="203">
        <v>2</v>
      </c>
      <c r="I1246" s="198">
        <f>C1246*10</f>
        <v>100</v>
      </c>
      <c r="J1246" s="171">
        <f>3315-50</f>
        <v>3265</v>
      </c>
      <c r="K1246" s="198">
        <v>100</v>
      </c>
      <c r="L1246" s="198"/>
      <c r="M1246" s="198"/>
      <c r="N1246" s="721">
        <f t="shared" ref="N1246:N1248" si="402">IF(E1246="L Shape",(I1246+J1246)-(C1246*2*1),IF(E1246="U Shape",(I1246+J1246+K1246)-(C1246*2*2),IF(E1246="Rectangle",(I1246+J1246+K1246+L1246)+(C1246*10*2)-(C1246*2*5),IF(E1246="Straight",J1246-(C1246*0),IF(E1246="Chair",(I1246+J1246+K1246+L1246+M1246)-(C1246*2*4),IF(E1246="U2 Shape",(I1246+J1246+K1246+L1246+M1246)-(C1246*2*4),IF(E1246="U3 Shape",(I1246+J1246+K1246+L1246)-(C1246*2*3),IF(E1246="Z Shape",(I1246+J1246+K1246)-(C1246*2*2),IF(E1246="Triangle",(I1246+J1246+K1246)+(C1246*10*2)-(C1246*2*4),IF(E1246="Trapezoid2",(I1246+I1246+J1246+K1246+K1246+L1246)+(C1246*10*2)-(C1246*2*7),IF(E1246="Trapezoid",(I1246+J1246+K1246+L1246)+(C1246*10*2)-(C1246*2*5),IF(E1246="Link",J1246+(C1246*10*2),IF(E1246="U5 Shape",(I1246+J1246+K1246+L1246)-(C1246*2*3),IF(E1246="DU2 Shape",(I1246+J1246+K1246+L1246)-(C1246*2*4),IF(E1246="SU Shape",(I1246+J1246+K1246)-(C1246*2*2),"-")))))))))))))))</f>
        <v>3425</v>
      </c>
      <c r="O1246" s="721">
        <f t="shared" ref="O1246:O1248" si="403">IF(N1246&lt;12001,C1246*49*0,IF(N1246&lt;24001,C1246*49*1,IF(N1246&lt;36001,C1246*49*2,IF(N1246&lt;48001,C1246*49*3,IF(N1246&lt;60001,C1246*49*4,IF(N1246&lt;72001,(C1246*49*5),IF(N1246&lt;84001,(C1246*49*6),IF(N1246&lt;96001,(C1246*49*7),IF(N1246&lt;108001,(C1246*49*8),IF(N1246&lt;120001,(C1246*49*9),IF(N1246&lt;132001,(C1246*49*10),IF(N1246&lt;144001,(C1246*49*11),""))))))))))))</f>
        <v>0</v>
      </c>
      <c r="P1246" s="722" t="str">
        <f t="shared" ref="P1246:P1248" si="404">IF(C1246=8,ROUND(((N1246+O1246)*F1246*G1246*H1246)/1000,3),"-")</f>
        <v>-</v>
      </c>
      <c r="Q1246" s="686">
        <f t="shared" ref="Q1246:Q1248" si="405">IF(C1246=10,ROUND(((N1246+O1246)*F1246*G1246*H1246)/1000,3),"-")</f>
        <v>6.85</v>
      </c>
      <c r="R1246" s="686" t="str">
        <f t="shared" ref="R1246:R1248" si="406">IF(C1246=12,ROUND(((N1246+O1246)*F1246*G1246*H1246)/1000,3),"-")</f>
        <v>-</v>
      </c>
      <c r="S1246" s="686" t="str">
        <f t="shared" ref="S1246:S1248" si="407">IF(C1246=16,ROUND(((N1246+O1246)*F1246*G1246*H1246)/1000,3),"-")</f>
        <v>-</v>
      </c>
      <c r="T1246" s="686" t="str">
        <f t="shared" ref="T1246:T1248" si="408">IF(C1246=20,ROUND(((N1246+O1246)*F1246*G1246*H1246)/1000,3),"-")</f>
        <v>-</v>
      </c>
      <c r="U1246" s="723" t="str">
        <f t="shared" ref="U1246:U1248" si="409">IF(C1246=25,ROUND(((N1246+O1246)*F1246*G1246*H1246)/1000,3),"-")</f>
        <v>-</v>
      </c>
      <c r="V1246" s="695" t="str">
        <f t="shared" ref="V1246:V1248" si="410">IF(C1246=32,ROUND(((N1246+O1246)*F1246*G1246*H1246)/1000,3),"-")</f>
        <v>-</v>
      </c>
      <c r="W1246" s="711"/>
    </row>
    <row r="1247" spans="1:23" ht="16.5" hidden="1" outlineLevel="1">
      <c r="A1247" s="726"/>
      <c r="B1247" s="726" t="s">
        <v>393</v>
      </c>
      <c r="C1247" s="727">
        <v>10</v>
      </c>
      <c r="D1247" s="690"/>
      <c r="E1247" s="753" t="s">
        <v>1557</v>
      </c>
      <c r="F1247" s="685">
        <v>1</v>
      </c>
      <c r="G1247" s="239">
        <v>1</v>
      </c>
      <c r="H1247" s="203">
        <v>2</v>
      </c>
      <c r="I1247" s="198">
        <f>C1247*10</f>
        <v>100</v>
      </c>
      <c r="J1247" s="171">
        <f>3315-50</f>
        <v>3265</v>
      </c>
      <c r="K1247" s="198">
        <v>100</v>
      </c>
      <c r="L1247" s="198"/>
      <c r="M1247" s="198"/>
      <c r="N1247" s="721">
        <f t="shared" si="402"/>
        <v>3425</v>
      </c>
      <c r="O1247" s="721">
        <f t="shared" si="403"/>
        <v>0</v>
      </c>
      <c r="P1247" s="722" t="str">
        <f t="shared" si="404"/>
        <v>-</v>
      </c>
      <c r="Q1247" s="686">
        <f t="shared" si="405"/>
        <v>6.85</v>
      </c>
      <c r="R1247" s="686" t="str">
        <f t="shared" si="406"/>
        <v>-</v>
      </c>
      <c r="S1247" s="686" t="str">
        <f t="shared" si="407"/>
        <v>-</v>
      </c>
      <c r="T1247" s="686" t="str">
        <f t="shared" si="408"/>
        <v>-</v>
      </c>
      <c r="U1247" s="723" t="str">
        <f t="shared" si="409"/>
        <v>-</v>
      </c>
      <c r="V1247" s="695" t="str">
        <f t="shared" si="410"/>
        <v>-</v>
      </c>
      <c r="W1247" s="711"/>
    </row>
    <row r="1248" spans="1:23" ht="16.5" hidden="1" outlineLevel="1">
      <c r="A1248" s="726"/>
      <c r="B1248" s="726" t="s">
        <v>394</v>
      </c>
      <c r="C1248" s="727">
        <v>8</v>
      </c>
      <c r="D1248" s="690"/>
      <c r="E1248" s="754" t="s">
        <v>1558</v>
      </c>
      <c r="F1248" s="685">
        <v>1</v>
      </c>
      <c r="G1248" s="239">
        <v>1</v>
      </c>
      <c r="H1248" s="203">
        <f>((J1246)/200)+1</f>
        <v>17.324999999999999</v>
      </c>
      <c r="I1248" s="198">
        <v>180</v>
      </c>
      <c r="J1248" s="198">
        <v>150</v>
      </c>
      <c r="K1248" s="198">
        <v>180</v>
      </c>
      <c r="L1248" s="198">
        <v>150</v>
      </c>
      <c r="M1248" s="198"/>
      <c r="N1248" s="721">
        <f t="shared" si="402"/>
        <v>740</v>
      </c>
      <c r="O1248" s="721">
        <f t="shared" si="403"/>
        <v>0</v>
      </c>
      <c r="P1248" s="722">
        <f t="shared" si="404"/>
        <v>12.821</v>
      </c>
      <c r="Q1248" s="686" t="str">
        <f t="shared" si="405"/>
        <v>-</v>
      </c>
      <c r="R1248" s="686" t="str">
        <f t="shared" si="406"/>
        <v>-</v>
      </c>
      <c r="S1248" s="686" t="str">
        <f t="shared" si="407"/>
        <v>-</v>
      </c>
      <c r="T1248" s="686" t="str">
        <f t="shared" si="408"/>
        <v>-</v>
      </c>
      <c r="U1248" s="723" t="str">
        <f t="shared" si="409"/>
        <v>-</v>
      </c>
      <c r="V1248" s="695" t="str">
        <f t="shared" si="410"/>
        <v>-</v>
      </c>
      <c r="W1248" s="711"/>
    </row>
    <row r="1249" spans="1:23" ht="16.5" hidden="1" outlineLevel="1">
      <c r="A1249" s="195"/>
      <c r="B1249" s="172"/>
      <c r="C1249" s="196"/>
      <c r="D1249" s="685"/>
      <c r="E1249" s="196"/>
      <c r="F1249" s="685"/>
      <c r="G1249" s="204"/>
      <c r="H1249" s="203"/>
      <c r="I1249" s="198"/>
      <c r="J1249" s="198"/>
      <c r="K1249" s="198"/>
      <c r="L1249" s="198"/>
      <c r="M1249" s="198"/>
      <c r="N1249" s="198"/>
      <c r="O1249" s="198"/>
      <c r="P1249" s="199"/>
      <c r="Q1249" s="200"/>
      <c r="R1249" s="200"/>
      <c r="S1249" s="200"/>
      <c r="T1249" s="200"/>
      <c r="U1249" s="688"/>
      <c r="V1249" s="200"/>
      <c r="W1249" s="711"/>
    </row>
    <row r="1250" spans="1:23" ht="16.5" hidden="1" outlineLevel="1">
      <c r="A1250" s="726">
        <v>10</v>
      </c>
      <c r="B1250" s="730" t="s">
        <v>1574</v>
      </c>
      <c r="C1250" s="727">
        <v>10</v>
      </c>
      <c r="D1250" s="690"/>
      <c r="E1250" s="753" t="s">
        <v>1557</v>
      </c>
      <c r="F1250" s="685">
        <v>1</v>
      </c>
      <c r="G1250" s="239">
        <v>1</v>
      </c>
      <c r="H1250" s="203">
        <v>2</v>
      </c>
      <c r="I1250" s="198">
        <f>C1250*10</f>
        <v>100</v>
      </c>
      <c r="J1250" s="171">
        <f>5150-50</f>
        <v>5100</v>
      </c>
      <c r="K1250" s="198">
        <v>100</v>
      </c>
      <c r="L1250" s="198"/>
      <c r="M1250" s="198"/>
      <c r="N1250" s="721">
        <f t="shared" ref="N1250:N1252" si="411">IF(E1250="L Shape",(I1250+J1250)-(C1250*2*1),IF(E1250="U Shape",(I1250+J1250+K1250)-(C1250*2*2),IF(E1250="Rectangle",(I1250+J1250+K1250+L1250)+(C1250*10*2)-(C1250*2*5),IF(E1250="Straight",J1250-(C1250*0),IF(E1250="Chair",(I1250+J1250+K1250+L1250+M1250)-(C1250*2*4),IF(E1250="U2 Shape",(I1250+J1250+K1250+L1250+M1250)-(C1250*2*4),IF(E1250="U3 Shape",(I1250+J1250+K1250+L1250)-(C1250*2*3),IF(E1250="Z Shape",(I1250+J1250+K1250)-(C1250*2*2),IF(E1250="Triangle",(I1250+J1250+K1250)+(C1250*10*2)-(C1250*2*4),IF(E1250="Trapezoid2",(I1250+I1250+J1250+K1250+K1250+L1250)+(C1250*10*2)-(C1250*2*7),IF(E1250="Trapezoid",(I1250+J1250+K1250+L1250)+(C1250*10*2)-(C1250*2*5),IF(E1250="Link",J1250+(C1250*10*2),IF(E1250="U5 Shape",(I1250+J1250+K1250+L1250)-(C1250*2*3),IF(E1250="DU2 Shape",(I1250+J1250+K1250+L1250)-(C1250*2*4),IF(E1250="SU Shape",(I1250+J1250+K1250)-(C1250*2*2),"-")))))))))))))))</f>
        <v>5260</v>
      </c>
      <c r="O1250" s="721">
        <f t="shared" ref="O1250:O1252" si="412">IF(N1250&lt;12001,C1250*49*0,IF(N1250&lt;24001,C1250*49*1,IF(N1250&lt;36001,C1250*49*2,IF(N1250&lt;48001,C1250*49*3,IF(N1250&lt;60001,C1250*49*4,IF(N1250&lt;72001,(C1250*49*5),IF(N1250&lt;84001,(C1250*49*6),IF(N1250&lt;96001,(C1250*49*7),IF(N1250&lt;108001,(C1250*49*8),IF(N1250&lt;120001,(C1250*49*9),IF(N1250&lt;132001,(C1250*49*10),IF(N1250&lt;144001,(C1250*49*11),""))))))))))))</f>
        <v>0</v>
      </c>
      <c r="P1250" s="722" t="str">
        <f t="shared" ref="P1250:P1252" si="413">IF(C1250=8,ROUND(((N1250+O1250)*F1250*G1250*H1250)/1000,3),"-")</f>
        <v>-</v>
      </c>
      <c r="Q1250" s="686">
        <f t="shared" ref="Q1250:Q1252" si="414">IF(C1250=10,ROUND(((N1250+O1250)*F1250*G1250*H1250)/1000,3),"-")</f>
        <v>10.52</v>
      </c>
      <c r="R1250" s="686" t="str">
        <f t="shared" ref="R1250:R1252" si="415">IF(C1250=12,ROUND(((N1250+O1250)*F1250*G1250*H1250)/1000,3),"-")</f>
        <v>-</v>
      </c>
      <c r="S1250" s="686" t="str">
        <f t="shared" ref="S1250:S1252" si="416">IF(C1250=16,ROUND(((N1250+O1250)*F1250*G1250*H1250)/1000,3),"-")</f>
        <v>-</v>
      </c>
      <c r="T1250" s="686" t="str">
        <f t="shared" ref="T1250:T1252" si="417">IF(C1250=20,ROUND(((N1250+O1250)*F1250*G1250*H1250)/1000,3),"-")</f>
        <v>-</v>
      </c>
      <c r="U1250" s="723" t="str">
        <f t="shared" ref="U1250:U1252" si="418">IF(C1250=25,ROUND(((N1250+O1250)*F1250*G1250*H1250)/1000,3),"-")</f>
        <v>-</v>
      </c>
      <c r="V1250" s="695" t="str">
        <f t="shared" ref="V1250:V1252" si="419">IF(C1250=32,ROUND(((N1250+O1250)*F1250*G1250*H1250)/1000,3),"-")</f>
        <v>-</v>
      </c>
      <c r="W1250" s="711"/>
    </row>
    <row r="1251" spans="1:23" ht="16.5" hidden="1" outlineLevel="1">
      <c r="A1251" s="726"/>
      <c r="B1251" s="726" t="s">
        <v>393</v>
      </c>
      <c r="C1251" s="727">
        <v>10</v>
      </c>
      <c r="D1251" s="690"/>
      <c r="E1251" s="753" t="s">
        <v>1557</v>
      </c>
      <c r="F1251" s="685">
        <v>1</v>
      </c>
      <c r="G1251" s="239">
        <v>1</v>
      </c>
      <c r="H1251" s="203">
        <v>2</v>
      </c>
      <c r="I1251" s="198">
        <f>C1251*10</f>
        <v>100</v>
      </c>
      <c r="J1251" s="171">
        <f>5150-50</f>
        <v>5100</v>
      </c>
      <c r="K1251" s="198">
        <v>100</v>
      </c>
      <c r="L1251" s="198"/>
      <c r="M1251" s="198"/>
      <c r="N1251" s="721">
        <f t="shared" si="411"/>
        <v>5260</v>
      </c>
      <c r="O1251" s="721">
        <f t="shared" si="412"/>
        <v>0</v>
      </c>
      <c r="P1251" s="722" t="str">
        <f t="shared" si="413"/>
        <v>-</v>
      </c>
      <c r="Q1251" s="686">
        <f t="shared" si="414"/>
        <v>10.52</v>
      </c>
      <c r="R1251" s="686" t="str">
        <f t="shared" si="415"/>
        <v>-</v>
      </c>
      <c r="S1251" s="686" t="str">
        <f t="shared" si="416"/>
        <v>-</v>
      </c>
      <c r="T1251" s="686" t="str">
        <f t="shared" si="417"/>
        <v>-</v>
      </c>
      <c r="U1251" s="723" t="str">
        <f t="shared" si="418"/>
        <v>-</v>
      </c>
      <c r="V1251" s="695" t="str">
        <f t="shared" si="419"/>
        <v>-</v>
      </c>
      <c r="W1251" s="711"/>
    </row>
    <row r="1252" spans="1:23" ht="16.5" hidden="1" outlineLevel="1">
      <c r="A1252" s="726"/>
      <c r="B1252" s="726" t="s">
        <v>394</v>
      </c>
      <c r="C1252" s="727">
        <v>8</v>
      </c>
      <c r="D1252" s="690"/>
      <c r="E1252" s="754" t="s">
        <v>1558</v>
      </c>
      <c r="F1252" s="685">
        <v>1</v>
      </c>
      <c r="G1252" s="239">
        <v>1</v>
      </c>
      <c r="H1252" s="203">
        <f>((J1250)/200)+1</f>
        <v>26.5</v>
      </c>
      <c r="I1252" s="198">
        <v>180</v>
      </c>
      <c r="J1252" s="198">
        <v>150</v>
      </c>
      <c r="K1252" s="198">
        <v>180</v>
      </c>
      <c r="L1252" s="198">
        <v>150</v>
      </c>
      <c r="M1252" s="198"/>
      <c r="N1252" s="721">
        <f t="shared" si="411"/>
        <v>740</v>
      </c>
      <c r="O1252" s="721">
        <f t="shared" si="412"/>
        <v>0</v>
      </c>
      <c r="P1252" s="722">
        <f t="shared" si="413"/>
        <v>19.61</v>
      </c>
      <c r="Q1252" s="686" t="str">
        <f t="shared" si="414"/>
        <v>-</v>
      </c>
      <c r="R1252" s="686" t="str">
        <f t="shared" si="415"/>
        <v>-</v>
      </c>
      <c r="S1252" s="686" t="str">
        <f t="shared" si="416"/>
        <v>-</v>
      </c>
      <c r="T1252" s="686" t="str">
        <f t="shared" si="417"/>
        <v>-</v>
      </c>
      <c r="U1252" s="723" t="str">
        <f t="shared" si="418"/>
        <v>-</v>
      </c>
      <c r="V1252" s="695" t="str">
        <f t="shared" si="419"/>
        <v>-</v>
      </c>
      <c r="W1252" s="711"/>
    </row>
    <row r="1253" spans="1:23" ht="16.5" hidden="1" outlineLevel="1">
      <c r="A1253" s="195"/>
      <c r="B1253" s="172"/>
      <c r="C1253" s="196"/>
      <c r="D1253" s="685"/>
      <c r="E1253" s="196"/>
      <c r="F1253" s="685"/>
      <c r="G1253" s="204"/>
      <c r="H1253" s="203"/>
      <c r="I1253" s="198"/>
      <c r="J1253" s="198"/>
      <c r="K1253" s="198"/>
      <c r="L1253" s="198"/>
      <c r="M1253" s="198"/>
      <c r="N1253" s="198"/>
      <c r="O1253" s="198"/>
      <c r="P1253" s="199"/>
      <c r="Q1253" s="200"/>
      <c r="R1253" s="200"/>
      <c r="S1253" s="200"/>
      <c r="T1253" s="200"/>
      <c r="U1253" s="688"/>
      <c r="V1253" s="200"/>
      <c r="W1253" s="711"/>
    </row>
    <row r="1254" spans="1:23" ht="49.5" hidden="1" outlineLevel="1">
      <c r="A1254" s="755" t="s">
        <v>1629</v>
      </c>
      <c r="B1254" s="748" t="s">
        <v>842</v>
      </c>
      <c r="C1254" s="196"/>
      <c r="D1254" s="685"/>
      <c r="E1254" s="196"/>
      <c r="F1254" s="685"/>
      <c r="G1254" s="204"/>
      <c r="H1254" s="203"/>
      <c r="I1254" s="198"/>
      <c r="J1254" s="198"/>
      <c r="K1254" s="198"/>
      <c r="L1254" s="198"/>
      <c r="M1254" s="198"/>
      <c r="N1254" s="198"/>
      <c r="O1254" s="198"/>
      <c r="P1254" s="199"/>
      <c r="Q1254" s="200"/>
      <c r="R1254" s="200"/>
      <c r="S1254" s="200"/>
      <c r="T1254" s="200"/>
      <c r="U1254" s="688"/>
      <c r="V1254" s="200"/>
      <c r="W1254" s="711"/>
    </row>
    <row r="1255" spans="1:23" ht="16.5" hidden="1" outlineLevel="1">
      <c r="A1255" s="195"/>
      <c r="B1255" s="172"/>
      <c r="C1255" s="196"/>
      <c r="D1255" s="685"/>
      <c r="E1255" s="196"/>
      <c r="F1255" s="685"/>
      <c r="G1255" s="204"/>
      <c r="H1255" s="203"/>
      <c r="I1255" s="198"/>
      <c r="J1255" s="198"/>
      <c r="K1255" s="198"/>
      <c r="L1255" s="198"/>
      <c r="M1255" s="198"/>
      <c r="N1255" s="198"/>
      <c r="O1255" s="198"/>
      <c r="P1255" s="199"/>
      <c r="Q1255" s="200"/>
      <c r="R1255" s="200"/>
      <c r="S1255" s="200"/>
      <c r="T1255" s="200"/>
      <c r="U1255" s="688"/>
      <c r="V1255" s="200"/>
      <c r="W1255" s="711"/>
    </row>
    <row r="1256" spans="1:23" ht="16.5" hidden="1" outlineLevel="1">
      <c r="A1256" s="726">
        <v>1</v>
      </c>
      <c r="B1256" s="730" t="s">
        <v>1574</v>
      </c>
      <c r="C1256" s="727">
        <v>10</v>
      </c>
      <c r="D1256" s="690"/>
      <c r="E1256" s="753" t="s">
        <v>1557</v>
      </c>
      <c r="F1256" s="685">
        <v>1</v>
      </c>
      <c r="G1256" s="239">
        <v>1</v>
      </c>
      <c r="H1256" s="203">
        <v>2</v>
      </c>
      <c r="I1256" s="198">
        <f>C1256*10</f>
        <v>100</v>
      </c>
      <c r="J1256" s="171">
        <f>1398-50</f>
        <v>1348</v>
      </c>
      <c r="K1256" s="198">
        <v>100</v>
      </c>
      <c r="L1256" s="198"/>
      <c r="M1256" s="198"/>
      <c r="N1256" s="721">
        <f t="shared" ref="N1256:N1258" si="420">IF(E1256="L Shape",(I1256+J1256)-(C1256*2*1),IF(E1256="U Shape",(I1256+J1256+K1256)-(C1256*2*2),IF(E1256="Rectangle",(I1256+J1256+K1256+L1256)+(C1256*10*2)-(C1256*2*5),IF(E1256="Straight",J1256-(C1256*0),IF(E1256="Chair",(I1256+J1256+K1256+L1256+M1256)-(C1256*2*4),IF(E1256="U2 Shape",(I1256+J1256+K1256+L1256+M1256)-(C1256*2*4),IF(E1256="U3 Shape",(I1256+J1256+K1256+L1256)-(C1256*2*3),IF(E1256="Z Shape",(I1256+J1256+K1256)-(C1256*2*2),IF(E1256="Triangle",(I1256+J1256+K1256)+(C1256*10*2)-(C1256*2*4),IF(E1256="Trapezoid2",(I1256+I1256+J1256+K1256+K1256+L1256)+(C1256*10*2)-(C1256*2*7),IF(E1256="Trapezoid",(I1256+J1256+K1256+L1256)+(C1256*10*2)-(C1256*2*5),IF(E1256="Link",J1256+(C1256*10*2),IF(E1256="U5 Shape",(I1256+J1256+K1256+L1256)-(C1256*2*3),IF(E1256="DU2 Shape",(I1256+J1256+K1256+L1256)-(C1256*2*4),IF(E1256="SU Shape",(I1256+J1256+K1256)-(C1256*2*2),"-")))))))))))))))</f>
        <v>1508</v>
      </c>
      <c r="O1256" s="721">
        <f t="shared" ref="O1256:O1258" si="421">IF(N1256&lt;12001,C1256*49*0,IF(N1256&lt;24001,C1256*49*1,IF(N1256&lt;36001,C1256*49*2,IF(N1256&lt;48001,C1256*49*3,IF(N1256&lt;60001,C1256*49*4,IF(N1256&lt;72001,(C1256*49*5),IF(N1256&lt;84001,(C1256*49*6),IF(N1256&lt;96001,(C1256*49*7),IF(N1256&lt;108001,(C1256*49*8),IF(N1256&lt;120001,(C1256*49*9),IF(N1256&lt;132001,(C1256*49*10),IF(N1256&lt;144001,(C1256*49*11),""))))))))))))</f>
        <v>0</v>
      </c>
      <c r="P1256" s="722" t="str">
        <f t="shared" ref="P1256:P1258" si="422">IF(C1256=8,ROUND(((N1256+O1256)*F1256*G1256*H1256)/1000,3),"-")</f>
        <v>-</v>
      </c>
      <c r="Q1256" s="686">
        <f t="shared" ref="Q1256:Q1258" si="423">IF(C1256=10,ROUND(((N1256+O1256)*F1256*G1256*H1256)/1000,3),"-")</f>
        <v>3.016</v>
      </c>
      <c r="R1256" s="686" t="str">
        <f t="shared" ref="R1256:R1258" si="424">IF(C1256=12,ROUND(((N1256+O1256)*F1256*G1256*H1256)/1000,3),"-")</f>
        <v>-</v>
      </c>
      <c r="S1256" s="686" t="str">
        <f t="shared" ref="S1256:S1258" si="425">IF(C1256=16,ROUND(((N1256+O1256)*F1256*G1256*H1256)/1000,3),"-")</f>
        <v>-</v>
      </c>
      <c r="T1256" s="686" t="str">
        <f t="shared" ref="T1256:T1258" si="426">IF(C1256=20,ROUND(((N1256+O1256)*F1256*G1256*H1256)/1000,3),"-")</f>
        <v>-</v>
      </c>
      <c r="U1256" s="723" t="str">
        <f t="shared" ref="U1256:U1258" si="427">IF(C1256=25,ROUND(((N1256+O1256)*F1256*G1256*H1256)/1000,3),"-")</f>
        <v>-</v>
      </c>
      <c r="V1256" s="695" t="str">
        <f t="shared" ref="V1256:V1258" si="428">IF(C1256=32,ROUND(((N1256+O1256)*F1256*G1256*H1256)/1000,3),"-")</f>
        <v>-</v>
      </c>
      <c r="W1256" s="711"/>
    </row>
    <row r="1257" spans="1:23" ht="16.5" hidden="1" outlineLevel="1">
      <c r="A1257" s="726"/>
      <c r="B1257" s="726" t="s">
        <v>393</v>
      </c>
      <c r="C1257" s="727">
        <v>10</v>
      </c>
      <c r="D1257" s="690"/>
      <c r="E1257" s="753" t="s">
        <v>1557</v>
      </c>
      <c r="F1257" s="685">
        <v>1</v>
      </c>
      <c r="G1257" s="239">
        <v>1</v>
      </c>
      <c r="H1257" s="203">
        <v>2</v>
      </c>
      <c r="I1257" s="198">
        <f>C1257*10</f>
        <v>100</v>
      </c>
      <c r="J1257" s="171">
        <f>1398-50</f>
        <v>1348</v>
      </c>
      <c r="K1257" s="198">
        <v>100</v>
      </c>
      <c r="L1257" s="198"/>
      <c r="M1257" s="198"/>
      <c r="N1257" s="721">
        <f t="shared" si="420"/>
        <v>1508</v>
      </c>
      <c r="O1257" s="721">
        <f t="shared" si="421"/>
        <v>0</v>
      </c>
      <c r="P1257" s="722" t="str">
        <f t="shared" si="422"/>
        <v>-</v>
      </c>
      <c r="Q1257" s="686">
        <f t="shared" si="423"/>
        <v>3.016</v>
      </c>
      <c r="R1257" s="686" t="str">
        <f t="shared" si="424"/>
        <v>-</v>
      </c>
      <c r="S1257" s="686" t="str">
        <f t="shared" si="425"/>
        <v>-</v>
      </c>
      <c r="T1257" s="686" t="str">
        <f t="shared" si="426"/>
        <v>-</v>
      </c>
      <c r="U1257" s="723" t="str">
        <f t="shared" si="427"/>
        <v>-</v>
      </c>
      <c r="V1257" s="695" t="str">
        <f t="shared" si="428"/>
        <v>-</v>
      </c>
      <c r="W1257" s="711"/>
    </row>
    <row r="1258" spans="1:23" ht="16.5" hidden="1" outlineLevel="1">
      <c r="A1258" s="726"/>
      <c r="B1258" s="726" t="s">
        <v>394</v>
      </c>
      <c r="C1258" s="727">
        <v>8</v>
      </c>
      <c r="D1258" s="690"/>
      <c r="E1258" s="754" t="s">
        <v>1558</v>
      </c>
      <c r="F1258" s="685">
        <v>1</v>
      </c>
      <c r="G1258" s="239">
        <v>1</v>
      </c>
      <c r="H1258" s="203">
        <f>((J1256)/200)+1</f>
        <v>7.74</v>
      </c>
      <c r="I1258" s="198">
        <v>180</v>
      </c>
      <c r="J1258" s="198">
        <v>150</v>
      </c>
      <c r="K1258" s="198">
        <v>180</v>
      </c>
      <c r="L1258" s="198">
        <v>150</v>
      </c>
      <c r="M1258" s="198"/>
      <c r="N1258" s="721">
        <f t="shared" si="420"/>
        <v>740</v>
      </c>
      <c r="O1258" s="721">
        <f t="shared" si="421"/>
        <v>0</v>
      </c>
      <c r="P1258" s="722">
        <f t="shared" si="422"/>
        <v>5.7279999999999998</v>
      </c>
      <c r="Q1258" s="686" t="str">
        <f t="shared" si="423"/>
        <v>-</v>
      </c>
      <c r="R1258" s="686" t="str">
        <f t="shared" si="424"/>
        <v>-</v>
      </c>
      <c r="S1258" s="686" t="str">
        <f t="shared" si="425"/>
        <v>-</v>
      </c>
      <c r="T1258" s="686" t="str">
        <f t="shared" si="426"/>
        <v>-</v>
      </c>
      <c r="U1258" s="723" t="str">
        <f t="shared" si="427"/>
        <v>-</v>
      </c>
      <c r="V1258" s="695" t="str">
        <f t="shared" si="428"/>
        <v>-</v>
      </c>
      <c r="W1258" s="711"/>
    </row>
    <row r="1259" spans="1:23" ht="16.5" hidden="1" outlineLevel="1">
      <c r="A1259" s="195"/>
      <c r="B1259" s="172"/>
      <c r="C1259" s="196"/>
      <c r="D1259" s="685"/>
      <c r="E1259" s="196"/>
      <c r="F1259" s="685"/>
      <c r="G1259" s="204"/>
      <c r="H1259" s="203"/>
      <c r="I1259" s="198"/>
      <c r="J1259" s="198"/>
      <c r="K1259" s="198"/>
      <c r="L1259" s="198"/>
      <c r="M1259" s="198"/>
      <c r="N1259" s="198"/>
      <c r="O1259" s="198"/>
      <c r="P1259" s="199"/>
      <c r="Q1259" s="200"/>
      <c r="R1259" s="200"/>
      <c r="S1259" s="200"/>
      <c r="T1259" s="200"/>
      <c r="U1259" s="688"/>
      <c r="V1259" s="200"/>
      <c r="W1259" s="711"/>
    </row>
    <row r="1260" spans="1:23" ht="16.5" hidden="1" outlineLevel="1">
      <c r="A1260" s="726">
        <v>2</v>
      </c>
      <c r="B1260" s="730" t="s">
        <v>1574</v>
      </c>
      <c r="C1260" s="727">
        <v>10</v>
      </c>
      <c r="D1260" s="690"/>
      <c r="E1260" s="753" t="s">
        <v>1557</v>
      </c>
      <c r="F1260" s="685">
        <v>1</v>
      </c>
      <c r="G1260" s="239">
        <v>1</v>
      </c>
      <c r="H1260" s="203">
        <v>2</v>
      </c>
      <c r="I1260" s="198">
        <f>C1260*10</f>
        <v>100</v>
      </c>
      <c r="J1260" s="171">
        <f>6182-50</f>
        <v>6132</v>
      </c>
      <c r="K1260" s="198">
        <v>100</v>
      </c>
      <c r="L1260" s="198"/>
      <c r="M1260" s="198"/>
      <c r="N1260" s="721">
        <f t="shared" ref="N1260:N1262" si="429">IF(E1260="L Shape",(I1260+J1260)-(C1260*2*1),IF(E1260="U Shape",(I1260+J1260+K1260)-(C1260*2*2),IF(E1260="Rectangle",(I1260+J1260+K1260+L1260)+(C1260*10*2)-(C1260*2*5),IF(E1260="Straight",J1260-(C1260*0),IF(E1260="Chair",(I1260+J1260+K1260+L1260+M1260)-(C1260*2*4),IF(E1260="U2 Shape",(I1260+J1260+K1260+L1260+M1260)-(C1260*2*4),IF(E1260="U3 Shape",(I1260+J1260+K1260+L1260)-(C1260*2*3),IF(E1260="Z Shape",(I1260+J1260+K1260)-(C1260*2*2),IF(E1260="Triangle",(I1260+J1260+K1260)+(C1260*10*2)-(C1260*2*4),IF(E1260="Trapezoid2",(I1260+I1260+J1260+K1260+K1260+L1260)+(C1260*10*2)-(C1260*2*7),IF(E1260="Trapezoid",(I1260+J1260+K1260+L1260)+(C1260*10*2)-(C1260*2*5),IF(E1260="Link",J1260+(C1260*10*2),IF(E1260="U5 Shape",(I1260+J1260+K1260+L1260)-(C1260*2*3),IF(E1260="DU2 Shape",(I1260+J1260+K1260+L1260)-(C1260*2*4),IF(E1260="SU Shape",(I1260+J1260+K1260)-(C1260*2*2),"-")))))))))))))))</f>
        <v>6292</v>
      </c>
      <c r="O1260" s="721">
        <f t="shared" ref="O1260:O1262" si="430">IF(N1260&lt;12001,C1260*49*0,IF(N1260&lt;24001,C1260*49*1,IF(N1260&lt;36001,C1260*49*2,IF(N1260&lt;48001,C1260*49*3,IF(N1260&lt;60001,C1260*49*4,IF(N1260&lt;72001,(C1260*49*5),IF(N1260&lt;84001,(C1260*49*6),IF(N1260&lt;96001,(C1260*49*7),IF(N1260&lt;108001,(C1260*49*8),IF(N1260&lt;120001,(C1260*49*9),IF(N1260&lt;132001,(C1260*49*10),IF(N1260&lt;144001,(C1260*49*11),""))))))))))))</f>
        <v>0</v>
      </c>
      <c r="P1260" s="722" t="str">
        <f t="shared" ref="P1260:P1262" si="431">IF(C1260=8,ROUND(((N1260+O1260)*F1260*G1260*H1260)/1000,3),"-")</f>
        <v>-</v>
      </c>
      <c r="Q1260" s="686">
        <f t="shared" ref="Q1260:Q1262" si="432">IF(C1260=10,ROUND(((N1260+O1260)*F1260*G1260*H1260)/1000,3),"-")</f>
        <v>12.584</v>
      </c>
      <c r="R1260" s="686" t="str">
        <f t="shared" ref="R1260:R1262" si="433">IF(C1260=12,ROUND(((N1260+O1260)*F1260*G1260*H1260)/1000,3),"-")</f>
        <v>-</v>
      </c>
      <c r="S1260" s="686" t="str">
        <f t="shared" ref="S1260:S1262" si="434">IF(C1260=16,ROUND(((N1260+O1260)*F1260*G1260*H1260)/1000,3),"-")</f>
        <v>-</v>
      </c>
      <c r="T1260" s="686" t="str">
        <f t="shared" ref="T1260:T1262" si="435">IF(C1260=20,ROUND(((N1260+O1260)*F1260*G1260*H1260)/1000,3),"-")</f>
        <v>-</v>
      </c>
      <c r="U1260" s="723" t="str">
        <f t="shared" ref="U1260:U1262" si="436">IF(C1260=25,ROUND(((N1260+O1260)*F1260*G1260*H1260)/1000,3),"-")</f>
        <v>-</v>
      </c>
      <c r="V1260" s="695" t="str">
        <f t="shared" ref="V1260:V1262" si="437">IF(C1260=32,ROUND(((N1260+O1260)*F1260*G1260*H1260)/1000,3),"-")</f>
        <v>-</v>
      </c>
      <c r="W1260" s="711"/>
    </row>
    <row r="1261" spans="1:23" ht="16.5" hidden="1" outlineLevel="1">
      <c r="A1261" s="726"/>
      <c r="B1261" s="726" t="s">
        <v>393</v>
      </c>
      <c r="C1261" s="727">
        <v>10</v>
      </c>
      <c r="D1261" s="690"/>
      <c r="E1261" s="753" t="s">
        <v>1557</v>
      </c>
      <c r="F1261" s="685">
        <v>1</v>
      </c>
      <c r="G1261" s="239">
        <v>1</v>
      </c>
      <c r="H1261" s="203">
        <v>2</v>
      </c>
      <c r="I1261" s="198">
        <f>C1261*10</f>
        <v>100</v>
      </c>
      <c r="J1261" s="171">
        <f>6182-50</f>
        <v>6132</v>
      </c>
      <c r="K1261" s="198">
        <v>100</v>
      </c>
      <c r="L1261" s="198"/>
      <c r="M1261" s="198"/>
      <c r="N1261" s="721">
        <f t="shared" si="429"/>
        <v>6292</v>
      </c>
      <c r="O1261" s="721">
        <f t="shared" si="430"/>
        <v>0</v>
      </c>
      <c r="P1261" s="722" t="str">
        <f t="shared" si="431"/>
        <v>-</v>
      </c>
      <c r="Q1261" s="686">
        <f t="shared" si="432"/>
        <v>12.584</v>
      </c>
      <c r="R1261" s="686" t="str">
        <f t="shared" si="433"/>
        <v>-</v>
      </c>
      <c r="S1261" s="686" t="str">
        <f t="shared" si="434"/>
        <v>-</v>
      </c>
      <c r="T1261" s="686" t="str">
        <f t="shared" si="435"/>
        <v>-</v>
      </c>
      <c r="U1261" s="723" t="str">
        <f t="shared" si="436"/>
        <v>-</v>
      </c>
      <c r="V1261" s="695" t="str">
        <f t="shared" si="437"/>
        <v>-</v>
      </c>
      <c r="W1261" s="711"/>
    </row>
    <row r="1262" spans="1:23" ht="16.5" hidden="1" outlineLevel="1">
      <c r="A1262" s="726"/>
      <c r="B1262" s="726" t="s">
        <v>394</v>
      </c>
      <c r="C1262" s="727">
        <v>8</v>
      </c>
      <c r="D1262" s="690"/>
      <c r="E1262" s="754" t="s">
        <v>1558</v>
      </c>
      <c r="F1262" s="685">
        <v>1</v>
      </c>
      <c r="G1262" s="239">
        <v>1</v>
      </c>
      <c r="H1262" s="203">
        <f>((J1260)/200)+1</f>
        <v>31.66</v>
      </c>
      <c r="I1262" s="198">
        <v>180</v>
      </c>
      <c r="J1262" s="198">
        <v>150</v>
      </c>
      <c r="K1262" s="198">
        <v>180</v>
      </c>
      <c r="L1262" s="198">
        <v>150</v>
      </c>
      <c r="M1262" s="198"/>
      <c r="N1262" s="721">
        <f t="shared" si="429"/>
        <v>740</v>
      </c>
      <c r="O1262" s="721">
        <f t="shared" si="430"/>
        <v>0</v>
      </c>
      <c r="P1262" s="722">
        <f t="shared" si="431"/>
        <v>23.428000000000001</v>
      </c>
      <c r="Q1262" s="686" t="str">
        <f t="shared" si="432"/>
        <v>-</v>
      </c>
      <c r="R1262" s="686" t="str">
        <f t="shared" si="433"/>
        <v>-</v>
      </c>
      <c r="S1262" s="686" t="str">
        <f t="shared" si="434"/>
        <v>-</v>
      </c>
      <c r="T1262" s="686" t="str">
        <f t="shared" si="435"/>
        <v>-</v>
      </c>
      <c r="U1262" s="723" t="str">
        <f t="shared" si="436"/>
        <v>-</v>
      </c>
      <c r="V1262" s="695" t="str">
        <f t="shared" si="437"/>
        <v>-</v>
      </c>
      <c r="W1262" s="711"/>
    </row>
    <row r="1263" spans="1:23" ht="16.5" hidden="1" outlineLevel="1">
      <c r="A1263" s="195"/>
      <c r="B1263" s="172"/>
      <c r="C1263" s="196"/>
      <c r="D1263" s="685"/>
      <c r="E1263" s="196"/>
      <c r="F1263" s="685"/>
      <c r="G1263" s="204"/>
      <c r="H1263" s="203"/>
      <c r="I1263" s="198"/>
      <c r="J1263" s="198"/>
      <c r="K1263" s="198"/>
      <c r="L1263" s="198"/>
      <c r="M1263" s="198"/>
      <c r="N1263" s="198"/>
      <c r="O1263" s="198"/>
      <c r="P1263" s="199"/>
      <c r="Q1263" s="200"/>
      <c r="R1263" s="200"/>
      <c r="S1263" s="200"/>
      <c r="T1263" s="200"/>
      <c r="U1263" s="688"/>
      <c r="V1263" s="200"/>
      <c r="W1263" s="711"/>
    </row>
    <row r="1264" spans="1:23" ht="16.5" hidden="1" outlineLevel="1">
      <c r="A1264" s="726">
        <v>3</v>
      </c>
      <c r="B1264" s="730" t="s">
        <v>1574</v>
      </c>
      <c r="C1264" s="727">
        <v>10</v>
      </c>
      <c r="D1264" s="690"/>
      <c r="E1264" s="753" t="s">
        <v>1557</v>
      </c>
      <c r="F1264" s="685">
        <v>1</v>
      </c>
      <c r="G1264" s="239">
        <v>1</v>
      </c>
      <c r="H1264" s="203">
        <v>2</v>
      </c>
      <c r="I1264" s="198">
        <f>C1264*10</f>
        <v>100</v>
      </c>
      <c r="J1264" s="171">
        <f>282-50</f>
        <v>232</v>
      </c>
      <c r="K1264" s="198">
        <v>100</v>
      </c>
      <c r="L1264" s="198"/>
      <c r="M1264" s="198"/>
      <c r="N1264" s="721">
        <f t="shared" ref="N1264:N1266" si="438">IF(E1264="L Shape",(I1264+J1264)-(C1264*2*1),IF(E1264="U Shape",(I1264+J1264+K1264)-(C1264*2*2),IF(E1264="Rectangle",(I1264+J1264+K1264+L1264)+(C1264*10*2)-(C1264*2*5),IF(E1264="Straight",J1264-(C1264*0),IF(E1264="Chair",(I1264+J1264+K1264+L1264+M1264)-(C1264*2*4),IF(E1264="U2 Shape",(I1264+J1264+K1264+L1264+M1264)-(C1264*2*4),IF(E1264="U3 Shape",(I1264+J1264+K1264+L1264)-(C1264*2*3),IF(E1264="Z Shape",(I1264+J1264+K1264)-(C1264*2*2),IF(E1264="Triangle",(I1264+J1264+K1264)+(C1264*10*2)-(C1264*2*4),IF(E1264="Trapezoid2",(I1264+I1264+J1264+K1264+K1264+L1264)+(C1264*10*2)-(C1264*2*7),IF(E1264="Trapezoid",(I1264+J1264+K1264+L1264)+(C1264*10*2)-(C1264*2*5),IF(E1264="Link",J1264+(C1264*10*2),IF(E1264="U5 Shape",(I1264+J1264+K1264+L1264)-(C1264*2*3),IF(E1264="DU2 Shape",(I1264+J1264+K1264+L1264)-(C1264*2*4),IF(E1264="SU Shape",(I1264+J1264+K1264)-(C1264*2*2),"-")))))))))))))))</f>
        <v>392</v>
      </c>
      <c r="O1264" s="721">
        <f t="shared" ref="O1264:O1266" si="439">IF(N1264&lt;12001,C1264*49*0,IF(N1264&lt;24001,C1264*49*1,IF(N1264&lt;36001,C1264*49*2,IF(N1264&lt;48001,C1264*49*3,IF(N1264&lt;60001,C1264*49*4,IF(N1264&lt;72001,(C1264*49*5),IF(N1264&lt;84001,(C1264*49*6),IF(N1264&lt;96001,(C1264*49*7),IF(N1264&lt;108001,(C1264*49*8),IF(N1264&lt;120001,(C1264*49*9),IF(N1264&lt;132001,(C1264*49*10),IF(N1264&lt;144001,(C1264*49*11),""))))))))))))</f>
        <v>0</v>
      </c>
      <c r="P1264" s="722" t="str">
        <f t="shared" ref="P1264:P1266" si="440">IF(C1264=8,ROUND(((N1264+O1264)*F1264*G1264*H1264)/1000,3),"-")</f>
        <v>-</v>
      </c>
      <c r="Q1264" s="686">
        <f t="shared" ref="Q1264:Q1266" si="441">IF(C1264=10,ROUND(((N1264+O1264)*F1264*G1264*H1264)/1000,3),"-")</f>
        <v>0.78400000000000003</v>
      </c>
      <c r="R1264" s="686" t="str">
        <f t="shared" ref="R1264:R1266" si="442">IF(C1264=12,ROUND(((N1264+O1264)*F1264*G1264*H1264)/1000,3),"-")</f>
        <v>-</v>
      </c>
      <c r="S1264" s="686" t="str">
        <f t="shared" ref="S1264:S1266" si="443">IF(C1264=16,ROUND(((N1264+O1264)*F1264*G1264*H1264)/1000,3),"-")</f>
        <v>-</v>
      </c>
      <c r="T1264" s="686" t="str">
        <f t="shared" ref="T1264:T1266" si="444">IF(C1264=20,ROUND(((N1264+O1264)*F1264*G1264*H1264)/1000,3),"-")</f>
        <v>-</v>
      </c>
      <c r="U1264" s="723" t="str">
        <f t="shared" ref="U1264:U1266" si="445">IF(C1264=25,ROUND(((N1264+O1264)*F1264*G1264*H1264)/1000,3),"-")</f>
        <v>-</v>
      </c>
      <c r="V1264" s="695" t="str">
        <f t="shared" ref="V1264:V1266" si="446">IF(C1264=32,ROUND(((N1264+O1264)*F1264*G1264*H1264)/1000,3),"-")</f>
        <v>-</v>
      </c>
      <c r="W1264" s="711"/>
    </row>
    <row r="1265" spans="1:23" ht="16.5" hidden="1" outlineLevel="1">
      <c r="A1265" s="726"/>
      <c r="B1265" s="726" t="s">
        <v>393</v>
      </c>
      <c r="C1265" s="727">
        <v>10</v>
      </c>
      <c r="D1265" s="690"/>
      <c r="E1265" s="753" t="s">
        <v>1557</v>
      </c>
      <c r="F1265" s="685">
        <v>1</v>
      </c>
      <c r="G1265" s="239">
        <v>1</v>
      </c>
      <c r="H1265" s="203">
        <v>2</v>
      </c>
      <c r="I1265" s="198">
        <f>C1265*10</f>
        <v>100</v>
      </c>
      <c r="J1265" s="171">
        <f>282-50</f>
        <v>232</v>
      </c>
      <c r="K1265" s="198">
        <v>100</v>
      </c>
      <c r="L1265" s="198"/>
      <c r="M1265" s="198"/>
      <c r="N1265" s="721">
        <f t="shared" si="438"/>
        <v>392</v>
      </c>
      <c r="O1265" s="721">
        <f t="shared" si="439"/>
        <v>0</v>
      </c>
      <c r="P1265" s="722" t="str">
        <f t="shared" si="440"/>
        <v>-</v>
      </c>
      <c r="Q1265" s="686">
        <f t="shared" si="441"/>
        <v>0.78400000000000003</v>
      </c>
      <c r="R1265" s="686" t="str">
        <f t="shared" si="442"/>
        <v>-</v>
      </c>
      <c r="S1265" s="686" t="str">
        <f t="shared" si="443"/>
        <v>-</v>
      </c>
      <c r="T1265" s="686" t="str">
        <f t="shared" si="444"/>
        <v>-</v>
      </c>
      <c r="U1265" s="723" t="str">
        <f t="shared" si="445"/>
        <v>-</v>
      </c>
      <c r="V1265" s="695" t="str">
        <f t="shared" si="446"/>
        <v>-</v>
      </c>
      <c r="W1265" s="711"/>
    </row>
    <row r="1266" spans="1:23" ht="16.5" hidden="1" outlineLevel="1">
      <c r="A1266" s="726"/>
      <c r="B1266" s="726" t="s">
        <v>394</v>
      </c>
      <c r="C1266" s="727">
        <v>8</v>
      </c>
      <c r="D1266" s="690"/>
      <c r="E1266" s="754" t="s">
        <v>1558</v>
      </c>
      <c r="F1266" s="685">
        <v>1</v>
      </c>
      <c r="G1266" s="239">
        <v>1</v>
      </c>
      <c r="H1266" s="203">
        <f>((J1264)/200)+1</f>
        <v>2.16</v>
      </c>
      <c r="I1266" s="198">
        <v>180</v>
      </c>
      <c r="J1266" s="198">
        <v>150</v>
      </c>
      <c r="K1266" s="198">
        <v>180</v>
      </c>
      <c r="L1266" s="198">
        <v>150</v>
      </c>
      <c r="M1266" s="198"/>
      <c r="N1266" s="721">
        <f t="shared" si="438"/>
        <v>740</v>
      </c>
      <c r="O1266" s="721">
        <f t="shared" si="439"/>
        <v>0</v>
      </c>
      <c r="P1266" s="722">
        <f t="shared" si="440"/>
        <v>1.5980000000000001</v>
      </c>
      <c r="Q1266" s="686" t="str">
        <f t="shared" si="441"/>
        <v>-</v>
      </c>
      <c r="R1266" s="686" t="str">
        <f t="shared" si="442"/>
        <v>-</v>
      </c>
      <c r="S1266" s="686" t="str">
        <f t="shared" si="443"/>
        <v>-</v>
      </c>
      <c r="T1266" s="686" t="str">
        <f t="shared" si="444"/>
        <v>-</v>
      </c>
      <c r="U1266" s="723" t="str">
        <f t="shared" si="445"/>
        <v>-</v>
      </c>
      <c r="V1266" s="695" t="str">
        <f t="shared" si="446"/>
        <v>-</v>
      </c>
      <c r="W1266" s="711"/>
    </row>
    <row r="1267" spans="1:23" ht="16.5" hidden="1" outlineLevel="1">
      <c r="A1267" s="195"/>
      <c r="B1267" s="172"/>
      <c r="C1267" s="196"/>
      <c r="D1267" s="685"/>
      <c r="E1267" s="196"/>
      <c r="F1267" s="685"/>
      <c r="G1267" s="204"/>
      <c r="H1267" s="203"/>
      <c r="I1267" s="198"/>
      <c r="J1267" s="198"/>
      <c r="K1267" s="198"/>
      <c r="L1267" s="198"/>
      <c r="M1267" s="198"/>
      <c r="N1267" s="198"/>
      <c r="O1267" s="198"/>
      <c r="P1267" s="199"/>
      <c r="Q1267" s="200"/>
      <c r="R1267" s="200"/>
      <c r="S1267" s="200"/>
      <c r="T1267" s="200"/>
      <c r="U1267" s="688"/>
      <c r="V1267" s="200"/>
      <c r="W1267" s="711"/>
    </row>
    <row r="1268" spans="1:23" ht="16.5" hidden="1" outlineLevel="1">
      <c r="A1268" s="726">
        <v>4</v>
      </c>
      <c r="B1268" s="730" t="s">
        <v>1574</v>
      </c>
      <c r="C1268" s="727">
        <v>10</v>
      </c>
      <c r="D1268" s="690"/>
      <c r="E1268" s="753" t="s">
        <v>1557</v>
      </c>
      <c r="F1268" s="685">
        <v>1</v>
      </c>
      <c r="G1268" s="239">
        <v>1</v>
      </c>
      <c r="H1268" s="203">
        <v>2</v>
      </c>
      <c r="I1268" s="198">
        <f>C1268*10</f>
        <v>100</v>
      </c>
      <c r="J1268" s="171">
        <f>8695-50</f>
        <v>8645</v>
      </c>
      <c r="K1268" s="198">
        <v>100</v>
      </c>
      <c r="L1268" s="198"/>
      <c r="M1268" s="198"/>
      <c r="N1268" s="721">
        <f t="shared" ref="N1268:N1270" si="447">IF(E1268="L Shape",(I1268+J1268)-(C1268*2*1),IF(E1268="U Shape",(I1268+J1268+K1268)-(C1268*2*2),IF(E1268="Rectangle",(I1268+J1268+K1268+L1268)+(C1268*10*2)-(C1268*2*5),IF(E1268="Straight",J1268-(C1268*0),IF(E1268="Chair",(I1268+J1268+K1268+L1268+M1268)-(C1268*2*4),IF(E1268="U2 Shape",(I1268+J1268+K1268+L1268+M1268)-(C1268*2*4),IF(E1268="U3 Shape",(I1268+J1268+K1268+L1268)-(C1268*2*3),IF(E1268="Z Shape",(I1268+J1268+K1268)-(C1268*2*2),IF(E1268="Triangle",(I1268+J1268+K1268)+(C1268*10*2)-(C1268*2*4),IF(E1268="Trapezoid2",(I1268+I1268+J1268+K1268+K1268+L1268)+(C1268*10*2)-(C1268*2*7),IF(E1268="Trapezoid",(I1268+J1268+K1268+L1268)+(C1268*10*2)-(C1268*2*5),IF(E1268="Link",J1268+(C1268*10*2),IF(E1268="U5 Shape",(I1268+J1268+K1268+L1268)-(C1268*2*3),IF(E1268="DU2 Shape",(I1268+J1268+K1268+L1268)-(C1268*2*4),IF(E1268="SU Shape",(I1268+J1268+K1268)-(C1268*2*2),"-")))))))))))))))</f>
        <v>8805</v>
      </c>
      <c r="O1268" s="721">
        <f t="shared" ref="O1268:O1270" si="448">IF(N1268&lt;12001,C1268*49*0,IF(N1268&lt;24001,C1268*49*1,IF(N1268&lt;36001,C1268*49*2,IF(N1268&lt;48001,C1268*49*3,IF(N1268&lt;60001,C1268*49*4,IF(N1268&lt;72001,(C1268*49*5),IF(N1268&lt;84001,(C1268*49*6),IF(N1268&lt;96001,(C1268*49*7),IF(N1268&lt;108001,(C1268*49*8),IF(N1268&lt;120001,(C1268*49*9),IF(N1268&lt;132001,(C1268*49*10),IF(N1268&lt;144001,(C1268*49*11),""))))))))))))</f>
        <v>0</v>
      </c>
      <c r="P1268" s="722" t="str">
        <f t="shared" ref="P1268:P1270" si="449">IF(C1268=8,ROUND(((N1268+O1268)*F1268*G1268*H1268)/1000,3),"-")</f>
        <v>-</v>
      </c>
      <c r="Q1268" s="686">
        <f t="shared" ref="Q1268:Q1270" si="450">IF(C1268=10,ROUND(((N1268+O1268)*F1268*G1268*H1268)/1000,3),"-")</f>
        <v>17.61</v>
      </c>
      <c r="R1268" s="686" t="str">
        <f t="shared" ref="R1268:R1270" si="451">IF(C1268=12,ROUND(((N1268+O1268)*F1268*G1268*H1268)/1000,3),"-")</f>
        <v>-</v>
      </c>
      <c r="S1268" s="686" t="str">
        <f t="shared" ref="S1268:S1270" si="452">IF(C1268=16,ROUND(((N1268+O1268)*F1268*G1268*H1268)/1000,3),"-")</f>
        <v>-</v>
      </c>
      <c r="T1268" s="686" t="str">
        <f t="shared" ref="T1268:T1270" si="453">IF(C1268=20,ROUND(((N1268+O1268)*F1268*G1268*H1268)/1000,3),"-")</f>
        <v>-</v>
      </c>
      <c r="U1268" s="723" t="str">
        <f t="shared" ref="U1268:U1270" si="454">IF(C1268=25,ROUND(((N1268+O1268)*F1268*G1268*H1268)/1000,3),"-")</f>
        <v>-</v>
      </c>
      <c r="V1268" s="695" t="str">
        <f t="shared" ref="V1268:V1270" si="455">IF(C1268=32,ROUND(((N1268+O1268)*F1268*G1268*H1268)/1000,3),"-")</f>
        <v>-</v>
      </c>
      <c r="W1268" s="711"/>
    </row>
    <row r="1269" spans="1:23" ht="16.5" hidden="1" outlineLevel="1">
      <c r="A1269" s="726"/>
      <c r="B1269" s="726" t="s">
        <v>393</v>
      </c>
      <c r="C1269" s="727">
        <v>10</v>
      </c>
      <c r="D1269" s="690"/>
      <c r="E1269" s="753" t="s">
        <v>1557</v>
      </c>
      <c r="F1269" s="685">
        <v>1</v>
      </c>
      <c r="G1269" s="239">
        <v>1</v>
      </c>
      <c r="H1269" s="203">
        <v>2</v>
      </c>
      <c r="I1269" s="198">
        <f>C1269*10</f>
        <v>100</v>
      </c>
      <c r="J1269" s="171">
        <f>8695-50</f>
        <v>8645</v>
      </c>
      <c r="K1269" s="198">
        <v>100</v>
      </c>
      <c r="L1269" s="198"/>
      <c r="M1269" s="198"/>
      <c r="N1269" s="721">
        <f t="shared" si="447"/>
        <v>8805</v>
      </c>
      <c r="O1269" s="721">
        <f t="shared" si="448"/>
        <v>0</v>
      </c>
      <c r="P1269" s="722" t="str">
        <f t="shared" si="449"/>
        <v>-</v>
      </c>
      <c r="Q1269" s="686">
        <f t="shared" si="450"/>
        <v>17.61</v>
      </c>
      <c r="R1269" s="686" t="str">
        <f t="shared" si="451"/>
        <v>-</v>
      </c>
      <c r="S1269" s="686" t="str">
        <f t="shared" si="452"/>
        <v>-</v>
      </c>
      <c r="T1269" s="686" t="str">
        <f t="shared" si="453"/>
        <v>-</v>
      </c>
      <c r="U1269" s="723" t="str">
        <f t="shared" si="454"/>
        <v>-</v>
      </c>
      <c r="V1269" s="695" t="str">
        <f t="shared" si="455"/>
        <v>-</v>
      </c>
      <c r="W1269" s="711"/>
    </row>
    <row r="1270" spans="1:23" ht="16.5" hidden="1" outlineLevel="1">
      <c r="A1270" s="726"/>
      <c r="B1270" s="726" t="s">
        <v>394</v>
      </c>
      <c r="C1270" s="727">
        <v>8</v>
      </c>
      <c r="D1270" s="690"/>
      <c r="E1270" s="754" t="s">
        <v>1558</v>
      </c>
      <c r="F1270" s="685">
        <v>1</v>
      </c>
      <c r="G1270" s="239">
        <v>1</v>
      </c>
      <c r="H1270" s="203">
        <f>((J1268)/200)+1</f>
        <v>44.225000000000001</v>
      </c>
      <c r="I1270" s="198">
        <v>180</v>
      </c>
      <c r="J1270" s="198">
        <v>150</v>
      </c>
      <c r="K1270" s="198">
        <v>180</v>
      </c>
      <c r="L1270" s="198">
        <v>150</v>
      </c>
      <c r="M1270" s="198"/>
      <c r="N1270" s="721">
        <f t="shared" si="447"/>
        <v>740</v>
      </c>
      <c r="O1270" s="721">
        <f t="shared" si="448"/>
        <v>0</v>
      </c>
      <c r="P1270" s="722">
        <f t="shared" si="449"/>
        <v>32.726999999999997</v>
      </c>
      <c r="Q1270" s="686" t="str">
        <f t="shared" si="450"/>
        <v>-</v>
      </c>
      <c r="R1270" s="686" t="str">
        <f t="shared" si="451"/>
        <v>-</v>
      </c>
      <c r="S1270" s="686" t="str">
        <f t="shared" si="452"/>
        <v>-</v>
      </c>
      <c r="T1270" s="686" t="str">
        <f t="shared" si="453"/>
        <v>-</v>
      </c>
      <c r="U1270" s="723" t="str">
        <f t="shared" si="454"/>
        <v>-</v>
      </c>
      <c r="V1270" s="695" t="str">
        <f t="shared" si="455"/>
        <v>-</v>
      </c>
      <c r="W1270" s="711"/>
    </row>
    <row r="1271" spans="1:23" ht="16.5" hidden="1" outlineLevel="1">
      <c r="A1271" s="195"/>
      <c r="B1271" s="172"/>
      <c r="C1271" s="196"/>
      <c r="D1271" s="685"/>
      <c r="E1271" s="196"/>
      <c r="F1271" s="685"/>
      <c r="G1271" s="204"/>
      <c r="H1271" s="203"/>
      <c r="I1271" s="198"/>
      <c r="J1271" s="198"/>
      <c r="K1271" s="198"/>
      <c r="L1271" s="198"/>
      <c r="M1271" s="198"/>
      <c r="N1271" s="198"/>
      <c r="O1271" s="198"/>
      <c r="P1271" s="199"/>
      <c r="Q1271" s="200"/>
      <c r="R1271" s="200"/>
      <c r="S1271" s="200"/>
      <c r="T1271" s="200"/>
      <c r="U1271" s="688"/>
      <c r="V1271" s="200"/>
      <c r="W1271" s="711"/>
    </row>
    <row r="1272" spans="1:23" ht="49.5" hidden="1" outlineLevel="1">
      <c r="A1272" s="5" t="s">
        <v>1630</v>
      </c>
      <c r="B1272" s="748" t="s">
        <v>1631</v>
      </c>
      <c r="C1272" s="196"/>
      <c r="D1272" s="685"/>
      <c r="E1272" s="196"/>
      <c r="F1272" s="685"/>
      <c r="G1272" s="204"/>
      <c r="H1272" s="203"/>
      <c r="I1272" s="198"/>
      <c r="J1272" s="198"/>
      <c r="K1272" s="198"/>
      <c r="L1272" s="198"/>
      <c r="M1272" s="198"/>
      <c r="N1272" s="198"/>
      <c r="O1272" s="198"/>
      <c r="P1272" s="199"/>
      <c r="Q1272" s="200"/>
      <c r="R1272" s="200"/>
      <c r="S1272" s="200"/>
      <c r="T1272" s="200"/>
      <c r="U1272" s="688"/>
      <c r="V1272" s="200"/>
      <c r="W1272" s="711"/>
    </row>
    <row r="1273" spans="1:23" ht="16.5" hidden="1" outlineLevel="1">
      <c r="A1273" s="195"/>
      <c r="B1273" s="172"/>
      <c r="C1273" s="196"/>
      <c r="D1273" s="685"/>
      <c r="E1273" s="196"/>
      <c r="F1273" s="685"/>
      <c r="G1273" s="204"/>
      <c r="H1273" s="203"/>
      <c r="I1273" s="198"/>
      <c r="J1273" s="198"/>
      <c r="K1273" s="198"/>
      <c r="L1273" s="198"/>
      <c r="M1273" s="198"/>
      <c r="N1273" s="198"/>
      <c r="O1273" s="198"/>
      <c r="P1273" s="199"/>
      <c r="Q1273" s="200"/>
      <c r="R1273" s="200"/>
      <c r="S1273" s="200"/>
      <c r="T1273" s="200"/>
      <c r="U1273" s="688"/>
      <c r="V1273" s="200"/>
      <c r="W1273" s="711"/>
    </row>
    <row r="1274" spans="1:23" ht="16.5" hidden="1" outlineLevel="1">
      <c r="A1274" s="726">
        <v>1</v>
      </c>
      <c r="B1274" s="730" t="s">
        <v>1574</v>
      </c>
      <c r="C1274" s="727">
        <v>10</v>
      </c>
      <c r="D1274" s="690"/>
      <c r="E1274" s="753" t="s">
        <v>1557</v>
      </c>
      <c r="F1274" s="685">
        <v>1</v>
      </c>
      <c r="G1274" s="239">
        <v>1</v>
      </c>
      <c r="H1274" s="203">
        <v>2</v>
      </c>
      <c r="I1274" s="198">
        <f>C1274*10</f>
        <v>100</v>
      </c>
      <c r="J1274" s="171">
        <f>898-50</f>
        <v>848</v>
      </c>
      <c r="K1274" s="198">
        <v>100</v>
      </c>
      <c r="L1274" s="198"/>
      <c r="M1274" s="198"/>
      <c r="N1274" s="721">
        <f t="shared" ref="N1274:N1276" si="456">IF(E1274="L Shape",(I1274+J1274)-(C1274*2*1),IF(E1274="U Shape",(I1274+J1274+K1274)-(C1274*2*2),IF(E1274="Rectangle",(I1274+J1274+K1274+L1274)+(C1274*10*2)-(C1274*2*5),IF(E1274="Straight",J1274-(C1274*0),IF(E1274="Chair",(I1274+J1274+K1274+L1274+M1274)-(C1274*2*4),IF(E1274="U2 Shape",(I1274+J1274+K1274+L1274+M1274)-(C1274*2*4),IF(E1274="U3 Shape",(I1274+J1274+K1274+L1274)-(C1274*2*3),IF(E1274="Z Shape",(I1274+J1274+K1274)-(C1274*2*2),IF(E1274="Triangle",(I1274+J1274+K1274)+(C1274*10*2)-(C1274*2*4),IF(E1274="Trapezoid2",(I1274+I1274+J1274+K1274+K1274+L1274)+(C1274*10*2)-(C1274*2*7),IF(E1274="Trapezoid",(I1274+J1274+K1274+L1274)+(C1274*10*2)-(C1274*2*5),IF(E1274="Link",J1274+(C1274*10*2),IF(E1274="U5 Shape",(I1274+J1274+K1274+L1274)-(C1274*2*3),IF(E1274="DU2 Shape",(I1274+J1274+K1274+L1274)-(C1274*2*4),IF(E1274="SU Shape",(I1274+J1274+K1274)-(C1274*2*2),"-")))))))))))))))</f>
        <v>1008</v>
      </c>
      <c r="O1274" s="721">
        <f t="shared" ref="O1274:O1276" si="457">IF(N1274&lt;12001,C1274*49*0,IF(N1274&lt;24001,C1274*49*1,IF(N1274&lt;36001,C1274*49*2,IF(N1274&lt;48001,C1274*49*3,IF(N1274&lt;60001,C1274*49*4,IF(N1274&lt;72001,(C1274*49*5),IF(N1274&lt;84001,(C1274*49*6),IF(N1274&lt;96001,(C1274*49*7),IF(N1274&lt;108001,(C1274*49*8),IF(N1274&lt;120001,(C1274*49*9),IF(N1274&lt;132001,(C1274*49*10),IF(N1274&lt;144001,(C1274*49*11),""))))))))))))</f>
        <v>0</v>
      </c>
      <c r="P1274" s="722" t="str">
        <f t="shared" ref="P1274:P1276" si="458">IF(C1274=8,ROUND(((N1274+O1274)*F1274*G1274*H1274)/1000,3),"-")</f>
        <v>-</v>
      </c>
      <c r="Q1274" s="686">
        <f t="shared" ref="Q1274:Q1276" si="459">IF(C1274=10,ROUND(((N1274+O1274)*F1274*G1274*H1274)/1000,3),"-")</f>
        <v>2.016</v>
      </c>
      <c r="R1274" s="686" t="str">
        <f t="shared" ref="R1274:R1276" si="460">IF(C1274=12,ROUND(((N1274+O1274)*F1274*G1274*H1274)/1000,3),"-")</f>
        <v>-</v>
      </c>
      <c r="S1274" s="686" t="str">
        <f t="shared" ref="S1274:S1276" si="461">IF(C1274=16,ROUND(((N1274+O1274)*F1274*G1274*H1274)/1000,3),"-")</f>
        <v>-</v>
      </c>
      <c r="T1274" s="686" t="str">
        <f t="shared" ref="T1274:T1276" si="462">IF(C1274=20,ROUND(((N1274+O1274)*F1274*G1274*H1274)/1000,3),"-")</f>
        <v>-</v>
      </c>
      <c r="U1274" s="723" t="str">
        <f t="shared" ref="U1274:U1276" si="463">IF(C1274=25,ROUND(((N1274+O1274)*F1274*G1274*H1274)/1000,3),"-")</f>
        <v>-</v>
      </c>
      <c r="V1274" s="695" t="str">
        <f t="shared" ref="V1274:V1276" si="464">IF(C1274=32,ROUND(((N1274+O1274)*F1274*G1274*H1274)/1000,3),"-")</f>
        <v>-</v>
      </c>
      <c r="W1274" s="711"/>
    </row>
    <row r="1275" spans="1:23" ht="16.5" hidden="1" outlineLevel="1">
      <c r="A1275" s="726"/>
      <c r="B1275" s="726" t="s">
        <v>393</v>
      </c>
      <c r="C1275" s="727">
        <v>10</v>
      </c>
      <c r="D1275" s="690"/>
      <c r="E1275" s="753" t="s">
        <v>1557</v>
      </c>
      <c r="F1275" s="685">
        <v>1</v>
      </c>
      <c r="G1275" s="239">
        <v>1</v>
      </c>
      <c r="H1275" s="203">
        <v>2</v>
      </c>
      <c r="I1275" s="198">
        <f>C1275*10</f>
        <v>100</v>
      </c>
      <c r="J1275" s="171">
        <f>898-50</f>
        <v>848</v>
      </c>
      <c r="K1275" s="198">
        <v>100</v>
      </c>
      <c r="L1275" s="198"/>
      <c r="M1275" s="198"/>
      <c r="N1275" s="721">
        <f t="shared" si="456"/>
        <v>1008</v>
      </c>
      <c r="O1275" s="721">
        <f t="shared" si="457"/>
        <v>0</v>
      </c>
      <c r="P1275" s="722" t="str">
        <f t="shared" si="458"/>
        <v>-</v>
      </c>
      <c r="Q1275" s="686">
        <f t="shared" si="459"/>
        <v>2.016</v>
      </c>
      <c r="R1275" s="686" t="str">
        <f t="shared" si="460"/>
        <v>-</v>
      </c>
      <c r="S1275" s="686" t="str">
        <f t="shared" si="461"/>
        <v>-</v>
      </c>
      <c r="T1275" s="686" t="str">
        <f t="shared" si="462"/>
        <v>-</v>
      </c>
      <c r="U1275" s="723" t="str">
        <f t="shared" si="463"/>
        <v>-</v>
      </c>
      <c r="V1275" s="695" t="str">
        <f t="shared" si="464"/>
        <v>-</v>
      </c>
      <c r="W1275" s="711"/>
    </row>
    <row r="1276" spans="1:23" ht="16.5" hidden="1" outlineLevel="1">
      <c r="A1276" s="726"/>
      <c r="B1276" s="726" t="s">
        <v>394</v>
      </c>
      <c r="C1276" s="727">
        <v>8</v>
      </c>
      <c r="D1276" s="690"/>
      <c r="E1276" s="754" t="s">
        <v>1558</v>
      </c>
      <c r="F1276" s="685">
        <v>1</v>
      </c>
      <c r="G1276" s="239">
        <v>1</v>
      </c>
      <c r="H1276" s="203">
        <f>((J1274)/200)+1</f>
        <v>5.24</v>
      </c>
      <c r="I1276" s="198">
        <v>180</v>
      </c>
      <c r="J1276" s="198">
        <v>150</v>
      </c>
      <c r="K1276" s="198">
        <v>180</v>
      </c>
      <c r="L1276" s="198">
        <v>150</v>
      </c>
      <c r="M1276" s="198"/>
      <c r="N1276" s="721">
        <f t="shared" si="456"/>
        <v>740</v>
      </c>
      <c r="O1276" s="721">
        <f t="shared" si="457"/>
        <v>0</v>
      </c>
      <c r="P1276" s="722">
        <f t="shared" si="458"/>
        <v>3.8780000000000001</v>
      </c>
      <c r="Q1276" s="686" t="str">
        <f t="shared" si="459"/>
        <v>-</v>
      </c>
      <c r="R1276" s="686" t="str">
        <f t="shared" si="460"/>
        <v>-</v>
      </c>
      <c r="S1276" s="686" t="str">
        <f t="shared" si="461"/>
        <v>-</v>
      </c>
      <c r="T1276" s="686" t="str">
        <f t="shared" si="462"/>
        <v>-</v>
      </c>
      <c r="U1276" s="723" t="str">
        <f t="shared" si="463"/>
        <v>-</v>
      </c>
      <c r="V1276" s="695" t="str">
        <f t="shared" si="464"/>
        <v>-</v>
      </c>
      <c r="W1276" s="711"/>
    </row>
    <row r="1277" spans="1:23" ht="16.5" hidden="1" outlineLevel="1">
      <c r="A1277" s="195"/>
      <c r="B1277" s="172"/>
      <c r="C1277" s="196"/>
      <c r="D1277" s="685"/>
      <c r="E1277" s="196"/>
      <c r="F1277" s="685"/>
      <c r="G1277" s="204"/>
      <c r="H1277" s="203"/>
      <c r="I1277" s="198"/>
      <c r="J1277" s="198"/>
      <c r="K1277" s="198"/>
      <c r="L1277" s="198"/>
      <c r="M1277" s="198"/>
      <c r="N1277" s="198"/>
      <c r="O1277" s="198"/>
      <c r="P1277" s="199"/>
      <c r="Q1277" s="200"/>
      <c r="R1277" s="200"/>
      <c r="S1277" s="200"/>
      <c r="T1277" s="200"/>
      <c r="U1277" s="688"/>
      <c r="V1277" s="200"/>
      <c r="W1277" s="711"/>
    </row>
    <row r="1278" spans="1:23" ht="16.5" hidden="1" outlineLevel="1">
      <c r="A1278" s="726">
        <v>2</v>
      </c>
      <c r="B1278" s="730" t="s">
        <v>1574</v>
      </c>
      <c r="C1278" s="727">
        <v>10</v>
      </c>
      <c r="D1278" s="690"/>
      <c r="E1278" s="753" t="s">
        <v>1557</v>
      </c>
      <c r="F1278" s="685">
        <v>1</v>
      </c>
      <c r="G1278" s="239">
        <v>1</v>
      </c>
      <c r="H1278" s="203">
        <v>2</v>
      </c>
      <c r="I1278" s="198">
        <f>C1278*10</f>
        <v>100</v>
      </c>
      <c r="J1278" s="171">
        <f>1497-50</f>
        <v>1447</v>
      </c>
      <c r="K1278" s="198">
        <v>100</v>
      </c>
      <c r="L1278" s="198"/>
      <c r="M1278" s="198"/>
      <c r="N1278" s="721">
        <f t="shared" ref="N1278:N1280" si="465">IF(E1278="L Shape",(I1278+J1278)-(C1278*2*1),IF(E1278="U Shape",(I1278+J1278+K1278)-(C1278*2*2),IF(E1278="Rectangle",(I1278+J1278+K1278+L1278)+(C1278*10*2)-(C1278*2*5),IF(E1278="Straight",J1278-(C1278*0),IF(E1278="Chair",(I1278+J1278+K1278+L1278+M1278)-(C1278*2*4),IF(E1278="U2 Shape",(I1278+J1278+K1278+L1278+M1278)-(C1278*2*4),IF(E1278="U3 Shape",(I1278+J1278+K1278+L1278)-(C1278*2*3),IF(E1278="Z Shape",(I1278+J1278+K1278)-(C1278*2*2),IF(E1278="Triangle",(I1278+J1278+K1278)+(C1278*10*2)-(C1278*2*4),IF(E1278="Trapezoid2",(I1278+I1278+J1278+K1278+K1278+L1278)+(C1278*10*2)-(C1278*2*7),IF(E1278="Trapezoid",(I1278+J1278+K1278+L1278)+(C1278*10*2)-(C1278*2*5),IF(E1278="Link",J1278+(C1278*10*2),IF(E1278="U5 Shape",(I1278+J1278+K1278+L1278)-(C1278*2*3),IF(E1278="DU2 Shape",(I1278+J1278+K1278+L1278)-(C1278*2*4),IF(E1278="SU Shape",(I1278+J1278+K1278)-(C1278*2*2),"-")))))))))))))))</f>
        <v>1607</v>
      </c>
      <c r="O1278" s="721">
        <f t="shared" ref="O1278:O1280" si="466">IF(N1278&lt;12001,C1278*49*0,IF(N1278&lt;24001,C1278*49*1,IF(N1278&lt;36001,C1278*49*2,IF(N1278&lt;48001,C1278*49*3,IF(N1278&lt;60001,C1278*49*4,IF(N1278&lt;72001,(C1278*49*5),IF(N1278&lt;84001,(C1278*49*6),IF(N1278&lt;96001,(C1278*49*7),IF(N1278&lt;108001,(C1278*49*8),IF(N1278&lt;120001,(C1278*49*9),IF(N1278&lt;132001,(C1278*49*10),IF(N1278&lt;144001,(C1278*49*11),""))))))))))))</f>
        <v>0</v>
      </c>
      <c r="P1278" s="722" t="str">
        <f t="shared" ref="P1278:P1280" si="467">IF(C1278=8,ROUND(((N1278+O1278)*F1278*G1278*H1278)/1000,3),"-")</f>
        <v>-</v>
      </c>
      <c r="Q1278" s="686">
        <f t="shared" ref="Q1278:Q1280" si="468">IF(C1278=10,ROUND(((N1278+O1278)*F1278*G1278*H1278)/1000,3),"-")</f>
        <v>3.214</v>
      </c>
      <c r="R1278" s="686" t="str">
        <f t="shared" ref="R1278:R1280" si="469">IF(C1278=12,ROUND(((N1278+O1278)*F1278*G1278*H1278)/1000,3),"-")</f>
        <v>-</v>
      </c>
      <c r="S1278" s="686" t="str">
        <f t="shared" ref="S1278:S1280" si="470">IF(C1278=16,ROUND(((N1278+O1278)*F1278*G1278*H1278)/1000,3),"-")</f>
        <v>-</v>
      </c>
      <c r="T1278" s="686" t="str">
        <f t="shared" ref="T1278:T1280" si="471">IF(C1278=20,ROUND(((N1278+O1278)*F1278*G1278*H1278)/1000,3),"-")</f>
        <v>-</v>
      </c>
      <c r="U1278" s="723" t="str">
        <f t="shared" ref="U1278:U1280" si="472">IF(C1278=25,ROUND(((N1278+O1278)*F1278*G1278*H1278)/1000,3),"-")</f>
        <v>-</v>
      </c>
      <c r="V1278" s="695" t="str">
        <f t="shared" ref="V1278:V1280" si="473">IF(C1278=32,ROUND(((N1278+O1278)*F1278*G1278*H1278)/1000,3),"-")</f>
        <v>-</v>
      </c>
      <c r="W1278" s="711"/>
    </row>
    <row r="1279" spans="1:23" ht="16.5" hidden="1" outlineLevel="1">
      <c r="A1279" s="726"/>
      <c r="B1279" s="726" t="s">
        <v>393</v>
      </c>
      <c r="C1279" s="727">
        <v>10</v>
      </c>
      <c r="D1279" s="690"/>
      <c r="E1279" s="753" t="s">
        <v>1557</v>
      </c>
      <c r="F1279" s="685">
        <v>1</v>
      </c>
      <c r="G1279" s="239">
        <v>1</v>
      </c>
      <c r="H1279" s="203">
        <v>2</v>
      </c>
      <c r="I1279" s="198">
        <f>C1279*10</f>
        <v>100</v>
      </c>
      <c r="J1279" s="171">
        <f>1497-50</f>
        <v>1447</v>
      </c>
      <c r="K1279" s="198">
        <v>100</v>
      </c>
      <c r="L1279" s="198"/>
      <c r="M1279" s="198"/>
      <c r="N1279" s="721">
        <f t="shared" si="465"/>
        <v>1607</v>
      </c>
      <c r="O1279" s="721">
        <f t="shared" si="466"/>
        <v>0</v>
      </c>
      <c r="P1279" s="722" t="str">
        <f t="shared" si="467"/>
        <v>-</v>
      </c>
      <c r="Q1279" s="686">
        <f t="shared" si="468"/>
        <v>3.214</v>
      </c>
      <c r="R1279" s="686" t="str">
        <f t="shared" si="469"/>
        <v>-</v>
      </c>
      <c r="S1279" s="686" t="str">
        <f t="shared" si="470"/>
        <v>-</v>
      </c>
      <c r="T1279" s="686" t="str">
        <f t="shared" si="471"/>
        <v>-</v>
      </c>
      <c r="U1279" s="723" t="str">
        <f t="shared" si="472"/>
        <v>-</v>
      </c>
      <c r="V1279" s="695" t="str">
        <f t="shared" si="473"/>
        <v>-</v>
      </c>
      <c r="W1279" s="711"/>
    </row>
    <row r="1280" spans="1:23" ht="16.5" hidden="1" outlineLevel="1">
      <c r="A1280" s="726"/>
      <c r="B1280" s="726" t="s">
        <v>394</v>
      </c>
      <c r="C1280" s="727">
        <v>8</v>
      </c>
      <c r="D1280" s="690"/>
      <c r="E1280" s="754" t="s">
        <v>1558</v>
      </c>
      <c r="F1280" s="685">
        <v>1</v>
      </c>
      <c r="G1280" s="239">
        <v>1</v>
      </c>
      <c r="H1280" s="203">
        <f>((J1278)/200)+1</f>
        <v>8.2349999999999994</v>
      </c>
      <c r="I1280" s="198">
        <v>180</v>
      </c>
      <c r="J1280" s="198">
        <v>150</v>
      </c>
      <c r="K1280" s="198">
        <v>180</v>
      </c>
      <c r="L1280" s="198">
        <v>150</v>
      </c>
      <c r="M1280" s="198"/>
      <c r="N1280" s="721">
        <f t="shared" si="465"/>
        <v>740</v>
      </c>
      <c r="O1280" s="721">
        <f t="shared" si="466"/>
        <v>0</v>
      </c>
      <c r="P1280" s="722">
        <f t="shared" si="467"/>
        <v>6.0940000000000003</v>
      </c>
      <c r="Q1280" s="686" t="str">
        <f t="shared" si="468"/>
        <v>-</v>
      </c>
      <c r="R1280" s="686" t="str">
        <f t="shared" si="469"/>
        <v>-</v>
      </c>
      <c r="S1280" s="686" t="str">
        <f t="shared" si="470"/>
        <v>-</v>
      </c>
      <c r="T1280" s="686" t="str">
        <f t="shared" si="471"/>
        <v>-</v>
      </c>
      <c r="U1280" s="723" t="str">
        <f t="shared" si="472"/>
        <v>-</v>
      </c>
      <c r="V1280" s="695" t="str">
        <f t="shared" si="473"/>
        <v>-</v>
      </c>
      <c r="W1280" s="711"/>
    </row>
    <row r="1281" spans="1:23" ht="16.5" hidden="1" outlineLevel="1">
      <c r="A1281" s="195"/>
      <c r="B1281" s="172"/>
      <c r="C1281" s="196"/>
      <c r="D1281" s="685"/>
      <c r="E1281" s="196"/>
      <c r="F1281" s="685"/>
      <c r="G1281" s="204"/>
      <c r="H1281" s="203"/>
      <c r="I1281" s="198"/>
      <c r="J1281" s="198"/>
      <c r="K1281" s="198"/>
      <c r="L1281" s="198"/>
      <c r="M1281" s="198"/>
      <c r="N1281" s="198"/>
      <c r="O1281" s="198"/>
      <c r="P1281" s="199"/>
      <c r="Q1281" s="200"/>
      <c r="R1281" s="200"/>
      <c r="S1281" s="200"/>
      <c r="T1281" s="200"/>
      <c r="U1281" s="688"/>
      <c r="V1281" s="200"/>
      <c r="W1281" s="711"/>
    </row>
    <row r="1282" spans="1:23" ht="16.5" hidden="1" outlineLevel="1">
      <c r="A1282" s="726">
        <v>3</v>
      </c>
      <c r="B1282" s="730" t="s">
        <v>1574</v>
      </c>
      <c r="C1282" s="727">
        <v>10</v>
      </c>
      <c r="D1282" s="690"/>
      <c r="E1282" s="753" t="s">
        <v>1557</v>
      </c>
      <c r="F1282" s="685">
        <v>1</v>
      </c>
      <c r="G1282" s="239">
        <v>1</v>
      </c>
      <c r="H1282" s="203">
        <v>2</v>
      </c>
      <c r="I1282" s="198">
        <f>C1282*10</f>
        <v>100</v>
      </c>
      <c r="J1282" s="171">
        <f>1602</f>
        <v>1602</v>
      </c>
      <c r="K1282" s="198">
        <v>100</v>
      </c>
      <c r="L1282" s="198"/>
      <c r="M1282" s="198"/>
      <c r="N1282" s="721">
        <f t="shared" ref="N1282:N1284" si="474">IF(E1282="L Shape",(I1282+J1282)-(C1282*2*1),IF(E1282="U Shape",(I1282+J1282+K1282)-(C1282*2*2),IF(E1282="Rectangle",(I1282+J1282+K1282+L1282)+(C1282*10*2)-(C1282*2*5),IF(E1282="Straight",J1282-(C1282*0),IF(E1282="Chair",(I1282+J1282+K1282+L1282+M1282)-(C1282*2*4),IF(E1282="U2 Shape",(I1282+J1282+K1282+L1282+M1282)-(C1282*2*4),IF(E1282="U3 Shape",(I1282+J1282+K1282+L1282)-(C1282*2*3),IF(E1282="Z Shape",(I1282+J1282+K1282)-(C1282*2*2),IF(E1282="Triangle",(I1282+J1282+K1282)+(C1282*10*2)-(C1282*2*4),IF(E1282="Trapezoid2",(I1282+I1282+J1282+K1282+K1282+L1282)+(C1282*10*2)-(C1282*2*7),IF(E1282="Trapezoid",(I1282+J1282+K1282+L1282)+(C1282*10*2)-(C1282*2*5),IF(E1282="Link",J1282+(C1282*10*2),IF(E1282="U5 Shape",(I1282+J1282+K1282+L1282)-(C1282*2*3),IF(E1282="DU2 Shape",(I1282+J1282+K1282+L1282)-(C1282*2*4),IF(E1282="SU Shape",(I1282+J1282+K1282)-(C1282*2*2),"-")))))))))))))))</f>
        <v>1762</v>
      </c>
      <c r="O1282" s="721">
        <f t="shared" ref="O1282:O1284" si="475">IF(N1282&lt;12001,C1282*49*0,IF(N1282&lt;24001,C1282*49*1,IF(N1282&lt;36001,C1282*49*2,IF(N1282&lt;48001,C1282*49*3,IF(N1282&lt;60001,C1282*49*4,IF(N1282&lt;72001,(C1282*49*5),IF(N1282&lt;84001,(C1282*49*6),IF(N1282&lt;96001,(C1282*49*7),IF(N1282&lt;108001,(C1282*49*8),IF(N1282&lt;120001,(C1282*49*9),IF(N1282&lt;132001,(C1282*49*10),IF(N1282&lt;144001,(C1282*49*11),""))))))))))))</f>
        <v>0</v>
      </c>
      <c r="P1282" s="722" t="str">
        <f t="shared" ref="P1282:P1284" si="476">IF(C1282=8,ROUND(((N1282+O1282)*F1282*G1282*H1282)/1000,3),"-")</f>
        <v>-</v>
      </c>
      <c r="Q1282" s="686">
        <f t="shared" ref="Q1282:Q1284" si="477">IF(C1282=10,ROUND(((N1282+O1282)*F1282*G1282*H1282)/1000,3),"-")</f>
        <v>3.524</v>
      </c>
      <c r="R1282" s="686" t="str">
        <f t="shared" ref="R1282:R1284" si="478">IF(C1282=12,ROUND(((N1282+O1282)*F1282*G1282*H1282)/1000,3),"-")</f>
        <v>-</v>
      </c>
      <c r="S1282" s="686" t="str">
        <f t="shared" ref="S1282:S1284" si="479">IF(C1282=16,ROUND(((N1282+O1282)*F1282*G1282*H1282)/1000,3),"-")</f>
        <v>-</v>
      </c>
      <c r="T1282" s="686" t="str">
        <f t="shared" ref="T1282:T1284" si="480">IF(C1282=20,ROUND(((N1282+O1282)*F1282*G1282*H1282)/1000,3),"-")</f>
        <v>-</v>
      </c>
      <c r="U1282" s="723" t="str">
        <f t="shared" ref="U1282:U1284" si="481">IF(C1282=25,ROUND(((N1282+O1282)*F1282*G1282*H1282)/1000,3),"-")</f>
        <v>-</v>
      </c>
      <c r="V1282" s="695" t="str">
        <f t="shared" ref="V1282:V1284" si="482">IF(C1282=32,ROUND(((N1282+O1282)*F1282*G1282*H1282)/1000,3),"-")</f>
        <v>-</v>
      </c>
      <c r="W1282" s="711"/>
    </row>
    <row r="1283" spans="1:23" ht="16.5" hidden="1" outlineLevel="1">
      <c r="A1283" s="726"/>
      <c r="B1283" s="726" t="s">
        <v>393</v>
      </c>
      <c r="C1283" s="727">
        <v>10</v>
      </c>
      <c r="D1283" s="690"/>
      <c r="E1283" s="753" t="s">
        <v>1557</v>
      </c>
      <c r="F1283" s="685">
        <v>1</v>
      </c>
      <c r="G1283" s="239">
        <v>1</v>
      </c>
      <c r="H1283" s="203">
        <v>2</v>
      </c>
      <c r="I1283" s="198">
        <f>C1283*10</f>
        <v>100</v>
      </c>
      <c r="J1283" s="171">
        <f>1602</f>
        <v>1602</v>
      </c>
      <c r="K1283" s="198">
        <v>100</v>
      </c>
      <c r="L1283" s="198"/>
      <c r="M1283" s="198"/>
      <c r="N1283" s="721">
        <f t="shared" si="474"/>
        <v>1762</v>
      </c>
      <c r="O1283" s="721">
        <f t="shared" si="475"/>
        <v>0</v>
      </c>
      <c r="P1283" s="722" t="str">
        <f t="shared" si="476"/>
        <v>-</v>
      </c>
      <c r="Q1283" s="686">
        <f t="shared" si="477"/>
        <v>3.524</v>
      </c>
      <c r="R1283" s="686" t="str">
        <f t="shared" si="478"/>
        <v>-</v>
      </c>
      <c r="S1283" s="686" t="str">
        <f t="shared" si="479"/>
        <v>-</v>
      </c>
      <c r="T1283" s="686" t="str">
        <f t="shared" si="480"/>
        <v>-</v>
      </c>
      <c r="U1283" s="723" t="str">
        <f t="shared" si="481"/>
        <v>-</v>
      </c>
      <c r="V1283" s="695" t="str">
        <f t="shared" si="482"/>
        <v>-</v>
      </c>
      <c r="W1283" s="711"/>
    </row>
    <row r="1284" spans="1:23" ht="16.5" hidden="1" outlineLevel="1">
      <c r="A1284" s="726"/>
      <c r="B1284" s="726" t="s">
        <v>394</v>
      </c>
      <c r="C1284" s="727">
        <v>8</v>
      </c>
      <c r="D1284" s="690"/>
      <c r="E1284" s="754" t="s">
        <v>1558</v>
      </c>
      <c r="F1284" s="685">
        <v>1</v>
      </c>
      <c r="G1284" s="239">
        <v>1</v>
      </c>
      <c r="H1284" s="203">
        <f>((J1282)/200)+1</f>
        <v>9.01</v>
      </c>
      <c r="I1284" s="198">
        <v>180</v>
      </c>
      <c r="J1284" s="198">
        <v>150</v>
      </c>
      <c r="K1284" s="198">
        <v>180</v>
      </c>
      <c r="L1284" s="198">
        <v>150</v>
      </c>
      <c r="M1284" s="198"/>
      <c r="N1284" s="721">
        <f t="shared" si="474"/>
        <v>740</v>
      </c>
      <c r="O1284" s="721">
        <f t="shared" si="475"/>
        <v>0</v>
      </c>
      <c r="P1284" s="722">
        <f t="shared" si="476"/>
        <v>6.6669999999999998</v>
      </c>
      <c r="Q1284" s="686" t="str">
        <f t="shared" si="477"/>
        <v>-</v>
      </c>
      <c r="R1284" s="686" t="str">
        <f t="shared" si="478"/>
        <v>-</v>
      </c>
      <c r="S1284" s="686" t="str">
        <f t="shared" si="479"/>
        <v>-</v>
      </c>
      <c r="T1284" s="686" t="str">
        <f t="shared" si="480"/>
        <v>-</v>
      </c>
      <c r="U1284" s="723" t="str">
        <f t="shared" si="481"/>
        <v>-</v>
      </c>
      <c r="V1284" s="695" t="str">
        <f t="shared" si="482"/>
        <v>-</v>
      </c>
      <c r="W1284" s="711"/>
    </row>
    <row r="1285" spans="1:23" ht="16.5" hidden="1" outlineLevel="1">
      <c r="A1285" s="195"/>
      <c r="B1285" s="172"/>
      <c r="C1285" s="196"/>
      <c r="D1285" s="685"/>
      <c r="E1285" s="196"/>
      <c r="F1285" s="685"/>
      <c r="G1285" s="204"/>
      <c r="H1285" s="203"/>
      <c r="I1285" s="198"/>
      <c r="J1285" s="198"/>
      <c r="K1285" s="198"/>
      <c r="L1285" s="198"/>
      <c r="M1285" s="198"/>
      <c r="N1285" s="198"/>
      <c r="O1285" s="198"/>
      <c r="P1285" s="199"/>
      <c r="Q1285" s="200"/>
      <c r="R1285" s="200"/>
      <c r="S1285" s="200"/>
      <c r="T1285" s="200"/>
      <c r="U1285" s="688"/>
      <c r="V1285" s="200"/>
      <c r="W1285" s="711"/>
    </row>
    <row r="1286" spans="1:23" ht="16.5" hidden="1" outlineLevel="1">
      <c r="A1286" s="726">
        <v>4</v>
      </c>
      <c r="B1286" s="730" t="s">
        <v>1574</v>
      </c>
      <c r="C1286" s="727">
        <v>10</v>
      </c>
      <c r="D1286" s="690"/>
      <c r="E1286" s="753" t="s">
        <v>1557</v>
      </c>
      <c r="F1286" s="685">
        <v>1</v>
      </c>
      <c r="G1286" s="239">
        <v>1</v>
      </c>
      <c r="H1286" s="203">
        <v>2</v>
      </c>
      <c r="I1286" s="198">
        <f>C1286*10</f>
        <v>100</v>
      </c>
      <c r="J1286" s="171">
        <f>1012-50</f>
        <v>962</v>
      </c>
      <c r="K1286" s="198">
        <v>100</v>
      </c>
      <c r="L1286" s="198"/>
      <c r="M1286" s="198"/>
      <c r="N1286" s="721">
        <f t="shared" ref="N1286:N1288" si="483">IF(E1286="L Shape",(I1286+J1286)-(C1286*2*1),IF(E1286="U Shape",(I1286+J1286+K1286)-(C1286*2*2),IF(E1286="Rectangle",(I1286+J1286+K1286+L1286)+(C1286*10*2)-(C1286*2*5),IF(E1286="Straight",J1286-(C1286*0),IF(E1286="Chair",(I1286+J1286+K1286+L1286+M1286)-(C1286*2*4),IF(E1286="U2 Shape",(I1286+J1286+K1286+L1286+M1286)-(C1286*2*4),IF(E1286="U3 Shape",(I1286+J1286+K1286+L1286)-(C1286*2*3),IF(E1286="Z Shape",(I1286+J1286+K1286)-(C1286*2*2),IF(E1286="Triangle",(I1286+J1286+K1286)+(C1286*10*2)-(C1286*2*4),IF(E1286="Trapezoid2",(I1286+I1286+J1286+K1286+K1286+L1286)+(C1286*10*2)-(C1286*2*7),IF(E1286="Trapezoid",(I1286+J1286+K1286+L1286)+(C1286*10*2)-(C1286*2*5),IF(E1286="Link",J1286+(C1286*10*2),IF(E1286="U5 Shape",(I1286+J1286+K1286+L1286)-(C1286*2*3),IF(E1286="DU2 Shape",(I1286+J1286+K1286+L1286)-(C1286*2*4),IF(E1286="SU Shape",(I1286+J1286+K1286)-(C1286*2*2),"-")))))))))))))))</f>
        <v>1122</v>
      </c>
      <c r="O1286" s="721">
        <f t="shared" ref="O1286:O1288" si="484">IF(N1286&lt;12001,C1286*49*0,IF(N1286&lt;24001,C1286*49*1,IF(N1286&lt;36001,C1286*49*2,IF(N1286&lt;48001,C1286*49*3,IF(N1286&lt;60001,C1286*49*4,IF(N1286&lt;72001,(C1286*49*5),IF(N1286&lt;84001,(C1286*49*6),IF(N1286&lt;96001,(C1286*49*7),IF(N1286&lt;108001,(C1286*49*8),IF(N1286&lt;120001,(C1286*49*9),IF(N1286&lt;132001,(C1286*49*10),IF(N1286&lt;144001,(C1286*49*11),""))))))))))))</f>
        <v>0</v>
      </c>
      <c r="P1286" s="722" t="str">
        <f t="shared" ref="P1286:P1288" si="485">IF(C1286=8,ROUND(((N1286+O1286)*F1286*G1286*H1286)/1000,3),"-")</f>
        <v>-</v>
      </c>
      <c r="Q1286" s="686">
        <f t="shared" ref="Q1286:Q1288" si="486">IF(C1286=10,ROUND(((N1286+O1286)*F1286*G1286*H1286)/1000,3),"-")</f>
        <v>2.2440000000000002</v>
      </c>
      <c r="R1286" s="686" t="str">
        <f t="shared" ref="R1286:R1288" si="487">IF(C1286=12,ROUND(((N1286+O1286)*F1286*G1286*H1286)/1000,3),"-")</f>
        <v>-</v>
      </c>
      <c r="S1286" s="686" t="str">
        <f t="shared" ref="S1286:S1288" si="488">IF(C1286=16,ROUND(((N1286+O1286)*F1286*G1286*H1286)/1000,3),"-")</f>
        <v>-</v>
      </c>
      <c r="T1286" s="686" t="str">
        <f t="shared" ref="T1286:T1288" si="489">IF(C1286=20,ROUND(((N1286+O1286)*F1286*G1286*H1286)/1000,3),"-")</f>
        <v>-</v>
      </c>
      <c r="U1286" s="723" t="str">
        <f t="shared" ref="U1286:U1288" si="490">IF(C1286=25,ROUND(((N1286+O1286)*F1286*G1286*H1286)/1000,3),"-")</f>
        <v>-</v>
      </c>
      <c r="V1286" s="695" t="str">
        <f t="shared" ref="V1286:V1288" si="491">IF(C1286=32,ROUND(((N1286+O1286)*F1286*G1286*H1286)/1000,3),"-")</f>
        <v>-</v>
      </c>
      <c r="W1286" s="711"/>
    </row>
    <row r="1287" spans="1:23" ht="16.5" hidden="1" outlineLevel="1">
      <c r="A1287" s="726"/>
      <c r="B1287" s="726" t="s">
        <v>393</v>
      </c>
      <c r="C1287" s="727">
        <v>10</v>
      </c>
      <c r="D1287" s="690"/>
      <c r="E1287" s="753" t="s">
        <v>1557</v>
      </c>
      <c r="F1287" s="685">
        <v>1</v>
      </c>
      <c r="G1287" s="239">
        <v>1</v>
      </c>
      <c r="H1287" s="203">
        <v>2</v>
      </c>
      <c r="I1287" s="198">
        <f>C1287*10</f>
        <v>100</v>
      </c>
      <c r="J1287" s="171">
        <f>1012-50</f>
        <v>962</v>
      </c>
      <c r="K1287" s="198">
        <v>100</v>
      </c>
      <c r="L1287" s="198"/>
      <c r="M1287" s="198"/>
      <c r="N1287" s="721">
        <f t="shared" si="483"/>
        <v>1122</v>
      </c>
      <c r="O1287" s="721">
        <f t="shared" si="484"/>
        <v>0</v>
      </c>
      <c r="P1287" s="722" t="str">
        <f t="shared" si="485"/>
        <v>-</v>
      </c>
      <c r="Q1287" s="686">
        <f t="shared" si="486"/>
        <v>2.2440000000000002</v>
      </c>
      <c r="R1287" s="686" t="str">
        <f t="shared" si="487"/>
        <v>-</v>
      </c>
      <c r="S1287" s="686" t="str">
        <f t="shared" si="488"/>
        <v>-</v>
      </c>
      <c r="T1287" s="686" t="str">
        <f t="shared" si="489"/>
        <v>-</v>
      </c>
      <c r="U1287" s="723" t="str">
        <f t="shared" si="490"/>
        <v>-</v>
      </c>
      <c r="V1287" s="695" t="str">
        <f t="shared" si="491"/>
        <v>-</v>
      </c>
      <c r="W1287" s="711"/>
    </row>
    <row r="1288" spans="1:23" ht="16.5" hidden="1" outlineLevel="1">
      <c r="A1288" s="726"/>
      <c r="B1288" s="726" t="s">
        <v>394</v>
      </c>
      <c r="C1288" s="727">
        <v>8</v>
      </c>
      <c r="D1288" s="690"/>
      <c r="E1288" s="754" t="s">
        <v>1558</v>
      </c>
      <c r="F1288" s="685">
        <v>1</v>
      </c>
      <c r="G1288" s="239">
        <v>1</v>
      </c>
      <c r="H1288" s="203">
        <f>((J1286)/200)+1</f>
        <v>5.81</v>
      </c>
      <c r="I1288" s="198">
        <v>180</v>
      </c>
      <c r="J1288" s="198">
        <v>150</v>
      </c>
      <c r="K1288" s="198">
        <v>180</v>
      </c>
      <c r="L1288" s="198">
        <v>150</v>
      </c>
      <c r="M1288" s="198"/>
      <c r="N1288" s="721">
        <f t="shared" si="483"/>
        <v>740</v>
      </c>
      <c r="O1288" s="721">
        <f t="shared" si="484"/>
        <v>0</v>
      </c>
      <c r="P1288" s="722">
        <f t="shared" si="485"/>
        <v>4.2990000000000004</v>
      </c>
      <c r="Q1288" s="686" t="str">
        <f t="shared" si="486"/>
        <v>-</v>
      </c>
      <c r="R1288" s="686" t="str">
        <f t="shared" si="487"/>
        <v>-</v>
      </c>
      <c r="S1288" s="686" t="str">
        <f t="shared" si="488"/>
        <v>-</v>
      </c>
      <c r="T1288" s="686" t="str">
        <f t="shared" si="489"/>
        <v>-</v>
      </c>
      <c r="U1288" s="723" t="str">
        <f t="shared" si="490"/>
        <v>-</v>
      </c>
      <c r="V1288" s="695" t="str">
        <f t="shared" si="491"/>
        <v>-</v>
      </c>
      <c r="W1288" s="711"/>
    </row>
    <row r="1289" spans="1:23" ht="16.5" hidden="1" outlineLevel="1">
      <c r="A1289" s="195"/>
      <c r="B1289" s="172"/>
      <c r="C1289" s="196"/>
      <c r="D1289" s="685"/>
      <c r="E1289" s="196"/>
      <c r="F1289" s="685"/>
      <c r="G1289" s="204"/>
      <c r="H1289" s="203"/>
      <c r="I1289" s="198"/>
      <c r="J1289" s="198"/>
      <c r="K1289" s="198"/>
      <c r="L1289" s="198"/>
      <c r="M1289" s="198"/>
      <c r="N1289" s="198"/>
      <c r="O1289" s="198"/>
      <c r="P1289" s="199"/>
      <c r="Q1289" s="200"/>
      <c r="R1289" s="200"/>
      <c r="S1289" s="200"/>
      <c r="T1289" s="200"/>
      <c r="U1289" s="688"/>
      <c r="V1289" s="200"/>
      <c r="W1289" s="711"/>
    </row>
    <row r="1290" spans="1:23" ht="16.5" hidden="1" outlineLevel="1">
      <c r="A1290" s="726">
        <v>5</v>
      </c>
      <c r="B1290" s="730" t="s">
        <v>1574</v>
      </c>
      <c r="C1290" s="727">
        <v>10</v>
      </c>
      <c r="D1290" s="690"/>
      <c r="E1290" s="753" t="s">
        <v>1557</v>
      </c>
      <c r="F1290" s="685">
        <v>1</v>
      </c>
      <c r="G1290" s="239">
        <v>1</v>
      </c>
      <c r="H1290" s="203">
        <v>2</v>
      </c>
      <c r="I1290" s="198">
        <f>C1290*10</f>
        <v>100</v>
      </c>
      <c r="J1290" s="171">
        <f>4172-50</f>
        <v>4122</v>
      </c>
      <c r="K1290" s="198">
        <v>100</v>
      </c>
      <c r="L1290" s="198"/>
      <c r="M1290" s="198"/>
      <c r="N1290" s="721">
        <f t="shared" ref="N1290:N1292" si="492">IF(E1290="L Shape",(I1290+J1290)-(C1290*2*1),IF(E1290="U Shape",(I1290+J1290+K1290)-(C1290*2*2),IF(E1290="Rectangle",(I1290+J1290+K1290+L1290)+(C1290*10*2)-(C1290*2*5),IF(E1290="Straight",J1290-(C1290*0),IF(E1290="Chair",(I1290+J1290+K1290+L1290+M1290)-(C1290*2*4),IF(E1290="U2 Shape",(I1290+J1290+K1290+L1290+M1290)-(C1290*2*4),IF(E1290="U3 Shape",(I1290+J1290+K1290+L1290)-(C1290*2*3),IF(E1290="Z Shape",(I1290+J1290+K1290)-(C1290*2*2),IF(E1290="Triangle",(I1290+J1290+K1290)+(C1290*10*2)-(C1290*2*4),IF(E1290="Trapezoid2",(I1290+I1290+J1290+K1290+K1290+L1290)+(C1290*10*2)-(C1290*2*7),IF(E1290="Trapezoid",(I1290+J1290+K1290+L1290)+(C1290*10*2)-(C1290*2*5),IF(E1290="Link",J1290+(C1290*10*2),IF(E1290="U5 Shape",(I1290+J1290+K1290+L1290)-(C1290*2*3),IF(E1290="DU2 Shape",(I1290+J1290+K1290+L1290)-(C1290*2*4),IF(E1290="SU Shape",(I1290+J1290+K1290)-(C1290*2*2),"-")))))))))))))))</f>
        <v>4282</v>
      </c>
      <c r="O1290" s="721">
        <f t="shared" ref="O1290:O1292" si="493">IF(N1290&lt;12001,C1290*49*0,IF(N1290&lt;24001,C1290*49*1,IF(N1290&lt;36001,C1290*49*2,IF(N1290&lt;48001,C1290*49*3,IF(N1290&lt;60001,C1290*49*4,IF(N1290&lt;72001,(C1290*49*5),IF(N1290&lt;84001,(C1290*49*6),IF(N1290&lt;96001,(C1290*49*7),IF(N1290&lt;108001,(C1290*49*8),IF(N1290&lt;120001,(C1290*49*9),IF(N1290&lt;132001,(C1290*49*10),IF(N1290&lt;144001,(C1290*49*11),""))))))))))))</f>
        <v>0</v>
      </c>
      <c r="P1290" s="722" t="str">
        <f t="shared" ref="P1290:P1292" si="494">IF(C1290=8,ROUND(((N1290+O1290)*F1290*G1290*H1290)/1000,3),"-")</f>
        <v>-</v>
      </c>
      <c r="Q1290" s="686">
        <f t="shared" ref="Q1290:Q1292" si="495">IF(C1290=10,ROUND(((N1290+O1290)*F1290*G1290*H1290)/1000,3),"-")</f>
        <v>8.5640000000000001</v>
      </c>
      <c r="R1290" s="686" t="str">
        <f t="shared" ref="R1290:R1292" si="496">IF(C1290=12,ROUND(((N1290+O1290)*F1290*G1290*H1290)/1000,3),"-")</f>
        <v>-</v>
      </c>
      <c r="S1290" s="686" t="str">
        <f t="shared" ref="S1290:S1292" si="497">IF(C1290=16,ROUND(((N1290+O1290)*F1290*G1290*H1290)/1000,3),"-")</f>
        <v>-</v>
      </c>
      <c r="T1290" s="686" t="str">
        <f t="shared" ref="T1290:T1292" si="498">IF(C1290=20,ROUND(((N1290+O1290)*F1290*G1290*H1290)/1000,3),"-")</f>
        <v>-</v>
      </c>
      <c r="U1290" s="723" t="str">
        <f t="shared" ref="U1290:U1292" si="499">IF(C1290=25,ROUND(((N1290+O1290)*F1290*G1290*H1290)/1000,3),"-")</f>
        <v>-</v>
      </c>
      <c r="V1290" s="695" t="str">
        <f t="shared" ref="V1290:V1292" si="500">IF(C1290=32,ROUND(((N1290+O1290)*F1290*G1290*H1290)/1000,3),"-")</f>
        <v>-</v>
      </c>
      <c r="W1290" s="711"/>
    </row>
    <row r="1291" spans="1:23" ht="16.5" hidden="1" outlineLevel="1">
      <c r="A1291" s="726"/>
      <c r="B1291" s="726" t="s">
        <v>393</v>
      </c>
      <c r="C1291" s="727">
        <v>10</v>
      </c>
      <c r="D1291" s="690"/>
      <c r="E1291" s="753" t="s">
        <v>1557</v>
      </c>
      <c r="F1291" s="685">
        <v>1</v>
      </c>
      <c r="G1291" s="239">
        <v>1</v>
      </c>
      <c r="H1291" s="203">
        <v>2</v>
      </c>
      <c r="I1291" s="198">
        <f>C1291*10</f>
        <v>100</v>
      </c>
      <c r="J1291" s="171">
        <f>4172-50</f>
        <v>4122</v>
      </c>
      <c r="K1291" s="198">
        <v>100</v>
      </c>
      <c r="L1291" s="198"/>
      <c r="M1291" s="198"/>
      <c r="N1291" s="721">
        <f t="shared" si="492"/>
        <v>4282</v>
      </c>
      <c r="O1291" s="721">
        <f t="shared" si="493"/>
        <v>0</v>
      </c>
      <c r="P1291" s="722" t="str">
        <f t="shared" si="494"/>
        <v>-</v>
      </c>
      <c r="Q1291" s="686">
        <f t="shared" si="495"/>
        <v>8.5640000000000001</v>
      </c>
      <c r="R1291" s="686" t="str">
        <f t="shared" si="496"/>
        <v>-</v>
      </c>
      <c r="S1291" s="686" t="str">
        <f t="shared" si="497"/>
        <v>-</v>
      </c>
      <c r="T1291" s="686" t="str">
        <f t="shared" si="498"/>
        <v>-</v>
      </c>
      <c r="U1291" s="723" t="str">
        <f t="shared" si="499"/>
        <v>-</v>
      </c>
      <c r="V1291" s="695" t="str">
        <f t="shared" si="500"/>
        <v>-</v>
      </c>
      <c r="W1291" s="711"/>
    </row>
    <row r="1292" spans="1:23" ht="16.5" hidden="1" outlineLevel="1">
      <c r="A1292" s="726"/>
      <c r="B1292" s="726" t="s">
        <v>394</v>
      </c>
      <c r="C1292" s="727">
        <v>8</v>
      </c>
      <c r="D1292" s="690"/>
      <c r="E1292" s="754" t="s">
        <v>1558</v>
      </c>
      <c r="F1292" s="685">
        <v>1</v>
      </c>
      <c r="G1292" s="239">
        <v>1</v>
      </c>
      <c r="H1292" s="203">
        <f>((J1290)/200)+1</f>
        <v>21.61</v>
      </c>
      <c r="I1292" s="198">
        <v>180</v>
      </c>
      <c r="J1292" s="198">
        <v>150</v>
      </c>
      <c r="K1292" s="198">
        <v>180</v>
      </c>
      <c r="L1292" s="198">
        <v>150</v>
      </c>
      <c r="M1292" s="198"/>
      <c r="N1292" s="721">
        <f t="shared" si="492"/>
        <v>740</v>
      </c>
      <c r="O1292" s="721">
        <f t="shared" si="493"/>
        <v>0</v>
      </c>
      <c r="P1292" s="722">
        <f t="shared" si="494"/>
        <v>15.991</v>
      </c>
      <c r="Q1292" s="686" t="str">
        <f t="shared" si="495"/>
        <v>-</v>
      </c>
      <c r="R1292" s="686" t="str">
        <f t="shared" si="496"/>
        <v>-</v>
      </c>
      <c r="S1292" s="686" t="str">
        <f t="shared" si="497"/>
        <v>-</v>
      </c>
      <c r="T1292" s="686" t="str">
        <f t="shared" si="498"/>
        <v>-</v>
      </c>
      <c r="U1292" s="723" t="str">
        <f t="shared" si="499"/>
        <v>-</v>
      </c>
      <c r="V1292" s="695" t="str">
        <f t="shared" si="500"/>
        <v>-</v>
      </c>
      <c r="W1292" s="711"/>
    </row>
    <row r="1293" spans="1:23" ht="16.5" hidden="1" outlineLevel="1">
      <c r="A1293" s="195"/>
      <c r="B1293" s="172"/>
      <c r="C1293" s="196"/>
      <c r="D1293" s="685"/>
      <c r="E1293" s="196"/>
      <c r="F1293" s="685"/>
      <c r="G1293" s="204"/>
      <c r="H1293" s="203"/>
      <c r="I1293" s="198"/>
      <c r="J1293" s="198"/>
      <c r="K1293" s="198"/>
      <c r="L1293" s="198"/>
      <c r="M1293" s="198"/>
      <c r="N1293" s="198"/>
      <c r="O1293" s="198"/>
      <c r="P1293" s="199"/>
      <c r="Q1293" s="200"/>
      <c r="R1293" s="200"/>
      <c r="S1293" s="200"/>
      <c r="T1293" s="200"/>
      <c r="U1293" s="688"/>
      <c r="V1293" s="200"/>
      <c r="W1293" s="711"/>
    </row>
    <row r="1294" spans="1:23" ht="16.5" hidden="1" outlineLevel="1">
      <c r="A1294" s="726">
        <v>6</v>
      </c>
      <c r="B1294" s="730" t="s">
        <v>1574</v>
      </c>
      <c r="C1294" s="727">
        <v>10</v>
      </c>
      <c r="D1294" s="690"/>
      <c r="E1294" s="753" t="s">
        <v>1557</v>
      </c>
      <c r="F1294" s="685">
        <v>1</v>
      </c>
      <c r="G1294" s="239">
        <v>1</v>
      </c>
      <c r="H1294" s="203">
        <v>2</v>
      </c>
      <c r="I1294" s="198">
        <f>C1294*10</f>
        <v>100</v>
      </c>
      <c r="J1294" s="171">
        <f>10420-50</f>
        <v>10370</v>
      </c>
      <c r="K1294" s="198">
        <v>100</v>
      </c>
      <c r="L1294" s="198"/>
      <c r="M1294" s="198"/>
      <c r="N1294" s="721">
        <f t="shared" ref="N1294:N1296" si="501">IF(E1294="L Shape",(I1294+J1294)-(C1294*2*1),IF(E1294="U Shape",(I1294+J1294+K1294)-(C1294*2*2),IF(E1294="Rectangle",(I1294+J1294+K1294+L1294)+(C1294*10*2)-(C1294*2*5),IF(E1294="Straight",J1294-(C1294*0),IF(E1294="Chair",(I1294+J1294+K1294+L1294+M1294)-(C1294*2*4),IF(E1294="U2 Shape",(I1294+J1294+K1294+L1294+M1294)-(C1294*2*4),IF(E1294="U3 Shape",(I1294+J1294+K1294+L1294)-(C1294*2*3),IF(E1294="Z Shape",(I1294+J1294+K1294)-(C1294*2*2),IF(E1294="Triangle",(I1294+J1294+K1294)+(C1294*10*2)-(C1294*2*4),IF(E1294="Trapezoid2",(I1294+I1294+J1294+K1294+K1294+L1294)+(C1294*10*2)-(C1294*2*7),IF(E1294="Trapezoid",(I1294+J1294+K1294+L1294)+(C1294*10*2)-(C1294*2*5),IF(E1294="Link",J1294+(C1294*10*2),IF(E1294="U5 Shape",(I1294+J1294+K1294+L1294)-(C1294*2*3),IF(E1294="DU2 Shape",(I1294+J1294+K1294+L1294)-(C1294*2*4),IF(E1294="SU Shape",(I1294+J1294+K1294)-(C1294*2*2),"-")))))))))))))))</f>
        <v>10530</v>
      </c>
      <c r="O1294" s="721">
        <f t="shared" ref="O1294:O1296" si="502">IF(N1294&lt;12001,C1294*49*0,IF(N1294&lt;24001,C1294*49*1,IF(N1294&lt;36001,C1294*49*2,IF(N1294&lt;48001,C1294*49*3,IF(N1294&lt;60001,C1294*49*4,IF(N1294&lt;72001,(C1294*49*5),IF(N1294&lt;84001,(C1294*49*6),IF(N1294&lt;96001,(C1294*49*7),IF(N1294&lt;108001,(C1294*49*8),IF(N1294&lt;120001,(C1294*49*9),IF(N1294&lt;132001,(C1294*49*10),IF(N1294&lt;144001,(C1294*49*11),""))))))))))))</f>
        <v>0</v>
      </c>
      <c r="P1294" s="722" t="str">
        <f t="shared" ref="P1294:P1296" si="503">IF(C1294=8,ROUND(((N1294+O1294)*F1294*G1294*H1294)/1000,3),"-")</f>
        <v>-</v>
      </c>
      <c r="Q1294" s="686">
        <f t="shared" ref="Q1294:Q1296" si="504">IF(C1294=10,ROUND(((N1294+O1294)*F1294*G1294*H1294)/1000,3),"-")</f>
        <v>21.06</v>
      </c>
      <c r="R1294" s="686" t="str">
        <f t="shared" ref="R1294:R1296" si="505">IF(C1294=12,ROUND(((N1294+O1294)*F1294*G1294*H1294)/1000,3),"-")</f>
        <v>-</v>
      </c>
      <c r="S1294" s="686" t="str">
        <f t="shared" ref="S1294:S1296" si="506">IF(C1294=16,ROUND(((N1294+O1294)*F1294*G1294*H1294)/1000,3),"-")</f>
        <v>-</v>
      </c>
      <c r="T1294" s="686" t="str">
        <f t="shared" ref="T1294:T1296" si="507">IF(C1294=20,ROUND(((N1294+O1294)*F1294*G1294*H1294)/1000,3),"-")</f>
        <v>-</v>
      </c>
      <c r="U1294" s="723" t="str">
        <f t="shared" ref="U1294:U1296" si="508">IF(C1294=25,ROUND(((N1294+O1294)*F1294*G1294*H1294)/1000,3),"-")</f>
        <v>-</v>
      </c>
      <c r="V1294" s="695" t="str">
        <f t="shared" ref="V1294:V1296" si="509">IF(C1294=32,ROUND(((N1294+O1294)*F1294*G1294*H1294)/1000,3),"-")</f>
        <v>-</v>
      </c>
      <c r="W1294" s="711"/>
    </row>
    <row r="1295" spans="1:23" ht="16.5" hidden="1" outlineLevel="1">
      <c r="A1295" s="726"/>
      <c r="B1295" s="726" t="s">
        <v>393</v>
      </c>
      <c r="C1295" s="727">
        <v>10</v>
      </c>
      <c r="D1295" s="690"/>
      <c r="E1295" s="753" t="s">
        <v>1557</v>
      </c>
      <c r="F1295" s="685">
        <v>1</v>
      </c>
      <c r="G1295" s="239">
        <v>1</v>
      </c>
      <c r="H1295" s="203">
        <v>2</v>
      </c>
      <c r="I1295" s="198">
        <f>C1295*10</f>
        <v>100</v>
      </c>
      <c r="J1295" s="171">
        <f>10420-50</f>
        <v>10370</v>
      </c>
      <c r="K1295" s="198">
        <v>100</v>
      </c>
      <c r="L1295" s="198"/>
      <c r="M1295" s="198"/>
      <c r="N1295" s="721">
        <f t="shared" si="501"/>
        <v>10530</v>
      </c>
      <c r="O1295" s="721">
        <f t="shared" si="502"/>
        <v>0</v>
      </c>
      <c r="P1295" s="722" t="str">
        <f t="shared" si="503"/>
        <v>-</v>
      </c>
      <c r="Q1295" s="686">
        <f t="shared" si="504"/>
        <v>21.06</v>
      </c>
      <c r="R1295" s="686" t="str">
        <f t="shared" si="505"/>
        <v>-</v>
      </c>
      <c r="S1295" s="686" t="str">
        <f t="shared" si="506"/>
        <v>-</v>
      </c>
      <c r="T1295" s="686" t="str">
        <f t="shared" si="507"/>
        <v>-</v>
      </c>
      <c r="U1295" s="723" t="str">
        <f t="shared" si="508"/>
        <v>-</v>
      </c>
      <c r="V1295" s="695" t="str">
        <f t="shared" si="509"/>
        <v>-</v>
      </c>
      <c r="W1295" s="711"/>
    </row>
    <row r="1296" spans="1:23" ht="16.5" hidden="1" outlineLevel="1">
      <c r="A1296" s="726"/>
      <c r="B1296" s="726" t="s">
        <v>394</v>
      </c>
      <c r="C1296" s="727">
        <v>8</v>
      </c>
      <c r="D1296" s="690"/>
      <c r="E1296" s="754" t="s">
        <v>1558</v>
      </c>
      <c r="F1296" s="685">
        <v>1</v>
      </c>
      <c r="G1296" s="239">
        <v>1</v>
      </c>
      <c r="H1296" s="203">
        <f>((J1294)/200)+1</f>
        <v>52.85</v>
      </c>
      <c r="I1296" s="198">
        <v>180</v>
      </c>
      <c r="J1296" s="198">
        <v>150</v>
      </c>
      <c r="K1296" s="198">
        <v>180</v>
      </c>
      <c r="L1296" s="198">
        <v>150</v>
      </c>
      <c r="M1296" s="198"/>
      <c r="N1296" s="721">
        <f t="shared" si="501"/>
        <v>740</v>
      </c>
      <c r="O1296" s="721">
        <f t="shared" si="502"/>
        <v>0</v>
      </c>
      <c r="P1296" s="722">
        <f t="shared" si="503"/>
        <v>39.109000000000002</v>
      </c>
      <c r="Q1296" s="686" t="str">
        <f t="shared" si="504"/>
        <v>-</v>
      </c>
      <c r="R1296" s="686" t="str">
        <f t="shared" si="505"/>
        <v>-</v>
      </c>
      <c r="S1296" s="686" t="str">
        <f t="shared" si="506"/>
        <v>-</v>
      </c>
      <c r="T1296" s="686" t="str">
        <f t="shared" si="507"/>
        <v>-</v>
      </c>
      <c r="U1296" s="723" t="str">
        <f t="shared" si="508"/>
        <v>-</v>
      </c>
      <c r="V1296" s="695" t="str">
        <f t="shared" si="509"/>
        <v>-</v>
      </c>
      <c r="W1296" s="711"/>
    </row>
    <row r="1297" spans="1:23" ht="16.5" hidden="1" outlineLevel="1">
      <c r="A1297" s="195"/>
      <c r="B1297" s="172"/>
      <c r="C1297" s="196"/>
      <c r="D1297" s="685"/>
      <c r="E1297" s="196"/>
      <c r="F1297" s="685"/>
      <c r="G1297" s="204"/>
      <c r="H1297" s="203"/>
      <c r="I1297" s="198"/>
      <c r="J1297" s="198"/>
      <c r="K1297" s="198"/>
      <c r="L1297" s="198"/>
      <c r="M1297" s="198"/>
      <c r="N1297" s="198"/>
      <c r="O1297" s="198"/>
      <c r="P1297" s="199"/>
      <c r="Q1297" s="200"/>
      <c r="R1297" s="200"/>
      <c r="S1297" s="200"/>
      <c r="T1297" s="200"/>
      <c r="U1297" s="688"/>
      <c r="V1297" s="200"/>
      <c r="W1297" s="711"/>
    </row>
    <row r="1298" spans="1:23" ht="16.5" hidden="1" outlineLevel="1">
      <c r="A1298" s="726">
        <v>7</v>
      </c>
      <c r="B1298" s="730" t="s">
        <v>1574</v>
      </c>
      <c r="C1298" s="727">
        <v>10</v>
      </c>
      <c r="D1298" s="690"/>
      <c r="E1298" s="753" t="s">
        <v>1557</v>
      </c>
      <c r="F1298" s="685">
        <v>1</v>
      </c>
      <c r="G1298" s="239">
        <v>1</v>
      </c>
      <c r="H1298" s="203">
        <v>2</v>
      </c>
      <c r="I1298" s="198">
        <f>C1298*10</f>
        <v>100</v>
      </c>
      <c r="J1298" s="171">
        <f>217-50</f>
        <v>167</v>
      </c>
      <c r="K1298" s="198">
        <v>100</v>
      </c>
      <c r="L1298" s="198"/>
      <c r="M1298" s="198"/>
      <c r="N1298" s="721">
        <f t="shared" ref="N1298:N1300" si="510">IF(E1298="L Shape",(I1298+J1298)-(C1298*2*1),IF(E1298="U Shape",(I1298+J1298+K1298)-(C1298*2*2),IF(E1298="Rectangle",(I1298+J1298+K1298+L1298)+(C1298*10*2)-(C1298*2*5),IF(E1298="Straight",J1298-(C1298*0),IF(E1298="Chair",(I1298+J1298+K1298+L1298+M1298)-(C1298*2*4),IF(E1298="U2 Shape",(I1298+J1298+K1298+L1298+M1298)-(C1298*2*4),IF(E1298="U3 Shape",(I1298+J1298+K1298+L1298)-(C1298*2*3),IF(E1298="Z Shape",(I1298+J1298+K1298)-(C1298*2*2),IF(E1298="Triangle",(I1298+J1298+K1298)+(C1298*10*2)-(C1298*2*4),IF(E1298="Trapezoid2",(I1298+I1298+J1298+K1298+K1298+L1298)+(C1298*10*2)-(C1298*2*7),IF(E1298="Trapezoid",(I1298+J1298+K1298+L1298)+(C1298*10*2)-(C1298*2*5),IF(E1298="Link",J1298+(C1298*10*2),IF(E1298="U5 Shape",(I1298+J1298+K1298+L1298)-(C1298*2*3),IF(E1298="DU2 Shape",(I1298+J1298+K1298+L1298)-(C1298*2*4),IF(E1298="SU Shape",(I1298+J1298+K1298)-(C1298*2*2),"-")))))))))))))))</f>
        <v>327</v>
      </c>
      <c r="O1298" s="721">
        <f t="shared" ref="O1298:O1300" si="511">IF(N1298&lt;12001,C1298*49*0,IF(N1298&lt;24001,C1298*49*1,IF(N1298&lt;36001,C1298*49*2,IF(N1298&lt;48001,C1298*49*3,IF(N1298&lt;60001,C1298*49*4,IF(N1298&lt;72001,(C1298*49*5),IF(N1298&lt;84001,(C1298*49*6),IF(N1298&lt;96001,(C1298*49*7),IF(N1298&lt;108001,(C1298*49*8),IF(N1298&lt;120001,(C1298*49*9),IF(N1298&lt;132001,(C1298*49*10),IF(N1298&lt;144001,(C1298*49*11),""))))))))))))</f>
        <v>0</v>
      </c>
      <c r="P1298" s="722" t="str">
        <f t="shared" ref="P1298:P1300" si="512">IF(C1298=8,ROUND(((N1298+O1298)*F1298*G1298*H1298)/1000,3),"-")</f>
        <v>-</v>
      </c>
      <c r="Q1298" s="686">
        <f t="shared" ref="Q1298:Q1300" si="513">IF(C1298=10,ROUND(((N1298+O1298)*F1298*G1298*H1298)/1000,3),"-")</f>
        <v>0.65400000000000003</v>
      </c>
      <c r="R1298" s="686" t="str">
        <f t="shared" ref="R1298:R1300" si="514">IF(C1298=12,ROUND(((N1298+O1298)*F1298*G1298*H1298)/1000,3),"-")</f>
        <v>-</v>
      </c>
      <c r="S1298" s="686" t="str">
        <f t="shared" ref="S1298:S1300" si="515">IF(C1298=16,ROUND(((N1298+O1298)*F1298*G1298*H1298)/1000,3),"-")</f>
        <v>-</v>
      </c>
      <c r="T1298" s="686" t="str">
        <f t="shared" ref="T1298:T1300" si="516">IF(C1298=20,ROUND(((N1298+O1298)*F1298*G1298*H1298)/1000,3),"-")</f>
        <v>-</v>
      </c>
      <c r="U1298" s="723" t="str">
        <f t="shared" ref="U1298:U1300" si="517">IF(C1298=25,ROUND(((N1298+O1298)*F1298*G1298*H1298)/1000,3),"-")</f>
        <v>-</v>
      </c>
      <c r="V1298" s="695" t="str">
        <f t="shared" ref="V1298:V1300" si="518">IF(C1298=32,ROUND(((N1298+O1298)*F1298*G1298*H1298)/1000,3),"-")</f>
        <v>-</v>
      </c>
      <c r="W1298" s="711"/>
    </row>
    <row r="1299" spans="1:23" ht="16.5" hidden="1" outlineLevel="1">
      <c r="A1299" s="726"/>
      <c r="B1299" s="726" t="s">
        <v>393</v>
      </c>
      <c r="C1299" s="727">
        <v>10</v>
      </c>
      <c r="D1299" s="690"/>
      <c r="E1299" s="753" t="s">
        <v>1557</v>
      </c>
      <c r="F1299" s="685">
        <v>1</v>
      </c>
      <c r="G1299" s="239">
        <v>1</v>
      </c>
      <c r="H1299" s="203">
        <v>2</v>
      </c>
      <c r="I1299" s="198">
        <f>C1299*10</f>
        <v>100</v>
      </c>
      <c r="J1299" s="171">
        <f>217-50</f>
        <v>167</v>
      </c>
      <c r="K1299" s="198">
        <v>100</v>
      </c>
      <c r="L1299" s="198"/>
      <c r="M1299" s="198"/>
      <c r="N1299" s="721">
        <f t="shared" si="510"/>
        <v>327</v>
      </c>
      <c r="O1299" s="721">
        <f t="shared" si="511"/>
        <v>0</v>
      </c>
      <c r="P1299" s="722" t="str">
        <f t="shared" si="512"/>
        <v>-</v>
      </c>
      <c r="Q1299" s="686">
        <f t="shared" si="513"/>
        <v>0.65400000000000003</v>
      </c>
      <c r="R1299" s="686" t="str">
        <f t="shared" si="514"/>
        <v>-</v>
      </c>
      <c r="S1299" s="686" t="str">
        <f t="shared" si="515"/>
        <v>-</v>
      </c>
      <c r="T1299" s="686" t="str">
        <f t="shared" si="516"/>
        <v>-</v>
      </c>
      <c r="U1299" s="723" t="str">
        <f t="shared" si="517"/>
        <v>-</v>
      </c>
      <c r="V1299" s="695" t="str">
        <f t="shared" si="518"/>
        <v>-</v>
      </c>
      <c r="W1299" s="711"/>
    </row>
    <row r="1300" spans="1:23" ht="16.5" hidden="1" outlineLevel="1">
      <c r="A1300" s="726"/>
      <c r="B1300" s="726" t="s">
        <v>394</v>
      </c>
      <c r="C1300" s="727">
        <v>8</v>
      </c>
      <c r="D1300" s="690"/>
      <c r="E1300" s="754" t="s">
        <v>1558</v>
      </c>
      <c r="F1300" s="685">
        <v>1</v>
      </c>
      <c r="G1300" s="239">
        <v>1</v>
      </c>
      <c r="H1300" s="203">
        <f>((J1298)/200)+1</f>
        <v>1.835</v>
      </c>
      <c r="I1300" s="198">
        <v>180</v>
      </c>
      <c r="J1300" s="198">
        <v>150</v>
      </c>
      <c r="K1300" s="198">
        <v>180</v>
      </c>
      <c r="L1300" s="198">
        <v>150</v>
      </c>
      <c r="M1300" s="198"/>
      <c r="N1300" s="721">
        <f t="shared" si="510"/>
        <v>740</v>
      </c>
      <c r="O1300" s="721">
        <f t="shared" si="511"/>
        <v>0</v>
      </c>
      <c r="P1300" s="722">
        <f t="shared" si="512"/>
        <v>1.3580000000000001</v>
      </c>
      <c r="Q1300" s="686" t="str">
        <f t="shared" si="513"/>
        <v>-</v>
      </c>
      <c r="R1300" s="686" t="str">
        <f t="shared" si="514"/>
        <v>-</v>
      </c>
      <c r="S1300" s="686" t="str">
        <f t="shared" si="515"/>
        <v>-</v>
      </c>
      <c r="T1300" s="686" t="str">
        <f t="shared" si="516"/>
        <v>-</v>
      </c>
      <c r="U1300" s="723" t="str">
        <f t="shared" si="517"/>
        <v>-</v>
      </c>
      <c r="V1300" s="695" t="str">
        <f t="shared" si="518"/>
        <v>-</v>
      </c>
      <c r="W1300" s="711"/>
    </row>
    <row r="1301" spans="1:23" ht="16.5" hidden="1" outlineLevel="1">
      <c r="A1301" s="195"/>
      <c r="B1301" s="172"/>
      <c r="C1301" s="196"/>
      <c r="D1301" s="685"/>
      <c r="E1301" s="196"/>
      <c r="F1301" s="685"/>
      <c r="G1301" s="204"/>
      <c r="H1301" s="203"/>
      <c r="I1301" s="198"/>
      <c r="J1301" s="198"/>
      <c r="K1301" s="198"/>
      <c r="L1301" s="198"/>
      <c r="M1301" s="198"/>
      <c r="N1301" s="198"/>
      <c r="O1301" s="198"/>
      <c r="P1301" s="199"/>
      <c r="Q1301" s="200"/>
      <c r="R1301" s="200"/>
      <c r="S1301" s="200"/>
      <c r="T1301" s="200"/>
      <c r="U1301" s="688"/>
      <c r="V1301" s="200"/>
      <c r="W1301" s="711"/>
    </row>
    <row r="1302" spans="1:23" ht="16.5" hidden="1" outlineLevel="1">
      <c r="A1302" s="726">
        <v>8</v>
      </c>
      <c r="B1302" s="730" t="s">
        <v>1574</v>
      </c>
      <c r="C1302" s="727">
        <v>10</v>
      </c>
      <c r="D1302" s="690"/>
      <c r="E1302" s="753" t="s">
        <v>1557</v>
      </c>
      <c r="F1302" s="685">
        <v>1</v>
      </c>
      <c r="G1302" s="239">
        <v>1</v>
      </c>
      <c r="H1302" s="203">
        <v>2</v>
      </c>
      <c r="I1302" s="198">
        <f>C1302*10</f>
        <v>100</v>
      </c>
      <c r="J1302" s="171">
        <f>4011-50</f>
        <v>3961</v>
      </c>
      <c r="K1302" s="198">
        <v>100</v>
      </c>
      <c r="L1302" s="198"/>
      <c r="M1302" s="198"/>
      <c r="N1302" s="721">
        <f t="shared" ref="N1302:N1304" si="519">IF(E1302="L Shape",(I1302+J1302)-(C1302*2*1),IF(E1302="U Shape",(I1302+J1302+K1302)-(C1302*2*2),IF(E1302="Rectangle",(I1302+J1302+K1302+L1302)+(C1302*10*2)-(C1302*2*5),IF(E1302="Straight",J1302-(C1302*0),IF(E1302="Chair",(I1302+J1302+K1302+L1302+M1302)-(C1302*2*4),IF(E1302="U2 Shape",(I1302+J1302+K1302+L1302+M1302)-(C1302*2*4),IF(E1302="U3 Shape",(I1302+J1302+K1302+L1302)-(C1302*2*3),IF(E1302="Z Shape",(I1302+J1302+K1302)-(C1302*2*2),IF(E1302="Triangle",(I1302+J1302+K1302)+(C1302*10*2)-(C1302*2*4),IF(E1302="Trapezoid2",(I1302+I1302+J1302+K1302+K1302+L1302)+(C1302*10*2)-(C1302*2*7),IF(E1302="Trapezoid",(I1302+J1302+K1302+L1302)+(C1302*10*2)-(C1302*2*5),IF(E1302="Link",J1302+(C1302*10*2),IF(E1302="U5 Shape",(I1302+J1302+K1302+L1302)-(C1302*2*3),IF(E1302="DU2 Shape",(I1302+J1302+K1302+L1302)-(C1302*2*4),IF(E1302="SU Shape",(I1302+J1302+K1302)-(C1302*2*2),"-")))))))))))))))</f>
        <v>4121</v>
      </c>
      <c r="O1302" s="721">
        <f t="shared" ref="O1302:O1304" si="520">IF(N1302&lt;12001,C1302*49*0,IF(N1302&lt;24001,C1302*49*1,IF(N1302&lt;36001,C1302*49*2,IF(N1302&lt;48001,C1302*49*3,IF(N1302&lt;60001,C1302*49*4,IF(N1302&lt;72001,(C1302*49*5),IF(N1302&lt;84001,(C1302*49*6),IF(N1302&lt;96001,(C1302*49*7),IF(N1302&lt;108001,(C1302*49*8),IF(N1302&lt;120001,(C1302*49*9),IF(N1302&lt;132001,(C1302*49*10),IF(N1302&lt;144001,(C1302*49*11),""))))))))))))</f>
        <v>0</v>
      </c>
      <c r="P1302" s="722" t="str">
        <f t="shared" ref="P1302:P1304" si="521">IF(C1302=8,ROUND(((N1302+O1302)*F1302*G1302*H1302)/1000,3),"-")</f>
        <v>-</v>
      </c>
      <c r="Q1302" s="686">
        <f t="shared" ref="Q1302:Q1304" si="522">IF(C1302=10,ROUND(((N1302+O1302)*F1302*G1302*H1302)/1000,3),"-")</f>
        <v>8.2420000000000009</v>
      </c>
      <c r="R1302" s="686" t="str">
        <f t="shared" ref="R1302:R1304" si="523">IF(C1302=12,ROUND(((N1302+O1302)*F1302*G1302*H1302)/1000,3),"-")</f>
        <v>-</v>
      </c>
      <c r="S1302" s="686" t="str">
        <f t="shared" ref="S1302:S1304" si="524">IF(C1302=16,ROUND(((N1302+O1302)*F1302*G1302*H1302)/1000,3),"-")</f>
        <v>-</v>
      </c>
      <c r="T1302" s="686" t="str">
        <f t="shared" ref="T1302:T1304" si="525">IF(C1302=20,ROUND(((N1302+O1302)*F1302*G1302*H1302)/1000,3),"-")</f>
        <v>-</v>
      </c>
      <c r="U1302" s="723" t="str">
        <f t="shared" ref="U1302:U1304" si="526">IF(C1302=25,ROUND(((N1302+O1302)*F1302*G1302*H1302)/1000,3),"-")</f>
        <v>-</v>
      </c>
      <c r="V1302" s="695" t="str">
        <f t="shared" ref="V1302:V1304" si="527">IF(C1302=32,ROUND(((N1302+O1302)*F1302*G1302*H1302)/1000,3),"-")</f>
        <v>-</v>
      </c>
      <c r="W1302" s="711"/>
    </row>
    <row r="1303" spans="1:23" ht="16.5" hidden="1" outlineLevel="1">
      <c r="A1303" s="726"/>
      <c r="B1303" s="726" t="s">
        <v>393</v>
      </c>
      <c r="C1303" s="727">
        <v>10</v>
      </c>
      <c r="D1303" s="690"/>
      <c r="E1303" s="753" t="s">
        <v>1557</v>
      </c>
      <c r="F1303" s="685">
        <v>1</v>
      </c>
      <c r="G1303" s="239">
        <v>1</v>
      </c>
      <c r="H1303" s="203">
        <v>2</v>
      </c>
      <c r="I1303" s="198">
        <f>C1303*10</f>
        <v>100</v>
      </c>
      <c r="J1303" s="171">
        <f>4011-50</f>
        <v>3961</v>
      </c>
      <c r="K1303" s="198">
        <v>100</v>
      </c>
      <c r="L1303" s="198"/>
      <c r="M1303" s="198"/>
      <c r="N1303" s="721">
        <f t="shared" si="519"/>
        <v>4121</v>
      </c>
      <c r="O1303" s="721">
        <f t="shared" si="520"/>
        <v>0</v>
      </c>
      <c r="P1303" s="722" t="str">
        <f t="shared" si="521"/>
        <v>-</v>
      </c>
      <c r="Q1303" s="686">
        <f t="shared" si="522"/>
        <v>8.2420000000000009</v>
      </c>
      <c r="R1303" s="686" t="str">
        <f t="shared" si="523"/>
        <v>-</v>
      </c>
      <c r="S1303" s="686" t="str">
        <f t="shared" si="524"/>
        <v>-</v>
      </c>
      <c r="T1303" s="686" t="str">
        <f t="shared" si="525"/>
        <v>-</v>
      </c>
      <c r="U1303" s="723" t="str">
        <f t="shared" si="526"/>
        <v>-</v>
      </c>
      <c r="V1303" s="695" t="str">
        <f t="shared" si="527"/>
        <v>-</v>
      </c>
      <c r="W1303" s="711"/>
    </row>
    <row r="1304" spans="1:23" ht="16.5" hidden="1" outlineLevel="1">
      <c r="A1304" s="726"/>
      <c r="B1304" s="726" t="s">
        <v>394</v>
      </c>
      <c r="C1304" s="727">
        <v>8</v>
      </c>
      <c r="D1304" s="690"/>
      <c r="E1304" s="754" t="s">
        <v>1558</v>
      </c>
      <c r="F1304" s="685">
        <v>1</v>
      </c>
      <c r="G1304" s="239">
        <v>1</v>
      </c>
      <c r="H1304" s="203">
        <f>((J1302)/200)+1</f>
        <v>20.805</v>
      </c>
      <c r="I1304" s="198">
        <v>180</v>
      </c>
      <c r="J1304" s="198">
        <v>150</v>
      </c>
      <c r="K1304" s="198">
        <v>180</v>
      </c>
      <c r="L1304" s="198">
        <v>150</v>
      </c>
      <c r="M1304" s="198"/>
      <c r="N1304" s="721">
        <f t="shared" si="519"/>
        <v>740</v>
      </c>
      <c r="O1304" s="721">
        <f t="shared" si="520"/>
        <v>0</v>
      </c>
      <c r="P1304" s="722">
        <f t="shared" si="521"/>
        <v>15.396000000000001</v>
      </c>
      <c r="Q1304" s="686" t="str">
        <f t="shared" si="522"/>
        <v>-</v>
      </c>
      <c r="R1304" s="686" t="str">
        <f t="shared" si="523"/>
        <v>-</v>
      </c>
      <c r="S1304" s="686" t="str">
        <f t="shared" si="524"/>
        <v>-</v>
      </c>
      <c r="T1304" s="686" t="str">
        <f t="shared" si="525"/>
        <v>-</v>
      </c>
      <c r="U1304" s="723" t="str">
        <f t="shared" si="526"/>
        <v>-</v>
      </c>
      <c r="V1304" s="695" t="str">
        <f t="shared" si="527"/>
        <v>-</v>
      </c>
      <c r="W1304" s="711"/>
    </row>
    <row r="1305" spans="1:23" ht="16.5" hidden="1" outlineLevel="1">
      <c r="A1305" s="195"/>
      <c r="B1305" s="172"/>
      <c r="C1305" s="196"/>
      <c r="D1305" s="685"/>
      <c r="E1305" s="196"/>
      <c r="F1305" s="685"/>
      <c r="G1305" s="204"/>
      <c r="H1305" s="203"/>
      <c r="I1305" s="198"/>
      <c r="J1305" s="198"/>
      <c r="K1305" s="198"/>
      <c r="L1305" s="198"/>
      <c r="M1305" s="198"/>
      <c r="N1305" s="198"/>
      <c r="O1305" s="198"/>
      <c r="P1305" s="199"/>
      <c r="Q1305" s="200"/>
      <c r="R1305" s="200"/>
      <c r="S1305" s="200"/>
      <c r="T1305" s="200"/>
      <c r="U1305" s="688"/>
      <c r="V1305" s="200"/>
      <c r="W1305" s="711"/>
    </row>
    <row r="1306" spans="1:23" ht="49.5" hidden="1" outlineLevel="1">
      <c r="A1306" s="5" t="s">
        <v>1632</v>
      </c>
      <c r="B1306" s="748" t="s">
        <v>844</v>
      </c>
      <c r="C1306" s="196"/>
      <c r="D1306" s="685"/>
      <c r="E1306" s="196"/>
      <c r="F1306" s="685"/>
      <c r="G1306" s="204"/>
      <c r="H1306" s="203"/>
      <c r="I1306" s="198"/>
      <c r="J1306" s="198"/>
      <c r="K1306" s="198"/>
      <c r="L1306" s="198"/>
      <c r="M1306" s="198"/>
      <c r="N1306" s="198"/>
      <c r="O1306" s="198"/>
      <c r="P1306" s="199"/>
      <c r="Q1306" s="200"/>
      <c r="R1306" s="200"/>
      <c r="S1306" s="200"/>
      <c r="T1306" s="200"/>
      <c r="U1306" s="688"/>
      <c r="V1306" s="200"/>
      <c r="W1306" s="711"/>
    </row>
    <row r="1307" spans="1:23" ht="16.5" hidden="1" outlineLevel="1">
      <c r="A1307" s="195"/>
      <c r="B1307" s="172"/>
      <c r="C1307" s="196"/>
      <c r="D1307" s="685"/>
      <c r="E1307" s="196"/>
      <c r="F1307" s="685"/>
      <c r="G1307" s="204"/>
      <c r="H1307" s="203"/>
      <c r="I1307" s="198"/>
      <c r="J1307" s="198"/>
      <c r="K1307" s="198"/>
      <c r="L1307" s="198"/>
      <c r="M1307" s="198"/>
      <c r="N1307" s="198"/>
      <c r="O1307" s="198"/>
      <c r="P1307" s="199"/>
      <c r="Q1307" s="200"/>
      <c r="R1307" s="200"/>
      <c r="S1307" s="200"/>
      <c r="T1307" s="200"/>
      <c r="U1307" s="688"/>
      <c r="V1307" s="200"/>
      <c r="W1307" s="711"/>
    </row>
    <row r="1308" spans="1:23" ht="16.5" hidden="1" outlineLevel="1">
      <c r="A1308" s="726">
        <v>1</v>
      </c>
      <c r="B1308" s="730" t="s">
        <v>1574</v>
      </c>
      <c r="C1308" s="727">
        <v>10</v>
      </c>
      <c r="D1308" s="690"/>
      <c r="E1308" s="753" t="s">
        <v>1557</v>
      </c>
      <c r="F1308" s="685">
        <v>1</v>
      </c>
      <c r="G1308" s="239">
        <v>1</v>
      </c>
      <c r="H1308" s="203">
        <v>2</v>
      </c>
      <c r="I1308" s="198">
        <f>C1308*10</f>
        <v>100</v>
      </c>
      <c r="J1308" s="171">
        <f>15694-50</f>
        <v>15644</v>
      </c>
      <c r="K1308" s="198">
        <v>100</v>
      </c>
      <c r="L1308" s="198"/>
      <c r="M1308" s="198"/>
      <c r="N1308" s="721">
        <f t="shared" ref="N1308:N1310" si="528">IF(E1308="L Shape",(I1308+J1308)-(C1308*2*1),IF(E1308="U Shape",(I1308+J1308+K1308)-(C1308*2*2),IF(E1308="Rectangle",(I1308+J1308+K1308+L1308)+(C1308*10*2)-(C1308*2*5),IF(E1308="Straight",J1308-(C1308*0),IF(E1308="Chair",(I1308+J1308+K1308+L1308+M1308)-(C1308*2*4),IF(E1308="U2 Shape",(I1308+J1308+K1308+L1308+M1308)-(C1308*2*4),IF(E1308="U3 Shape",(I1308+J1308+K1308+L1308)-(C1308*2*3),IF(E1308="Z Shape",(I1308+J1308+K1308)-(C1308*2*2),IF(E1308="Triangle",(I1308+J1308+K1308)+(C1308*10*2)-(C1308*2*4),IF(E1308="Trapezoid2",(I1308+I1308+J1308+K1308+K1308+L1308)+(C1308*10*2)-(C1308*2*7),IF(E1308="Trapezoid",(I1308+J1308+K1308+L1308)+(C1308*10*2)-(C1308*2*5),IF(E1308="Link",J1308+(C1308*10*2),IF(E1308="U5 Shape",(I1308+J1308+K1308+L1308)-(C1308*2*3),IF(E1308="DU2 Shape",(I1308+J1308+K1308+L1308)-(C1308*2*4),IF(E1308="SU Shape",(I1308+J1308+K1308)-(C1308*2*2),"-")))))))))))))))</f>
        <v>15804</v>
      </c>
      <c r="O1308" s="721">
        <f t="shared" ref="O1308:O1310" si="529">IF(N1308&lt;12001,C1308*49*0,IF(N1308&lt;24001,C1308*49*1,IF(N1308&lt;36001,C1308*49*2,IF(N1308&lt;48001,C1308*49*3,IF(N1308&lt;60001,C1308*49*4,IF(N1308&lt;72001,(C1308*49*5),IF(N1308&lt;84001,(C1308*49*6),IF(N1308&lt;96001,(C1308*49*7),IF(N1308&lt;108001,(C1308*49*8),IF(N1308&lt;120001,(C1308*49*9),IF(N1308&lt;132001,(C1308*49*10),IF(N1308&lt;144001,(C1308*49*11),""))))))))))))</f>
        <v>490</v>
      </c>
      <c r="P1308" s="722" t="str">
        <f t="shared" ref="P1308:P1310" si="530">IF(C1308=8,ROUND(((N1308+O1308)*F1308*G1308*H1308)/1000,3),"-")</f>
        <v>-</v>
      </c>
      <c r="Q1308" s="686">
        <f t="shared" ref="Q1308:Q1310" si="531">IF(C1308=10,ROUND(((N1308+O1308)*F1308*G1308*H1308)/1000,3),"-")</f>
        <v>32.588000000000001</v>
      </c>
      <c r="R1308" s="686" t="str">
        <f t="shared" ref="R1308:R1310" si="532">IF(C1308=12,ROUND(((N1308+O1308)*F1308*G1308*H1308)/1000,3),"-")</f>
        <v>-</v>
      </c>
      <c r="S1308" s="686" t="str">
        <f t="shared" ref="S1308:S1310" si="533">IF(C1308=16,ROUND(((N1308+O1308)*F1308*G1308*H1308)/1000,3),"-")</f>
        <v>-</v>
      </c>
      <c r="T1308" s="686" t="str">
        <f t="shared" ref="T1308:T1310" si="534">IF(C1308=20,ROUND(((N1308+O1308)*F1308*G1308*H1308)/1000,3),"-")</f>
        <v>-</v>
      </c>
      <c r="U1308" s="723" t="str">
        <f t="shared" ref="U1308:U1310" si="535">IF(C1308=25,ROUND(((N1308+O1308)*F1308*G1308*H1308)/1000,3),"-")</f>
        <v>-</v>
      </c>
      <c r="V1308" s="695" t="str">
        <f t="shared" ref="V1308:V1310" si="536">IF(C1308=32,ROUND(((N1308+O1308)*F1308*G1308*H1308)/1000,3),"-")</f>
        <v>-</v>
      </c>
      <c r="W1308" s="711"/>
    </row>
    <row r="1309" spans="1:23" ht="16.5" hidden="1" outlineLevel="1">
      <c r="A1309" s="726"/>
      <c r="B1309" s="726" t="s">
        <v>393</v>
      </c>
      <c r="C1309" s="727">
        <v>10</v>
      </c>
      <c r="D1309" s="690"/>
      <c r="E1309" s="753" t="s">
        <v>1557</v>
      </c>
      <c r="F1309" s="685">
        <v>1</v>
      </c>
      <c r="G1309" s="239">
        <v>1</v>
      </c>
      <c r="H1309" s="203">
        <v>2</v>
      </c>
      <c r="I1309" s="198">
        <f>C1309*10</f>
        <v>100</v>
      </c>
      <c r="J1309" s="171">
        <f>15694-50</f>
        <v>15644</v>
      </c>
      <c r="K1309" s="198">
        <v>100</v>
      </c>
      <c r="L1309" s="198"/>
      <c r="M1309" s="198"/>
      <c r="N1309" s="721">
        <f t="shared" si="528"/>
        <v>15804</v>
      </c>
      <c r="O1309" s="721">
        <f t="shared" si="529"/>
        <v>490</v>
      </c>
      <c r="P1309" s="722" t="str">
        <f t="shared" si="530"/>
        <v>-</v>
      </c>
      <c r="Q1309" s="686">
        <f t="shared" si="531"/>
        <v>32.588000000000001</v>
      </c>
      <c r="R1309" s="686" t="str">
        <f t="shared" si="532"/>
        <v>-</v>
      </c>
      <c r="S1309" s="686" t="str">
        <f t="shared" si="533"/>
        <v>-</v>
      </c>
      <c r="T1309" s="686" t="str">
        <f t="shared" si="534"/>
        <v>-</v>
      </c>
      <c r="U1309" s="723" t="str">
        <f t="shared" si="535"/>
        <v>-</v>
      </c>
      <c r="V1309" s="695" t="str">
        <f t="shared" si="536"/>
        <v>-</v>
      </c>
      <c r="W1309" s="711"/>
    </row>
    <row r="1310" spans="1:23" ht="16.5" hidden="1" outlineLevel="1">
      <c r="A1310" s="726"/>
      <c r="B1310" s="726" t="s">
        <v>394</v>
      </c>
      <c r="C1310" s="727">
        <v>8</v>
      </c>
      <c r="D1310" s="690"/>
      <c r="E1310" s="754" t="s">
        <v>1558</v>
      </c>
      <c r="F1310" s="685">
        <v>1</v>
      </c>
      <c r="G1310" s="239">
        <v>1</v>
      </c>
      <c r="H1310" s="203">
        <f>((J1308)/200)+1</f>
        <v>79.22</v>
      </c>
      <c r="I1310" s="198">
        <v>180</v>
      </c>
      <c r="J1310" s="198">
        <v>150</v>
      </c>
      <c r="K1310" s="198">
        <v>180</v>
      </c>
      <c r="L1310" s="198">
        <v>150</v>
      </c>
      <c r="M1310" s="198"/>
      <c r="N1310" s="721">
        <f t="shared" si="528"/>
        <v>740</v>
      </c>
      <c r="O1310" s="721">
        <f t="shared" si="529"/>
        <v>0</v>
      </c>
      <c r="P1310" s="722">
        <f t="shared" si="530"/>
        <v>58.622999999999998</v>
      </c>
      <c r="Q1310" s="686" t="str">
        <f t="shared" si="531"/>
        <v>-</v>
      </c>
      <c r="R1310" s="686" t="str">
        <f t="shared" si="532"/>
        <v>-</v>
      </c>
      <c r="S1310" s="686" t="str">
        <f t="shared" si="533"/>
        <v>-</v>
      </c>
      <c r="T1310" s="686" t="str">
        <f t="shared" si="534"/>
        <v>-</v>
      </c>
      <c r="U1310" s="723" t="str">
        <f t="shared" si="535"/>
        <v>-</v>
      </c>
      <c r="V1310" s="695" t="str">
        <f t="shared" si="536"/>
        <v>-</v>
      </c>
      <c r="W1310" s="711"/>
    </row>
    <row r="1311" spans="1:23" ht="16.5" hidden="1" outlineLevel="1">
      <c r="A1311" s="195"/>
      <c r="B1311" s="172"/>
      <c r="C1311" s="196"/>
      <c r="D1311" s="685"/>
      <c r="E1311" s="196"/>
      <c r="F1311" s="685"/>
      <c r="G1311" s="204"/>
      <c r="H1311" s="203"/>
      <c r="I1311" s="198"/>
      <c r="J1311" s="198"/>
      <c r="K1311" s="198"/>
      <c r="L1311" s="198"/>
      <c r="M1311" s="198"/>
      <c r="N1311" s="198"/>
      <c r="O1311" s="198"/>
      <c r="P1311" s="199"/>
      <c r="Q1311" s="200"/>
      <c r="R1311" s="200"/>
      <c r="S1311" s="200"/>
      <c r="T1311" s="200"/>
      <c r="U1311" s="688"/>
      <c r="V1311" s="200"/>
      <c r="W1311" s="711"/>
    </row>
    <row r="1312" spans="1:23" ht="16.5" hidden="1" outlineLevel="1">
      <c r="A1312" s="726">
        <v>2</v>
      </c>
      <c r="B1312" s="730" t="s">
        <v>1574</v>
      </c>
      <c r="C1312" s="727">
        <v>10</v>
      </c>
      <c r="D1312" s="690"/>
      <c r="E1312" s="753" t="s">
        <v>1557</v>
      </c>
      <c r="F1312" s="685">
        <v>1</v>
      </c>
      <c r="G1312" s="239">
        <v>1</v>
      </c>
      <c r="H1312" s="203">
        <v>2</v>
      </c>
      <c r="I1312" s="198">
        <f>C1312*10</f>
        <v>100</v>
      </c>
      <c r="J1312" s="171">
        <f>225-50</f>
        <v>175</v>
      </c>
      <c r="K1312" s="198">
        <v>100</v>
      </c>
      <c r="L1312" s="198"/>
      <c r="M1312" s="198"/>
      <c r="N1312" s="721">
        <f t="shared" ref="N1312:N1314" si="537">IF(E1312="L Shape",(I1312+J1312)-(C1312*2*1),IF(E1312="U Shape",(I1312+J1312+K1312)-(C1312*2*2),IF(E1312="Rectangle",(I1312+J1312+K1312+L1312)+(C1312*10*2)-(C1312*2*5),IF(E1312="Straight",J1312-(C1312*0),IF(E1312="Chair",(I1312+J1312+K1312+L1312+M1312)-(C1312*2*4),IF(E1312="U2 Shape",(I1312+J1312+K1312+L1312+M1312)-(C1312*2*4),IF(E1312="U3 Shape",(I1312+J1312+K1312+L1312)-(C1312*2*3),IF(E1312="Z Shape",(I1312+J1312+K1312)-(C1312*2*2),IF(E1312="Triangle",(I1312+J1312+K1312)+(C1312*10*2)-(C1312*2*4),IF(E1312="Trapezoid2",(I1312+I1312+J1312+K1312+K1312+L1312)+(C1312*10*2)-(C1312*2*7),IF(E1312="Trapezoid",(I1312+J1312+K1312+L1312)+(C1312*10*2)-(C1312*2*5),IF(E1312="Link",J1312+(C1312*10*2),IF(E1312="U5 Shape",(I1312+J1312+K1312+L1312)-(C1312*2*3),IF(E1312="DU2 Shape",(I1312+J1312+K1312+L1312)-(C1312*2*4),IF(E1312="SU Shape",(I1312+J1312+K1312)-(C1312*2*2),"-")))))))))))))))</f>
        <v>335</v>
      </c>
      <c r="O1312" s="721">
        <f t="shared" ref="O1312:O1314" si="538">IF(N1312&lt;12001,C1312*49*0,IF(N1312&lt;24001,C1312*49*1,IF(N1312&lt;36001,C1312*49*2,IF(N1312&lt;48001,C1312*49*3,IF(N1312&lt;60001,C1312*49*4,IF(N1312&lt;72001,(C1312*49*5),IF(N1312&lt;84001,(C1312*49*6),IF(N1312&lt;96001,(C1312*49*7),IF(N1312&lt;108001,(C1312*49*8),IF(N1312&lt;120001,(C1312*49*9),IF(N1312&lt;132001,(C1312*49*10),IF(N1312&lt;144001,(C1312*49*11),""))))))))))))</f>
        <v>0</v>
      </c>
      <c r="P1312" s="722" t="str">
        <f t="shared" ref="P1312:P1314" si="539">IF(C1312=8,ROUND(((N1312+O1312)*F1312*G1312*H1312)/1000,3),"-")</f>
        <v>-</v>
      </c>
      <c r="Q1312" s="686">
        <f t="shared" ref="Q1312:Q1314" si="540">IF(C1312=10,ROUND(((N1312+O1312)*F1312*G1312*H1312)/1000,3),"-")</f>
        <v>0.67</v>
      </c>
      <c r="R1312" s="686" t="str">
        <f t="shared" ref="R1312:R1314" si="541">IF(C1312=12,ROUND(((N1312+O1312)*F1312*G1312*H1312)/1000,3),"-")</f>
        <v>-</v>
      </c>
      <c r="S1312" s="686" t="str">
        <f t="shared" ref="S1312:S1314" si="542">IF(C1312=16,ROUND(((N1312+O1312)*F1312*G1312*H1312)/1000,3),"-")</f>
        <v>-</v>
      </c>
      <c r="T1312" s="686" t="str">
        <f t="shared" ref="T1312:T1314" si="543">IF(C1312=20,ROUND(((N1312+O1312)*F1312*G1312*H1312)/1000,3),"-")</f>
        <v>-</v>
      </c>
      <c r="U1312" s="723" t="str">
        <f t="shared" ref="U1312:U1314" si="544">IF(C1312=25,ROUND(((N1312+O1312)*F1312*G1312*H1312)/1000,3),"-")</f>
        <v>-</v>
      </c>
      <c r="V1312" s="695" t="str">
        <f t="shared" ref="V1312:V1314" si="545">IF(C1312=32,ROUND(((N1312+O1312)*F1312*G1312*H1312)/1000,3),"-")</f>
        <v>-</v>
      </c>
      <c r="W1312" s="711"/>
    </row>
    <row r="1313" spans="1:23" ht="16.5" hidden="1" outlineLevel="1">
      <c r="A1313" s="726"/>
      <c r="B1313" s="726" t="s">
        <v>393</v>
      </c>
      <c r="C1313" s="727">
        <v>10</v>
      </c>
      <c r="D1313" s="690"/>
      <c r="E1313" s="753" t="s">
        <v>1557</v>
      </c>
      <c r="F1313" s="685">
        <v>1</v>
      </c>
      <c r="G1313" s="239">
        <v>1</v>
      </c>
      <c r="H1313" s="203">
        <v>2</v>
      </c>
      <c r="I1313" s="198">
        <f>C1313*10</f>
        <v>100</v>
      </c>
      <c r="J1313" s="171">
        <f>225-50</f>
        <v>175</v>
      </c>
      <c r="K1313" s="198">
        <v>100</v>
      </c>
      <c r="L1313" s="198"/>
      <c r="M1313" s="198"/>
      <c r="N1313" s="721">
        <f t="shared" si="537"/>
        <v>335</v>
      </c>
      <c r="O1313" s="721">
        <f t="shared" si="538"/>
        <v>0</v>
      </c>
      <c r="P1313" s="722" t="str">
        <f t="shared" si="539"/>
        <v>-</v>
      </c>
      <c r="Q1313" s="686">
        <f t="shared" si="540"/>
        <v>0.67</v>
      </c>
      <c r="R1313" s="686" t="str">
        <f t="shared" si="541"/>
        <v>-</v>
      </c>
      <c r="S1313" s="686" t="str">
        <f t="shared" si="542"/>
        <v>-</v>
      </c>
      <c r="T1313" s="686" t="str">
        <f t="shared" si="543"/>
        <v>-</v>
      </c>
      <c r="U1313" s="723" t="str">
        <f t="shared" si="544"/>
        <v>-</v>
      </c>
      <c r="V1313" s="695" t="str">
        <f t="shared" si="545"/>
        <v>-</v>
      </c>
      <c r="W1313" s="711"/>
    </row>
    <row r="1314" spans="1:23" ht="16.5" hidden="1" outlineLevel="1">
      <c r="A1314" s="726"/>
      <c r="B1314" s="726" t="s">
        <v>394</v>
      </c>
      <c r="C1314" s="727">
        <v>8</v>
      </c>
      <c r="D1314" s="690"/>
      <c r="E1314" s="754" t="s">
        <v>1558</v>
      </c>
      <c r="F1314" s="685">
        <v>1</v>
      </c>
      <c r="G1314" s="239">
        <v>1</v>
      </c>
      <c r="H1314" s="203">
        <f>((J1312)/200)+1</f>
        <v>1.875</v>
      </c>
      <c r="I1314" s="198">
        <v>180</v>
      </c>
      <c r="J1314" s="198">
        <v>150</v>
      </c>
      <c r="K1314" s="198">
        <v>180</v>
      </c>
      <c r="L1314" s="198">
        <v>150</v>
      </c>
      <c r="M1314" s="198"/>
      <c r="N1314" s="721">
        <f t="shared" si="537"/>
        <v>740</v>
      </c>
      <c r="O1314" s="721">
        <f t="shared" si="538"/>
        <v>0</v>
      </c>
      <c r="P1314" s="722">
        <f t="shared" si="539"/>
        <v>1.3879999999999999</v>
      </c>
      <c r="Q1314" s="686" t="str">
        <f t="shared" si="540"/>
        <v>-</v>
      </c>
      <c r="R1314" s="686" t="str">
        <f t="shared" si="541"/>
        <v>-</v>
      </c>
      <c r="S1314" s="686" t="str">
        <f t="shared" si="542"/>
        <v>-</v>
      </c>
      <c r="T1314" s="686" t="str">
        <f t="shared" si="543"/>
        <v>-</v>
      </c>
      <c r="U1314" s="723" t="str">
        <f t="shared" si="544"/>
        <v>-</v>
      </c>
      <c r="V1314" s="695" t="str">
        <f t="shared" si="545"/>
        <v>-</v>
      </c>
      <c r="W1314" s="711"/>
    </row>
    <row r="1315" spans="1:23" ht="33" hidden="1" outlineLevel="1">
      <c r="A1315" s="195"/>
      <c r="B1315" s="748" t="s">
        <v>1633</v>
      </c>
      <c r="C1315" s="196"/>
      <c r="D1315" s="685"/>
      <c r="E1315" s="196"/>
      <c r="F1315" s="685"/>
      <c r="G1315" s="204"/>
      <c r="H1315" s="203"/>
      <c r="I1315" s="198"/>
      <c r="J1315" s="198"/>
      <c r="K1315" s="198"/>
      <c r="L1315" s="198"/>
      <c r="M1315" s="198"/>
      <c r="N1315" s="198"/>
      <c r="O1315" s="198"/>
      <c r="P1315" s="199"/>
      <c r="Q1315" s="200"/>
      <c r="R1315" s="200"/>
      <c r="S1315" s="200"/>
      <c r="T1315" s="200"/>
      <c r="U1315" s="688"/>
      <c r="V1315" s="200"/>
      <c r="W1315" s="711"/>
    </row>
    <row r="1316" spans="1:23" ht="16.5" hidden="1" outlineLevel="1">
      <c r="A1316" s="726">
        <v>1</v>
      </c>
      <c r="B1316" s="730" t="s">
        <v>1574</v>
      </c>
      <c r="C1316" s="727">
        <v>10</v>
      </c>
      <c r="D1316" s="690"/>
      <c r="E1316" s="753" t="s">
        <v>1557</v>
      </c>
      <c r="F1316" s="685">
        <v>1</v>
      </c>
      <c r="G1316" s="239">
        <v>1</v>
      </c>
      <c r="H1316" s="203">
        <v>2</v>
      </c>
      <c r="I1316" s="198">
        <f>C1316*10</f>
        <v>100</v>
      </c>
      <c r="J1316" s="171">
        <f>1497-50</f>
        <v>1447</v>
      </c>
      <c r="K1316" s="198">
        <v>100</v>
      </c>
      <c r="L1316" s="198"/>
      <c r="M1316" s="198"/>
      <c r="N1316" s="721">
        <f t="shared" ref="N1316:N1318" si="546">IF(E1316="L Shape",(I1316+J1316)-(C1316*2*1),IF(E1316="U Shape",(I1316+J1316+K1316)-(C1316*2*2),IF(E1316="Rectangle",(I1316+J1316+K1316+L1316)+(C1316*10*2)-(C1316*2*5),IF(E1316="Straight",J1316-(C1316*0),IF(E1316="Chair",(I1316+J1316+K1316+L1316+M1316)-(C1316*2*4),IF(E1316="U2 Shape",(I1316+J1316+K1316+L1316+M1316)-(C1316*2*4),IF(E1316="U3 Shape",(I1316+J1316+K1316+L1316)-(C1316*2*3),IF(E1316="Z Shape",(I1316+J1316+K1316)-(C1316*2*2),IF(E1316="Triangle",(I1316+J1316+K1316)+(C1316*10*2)-(C1316*2*4),IF(E1316="Trapezoid2",(I1316+I1316+J1316+K1316+K1316+L1316)+(C1316*10*2)-(C1316*2*7),IF(E1316="Trapezoid",(I1316+J1316+K1316+L1316)+(C1316*10*2)-(C1316*2*5),IF(E1316="Link",J1316+(C1316*10*2),IF(E1316="U5 Shape",(I1316+J1316+K1316+L1316)-(C1316*2*3),IF(E1316="DU2 Shape",(I1316+J1316+K1316+L1316)-(C1316*2*4),IF(E1316="SU Shape",(I1316+J1316+K1316)-(C1316*2*2),"-")))))))))))))))</f>
        <v>1607</v>
      </c>
      <c r="O1316" s="721">
        <f t="shared" ref="O1316:O1318" si="547">IF(N1316&lt;12001,C1316*49*0,IF(N1316&lt;24001,C1316*49*1,IF(N1316&lt;36001,C1316*49*2,IF(N1316&lt;48001,C1316*49*3,IF(N1316&lt;60001,C1316*49*4,IF(N1316&lt;72001,(C1316*49*5),IF(N1316&lt;84001,(C1316*49*6),IF(N1316&lt;96001,(C1316*49*7),IF(N1316&lt;108001,(C1316*49*8),IF(N1316&lt;120001,(C1316*49*9),IF(N1316&lt;132001,(C1316*49*10),IF(N1316&lt;144001,(C1316*49*11),""))))))))))))</f>
        <v>0</v>
      </c>
      <c r="P1316" s="722" t="str">
        <f t="shared" ref="P1316:P1318" si="548">IF(C1316=8,ROUND(((N1316+O1316)*F1316*G1316*H1316)/1000,3),"-")</f>
        <v>-</v>
      </c>
      <c r="Q1316" s="686">
        <f t="shared" ref="Q1316:Q1318" si="549">IF(C1316=10,ROUND(((N1316+O1316)*F1316*G1316*H1316)/1000,3),"-")</f>
        <v>3.214</v>
      </c>
      <c r="R1316" s="686" t="str">
        <f t="shared" ref="R1316:R1318" si="550">IF(C1316=12,ROUND(((N1316+O1316)*F1316*G1316*H1316)/1000,3),"-")</f>
        <v>-</v>
      </c>
      <c r="S1316" s="686" t="str">
        <f t="shared" ref="S1316:S1318" si="551">IF(C1316=16,ROUND(((N1316+O1316)*F1316*G1316*H1316)/1000,3),"-")</f>
        <v>-</v>
      </c>
      <c r="T1316" s="686" t="str">
        <f t="shared" ref="T1316:T1318" si="552">IF(C1316=20,ROUND(((N1316+O1316)*F1316*G1316*H1316)/1000,3),"-")</f>
        <v>-</v>
      </c>
      <c r="U1316" s="723" t="str">
        <f t="shared" ref="U1316:U1318" si="553">IF(C1316=25,ROUND(((N1316+O1316)*F1316*G1316*H1316)/1000,3),"-")</f>
        <v>-</v>
      </c>
      <c r="V1316" s="695" t="str">
        <f t="shared" ref="V1316:V1318" si="554">IF(C1316=32,ROUND(((N1316+O1316)*F1316*G1316*H1316)/1000,3),"-")</f>
        <v>-</v>
      </c>
      <c r="W1316" s="711"/>
    </row>
    <row r="1317" spans="1:23" ht="16.5" hidden="1" outlineLevel="1">
      <c r="A1317" s="726"/>
      <c r="B1317" s="726" t="s">
        <v>393</v>
      </c>
      <c r="C1317" s="727">
        <v>10</v>
      </c>
      <c r="D1317" s="690"/>
      <c r="E1317" s="753" t="s">
        <v>1557</v>
      </c>
      <c r="F1317" s="685">
        <v>1</v>
      </c>
      <c r="G1317" s="239">
        <v>1</v>
      </c>
      <c r="H1317" s="203">
        <v>2</v>
      </c>
      <c r="I1317" s="198">
        <f>C1317*10</f>
        <v>100</v>
      </c>
      <c r="J1317" s="171">
        <f>1497-50</f>
        <v>1447</v>
      </c>
      <c r="K1317" s="198">
        <v>100</v>
      </c>
      <c r="L1317" s="198"/>
      <c r="M1317" s="198"/>
      <c r="N1317" s="721">
        <f t="shared" si="546"/>
        <v>1607</v>
      </c>
      <c r="O1317" s="721">
        <f t="shared" si="547"/>
        <v>0</v>
      </c>
      <c r="P1317" s="722" t="str">
        <f t="shared" si="548"/>
        <v>-</v>
      </c>
      <c r="Q1317" s="686">
        <f t="shared" si="549"/>
        <v>3.214</v>
      </c>
      <c r="R1317" s="686" t="str">
        <f t="shared" si="550"/>
        <v>-</v>
      </c>
      <c r="S1317" s="686" t="str">
        <f t="shared" si="551"/>
        <v>-</v>
      </c>
      <c r="T1317" s="686" t="str">
        <f t="shared" si="552"/>
        <v>-</v>
      </c>
      <c r="U1317" s="723" t="str">
        <f t="shared" si="553"/>
        <v>-</v>
      </c>
      <c r="V1317" s="695" t="str">
        <f t="shared" si="554"/>
        <v>-</v>
      </c>
      <c r="W1317" s="711"/>
    </row>
    <row r="1318" spans="1:23" ht="16.5" hidden="1" outlineLevel="1">
      <c r="A1318" s="726"/>
      <c r="B1318" s="726" t="s">
        <v>394</v>
      </c>
      <c r="C1318" s="727">
        <v>8</v>
      </c>
      <c r="D1318" s="690"/>
      <c r="E1318" s="754" t="s">
        <v>1558</v>
      </c>
      <c r="F1318" s="685">
        <v>1</v>
      </c>
      <c r="G1318" s="239">
        <v>1</v>
      </c>
      <c r="H1318" s="203">
        <f>((J1316)/200)+1</f>
        <v>8.2349999999999994</v>
      </c>
      <c r="I1318" s="198">
        <v>180</v>
      </c>
      <c r="J1318" s="198">
        <v>150</v>
      </c>
      <c r="K1318" s="198">
        <v>180</v>
      </c>
      <c r="L1318" s="198">
        <v>150</v>
      </c>
      <c r="M1318" s="198"/>
      <c r="N1318" s="721">
        <f t="shared" si="546"/>
        <v>740</v>
      </c>
      <c r="O1318" s="721">
        <f t="shared" si="547"/>
        <v>0</v>
      </c>
      <c r="P1318" s="722">
        <f t="shared" si="548"/>
        <v>6.0940000000000003</v>
      </c>
      <c r="Q1318" s="686" t="str">
        <f t="shared" si="549"/>
        <v>-</v>
      </c>
      <c r="R1318" s="686" t="str">
        <f t="shared" si="550"/>
        <v>-</v>
      </c>
      <c r="S1318" s="686" t="str">
        <f t="shared" si="551"/>
        <v>-</v>
      </c>
      <c r="T1318" s="686" t="str">
        <f t="shared" si="552"/>
        <v>-</v>
      </c>
      <c r="U1318" s="723" t="str">
        <f t="shared" si="553"/>
        <v>-</v>
      </c>
      <c r="V1318" s="695" t="str">
        <f t="shared" si="554"/>
        <v>-</v>
      </c>
      <c r="W1318" s="711"/>
    </row>
    <row r="1319" spans="1:23" ht="16.5" hidden="1" outlineLevel="1">
      <c r="A1319" s="195"/>
      <c r="B1319" s="172"/>
      <c r="C1319" s="196"/>
      <c r="D1319" s="685"/>
      <c r="E1319" s="196"/>
      <c r="F1319" s="685"/>
      <c r="G1319" s="204"/>
      <c r="H1319" s="203"/>
      <c r="I1319" s="198"/>
      <c r="J1319" s="198"/>
      <c r="K1319" s="198"/>
      <c r="L1319" s="198"/>
      <c r="M1319" s="198"/>
      <c r="N1319" s="198"/>
      <c r="O1319" s="198"/>
      <c r="P1319" s="199"/>
      <c r="Q1319" s="200"/>
      <c r="R1319" s="200"/>
      <c r="S1319" s="200"/>
      <c r="T1319" s="200"/>
      <c r="U1319" s="688"/>
      <c r="V1319" s="200"/>
      <c r="W1319" s="711"/>
    </row>
    <row r="1320" spans="1:23" ht="16.5" hidden="1" outlineLevel="1">
      <c r="A1320" s="726">
        <v>2</v>
      </c>
      <c r="B1320" s="730" t="s">
        <v>1574</v>
      </c>
      <c r="C1320" s="727">
        <v>10</v>
      </c>
      <c r="D1320" s="690"/>
      <c r="E1320" s="753" t="s">
        <v>1557</v>
      </c>
      <c r="F1320" s="685">
        <v>1</v>
      </c>
      <c r="G1320" s="239">
        <v>1</v>
      </c>
      <c r="H1320" s="203">
        <v>2</v>
      </c>
      <c r="I1320" s="198">
        <f>C1320*10</f>
        <v>100</v>
      </c>
      <c r="J1320" s="171">
        <f>1600-50</f>
        <v>1550</v>
      </c>
      <c r="K1320" s="198">
        <v>100</v>
      </c>
      <c r="L1320" s="198"/>
      <c r="M1320" s="198"/>
      <c r="N1320" s="721">
        <f t="shared" ref="N1320:N1322" si="555">IF(E1320="L Shape",(I1320+J1320)-(C1320*2*1),IF(E1320="U Shape",(I1320+J1320+K1320)-(C1320*2*2),IF(E1320="Rectangle",(I1320+J1320+K1320+L1320)+(C1320*10*2)-(C1320*2*5),IF(E1320="Straight",J1320-(C1320*0),IF(E1320="Chair",(I1320+J1320+K1320+L1320+M1320)-(C1320*2*4),IF(E1320="U2 Shape",(I1320+J1320+K1320+L1320+M1320)-(C1320*2*4),IF(E1320="U3 Shape",(I1320+J1320+K1320+L1320)-(C1320*2*3),IF(E1320="Z Shape",(I1320+J1320+K1320)-(C1320*2*2),IF(E1320="Triangle",(I1320+J1320+K1320)+(C1320*10*2)-(C1320*2*4),IF(E1320="Trapezoid2",(I1320+I1320+J1320+K1320+K1320+L1320)+(C1320*10*2)-(C1320*2*7),IF(E1320="Trapezoid",(I1320+J1320+K1320+L1320)+(C1320*10*2)-(C1320*2*5),IF(E1320="Link",J1320+(C1320*10*2),IF(E1320="U5 Shape",(I1320+J1320+K1320+L1320)-(C1320*2*3),IF(E1320="DU2 Shape",(I1320+J1320+K1320+L1320)-(C1320*2*4),IF(E1320="SU Shape",(I1320+J1320+K1320)-(C1320*2*2),"-")))))))))))))))</f>
        <v>1710</v>
      </c>
      <c r="O1320" s="721">
        <f t="shared" ref="O1320:O1322" si="556">IF(N1320&lt;12001,C1320*49*0,IF(N1320&lt;24001,C1320*49*1,IF(N1320&lt;36001,C1320*49*2,IF(N1320&lt;48001,C1320*49*3,IF(N1320&lt;60001,C1320*49*4,IF(N1320&lt;72001,(C1320*49*5),IF(N1320&lt;84001,(C1320*49*6),IF(N1320&lt;96001,(C1320*49*7),IF(N1320&lt;108001,(C1320*49*8),IF(N1320&lt;120001,(C1320*49*9),IF(N1320&lt;132001,(C1320*49*10),IF(N1320&lt;144001,(C1320*49*11),""))))))))))))</f>
        <v>0</v>
      </c>
      <c r="P1320" s="722" t="str">
        <f t="shared" ref="P1320:P1322" si="557">IF(C1320=8,ROUND(((N1320+O1320)*F1320*G1320*H1320)/1000,3),"-")</f>
        <v>-</v>
      </c>
      <c r="Q1320" s="686">
        <f t="shared" ref="Q1320:Q1322" si="558">IF(C1320=10,ROUND(((N1320+O1320)*F1320*G1320*H1320)/1000,3),"-")</f>
        <v>3.42</v>
      </c>
      <c r="R1320" s="686" t="str">
        <f t="shared" ref="R1320:R1322" si="559">IF(C1320=12,ROUND(((N1320+O1320)*F1320*G1320*H1320)/1000,3),"-")</f>
        <v>-</v>
      </c>
      <c r="S1320" s="686" t="str">
        <f t="shared" ref="S1320:S1322" si="560">IF(C1320=16,ROUND(((N1320+O1320)*F1320*G1320*H1320)/1000,3),"-")</f>
        <v>-</v>
      </c>
      <c r="T1320" s="686" t="str">
        <f t="shared" ref="T1320:T1322" si="561">IF(C1320=20,ROUND(((N1320+O1320)*F1320*G1320*H1320)/1000,3),"-")</f>
        <v>-</v>
      </c>
      <c r="U1320" s="723" t="str">
        <f t="shared" ref="U1320:U1322" si="562">IF(C1320=25,ROUND(((N1320+O1320)*F1320*G1320*H1320)/1000,3),"-")</f>
        <v>-</v>
      </c>
      <c r="V1320" s="695" t="str">
        <f t="shared" ref="V1320:V1322" si="563">IF(C1320=32,ROUND(((N1320+O1320)*F1320*G1320*H1320)/1000,3),"-")</f>
        <v>-</v>
      </c>
      <c r="W1320" s="711"/>
    </row>
    <row r="1321" spans="1:23" ht="16.5" hidden="1" outlineLevel="1">
      <c r="A1321" s="726"/>
      <c r="B1321" s="726" t="s">
        <v>393</v>
      </c>
      <c r="C1321" s="727">
        <v>10</v>
      </c>
      <c r="D1321" s="690"/>
      <c r="E1321" s="753" t="s">
        <v>1557</v>
      </c>
      <c r="F1321" s="685">
        <v>1</v>
      </c>
      <c r="G1321" s="239">
        <v>1</v>
      </c>
      <c r="H1321" s="203">
        <v>2</v>
      </c>
      <c r="I1321" s="198">
        <f>C1321*10</f>
        <v>100</v>
      </c>
      <c r="J1321" s="171">
        <f>1600-50</f>
        <v>1550</v>
      </c>
      <c r="K1321" s="198">
        <v>100</v>
      </c>
      <c r="L1321" s="198"/>
      <c r="M1321" s="198"/>
      <c r="N1321" s="721">
        <f t="shared" si="555"/>
        <v>1710</v>
      </c>
      <c r="O1321" s="721">
        <f t="shared" si="556"/>
        <v>0</v>
      </c>
      <c r="P1321" s="722" t="str">
        <f t="shared" si="557"/>
        <v>-</v>
      </c>
      <c r="Q1321" s="686">
        <f t="shared" si="558"/>
        <v>3.42</v>
      </c>
      <c r="R1321" s="686" t="str">
        <f t="shared" si="559"/>
        <v>-</v>
      </c>
      <c r="S1321" s="686" t="str">
        <f t="shared" si="560"/>
        <v>-</v>
      </c>
      <c r="T1321" s="686" t="str">
        <f t="shared" si="561"/>
        <v>-</v>
      </c>
      <c r="U1321" s="723" t="str">
        <f t="shared" si="562"/>
        <v>-</v>
      </c>
      <c r="V1321" s="695" t="str">
        <f t="shared" si="563"/>
        <v>-</v>
      </c>
      <c r="W1321" s="711"/>
    </row>
    <row r="1322" spans="1:23" ht="16.5" hidden="1" outlineLevel="1">
      <c r="A1322" s="726"/>
      <c r="B1322" s="726" t="s">
        <v>394</v>
      </c>
      <c r="C1322" s="727">
        <v>8</v>
      </c>
      <c r="D1322" s="690"/>
      <c r="E1322" s="754" t="s">
        <v>1558</v>
      </c>
      <c r="F1322" s="685">
        <v>1</v>
      </c>
      <c r="G1322" s="239">
        <v>1</v>
      </c>
      <c r="H1322" s="203">
        <f>((J1320)/200)+1</f>
        <v>8.75</v>
      </c>
      <c r="I1322" s="198">
        <v>180</v>
      </c>
      <c r="J1322" s="198">
        <v>150</v>
      </c>
      <c r="K1322" s="198">
        <v>180</v>
      </c>
      <c r="L1322" s="198">
        <v>150</v>
      </c>
      <c r="M1322" s="198"/>
      <c r="N1322" s="721">
        <f t="shared" si="555"/>
        <v>740</v>
      </c>
      <c r="O1322" s="721">
        <f t="shared" si="556"/>
        <v>0</v>
      </c>
      <c r="P1322" s="722">
        <f t="shared" si="557"/>
        <v>6.4749999999999996</v>
      </c>
      <c r="Q1322" s="686" t="str">
        <f t="shared" si="558"/>
        <v>-</v>
      </c>
      <c r="R1322" s="686" t="str">
        <f t="shared" si="559"/>
        <v>-</v>
      </c>
      <c r="S1322" s="686" t="str">
        <f t="shared" si="560"/>
        <v>-</v>
      </c>
      <c r="T1322" s="686" t="str">
        <f t="shared" si="561"/>
        <v>-</v>
      </c>
      <c r="U1322" s="723" t="str">
        <f t="shared" si="562"/>
        <v>-</v>
      </c>
      <c r="V1322" s="695" t="str">
        <f t="shared" si="563"/>
        <v>-</v>
      </c>
      <c r="W1322" s="711"/>
    </row>
    <row r="1323" spans="1:23" ht="16.5" hidden="1" outlineLevel="1">
      <c r="A1323" s="195"/>
      <c r="B1323" s="172"/>
      <c r="C1323" s="196"/>
      <c r="D1323" s="685"/>
      <c r="E1323" s="196"/>
      <c r="F1323" s="685"/>
      <c r="G1323" s="204"/>
      <c r="H1323" s="203"/>
      <c r="I1323" s="198"/>
      <c r="J1323" s="198"/>
      <c r="K1323" s="198"/>
      <c r="L1323" s="198"/>
      <c r="M1323" s="198"/>
      <c r="N1323" s="198"/>
      <c r="O1323" s="198"/>
      <c r="P1323" s="199"/>
      <c r="Q1323" s="200"/>
      <c r="R1323" s="200"/>
      <c r="S1323" s="200"/>
      <c r="T1323" s="200"/>
      <c r="U1323" s="688"/>
      <c r="V1323" s="200"/>
      <c r="W1323" s="711"/>
    </row>
    <row r="1324" spans="1:23" ht="16.5" hidden="1" outlineLevel="1">
      <c r="A1324" s="726">
        <v>3</v>
      </c>
      <c r="B1324" s="730" t="s">
        <v>1574</v>
      </c>
      <c r="C1324" s="727">
        <v>10</v>
      </c>
      <c r="D1324" s="690"/>
      <c r="E1324" s="753" t="s">
        <v>1557</v>
      </c>
      <c r="F1324" s="685">
        <v>1</v>
      </c>
      <c r="G1324" s="239">
        <v>1</v>
      </c>
      <c r="H1324" s="203">
        <v>2</v>
      </c>
      <c r="I1324" s="198">
        <f>C1324*10</f>
        <v>100</v>
      </c>
      <c r="J1324" s="171">
        <f>3430-50</f>
        <v>3380</v>
      </c>
      <c r="K1324" s="198">
        <v>100</v>
      </c>
      <c r="L1324" s="198"/>
      <c r="M1324" s="198"/>
      <c r="N1324" s="721">
        <f t="shared" ref="N1324:N1326" si="564">IF(E1324="L Shape",(I1324+J1324)-(C1324*2*1),IF(E1324="U Shape",(I1324+J1324+K1324)-(C1324*2*2),IF(E1324="Rectangle",(I1324+J1324+K1324+L1324)+(C1324*10*2)-(C1324*2*5),IF(E1324="Straight",J1324-(C1324*0),IF(E1324="Chair",(I1324+J1324+K1324+L1324+M1324)-(C1324*2*4),IF(E1324="U2 Shape",(I1324+J1324+K1324+L1324+M1324)-(C1324*2*4),IF(E1324="U3 Shape",(I1324+J1324+K1324+L1324)-(C1324*2*3),IF(E1324="Z Shape",(I1324+J1324+K1324)-(C1324*2*2),IF(E1324="Triangle",(I1324+J1324+K1324)+(C1324*10*2)-(C1324*2*4),IF(E1324="Trapezoid2",(I1324+I1324+J1324+K1324+K1324+L1324)+(C1324*10*2)-(C1324*2*7),IF(E1324="Trapezoid",(I1324+J1324+K1324+L1324)+(C1324*10*2)-(C1324*2*5),IF(E1324="Link",J1324+(C1324*10*2),IF(E1324="U5 Shape",(I1324+J1324+K1324+L1324)-(C1324*2*3),IF(E1324="DU2 Shape",(I1324+J1324+K1324+L1324)-(C1324*2*4),IF(E1324="SU Shape",(I1324+J1324+K1324)-(C1324*2*2),"-")))))))))))))))</f>
        <v>3540</v>
      </c>
      <c r="O1324" s="721">
        <f t="shared" ref="O1324:O1326" si="565">IF(N1324&lt;12001,C1324*49*0,IF(N1324&lt;24001,C1324*49*1,IF(N1324&lt;36001,C1324*49*2,IF(N1324&lt;48001,C1324*49*3,IF(N1324&lt;60001,C1324*49*4,IF(N1324&lt;72001,(C1324*49*5),IF(N1324&lt;84001,(C1324*49*6),IF(N1324&lt;96001,(C1324*49*7),IF(N1324&lt;108001,(C1324*49*8),IF(N1324&lt;120001,(C1324*49*9),IF(N1324&lt;132001,(C1324*49*10),IF(N1324&lt;144001,(C1324*49*11),""))))))))))))</f>
        <v>0</v>
      </c>
      <c r="P1324" s="722" t="str">
        <f t="shared" ref="P1324:P1326" si="566">IF(C1324=8,ROUND(((N1324+O1324)*F1324*G1324*H1324)/1000,3),"-")</f>
        <v>-</v>
      </c>
      <c r="Q1324" s="686">
        <f t="shared" ref="Q1324:Q1326" si="567">IF(C1324=10,ROUND(((N1324+O1324)*F1324*G1324*H1324)/1000,3),"-")</f>
        <v>7.08</v>
      </c>
      <c r="R1324" s="686" t="str">
        <f t="shared" ref="R1324:R1326" si="568">IF(C1324=12,ROUND(((N1324+O1324)*F1324*G1324*H1324)/1000,3),"-")</f>
        <v>-</v>
      </c>
      <c r="S1324" s="686" t="str">
        <f t="shared" ref="S1324:S1326" si="569">IF(C1324=16,ROUND(((N1324+O1324)*F1324*G1324*H1324)/1000,3),"-")</f>
        <v>-</v>
      </c>
      <c r="T1324" s="686" t="str">
        <f t="shared" ref="T1324:T1326" si="570">IF(C1324=20,ROUND(((N1324+O1324)*F1324*G1324*H1324)/1000,3),"-")</f>
        <v>-</v>
      </c>
      <c r="U1324" s="723" t="str">
        <f t="shared" ref="U1324:U1326" si="571">IF(C1324=25,ROUND(((N1324+O1324)*F1324*G1324*H1324)/1000,3),"-")</f>
        <v>-</v>
      </c>
      <c r="V1324" s="695" t="str">
        <f t="shared" ref="V1324:V1326" si="572">IF(C1324=32,ROUND(((N1324+O1324)*F1324*G1324*H1324)/1000,3),"-")</f>
        <v>-</v>
      </c>
      <c r="W1324" s="711"/>
    </row>
    <row r="1325" spans="1:23" ht="16.5" hidden="1" outlineLevel="1">
      <c r="A1325" s="726"/>
      <c r="B1325" s="726" t="s">
        <v>393</v>
      </c>
      <c r="C1325" s="727">
        <v>10</v>
      </c>
      <c r="D1325" s="690"/>
      <c r="E1325" s="753" t="s">
        <v>1557</v>
      </c>
      <c r="F1325" s="685">
        <v>1</v>
      </c>
      <c r="G1325" s="239">
        <v>1</v>
      </c>
      <c r="H1325" s="203">
        <v>2</v>
      </c>
      <c r="I1325" s="198">
        <f>C1325*10</f>
        <v>100</v>
      </c>
      <c r="J1325" s="171">
        <f>3430-50</f>
        <v>3380</v>
      </c>
      <c r="K1325" s="198">
        <v>100</v>
      </c>
      <c r="L1325" s="198"/>
      <c r="M1325" s="198"/>
      <c r="N1325" s="721">
        <f t="shared" si="564"/>
        <v>3540</v>
      </c>
      <c r="O1325" s="721">
        <f t="shared" si="565"/>
        <v>0</v>
      </c>
      <c r="P1325" s="722" t="str">
        <f t="shared" si="566"/>
        <v>-</v>
      </c>
      <c r="Q1325" s="686">
        <f t="shared" si="567"/>
        <v>7.08</v>
      </c>
      <c r="R1325" s="686" t="str">
        <f t="shared" si="568"/>
        <v>-</v>
      </c>
      <c r="S1325" s="686" t="str">
        <f t="shared" si="569"/>
        <v>-</v>
      </c>
      <c r="T1325" s="686" t="str">
        <f t="shared" si="570"/>
        <v>-</v>
      </c>
      <c r="U1325" s="723" t="str">
        <f t="shared" si="571"/>
        <v>-</v>
      </c>
      <c r="V1325" s="695" t="str">
        <f t="shared" si="572"/>
        <v>-</v>
      </c>
      <c r="W1325" s="711"/>
    </row>
    <row r="1326" spans="1:23" ht="16.5" hidden="1" outlineLevel="1">
      <c r="A1326" s="726"/>
      <c r="B1326" s="726" t="s">
        <v>394</v>
      </c>
      <c r="C1326" s="727">
        <v>8</v>
      </c>
      <c r="D1326" s="690"/>
      <c r="E1326" s="754" t="s">
        <v>1558</v>
      </c>
      <c r="F1326" s="685">
        <v>1</v>
      </c>
      <c r="G1326" s="239">
        <v>1</v>
      </c>
      <c r="H1326" s="203">
        <f>((J1324)/200)+1</f>
        <v>17.899999999999999</v>
      </c>
      <c r="I1326" s="198">
        <v>180</v>
      </c>
      <c r="J1326" s="198">
        <v>150</v>
      </c>
      <c r="K1326" s="198">
        <v>180</v>
      </c>
      <c r="L1326" s="198">
        <v>150</v>
      </c>
      <c r="M1326" s="198"/>
      <c r="N1326" s="721">
        <f t="shared" si="564"/>
        <v>740</v>
      </c>
      <c r="O1326" s="721">
        <f t="shared" si="565"/>
        <v>0</v>
      </c>
      <c r="P1326" s="722">
        <f t="shared" si="566"/>
        <v>13.246</v>
      </c>
      <c r="Q1326" s="686" t="str">
        <f t="shared" si="567"/>
        <v>-</v>
      </c>
      <c r="R1326" s="686" t="str">
        <f t="shared" si="568"/>
        <v>-</v>
      </c>
      <c r="S1326" s="686" t="str">
        <f t="shared" si="569"/>
        <v>-</v>
      </c>
      <c r="T1326" s="686" t="str">
        <f t="shared" si="570"/>
        <v>-</v>
      </c>
      <c r="U1326" s="723" t="str">
        <f t="shared" si="571"/>
        <v>-</v>
      </c>
      <c r="V1326" s="695" t="str">
        <f t="shared" si="572"/>
        <v>-</v>
      </c>
      <c r="W1326" s="711"/>
    </row>
    <row r="1327" spans="1:23" ht="16.5" hidden="1" outlineLevel="1">
      <c r="A1327" s="195"/>
      <c r="B1327" s="172"/>
      <c r="C1327" s="196"/>
      <c r="D1327" s="685"/>
      <c r="E1327" s="196"/>
      <c r="F1327" s="685"/>
      <c r="G1327" s="204"/>
      <c r="H1327" s="203"/>
      <c r="I1327" s="198"/>
      <c r="J1327" s="198"/>
      <c r="K1327" s="198"/>
      <c r="L1327" s="198"/>
      <c r="M1327" s="198"/>
      <c r="N1327" s="198"/>
      <c r="O1327" s="198"/>
      <c r="P1327" s="199"/>
      <c r="Q1327" s="200"/>
      <c r="R1327" s="200"/>
      <c r="S1327" s="200"/>
      <c r="T1327" s="200"/>
      <c r="U1327" s="688"/>
      <c r="V1327" s="200"/>
      <c r="W1327" s="711"/>
    </row>
    <row r="1328" spans="1:23" ht="16.5" hidden="1" outlineLevel="1">
      <c r="A1328" s="726">
        <v>4</v>
      </c>
      <c r="B1328" s="730" t="s">
        <v>1574</v>
      </c>
      <c r="C1328" s="727">
        <v>10</v>
      </c>
      <c r="D1328" s="690"/>
      <c r="E1328" s="753" t="s">
        <v>1557</v>
      </c>
      <c r="F1328" s="685">
        <v>1</v>
      </c>
      <c r="G1328" s="239">
        <v>1</v>
      </c>
      <c r="H1328" s="203">
        <v>2</v>
      </c>
      <c r="I1328" s="198">
        <f>C1328*10</f>
        <v>100</v>
      </c>
      <c r="J1328" s="171">
        <f>1497-50</f>
        <v>1447</v>
      </c>
      <c r="K1328" s="198">
        <v>100</v>
      </c>
      <c r="L1328" s="198"/>
      <c r="M1328" s="198"/>
      <c r="N1328" s="721">
        <f t="shared" ref="N1328:N1330" si="573">IF(E1328="L Shape",(I1328+J1328)-(C1328*2*1),IF(E1328="U Shape",(I1328+J1328+K1328)-(C1328*2*2),IF(E1328="Rectangle",(I1328+J1328+K1328+L1328)+(C1328*10*2)-(C1328*2*5),IF(E1328="Straight",J1328-(C1328*0),IF(E1328="Chair",(I1328+J1328+K1328+L1328+M1328)-(C1328*2*4),IF(E1328="U2 Shape",(I1328+J1328+K1328+L1328+M1328)-(C1328*2*4),IF(E1328="U3 Shape",(I1328+J1328+K1328+L1328)-(C1328*2*3),IF(E1328="Z Shape",(I1328+J1328+K1328)-(C1328*2*2),IF(E1328="Triangle",(I1328+J1328+K1328)+(C1328*10*2)-(C1328*2*4),IF(E1328="Trapezoid2",(I1328+I1328+J1328+K1328+K1328+L1328)+(C1328*10*2)-(C1328*2*7),IF(E1328="Trapezoid",(I1328+J1328+K1328+L1328)+(C1328*10*2)-(C1328*2*5),IF(E1328="Link",J1328+(C1328*10*2),IF(E1328="U5 Shape",(I1328+J1328+K1328+L1328)-(C1328*2*3),IF(E1328="DU2 Shape",(I1328+J1328+K1328+L1328)-(C1328*2*4),IF(E1328="SU Shape",(I1328+J1328+K1328)-(C1328*2*2),"-")))))))))))))))</f>
        <v>1607</v>
      </c>
      <c r="O1328" s="721">
        <f t="shared" ref="O1328:O1330" si="574">IF(N1328&lt;12001,C1328*49*0,IF(N1328&lt;24001,C1328*49*1,IF(N1328&lt;36001,C1328*49*2,IF(N1328&lt;48001,C1328*49*3,IF(N1328&lt;60001,C1328*49*4,IF(N1328&lt;72001,(C1328*49*5),IF(N1328&lt;84001,(C1328*49*6),IF(N1328&lt;96001,(C1328*49*7),IF(N1328&lt;108001,(C1328*49*8),IF(N1328&lt;120001,(C1328*49*9),IF(N1328&lt;132001,(C1328*49*10),IF(N1328&lt;144001,(C1328*49*11),""))))))))))))</f>
        <v>0</v>
      </c>
      <c r="P1328" s="722" t="str">
        <f t="shared" ref="P1328:P1330" si="575">IF(C1328=8,ROUND(((N1328+O1328)*F1328*G1328*H1328)/1000,3),"-")</f>
        <v>-</v>
      </c>
      <c r="Q1328" s="686">
        <f t="shared" ref="Q1328:Q1330" si="576">IF(C1328=10,ROUND(((N1328+O1328)*F1328*G1328*H1328)/1000,3),"-")</f>
        <v>3.214</v>
      </c>
      <c r="R1328" s="686" t="str">
        <f t="shared" ref="R1328:R1330" si="577">IF(C1328=12,ROUND(((N1328+O1328)*F1328*G1328*H1328)/1000,3),"-")</f>
        <v>-</v>
      </c>
      <c r="S1328" s="686" t="str">
        <f t="shared" ref="S1328:S1330" si="578">IF(C1328=16,ROUND(((N1328+O1328)*F1328*G1328*H1328)/1000,3),"-")</f>
        <v>-</v>
      </c>
      <c r="T1328" s="686" t="str">
        <f t="shared" ref="T1328:T1330" si="579">IF(C1328=20,ROUND(((N1328+O1328)*F1328*G1328*H1328)/1000,3),"-")</f>
        <v>-</v>
      </c>
      <c r="U1328" s="723" t="str">
        <f t="shared" ref="U1328:U1330" si="580">IF(C1328=25,ROUND(((N1328+O1328)*F1328*G1328*H1328)/1000,3),"-")</f>
        <v>-</v>
      </c>
      <c r="V1328" s="695" t="str">
        <f t="shared" ref="V1328:V1330" si="581">IF(C1328=32,ROUND(((N1328+O1328)*F1328*G1328*H1328)/1000,3),"-")</f>
        <v>-</v>
      </c>
      <c r="W1328" s="711"/>
    </row>
    <row r="1329" spans="1:23" ht="16.5" hidden="1" outlineLevel="1">
      <c r="A1329" s="726"/>
      <c r="B1329" s="726" t="s">
        <v>393</v>
      </c>
      <c r="C1329" s="727">
        <v>10</v>
      </c>
      <c r="D1329" s="690"/>
      <c r="E1329" s="753" t="s">
        <v>1557</v>
      </c>
      <c r="F1329" s="685">
        <v>1</v>
      </c>
      <c r="G1329" s="239">
        <v>1</v>
      </c>
      <c r="H1329" s="203">
        <v>2</v>
      </c>
      <c r="I1329" s="198">
        <f>C1329*10</f>
        <v>100</v>
      </c>
      <c r="J1329" s="171">
        <f>1497-50</f>
        <v>1447</v>
      </c>
      <c r="K1329" s="198">
        <v>100</v>
      </c>
      <c r="L1329" s="198"/>
      <c r="M1329" s="198"/>
      <c r="N1329" s="721">
        <f t="shared" si="573"/>
        <v>1607</v>
      </c>
      <c r="O1329" s="721">
        <f t="shared" si="574"/>
        <v>0</v>
      </c>
      <c r="P1329" s="722" t="str">
        <f t="shared" si="575"/>
        <v>-</v>
      </c>
      <c r="Q1329" s="686">
        <f t="shared" si="576"/>
        <v>3.214</v>
      </c>
      <c r="R1329" s="686" t="str">
        <f t="shared" si="577"/>
        <v>-</v>
      </c>
      <c r="S1329" s="686" t="str">
        <f t="shared" si="578"/>
        <v>-</v>
      </c>
      <c r="T1329" s="686" t="str">
        <f t="shared" si="579"/>
        <v>-</v>
      </c>
      <c r="U1329" s="723" t="str">
        <f t="shared" si="580"/>
        <v>-</v>
      </c>
      <c r="V1329" s="695" t="str">
        <f t="shared" si="581"/>
        <v>-</v>
      </c>
      <c r="W1329" s="711"/>
    </row>
    <row r="1330" spans="1:23" ht="16.5" hidden="1" outlineLevel="1">
      <c r="A1330" s="726"/>
      <c r="B1330" s="726" t="s">
        <v>394</v>
      </c>
      <c r="C1330" s="727">
        <v>8</v>
      </c>
      <c r="D1330" s="690"/>
      <c r="E1330" s="754" t="s">
        <v>1558</v>
      </c>
      <c r="F1330" s="685">
        <v>1</v>
      </c>
      <c r="G1330" s="239">
        <v>1</v>
      </c>
      <c r="H1330" s="203">
        <f>((J1328)/200)+1</f>
        <v>8.2349999999999994</v>
      </c>
      <c r="I1330" s="198">
        <v>180</v>
      </c>
      <c r="J1330" s="198">
        <v>150</v>
      </c>
      <c r="K1330" s="198">
        <v>180</v>
      </c>
      <c r="L1330" s="198">
        <v>150</v>
      </c>
      <c r="M1330" s="198"/>
      <c r="N1330" s="721">
        <f t="shared" si="573"/>
        <v>740</v>
      </c>
      <c r="O1330" s="721">
        <f t="shared" si="574"/>
        <v>0</v>
      </c>
      <c r="P1330" s="722">
        <f t="shared" si="575"/>
        <v>6.0940000000000003</v>
      </c>
      <c r="Q1330" s="686" t="str">
        <f t="shared" si="576"/>
        <v>-</v>
      </c>
      <c r="R1330" s="686" t="str">
        <f t="shared" si="577"/>
        <v>-</v>
      </c>
      <c r="S1330" s="686" t="str">
        <f t="shared" si="578"/>
        <v>-</v>
      </c>
      <c r="T1330" s="686" t="str">
        <f t="shared" si="579"/>
        <v>-</v>
      </c>
      <c r="U1330" s="723" t="str">
        <f t="shared" si="580"/>
        <v>-</v>
      </c>
      <c r="V1330" s="695" t="str">
        <f t="shared" si="581"/>
        <v>-</v>
      </c>
      <c r="W1330" s="711"/>
    </row>
    <row r="1331" spans="1:23" ht="16.5" hidden="1" outlineLevel="1">
      <c r="A1331" s="195"/>
      <c r="B1331" s="172"/>
      <c r="C1331" s="196"/>
      <c r="D1331" s="685"/>
      <c r="E1331" s="196"/>
      <c r="F1331" s="685"/>
      <c r="G1331" s="204"/>
      <c r="H1331" s="203"/>
      <c r="I1331" s="198"/>
      <c r="J1331" s="198"/>
      <c r="K1331" s="198"/>
      <c r="L1331" s="198"/>
      <c r="M1331" s="198"/>
      <c r="N1331" s="198"/>
      <c r="O1331" s="198"/>
      <c r="P1331" s="199"/>
      <c r="Q1331" s="200"/>
      <c r="R1331" s="200"/>
      <c r="S1331" s="200"/>
      <c r="T1331" s="200"/>
      <c r="U1331" s="688"/>
      <c r="V1331" s="200"/>
      <c r="W1331" s="711"/>
    </row>
    <row r="1332" spans="1:23" ht="16.5" hidden="1" outlineLevel="1">
      <c r="A1332" s="726">
        <v>5</v>
      </c>
      <c r="B1332" s="730" t="s">
        <v>1574</v>
      </c>
      <c r="C1332" s="727">
        <v>10</v>
      </c>
      <c r="D1332" s="690"/>
      <c r="E1332" s="753" t="s">
        <v>1557</v>
      </c>
      <c r="F1332" s="685">
        <v>1</v>
      </c>
      <c r="G1332" s="239">
        <v>1</v>
      </c>
      <c r="H1332" s="203">
        <v>2</v>
      </c>
      <c r="I1332" s="198">
        <f>C1332*10</f>
        <v>100</v>
      </c>
      <c r="J1332" s="171">
        <f>3735-50</f>
        <v>3685</v>
      </c>
      <c r="K1332" s="198">
        <v>100</v>
      </c>
      <c r="L1332" s="198"/>
      <c r="M1332" s="198"/>
      <c r="N1332" s="721">
        <f t="shared" ref="N1332:N1334" si="582">IF(E1332="L Shape",(I1332+J1332)-(C1332*2*1),IF(E1332="U Shape",(I1332+J1332+K1332)-(C1332*2*2),IF(E1332="Rectangle",(I1332+J1332+K1332+L1332)+(C1332*10*2)-(C1332*2*5),IF(E1332="Straight",J1332-(C1332*0),IF(E1332="Chair",(I1332+J1332+K1332+L1332+M1332)-(C1332*2*4),IF(E1332="U2 Shape",(I1332+J1332+K1332+L1332+M1332)-(C1332*2*4),IF(E1332="U3 Shape",(I1332+J1332+K1332+L1332)-(C1332*2*3),IF(E1332="Z Shape",(I1332+J1332+K1332)-(C1332*2*2),IF(E1332="Triangle",(I1332+J1332+K1332)+(C1332*10*2)-(C1332*2*4),IF(E1332="Trapezoid2",(I1332+I1332+J1332+K1332+K1332+L1332)+(C1332*10*2)-(C1332*2*7),IF(E1332="Trapezoid",(I1332+J1332+K1332+L1332)+(C1332*10*2)-(C1332*2*5),IF(E1332="Link",J1332+(C1332*10*2),IF(E1332="U5 Shape",(I1332+J1332+K1332+L1332)-(C1332*2*3),IF(E1332="DU2 Shape",(I1332+J1332+K1332+L1332)-(C1332*2*4),IF(E1332="SU Shape",(I1332+J1332+K1332)-(C1332*2*2),"-")))))))))))))))</f>
        <v>3845</v>
      </c>
      <c r="O1332" s="721">
        <f t="shared" ref="O1332:O1334" si="583">IF(N1332&lt;12001,C1332*49*0,IF(N1332&lt;24001,C1332*49*1,IF(N1332&lt;36001,C1332*49*2,IF(N1332&lt;48001,C1332*49*3,IF(N1332&lt;60001,C1332*49*4,IF(N1332&lt;72001,(C1332*49*5),IF(N1332&lt;84001,(C1332*49*6),IF(N1332&lt;96001,(C1332*49*7),IF(N1332&lt;108001,(C1332*49*8),IF(N1332&lt;120001,(C1332*49*9),IF(N1332&lt;132001,(C1332*49*10),IF(N1332&lt;144001,(C1332*49*11),""))))))))))))</f>
        <v>0</v>
      </c>
      <c r="P1332" s="722" t="str">
        <f t="shared" ref="P1332:P1334" si="584">IF(C1332=8,ROUND(((N1332+O1332)*F1332*G1332*H1332)/1000,3),"-")</f>
        <v>-</v>
      </c>
      <c r="Q1332" s="686">
        <f t="shared" ref="Q1332:Q1334" si="585">IF(C1332=10,ROUND(((N1332+O1332)*F1332*G1332*H1332)/1000,3),"-")</f>
        <v>7.69</v>
      </c>
      <c r="R1332" s="686" t="str">
        <f t="shared" ref="R1332:R1334" si="586">IF(C1332=12,ROUND(((N1332+O1332)*F1332*G1332*H1332)/1000,3),"-")</f>
        <v>-</v>
      </c>
      <c r="S1332" s="686" t="str">
        <f t="shared" ref="S1332:S1334" si="587">IF(C1332=16,ROUND(((N1332+O1332)*F1332*G1332*H1332)/1000,3),"-")</f>
        <v>-</v>
      </c>
      <c r="T1332" s="686" t="str">
        <f t="shared" ref="T1332:T1334" si="588">IF(C1332=20,ROUND(((N1332+O1332)*F1332*G1332*H1332)/1000,3),"-")</f>
        <v>-</v>
      </c>
      <c r="U1332" s="723" t="str">
        <f t="shared" ref="U1332:U1334" si="589">IF(C1332=25,ROUND(((N1332+O1332)*F1332*G1332*H1332)/1000,3),"-")</f>
        <v>-</v>
      </c>
      <c r="V1332" s="695" t="str">
        <f t="shared" ref="V1332:V1334" si="590">IF(C1332=32,ROUND(((N1332+O1332)*F1332*G1332*H1332)/1000,3),"-")</f>
        <v>-</v>
      </c>
      <c r="W1332" s="711"/>
    </row>
    <row r="1333" spans="1:23" ht="16.5" hidden="1" outlineLevel="1">
      <c r="A1333" s="726"/>
      <c r="B1333" s="726" t="s">
        <v>393</v>
      </c>
      <c r="C1333" s="727">
        <v>10</v>
      </c>
      <c r="D1333" s="690"/>
      <c r="E1333" s="753" t="s">
        <v>1557</v>
      </c>
      <c r="F1333" s="685">
        <v>1</v>
      </c>
      <c r="G1333" s="239">
        <v>1</v>
      </c>
      <c r="H1333" s="203">
        <v>2</v>
      </c>
      <c r="I1333" s="198">
        <f>C1333*10</f>
        <v>100</v>
      </c>
      <c r="J1333" s="171">
        <f>3735-50</f>
        <v>3685</v>
      </c>
      <c r="K1333" s="198">
        <v>100</v>
      </c>
      <c r="L1333" s="198"/>
      <c r="M1333" s="198"/>
      <c r="N1333" s="721">
        <f t="shared" si="582"/>
        <v>3845</v>
      </c>
      <c r="O1333" s="721">
        <f t="shared" si="583"/>
        <v>0</v>
      </c>
      <c r="P1333" s="722" t="str">
        <f t="shared" si="584"/>
        <v>-</v>
      </c>
      <c r="Q1333" s="686">
        <f t="shared" si="585"/>
        <v>7.69</v>
      </c>
      <c r="R1333" s="686" t="str">
        <f t="shared" si="586"/>
        <v>-</v>
      </c>
      <c r="S1333" s="686" t="str">
        <f t="shared" si="587"/>
        <v>-</v>
      </c>
      <c r="T1333" s="686" t="str">
        <f t="shared" si="588"/>
        <v>-</v>
      </c>
      <c r="U1333" s="723" t="str">
        <f t="shared" si="589"/>
        <v>-</v>
      </c>
      <c r="V1333" s="695" t="str">
        <f t="shared" si="590"/>
        <v>-</v>
      </c>
      <c r="W1333" s="711"/>
    </row>
    <row r="1334" spans="1:23" ht="16.5" hidden="1" outlineLevel="1">
      <c r="A1334" s="726"/>
      <c r="B1334" s="726" t="s">
        <v>394</v>
      </c>
      <c r="C1334" s="727">
        <v>8</v>
      </c>
      <c r="D1334" s="690"/>
      <c r="E1334" s="754" t="s">
        <v>1558</v>
      </c>
      <c r="F1334" s="685">
        <v>1</v>
      </c>
      <c r="G1334" s="239">
        <v>1</v>
      </c>
      <c r="H1334" s="203">
        <f>((J1332)/200)+1</f>
        <v>19.425000000000001</v>
      </c>
      <c r="I1334" s="198">
        <v>180</v>
      </c>
      <c r="J1334" s="198">
        <v>150</v>
      </c>
      <c r="K1334" s="198">
        <v>180</v>
      </c>
      <c r="L1334" s="198">
        <v>150</v>
      </c>
      <c r="M1334" s="198"/>
      <c r="N1334" s="721">
        <f t="shared" si="582"/>
        <v>740</v>
      </c>
      <c r="O1334" s="721">
        <f t="shared" si="583"/>
        <v>0</v>
      </c>
      <c r="P1334" s="722">
        <f t="shared" si="584"/>
        <v>14.375</v>
      </c>
      <c r="Q1334" s="686" t="str">
        <f t="shared" si="585"/>
        <v>-</v>
      </c>
      <c r="R1334" s="686" t="str">
        <f t="shared" si="586"/>
        <v>-</v>
      </c>
      <c r="S1334" s="686" t="str">
        <f t="shared" si="587"/>
        <v>-</v>
      </c>
      <c r="T1334" s="686" t="str">
        <f t="shared" si="588"/>
        <v>-</v>
      </c>
      <c r="U1334" s="723" t="str">
        <f t="shared" si="589"/>
        <v>-</v>
      </c>
      <c r="V1334" s="695" t="str">
        <f t="shared" si="590"/>
        <v>-</v>
      </c>
      <c r="W1334" s="711"/>
    </row>
    <row r="1335" spans="1:23" ht="16.5" hidden="1" outlineLevel="1">
      <c r="A1335" s="195"/>
      <c r="B1335" s="172"/>
      <c r="C1335" s="196"/>
      <c r="D1335" s="685"/>
      <c r="E1335" s="196"/>
      <c r="F1335" s="685"/>
      <c r="G1335" s="204"/>
      <c r="H1335" s="203"/>
      <c r="I1335" s="198"/>
      <c r="J1335" s="198"/>
      <c r="K1335" s="198"/>
      <c r="L1335" s="198"/>
      <c r="M1335" s="198"/>
      <c r="N1335" s="198"/>
      <c r="O1335" s="198"/>
      <c r="P1335" s="199"/>
      <c r="Q1335" s="200"/>
      <c r="R1335" s="200"/>
      <c r="S1335" s="200"/>
      <c r="T1335" s="200"/>
      <c r="U1335" s="688"/>
      <c r="V1335" s="200"/>
      <c r="W1335" s="711"/>
    </row>
    <row r="1336" spans="1:23" ht="16.5" hidden="1" outlineLevel="1">
      <c r="A1336" s="726">
        <v>6</v>
      </c>
      <c r="B1336" s="730" t="s">
        <v>1574</v>
      </c>
      <c r="C1336" s="727">
        <v>10</v>
      </c>
      <c r="D1336" s="690"/>
      <c r="E1336" s="753" t="s">
        <v>1557</v>
      </c>
      <c r="F1336" s="685">
        <v>1</v>
      </c>
      <c r="G1336" s="239">
        <v>1</v>
      </c>
      <c r="H1336" s="203">
        <v>2</v>
      </c>
      <c r="I1336" s="198">
        <f>C1336*10</f>
        <v>100</v>
      </c>
      <c r="J1336" s="171">
        <f>4345-50</f>
        <v>4295</v>
      </c>
      <c r="K1336" s="198">
        <v>100</v>
      </c>
      <c r="L1336" s="198"/>
      <c r="M1336" s="198"/>
      <c r="N1336" s="721">
        <f t="shared" ref="N1336:N1338" si="591">IF(E1336="L Shape",(I1336+J1336)-(C1336*2*1),IF(E1336="U Shape",(I1336+J1336+K1336)-(C1336*2*2),IF(E1336="Rectangle",(I1336+J1336+K1336+L1336)+(C1336*10*2)-(C1336*2*5),IF(E1336="Straight",J1336-(C1336*0),IF(E1336="Chair",(I1336+J1336+K1336+L1336+M1336)-(C1336*2*4),IF(E1336="U2 Shape",(I1336+J1336+K1336+L1336+M1336)-(C1336*2*4),IF(E1336="U3 Shape",(I1336+J1336+K1336+L1336)-(C1336*2*3),IF(E1336="Z Shape",(I1336+J1336+K1336)-(C1336*2*2),IF(E1336="Triangle",(I1336+J1336+K1336)+(C1336*10*2)-(C1336*2*4),IF(E1336="Trapezoid2",(I1336+I1336+J1336+K1336+K1336+L1336)+(C1336*10*2)-(C1336*2*7),IF(E1336="Trapezoid",(I1336+J1336+K1336+L1336)+(C1336*10*2)-(C1336*2*5),IF(E1336="Link",J1336+(C1336*10*2),IF(E1336="U5 Shape",(I1336+J1336+K1336+L1336)-(C1336*2*3),IF(E1336="DU2 Shape",(I1336+J1336+K1336+L1336)-(C1336*2*4),IF(E1336="SU Shape",(I1336+J1336+K1336)-(C1336*2*2),"-")))))))))))))))</f>
        <v>4455</v>
      </c>
      <c r="O1336" s="721">
        <f t="shared" ref="O1336:O1338" si="592">IF(N1336&lt;12001,C1336*49*0,IF(N1336&lt;24001,C1336*49*1,IF(N1336&lt;36001,C1336*49*2,IF(N1336&lt;48001,C1336*49*3,IF(N1336&lt;60001,C1336*49*4,IF(N1336&lt;72001,(C1336*49*5),IF(N1336&lt;84001,(C1336*49*6),IF(N1336&lt;96001,(C1336*49*7),IF(N1336&lt;108001,(C1336*49*8),IF(N1336&lt;120001,(C1336*49*9),IF(N1336&lt;132001,(C1336*49*10),IF(N1336&lt;144001,(C1336*49*11),""))))))))))))</f>
        <v>0</v>
      </c>
      <c r="P1336" s="722" t="str">
        <f t="shared" ref="P1336:P1338" si="593">IF(C1336=8,ROUND(((N1336+O1336)*F1336*G1336*H1336)/1000,3),"-")</f>
        <v>-</v>
      </c>
      <c r="Q1336" s="686">
        <f t="shared" ref="Q1336:Q1338" si="594">IF(C1336=10,ROUND(((N1336+O1336)*F1336*G1336*H1336)/1000,3),"-")</f>
        <v>8.91</v>
      </c>
      <c r="R1336" s="686" t="str">
        <f t="shared" ref="R1336:R1338" si="595">IF(C1336=12,ROUND(((N1336+O1336)*F1336*G1336*H1336)/1000,3),"-")</f>
        <v>-</v>
      </c>
      <c r="S1336" s="686" t="str">
        <f t="shared" ref="S1336:S1338" si="596">IF(C1336=16,ROUND(((N1336+O1336)*F1336*G1336*H1336)/1000,3),"-")</f>
        <v>-</v>
      </c>
      <c r="T1336" s="686" t="str">
        <f t="shared" ref="T1336:T1338" si="597">IF(C1336=20,ROUND(((N1336+O1336)*F1336*G1336*H1336)/1000,3),"-")</f>
        <v>-</v>
      </c>
      <c r="U1336" s="723" t="str">
        <f t="shared" ref="U1336:U1338" si="598">IF(C1336=25,ROUND(((N1336+O1336)*F1336*G1336*H1336)/1000,3),"-")</f>
        <v>-</v>
      </c>
      <c r="V1336" s="695" t="str">
        <f t="shared" ref="V1336:V1338" si="599">IF(C1336=32,ROUND(((N1336+O1336)*F1336*G1336*H1336)/1000,3),"-")</f>
        <v>-</v>
      </c>
      <c r="W1336" s="711"/>
    </row>
    <row r="1337" spans="1:23" ht="16.5" hidden="1" outlineLevel="1">
      <c r="A1337" s="726"/>
      <c r="B1337" s="726" t="s">
        <v>393</v>
      </c>
      <c r="C1337" s="727">
        <v>10</v>
      </c>
      <c r="D1337" s="690"/>
      <c r="E1337" s="753" t="s">
        <v>1557</v>
      </c>
      <c r="F1337" s="685">
        <v>1</v>
      </c>
      <c r="G1337" s="239">
        <v>1</v>
      </c>
      <c r="H1337" s="203">
        <v>2</v>
      </c>
      <c r="I1337" s="198">
        <f>C1337*10</f>
        <v>100</v>
      </c>
      <c r="J1337" s="171">
        <f>4345-50</f>
        <v>4295</v>
      </c>
      <c r="K1337" s="198">
        <v>100</v>
      </c>
      <c r="L1337" s="198"/>
      <c r="M1337" s="198"/>
      <c r="N1337" s="721">
        <f t="shared" si="591"/>
        <v>4455</v>
      </c>
      <c r="O1337" s="721">
        <f t="shared" si="592"/>
        <v>0</v>
      </c>
      <c r="P1337" s="722" t="str">
        <f t="shared" si="593"/>
        <v>-</v>
      </c>
      <c r="Q1337" s="686">
        <f t="shared" si="594"/>
        <v>8.91</v>
      </c>
      <c r="R1337" s="686" t="str">
        <f t="shared" si="595"/>
        <v>-</v>
      </c>
      <c r="S1337" s="686" t="str">
        <f t="shared" si="596"/>
        <v>-</v>
      </c>
      <c r="T1337" s="686" t="str">
        <f t="shared" si="597"/>
        <v>-</v>
      </c>
      <c r="U1337" s="723" t="str">
        <f t="shared" si="598"/>
        <v>-</v>
      </c>
      <c r="V1337" s="695" t="str">
        <f t="shared" si="599"/>
        <v>-</v>
      </c>
      <c r="W1337" s="711"/>
    </row>
    <row r="1338" spans="1:23" ht="16.5" hidden="1" outlineLevel="1">
      <c r="A1338" s="726"/>
      <c r="B1338" s="726" t="s">
        <v>394</v>
      </c>
      <c r="C1338" s="727">
        <v>8</v>
      </c>
      <c r="D1338" s="690"/>
      <c r="E1338" s="754" t="s">
        <v>1558</v>
      </c>
      <c r="F1338" s="685">
        <v>1</v>
      </c>
      <c r="G1338" s="239">
        <v>1</v>
      </c>
      <c r="H1338" s="203">
        <f>((J1336)/200)+1</f>
        <v>22.475000000000001</v>
      </c>
      <c r="I1338" s="198">
        <v>180</v>
      </c>
      <c r="J1338" s="198">
        <v>150</v>
      </c>
      <c r="K1338" s="198">
        <v>180</v>
      </c>
      <c r="L1338" s="198">
        <v>150</v>
      </c>
      <c r="M1338" s="198"/>
      <c r="N1338" s="721">
        <f t="shared" si="591"/>
        <v>740</v>
      </c>
      <c r="O1338" s="721">
        <f t="shared" si="592"/>
        <v>0</v>
      </c>
      <c r="P1338" s="722">
        <f t="shared" si="593"/>
        <v>16.632000000000001</v>
      </c>
      <c r="Q1338" s="686" t="str">
        <f t="shared" si="594"/>
        <v>-</v>
      </c>
      <c r="R1338" s="686" t="str">
        <f t="shared" si="595"/>
        <v>-</v>
      </c>
      <c r="S1338" s="686" t="str">
        <f t="shared" si="596"/>
        <v>-</v>
      </c>
      <c r="T1338" s="686" t="str">
        <f t="shared" si="597"/>
        <v>-</v>
      </c>
      <c r="U1338" s="723" t="str">
        <f t="shared" si="598"/>
        <v>-</v>
      </c>
      <c r="V1338" s="695" t="str">
        <f t="shared" si="599"/>
        <v>-</v>
      </c>
      <c r="W1338" s="711"/>
    </row>
    <row r="1339" spans="1:23" ht="16.5" hidden="1" outlineLevel="1">
      <c r="A1339" s="195"/>
      <c r="B1339" s="172"/>
      <c r="C1339" s="196"/>
      <c r="D1339" s="685"/>
      <c r="E1339" s="196"/>
      <c r="F1339" s="685"/>
      <c r="G1339" s="204"/>
      <c r="H1339" s="203"/>
      <c r="I1339" s="198"/>
      <c r="J1339" s="198"/>
      <c r="K1339" s="198"/>
      <c r="L1339" s="198"/>
      <c r="M1339" s="198"/>
      <c r="N1339" s="198"/>
      <c r="O1339" s="198"/>
      <c r="P1339" s="199"/>
      <c r="Q1339" s="200"/>
      <c r="R1339" s="200"/>
      <c r="S1339" s="200"/>
      <c r="T1339" s="200"/>
      <c r="U1339" s="688"/>
      <c r="V1339" s="200"/>
      <c r="W1339" s="711"/>
    </row>
    <row r="1340" spans="1:23" ht="49.5" hidden="1" outlineLevel="1">
      <c r="A1340" s="5" t="s">
        <v>1634</v>
      </c>
      <c r="B1340" s="748" t="s">
        <v>846</v>
      </c>
      <c r="C1340" s="196"/>
      <c r="D1340" s="685"/>
      <c r="E1340" s="196"/>
      <c r="F1340" s="685"/>
      <c r="G1340" s="204"/>
      <c r="H1340" s="203"/>
      <c r="I1340" s="198"/>
      <c r="J1340" s="198"/>
      <c r="K1340" s="198"/>
      <c r="L1340" s="198"/>
      <c r="M1340" s="198"/>
      <c r="N1340" s="198"/>
      <c r="O1340" s="198"/>
      <c r="P1340" s="199"/>
      <c r="Q1340" s="200"/>
      <c r="R1340" s="200"/>
      <c r="S1340" s="200"/>
      <c r="T1340" s="200"/>
      <c r="U1340" s="688"/>
      <c r="V1340" s="200"/>
      <c r="W1340" s="711"/>
    </row>
    <row r="1341" spans="1:23" ht="16.5" hidden="1" outlineLevel="1">
      <c r="A1341" s="195"/>
      <c r="B1341" s="172"/>
      <c r="C1341" s="196"/>
      <c r="D1341" s="685"/>
      <c r="E1341" s="196"/>
      <c r="F1341" s="685"/>
      <c r="G1341" s="204"/>
      <c r="H1341" s="203"/>
      <c r="I1341" s="198"/>
      <c r="J1341" s="198"/>
      <c r="K1341" s="198"/>
      <c r="L1341" s="198"/>
      <c r="M1341" s="198"/>
      <c r="N1341" s="198"/>
      <c r="O1341" s="198"/>
      <c r="P1341" s="199"/>
      <c r="Q1341" s="200"/>
      <c r="R1341" s="200"/>
      <c r="S1341" s="200"/>
      <c r="T1341" s="200"/>
      <c r="U1341" s="688"/>
      <c r="V1341" s="200"/>
      <c r="W1341" s="711"/>
    </row>
    <row r="1342" spans="1:23" ht="16.5" hidden="1" outlineLevel="1">
      <c r="A1342" s="726">
        <v>1</v>
      </c>
      <c r="B1342" s="730" t="s">
        <v>1574</v>
      </c>
      <c r="C1342" s="727">
        <v>10</v>
      </c>
      <c r="D1342" s="690"/>
      <c r="E1342" s="753" t="s">
        <v>1557</v>
      </c>
      <c r="F1342" s="685">
        <v>1</v>
      </c>
      <c r="G1342" s="239">
        <v>1</v>
      </c>
      <c r="H1342" s="203">
        <v>2</v>
      </c>
      <c r="I1342" s="198">
        <f>C1342*10</f>
        <v>100</v>
      </c>
      <c r="J1342" s="171">
        <f>2386-50</f>
        <v>2336</v>
      </c>
      <c r="K1342" s="198">
        <v>100</v>
      </c>
      <c r="L1342" s="198"/>
      <c r="M1342" s="198"/>
      <c r="N1342" s="721">
        <f t="shared" ref="N1342:N1344" si="600">IF(E1342="L Shape",(I1342+J1342)-(C1342*2*1),IF(E1342="U Shape",(I1342+J1342+K1342)-(C1342*2*2),IF(E1342="Rectangle",(I1342+J1342+K1342+L1342)+(C1342*10*2)-(C1342*2*5),IF(E1342="Straight",J1342-(C1342*0),IF(E1342="Chair",(I1342+J1342+K1342+L1342+M1342)-(C1342*2*4),IF(E1342="U2 Shape",(I1342+J1342+K1342+L1342+M1342)-(C1342*2*4),IF(E1342="U3 Shape",(I1342+J1342+K1342+L1342)-(C1342*2*3),IF(E1342="Z Shape",(I1342+J1342+K1342)-(C1342*2*2),IF(E1342="Triangle",(I1342+J1342+K1342)+(C1342*10*2)-(C1342*2*4),IF(E1342="Trapezoid2",(I1342+I1342+J1342+K1342+K1342+L1342)+(C1342*10*2)-(C1342*2*7),IF(E1342="Trapezoid",(I1342+J1342+K1342+L1342)+(C1342*10*2)-(C1342*2*5),IF(E1342="Link",J1342+(C1342*10*2),IF(E1342="U5 Shape",(I1342+J1342+K1342+L1342)-(C1342*2*3),IF(E1342="DU2 Shape",(I1342+J1342+K1342+L1342)-(C1342*2*4),IF(E1342="SU Shape",(I1342+J1342+K1342)-(C1342*2*2),"-")))))))))))))))</f>
        <v>2496</v>
      </c>
      <c r="O1342" s="721">
        <f t="shared" ref="O1342:O1344" si="601">IF(N1342&lt;12001,C1342*49*0,IF(N1342&lt;24001,C1342*49*1,IF(N1342&lt;36001,C1342*49*2,IF(N1342&lt;48001,C1342*49*3,IF(N1342&lt;60001,C1342*49*4,IF(N1342&lt;72001,(C1342*49*5),IF(N1342&lt;84001,(C1342*49*6),IF(N1342&lt;96001,(C1342*49*7),IF(N1342&lt;108001,(C1342*49*8),IF(N1342&lt;120001,(C1342*49*9),IF(N1342&lt;132001,(C1342*49*10),IF(N1342&lt;144001,(C1342*49*11),""))))))))))))</f>
        <v>0</v>
      </c>
      <c r="P1342" s="722" t="str">
        <f t="shared" ref="P1342:P1344" si="602">IF(C1342=8,ROUND(((N1342+O1342)*F1342*G1342*H1342)/1000,3),"-")</f>
        <v>-</v>
      </c>
      <c r="Q1342" s="686">
        <f t="shared" ref="Q1342:Q1344" si="603">IF(C1342=10,ROUND(((N1342+O1342)*F1342*G1342*H1342)/1000,3),"-")</f>
        <v>4.992</v>
      </c>
      <c r="R1342" s="686" t="str">
        <f t="shared" ref="R1342:R1344" si="604">IF(C1342=12,ROUND(((N1342+O1342)*F1342*G1342*H1342)/1000,3),"-")</f>
        <v>-</v>
      </c>
      <c r="S1342" s="686" t="str">
        <f t="shared" ref="S1342:S1344" si="605">IF(C1342=16,ROUND(((N1342+O1342)*F1342*G1342*H1342)/1000,3),"-")</f>
        <v>-</v>
      </c>
      <c r="T1342" s="686" t="str">
        <f t="shared" ref="T1342:T1344" si="606">IF(C1342=20,ROUND(((N1342+O1342)*F1342*G1342*H1342)/1000,3),"-")</f>
        <v>-</v>
      </c>
      <c r="U1342" s="723" t="str">
        <f t="shared" ref="U1342:U1344" si="607">IF(C1342=25,ROUND(((N1342+O1342)*F1342*G1342*H1342)/1000,3),"-")</f>
        <v>-</v>
      </c>
      <c r="V1342" s="695" t="str">
        <f t="shared" ref="V1342:V1344" si="608">IF(C1342=32,ROUND(((N1342+O1342)*F1342*G1342*H1342)/1000,3),"-")</f>
        <v>-</v>
      </c>
      <c r="W1342" s="711"/>
    </row>
    <row r="1343" spans="1:23" ht="16.5" hidden="1" outlineLevel="1">
      <c r="A1343" s="726"/>
      <c r="B1343" s="726" t="s">
        <v>393</v>
      </c>
      <c r="C1343" s="727">
        <v>10</v>
      </c>
      <c r="D1343" s="690"/>
      <c r="E1343" s="753" t="s">
        <v>1557</v>
      </c>
      <c r="F1343" s="685">
        <v>1</v>
      </c>
      <c r="G1343" s="239">
        <v>1</v>
      </c>
      <c r="H1343" s="203">
        <v>2</v>
      </c>
      <c r="I1343" s="198">
        <f>C1343*10</f>
        <v>100</v>
      </c>
      <c r="J1343" s="171">
        <f>2386-50</f>
        <v>2336</v>
      </c>
      <c r="K1343" s="198">
        <v>100</v>
      </c>
      <c r="L1343" s="198"/>
      <c r="M1343" s="198"/>
      <c r="N1343" s="721">
        <f t="shared" si="600"/>
        <v>2496</v>
      </c>
      <c r="O1343" s="721">
        <f t="shared" si="601"/>
        <v>0</v>
      </c>
      <c r="P1343" s="722" t="str">
        <f t="shared" si="602"/>
        <v>-</v>
      </c>
      <c r="Q1343" s="686">
        <f t="shared" si="603"/>
        <v>4.992</v>
      </c>
      <c r="R1343" s="686" t="str">
        <f t="shared" si="604"/>
        <v>-</v>
      </c>
      <c r="S1343" s="686" t="str">
        <f t="shared" si="605"/>
        <v>-</v>
      </c>
      <c r="T1343" s="686" t="str">
        <f t="shared" si="606"/>
        <v>-</v>
      </c>
      <c r="U1343" s="723" t="str">
        <f t="shared" si="607"/>
        <v>-</v>
      </c>
      <c r="V1343" s="695" t="str">
        <f t="shared" si="608"/>
        <v>-</v>
      </c>
      <c r="W1343" s="711"/>
    </row>
    <row r="1344" spans="1:23" ht="16.5" hidden="1" outlineLevel="1">
      <c r="A1344" s="726"/>
      <c r="B1344" s="726" t="s">
        <v>394</v>
      </c>
      <c r="C1344" s="727">
        <v>8</v>
      </c>
      <c r="D1344" s="690"/>
      <c r="E1344" s="754" t="s">
        <v>1558</v>
      </c>
      <c r="F1344" s="685">
        <v>1</v>
      </c>
      <c r="G1344" s="239">
        <v>1</v>
      </c>
      <c r="H1344" s="203">
        <f>((J1342)/200)+1</f>
        <v>12.68</v>
      </c>
      <c r="I1344" s="198">
        <v>180</v>
      </c>
      <c r="J1344" s="198">
        <v>150</v>
      </c>
      <c r="K1344" s="198">
        <v>180</v>
      </c>
      <c r="L1344" s="198">
        <v>150</v>
      </c>
      <c r="M1344" s="198"/>
      <c r="N1344" s="721">
        <f t="shared" si="600"/>
        <v>740</v>
      </c>
      <c r="O1344" s="721">
        <f t="shared" si="601"/>
        <v>0</v>
      </c>
      <c r="P1344" s="722">
        <f t="shared" si="602"/>
        <v>9.3829999999999991</v>
      </c>
      <c r="Q1344" s="686" t="str">
        <f t="shared" si="603"/>
        <v>-</v>
      </c>
      <c r="R1344" s="686" t="str">
        <f t="shared" si="604"/>
        <v>-</v>
      </c>
      <c r="S1344" s="686" t="str">
        <f t="shared" si="605"/>
        <v>-</v>
      </c>
      <c r="T1344" s="686" t="str">
        <f t="shared" si="606"/>
        <v>-</v>
      </c>
      <c r="U1344" s="723" t="str">
        <f t="shared" si="607"/>
        <v>-</v>
      </c>
      <c r="V1344" s="695" t="str">
        <f t="shared" si="608"/>
        <v>-</v>
      </c>
      <c r="W1344" s="711"/>
    </row>
    <row r="1345" spans="1:23" ht="16.5" hidden="1" outlineLevel="1">
      <c r="A1345" s="195"/>
      <c r="B1345" s="172"/>
      <c r="C1345" s="196"/>
      <c r="D1345" s="685"/>
      <c r="E1345" s="196"/>
      <c r="F1345" s="685"/>
      <c r="G1345" s="204"/>
      <c r="H1345" s="203"/>
      <c r="I1345" s="198"/>
      <c r="J1345" s="198"/>
      <c r="K1345" s="198"/>
      <c r="L1345" s="198"/>
      <c r="M1345" s="198"/>
      <c r="N1345" s="198"/>
      <c r="O1345" s="198"/>
      <c r="P1345" s="199"/>
      <c r="Q1345" s="200"/>
      <c r="R1345" s="200"/>
      <c r="S1345" s="200"/>
      <c r="T1345" s="200"/>
      <c r="U1345" s="688"/>
      <c r="V1345" s="200"/>
      <c r="W1345" s="711"/>
    </row>
    <row r="1346" spans="1:23" ht="16.5" hidden="1" outlineLevel="1">
      <c r="A1346" s="726">
        <v>2</v>
      </c>
      <c r="B1346" s="730" t="s">
        <v>1574</v>
      </c>
      <c r="C1346" s="727">
        <v>10</v>
      </c>
      <c r="D1346" s="690"/>
      <c r="E1346" s="753" t="s">
        <v>1557</v>
      </c>
      <c r="F1346" s="685">
        <v>1</v>
      </c>
      <c r="G1346" s="239">
        <v>1</v>
      </c>
      <c r="H1346" s="203">
        <v>2</v>
      </c>
      <c r="I1346" s="198">
        <f>C1346*10</f>
        <v>100</v>
      </c>
      <c r="J1346" s="171">
        <f>20003-50</f>
        <v>19953</v>
      </c>
      <c r="K1346" s="198">
        <v>100</v>
      </c>
      <c r="L1346" s="198"/>
      <c r="M1346" s="198"/>
      <c r="N1346" s="721">
        <f t="shared" ref="N1346:N1348" si="609">IF(E1346="L Shape",(I1346+J1346)-(C1346*2*1),IF(E1346="U Shape",(I1346+J1346+K1346)-(C1346*2*2),IF(E1346="Rectangle",(I1346+J1346+K1346+L1346)+(C1346*10*2)-(C1346*2*5),IF(E1346="Straight",J1346-(C1346*0),IF(E1346="Chair",(I1346+J1346+K1346+L1346+M1346)-(C1346*2*4),IF(E1346="U2 Shape",(I1346+J1346+K1346+L1346+M1346)-(C1346*2*4),IF(E1346="U3 Shape",(I1346+J1346+K1346+L1346)-(C1346*2*3),IF(E1346="Z Shape",(I1346+J1346+K1346)-(C1346*2*2),IF(E1346="Triangle",(I1346+J1346+K1346)+(C1346*10*2)-(C1346*2*4),IF(E1346="Trapezoid2",(I1346+I1346+J1346+K1346+K1346+L1346)+(C1346*10*2)-(C1346*2*7),IF(E1346="Trapezoid",(I1346+J1346+K1346+L1346)+(C1346*10*2)-(C1346*2*5),IF(E1346="Link",J1346+(C1346*10*2),IF(E1346="U5 Shape",(I1346+J1346+K1346+L1346)-(C1346*2*3),IF(E1346="DU2 Shape",(I1346+J1346+K1346+L1346)-(C1346*2*4),IF(E1346="SU Shape",(I1346+J1346+K1346)-(C1346*2*2),"-")))))))))))))))</f>
        <v>20113</v>
      </c>
      <c r="O1346" s="721">
        <f t="shared" ref="O1346:O1348" si="610">IF(N1346&lt;12001,C1346*49*0,IF(N1346&lt;24001,C1346*49*1,IF(N1346&lt;36001,C1346*49*2,IF(N1346&lt;48001,C1346*49*3,IF(N1346&lt;60001,C1346*49*4,IF(N1346&lt;72001,(C1346*49*5),IF(N1346&lt;84001,(C1346*49*6),IF(N1346&lt;96001,(C1346*49*7),IF(N1346&lt;108001,(C1346*49*8),IF(N1346&lt;120001,(C1346*49*9),IF(N1346&lt;132001,(C1346*49*10),IF(N1346&lt;144001,(C1346*49*11),""))))))))))))</f>
        <v>490</v>
      </c>
      <c r="P1346" s="722" t="str">
        <f t="shared" ref="P1346:P1348" si="611">IF(C1346=8,ROUND(((N1346+O1346)*F1346*G1346*H1346)/1000,3),"-")</f>
        <v>-</v>
      </c>
      <c r="Q1346" s="686">
        <f t="shared" ref="Q1346:Q1348" si="612">IF(C1346=10,ROUND(((N1346+O1346)*F1346*G1346*H1346)/1000,3),"-")</f>
        <v>41.206000000000003</v>
      </c>
      <c r="R1346" s="686" t="str">
        <f t="shared" ref="R1346:R1348" si="613">IF(C1346=12,ROUND(((N1346+O1346)*F1346*G1346*H1346)/1000,3),"-")</f>
        <v>-</v>
      </c>
      <c r="S1346" s="686" t="str">
        <f t="shared" ref="S1346:S1348" si="614">IF(C1346=16,ROUND(((N1346+O1346)*F1346*G1346*H1346)/1000,3),"-")</f>
        <v>-</v>
      </c>
      <c r="T1346" s="686" t="str">
        <f t="shared" ref="T1346:T1348" si="615">IF(C1346=20,ROUND(((N1346+O1346)*F1346*G1346*H1346)/1000,3),"-")</f>
        <v>-</v>
      </c>
      <c r="U1346" s="723" t="str">
        <f t="shared" ref="U1346:U1348" si="616">IF(C1346=25,ROUND(((N1346+O1346)*F1346*G1346*H1346)/1000,3),"-")</f>
        <v>-</v>
      </c>
      <c r="V1346" s="695" t="str">
        <f t="shared" ref="V1346:V1348" si="617">IF(C1346=32,ROUND(((N1346+O1346)*F1346*G1346*H1346)/1000,3),"-")</f>
        <v>-</v>
      </c>
      <c r="W1346" s="711"/>
    </row>
    <row r="1347" spans="1:23" ht="16.5" hidden="1" outlineLevel="1">
      <c r="A1347" s="726"/>
      <c r="B1347" s="726" t="s">
        <v>393</v>
      </c>
      <c r="C1347" s="727">
        <v>10</v>
      </c>
      <c r="D1347" s="690"/>
      <c r="E1347" s="753" t="s">
        <v>1557</v>
      </c>
      <c r="F1347" s="685">
        <v>1</v>
      </c>
      <c r="G1347" s="239">
        <v>1</v>
      </c>
      <c r="H1347" s="203">
        <v>2</v>
      </c>
      <c r="I1347" s="198">
        <f>C1347*10</f>
        <v>100</v>
      </c>
      <c r="J1347" s="171">
        <f>20003-50</f>
        <v>19953</v>
      </c>
      <c r="K1347" s="198">
        <v>100</v>
      </c>
      <c r="L1347" s="198"/>
      <c r="M1347" s="198"/>
      <c r="N1347" s="721">
        <f t="shared" si="609"/>
        <v>20113</v>
      </c>
      <c r="O1347" s="721">
        <f t="shared" si="610"/>
        <v>490</v>
      </c>
      <c r="P1347" s="722" t="str">
        <f t="shared" si="611"/>
        <v>-</v>
      </c>
      <c r="Q1347" s="686">
        <f t="shared" si="612"/>
        <v>41.206000000000003</v>
      </c>
      <c r="R1347" s="686" t="str">
        <f t="shared" si="613"/>
        <v>-</v>
      </c>
      <c r="S1347" s="686" t="str">
        <f t="shared" si="614"/>
        <v>-</v>
      </c>
      <c r="T1347" s="686" t="str">
        <f t="shared" si="615"/>
        <v>-</v>
      </c>
      <c r="U1347" s="723" t="str">
        <f t="shared" si="616"/>
        <v>-</v>
      </c>
      <c r="V1347" s="695" t="str">
        <f t="shared" si="617"/>
        <v>-</v>
      </c>
      <c r="W1347" s="711"/>
    </row>
    <row r="1348" spans="1:23" ht="16.5" hidden="1" outlineLevel="1">
      <c r="A1348" s="726"/>
      <c r="B1348" s="726" t="s">
        <v>394</v>
      </c>
      <c r="C1348" s="727">
        <v>8</v>
      </c>
      <c r="D1348" s="690"/>
      <c r="E1348" s="754" t="s">
        <v>1558</v>
      </c>
      <c r="F1348" s="685">
        <v>1</v>
      </c>
      <c r="G1348" s="239">
        <v>1</v>
      </c>
      <c r="H1348" s="203">
        <f>((J1346)/200)+1</f>
        <v>100.765</v>
      </c>
      <c r="I1348" s="198">
        <v>180</v>
      </c>
      <c r="J1348" s="198">
        <v>150</v>
      </c>
      <c r="K1348" s="198">
        <v>180</v>
      </c>
      <c r="L1348" s="198">
        <v>150</v>
      </c>
      <c r="M1348" s="198"/>
      <c r="N1348" s="721">
        <f t="shared" si="609"/>
        <v>740</v>
      </c>
      <c r="O1348" s="721">
        <f t="shared" si="610"/>
        <v>0</v>
      </c>
      <c r="P1348" s="722">
        <f t="shared" si="611"/>
        <v>74.566000000000003</v>
      </c>
      <c r="Q1348" s="686" t="str">
        <f t="shared" si="612"/>
        <v>-</v>
      </c>
      <c r="R1348" s="686" t="str">
        <f t="shared" si="613"/>
        <v>-</v>
      </c>
      <c r="S1348" s="686" t="str">
        <f t="shared" si="614"/>
        <v>-</v>
      </c>
      <c r="T1348" s="686" t="str">
        <f t="shared" si="615"/>
        <v>-</v>
      </c>
      <c r="U1348" s="723" t="str">
        <f t="shared" si="616"/>
        <v>-</v>
      </c>
      <c r="V1348" s="695" t="str">
        <f t="shared" si="617"/>
        <v>-</v>
      </c>
      <c r="W1348" s="711"/>
    </row>
    <row r="1349" spans="1:23" ht="16.5" hidden="1" outlineLevel="1">
      <c r="A1349" s="195"/>
      <c r="B1349" s="172"/>
      <c r="C1349" s="196"/>
      <c r="D1349" s="685"/>
      <c r="E1349" s="196"/>
      <c r="F1349" s="685"/>
      <c r="G1349" s="204"/>
      <c r="H1349" s="203"/>
      <c r="I1349" s="198"/>
      <c r="J1349" s="198"/>
      <c r="K1349" s="198"/>
      <c r="L1349" s="198"/>
      <c r="M1349" s="198"/>
      <c r="N1349" s="198"/>
      <c r="O1349" s="198"/>
      <c r="P1349" s="199"/>
      <c r="Q1349" s="200"/>
      <c r="R1349" s="200"/>
      <c r="S1349" s="200"/>
      <c r="T1349" s="200"/>
      <c r="U1349" s="688"/>
      <c r="V1349" s="200"/>
      <c r="W1349" s="711"/>
    </row>
    <row r="1350" spans="1:23" ht="30.75" hidden="1" outlineLevel="1">
      <c r="A1350" s="726">
        <v>3</v>
      </c>
      <c r="B1350" s="730" t="s">
        <v>1635</v>
      </c>
      <c r="C1350" s="727">
        <v>10</v>
      </c>
      <c r="D1350" s="690"/>
      <c r="E1350" s="753" t="s">
        <v>1557</v>
      </c>
      <c r="F1350" s="685">
        <v>1</v>
      </c>
      <c r="G1350" s="239">
        <v>1</v>
      </c>
      <c r="H1350" s="203">
        <v>2</v>
      </c>
      <c r="I1350" s="198">
        <f>C1350*10</f>
        <v>100</v>
      </c>
      <c r="J1350" s="171">
        <f>33561-50</f>
        <v>33511</v>
      </c>
      <c r="K1350" s="198">
        <v>100</v>
      </c>
      <c r="L1350" s="198"/>
      <c r="M1350" s="198"/>
      <c r="N1350" s="721">
        <f t="shared" ref="N1350:N1352" si="618">IF(E1350="L Shape",(I1350+J1350)-(C1350*2*1),IF(E1350="U Shape",(I1350+J1350+K1350)-(C1350*2*2),IF(E1350="Rectangle",(I1350+J1350+K1350+L1350)+(C1350*10*2)-(C1350*2*5),IF(E1350="Straight",J1350-(C1350*0),IF(E1350="Chair",(I1350+J1350+K1350+L1350+M1350)-(C1350*2*4),IF(E1350="U2 Shape",(I1350+J1350+K1350+L1350+M1350)-(C1350*2*4),IF(E1350="U3 Shape",(I1350+J1350+K1350+L1350)-(C1350*2*3),IF(E1350="Z Shape",(I1350+J1350+K1350)-(C1350*2*2),IF(E1350="Triangle",(I1350+J1350+K1350)+(C1350*10*2)-(C1350*2*4),IF(E1350="Trapezoid2",(I1350+I1350+J1350+K1350+K1350+L1350)+(C1350*10*2)-(C1350*2*7),IF(E1350="Trapezoid",(I1350+J1350+K1350+L1350)+(C1350*10*2)-(C1350*2*5),IF(E1350="Link",J1350+(C1350*10*2),IF(E1350="U5 Shape",(I1350+J1350+K1350+L1350)-(C1350*2*3),IF(E1350="DU2 Shape",(I1350+J1350+K1350+L1350)-(C1350*2*4),IF(E1350="SU Shape",(I1350+J1350+K1350)-(C1350*2*2),"-")))))))))))))))</f>
        <v>33671</v>
      </c>
      <c r="O1350" s="721">
        <f t="shared" ref="O1350:O1352" si="619">IF(N1350&lt;12001,C1350*49*0,IF(N1350&lt;24001,C1350*49*1,IF(N1350&lt;36001,C1350*49*2,IF(N1350&lt;48001,C1350*49*3,IF(N1350&lt;60001,C1350*49*4,IF(N1350&lt;72001,(C1350*49*5),IF(N1350&lt;84001,(C1350*49*6),IF(N1350&lt;96001,(C1350*49*7),IF(N1350&lt;108001,(C1350*49*8),IF(N1350&lt;120001,(C1350*49*9),IF(N1350&lt;132001,(C1350*49*10),IF(N1350&lt;144001,(C1350*49*11),""))))))))))))</f>
        <v>980</v>
      </c>
      <c r="P1350" s="722" t="str">
        <f t="shared" ref="P1350:P1352" si="620">IF(C1350=8,ROUND(((N1350+O1350)*F1350*G1350*H1350)/1000,3),"-")</f>
        <v>-</v>
      </c>
      <c r="Q1350" s="686">
        <f t="shared" ref="Q1350:Q1352" si="621">IF(C1350=10,ROUND(((N1350+O1350)*F1350*G1350*H1350)/1000,3),"-")</f>
        <v>69.302000000000007</v>
      </c>
      <c r="R1350" s="686" t="str">
        <f t="shared" ref="R1350:R1352" si="622">IF(C1350=12,ROUND(((N1350+O1350)*F1350*G1350*H1350)/1000,3),"-")</f>
        <v>-</v>
      </c>
      <c r="S1350" s="686" t="str">
        <f t="shared" ref="S1350:S1352" si="623">IF(C1350=16,ROUND(((N1350+O1350)*F1350*G1350*H1350)/1000,3),"-")</f>
        <v>-</v>
      </c>
      <c r="T1350" s="686" t="str">
        <f t="shared" ref="T1350:T1352" si="624">IF(C1350=20,ROUND(((N1350+O1350)*F1350*G1350*H1350)/1000,3),"-")</f>
        <v>-</v>
      </c>
      <c r="U1350" s="723" t="str">
        <f t="shared" ref="U1350:U1352" si="625">IF(C1350=25,ROUND(((N1350+O1350)*F1350*G1350*H1350)/1000,3),"-")</f>
        <v>-</v>
      </c>
      <c r="V1350" s="695" t="str">
        <f t="shared" ref="V1350:V1352" si="626">IF(C1350=32,ROUND(((N1350+O1350)*F1350*G1350*H1350)/1000,3),"-")</f>
        <v>-</v>
      </c>
      <c r="W1350" s="711"/>
    </row>
    <row r="1351" spans="1:23" ht="16.5" hidden="1" outlineLevel="1">
      <c r="A1351" s="726"/>
      <c r="B1351" s="726" t="s">
        <v>393</v>
      </c>
      <c r="C1351" s="727">
        <v>10</v>
      </c>
      <c r="D1351" s="690"/>
      <c r="E1351" s="753" t="s">
        <v>1557</v>
      </c>
      <c r="F1351" s="685">
        <v>1</v>
      </c>
      <c r="G1351" s="239">
        <v>1</v>
      </c>
      <c r="H1351" s="203">
        <v>2</v>
      </c>
      <c r="I1351" s="198">
        <f>C1351*10</f>
        <v>100</v>
      </c>
      <c r="J1351" s="171">
        <f>33561-50</f>
        <v>33511</v>
      </c>
      <c r="K1351" s="198">
        <v>100</v>
      </c>
      <c r="L1351" s="198"/>
      <c r="M1351" s="198"/>
      <c r="N1351" s="721">
        <f t="shared" si="618"/>
        <v>33671</v>
      </c>
      <c r="O1351" s="721">
        <f t="shared" si="619"/>
        <v>980</v>
      </c>
      <c r="P1351" s="722" t="str">
        <f t="shared" si="620"/>
        <v>-</v>
      </c>
      <c r="Q1351" s="686">
        <f t="shared" si="621"/>
        <v>69.302000000000007</v>
      </c>
      <c r="R1351" s="686" t="str">
        <f t="shared" si="622"/>
        <v>-</v>
      </c>
      <c r="S1351" s="686" t="str">
        <f t="shared" si="623"/>
        <v>-</v>
      </c>
      <c r="T1351" s="686" t="str">
        <f t="shared" si="624"/>
        <v>-</v>
      </c>
      <c r="U1351" s="723" t="str">
        <f t="shared" si="625"/>
        <v>-</v>
      </c>
      <c r="V1351" s="695" t="str">
        <f t="shared" si="626"/>
        <v>-</v>
      </c>
      <c r="W1351" s="711"/>
    </row>
    <row r="1352" spans="1:23" ht="16.5" hidden="1" outlineLevel="1">
      <c r="A1352" s="726"/>
      <c r="B1352" s="726" t="s">
        <v>394</v>
      </c>
      <c r="C1352" s="727">
        <v>8</v>
      </c>
      <c r="D1352" s="690"/>
      <c r="E1352" s="754" t="s">
        <v>1558</v>
      </c>
      <c r="F1352" s="685">
        <v>1</v>
      </c>
      <c r="G1352" s="239">
        <v>1</v>
      </c>
      <c r="H1352" s="203">
        <f>((J1350)/200)+1</f>
        <v>168.55500000000001</v>
      </c>
      <c r="I1352" s="198">
        <v>180</v>
      </c>
      <c r="J1352" s="198">
        <v>150</v>
      </c>
      <c r="K1352" s="198">
        <v>180</v>
      </c>
      <c r="L1352" s="198">
        <v>150</v>
      </c>
      <c r="M1352" s="198"/>
      <c r="N1352" s="721">
        <f t="shared" si="618"/>
        <v>740</v>
      </c>
      <c r="O1352" s="721">
        <f t="shared" si="619"/>
        <v>0</v>
      </c>
      <c r="P1352" s="722">
        <f t="shared" si="620"/>
        <v>124.73099999999999</v>
      </c>
      <c r="Q1352" s="686" t="str">
        <f t="shared" si="621"/>
        <v>-</v>
      </c>
      <c r="R1352" s="686" t="str">
        <f t="shared" si="622"/>
        <v>-</v>
      </c>
      <c r="S1352" s="686" t="str">
        <f t="shared" si="623"/>
        <v>-</v>
      </c>
      <c r="T1352" s="686" t="str">
        <f t="shared" si="624"/>
        <v>-</v>
      </c>
      <c r="U1352" s="723" t="str">
        <f t="shared" si="625"/>
        <v>-</v>
      </c>
      <c r="V1352" s="695" t="str">
        <f t="shared" si="626"/>
        <v>-</v>
      </c>
      <c r="W1352" s="711"/>
    </row>
    <row r="1353" spans="1:23" ht="16.5" hidden="1" outlineLevel="1">
      <c r="A1353" s="195"/>
      <c r="B1353" s="172"/>
      <c r="C1353" s="196"/>
      <c r="D1353" s="685"/>
      <c r="E1353" s="196"/>
      <c r="F1353" s="685"/>
      <c r="G1353" s="204"/>
      <c r="H1353" s="203"/>
      <c r="I1353" s="198"/>
      <c r="J1353" s="198"/>
      <c r="K1353" s="198"/>
      <c r="L1353" s="198"/>
      <c r="M1353" s="198"/>
      <c r="N1353" s="198"/>
      <c r="O1353" s="198"/>
      <c r="P1353" s="199"/>
      <c r="Q1353" s="200"/>
      <c r="R1353" s="200"/>
      <c r="S1353" s="200"/>
      <c r="T1353" s="200"/>
      <c r="U1353" s="688"/>
      <c r="V1353" s="200"/>
      <c r="W1353" s="711"/>
    </row>
    <row r="1354" spans="1:23" ht="30.75" hidden="1" outlineLevel="1">
      <c r="A1354" s="726">
        <v>4</v>
      </c>
      <c r="B1354" s="730" t="s">
        <v>1636</v>
      </c>
      <c r="C1354" s="727">
        <v>10</v>
      </c>
      <c r="D1354" s="690"/>
      <c r="E1354" s="753" t="s">
        <v>1557</v>
      </c>
      <c r="F1354" s="685">
        <v>1</v>
      </c>
      <c r="G1354" s="239">
        <v>1</v>
      </c>
      <c r="H1354" s="203">
        <v>2</v>
      </c>
      <c r="I1354" s="198">
        <f>C1354*10</f>
        <v>100</v>
      </c>
      <c r="J1354" s="171">
        <f>32531-50</f>
        <v>32481</v>
      </c>
      <c r="K1354" s="198">
        <v>100</v>
      </c>
      <c r="L1354" s="198"/>
      <c r="M1354" s="198"/>
      <c r="N1354" s="721">
        <f t="shared" ref="N1354:N1356" si="627">IF(E1354="L Shape",(I1354+J1354)-(C1354*2*1),IF(E1354="U Shape",(I1354+J1354+K1354)-(C1354*2*2),IF(E1354="Rectangle",(I1354+J1354+K1354+L1354)+(C1354*10*2)-(C1354*2*5),IF(E1354="Straight",J1354-(C1354*0),IF(E1354="Chair",(I1354+J1354+K1354+L1354+M1354)-(C1354*2*4),IF(E1354="U2 Shape",(I1354+J1354+K1354+L1354+M1354)-(C1354*2*4),IF(E1354="U3 Shape",(I1354+J1354+K1354+L1354)-(C1354*2*3),IF(E1354="Z Shape",(I1354+J1354+K1354)-(C1354*2*2),IF(E1354="Triangle",(I1354+J1354+K1354)+(C1354*10*2)-(C1354*2*4),IF(E1354="Trapezoid2",(I1354+I1354+J1354+K1354+K1354+L1354)+(C1354*10*2)-(C1354*2*7),IF(E1354="Trapezoid",(I1354+J1354+K1354+L1354)+(C1354*10*2)-(C1354*2*5),IF(E1354="Link",J1354+(C1354*10*2),IF(E1354="U5 Shape",(I1354+J1354+K1354+L1354)-(C1354*2*3),IF(E1354="DU2 Shape",(I1354+J1354+K1354+L1354)-(C1354*2*4),IF(E1354="SU Shape",(I1354+J1354+K1354)-(C1354*2*2),"-")))))))))))))))</f>
        <v>32641</v>
      </c>
      <c r="O1354" s="721">
        <f t="shared" ref="O1354:O1356" si="628">IF(N1354&lt;12001,C1354*49*0,IF(N1354&lt;24001,C1354*49*1,IF(N1354&lt;36001,C1354*49*2,IF(N1354&lt;48001,C1354*49*3,IF(N1354&lt;60001,C1354*49*4,IF(N1354&lt;72001,(C1354*49*5),IF(N1354&lt;84001,(C1354*49*6),IF(N1354&lt;96001,(C1354*49*7),IF(N1354&lt;108001,(C1354*49*8),IF(N1354&lt;120001,(C1354*49*9),IF(N1354&lt;132001,(C1354*49*10),IF(N1354&lt;144001,(C1354*49*11),""))))))))))))</f>
        <v>980</v>
      </c>
      <c r="P1354" s="722" t="str">
        <f t="shared" ref="P1354:P1356" si="629">IF(C1354=8,ROUND(((N1354+O1354)*F1354*G1354*H1354)/1000,3),"-")</f>
        <v>-</v>
      </c>
      <c r="Q1354" s="686">
        <f t="shared" ref="Q1354:Q1356" si="630">IF(C1354=10,ROUND(((N1354+O1354)*F1354*G1354*H1354)/1000,3),"-")</f>
        <v>67.242000000000004</v>
      </c>
      <c r="R1354" s="686" t="str">
        <f t="shared" ref="R1354:R1356" si="631">IF(C1354=12,ROUND(((N1354+O1354)*F1354*G1354*H1354)/1000,3),"-")</f>
        <v>-</v>
      </c>
      <c r="S1354" s="686" t="str">
        <f t="shared" ref="S1354:S1356" si="632">IF(C1354=16,ROUND(((N1354+O1354)*F1354*G1354*H1354)/1000,3),"-")</f>
        <v>-</v>
      </c>
      <c r="T1354" s="686" t="str">
        <f t="shared" ref="T1354:T1356" si="633">IF(C1354=20,ROUND(((N1354+O1354)*F1354*G1354*H1354)/1000,3),"-")</f>
        <v>-</v>
      </c>
      <c r="U1354" s="723" t="str">
        <f t="shared" ref="U1354:U1356" si="634">IF(C1354=25,ROUND(((N1354+O1354)*F1354*G1354*H1354)/1000,3),"-")</f>
        <v>-</v>
      </c>
      <c r="V1354" s="695" t="str">
        <f t="shared" ref="V1354:V1356" si="635">IF(C1354=32,ROUND(((N1354+O1354)*F1354*G1354*H1354)/1000,3),"-")</f>
        <v>-</v>
      </c>
      <c r="W1354" s="711"/>
    </row>
    <row r="1355" spans="1:23" ht="16.5" hidden="1" outlineLevel="1">
      <c r="A1355" s="726"/>
      <c r="B1355" s="726" t="s">
        <v>393</v>
      </c>
      <c r="C1355" s="727">
        <v>10</v>
      </c>
      <c r="D1355" s="690"/>
      <c r="E1355" s="753" t="s">
        <v>1557</v>
      </c>
      <c r="F1355" s="685">
        <v>1</v>
      </c>
      <c r="G1355" s="239">
        <v>1</v>
      </c>
      <c r="H1355" s="203">
        <v>2</v>
      </c>
      <c r="I1355" s="198">
        <f>C1355*10</f>
        <v>100</v>
      </c>
      <c r="J1355" s="171">
        <f>32531-50</f>
        <v>32481</v>
      </c>
      <c r="K1355" s="198">
        <v>100</v>
      </c>
      <c r="L1355" s="198"/>
      <c r="M1355" s="198"/>
      <c r="N1355" s="721">
        <f t="shared" si="627"/>
        <v>32641</v>
      </c>
      <c r="O1355" s="721">
        <f t="shared" si="628"/>
        <v>980</v>
      </c>
      <c r="P1355" s="722" t="str">
        <f t="shared" si="629"/>
        <v>-</v>
      </c>
      <c r="Q1355" s="686">
        <f t="shared" si="630"/>
        <v>67.242000000000004</v>
      </c>
      <c r="R1355" s="686" t="str">
        <f t="shared" si="631"/>
        <v>-</v>
      </c>
      <c r="S1355" s="686" t="str">
        <f t="shared" si="632"/>
        <v>-</v>
      </c>
      <c r="T1355" s="686" t="str">
        <f t="shared" si="633"/>
        <v>-</v>
      </c>
      <c r="U1355" s="723" t="str">
        <f t="shared" si="634"/>
        <v>-</v>
      </c>
      <c r="V1355" s="695" t="str">
        <f t="shared" si="635"/>
        <v>-</v>
      </c>
      <c r="W1355" s="711"/>
    </row>
    <row r="1356" spans="1:23" ht="16.5" hidden="1" outlineLevel="1">
      <c r="A1356" s="726"/>
      <c r="B1356" s="726" t="s">
        <v>394</v>
      </c>
      <c r="C1356" s="727">
        <v>8</v>
      </c>
      <c r="D1356" s="690"/>
      <c r="E1356" s="754" t="s">
        <v>1558</v>
      </c>
      <c r="F1356" s="685">
        <v>1</v>
      </c>
      <c r="G1356" s="239">
        <v>1</v>
      </c>
      <c r="H1356" s="203">
        <f>((J1354)/200)+1</f>
        <v>163.405</v>
      </c>
      <c r="I1356" s="198">
        <v>180</v>
      </c>
      <c r="J1356" s="198">
        <v>150</v>
      </c>
      <c r="K1356" s="198">
        <v>180</v>
      </c>
      <c r="L1356" s="198">
        <v>150</v>
      </c>
      <c r="M1356" s="198"/>
      <c r="N1356" s="721">
        <f t="shared" si="627"/>
        <v>740</v>
      </c>
      <c r="O1356" s="721">
        <f t="shared" si="628"/>
        <v>0</v>
      </c>
      <c r="P1356" s="722">
        <f t="shared" si="629"/>
        <v>120.92</v>
      </c>
      <c r="Q1356" s="686" t="str">
        <f t="shared" si="630"/>
        <v>-</v>
      </c>
      <c r="R1356" s="686" t="str">
        <f t="shared" si="631"/>
        <v>-</v>
      </c>
      <c r="S1356" s="686" t="str">
        <f t="shared" si="632"/>
        <v>-</v>
      </c>
      <c r="T1356" s="686" t="str">
        <f t="shared" si="633"/>
        <v>-</v>
      </c>
      <c r="U1356" s="723" t="str">
        <f t="shared" si="634"/>
        <v>-</v>
      </c>
      <c r="V1356" s="695" t="str">
        <f t="shared" si="635"/>
        <v>-</v>
      </c>
      <c r="W1356" s="711"/>
    </row>
    <row r="1357" spans="1:23" ht="16.5" hidden="1" outlineLevel="1">
      <c r="A1357" s="195"/>
      <c r="B1357" s="172"/>
      <c r="C1357" s="196"/>
      <c r="D1357" s="685"/>
      <c r="E1357" s="196"/>
      <c r="F1357" s="685"/>
      <c r="G1357" s="204"/>
      <c r="H1357" s="203"/>
      <c r="I1357" s="198"/>
      <c r="J1357" s="198"/>
      <c r="K1357" s="198"/>
      <c r="L1357" s="198"/>
      <c r="M1357" s="198"/>
      <c r="N1357" s="198"/>
      <c r="O1357" s="198"/>
      <c r="P1357" s="199"/>
      <c r="Q1357" s="200"/>
      <c r="R1357" s="200"/>
      <c r="S1357" s="200"/>
      <c r="T1357" s="200"/>
      <c r="U1357" s="688"/>
      <c r="V1357" s="200"/>
      <c r="W1357" s="711"/>
    </row>
    <row r="1358" spans="1:23" ht="30.75" hidden="1" customHeight="1" outlineLevel="1">
      <c r="A1358" s="726">
        <v>5</v>
      </c>
      <c r="B1358" s="730" t="s">
        <v>1574</v>
      </c>
      <c r="C1358" s="727">
        <v>10</v>
      </c>
      <c r="D1358" s="690"/>
      <c r="E1358" s="753" t="s">
        <v>1557</v>
      </c>
      <c r="F1358" s="685">
        <v>1</v>
      </c>
      <c r="G1358" s="239">
        <v>1</v>
      </c>
      <c r="H1358" s="203">
        <v>2</v>
      </c>
      <c r="I1358" s="198">
        <f>C1358*10</f>
        <v>100</v>
      </c>
      <c r="J1358" s="171">
        <f>4368-50</f>
        <v>4318</v>
      </c>
      <c r="K1358" s="198">
        <v>100</v>
      </c>
      <c r="L1358" s="198"/>
      <c r="M1358" s="198"/>
      <c r="N1358" s="721">
        <f t="shared" ref="N1358:N1360" si="636">IF(E1358="L Shape",(I1358+J1358)-(C1358*2*1),IF(E1358="U Shape",(I1358+J1358+K1358)-(C1358*2*2),IF(E1358="Rectangle",(I1358+J1358+K1358+L1358)+(C1358*10*2)-(C1358*2*5),IF(E1358="Straight",J1358-(C1358*0),IF(E1358="Chair",(I1358+J1358+K1358+L1358+M1358)-(C1358*2*4),IF(E1358="U2 Shape",(I1358+J1358+K1358+L1358+M1358)-(C1358*2*4),IF(E1358="U3 Shape",(I1358+J1358+K1358+L1358)-(C1358*2*3),IF(E1358="Z Shape",(I1358+J1358+K1358)-(C1358*2*2),IF(E1358="Triangle",(I1358+J1358+K1358)+(C1358*10*2)-(C1358*2*4),IF(E1358="Trapezoid2",(I1358+I1358+J1358+K1358+K1358+L1358)+(C1358*10*2)-(C1358*2*7),IF(E1358="Trapezoid",(I1358+J1358+K1358+L1358)+(C1358*10*2)-(C1358*2*5),IF(E1358="Link",J1358+(C1358*10*2),IF(E1358="U5 Shape",(I1358+J1358+K1358+L1358)-(C1358*2*3),IF(E1358="DU2 Shape",(I1358+J1358+K1358+L1358)-(C1358*2*4),IF(E1358="SU Shape",(I1358+J1358+K1358)-(C1358*2*2),"-")))))))))))))))</f>
        <v>4478</v>
      </c>
      <c r="O1358" s="721">
        <f t="shared" ref="O1358:O1360" si="637">IF(N1358&lt;12001,C1358*49*0,IF(N1358&lt;24001,C1358*49*1,IF(N1358&lt;36001,C1358*49*2,IF(N1358&lt;48001,C1358*49*3,IF(N1358&lt;60001,C1358*49*4,IF(N1358&lt;72001,(C1358*49*5),IF(N1358&lt;84001,(C1358*49*6),IF(N1358&lt;96001,(C1358*49*7),IF(N1358&lt;108001,(C1358*49*8),IF(N1358&lt;120001,(C1358*49*9),IF(N1358&lt;132001,(C1358*49*10),IF(N1358&lt;144001,(C1358*49*11),""))))))))))))</f>
        <v>0</v>
      </c>
      <c r="P1358" s="722" t="str">
        <f t="shared" ref="P1358:P1360" si="638">IF(C1358=8,ROUND(((N1358+O1358)*F1358*G1358*H1358)/1000,3),"-")</f>
        <v>-</v>
      </c>
      <c r="Q1358" s="686">
        <f t="shared" ref="Q1358:Q1360" si="639">IF(C1358=10,ROUND(((N1358+O1358)*F1358*G1358*H1358)/1000,3),"-")</f>
        <v>8.9559999999999995</v>
      </c>
      <c r="R1358" s="686" t="str">
        <f t="shared" ref="R1358:R1360" si="640">IF(C1358=12,ROUND(((N1358+O1358)*F1358*G1358*H1358)/1000,3),"-")</f>
        <v>-</v>
      </c>
      <c r="S1358" s="686" t="str">
        <f t="shared" ref="S1358:S1360" si="641">IF(C1358=16,ROUND(((N1358+O1358)*F1358*G1358*H1358)/1000,3),"-")</f>
        <v>-</v>
      </c>
      <c r="T1358" s="686" t="str">
        <f t="shared" ref="T1358:T1360" si="642">IF(C1358=20,ROUND(((N1358+O1358)*F1358*G1358*H1358)/1000,3),"-")</f>
        <v>-</v>
      </c>
      <c r="U1358" s="723" t="str">
        <f t="shared" ref="U1358:U1360" si="643">IF(C1358=25,ROUND(((N1358+O1358)*F1358*G1358*H1358)/1000,3),"-")</f>
        <v>-</v>
      </c>
      <c r="V1358" s="695" t="str">
        <f t="shared" ref="V1358:V1360" si="644">IF(C1358=32,ROUND(((N1358+O1358)*F1358*G1358*H1358)/1000,3),"-")</f>
        <v>-</v>
      </c>
      <c r="W1358" s="711"/>
    </row>
    <row r="1359" spans="1:23" ht="16.5" hidden="1" outlineLevel="1">
      <c r="A1359" s="726"/>
      <c r="B1359" s="726" t="s">
        <v>393</v>
      </c>
      <c r="C1359" s="727">
        <v>10</v>
      </c>
      <c r="D1359" s="690"/>
      <c r="E1359" s="753" t="s">
        <v>1557</v>
      </c>
      <c r="F1359" s="685">
        <v>1</v>
      </c>
      <c r="G1359" s="239">
        <v>1</v>
      </c>
      <c r="H1359" s="203">
        <v>2</v>
      </c>
      <c r="I1359" s="198">
        <f>C1359*10</f>
        <v>100</v>
      </c>
      <c r="J1359" s="171">
        <f>4368-50</f>
        <v>4318</v>
      </c>
      <c r="K1359" s="198">
        <v>100</v>
      </c>
      <c r="L1359" s="198"/>
      <c r="M1359" s="198"/>
      <c r="N1359" s="721">
        <f t="shared" si="636"/>
        <v>4478</v>
      </c>
      <c r="O1359" s="721">
        <f t="shared" si="637"/>
        <v>0</v>
      </c>
      <c r="P1359" s="722" t="str">
        <f t="shared" si="638"/>
        <v>-</v>
      </c>
      <c r="Q1359" s="686">
        <f t="shared" si="639"/>
        <v>8.9559999999999995</v>
      </c>
      <c r="R1359" s="686" t="str">
        <f t="shared" si="640"/>
        <v>-</v>
      </c>
      <c r="S1359" s="686" t="str">
        <f t="shared" si="641"/>
        <v>-</v>
      </c>
      <c r="T1359" s="686" t="str">
        <f t="shared" si="642"/>
        <v>-</v>
      </c>
      <c r="U1359" s="723" t="str">
        <f t="shared" si="643"/>
        <v>-</v>
      </c>
      <c r="V1359" s="695" t="str">
        <f t="shared" si="644"/>
        <v>-</v>
      </c>
      <c r="W1359" s="711"/>
    </row>
    <row r="1360" spans="1:23" ht="16.5" hidden="1" outlineLevel="1">
      <c r="A1360" s="726"/>
      <c r="B1360" s="726" t="s">
        <v>394</v>
      </c>
      <c r="C1360" s="727">
        <v>8</v>
      </c>
      <c r="D1360" s="690"/>
      <c r="E1360" s="754" t="s">
        <v>1558</v>
      </c>
      <c r="F1360" s="685">
        <v>1</v>
      </c>
      <c r="G1360" s="239">
        <v>1</v>
      </c>
      <c r="H1360" s="203">
        <f>((J1358)/200)+1</f>
        <v>22.59</v>
      </c>
      <c r="I1360" s="198">
        <v>180</v>
      </c>
      <c r="J1360" s="198">
        <v>150</v>
      </c>
      <c r="K1360" s="198">
        <v>180</v>
      </c>
      <c r="L1360" s="198">
        <v>150</v>
      </c>
      <c r="M1360" s="198"/>
      <c r="N1360" s="721">
        <f t="shared" si="636"/>
        <v>740</v>
      </c>
      <c r="O1360" s="721">
        <f t="shared" si="637"/>
        <v>0</v>
      </c>
      <c r="P1360" s="722">
        <f t="shared" si="638"/>
        <v>16.716999999999999</v>
      </c>
      <c r="Q1360" s="686" t="str">
        <f t="shared" si="639"/>
        <v>-</v>
      </c>
      <c r="R1360" s="686" t="str">
        <f t="shared" si="640"/>
        <v>-</v>
      </c>
      <c r="S1360" s="686" t="str">
        <f t="shared" si="641"/>
        <v>-</v>
      </c>
      <c r="T1360" s="686" t="str">
        <f t="shared" si="642"/>
        <v>-</v>
      </c>
      <c r="U1360" s="723" t="str">
        <f t="shared" si="643"/>
        <v>-</v>
      </c>
      <c r="V1360" s="695" t="str">
        <f t="shared" si="644"/>
        <v>-</v>
      </c>
      <c r="W1360" s="711"/>
    </row>
    <row r="1361" spans="1:23" ht="16.5" hidden="1" outlineLevel="1">
      <c r="A1361" s="195"/>
      <c r="B1361" s="172"/>
      <c r="C1361" s="196"/>
      <c r="D1361" s="685"/>
      <c r="E1361" s="196"/>
      <c r="F1361" s="685"/>
      <c r="G1361" s="204"/>
      <c r="H1361" s="203"/>
      <c r="I1361" s="198"/>
      <c r="J1361" s="198"/>
      <c r="K1361" s="198"/>
      <c r="L1361" s="198"/>
      <c r="M1361" s="198"/>
      <c r="N1361" s="198"/>
      <c r="O1361" s="198"/>
      <c r="P1361" s="199"/>
      <c r="Q1361" s="200"/>
      <c r="R1361" s="200"/>
      <c r="S1361" s="200"/>
      <c r="T1361" s="200"/>
      <c r="U1361" s="688"/>
      <c r="V1361" s="200"/>
      <c r="W1361" s="711"/>
    </row>
    <row r="1362" spans="1:23" ht="30.75" hidden="1" customHeight="1" outlineLevel="1">
      <c r="A1362" s="726">
        <v>6</v>
      </c>
      <c r="B1362" s="730" t="s">
        <v>1574</v>
      </c>
      <c r="C1362" s="727">
        <v>10</v>
      </c>
      <c r="D1362" s="690"/>
      <c r="E1362" s="753" t="s">
        <v>1557</v>
      </c>
      <c r="F1362" s="685">
        <v>1</v>
      </c>
      <c r="G1362" s="239">
        <v>1</v>
      </c>
      <c r="H1362" s="203">
        <v>2</v>
      </c>
      <c r="I1362" s="198">
        <f>C1362*10</f>
        <v>100</v>
      </c>
      <c r="J1362" s="171">
        <f>230-50</f>
        <v>180</v>
      </c>
      <c r="K1362" s="198">
        <v>100</v>
      </c>
      <c r="L1362" s="198"/>
      <c r="M1362" s="198"/>
      <c r="N1362" s="721">
        <f t="shared" ref="N1362:N1364" si="645">IF(E1362="L Shape",(I1362+J1362)-(C1362*2*1),IF(E1362="U Shape",(I1362+J1362+K1362)-(C1362*2*2),IF(E1362="Rectangle",(I1362+J1362+K1362+L1362)+(C1362*10*2)-(C1362*2*5),IF(E1362="Straight",J1362-(C1362*0),IF(E1362="Chair",(I1362+J1362+K1362+L1362+M1362)-(C1362*2*4),IF(E1362="U2 Shape",(I1362+J1362+K1362+L1362+M1362)-(C1362*2*4),IF(E1362="U3 Shape",(I1362+J1362+K1362+L1362)-(C1362*2*3),IF(E1362="Z Shape",(I1362+J1362+K1362)-(C1362*2*2),IF(E1362="Triangle",(I1362+J1362+K1362)+(C1362*10*2)-(C1362*2*4),IF(E1362="Trapezoid2",(I1362+I1362+J1362+K1362+K1362+L1362)+(C1362*10*2)-(C1362*2*7),IF(E1362="Trapezoid",(I1362+J1362+K1362+L1362)+(C1362*10*2)-(C1362*2*5),IF(E1362="Link",J1362+(C1362*10*2),IF(E1362="U5 Shape",(I1362+J1362+K1362+L1362)-(C1362*2*3),IF(E1362="DU2 Shape",(I1362+J1362+K1362+L1362)-(C1362*2*4),IF(E1362="SU Shape",(I1362+J1362+K1362)-(C1362*2*2),"-")))))))))))))))</f>
        <v>340</v>
      </c>
      <c r="O1362" s="721">
        <f t="shared" ref="O1362:O1364" si="646">IF(N1362&lt;12001,C1362*49*0,IF(N1362&lt;24001,C1362*49*1,IF(N1362&lt;36001,C1362*49*2,IF(N1362&lt;48001,C1362*49*3,IF(N1362&lt;60001,C1362*49*4,IF(N1362&lt;72001,(C1362*49*5),IF(N1362&lt;84001,(C1362*49*6),IF(N1362&lt;96001,(C1362*49*7),IF(N1362&lt;108001,(C1362*49*8),IF(N1362&lt;120001,(C1362*49*9),IF(N1362&lt;132001,(C1362*49*10),IF(N1362&lt;144001,(C1362*49*11),""))))))))))))</f>
        <v>0</v>
      </c>
      <c r="P1362" s="722" t="str">
        <f t="shared" ref="P1362:P1364" si="647">IF(C1362=8,ROUND(((N1362+O1362)*F1362*G1362*H1362)/1000,3),"-")</f>
        <v>-</v>
      </c>
      <c r="Q1362" s="686">
        <f t="shared" ref="Q1362:Q1364" si="648">IF(C1362=10,ROUND(((N1362+O1362)*F1362*G1362*H1362)/1000,3),"-")</f>
        <v>0.68</v>
      </c>
      <c r="R1362" s="686" t="str">
        <f t="shared" ref="R1362:R1364" si="649">IF(C1362=12,ROUND(((N1362+O1362)*F1362*G1362*H1362)/1000,3),"-")</f>
        <v>-</v>
      </c>
      <c r="S1362" s="686" t="str">
        <f t="shared" ref="S1362:S1364" si="650">IF(C1362=16,ROUND(((N1362+O1362)*F1362*G1362*H1362)/1000,3),"-")</f>
        <v>-</v>
      </c>
      <c r="T1362" s="686" t="str">
        <f t="shared" ref="T1362:T1364" si="651">IF(C1362=20,ROUND(((N1362+O1362)*F1362*G1362*H1362)/1000,3),"-")</f>
        <v>-</v>
      </c>
      <c r="U1362" s="723" t="str">
        <f t="shared" ref="U1362:U1364" si="652">IF(C1362=25,ROUND(((N1362+O1362)*F1362*G1362*H1362)/1000,3),"-")</f>
        <v>-</v>
      </c>
      <c r="V1362" s="695" t="str">
        <f t="shared" ref="V1362:V1364" si="653">IF(C1362=32,ROUND(((N1362+O1362)*F1362*G1362*H1362)/1000,3),"-")</f>
        <v>-</v>
      </c>
      <c r="W1362" s="711"/>
    </row>
    <row r="1363" spans="1:23" ht="16.5" hidden="1" outlineLevel="1">
      <c r="A1363" s="726"/>
      <c r="B1363" s="726" t="s">
        <v>393</v>
      </c>
      <c r="C1363" s="727">
        <v>10</v>
      </c>
      <c r="D1363" s="690"/>
      <c r="E1363" s="753" t="s">
        <v>1557</v>
      </c>
      <c r="F1363" s="685">
        <v>1</v>
      </c>
      <c r="G1363" s="239">
        <v>1</v>
      </c>
      <c r="H1363" s="203">
        <v>2</v>
      </c>
      <c r="I1363" s="198">
        <f>C1363*10</f>
        <v>100</v>
      </c>
      <c r="J1363" s="171">
        <f>230-50</f>
        <v>180</v>
      </c>
      <c r="K1363" s="198">
        <v>100</v>
      </c>
      <c r="L1363" s="198"/>
      <c r="M1363" s="198"/>
      <c r="N1363" s="721">
        <f t="shared" si="645"/>
        <v>340</v>
      </c>
      <c r="O1363" s="721">
        <f t="shared" si="646"/>
        <v>0</v>
      </c>
      <c r="P1363" s="722" t="str">
        <f t="shared" si="647"/>
        <v>-</v>
      </c>
      <c r="Q1363" s="686">
        <f t="shared" si="648"/>
        <v>0.68</v>
      </c>
      <c r="R1363" s="686" t="str">
        <f t="shared" si="649"/>
        <v>-</v>
      </c>
      <c r="S1363" s="686" t="str">
        <f t="shared" si="650"/>
        <v>-</v>
      </c>
      <c r="T1363" s="686" t="str">
        <f t="shared" si="651"/>
        <v>-</v>
      </c>
      <c r="U1363" s="723" t="str">
        <f t="shared" si="652"/>
        <v>-</v>
      </c>
      <c r="V1363" s="695" t="str">
        <f t="shared" si="653"/>
        <v>-</v>
      </c>
      <c r="W1363" s="711"/>
    </row>
    <row r="1364" spans="1:23" ht="16.5" hidden="1" outlineLevel="1">
      <c r="A1364" s="726"/>
      <c r="B1364" s="726" t="s">
        <v>394</v>
      </c>
      <c r="C1364" s="727">
        <v>8</v>
      </c>
      <c r="D1364" s="690"/>
      <c r="E1364" s="754" t="s">
        <v>1558</v>
      </c>
      <c r="F1364" s="685">
        <v>1</v>
      </c>
      <c r="G1364" s="239">
        <v>1</v>
      </c>
      <c r="H1364" s="203">
        <f>((J1362)/200)+1</f>
        <v>1.9</v>
      </c>
      <c r="I1364" s="198">
        <v>180</v>
      </c>
      <c r="J1364" s="198">
        <v>150</v>
      </c>
      <c r="K1364" s="198">
        <v>180</v>
      </c>
      <c r="L1364" s="198">
        <v>150</v>
      </c>
      <c r="M1364" s="198"/>
      <c r="N1364" s="721">
        <f t="shared" si="645"/>
        <v>740</v>
      </c>
      <c r="O1364" s="721">
        <f t="shared" si="646"/>
        <v>0</v>
      </c>
      <c r="P1364" s="722">
        <f t="shared" si="647"/>
        <v>1.4059999999999999</v>
      </c>
      <c r="Q1364" s="686" t="str">
        <f t="shared" si="648"/>
        <v>-</v>
      </c>
      <c r="R1364" s="686" t="str">
        <f t="shared" si="649"/>
        <v>-</v>
      </c>
      <c r="S1364" s="686" t="str">
        <f t="shared" si="650"/>
        <v>-</v>
      </c>
      <c r="T1364" s="686" t="str">
        <f t="shared" si="651"/>
        <v>-</v>
      </c>
      <c r="U1364" s="723" t="str">
        <f t="shared" si="652"/>
        <v>-</v>
      </c>
      <c r="V1364" s="695" t="str">
        <f t="shared" si="653"/>
        <v>-</v>
      </c>
      <c r="W1364" s="711"/>
    </row>
    <row r="1365" spans="1:23" ht="16.5" hidden="1" outlineLevel="1">
      <c r="A1365" s="195"/>
      <c r="B1365" s="172"/>
      <c r="C1365" s="196"/>
      <c r="D1365" s="685"/>
      <c r="E1365" s="196"/>
      <c r="F1365" s="685"/>
      <c r="G1365" s="204"/>
      <c r="H1365" s="203"/>
      <c r="I1365" s="198"/>
      <c r="J1365" s="198"/>
      <c r="K1365" s="198"/>
      <c r="L1365" s="198"/>
      <c r="M1365" s="198"/>
      <c r="N1365" s="198"/>
      <c r="O1365" s="198"/>
      <c r="P1365" s="199"/>
      <c r="Q1365" s="200"/>
      <c r="R1365" s="200"/>
      <c r="S1365" s="200"/>
      <c r="T1365" s="200"/>
      <c r="U1365" s="688"/>
      <c r="V1365" s="200"/>
      <c r="W1365" s="711"/>
    </row>
    <row r="1366" spans="1:23" ht="49.5" hidden="1" outlineLevel="1">
      <c r="A1366" s="5" t="s">
        <v>1637</v>
      </c>
      <c r="B1366" s="748" t="s">
        <v>849</v>
      </c>
      <c r="C1366" s="196"/>
      <c r="D1366" s="685"/>
      <c r="E1366" s="196"/>
      <c r="F1366" s="685"/>
      <c r="G1366" s="204"/>
      <c r="H1366" s="203"/>
      <c r="I1366" s="198"/>
      <c r="J1366" s="198"/>
      <c r="K1366" s="198"/>
      <c r="L1366" s="198"/>
      <c r="M1366" s="198"/>
      <c r="N1366" s="198"/>
      <c r="O1366" s="198"/>
      <c r="P1366" s="199"/>
      <c r="Q1366" s="200"/>
      <c r="R1366" s="200"/>
      <c r="S1366" s="200"/>
      <c r="T1366" s="200"/>
      <c r="U1366" s="688"/>
      <c r="V1366" s="200"/>
      <c r="W1366" s="711"/>
    </row>
    <row r="1367" spans="1:23" ht="33" hidden="1" outlineLevel="1">
      <c r="A1367" s="4" t="s">
        <v>1638</v>
      </c>
      <c r="B1367" s="751" t="s">
        <v>850</v>
      </c>
      <c r="C1367" s="196"/>
      <c r="D1367" s="685"/>
      <c r="E1367" s="196"/>
      <c r="F1367" s="685"/>
      <c r="G1367" s="204"/>
      <c r="H1367" s="203"/>
      <c r="I1367" s="198"/>
      <c r="J1367" s="198"/>
      <c r="K1367" s="198"/>
      <c r="L1367" s="198"/>
      <c r="M1367" s="198"/>
      <c r="N1367" s="198"/>
      <c r="O1367" s="198"/>
      <c r="P1367" s="199"/>
      <c r="Q1367" s="200"/>
      <c r="R1367" s="200"/>
      <c r="S1367" s="200"/>
      <c r="T1367" s="200"/>
      <c r="U1367" s="688"/>
      <c r="V1367" s="200"/>
      <c r="W1367" s="711"/>
    </row>
    <row r="1368" spans="1:23" ht="16.5" hidden="1" outlineLevel="1">
      <c r="A1368" s="195"/>
      <c r="B1368" s="172"/>
      <c r="C1368" s="196"/>
      <c r="D1368" s="685"/>
      <c r="E1368" s="196"/>
      <c r="F1368" s="685"/>
      <c r="G1368" s="204"/>
      <c r="H1368" s="203"/>
      <c r="I1368" s="198"/>
      <c r="J1368" s="198"/>
      <c r="K1368" s="198"/>
      <c r="L1368" s="198"/>
      <c r="M1368" s="198"/>
      <c r="N1368" s="198"/>
      <c r="O1368" s="198"/>
      <c r="P1368" s="199"/>
      <c r="Q1368" s="200"/>
      <c r="R1368" s="200"/>
      <c r="S1368" s="200"/>
      <c r="T1368" s="200"/>
      <c r="U1368" s="688"/>
      <c r="V1368" s="200"/>
      <c r="W1368" s="711"/>
    </row>
    <row r="1369" spans="1:23" ht="30.75" hidden="1" customHeight="1" outlineLevel="1">
      <c r="A1369" s="726">
        <v>1</v>
      </c>
      <c r="B1369" s="730" t="s">
        <v>1574</v>
      </c>
      <c r="C1369" s="727">
        <v>10</v>
      </c>
      <c r="D1369" s="690"/>
      <c r="E1369" s="753" t="s">
        <v>1557</v>
      </c>
      <c r="F1369" s="685">
        <v>1</v>
      </c>
      <c r="G1369" s="239">
        <v>1</v>
      </c>
      <c r="H1369" s="203">
        <v>2</v>
      </c>
      <c r="I1369" s="198">
        <f>C1369*10</f>
        <v>100</v>
      </c>
      <c r="J1369" s="171">
        <f>19541-50</f>
        <v>19491</v>
      </c>
      <c r="K1369" s="198">
        <v>100</v>
      </c>
      <c r="L1369" s="198"/>
      <c r="M1369" s="198"/>
      <c r="N1369" s="721">
        <f t="shared" ref="N1369:N1371" si="654">IF(E1369="L Shape",(I1369+J1369)-(C1369*2*1),IF(E1369="U Shape",(I1369+J1369+K1369)-(C1369*2*2),IF(E1369="Rectangle",(I1369+J1369+K1369+L1369)+(C1369*10*2)-(C1369*2*5),IF(E1369="Straight",J1369-(C1369*0),IF(E1369="Chair",(I1369+J1369+K1369+L1369+M1369)-(C1369*2*4),IF(E1369="U2 Shape",(I1369+J1369+K1369+L1369+M1369)-(C1369*2*4),IF(E1369="U3 Shape",(I1369+J1369+K1369+L1369)-(C1369*2*3),IF(E1369="Z Shape",(I1369+J1369+K1369)-(C1369*2*2),IF(E1369="Triangle",(I1369+J1369+K1369)+(C1369*10*2)-(C1369*2*4),IF(E1369="Trapezoid2",(I1369+I1369+J1369+K1369+K1369+L1369)+(C1369*10*2)-(C1369*2*7),IF(E1369="Trapezoid",(I1369+J1369+K1369+L1369)+(C1369*10*2)-(C1369*2*5),IF(E1369="Link",J1369+(C1369*10*2),IF(E1369="U5 Shape",(I1369+J1369+K1369+L1369)-(C1369*2*3),IF(E1369="DU2 Shape",(I1369+J1369+K1369+L1369)-(C1369*2*4),IF(E1369="SU Shape",(I1369+J1369+K1369)-(C1369*2*2),"-")))))))))))))))</f>
        <v>19651</v>
      </c>
      <c r="O1369" s="721">
        <f t="shared" ref="O1369:O1371" si="655">IF(N1369&lt;12001,C1369*49*0,IF(N1369&lt;24001,C1369*49*1,IF(N1369&lt;36001,C1369*49*2,IF(N1369&lt;48001,C1369*49*3,IF(N1369&lt;60001,C1369*49*4,IF(N1369&lt;72001,(C1369*49*5),IF(N1369&lt;84001,(C1369*49*6),IF(N1369&lt;96001,(C1369*49*7),IF(N1369&lt;108001,(C1369*49*8),IF(N1369&lt;120001,(C1369*49*9),IF(N1369&lt;132001,(C1369*49*10),IF(N1369&lt;144001,(C1369*49*11),""))))))))))))</f>
        <v>490</v>
      </c>
      <c r="P1369" s="722" t="str">
        <f t="shared" ref="P1369:P1371" si="656">IF(C1369=8,ROUND(((N1369+O1369)*F1369*G1369*H1369)/1000,3),"-")</f>
        <v>-</v>
      </c>
      <c r="Q1369" s="686">
        <f t="shared" ref="Q1369:Q1371" si="657">IF(C1369=10,ROUND(((N1369+O1369)*F1369*G1369*H1369)/1000,3),"-")</f>
        <v>40.281999999999996</v>
      </c>
      <c r="R1369" s="686" t="str">
        <f t="shared" ref="R1369:R1371" si="658">IF(C1369=12,ROUND(((N1369+O1369)*F1369*G1369*H1369)/1000,3),"-")</f>
        <v>-</v>
      </c>
      <c r="S1369" s="686" t="str">
        <f t="shared" ref="S1369:S1371" si="659">IF(C1369=16,ROUND(((N1369+O1369)*F1369*G1369*H1369)/1000,3),"-")</f>
        <v>-</v>
      </c>
      <c r="T1369" s="686" t="str">
        <f t="shared" ref="T1369:T1371" si="660">IF(C1369=20,ROUND(((N1369+O1369)*F1369*G1369*H1369)/1000,3),"-")</f>
        <v>-</v>
      </c>
      <c r="U1369" s="723" t="str">
        <f t="shared" ref="U1369:U1371" si="661">IF(C1369=25,ROUND(((N1369+O1369)*F1369*G1369*H1369)/1000,3),"-")</f>
        <v>-</v>
      </c>
      <c r="V1369" s="695" t="str">
        <f t="shared" ref="V1369:V1371" si="662">IF(C1369=32,ROUND(((N1369+O1369)*F1369*G1369*H1369)/1000,3),"-")</f>
        <v>-</v>
      </c>
      <c r="W1369" s="711"/>
    </row>
    <row r="1370" spans="1:23" ht="16.5" hidden="1" outlineLevel="1">
      <c r="A1370" s="726"/>
      <c r="B1370" s="726" t="s">
        <v>393</v>
      </c>
      <c r="C1370" s="727">
        <v>10</v>
      </c>
      <c r="D1370" s="690"/>
      <c r="E1370" s="753" t="s">
        <v>1557</v>
      </c>
      <c r="F1370" s="685">
        <v>1</v>
      </c>
      <c r="G1370" s="239">
        <v>1</v>
      </c>
      <c r="H1370" s="203">
        <v>2</v>
      </c>
      <c r="I1370" s="198">
        <f>C1370*10</f>
        <v>100</v>
      </c>
      <c r="J1370" s="171">
        <f>19541-50</f>
        <v>19491</v>
      </c>
      <c r="K1370" s="198">
        <v>100</v>
      </c>
      <c r="L1370" s="198"/>
      <c r="M1370" s="198"/>
      <c r="N1370" s="721">
        <f t="shared" si="654"/>
        <v>19651</v>
      </c>
      <c r="O1370" s="721">
        <f t="shared" si="655"/>
        <v>490</v>
      </c>
      <c r="P1370" s="722" t="str">
        <f t="shared" si="656"/>
        <v>-</v>
      </c>
      <c r="Q1370" s="686">
        <f t="shared" si="657"/>
        <v>40.281999999999996</v>
      </c>
      <c r="R1370" s="686" t="str">
        <f t="shared" si="658"/>
        <v>-</v>
      </c>
      <c r="S1370" s="686" t="str">
        <f t="shared" si="659"/>
        <v>-</v>
      </c>
      <c r="T1370" s="686" t="str">
        <f t="shared" si="660"/>
        <v>-</v>
      </c>
      <c r="U1370" s="723" t="str">
        <f t="shared" si="661"/>
        <v>-</v>
      </c>
      <c r="V1370" s="695" t="str">
        <f t="shared" si="662"/>
        <v>-</v>
      </c>
      <c r="W1370" s="711"/>
    </row>
    <row r="1371" spans="1:23" ht="16.5" hidden="1" outlineLevel="1">
      <c r="A1371" s="726"/>
      <c r="B1371" s="726" t="s">
        <v>394</v>
      </c>
      <c r="C1371" s="727">
        <v>8</v>
      </c>
      <c r="D1371" s="690"/>
      <c r="E1371" s="754" t="s">
        <v>1558</v>
      </c>
      <c r="F1371" s="685">
        <v>1</v>
      </c>
      <c r="G1371" s="239">
        <v>1</v>
      </c>
      <c r="H1371" s="203">
        <f>((J1369)/200)+1</f>
        <v>98.454999999999998</v>
      </c>
      <c r="I1371" s="198">
        <v>180</v>
      </c>
      <c r="J1371" s="198">
        <v>150</v>
      </c>
      <c r="K1371" s="198">
        <v>180</v>
      </c>
      <c r="L1371" s="198">
        <v>150</v>
      </c>
      <c r="M1371" s="198"/>
      <c r="N1371" s="721">
        <f t="shared" si="654"/>
        <v>740</v>
      </c>
      <c r="O1371" s="721">
        <f t="shared" si="655"/>
        <v>0</v>
      </c>
      <c r="P1371" s="722">
        <f t="shared" si="656"/>
        <v>72.856999999999999</v>
      </c>
      <c r="Q1371" s="686" t="str">
        <f t="shared" si="657"/>
        <v>-</v>
      </c>
      <c r="R1371" s="686" t="str">
        <f t="shared" si="658"/>
        <v>-</v>
      </c>
      <c r="S1371" s="686" t="str">
        <f t="shared" si="659"/>
        <v>-</v>
      </c>
      <c r="T1371" s="686" t="str">
        <f t="shared" si="660"/>
        <v>-</v>
      </c>
      <c r="U1371" s="723" t="str">
        <f t="shared" si="661"/>
        <v>-</v>
      </c>
      <c r="V1371" s="695" t="str">
        <f t="shared" si="662"/>
        <v>-</v>
      </c>
      <c r="W1371" s="711"/>
    </row>
    <row r="1372" spans="1:23" ht="16.5" hidden="1" outlineLevel="1">
      <c r="A1372" s="195"/>
      <c r="B1372" s="172"/>
      <c r="C1372" s="196"/>
      <c r="D1372" s="685"/>
      <c r="E1372" s="196"/>
      <c r="F1372" s="685"/>
      <c r="G1372" s="204"/>
      <c r="H1372" s="203"/>
      <c r="I1372" s="198"/>
      <c r="J1372" s="198"/>
      <c r="K1372" s="198"/>
      <c r="L1372" s="198"/>
      <c r="M1372" s="198"/>
      <c r="N1372" s="198"/>
      <c r="O1372" s="198"/>
      <c r="P1372" s="199"/>
      <c r="Q1372" s="200"/>
      <c r="R1372" s="200"/>
      <c r="S1372" s="200"/>
      <c r="T1372" s="200"/>
      <c r="U1372" s="688"/>
      <c r="V1372" s="200"/>
      <c r="W1372" s="711"/>
    </row>
    <row r="1373" spans="1:23" ht="30.75" hidden="1" customHeight="1" outlineLevel="1">
      <c r="A1373" s="726">
        <v>2</v>
      </c>
      <c r="B1373" s="730" t="s">
        <v>1574</v>
      </c>
      <c r="C1373" s="727">
        <v>10</v>
      </c>
      <c r="D1373" s="690"/>
      <c r="E1373" s="753" t="s">
        <v>1557</v>
      </c>
      <c r="F1373" s="685">
        <v>1</v>
      </c>
      <c r="G1373" s="239">
        <v>1</v>
      </c>
      <c r="H1373" s="203">
        <v>2</v>
      </c>
      <c r="I1373" s="198">
        <f>C1373*10</f>
        <v>100</v>
      </c>
      <c r="J1373" s="171">
        <f>9868-50</f>
        <v>9818</v>
      </c>
      <c r="K1373" s="198">
        <v>100</v>
      </c>
      <c r="L1373" s="198"/>
      <c r="M1373" s="198"/>
      <c r="N1373" s="721">
        <f t="shared" ref="N1373:N1375" si="663">IF(E1373="L Shape",(I1373+J1373)-(C1373*2*1),IF(E1373="U Shape",(I1373+J1373+K1373)-(C1373*2*2),IF(E1373="Rectangle",(I1373+J1373+K1373+L1373)+(C1373*10*2)-(C1373*2*5),IF(E1373="Straight",J1373-(C1373*0),IF(E1373="Chair",(I1373+J1373+K1373+L1373+M1373)-(C1373*2*4),IF(E1373="U2 Shape",(I1373+J1373+K1373+L1373+M1373)-(C1373*2*4),IF(E1373="U3 Shape",(I1373+J1373+K1373+L1373)-(C1373*2*3),IF(E1373="Z Shape",(I1373+J1373+K1373)-(C1373*2*2),IF(E1373="Triangle",(I1373+J1373+K1373)+(C1373*10*2)-(C1373*2*4),IF(E1373="Trapezoid2",(I1373+I1373+J1373+K1373+K1373+L1373)+(C1373*10*2)-(C1373*2*7),IF(E1373="Trapezoid",(I1373+J1373+K1373+L1373)+(C1373*10*2)-(C1373*2*5),IF(E1373="Link",J1373+(C1373*10*2),IF(E1373="U5 Shape",(I1373+J1373+K1373+L1373)-(C1373*2*3),IF(E1373="DU2 Shape",(I1373+J1373+K1373+L1373)-(C1373*2*4),IF(E1373="SU Shape",(I1373+J1373+K1373)-(C1373*2*2),"-")))))))))))))))</f>
        <v>9978</v>
      </c>
      <c r="O1373" s="721">
        <f t="shared" ref="O1373:O1375" si="664">IF(N1373&lt;12001,C1373*49*0,IF(N1373&lt;24001,C1373*49*1,IF(N1373&lt;36001,C1373*49*2,IF(N1373&lt;48001,C1373*49*3,IF(N1373&lt;60001,C1373*49*4,IF(N1373&lt;72001,(C1373*49*5),IF(N1373&lt;84001,(C1373*49*6),IF(N1373&lt;96001,(C1373*49*7),IF(N1373&lt;108001,(C1373*49*8),IF(N1373&lt;120001,(C1373*49*9),IF(N1373&lt;132001,(C1373*49*10),IF(N1373&lt;144001,(C1373*49*11),""))))))))))))</f>
        <v>0</v>
      </c>
      <c r="P1373" s="722" t="str">
        <f t="shared" ref="P1373:P1375" si="665">IF(C1373=8,ROUND(((N1373+O1373)*F1373*G1373*H1373)/1000,3),"-")</f>
        <v>-</v>
      </c>
      <c r="Q1373" s="686">
        <f t="shared" ref="Q1373:Q1375" si="666">IF(C1373=10,ROUND(((N1373+O1373)*F1373*G1373*H1373)/1000,3),"-")</f>
        <v>19.956</v>
      </c>
      <c r="R1373" s="686" t="str">
        <f t="shared" ref="R1373:R1375" si="667">IF(C1373=12,ROUND(((N1373+O1373)*F1373*G1373*H1373)/1000,3),"-")</f>
        <v>-</v>
      </c>
      <c r="S1373" s="686" t="str">
        <f t="shared" ref="S1373:S1375" si="668">IF(C1373=16,ROUND(((N1373+O1373)*F1373*G1373*H1373)/1000,3),"-")</f>
        <v>-</v>
      </c>
      <c r="T1373" s="686" t="str">
        <f t="shared" ref="T1373:T1375" si="669">IF(C1373=20,ROUND(((N1373+O1373)*F1373*G1373*H1373)/1000,3),"-")</f>
        <v>-</v>
      </c>
      <c r="U1373" s="723" t="str">
        <f t="shared" ref="U1373:U1375" si="670">IF(C1373=25,ROUND(((N1373+O1373)*F1373*G1373*H1373)/1000,3),"-")</f>
        <v>-</v>
      </c>
      <c r="V1373" s="695" t="str">
        <f t="shared" ref="V1373:V1375" si="671">IF(C1373=32,ROUND(((N1373+O1373)*F1373*G1373*H1373)/1000,3),"-")</f>
        <v>-</v>
      </c>
      <c r="W1373" s="711"/>
    </row>
    <row r="1374" spans="1:23" ht="16.5" hidden="1" outlineLevel="1">
      <c r="A1374" s="726"/>
      <c r="B1374" s="726" t="s">
        <v>393</v>
      </c>
      <c r="C1374" s="727">
        <v>10</v>
      </c>
      <c r="D1374" s="690"/>
      <c r="E1374" s="753" t="s">
        <v>1557</v>
      </c>
      <c r="F1374" s="685">
        <v>1</v>
      </c>
      <c r="G1374" s="239">
        <v>1</v>
      </c>
      <c r="H1374" s="203">
        <v>2</v>
      </c>
      <c r="I1374" s="198">
        <f>C1374*10</f>
        <v>100</v>
      </c>
      <c r="J1374" s="171">
        <f>9868-50</f>
        <v>9818</v>
      </c>
      <c r="K1374" s="198">
        <v>100</v>
      </c>
      <c r="L1374" s="198"/>
      <c r="M1374" s="198"/>
      <c r="N1374" s="721">
        <f t="shared" si="663"/>
        <v>9978</v>
      </c>
      <c r="O1374" s="721">
        <f t="shared" si="664"/>
        <v>0</v>
      </c>
      <c r="P1374" s="722" t="str">
        <f t="shared" si="665"/>
        <v>-</v>
      </c>
      <c r="Q1374" s="686">
        <f t="shared" si="666"/>
        <v>19.956</v>
      </c>
      <c r="R1374" s="686" t="str">
        <f t="shared" si="667"/>
        <v>-</v>
      </c>
      <c r="S1374" s="686" t="str">
        <f t="shared" si="668"/>
        <v>-</v>
      </c>
      <c r="T1374" s="686" t="str">
        <f t="shared" si="669"/>
        <v>-</v>
      </c>
      <c r="U1374" s="723" t="str">
        <f t="shared" si="670"/>
        <v>-</v>
      </c>
      <c r="V1374" s="695" t="str">
        <f t="shared" si="671"/>
        <v>-</v>
      </c>
      <c r="W1374" s="711"/>
    </row>
    <row r="1375" spans="1:23" ht="16.5" hidden="1" outlineLevel="1">
      <c r="A1375" s="726"/>
      <c r="B1375" s="726" t="s">
        <v>394</v>
      </c>
      <c r="C1375" s="727">
        <v>8</v>
      </c>
      <c r="D1375" s="690"/>
      <c r="E1375" s="754" t="s">
        <v>1558</v>
      </c>
      <c r="F1375" s="685">
        <v>1</v>
      </c>
      <c r="G1375" s="239">
        <v>1</v>
      </c>
      <c r="H1375" s="203">
        <f>((J1373)/200)+1</f>
        <v>50.09</v>
      </c>
      <c r="I1375" s="198">
        <v>180</v>
      </c>
      <c r="J1375" s="198">
        <v>150</v>
      </c>
      <c r="K1375" s="198">
        <v>180</v>
      </c>
      <c r="L1375" s="198">
        <v>150</v>
      </c>
      <c r="M1375" s="198"/>
      <c r="N1375" s="721">
        <f t="shared" si="663"/>
        <v>740</v>
      </c>
      <c r="O1375" s="721">
        <f t="shared" si="664"/>
        <v>0</v>
      </c>
      <c r="P1375" s="722">
        <f t="shared" si="665"/>
        <v>37.067</v>
      </c>
      <c r="Q1375" s="686" t="str">
        <f t="shared" si="666"/>
        <v>-</v>
      </c>
      <c r="R1375" s="686" t="str">
        <f t="shared" si="667"/>
        <v>-</v>
      </c>
      <c r="S1375" s="686" t="str">
        <f t="shared" si="668"/>
        <v>-</v>
      </c>
      <c r="T1375" s="686" t="str">
        <f t="shared" si="669"/>
        <v>-</v>
      </c>
      <c r="U1375" s="723" t="str">
        <f t="shared" si="670"/>
        <v>-</v>
      </c>
      <c r="V1375" s="695" t="str">
        <f t="shared" si="671"/>
        <v>-</v>
      </c>
      <c r="W1375" s="711"/>
    </row>
    <row r="1376" spans="1:23" ht="16.5" hidden="1" outlineLevel="1">
      <c r="A1376" s="195"/>
      <c r="B1376" s="172"/>
      <c r="C1376" s="196"/>
      <c r="D1376" s="685"/>
      <c r="E1376" s="196"/>
      <c r="F1376" s="685"/>
      <c r="G1376" s="204"/>
      <c r="H1376" s="203"/>
      <c r="I1376" s="198"/>
      <c r="J1376" s="198"/>
      <c r="K1376" s="198"/>
      <c r="L1376" s="198"/>
      <c r="M1376" s="198"/>
      <c r="N1376" s="198"/>
      <c r="O1376" s="198"/>
      <c r="P1376" s="199"/>
      <c r="Q1376" s="200"/>
      <c r="R1376" s="200"/>
      <c r="S1376" s="200"/>
      <c r="T1376" s="200"/>
      <c r="U1376" s="688"/>
      <c r="V1376" s="200"/>
      <c r="W1376" s="711"/>
    </row>
    <row r="1377" spans="1:23" ht="30.75" hidden="1" customHeight="1" outlineLevel="1">
      <c r="A1377" s="726">
        <v>3</v>
      </c>
      <c r="B1377" s="730" t="s">
        <v>1574</v>
      </c>
      <c r="C1377" s="727">
        <v>10</v>
      </c>
      <c r="D1377" s="690"/>
      <c r="E1377" s="753" t="s">
        <v>1557</v>
      </c>
      <c r="F1377" s="685">
        <v>1</v>
      </c>
      <c r="G1377" s="239">
        <v>1</v>
      </c>
      <c r="H1377" s="203">
        <v>2</v>
      </c>
      <c r="I1377" s="198">
        <f>C1377*10</f>
        <v>100</v>
      </c>
      <c r="J1377" s="171">
        <f>7505-50</f>
        <v>7455</v>
      </c>
      <c r="K1377" s="198">
        <v>100</v>
      </c>
      <c r="L1377" s="198"/>
      <c r="M1377" s="198"/>
      <c r="N1377" s="721">
        <f t="shared" ref="N1377:N1379" si="672">IF(E1377="L Shape",(I1377+J1377)-(C1377*2*1),IF(E1377="U Shape",(I1377+J1377+K1377)-(C1377*2*2),IF(E1377="Rectangle",(I1377+J1377+K1377+L1377)+(C1377*10*2)-(C1377*2*5),IF(E1377="Straight",J1377-(C1377*0),IF(E1377="Chair",(I1377+J1377+K1377+L1377+M1377)-(C1377*2*4),IF(E1377="U2 Shape",(I1377+J1377+K1377+L1377+M1377)-(C1377*2*4),IF(E1377="U3 Shape",(I1377+J1377+K1377+L1377)-(C1377*2*3),IF(E1377="Z Shape",(I1377+J1377+K1377)-(C1377*2*2),IF(E1377="Triangle",(I1377+J1377+K1377)+(C1377*10*2)-(C1377*2*4),IF(E1377="Trapezoid2",(I1377+I1377+J1377+K1377+K1377+L1377)+(C1377*10*2)-(C1377*2*7),IF(E1377="Trapezoid",(I1377+J1377+K1377+L1377)+(C1377*10*2)-(C1377*2*5),IF(E1377="Link",J1377+(C1377*10*2),IF(E1377="U5 Shape",(I1377+J1377+K1377+L1377)-(C1377*2*3),IF(E1377="DU2 Shape",(I1377+J1377+K1377+L1377)-(C1377*2*4),IF(E1377="SU Shape",(I1377+J1377+K1377)-(C1377*2*2),"-")))))))))))))))</f>
        <v>7615</v>
      </c>
      <c r="O1377" s="721">
        <f t="shared" ref="O1377:O1379" si="673">IF(N1377&lt;12001,C1377*49*0,IF(N1377&lt;24001,C1377*49*1,IF(N1377&lt;36001,C1377*49*2,IF(N1377&lt;48001,C1377*49*3,IF(N1377&lt;60001,C1377*49*4,IF(N1377&lt;72001,(C1377*49*5),IF(N1377&lt;84001,(C1377*49*6),IF(N1377&lt;96001,(C1377*49*7),IF(N1377&lt;108001,(C1377*49*8),IF(N1377&lt;120001,(C1377*49*9),IF(N1377&lt;132001,(C1377*49*10),IF(N1377&lt;144001,(C1377*49*11),""))))))))))))</f>
        <v>0</v>
      </c>
      <c r="P1377" s="722" t="str">
        <f t="shared" ref="P1377:P1379" si="674">IF(C1377=8,ROUND(((N1377+O1377)*F1377*G1377*H1377)/1000,3),"-")</f>
        <v>-</v>
      </c>
      <c r="Q1377" s="686">
        <f t="shared" ref="Q1377:Q1379" si="675">IF(C1377=10,ROUND(((N1377+O1377)*F1377*G1377*H1377)/1000,3),"-")</f>
        <v>15.23</v>
      </c>
      <c r="R1377" s="686" t="str">
        <f t="shared" ref="R1377:R1379" si="676">IF(C1377=12,ROUND(((N1377+O1377)*F1377*G1377*H1377)/1000,3),"-")</f>
        <v>-</v>
      </c>
      <c r="S1377" s="686" t="str">
        <f t="shared" ref="S1377:S1379" si="677">IF(C1377=16,ROUND(((N1377+O1377)*F1377*G1377*H1377)/1000,3),"-")</f>
        <v>-</v>
      </c>
      <c r="T1377" s="686" t="str">
        <f t="shared" ref="T1377:T1379" si="678">IF(C1377=20,ROUND(((N1377+O1377)*F1377*G1377*H1377)/1000,3),"-")</f>
        <v>-</v>
      </c>
      <c r="U1377" s="723" t="str">
        <f t="shared" ref="U1377:U1379" si="679">IF(C1377=25,ROUND(((N1377+O1377)*F1377*G1377*H1377)/1000,3),"-")</f>
        <v>-</v>
      </c>
      <c r="V1377" s="695" t="str">
        <f t="shared" ref="V1377:V1379" si="680">IF(C1377=32,ROUND(((N1377+O1377)*F1377*G1377*H1377)/1000,3),"-")</f>
        <v>-</v>
      </c>
      <c r="W1377" s="711"/>
    </row>
    <row r="1378" spans="1:23" ht="16.5" hidden="1" outlineLevel="1">
      <c r="A1378" s="726"/>
      <c r="B1378" s="726" t="s">
        <v>393</v>
      </c>
      <c r="C1378" s="727">
        <v>10</v>
      </c>
      <c r="D1378" s="690"/>
      <c r="E1378" s="753" t="s">
        <v>1557</v>
      </c>
      <c r="F1378" s="685">
        <v>1</v>
      </c>
      <c r="G1378" s="239">
        <v>1</v>
      </c>
      <c r="H1378" s="203">
        <v>2</v>
      </c>
      <c r="I1378" s="198">
        <f>C1378*10</f>
        <v>100</v>
      </c>
      <c r="J1378" s="171">
        <f>7505-50</f>
        <v>7455</v>
      </c>
      <c r="K1378" s="198">
        <v>100</v>
      </c>
      <c r="L1378" s="198"/>
      <c r="M1378" s="198"/>
      <c r="N1378" s="721">
        <f t="shared" si="672"/>
        <v>7615</v>
      </c>
      <c r="O1378" s="721">
        <f t="shared" si="673"/>
        <v>0</v>
      </c>
      <c r="P1378" s="722" t="str">
        <f t="shared" si="674"/>
        <v>-</v>
      </c>
      <c r="Q1378" s="686">
        <f t="shared" si="675"/>
        <v>15.23</v>
      </c>
      <c r="R1378" s="686" t="str">
        <f t="shared" si="676"/>
        <v>-</v>
      </c>
      <c r="S1378" s="686" t="str">
        <f t="shared" si="677"/>
        <v>-</v>
      </c>
      <c r="T1378" s="686" t="str">
        <f t="shared" si="678"/>
        <v>-</v>
      </c>
      <c r="U1378" s="723" t="str">
        <f t="shared" si="679"/>
        <v>-</v>
      </c>
      <c r="V1378" s="695" t="str">
        <f t="shared" si="680"/>
        <v>-</v>
      </c>
      <c r="W1378" s="711"/>
    </row>
    <row r="1379" spans="1:23" ht="16.5" hidden="1" outlineLevel="1">
      <c r="A1379" s="726"/>
      <c r="B1379" s="726" t="s">
        <v>394</v>
      </c>
      <c r="C1379" s="727">
        <v>8</v>
      </c>
      <c r="D1379" s="690"/>
      <c r="E1379" s="754" t="s">
        <v>1558</v>
      </c>
      <c r="F1379" s="685">
        <v>1</v>
      </c>
      <c r="G1379" s="239">
        <v>1</v>
      </c>
      <c r="H1379" s="203">
        <f>((J1377)/200)+1</f>
        <v>38.274999999999999</v>
      </c>
      <c r="I1379" s="198">
        <v>180</v>
      </c>
      <c r="J1379" s="198">
        <v>150</v>
      </c>
      <c r="K1379" s="198">
        <v>180</v>
      </c>
      <c r="L1379" s="198">
        <v>150</v>
      </c>
      <c r="M1379" s="198"/>
      <c r="N1379" s="721">
        <f t="shared" si="672"/>
        <v>740</v>
      </c>
      <c r="O1379" s="721">
        <f t="shared" si="673"/>
        <v>0</v>
      </c>
      <c r="P1379" s="722">
        <f t="shared" si="674"/>
        <v>28.324000000000002</v>
      </c>
      <c r="Q1379" s="686" t="str">
        <f t="shared" si="675"/>
        <v>-</v>
      </c>
      <c r="R1379" s="686" t="str">
        <f t="shared" si="676"/>
        <v>-</v>
      </c>
      <c r="S1379" s="686" t="str">
        <f t="shared" si="677"/>
        <v>-</v>
      </c>
      <c r="T1379" s="686" t="str">
        <f t="shared" si="678"/>
        <v>-</v>
      </c>
      <c r="U1379" s="723" t="str">
        <f t="shared" si="679"/>
        <v>-</v>
      </c>
      <c r="V1379" s="695" t="str">
        <f t="shared" si="680"/>
        <v>-</v>
      </c>
      <c r="W1379" s="711"/>
    </row>
    <row r="1380" spans="1:23" ht="16.5" hidden="1" outlineLevel="1">
      <c r="A1380" s="195"/>
      <c r="B1380" s="172"/>
      <c r="C1380" s="196"/>
      <c r="D1380" s="685"/>
      <c r="E1380" s="196"/>
      <c r="F1380" s="685"/>
      <c r="G1380" s="204"/>
      <c r="H1380" s="203"/>
      <c r="I1380" s="198"/>
      <c r="J1380" s="198"/>
      <c r="K1380" s="198"/>
      <c r="L1380" s="198"/>
      <c r="M1380" s="198"/>
      <c r="N1380" s="198"/>
      <c r="O1380" s="198"/>
      <c r="P1380" s="199"/>
      <c r="Q1380" s="200"/>
      <c r="R1380" s="200"/>
      <c r="S1380" s="200"/>
      <c r="T1380" s="200"/>
      <c r="U1380" s="688"/>
      <c r="V1380" s="200"/>
      <c r="W1380" s="711"/>
    </row>
    <row r="1381" spans="1:23" ht="47.25" hidden="1" outlineLevel="1">
      <c r="A1381" s="4" t="s">
        <v>1639</v>
      </c>
      <c r="B1381" s="751" t="s">
        <v>851</v>
      </c>
      <c r="C1381" s="196"/>
      <c r="D1381" s="685"/>
      <c r="E1381" s="196"/>
      <c r="F1381" s="685"/>
      <c r="G1381" s="204"/>
      <c r="H1381" s="203"/>
      <c r="I1381" s="198"/>
      <c r="J1381" s="198"/>
      <c r="K1381" s="198"/>
      <c r="L1381" s="198"/>
      <c r="M1381" s="198"/>
      <c r="N1381" s="198"/>
      <c r="O1381" s="198"/>
      <c r="P1381" s="199"/>
      <c r="Q1381" s="200"/>
      <c r="R1381" s="200"/>
      <c r="S1381" s="200"/>
      <c r="T1381" s="200"/>
      <c r="U1381" s="688"/>
      <c r="V1381" s="200"/>
      <c r="W1381" s="711"/>
    </row>
    <row r="1382" spans="1:23" ht="16.5" hidden="1" outlineLevel="1">
      <c r="A1382" s="195"/>
      <c r="B1382" s="172"/>
      <c r="C1382" s="196"/>
      <c r="D1382" s="685"/>
      <c r="E1382" s="196"/>
      <c r="F1382" s="685"/>
      <c r="G1382" s="204"/>
      <c r="H1382" s="203"/>
      <c r="I1382" s="198"/>
      <c r="J1382" s="198"/>
      <c r="K1382" s="198"/>
      <c r="L1382" s="198"/>
      <c r="M1382" s="198"/>
      <c r="N1382" s="198"/>
      <c r="O1382" s="198"/>
      <c r="P1382" s="199"/>
      <c r="Q1382" s="200"/>
      <c r="R1382" s="200"/>
      <c r="S1382" s="200"/>
      <c r="T1382" s="200"/>
      <c r="U1382" s="688"/>
      <c r="V1382" s="200"/>
      <c r="W1382" s="711"/>
    </row>
    <row r="1383" spans="1:23" ht="30.75" hidden="1" customHeight="1" outlineLevel="1">
      <c r="A1383" s="726">
        <v>1</v>
      </c>
      <c r="B1383" s="730" t="s">
        <v>1574</v>
      </c>
      <c r="C1383" s="727">
        <v>10</v>
      </c>
      <c r="D1383" s="690"/>
      <c r="E1383" s="753" t="s">
        <v>1557</v>
      </c>
      <c r="F1383" s="685">
        <v>1</v>
      </c>
      <c r="G1383" s="239">
        <v>1</v>
      </c>
      <c r="H1383" s="203">
        <v>2</v>
      </c>
      <c r="I1383" s="198">
        <f>C1383*10</f>
        <v>100</v>
      </c>
      <c r="J1383" s="171">
        <f>337-50</f>
        <v>287</v>
      </c>
      <c r="K1383" s="198">
        <v>100</v>
      </c>
      <c r="L1383" s="198"/>
      <c r="M1383" s="198"/>
      <c r="N1383" s="721">
        <f t="shared" ref="N1383:N1385" si="681">IF(E1383="L Shape",(I1383+J1383)-(C1383*2*1),IF(E1383="U Shape",(I1383+J1383+K1383)-(C1383*2*2),IF(E1383="Rectangle",(I1383+J1383+K1383+L1383)+(C1383*10*2)-(C1383*2*5),IF(E1383="Straight",J1383-(C1383*0),IF(E1383="Chair",(I1383+J1383+K1383+L1383+M1383)-(C1383*2*4),IF(E1383="U2 Shape",(I1383+J1383+K1383+L1383+M1383)-(C1383*2*4),IF(E1383="U3 Shape",(I1383+J1383+K1383+L1383)-(C1383*2*3),IF(E1383="Z Shape",(I1383+J1383+K1383)-(C1383*2*2),IF(E1383="Triangle",(I1383+J1383+K1383)+(C1383*10*2)-(C1383*2*4),IF(E1383="Trapezoid2",(I1383+I1383+J1383+K1383+K1383+L1383)+(C1383*10*2)-(C1383*2*7),IF(E1383="Trapezoid",(I1383+J1383+K1383+L1383)+(C1383*10*2)-(C1383*2*5),IF(E1383="Link",J1383+(C1383*10*2),IF(E1383="U5 Shape",(I1383+J1383+K1383+L1383)-(C1383*2*3),IF(E1383="DU2 Shape",(I1383+J1383+K1383+L1383)-(C1383*2*4),IF(E1383="SU Shape",(I1383+J1383+K1383)-(C1383*2*2),"-")))))))))))))))</f>
        <v>447</v>
      </c>
      <c r="O1383" s="721">
        <f t="shared" ref="O1383:O1385" si="682">IF(N1383&lt;12001,C1383*49*0,IF(N1383&lt;24001,C1383*49*1,IF(N1383&lt;36001,C1383*49*2,IF(N1383&lt;48001,C1383*49*3,IF(N1383&lt;60001,C1383*49*4,IF(N1383&lt;72001,(C1383*49*5),IF(N1383&lt;84001,(C1383*49*6),IF(N1383&lt;96001,(C1383*49*7),IF(N1383&lt;108001,(C1383*49*8),IF(N1383&lt;120001,(C1383*49*9),IF(N1383&lt;132001,(C1383*49*10),IF(N1383&lt;144001,(C1383*49*11),""))))))))))))</f>
        <v>0</v>
      </c>
      <c r="P1383" s="722" t="str">
        <f t="shared" ref="P1383:P1385" si="683">IF(C1383=8,ROUND(((N1383+O1383)*F1383*G1383*H1383)/1000,3),"-")</f>
        <v>-</v>
      </c>
      <c r="Q1383" s="686">
        <f t="shared" ref="Q1383:Q1385" si="684">IF(C1383=10,ROUND(((N1383+O1383)*F1383*G1383*H1383)/1000,3),"-")</f>
        <v>0.89400000000000002</v>
      </c>
      <c r="R1383" s="686" t="str">
        <f t="shared" ref="R1383:R1385" si="685">IF(C1383=12,ROUND(((N1383+O1383)*F1383*G1383*H1383)/1000,3),"-")</f>
        <v>-</v>
      </c>
      <c r="S1383" s="686" t="str">
        <f t="shared" ref="S1383:S1385" si="686">IF(C1383=16,ROUND(((N1383+O1383)*F1383*G1383*H1383)/1000,3),"-")</f>
        <v>-</v>
      </c>
      <c r="T1383" s="686" t="str">
        <f t="shared" ref="T1383:T1385" si="687">IF(C1383=20,ROUND(((N1383+O1383)*F1383*G1383*H1383)/1000,3),"-")</f>
        <v>-</v>
      </c>
      <c r="U1383" s="723" t="str">
        <f t="shared" ref="U1383:U1385" si="688">IF(C1383=25,ROUND(((N1383+O1383)*F1383*G1383*H1383)/1000,3),"-")</f>
        <v>-</v>
      </c>
      <c r="V1383" s="695" t="str">
        <f t="shared" ref="V1383:V1385" si="689">IF(C1383=32,ROUND(((N1383+O1383)*F1383*G1383*H1383)/1000,3),"-")</f>
        <v>-</v>
      </c>
      <c r="W1383" s="711"/>
    </row>
    <row r="1384" spans="1:23" ht="16.5" hidden="1" outlineLevel="1">
      <c r="A1384" s="726"/>
      <c r="B1384" s="726" t="s">
        <v>393</v>
      </c>
      <c r="C1384" s="727">
        <v>10</v>
      </c>
      <c r="D1384" s="690"/>
      <c r="E1384" s="753" t="s">
        <v>1557</v>
      </c>
      <c r="F1384" s="685">
        <v>1</v>
      </c>
      <c r="G1384" s="239">
        <v>1</v>
      </c>
      <c r="H1384" s="203">
        <v>2</v>
      </c>
      <c r="I1384" s="198">
        <f>C1384*10</f>
        <v>100</v>
      </c>
      <c r="J1384" s="171">
        <f>337-50</f>
        <v>287</v>
      </c>
      <c r="K1384" s="198">
        <v>100</v>
      </c>
      <c r="L1384" s="198"/>
      <c r="M1384" s="198"/>
      <c r="N1384" s="721">
        <f t="shared" si="681"/>
        <v>447</v>
      </c>
      <c r="O1384" s="721">
        <f t="shared" si="682"/>
        <v>0</v>
      </c>
      <c r="P1384" s="722" t="str">
        <f t="shared" si="683"/>
        <v>-</v>
      </c>
      <c r="Q1384" s="686">
        <f t="shared" si="684"/>
        <v>0.89400000000000002</v>
      </c>
      <c r="R1384" s="686" t="str">
        <f t="shared" si="685"/>
        <v>-</v>
      </c>
      <c r="S1384" s="686" t="str">
        <f t="shared" si="686"/>
        <v>-</v>
      </c>
      <c r="T1384" s="686" t="str">
        <f t="shared" si="687"/>
        <v>-</v>
      </c>
      <c r="U1384" s="723" t="str">
        <f t="shared" si="688"/>
        <v>-</v>
      </c>
      <c r="V1384" s="695" t="str">
        <f t="shared" si="689"/>
        <v>-</v>
      </c>
      <c r="W1384" s="711"/>
    </row>
    <row r="1385" spans="1:23" ht="16.5" hidden="1" outlineLevel="1">
      <c r="A1385" s="726"/>
      <c r="B1385" s="726" t="s">
        <v>394</v>
      </c>
      <c r="C1385" s="727">
        <v>8</v>
      </c>
      <c r="D1385" s="690"/>
      <c r="E1385" s="754" t="s">
        <v>1558</v>
      </c>
      <c r="F1385" s="685">
        <v>1</v>
      </c>
      <c r="G1385" s="239">
        <v>1</v>
      </c>
      <c r="H1385" s="203">
        <f>((J1383)/200)+1</f>
        <v>2.4350000000000001</v>
      </c>
      <c r="I1385" s="198">
        <v>180</v>
      </c>
      <c r="J1385" s="198">
        <v>150</v>
      </c>
      <c r="K1385" s="198">
        <v>180</v>
      </c>
      <c r="L1385" s="198">
        <v>150</v>
      </c>
      <c r="M1385" s="198"/>
      <c r="N1385" s="721">
        <f t="shared" si="681"/>
        <v>740</v>
      </c>
      <c r="O1385" s="721">
        <f t="shared" si="682"/>
        <v>0</v>
      </c>
      <c r="P1385" s="722">
        <f t="shared" si="683"/>
        <v>1.802</v>
      </c>
      <c r="Q1385" s="686" t="str">
        <f t="shared" si="684"/>
        <v>-</v>
      </c>
      <c r="R1385" s="686" t="str">
        <f t="shared" si="685"/>
        <v>-</v>
      </c>
      <c r="S1385" s="686" t="str">
        <f t="shared" si="686"/>
        <v>-</v>
      </c>
      <c r="T1385" s="686" t="str">
        <f t="shared" si="687"/>
        <v>-</v>
      </c>
      <c r="U1385" s="723" t="str">
        <f t="shared" si="688"/>
        <v>-</v>
      </c>
      <c r="V1385" s="695" t="str">
        <f t="shared" si="689"/>
        <v>-</v>
      </c>
      <c r="W1385" s="711"/>
    </row>
    <row r="1386" spans="1:23" ht="16.5" hidden="1" outlineLevel="1">
      <c r="A1386" s="195"/>
      <c r="B1386" s="172"/>
      <c r="C1386" s="196"/>
      <c r="D1386" s="685"/>
      <c r="E1386" s="196"/>
      <c r="F1386" s="685"/>
      <c r="G1386" s="204"/>
      <c r="H1386" s="203"/>
      <c r="I1386" s="198"/>
      <c r="J1386" s="198"/>
      <c r="K1386" s="198"/>
      <c r="L1386" s="198"/>
      <c r="M1386" s="198"/>
      <c r="N1386" s="198"/>
      <c r="O1386" s="198"/>
      <c r="P1386" s="199"/>
      <c r="Q1386" s="200"/>
      <c r="R1386" s="200"/>
      <c r="S1386" s="200"/>
      <c r="T1386" s="200"/>
      <c r="U1386" s="688"/>
      <c r="V1386" s="200"/>
      <c r="W1386" s="711"/>
    </row>
    <row r="1387" spans="1:23" ht="30.75" hidden="1" customHeight="1" outlineLevel="1">
      <c r="A1387" s="726">
        <v>2</v>
      </c>
      <c r="B1387" s="730" t="s">
        <v>1574</v>
      </c>
      <c r="C1387" s="727">
        <v>10</v>
      </c>
      <c r="D1387" s="690"/>
      <c r="E1387" s="753" t="s">
        <v>1557</v>
      </c>
      <c r="F1387" s="685">
        <v>1</v>
      </c>
      <c r="G1387" s="239">
        <v>1</v>
      </c>
      <c r="H1387" s="203">
        <v>2</v>
      </c>
      <c r="I1387" s="198">
        <f>C1387*10</f>
        <v>100</v>
      </c>
      <c r="J1387" s="171">
        <f>3183-50</f>
        <v>3133</v>
      </c>
      <c r="K1387" s="198">
        <v>100</v>
      </c>
      <c r="L1387" s="198"/>
      <c r="M1387" s="198"/>
      <c r="N1387" s="721">
        <f t="shared" ref="N1387:N1389" si="690">IF(E1387="L Shape",(I1387+J1387)-(C1387*2*1),IF(E1387="U Shape",(I1387+J1387+K1387)-(C1387*2*2),IF(E1387="Rectangle",(I1387+J1387+K1387+L1387)+(C1387*10*2)-(C1387*2*5),IF(E1387="Straight",J1387-(C1387*0),IF(E1387="Chair",(I1387+J1387+K1387+L1387+M1387)-(C1387*2*4),IF(E1387="U2 Shape",(I1387+J1387+K1387+L1387+M1387)-(C1387*2*4),IF(E1387="U3 Shape",(I1387+J1387+K1387+L1387)-(C1387*2*3),IF(E1387="Z Shape",(I1387+J1387+K1387)-(C1387*2*2),IF(E1387="Triangle",(I1387+J1387+K1387)+(C1387*10*2)-(C1387*2*4),IF(E1387="Trapezoid2",(I1387+I1387+J1387+K1387+K1387+L1387)+(C1387*10*2)-(C1387*2*7),IF(E1387="Trapezoid",(I1387+J1387+K1387+L1387)+(C1387*10*2)-(C1387*2*5),IF(E1387="Link",J1387+(C1387*10*2),IF(E1387="U5 Shape",(I1387+J1387+K1387+L1387)-(C1387*2*3),IF(E1387="DU2 Shape",(I1387+J1387+K1387+L1387)-(C1387*2*4),IF(E1387="SU Shape",(I1387+J1387+K1387)-(C1387*2*2),"-")))))))))))))))</f>
        <v>3293</v>
      </c>
      <c r="O1387" s="721">
        <f t="shared" ref="O1387:O1389" si="691">IF(N1387&lt;12001,C1387*49*0,IF(N1387&lt;24001,C1387*49*1,IF(N1387&lt;36001,C1387*49*2,IF(N1387&lt;48001,C1387*49*3,IF(N1387&lt;60001,C1387*49*4,IF(N1387&lt;72001,(C1387*49*5),IF(N1387&lt;84001,(C1387*49*6),IF(N1387&lt;96001,(C1387*49*7),IF(N1387&lt;108001,(C1387*49*8),IF(N1387&lt;120001,(C1387*49*9),IF(N1387&lt;132001,(C1387*49*10),IF(N1387&lt;144001,(C1387*49*11),""))))))))))))</f>
        <v>0</v>
      </c>
      <c r="P1387" s="722" t="str">
        <f t="shared" ref="P1387:P1389" si="692">IF(C1387=8,ROUND(((N1387+O1387)*F1387*G1387*H1387)/1000,3),"-")</f>
        <v>-</v>
      </c>
      <c r="Q1387" s="686">
        <f t="shared" ref="Q1387:Q1389" si="693">IF(C1387=10,ROUND(((N1387+O1387)*F1387*G1387*H1387)/1000,3),"-")</f>
        <v>6.5860000000000003</v>
      </c>
      <c r="R1387" s="686" t="str">
        <f t="shared" ref="R1387:R1389" si="694">IF(C1387=12,ROUND(((N1387+O1387)*F1387*G1387*H1387)/1000,3),"-")</f>
        <v>-</v>
      </c>
      <c r="S1387" s="686" t="str">
        <f t="shared" ref="S1387:S1389" si="695">IF(C1387=16,ROUND(((N1387+O1387)*F1387*G1387*H1387)/1000,3),"-")</f>
        <v>-</v>
      </c>
      <c r="T1387" s="686" t="str">
        <f t="shared" ref="T1387:T1389" si="696">IF(C1387=20,ROUND(((N1387+O1387)*F1387*G1387*H1387)/1000,3),"-")</f>
        <v>-</v>
      </c>
      <c r="U1387" s="723" t="str">
        <f t="shared" ref="U1387:U1389" si="697">IF(C1387=25,ROUND(((N1387+O1387)*F1387*G1387*H1387)/1000,3),"-")</f>
        <v>-</v>
      </c>
      <c r="V1387" s="695" t="str">
        <f t="shared" ref="V1387:V1389" si="698">IF(C1387=32,ROUND(((N1387+O1387)*F1387*G1387*H1387)/1000,3),"-")</f>
        <v>-</v>
      </c>
      <c r="W1387" s="711"/>
    </row>
    <row r="1388" spans="1:23" ht="16.5" hidden="1" outlineLevel="1">
      <c r="A1388" s="726"/>
      <c r="B1388" s="726" t="s">
        <v>393</v>
      </c>
      <c r="C1388" s="727">
        <v>10</v>
      </c>
      <c r="D1388" s="690"/>
      <c r="E1388" s="753" t="s">
        <v>1557</v>
      </c>
      <c r="F1388" s="685">
        <v>1</v>
      </c>
      <c r="G1388" s="239">
        <v>1</v>
      </c>
      <c r="H1388" s="203">
        <v>2</v>
      </c>
      <c r="I1388" s="198">
        <f>C1388*10</f>
        <v>100</v>
      </c>
      <c r="J1388" s="171">
        <f>3183-50</f>
        <v>3133</v>
      </c>
      <c r="K1388" s="198">
        <v>100</v>
      </c>
      <c r="L1388" s="198"/>
      <c r="M1388" s="198"/>
      <c r="N1388" s="721">
        <f t="shared" si="690"/>
        <v>3293</v>
      </c>
      <c r="O1388" s="721">
        <f t="shared" si="691"/>
        <v>0</v>
      </c>
      <c r="P1388" s="722" t="str">
        <f t="shared" si="692"/>
        <v>-</v>
      </c>
      <c r="Q1388" s="686">
        <f t="shared" si="693"/>
        <v>6.5860000000000003</v>
      </c>
      <c r="R1388" s="686" t="str">
        <f t="shared" si="694"/>
        <v>-</v>
      </c>
      <c r="S1388" s="686" t="str">
        <f t="shared" si="695"/>
        <v>-</v>
      </c>
      <c r="T1388" s="686" t="str">
        <f t="shared" si="696"/>
        <v>-</v>
      </c>
      <c r="U1388" s="723" t="str">
        <f t="shared" si="697"/>
        <v>-</v>
      </c>
      <c r="V1388" s="695" t="str">
        <f t="shared" si="698"/>
        <v>-</v>
      </c>
      <c r="W1388" s="711"/>
    </row>
    <row r="1389" spans="1:23" ht="16.5" hidden="1" outlineLevel="1">
      <c r="A1389" s="726"/>
      <c r="B1389" s="726" t="s">
        <v>394</v>
      </c>
      <c r="C1389" s="727">
        <v>8</v>
      </c>
      <c r="D1389" s="690"/>
      <c r="E1389" s="754" t="s">
        <v>1558</v>
      </c>
      <c r="F1389" s="685">
        <v>1</v>
      </c>
      <c r="G1389" s="239">
        <v>1</v>
      </c>
      <c r="H1389" s="203">
        <f>((J1387)/200)+1</f>
        <v>16.664999999999999</v>
      </c>
      <c r="I1389" s="198">
        <v>180</v>
      </c>
      <c r="J1389" s="198">
        <v>150</v>
      </c>
      <c r="K1389" s="198">
        <v>180</v>
      </c>
      <c r="L1389" s="198">
        <v>150</v>
      </c>
      <c r="M1389" s="198"/>
      <c r="N1389" s="721">
        <f t="shared" si="690"/>
        <v>740</v>
      </c>
      <c r="O1389" s="721">
        <f t="shared" si="691"/>
        <v>0</v>
      </c>
      <c r="P1389" s="722">
        <f t="shared" si="692"/>
        <v>12.332000000000001</v>
      </c>
      <c r="Q1389" s="686" t="str">
        <f t="shared" si="693"/>
        <v>-</v>
      </c>
      <c r="R1389" s="686" t="str">
        <f t="shared" si="694"/>
        <v>-</v>
      </c>
      <c r="S1389" s="686" t="str">
        <f t="shared" si="695"/>
        <v>-</v>
      </c>
      <c r="T1389" s="686" t="str">
        <f t="shared" si="696"/>
        <v>-</v>
      </c>
      <c r="U1389" s="723" t="str">
        <f t="shared" si="697"/>
        <v>-</v>
      </c>
      <c r="V1389" s="695" t="str">
        <f t="shared" si="698"/>
        <v>-</v>
      </c>
      <c r="W1389" s="711"/>
    </row>
    <row r="1390" spans="1:23" ht="16.5" hidden="1" outlineLevel="1">
      <c r="A1390" s="195"/>
      <c r="B1390" s="172"/>
      <c r="C1390" s="196"/>
      <c r="D1390" s="685"/>
      <c r="E1390" s="196"/>
      <c r="F1390" s="685"/>
      <c r="G1390" s="204"/>
      <c r="H1390" s="203"/>
      <c r="I1390" s="198"/>
      <c r="J1390" s="198"/>
      <c r="K1390" s="198"/>
      <c r="L1390" s="198"/>
      <c r="M1390" s="198"/>
      <c r="N1390" s="198"/>
      <c r="O1390" s="198"/>
      <c r="P1390" s="199"/>
      <c r="Q1390" s="200"/>
      <c r="R1390" s="200"/>
      <c r="S1390" s="200"/>
      <c r="T1390" s="200"/>
      <c r="U1390" s="688"/>
      <c r="V1390" s="200"/>
      <c r="W1390" s="711"/>
    </row>
    <row r="1391" spans="1:23" ht="30.75" hidden="1" customHeight="1" outlineLevel="1">
      <c r="A1391" s="726">
        <v>3</v>
      </c>
      <c r="B1391" s="730" t="s">
        <v>1574</v>
      </c>
      <c r="C1391" s="727">
        <v>10</v>
      </c>
      <c r="D1391" s="690"/>
      <c r="E1391" s="753" t="s">
        <v>1557</v>
      </c>
      <c r="F1391" s="685">
        <v>1</v>
      </c>
      <c r="G1391" s="239">
        <v>1</v>
      </c>
      <c r="H1391" s="203">
        <v>2</v>
      </c>
      <c r="I1391" s="198">
        <f>C1391*10</f>
        <v>100</v>
      </c>
      <c r="J1391" s="171">
        <f>33632-50</f>
        <v>33582</v>
      </c>
      <c r="K1391" s="198">
        <v>100</v>
      </c>
      <c r="L1391" s="198"/>
      <c r="M1391" s="198"/>
      <c r="N1391" s="721">
        <f t="shared" ref="N1391:N1393" si="699">IF(E1391="L Shape",(I1391+J1391)-(C1391*2*1),IF(E1391="U Shape",(I1391+J1391+K1391)-(C1391*2*2),IF(E1391="Rectangle",(I1391+J1391+K1391+L1391)+(C1391*10*2)-(C1391*2*5),IF(E1391="Straight",J1391-(C1391*0),IF(E1391="Chair",(I1391+J1391+K1391+L1391+M1391)-(C1391*2*4),IF(E1391="U2 Shape",(I1391+J1391+K1391+L1391+M1391)-(C1391*2*4),IF(E1391="U3 Shape",(I1391+J1391+K1391+L1391)-(C1391*2*3),IF(E1391="Z Shape",(I1391+J1391+K1391)-(C1391*2*2),IF(E1391="Triangle",(I1391+J1391+K1391)+(C1391*10*2)-(C1391*2*4),IF(E1391="Trapezoid2",(I1391+I1391+J1391+K1391+K1391+L1391)+(C1391*10*2)-(C1391*2*7),IF(E1391="Trapezoid",(I1391+J1391+K1391+L1391)+(C1391*10*2)-(C1391*2*5),IF(E1391="Link",J1391+(C1391*10*2),IF(E1391="U5 Shape",(I1391+J1391+K1391+L1391)-(C1391*2*3),IF(E1391="DU2 Shape",(I1391+J1391+K1391+L1391)-(C1391*2*4),IF(E1391="SU Shape",(I1391+J1391+K1391)-(C1391*2*2),"-")))))))))))))))</f>
        <v>33742</v>
      </c>
      <c r="O1391" s="721">
        <f t="shared" ref="O1391:O1393" si="700">IF(N1391&lt;12001,C1391*49*0,IF(N1391&lt;24001,C1391*49*1,IF(N1391&lt;36001,C1391*49*2,IF(N1391&lt;48001,C1391*49*3,IF(N1391&lt;60001,C1391*49*4,IF(N1391&lt;72001,(C1391*49*5),IF(N1391&lt;84001,(C1391*49*6),IF(N1391&lt;96001,(C1391*49*7),IF(N1391&lt;108001,(C1391*49*8),IF(N1391&lt;120001,(C1391*49*9),IF(N1391&lt;132001,(C1391*49*10),IF(N1391&lt;144001,(C1391*49*11),""))))))))))))</f>
        <v>980</v>
      </c>
      <c r="P1391" s="722" t="str">
        <f t="shared" ref="P1391:P1393" si="701">IF(C1391=8,ROUND(((N1391+O1391)*F1391*G1391*H1391)/1000,3),"-")</f>
        <v>-</v>
      </c>
      <c r="Q1391" s="686">
        <f t="shared" ref="Q1391:Q1393" si="702">IF(C1391=10,ROUND(((N1391+O1391)*F1391*G1391*H1391)/1000,3),"-")</f>
        <v>69.444000000000003</v>
      </c>
      <c r="R1391" s="686" t="str">
        <f t="shared" ref="R1391:R1393" si="703">IF(C1391=12,ROUND(((N1391+O1391)*F1391*G1391*H1391)/1000,3),"-")</f>
        <v>-</v>
      </c>
      <c r="S1391" s="686" t="str">
        <f t="shared" ref="S1391:S1393" si="704">IF(C1391=16,ROUND(((N1391+O1391)*F1391*G1391*H1391)/1000,3),"-")</f>
        <v>-</v>
      </c>
      <c r="T1391" s="686" t="str">
        <f t="shared" ref="T1391:T1393" si="705">IF(C1391=20,ROUND(((N1391+O1391)*F1391*G1391*H1391)/1000,3),"-")</f>
        <v>-</v>
      </c>
      <c r="U1391" s="723" t="str">
        <f t="shared" ref="U1391:U1393" si="706">IF(C1391=25,ROUND(((N1391+O1391)*F1391*G1391*H1391)/1000,3),"-")</f>
        <v>-</v>
      </c>
      <c r="V1391" s="695" t="str">
        <f t="shared" ref="V1391:V1393" si="707">IF(C1391=32,ROUND(((N1391+O1391)*F1391*G1391*H1391)/1000,3),"-")</f>
        <v>-</v>
      </c>
      <c r="W1391" s="711"/>
    </row>
    <row r="1392" spans="1:23" ht="16.5" hidden="1" outlineLevel="1">
      <c r="A1392" s="726"/>
      <c r="B1392" s="726" t="s">
        <v>393</v>
      </c>
      <c r="C1392" s="727">
        <v>10</v>
      </c>
      <c r="D1392" s="690"/>
      <c r="E1392" s="753" t="s">
        <v>1557</v>
      </c>
      <c r="F1392" s="685">
        <v>1</v>
      </c>
      <c r="G1392" s="239">
        <v>1</v>
      </c>
      <c r="H1392" s="203">
        <v>2</v>
      </c>
      <c r="I1392" s="198">
        <f>C1392*10</f>
        <v>100</v>
      </c>
      <c r="J1392" s="171">
        <f>33632-50</f>
        <v>33582</v>
      </c>
      <c r="K1392" s="198">
        <v>100</v>
      </c>
      <c r="L1392" s="198"/>
      <c r="M1392" s="198"/>
      <c r="N1392" s="721">
        <f t="shared" si="699"/>
        <v>33742</v>
      </c>
      <c r="O1392" s="721">
        <f t="shared" si="700"/>
        <v>980</v>
      </c>
      <c r="P1392" s="722" t="str">
        <f t="shared" si="701"/>
        <v>-</v>
      </c>
      <c r="Q1392" s="686">
        <f t="shared" si="702"/>
        <v>69.444000000000003</v>
      </c>
      <c r="R1392" s="686" t="str">
        <f t="shared" si="703"/>
        <v>-</v>
      </c>
      <c r="S1392" s="686" t="str">
        <f t="shared" si="704"/>
        <v>-</v>
      </c>
      <c r="T1392" s="686" t="str">
        <f t="shared" si="705"/>
        <v>-</v>
      </c>
      <c r="U1392" s="723" t="str">
        <f t="shared" si="706"/>
        <v>-</v>
      </c>
      <c r="V1392" s="695" t="str">
        <f t="shared" si="707"/>
        <v>-</v>
      </c>
      <c r="W1392" s="711"/>
    </row>
    <row r="1393" spans="1:23" ht="16.5" hidden="1" outlineLevel="1">
      <c r="A1393" s="726"/>
      <c r="B1393" s="726" t="s">
        <v>394</v>
      </c>
      <c r="C1393" s="727">
        <v>8</v>
      </c>
      <c r="D1393" s="690"/>
      <c r="E1393" s="754" t="s">
        <v>1558</v>
      </c>
      <c r="F1393" s="685">
        <v>1</v>
      </c>
      <c r="G1393" s="239">
        <v>1</v>
      </c>
      <c r="H1393" s="203">
        <f>((J1391)/200)+1</f>
        <v>168.91</v>
      </c>
      <c r="I1393" s="198">
        <v>180</v>
      </c>
      <c r="J1393" s="198">
        <v>150</v>
      </c>
      <c r="K1393" s="198">
        <v>180</v>
      </c>
      <c r="L1393" s="198">
        <v>150</v>
      </c>
      <c r="M1393" s="198"/>
      <c r="N1393" s="721">
        <f t="shared" si="699"/>
        <v>740</v>
      </c>
      <c r="O1393" s="721">
        <f t="shared" si="700"/>
        <v>0</v>
      </c>
      <c r="P1393" s="722">
        <f t="shared" si="701"/>
        <v>124.99299999999999</v>
      </c>
      <c r="Q1393" s="686" t="str">
        <f t="shared" si="702"/>
        <v>-</v>
      </c>
      <c r="R1393" s="686" t="str">
        <f t="shared" si="703"/>
        <v>-</v>
      </c>
      <c r="S1393" s="686" t="str">
        <f t="shared" si="704"/>
        <v>-</v>
      </c>
      <c r="T1393" s="686" t="str">
        <f t="shared" si="705"/>
        <v>-</v>
      </c>
      <c r="U1393" s="723" t="str">
        <f t="shared" si="706"/>
        <v>-</v>
      </c>
      <c r="V1393" s="695" t="str">
        <f t="shared" si="707"/>
        <v>-</v>
      </c>
      <c r="W1393" s="711"/>
    </row>
    <row r="1394" spans="1:23" ht="16.5" hidden="1" outlineLevel="1">
      <c r="A1394" s="195"/>
      <c r="B1394" s="172"/>
      <c r="C1394" s="196"/>
      <c r="D1394" s="685"/>
      <c r="E1394" s="196"/>
      <c r="F1394" s="685"/>
      <c r="G1394" s="204"/>
      <c r="H1394" s="203"/>
      <c r="I1394" s="198"/>
      <c r="J1394" s="198"/>
      <c r="K1394" s="198"/>
      <c r="L1394" s="198"/>
      <c r="M1394" s="198"/>
      <c r="N1394" s="198"/>
      <c r="O1394" s="198"/>
      <c r="P1394" s="199"/>
      <c r="Q1394" s="200"/>
      <c r="R1394" s="200"/>
      <c r="S1394" s="200"/>
      <c r="T1394" s="200"/>
      <c r="U1394" s="688"/>
      <c r="V1394" s="200"/>
      <c r="W1394" s="711"/>
    </row>
    <row r="1395" spans="1:23" ht="30.75" hidden="1" customHeight="1" outlineLevel="1">
      <c r="A1395" s="726">
        <v>4</v>
      </c>
      <c r="B1395" s="730" t="s">
        <v>1574</v>
      </c>
      <c r="C1395" s="727">
        <v>10</v>
      </c>
      <c r="D1395" s="690"/>
      <c r="E1395" s="753" t="s">
        <v>1557</v>
      </c>
      <c r="F1395" s="685">
        <v>1</v>
      </c>
      <c r="G1395" s="239">
        <v>1</v>
      </c>
      <c r="H1395" s="203">
        <v>2</v>
      </c>
      <c r="I1395" s="198">
        <f>C1395*10</f>
        <v>100</v>
      </c>
      <c r="J1395" s="171">
        <f>9063-50</f>
        <v>9013</v>
      </c>
      <c r="K1395" s="198">
        <v>100</v>
      </c>
      <c r="L1395" s="198"/>
      <c r="M1395" s="198"/>
      <c r="N1395" s="721">
        <f t="shared" ref="N1395:N1397" si="708">IF(E1395="L Shape",(I1395+J1395)-(C1395*2*1),IF(E1395="U Shape",(I1395+J1395+K1395)-(C1395*2*2),IF(E1395="Rectangle",(I1395+J1395+K1395+L1395)+(C1395*10*2)-(C1395*2*5),IF(E1395="Straight",J1395-(C1395*0),IF(E1395="Chair",(I1395+J1395+K1395+L1395+M1395)-(C1395*2*4),IF(E1395="U2 Shape",(I1395+J1395+K1395+L1395+M1395)-(C1395*2*4),IF(E1395="U3 Shape",(I1395+J1395+K1395+L1395)-(C1395*2*3),IF(E1395="Z Shape",(I1395+J1395+K1395)-(C1395*2*2),IF(E1395="Triangle",(I1395+J1395+K1395)+(C1395*10*2)-(C1395*2*4),IF(E1395="Trapezoid2",(I1395+I1395+J1395+K1395+K1395+L1395)+(C1395*10*2)-(C1395*2*7),IF(E1395="Trapezoid",(I1395+J1395+K1395+L1395)+(C1395*10*2)-(C1395*2*5),IF(E1395="Link",J1395+(C1395*10*2),IF(E1395="U5 Shape",(I1395+J1395+K1395+L1395)-(C1395*2*3),IF(E1395="DU2 Shape",(I1395+J1395+K1395+L1395)-(C1395*2*4),IF(E1395="SU Shape",(I1395+J1395+K1395)-(C1395*2*2),"-")))))))))))))))</f>
        <v>9173</v>
      </c>
      <c r="O1395" s="721">
        <f t="shared" ref="O1395:O1397" si="709">IF(N1395&lt;12001,C1395*49*0,IF(N1395&lt;24001,C1395*49*1,IF(N1395&lt;36001,C1395*49*2,IF(N1395&lt;48001,C1395*49*3,IF(N1395&lt;60001,C1395*49*4,IF(N1395&lt;72001,(C1395*49*5),IF(N1395&lt;84001,(C1395*49*6),IF(N1395&lt;96001,(C1395*49*7),IF(N1395&lt;108001,(C1395*49*8),IF(N1395&lt;120001,(C1395*49*9),IF(N1395&lt;132001,(C1395*49*10),IF(N1395&lt;144001,(C1395*49*11),""))))))))))))</f>
        <v>0</v>
      </c>
      <c r="P1395" s="722" t="str">
        <f t="shared" ref="P1395:P1397" si="710">IF(C1395=8,ROUND(((N1395+O1395)*F1395*G1395*H1395)/1000,3),"-")</f>
        <v>-</v>
      </c>
      <c r="Q1395" s="686">
        <f t="shared" ref="Q1395:Q1397" si="711">IF(C1395=10,ROUND(((N1395+O1395)*F1395*G1395*H1395)/1000,3),"-")</f>
        <v>18.346</v>
      </c>
      <c r="R1395" s="686" t="str">
        <f t="shared" ref="R1395:R1397" si="712">IF(C1395=12,ROUND(((N1395+O1395)*F1395*G1395*H1395)/1000,3),"-")</f>
        <v>-</v>
      </c>
      <c r="S1395" s="686" t="str">
        <f t="shared" ref="S1395:S1397" si="713">IF(C1395=16,ROUND(((N1395+O1395)*F1395*G1395*H1395)/1000,3),"-")</f>
        <v>-</v>
      </c>
      <c r="T1395" s="686" t="str">
        <f t="shared" ref="T1395:T1397" si="714">IF(C1395=20,ROUND(((N1395+O1395)*F1395*G1395*H1395)/1000,3),"-")</f>
        <v>-</v>
      </c>
      <c r="U1395" s="723" t="str">
        <f t="shared" ref="U1395:U1397" si="715">IF(C1395=25,ROUND(((N1395+O1395)*F1395*G1395*H1395)/1000,3),"-")</f>
        <v>-</v>
      </c>
      <c r="V1395" s="695" t="str">
        <f t="shared" ref="V1395:V1397" si="716">IF(C1395=32,ROUND(((N1395+O1395)*F1395*G1395*H1395)/1000,3),"-")</f>
        <v>-</v>
      </c>
      <c r="W1395" s="711"/>
    </row>
    <row r="1396" spans="1:23" ht="16.5" hidden="1" outlineLevel="1">
      <c r="A1396" s="726"/>
      <c r="B1396" s="726" t="s">
        <v>393</v>
      </c>
      <c r="C1396" s="727">
        <v>10</v>
      </c>
      <c r="D1396" s="690"/>
      <c r="E1396" s="753" t="s">
        <v>1557</v>
      </c>
      <c r="F1396" s="685">
        <v>1</v>
      </c>
      <c r="G1396" s="239">
        <v>1</v>
      </c>
      <c r="H1396" s="203">
        <v>2</v>
      </c>
      <c r="I1396" s="198">
        <f>C1396*10</f>
        <v>100</v>
      </c>
      <c r="J1396" s="171">
        <f>9063-50</f>
        <v>9013</v>
      </c>
      <c r="K1396" s="198">
        <v>100</v>
      </c>
      <c r="L1396" s="198"/>
      <c r="M1396" s="198"/>
      <c r="N1396" s="721">
        <f t="shared" si="708"/>
        <v>9173</v>
      </c>
      <c r="O1396" s="721">
        <f t="shared" si="709"/>
        <v>0</v>
      </c>
      <c r="P1396" s="722" t="str">
        <f t="shared" si="710"/>
        <v>-</v>
      </c>
      <c r="Q1396" s="686">
        <f t="shared" si="711"/>
        <v>18.346</v>
      </c>
      <c r="R1396" s="686" t="str">
        <f t="shared" si="712"/>
        <v>-</v>
      </c>
      <c r="S1396" s="686" t="str">
        <f t="shared" si="713"/>
        <v>-</v>
      </c>
      <c r="T1396" s="686" t="str">
        <f t="shared" si="714"/>
        <v>-</v>
      </c>
      <c r="U1396" s="723" t="str">
        <f t="shared" si="715"/>
        <v>-</v>
      </c>
      <c r="V1396" s="695" t="str">
        <f t="shared" si="716"/>
        <v>-</v>
      </c>
      <c r="W1396" s="711"/>
    </row>
    <row r="1397" spans="1:23" ht="16.5" hidden="1" outlineLevel="1">
      <c r="A1397" s="726"/>
      <c r="B1397" s="726" t="s">
        <v>394</v>
      </c>
      <c r="C1397" s="727">
        <v>8</v>
      </c>
      <c r="D1397" s="690"/>
      <c r="E1397" s="754" t="s">
        <v>1558</v>
      </c>
      <c r="F1397" s="685">
        <v>1</v>
      </c>
      <c r="G1397" s="239">
        <v>1</v>
      </c>
      <c r="H1397" s="203">
        <f>((J1395)/200)+1</f>
        <v>46.064999999999998</v>
      </c>
      <c r="I1397" s="198">
        <v>180</v>
      </c>
      <c r="J1397" s="198">
        <v>150</v>
      </c>
      <c r="K1397" s="198">
        <v>180</v>
      </c>
      <c r="L1397" s="198">
        <v>150</v>
      </c>
      <c r="M1397" s="198"/>
      <c r="N1397" s="721">
        <f t="shared" si="708"/>
        <v>740</v>
      </c>
      <c r="O1397" s="721">
        <f t="shared" si="709"/>
        <v>0</v>
      </c>
      <c r="P1397" s="722">
        <f t="shared" si="710"/>
        <v>34.088000000000001</v>
      </c>
      <c r="Q1397" s="686" t="str">
        <f t="shared" si="711"/>
        <v>-</v>
      </c>
      <c r="R1397" s="686" t="str">
        <f t="shared" si="712"/>
        <v>-</v>
      </c>
      <c r="S1397" s="686" t="str">
        <f t="shared" si="713"/>
        <v>-</v>
      </c>
      <c r="T1397" s="686" t="str">
        <f t="shared" si="714"/>
        <v>-</v>
      </c>
      <c r="U1397" s="723" t="str">
        <f t="shared" si="715"/>
        <v>-</v>
      </c>
      <c r="V1397" s="695" t="str">
        <f t="shared" si="716"/>
        <v>-</v>
      </c>
      <c r="W1397" s="711"/>
    </row>
    <row r="1398" spans="1:23" ht="16.5" hidden="1" outlineLevel="1">
      <c r="A1398" s="195"/>
      <c r="B1398" s="172"/>
      <c r="C1398" s="196"/>
      <c r="D1398" s="685"/>
      <c r="E1398" s="196"/>
      <c r="F1398" s="685"/>
      <c r="G1398" s="204"/>
      <c r="H1398" s="203"/>
      <c r="I1398" s="198"/>
      <c r="J1398" s="198"/>
      <c r="K1398" s="198"/>
      <c r="L1398" s="198"/>
      <c r="M1398" s="198"/>
      <c r="N1398" s="198"/>
      <c r="O1398" s="198"/>
      <c r="P1398" s="199"/>
      <c r="Q1398" s="200"/>
      <c r="R1398" s="200"/>
      <c r="S1398" s="200"/>
      <c r="T1398" s="200"/>
      <c r="U1398" s="688"/>
      <c r="V1398" s="200"/>
      <c r="W1398" s="711"/>
    </row>
    <row r="1399" spans="1:23" ht="30.75" hidden="1" customHeight="1" outlineLevel="1">
      <c r="A1399" s="726">
        <v>5</v>
      </c>
      <c r="B1399" s="730" t="s">
        <v>1640</v>
      </c>
      <c r="C1399" s="727">
        <v>10</v>
      </c>
      <c r="D1399" s="690"/>
      <c r="E1399" s="753" t="s">
        <v>1557</v>
      </c>
      <c r="F1399" s="685">
        <v>1</v>
      </c>
      <c r="G1399" s="239">
        <v>1</v>
      </c>
      <c r="H1399" s="203">
        <v>2</v>
      </c>
      <c r="I1399" s="198">
        <f>C1399*10</f>
        <v>100</v>
      </c>
      <c r="J1399" s="171">
        <f>15038-50</f>
        <v>14988</v>
      </c>
      <c r="K1399" s="198">
        <v>100</v>
      </c>
      <c r="L1399" s="198"/>
      <c r="M1399" s="198"/>
      <c r="N1399" s="721">
        <f t="shared" ref="N1399:N1401" si="717">IF(E1399="L Shape",(I1399+J1399)-(C1399*2*1),IF(E1399="U Shape",(I1399+J1399+K1399)-(C1399*2*2),IF(E1399="Rectangle",(I1399+J1399+K1399+L1399)+(C1399*10*2)-(C1399*2*5),IF(E1399="Straight",J1399-(C1399*0),IF(E1399="Chair",(I1399+J1399+K1399+L1399+M1399)-(C1399*2*4),IF(E1399="U2 Shape",(I1399+J1399+K1399+L1399+M1399)-(C1399*2*4),IF(E1399="U3 Shape",(I1399+J1399+K1399+L1399)-(C1399*2*3),IF(E1399="Z Shape",(I1399+J1399+K1399)-(C1399*2*2),IF(E1399="Triangle",(I1399+J1399+K1399)+(C1399*10*2)-(C1399*2*4),IF(E1399="Trapezoid2",(I1399+I1399+J1399+K1399+K1399+L1399)+(C1399*10*2)-(C1399*2*7),IF(E1399="Trapezoid",(I1399+J1399+K1399+L1399)+(C1399*10*2)-(C1399*2*5),IF(E1399="Link",J1399+(C1399*10*2),IF(E1399="U5 Shape",(I1399+J1399+K1399+L1399)-(C1399*2*3),IF(E1399="DU2 Shape",(I1399+J1399+K1399+L1399)-(C1399*2*4),IF(E1399="SU Shape",(I1399+J1399+K1399)-(C1399*2*2),"-")))))))))))))))</f>
        <v>15148</v>
      </c>
      <c r="O1399" s="721">
        <f t="shared" ref="O1399:O1401" si="718">IF(N1399&lt;12001,C1399*49*0,IF(N1399&lt;24001,C1399*49*1,IF(N1399&lt;36001,C1399*49*2,IF(N1399&lt;48001,C1399*49*3,IF(N1399&lt;60001,C1399*49*4,IF(N1399&lt;72001,(C1399*49*5),IF(N1399&lt;84001,(C1399*49*6),IF(N1399&lt;96001,(C1399*49*7),IF(N1399&lt;108001,(C1399*49*8),IF(N1399&lt;120001,(C1399*49*9),IF(N1399&lt;132001,(C1399*49*10),IF(N1399&lt;144001,(C1399*49*11),""))))))))))))</f>
        <v>490</v>
      </c>
      <c r="P1399" s="722" t="str">
        <f t="shared" ref="P1399:P1401" si="719">IF(C1399=8,ROUND(((N1399+O1399)*F1399*G1399*H1399)/1000,3),"-")</f>
        <v>-</v>
      </c>
      <c r="Q1399" s="686">
        <f t="shared" ref="Q1399:Q1401" si="720">IF(C1399=10,ROUND(((N1399+O1399)*F1399*G1399*H1399)/1000,3),"-")</f>
        <v>31.276</v>
      </c>
      <c r="R1399" s="686" t="str">
        <f t="shared" ref="R1399:R1401" si="721">IF(C1399=12,ROUND(((N1399+O1399)*F1399*G1399*H1399)/1000,3),"-")</f>
        <v>-</v>
      </c>
      <c r="S1399" s="686" t="str">
        <f t="shared" ref="S1399:S1401" si="722">IF(C1399=16,ROUND(((N1399+O1399)*F1399*G1399*H1399)/1000,3),"-")</f>
        <v>-</v>
      </c>
      <c r="T1399" s="686" t="str">
        <f t="shared" ref="T1399:T1401" si="723">IF(C1399=20,ROUND(((N1399+O1399)*F1399*G1399*H1399)/1000,3),"-")</f>
        <v>-</v>
      </c>
      <c r="U1399" s="723" t="str">
        <f t="shared" ref="U1399:U1401" si="724">IF(C1399=25,ROUND(((N1399+O1399)*F1399*G1399*H1399)/1000,3),"-")</f>
        <v>-</v>
      </c>
      <c r="V1399" s="695" t="str">
        <f t="shared" ref="V1399:V1401" si="725">IF(C1399=32,ROUND(((N1399+O1399)*F1399*G1399*H1399)/1000,3),"-")</f>
        <v>-</v>
      </c>
      <c r="W1399" s="711"/>
    </row>
    <row r="1400" spans="1:23" ht="16.5" hidden="1" outlineLevel="1">
      <c r="A1400" s="726"/>
      <c r="B1400" s="726" t="s">
        <v>393</v>
      </c>
      <c r="C1400" s="727">
        <v>10</v>
      </c>
      <c r="D1400" s="690"/>
      <c r="E1400" s="753" t="s">
        <v>1557</v>
      </c>
      <c r="F1400" s="685">
        <v>1</v>
      </c>
      <c r="G1400" s="239">
        <v>1</v>
      </c>
      <c r="H1400" s="203">
        <v>2</v>
      </c>
      <c r="I1400" s="198">
        <f>C1400*10</f>
        <v>100</v>
      </c>
      <c r="J1400" s="171">
        <f>15038-50</f>
        <v>14988</v>
      </c>
      <c r="K1400" s="198">
        <v>100</v>
      </c>
      <c r="L1400" s="198"/>
      <c r="M1400" s="198"/>
      <c r="N1400" s="721">
        <f t="shared" si="717"/>
        <v>15148</v>
      </c>
      <c r="O1400" s="721">
        <f t="shared" si="718"/>
        <v>490</v>
      </c>
      <c r="P1400" s="722" t="str">
        <f t="shared" si="719"/>
        <v>-</v>
      </c>
      <c r="Q1400" s="686">
        <f t="shared" si="720"/>
        <v>31.276</v>
      </c>
      <c r="R1400" s="686" t="str">
        <f t="shared" si="721"/>
        <v>-</v>
      </c>
      <c r="S1400" s="686" t="str">
        <f t="shared" si="722"/>
        <v>-</v>
      </c>
      <c r="T1400" s="686" t="str">
        <f t="shared" si="723"/>
        <v>-</v>
      </c>
      <c r="U1400" s="723" t="str">
        <f t="shared" si="724"/>
        <v>-</v>
      </c>
      <c r="V1400" s="695" t="str">
        <f t="shared" si="725"/>
        <v>-</v>
      </c>
      <c r="W1400" s="711"/>
    </row>
    <row r="1401" spans="1:23" ht="16.5" hidden="1" outlineLevel="1">
      <c r="A1401" s="726"/>
      <c r="B1401" s="726" t="s">
        <v>394</v>
      </c>
      <c r="C1401" s="727">
        <v>8</v>
      </c>
      <c r="D1401" s="690"/>
      <c r="E1401" s="754" t="s">
        <v>1558</v>
      </c>
      <c r="F1401" s="685">
        <v>1</v>
      </c>
      <c r="G1401" s="239">
        <v>1</v>
      </c>
      <c r="H1401" s="203">
        <f>((J1399)/200)+1</f>
        <v>75.94</v>
      </c>
      <c r="I1401" s="198">
        <v>180</v>
      </c>
      <c r="J1401" s="198">
        <v>150</v>
      </c>
      <c r="K1401" s="198">
        <v>180</v>
      </c>
      <c r="L1401" s="198">
        <v>150</v>
      </c>
      <c r="M1401" s="198"/>
      <c r="N1401" s="721">
        <f t="shared" si="717"/>
        <v>740</v>
      </c>
      <c r="O1401" s="721">
        <f t="shared" si="718"/>
        <v>0</v>
      </c>
      <c r="P1401" s="722">
        <f t="shared" si="719"/>
        <v>56.195999999999998</v>
      </c>
      <c r="Q1401" s="686" t="str">
        <f t="shared" si="720"/>
        <v>-</v>
      </c>
      <c r="R1401" s="686" t="str">
        <f t="shared" si="721"/>
        <v>-</v>
      </c>
      <c r="S1401" s="686" t="str">
        <f t="shared" si="722"/>
        <v>-</v>
      </c>
      <c r="T1401" s="686" t="str">
        <f t="shared" si="723"/>
        <v>-</v>
      </c>
      <c r="U1401" s="723" t="str">
        <f t="shared" si="724"/>
        <v>-</v>
      </c>
      <c r="V1401" s="695" t="str">
        <f t="shared" si="725"/>
        <v>-</v>
      </c>
      <c r="W1401" s="711"/>
    </row>
    <row r="1402" spans="1:23" ht="16.5" hidden="1" outlineLevel="1">
      <c r="A1402" s="195"/>
      <c r="B1402" s="172"/>
      <c r="C1402" s="196"/>
      <c r="D1402" s="685"/>
      <c r="E1402" s="196"/>
      <c r="F1402" s="685"/>
      <c r="G1402" s="204"/>
      <c r="H1402" s="203"/>
      <c r="I1402" s="198"/>
      <c r="J1402" s="198"/>
      <c r="K1402" s="198"/>
      <c r="L1402" s="198"/>
      <c r="M1402" s="198"/>
      <c r="N1402" s="198"/>
      <c r="O1402" s="198"/>
      <c r="P1402" s="199"/>
      <c r="Q1402" s="200"/>
      <c r="R1402" s="200"/>
      <c r="S1402" s="200"/>
      <c r="T1402" s="200"/>
      <c r="U1402" s="688"/>
      <c r="V1402" s="200"/>
      <c r="W1402" s="711"/>
    </row>
    <row r="1403" spans="1:23" ht="49.5" hidden="1" outlineLevel="1">
      <c r="A1403" s="5" t="s">
        <v>1641</v>
      </c>
      <c r="B1403" s="748" t="s">
        <v>854</v>
      </c>
      <c r="C1403" s="196"/>
      <c r="D1403" s="685"/>
      <c r="E1403" s="196"/>
      <c r="F1403" s="685"/>
      <c r="G1403" s="204"/>
      <c r="H1403" s="203"/>
      <c r="I1403" s="198"/>
      <c r="J1403" s="198"/>
      <c r="K1403" s="198"/>
      <c r="L1403" s="198"/>
      <c r="M1403" s="198"/>
      <c r="N1403" s="198"/>
      <c r="O1403" s="198"/>
      <c r="P1403" s="199"/>
      <c r="Q1403" s="200"/>
      <c r="R1403" s="200"/>
      <c r="S1403" s="200"/>
      <c r="T1403" s="200"/>
      <c r="U1403" s="688"/>
      <c r="V1403" s="200"/>
      <c r="W1403" s="711"/>
    </row>
    <row r="1404" spans="1:23" ht="16.5" hidden="1" outlineLevel="1">
      <c r="A1404" s="195"/>
      <c r="B1404" s="172"/>
      <c r="C1404" s="196"/>
      <c r="D1404" s="685"/>
      <c r="E1404" s="196"/>
      <c r="F1404" s="685"/>
      <c r="G1404" s="204"/>
      <c r="H1404" s="203"/>
      <c r="I1404" s="198"/>
      <c r="J1404" s="198"/>
      <c r="K1404" s="198"/>
      <c r="L1404" s="198"/>
      <c r="M1404" s="198"/>
      <c r="N1404" s="198"/>
      <c r="O1404" s="198"/>
      <c r="P1404" s="199"/>
      <c r="Q1404" s="200"/>
      <c r="R1404" s="200"/>
      <c r="S1404" s="200"/>
      <c r="T1404" s="200"/>
      <c r="U1404" s="688"/>
      <c r="V1404" s="200"/>
      <c r="W1404" s="711"/>
    </row>
    <row r="1405" spans="1:23" ht="30.75" hidden="1" customHeight="1" outlineLevel="1">
      <c r="A1405" s="726">
        <v>1</v>
      </c>
      <c r="B1405" s="730" t="s">
        <v>1574</v>
      </c>
      <c r="C1405" s="727">
        <v>10</v>
      </c>
      <c r="D1405" s="690"/>
      <c r="E1405" s="753" t="s">
        <v>1557</v>
      </c>
      <c r="F1405" s="685">
        <v>1</v>
      </c>
      <c r="G1405" s="239">
        <v>1</v>
      </c>
      <c r="H1405" s="203">
        <v>2</v>
      </c>
      <c r="I1405" s="198">
        <f>C1405*10</f>
        <v>100</v>
      </c>
      <c r="J1405" s="171">
        <f>14225-50</f>
        <v>14175</v>
      </c>
      <c r="K1405" s="198">
        <v>100</v>
      </c>
      <c r="L1405" s="198"/>
      <c r="M1405" s="198"/>
      <c r="N1405" s="721">
        <f t="shared" ref="N1405:N1407" si="726">IF(E1405="L Shape",(I1405+J1405)-(C1405*2*1),IF(E1405="U Shape",(I1405+J1405+K1405)-(C1405*2*2),IF(E1405="Rectangle",(I1405+J1405+K1405+L1405)+(C1405*10*2)-(C1405*2*5),IF(E1405="Straight",J1405-(C1405*0),IF(E1405="Chair",(I1405+J1405+K1405+L1405+M1405)-(C1405*2*4),IF(E1405="U2 Shape",(I1405+J1405+K1405+L1405+M1405)-(C1405*2*4),IF(E1405="U3 Shape",(I1405+J1405+K1405+L1405)-(C1405*2*3),IF(E1405="Z Shape",(I1405+J1405+K1405)-(C1405*2*2),IF(E1405="Triangle",(I1405+J1405+K1405)+(C1405*10*2)-(C1405*2*4),IF(E1405="Trapezoid2",(I1405+I1405+J1405+K1405+K1405+L1405)+(C1405*10*2)-(C1405*2*7),IF(E1405="Trapezoid",(I1405+J1405+K1405+L1405)+(C1405*10*2)-(C1405*2*5),IF(E1405="Link",J1405+(C1405*10*2),IF(E1405="U5 Shape",(I1405+J1405+K1405+L1405)-(C1405*2*3),IF(E1405="DU2 Shape",(I1405+J1405+K1405+L1405)-(C1405*2*4),IF(E1405="SU Shape",(I1405+J1405+K1405)-(C1405*2*2),"-")))))))))))))))</f>
        <v>14335</v>
      </c>
      <c r="O1405" s="721">
        <f t="shared" ref="O1405:O1407" si="727">IF(N1405&lt;12001,C1405*49*0,IF(N1405&lt;24001,C1405*49*1,IF(N1405&lt;36001,C1405*49*2,IF(N1405&lt;48001,C1405*49*3,IF(N1405&lt;60001,C1405*49*4,IF(N1405&lt;72001,(C1405*49*5),IF(N1405&lt;84001,(C1405*49*6),IF(N1405&lt;96001,(C1405*49*7),IF(N1405&lt;108001,(C1405*49*8),IF(N1405&lt;120001,(C1405*49*9),IF(N1405&lt;132001,(C1405*49*10),IF(N1405&lt;144001,(C1405*49*11),""))))))))))))</f>
        <v>490</v>
      </c>
      <c r="P1405" s="722" t="str">
        <f t="shared" ref="P1405:P1407" si="728">IF(C1405=8,ROUND(((N1405+O1405)*F1405*G1405*H1405)/1000,3),"-")</f>
        <v>-</v>
      </c>
      <c r="Q1405" s="686">
        <f t="shared" ref="Q1405:Q1407" si="729">IF(C1405=10,ROUND(((N1405+O1405)*F1405*G1405*H1405)/1000,3),"-")</f>
        <v>29.65</v>
      </c>
      <c r="R1405" s="686" t="str">
        <f t="shared" ref="R1405:R1407" si="730">IF(C1405=12,ROUND(((N1405+O1405)*F1405*G1405*H1405)/1000,3),"-")</f>
        <v>-</v>
      </c>
      <c r="S1405" s="686" t="str">
        <f t="shared" ref="S1405:S1407" si="731">IF(C1405=16,ROUND(((N1405+O1405)*F1405*G1405*H1405)/1000,3),"-")</f>
        <v>-</v>
      </c>
      <c r="T1405" s="686" t="str">
        <f t="shared" ref="T1405:T1407" si="732">IF(C1405=20,ROUND(((N1405+O1405)*F1405*G1405*H1405)/1000,3),"-")</f>
        <v>-</v>
      </c>
      <c r="U1405" s="723" t="str">
        <f t="shared" ref="U1405:U1407" si="733">IF(C1405=25,ROUND(((N1405+O1405)*F1405*G1405*H1405)/1000,3),"-")</f>
        <v>-</v>
      </c>
      <c r="V1405" s="695" t="str">
        <f t="shared" ref="V1405:V1407" si="734">IF(C1405=32,ROUND(((N1405+O1405)*F1405*G1405*H1405)/1000,3),"-")</f>
        <v>-</v>
      </c>
      <c r="W1405" s="711"/>
    </row>
    <row r="1406" spans="1:23" ht="16.5" hidden="1" outlineLevel="1">
      <c r="A1406" s="726"/>
      <c r="B1406" s="726" t="s">
        <v>393</v>
      </c>
      <c r="C1406" s="727">
        <v>10</v>
      </c>
      <c r="D1406" s="690"/>
      <c r="E1406" s="753" t="s">
        <v>1557</v>
      </c>
      <c r="F1406" s="685">
        <v>1</v>
      </c>
      <c r="G1406" s="239">
        <v>1</v>
      </c>
      <c r="H1406" s="203">
        <v>2</v>
      </c>
      <c r="I1406" s="198">
        <f>C1406*10</f>
        <v>100</v>
      </c>
      <c r="J1406" s="171">
        <f>14225-50</f>
        <v>14175</v>
      </c>
      <c r="K1406" s="198">
        <v>100</v>
      </c>
      <c r="L1406" s="198"/>
      <c r="M1406" s="198"/>
      <c r="N1406" s="721">
        <f t="shared" si="726"/>
        <v>14335</v>
      </c>
      <c r="O1406" s="721">
        <f t="shared" si="727"/>
        <v>490</v>
      </c>
      <c r="P1406" s="722" t="str">
        <f t="shared" si="728"/>
        <v>-</v>
      </c>
      <c r="Q1406" s="686">
        <f t="shared" si="729"/>
        <v>29.65</v>
      </c>
      <c r="R1406" s="686" t="str">
        <f t="shared" si="730"/>
        <v>-</v>
      </c>
      <c r="S1406" s="686" t="str">
        <f t="shared" si="731"/>
        <v>-</v>
      </c>
      <c r="T1406" s="686" t="str">
        <f t="shared" si="732"/>
        <v>-</v>
      </c>
      <c r="U1406" s="723" t="str">
        <f t="shared" si="733"/>
        <v>-</v>
      </c>
      <c r="V1406" s="695" t="str">
        <f t="shared" si="734"/>
        <v>-</v>
      </c>
      <c r="W1406" s="711"/>
    </row>
    <row r="1407" spans="1:23" ht="16.5" hidden="1" outlineLevel="1">
      <c r="A1407" s="726"/>
      <c r="B1407" s="726" t="s">
        <v>394</v>
      </c>
      <c r="C1407" s="727">
        <v>8</v>
      </c>
      <c r="D1407" s="690"/>
      <c r="E1407" s="754" t="s">
        <v>1558</v>
      </c>
      <c r="F1407" s="685">
        <v>1</v>
      </c>
      <c r="G1407" s="239">
        <v>1</v>
      </c>
      <c r="H1407" s="203">
        <f>((J1405)/200)+1</f>
        <v>71.875</v>
      </c>
      <c r="I1407" s="198">
        <v>180</v>
      </c>
      <c r="J1407" s="198">
        <v>150</v>
      </c>
      <c r="K1407" s="198">
        <v>180</v>
      </c>
      <c r="L1407" s="198">
        <v>150</v>
      </c>
      <c r="M1407" s="198"/>
      <c r="N1407" s="721">
        <f t="shared" si="726"/>
        <v>740</v>
      </c>
      <c r="O1407" s="721">
        <f t="shared" si="727"/>
        <v>0</v>
      </c>
      <c r="P1407" s="722">
        <f t="shared" si="728"/>
        <v>53.188000000000002</v>
      </c>
      <c r="Q1407" s="686" t="str">
        <f t="shared" si="729"/>
        <v>-</v>
      </c>
      <c r="R1407" s="686" t="str">
        <f t="shared" si="730"/>
        <v>-</v>
      </c>
      <c r="S1407" s="686" t="str">
        <f t="shared" si="731"/>
        <v>-</v>
      </c>
      <c r="T1407" s="686" t="str">
        <f t="shared" si="732"/>
        <v>-</v>
      </c>
      <c r="U1407" s="723" t="str">
        <f t="shared" si="733"/>
        <v>-</v>
      </c>
      <c r="V1407" s="695" t="str">
        <f t="shared" si="734"/>
        <v>-</v>
      </c>
      <c r="W1407" s="711"/>
    </row>
    <row r="1408" spans="1:23" ht="16.5" hidden="1" outlineLevel="1">
      <c r="A1408" s="195"/>
      <c r="B1408" s="172"/>
      <c r="C1408" s="196"/>
      <c r="D1408" s="685"/>
      <c r="E1408" s="196"/>
      <c r="F1408" s="685"/>
      <c r="G1408" s="204"/>
      <c r="H1408" s="203"/>
      <c r="I1408" s="198"/>
      <c r="J1408" s="198"/>
      <c r="K1408" s="198"/>
      <c r="L1408" s="198"/>
      <c r="M1408" s="198"/>
      <c r="N1408" s="198"/>
      <c r="O1408" s="198"/>
      <c r="P1408" s="199"/>
      <c r="Q1408" s="200"/>
      <c r="R1408" s="200"/>
      <c r="S1408" s="200"/>
      <c r="T1408" s="200"/>
      <c r="U1408" s="688"/>
      <c r="V1408" s="200"/>
      <c r="W1408" s="711"/>
    </row>
    <row r="1409" spans="1:23" ht="66" hidden="1" outlineLevel="1">
      <c r="A1409" s="5" t="s">
        <v>1642</v>
      </c>
      <c r="B1409" s="748" t="s">
        <v>855</v>
      </c>
      <c r="C1409" s="196"/>
      <c r="D1409" s="685"/>
      <c r="E1409" s="196"/>
      <c r="F1409" s="685"/>
      <c r="G1409" s="204"/>
      <c r="H1409" s="203"/>
      <c r="I1409" s="198"/>
      <c r="J1409" s="198"/>
      <c r="K1409" s="198"/>
      <c r="L1409" s="198"/>
      <c r="M1409" s="198"/>
      <c r="N1409" s="198"/>
      <c r="O1409" s="198"/>
      <c r="P1409" s="199"/>
      <c r="Q1409" s="200"/>
      <c r="R1409" s="200"/>
      <c r="S1409" s="200"/>
      <c r="T1409" s="200"/>
      <c r="U1409" s="688"/>
      <c r="V1409" s="200"/>
      <c r="W1409" s="711"/>
    </row>
    <row r="1410" spans="1:23" ht="16.5" hidden="1" outlineLevel="1">
      <c r="A1410" s="195"/>
      <c r="B1410" s="172"/>
      <c r="C1410" s="196"/>
      <c r="D1410" s="685"/>
      <c r="E1410" s="196"/>
      <c r="F1410" s="685"/>
      <c r="G1410" s="204"/>
      <c r="H1410" s="203"/>
      <c r="I1410" s="198"/>
      <c r="J1410" s="198"/>
      <c r="K1410" s="198"/>
      <c r="L1410" s="198"/>
      <c r="M1410" s="198"/>
      <c r="N1410" s="198"/>
      <c r="O1410" s="198"/>
      <c r="P1410" s="199"/>
      <c r="Q1410" s="200"/>
      <c r="R1410" s="200"/>
      <c r="S1410" s="200"/>
      <c r="T1410" s="200"/>
      <c r="U1410" s="688"/>
      <c r="V1410" s="200"/>
      <c r="W1410" s="711"/>
    </row>
    <row r="1411" spans="1:23" ht="30.75" hidden="1" customHeight="1" outlineLevel="1">
      <c r="A1411" s="726">
        <v>1</v>
      </c>
      <c r="B1411" s="730" t="s">
        <v>1574</v>
      </c>
      <c r="C1411" s="727">
        <v>10</v>
      </c>
      <c r="D1411" s="690"/>
      <c r="E1411" s="753" t="s">
        <v>1557</v>
      </c>
      <c r="F1411" s="685">
        <v>1</v>
      </c>
      <c r="G1411" s="239">
        <v>1</v>
      </c>
      <c r="H1411" s="203">
        <v>2</v>
      </c>
      <c r="I1411" s="198">
        <f>C1411*10</f>
        <v>100</v>
      </c>
      <c r="J1411" s="171">
        <f>60780-50</f>
        <v>60730</v>
      </c>
      <c r="K1411" s="198">
        <v>100</v>
      </c>
      <c r="L1411" s="198"/>
      <c r="M1411" s="198"/>
      <c r="N1411" s="721">
        <f t="shared" ref="N1411:N1413" si="735">IF(E1411="L Shape",(I1411+J1411)-(C1411*2*1),IF(E1411="U Shape",(I1411+J1411+K1411)-(C1411*2*2),IF(E1411="Rectangle",(I1411+J1411+K1411+L1411)+(C1411*10*2)-(C1411*2*5),IF(E1411="Straight",J1411-(C1411*0),IF(E1411="Chair",(I1411+J1411+K1411+L1411+M1411)-(C1411*2*4),IF(E1411="U2 Shape",(I1411+J1411+K1411+L1411+M1411)-(C1411*2*4),IF(E1411="U3 Shape",(I1411+J1411+K1411+L1411)-(C1411*2*3),IF(E1411="Z Shape",(I1411+J1411+K1411)-(C1411*2*2),IF(E1411="Triangle",(I1411+J1411+K1411)+(C1411*10*2)-(C1411*2*4),IF(E1411="Trapezoid2",(I1411+I1411+J1411+K1411+K1411+L1411)+(C1411*10*2)-(C1411*2*7),IF(E1411="Trapezoid",(I1411+J1411+K1411+L1411)+(C1411*10*2)-(C1411*2*5),IF(E1411="Link",J1411+(C1411*10*2),IF(E1411="U5 Shape",(I1411+J1411+K1411+L1411)-(C1411*2*3),IF(E1411="DU2 Shape",(I1411+J1411+K1411+L1411)-(C1411*2*4),IF(E1411="SU Shape",(I1411+J1411+K1411)-(C1411*2*2),"-")))))))))))))))</f>
        <v>60890</v>
      </c>
      <c r="O1411" s="721">
        <f t="shared" ref="O1411:O1413" si="736">IF(N1411&lt;12001,C1411*49*0,IF(N1411&lt;24001,C1411*49*1,IF(N1411&lt;36001,C1411*49*2,IF(N1411&lt;48001,C1411*49*3,IF(N1411&lt;60001,C1411*49*4,IF(N1411&lt;72001,(C1411*49*5),IF(N1411&lt;84001,(C1411*49*6),IF(N1411&lt;96001,(C1411*49*7),IF(N1411&lt;108001,(C1411*49*8),IF(N1411&lt;120001,(C1411*49*9),IF(N1411&lt;132001,(C1411*49*10),IF(N1411&lt;144001,(C1411*49*11),""))))))))))))</f>
        <v>2450</v>
      </c>
      <c r="P1411" s="722" t="str">
        <f t="shared" ref="P1411:P1413" si="737">IF(C1411=8,ROUND(((N1411+O1411)*F1411*G1411*H1411)/1000,3),"-")</f>
        <v>-</v>
      </c>
      <c r="Q1411" s="686">
        <f t="shared" ref="Q1411:Q1413" si="738">IF(C1411=10,ROUND(((N1411+O1411)*F1411*G1411*H1411)/1000,3),"-")</f>
        <v>126.68</v>
      </c>
      <c r="R1411" s="686" t="str">
        <f t="shared" ref="R1411:R1413" si="739">IF(C1411=12,ROUND(((N1411+O1411)*F1411*G1411*H1411)/1000,3),"-")</f>
        <v>-</v>
      </c>
      <c r="S1411" s="686" t="str">
        <f t="shared" ref="S1411:S1413" si="740">IF(C1411=16,ROUND(((N1411+O1411)*F1411*G1411*H1411)/1000,3),"-")</f>
        <v>-</v>
      </c>
      <c r="T1411" s="686" t="str">
        <f t="shared" ref="T1411:T1413" si="741">IF(C1411=20,ROUND(((N1411+O1411)*F1411*G1411*H1411)/1000,3),"-")</f>
        <v>-</v>
      </c>
      <c r="U1411" s="723" t="str">
        <f t="shared" ref="U1411:U1413" si="742">IF(C1411=25,ROUND(((N1411+O1411)*F1411*G1411*H1411)/1000,3),"-")</f>
        <v>-</v>
      </c>
      <c r="V1411" s="695" t="str">
        <f t="shared" ref="V1411:V1413" si="743">IF(C1411=32,ROUND(((N1411+O1411)*F1411*G1411*H1411)/1000,3),"-")</f>
        <v>-</v>
      </c>
      <c r="W1411" s="711"/>
    </row>
    <row r="1412" spans="1:23" ht="16.5" hidden="1" outlineLevel="1">
      <c r="A1412" s="726"/>
      <c r="B1412" s="726" t="s">
        <v>393</v>
      </c>
      <c r="C1412" s="727">
        <v>10</v>
      </c>
      <c r="D1412" s="690"/>
      <c r="E1412" s="753" t="s">
        <v>1557</v>
      </c>
      <c r="F1412" s="685">
        <v>1</v>
      </c>
      <c r="G1412" s="239">
        <v>1</v>
      </c>
      <c r="H1412" s="203">
        <v>2</v>
      </c>
      <c r="I1412" s="198">
        <f>C1412*10</f>
        <v>100</v>
      </c>
      <c r="J1412" s="171">
        <f>60780-50</f>
        <v>60730</v>
      </c>
      <c r="K1412" s="198">
        <v>100</v>
      </c>
      <c r="L1412" s="198"/>
      <c r="M1412" s="198"/>
      <c r="N1412" s="721">
        <f t="shared" si="735"/>
        <v>60890</v>
      </c>
      <c r="O1412" s="721">
        <f t="shared" si="736"/>
        <v>2450</v>
      </c>
      <c r="P1412" s="722" t="str">
        <f t="shared" si="737"/>
        <v>-</v>
      </c>
      <c r="Q1412" s="686">
        <f t="shared" si="738"/>
        <v>126.68</v>
      </c>
      <c r="R1412" s="686" t="str">
        <f t="shared" si="739"/>
        <v>-</v>
      </c>
      <c r="S1412" s="686" t="str">
        <f t="shared" si="740"/>
        <v>-</v>
      </c>
      <c r="T1412" s="686" t="str">
        <f t="shared" si="741"/>
        <v>-</v>
      </c>
      <c r="U1412" s="723" t="str">
        <f t="shared" si="742"/>
        <v>-</v>
      </c>
      <c r="V1412" s="695" t="str">
        <f t="shared" si="743"/>
        <v>-</v>
      </c>
      <c r="W1412" s="711"/>
    </row>
    <row r="1413" spans="1:23" ht="16.5" hidden="1" outlineLevel="1">
      <c r="A1413" s="726"/>
      <c r="B1413" s="726" t="s">
        <v>394</v>
      </c>
      <c r="C1413" s="727">
        <v>8</v>
      </c>
      <c r="D1413" s="690"/>
      <c r="E1413" s="754" t="s">
        <v>1558</v>
      </c>
      <c r="F1413" s="685">
        <v>1</v>
      </c>
      <c r="G1413" s="239">
        <v>1</v>
      </c>
      <c r="H1413" s="203">
        <f>((J1411)/200)+1</f>
        <v>304.64999999999998</v>
      </c>
      <c r="I1413" s="198">
        <v>180</v>
      </c>
      <c r="J1413" s="198">
        <v>150</v>
      </c>
      <c r="K1413" s="198">
        <v>180</v>
      </c>
      <c r="L1413" s="198">
        <v>150</v>
      </c>
      <c r="M1413" s="198"/>
      <c r="N1413" s="721">
        <f t="shared" si="735"/>
        <v>740</v>
      </c>
      <c r="O1413" s="721">
        <f t="shared" si="736"/>
        <v>0</v>
      </c>
      <c r="P1413" s="722">
        <f t="shared" si="737"/>
        <v>225.441</v>
      </c>
      <c r="Q1413" s="686" t="str">
        <f t="shared" si="738"/>
        <v>-</v>
      </c>
      <c r="R1413" s="686" t="str">
        <f t="shared" si="739"/>
        <v>-</v>
      </c>
      <c r="S1413" s="686" t="str">
        <f t="shared" si="740"/>
        <v>-</v>
      </c>
      <c r="T1413" s="686" t="str">
        <f t="shared" si="741"/>
        <v>-</v>
      </c>
      <c r="U1413" s="723" t="str">
        <f t="shared" si="742"/>
        <v>-</v>
      </c>
      <c r="V1413" s="695" t="str">
        <f t="shared" si="743"/>
        <v>-</v>
      </c>
      <c r="W1413" s="711"/>
    </row>
    <row r="1414" spans="1:23" ht="16.5" hidden="1" outlineLevel="1">
      <c r="A1414" s="195"/>
      <c r="B1414" s="172"/>
      <c r="C1414" s="196"/>
      <c r="D1414" s="685"/>
      <c r="E1414" s="196"/>
      <c r="F1414" s="685"/>
      <c r="G1414" s="204"/>
      <c r="H1414" s="203"/>
      <c r="I1414" s="198"/>
      <c r="J1414" s="198"/>
      <c r="K1414" s="198"/>
      <c r="L1414" s="198"/>
      <c r="M1414" s="198"/>
      <c r="N1414" s="198"/>
      <c r="O1414" s="198"/>
      <c r="P1414" s="199"/>
      <c r="Q1414" s="200"/>
      <c r="R1414" s="200"/>
      <c r="S1414" s="200"/>
      <c r="T1414" s="200"/>
      <c r="U1414" s="688"/>
      <c r="V1414" s="200"/>
      <c r="W1414" s="711"/>
    </row>
    <row r="1415" spans="1:23" ht="30.75" hidden="1" customHeight="1" outlineLevel="1">
      <c r="A1415" s="726">
        <v>2</v>
      </c>
      <c r="B1415" s="730" t="s">
        <v>1643</v>
      </c>
      <c r="C1415" s="727">
        <v>10</v>
      </c>
      <c r="D1415" s="690"/>
      <c r="E1415" s="753" t="s">
        <v>1557</v>
      </c>
      <c r="F1415" s="685">
        <v>1</v>
      </c>
      <c r="G1415" s="239">
        <v>1</v>
      </c>
      <c r="H1415" s="203">
        <v>2</v>
      </c>
      <c r="I1415" s="198">
        <f>C1415*10</f>
        <v>100</v>
      </c>
      <c r="J1415" s="171">
        <f>35253-50</f>
        <v>35203</v>
      </c>
      <c r="K1415" s="198">
        <v>100</v>
      </c>
      <c r="L1415" s="198"/>
      <c r="M1415" s="198"/>
      <c r="N1415" s="721">
        <f t="shared" ref="N1415:N1417" si="744">IF(E1415="L Shape",(I1415+J1415)-(C1415*2*1),IF(E1415="U Shape",(I1415+J1415+K1415)-(C1415*2*2),IF(E1415="Rectangle",(I1415+J1415+K1415+L1415)+(C1415*10*2)-(C1415*2*5),IF(E1415="Straight",J1415-(C1415*0),IF(E1415="Chair",(I1415+J1415+K1415+L1415+M1415)-(C1415*2*4),IF(E1415="U2 Shape",(I1415+J1415+K1415+L1415+M1415)-(C1415*2*4),IF(E1415="U3 Shape",(I1415+J1415+K1415+L1415)-(C1415*2*3),IF(E1415="Z Shape",(I1415+J1415+K1415)-(C1415*2*2),IF(E1415="Triangle",(I1415+J1415+K1415)+(C1415*10*2)-(C1415*2*4),IF(E1415="Trapezoid2",(I1415+I1415+J1415+K1415+K1415+L1415)+(C1415*10*2)-(C1415*2*7),IF(E1415="Trapezoid",(I1415+J1415+K1415+L1415)+(C1415*10*2)-(C1415*2*5),IF(E1415="Link",J1415+(C1415*10*2),IF(E1415="U5 Shape",(I1415+J1415+K1415+L1415)-(C1415*2*3),IF(E1415="DU2 Shape",(I1415+J1415+K1415+L1415)-(C1415*2*4),IF(E1415="SU Shape",(I1415+J1415+K1415)-(C1415*2*2),"-")))))))))))))))</f>
        <v>35363</v>
      </c>
      <c r="O1415" s="721">
        <f t="shared" ref="O1415:O1417" si="745">IF(N1415&lt;12001,C1415*49*0,IF(N1415&lt;24001,C1415*49*1,IF(N1415&lt;36001,C1415*49*2,IF(N1415&lt;48001,C1415*49*3,IF(N1415&lt;60001,C1415*49*4,IF(N1415&lt;72001,(C1415*49*5),IF(N1415&lt;84001,(C1415*49*6),IF(N1415&lt;96001,(C1415*49*7),IF(N1415&lt;108001,(C1415*49*8),IF(N1415&lt;120001,(C1415*49*9),IF(N1415&lt;132001,(C1415*49*10),IF(N1415&lt;144001,(C1415*49*11),""))))))))))))</f>
        <v>980</v>
      </c>
      <c r="P1415" s="722" t="str">
        <f t="shared" ref="P1415:P1417" si="746">IF(C1415=8,ROUND(((N1415+O1415)*F1415*G1415*H1415)/1000,3),"-")</f>
        <v>-</v>
      </c>
      <c r="Q1415" s="686">
        <f t="shared" ref="Q1415:Q1417" si="747">IF(C1415=10,ROUND(((N1415+O1415)*F1415*G1415*H1415)/1000,3),"-")</f>
        <v>72.686000000000007</v>
      </c>
      <c r="R1415" s="686" t="str">
        <f t="shared" ref="R1415:R1417" si="748">IF(C1415=12,ROUND(((N1415+O1415)*F1415*G1415*H1415)/1000,3),"-")</f>
        <v>-</v>
      </c>
      <c r="S1415" s="686" t="str">
        <f t="shared" ref="S1415:S1417" si="749">IF(C1415=16,ROUND(((N1415+O1415)*F1415*G1415*H1415)/1000,3),"-")</f>
        <v>-</v>
      </c>
      <c r="T1415" s="686" t="str">
        <f t="shared" ref="T1415:T1417" si="750">IF(C1415=20,ROUND(((N1415+O1415)*F1415*G1415*H1415)/1000,3),"-")</f>
        <v>-</v>
      </c>
      <c r="U1415" s="723" t="str">
        <f t="shared" ref="U1415:U1417" si="751">IF(C1415=25,ROUND(((N1415+O1415)*F1415*G1415*H1415)/1000,3),"-")</f>
        <v>-</v>
      </c>
      <c r="V1415" s="695" t="str">
        <f t="shared" ref="V1415:V1417" si="752">IF(C1415=32,ROUND(((N1415+O1415)*F1415*G1415*H1415)/1000,3),"-")</f>
        <v>-</v>
      </c>
      <c r="W1415" s="711"/>
    </row>
    <row r="1416" spans="1:23" ht="16.5" hidden="1" outlineLevel="1">
      <c r="A1416" s="726"/>
      <c r="B1416" s="726" t="s">
        <v>393</v>
      </c>
      <c r="C1416" s="727">
        <v>10</v>
      </c>
      <c r="D1416" s="690"/>
      <c r="E1416" s="753" t="s">
        <v>1557</v>
      </c>
      <c r="F1416" s="685">
        <v>1</v>
      </c>
      <c r="G1416" s="239">
        <v>1</v>
      </c>
      <c r="H1416" s="203">
        <v>2</v>
      </c>
      <c r="I1416" s="198">
        <f>C1416*10</f>
        <v>100</v>
      </c>
      <c r="J1416" s="171">
        <f>35253-50</f>
        <v>35203</v>
      </c>
      <c r="K1416" s="198">
        <v>100</v>
      </c>
      <c r="L1416" s="198"/>
      <c r="M1416" s="198"/>
      <c r="N1416" s="721">
        <f t="shared" si="744"/>
        <v>35363</v>
      </c>
      <c r="O1416" s="721">
        <f t="shared" si="745"/>
        <v>980</v>
      </c>
      <c r="P1416" s="722" t="str">
        <f t="shared" si="746"/>
        <v>-</v>
      </c>
      <c r="Q1416" s="686">
        <f t="shared" si="747"/>
        <v>72.686000000000007</v>
      </c>
      <c r="R1416" s="686" t="str">
        <f t="shared" si="748"/>
        <v>-</v>
      </c>
      <c r="S1416" s="686" t="str">
        <f t="shared" si="749"/>
        <v>-</v>
      </c>
      <c r="T1416" s="686" t="str">
        <f t="shared" si="750"/>
        <v>-</v>
      </c>
      <c r="U1416" s="723" t="str">
        <f t="shared" si="751"/>
        <v>-</v>
      </c>
      <c r="V1416" s="695" t="str">
        <f t="shared" si="752"/>
        <v>-</v>
      </c>
      <c r="W1416" s="711"/>
    </row>
    <row r="1417" spans="1:23" ht="16.5" hidden="1" outlineLevel="1">
      <c r="A1417" s="726"/>
      <c r="B1417" s="726" t="s">
        <v>394</v>
      </c>
      <c r="C1417" s="727">
        <v>8</v>
      </c>
      <c r="D1417" s="690"/>
      <c r="E1417" s="754" t="s">
        <v>1558</v>
      </c>
      <c r="F1417" s="685">
        <v>1</v>
      </c>
      <c r="G1417" s="239">
        <v>1</v>
      </c>
      <c r="H1417" s="203">
        <f>((J1415)/200)+1</f>
        <v>177.01499999999999</v>
      </c>
      <c r="I1417" s="198">
        <v>180</v>
      </c>
      <c r="J1417" s="198">
        <v>150</v>
      </c>
      <c r="K1417" s="198">
        <v>180</v>
      </c>
      <c r="L1417" s="198">
        <v>150</v>
      </c>
      <c r="M1417" s="198"/>
      <c r="N1417" s="721">
        <f t="shared" si="744"/>
        <v>740</v>
      </c>
      <c r="O1417" s="721">
        <f t="shared" si="745"/>
        <v>0</v>
      </c>
      <c r="P1417" s="722">
        <f t="shared" si="746"/>
        <v>130.99100000000001</v>
      </c>
      <c r="Q1417" s="686" t="str">
        <f t="shared" si="747"/>
        <v>-</v>
      </c>
      <c r="R1417" s="686" t="str">
        <f t="shared" si="748"/>
        <v>-</v>
      </c>
      <c r="S1417" s="686" t="str">
        <f t="shared" si="749"/>
        <v>-</v>
      </c>
      <c r="T1417" s="686" t="str">
        <f t="shared" si="750"/>
        <v>-</v>
      </c>
      <c r="U1417" s="723" t="str">
        <f t="shared" si="751"/>
        <v>-</v>
      </c>
      <c r="V1417" s="695" t="str">
        <f t="shared" si="752"/>
        <v>-</v>
      </c>
      <c r="W1417" s="711"/>
    </row>
    <row r="1418" spans="1:23" ht="16.5" hidden="1" outlineLevel="1">
      <c r="A1418" s="195"/>
      <c r="B1418" s="172"/>
      <c r="C1418" s="196"/>
      <c r="D1418" s="685"/>
      <c r="E1418" s="196"/>
      <c r="F1418" s="685"/>
      <c r="G1418" s="204"/>
      <c r="H1418" s="203"/>
      <c r="I1418" s="198"/>
      <c r="J1418" s="198"/>
      <c r="K1418" s="198"/>
      <c r="L1418" s="198"/>
      <c r="M1418" s="198"/>
      <c r="N1418" s="198"/>
      <c r="O1418" s="198"/>
      <c r="P1418" s="199"/>
      <c r="Q1418" s="200"/>
      <c r="R1418" s="200"/>
      <c r="S1418" s="200"/>
      <c r="T1418" s="200"/>
      <c r="U1418" s="688"/>
      <c r="V1418" s="200"/>
      <c r="W1418" s="711"/>
    </row>
    <row r="1419" spans="1:23" ht="33" hidden="1" outlineLevel="1">
      <c r="A1419" s="195"/>
      <c r="B1419" s="748" t="s">
        <v>857</v>
      </c>
      <c r="C1419" s="196"/>
      <c r="D1419" s="685"/>
      <c r="E1419" s="196"/>
      <c r="F1419" s="685"/>
      <c r="G1419" s="204"/>
      <c r="H1419" s="203"/>
      <c r="I1419" s="198"/>
      <c r="J1419" s="198"/>
      <c r="K1419" s="198"/>
      <c r="L1419" s="198"/>
      <c r="M1419" s="198"/>
      <c r="N1419" s="198"/>
      <c r="O1419" s="198"/>
      <c r="P1419" s="199"/>
      <c r="Q1419" s="200"/>
      <c r="R1419" s="200"/>
      <c r="S1419" s="200"/>
      <c r="T1419" s="200"/>
      <c r="U1419" s="688"/>
      <c r="V1419" s="200"/>
      <c r="W1419" s="711"/>
    </row>
    <row r="1420" spans="1:23" ht="16.5" hidden="1" outlineLevel="1">
      <c r="A1420" s="195"/>
      <c r="B1420" s="172"/>
      <c r="C1420" s="196"/>
      <c r="D1420" s="685"/>
      <c r="E1420" s="196"/>
      <c r="F1420" s="685"/>
      <c r="G1420" s="204"/>
      <c r="H1420" s="203"/>
      <c r="I1420" s="198"/>
      <c r="J1420" s="198"/>
      <c r="K1420" s="198"/>
      <c r="L1420" s="198"/>
      <c r="M1420" s="198"/>
      <c r="N1420" s="198"/>
      <c r="O1420" s="198"/>
      <c r="P1420" s="199"/>
      <c r="Q1420" s="200"/>
      <c r="R1420" s="200"/>
      <c r="S1420" s="200"/>
      <c r="T1420" s="200"/>
      <c r="U1420" s="688"/>
      <c r="V1420" s="200"/>
      <c r="W1420" s="711"/>
    </row>
    <row r="1421" spans="1:23" ht="30.75" hidden="1" customHeight="1" outlineLevel="1">
      <c r="A1421" s="726">
        <v>1</v>
      </c>
      <c r="B1421" s="730" t="s">
        <v>1643</v>
      </c>
      <c r="C1421" s="727">
        <v>10</v>
      </c>
      <c r="D1421" s="690"/>
      <c r="E1421" s="753" t="s">
        <v>1557</v>
      </c>
      <c r="F1421" s="685">
        <v>1</v>
      </c>
      <c r="G1421" s="239">
        <v>1</v>
      </c>
      <c r="H1421" s="203">
        <v>2</v>
      </c>
      <c r="I1421" s="198">
        <f>C1421*10</f>
        <v>100</v>
      </c>
      <c r="J1421" s="171">
        <f>31400-50</f>
        <v>31350</v>
      </c>
      <c r="K1421" s="198">
        <v>100</v>
      </c>
      <c r="L1421" s="198"/>
      <c r="M1421" s="198"/>
      <c r="N1421" s="721">
        <f t="shared" ref="N1421:N1423" si="753">IF(E1421="L Shape",(I1421+J1421)-(C1421*2*1),IF(E1421="U Shape",(I1421+J1421+K1421)-(C1421*2*2),IF(E1421="Rectangle",(I1421+J1421+K1421+L1421)+(C1421*10*2)-(C1421*2*5),IF(E1421="Straight",J1421-(C1421*0),IF(E1421="Chair",(I1421+J1421+K1421+L1421+M1421)-(C1421*2*4),IF(E1421="U2 Shape",(I1421+J1421+K1421+L1421+M1421)-(C1421*2*4),IF(E1421="U3 Shape",(I1421+J1421+K1421+L1421)-(C1421*2*3),IF(E1421="Z Shape",(I1421+J1421+K1421)-(C1421*2*2),IF(E1421="Triangle",(I1421+J1421+K1421)+(C1421*10*2)-(C1421*2*4),IF(E1421="Trapezoid2",(I1421+I1421+J1421+K1421+K1421+L1421)+(C1421*10*2)-(C1421*2*7),IF(E1421="Trapezoid",(I1421+J1421+K1421+L1421)+(C1421*10*2)-(C1421*2*5),IF(E1421="Link",J1421+(C1421*10*2),IF(E1421="U5 Shape",(I1421+J1421+K1421+L1421)-(C1421*2*3),IF(E1421="DU2 Shape",(I1421+J1421+K1421+L1421)-(C1421*2*4),IF(E1421="SU Shape",(I1421+J1421+K1421)-(C1421*2*2),"-")))))))))))))))</f>
        <v>31510</v>
      </c>
      <c r="O1421" s="721">
        <f t="shared" ref="O1421:O1423" si="754">IF(N1421&lt;12001,C1421*49*0,IF(N1421&lt;24001,C1421*49*1,IF(N1421&lt;36001,C1421*49*2,IF(N1421&lt;48001,C1421*49*3,IF(N1421&lt;60001,C1421*49*4,IF(N1421&lt;72001,(C1421*49*5),IF(N1421&lt;84001,(C1421*49*6),IF(N1421&lt;96001,(C1421*49*7),IF(N1421&lt;108001,(C1421*49*8),IF(N1421&lt;120001,(C1421*49*9),IF(N1421&lt;132001,(C1421*49*10),IF(N1421&lt;144001,(C1421*49*11),""))))))))))))</f>
        <v>980</v>
      </c>
      <c r="P1421" s="722" t="str">
        <f t="shared" ref="P1421:P1423" si="755">IF(C1421=8,ROUND(((N1421+O1421)*F1421*G1421*H1421)/1000,3),"-")</f>
        <v>-</v>
      </c>
      <c r="Q1421" s="686">
        <f t="shared" ref="Q1421:Q1423" si="756">IF(C1421=10,ROUND(((N1421+O1421)*F1421*G1421*H1421)/1000,3),"-")</f>
        <v>64.98</v>
      </c>
      <c r="R1421" s="686" t="str">
        <f t="shared" ref="R1421:R1423" si="757">IF(C1421=12,ROUND(((N1421+O1421)*F1421*G1421*H1421)/1000,3),"-")</f>
        <v>-</v>
      </c>
      <c r="S1421" s="686" t="str">
        <f t="shared" ref="S1421:S1423" si="758">IF(C1421=16,ROUND(((N1421+O1421)*F1421*G1421*H1421)/1000,3),"-")</f>
        <v>-</v>
      </c>
      <c r="T1421" s="686" t="str">
        <f t="shared" ref="T1421:T1423" si="759">IF(C1421=20,ROUND(((N1421+O1421)*F1421*G1421*H1421)/1000,3),"-")</f>
        <v>-</v>
      </c>
      <c r="U1421" s="723" t="str">
        <f t="shared" ref="U1421:U1423" si="760">IF(C1421=25,ROUND(((N1421+O1421)*F1421*G1421*H1421)/1000,3),"-")</f>
        <v>-</v>
      </c>
      <c r="V1421" s="695" t="str">
        <f t="shared" ref="V1421:V1423" si="761">IF(C1421=32,ROUND(((N1421+O1421)*F1421*G1421*H1421)/1000,3),"-")</f>
        <v>-</v>
      </c>
      <c r="W1421" s="711"/>
    </row>
    <row r="1422" spans="1:23" ht="16.5" hidden="1" outlineLevel="1">
      <c r="A1422" s="726"/>
      <c r="B1422" s="726" t="s">
        <v>393</v>
      </c>
      <c r="C1422" s="727">
        <v>10</v>
      </c>
      <c r="D1422" s="690"/>
      <c r="E1422" s="753" t="s">
        <v>1557</v>
      </c>
      <c r="F1422" s="685">
        <v>1</v>
      </c>
      <c r="G1422" s="239">
        <v>1</v>
      </c>
      <c r="H1422" s="203">
        <v>2</v>
      </c>
      <c r="I1422" s="198">
        <f>C1422*10</f>
        <v>100</v>
      </c>
      <c r="J1422" s="171">
        <f>31400-50</f>
        <v>31350</v>
      </c>
      <c r="K1422" s="198">
        <v>100</v>
      </c>
      <c r="L1422" s="198"/>
      <c r="M1422" s="198"/>
      <c r="N1422" s="721">
        <f t="shared" si="753"/>
        <v>31510</v>
      </c>
      <c r="O1422" s="721">
        <f t="shared" si="754"/>
        <v>980</v>
      </c>
      <c r="P1422" s="722" t="str">
        <f t="shared" si="755"/>
        <v>-</v>
      </c>
      <c r="Q1422" s="686">
        <f t="shared" si="756"/>
        <v>64.98</v>
      </c>
      <c r="R1422" s="686" t="str">
        <f t="shared" si="757"/>
        <v>-</v>
      </c>
      <c r="S1422" s="686" t="str">
        <f t="shared" si="758"/>
        <v>-</v>
      </c>
      <c r="T1422" s="686" t="str">
        <f t="shared" si="759"/>
        <v>-</v>
      </c>
      <c r="U1422" s="723" t="str">
        <f t="shared" si="760"/>
        <v>-</v>
      </c>
      <c r="V1422" s="695" t="str">
        <f t="shared" si="761"/>
        <v>-</v>
      </c>
      <c r="W1422" s="711"/>
    </row>
    <row r="1423" spans="1:23" ht="16.5" hidden="1" outlineLevel="1">
      <c r="A1423" s="726"/>
      <c r="B1423" s="726" t="s">
        <v>394</v>
      </c>
      <c r="C1423" s="727">
        <v>8</v>
      </c>
      <c r="D1423" s="690"/>
      <c r="E1423" s="754" t="s">
        <v>1558</v>
      </c>
      <c r="F1423" s="685">
        <v>1</v>
      </c>
      <c r="G1423" s="239">
        <v>1</v>
      </c>
      <c r="H1423" s="203">
        <f>((J1421)/200)+1</f>
        <v>157.75</v>
      </c>
      <c r="I1423" s="198">
        <v>180</v>
      </c>
      <c r="J1423" s="198">
        <v>150</v>
      </c>
      <c r="K1423" s="198">
        <v>180</v>
      </c>
      <c r="L1423" s="198">
        <v>150</v>
      </c>
      <c r="M1423" s="198"/>
      <c r="N1423" s="721">
        <f t="shared" si="753"/>
        <v>740</v>
      </c>
      <c r="O1423" s="721">
        <f t="shared" si="754"/>
        <v>0</v>
      </c>
      <c r="P1423" s="722">
        <f t="shared" si="755"/>
        <v>116.735</v>
      </c>
      <c r="Q1423" s="686" t="str">
        <f t="shared" si="756"/>
        <v>-</v>
      </c>
      <c r="R1423" s="686" t="str">
        <f t="shared" si="757"/>
        <v>-</v>
      </c>
      <c r="S1423" s="686" t="str">
        <f t="shared" si="758"/>
        <v>-</v>
      </c>
      <c r="T1423" s="686" t="str">
        <f t="shared" si="759"/>
        <v>-</v>
      </c>
      <c r="U1423" s="723" t="str">
        <f t="shared" si="760"/>
        <v>-</v>
      </c>
      <c r="V1423" s="695" t="str">
        <f t="shared" si="761"/>
        <v>-</v>
      </c>
      <c r="W1423" s="711"/>
    </row>
    <row r="1424" spans="1:23" ht="16.5" hidden="1" outlineLevel="1">
      <c r="A1424" s="195"/>
      <c r="B1424" s="172"/>
      <c r="C1424" s="196"/>
      <c r="D1424" s="685"/>
      <c r="E1424" s="196"/>
      <c r="F1424" s="685"/>
      <c r="G1424" s="204"/>
      <c r="H1424" s="203"/>
      <c r="I1424" s="198"/>
      <c r="J1424" s="198"/>
      <c r="K1424" s="198"/>
      <c r="L1424" s="198"/>
      <c r="M1424" s="198"/>
      <c r="N1424" s="198"/>
      <c r="O1424" s="198"/>
      <c r="P1424" s="199"/>
      <c r="Q1424" s="200"/>
      <c r="R1424" s="200"/>
      <c r="S1424" s="200"/>
      <c r="T1424" s="200"/>
      <c r="U1424" s="688"/>
      <c r="V1424" s="200"/>
      <c r="W1424" s="711"/>
    </row>
    <row r="1425" spans="1:23" ht="30.75" hidden="1" customHeight="1" outlineLevel="1">
      <c r="A1425" s="726">
        <v>2</v>
      </c>
      <c r="B1425" s="730" t="s">
        <v>1643</v>
      </c>
      <c r="C1425" s="727">
        <v>10</v>
      </c>
      <c r="D1425" s="690"/>
      <c r="E1425" s="753" t="s">
        <v>1557</v>
      </c>
      <c r="F1425" s="685">
        <v>1</v>
      </c>
      <c r="G1425" s="239">
        <v>1</v>
      </c>
      <c r="H1425" s="203">
        <v>2</v>
      </c>
      <c r="I1425" s="198">
        <f>C1425*10</f>
        <v>100</v>
      </c>
      <c r="J1425" s="171">
        <f>42550-50</f>
        <v>42500</v>
      </c>
      <c r="K1425" s="198">
        <v>100</v>
      </c>
      <c r="L1425" s="198"/>
      <c r="M1425" s="198"/>
      <c r="N1425" s="721">
        <f t="shared" ref="N1425:N1427" si="762">IF(E1425="L Shape",(I1425+J1425)-(C1425*2*1),IF(E1425="U Shape",(I1425+J1425+K1425)-(C1425*2*2),IF(E1425="Rectangle",(I1425+J1425+K1425+L1425)+(C1425*10*2)-(C1425*2*5),IF(E1425="Straight",J1425-(C1425*0),IF(E1425="Chair",(I1425+J1425+K1425+L1425+M1425)-(C1425*2*4),IF(E1425="U2 Shape",(I1425+J1425+K1425+L1425+M1425)-(C1425*2*4),IF(E1425="U3 Shape",(I1425+J1425+K1425+L1425)-(C1425*2*3),IF(E1425="Z Shape",(I1425+J1425+K1425)-(C1425*2*2),IF(E1425="Triangle",(I1425+J1425+K1425)+(C1425*10*2)-(C1425*2*4),IF(E1425="Trapezoid2",(I1425+I1425+J1425+K1425+K1425+L1425)+(C1425*10*2)-(C1425*2*7),IF(E1425="Trapezoid",(I1425+J1425+K1425+L1425)+(C1425*10*2)-(C1425*2*5),IF(E1425="Link",J1425+(C1425*10*2),IF(E1425="U5 Shape",(I1425+J1425+K1425+L1425)-(C1425*2*3),IF(E1425="DU2 Shape",(I1425+J1425+K1425+L1425)-(C1425*2*4),IF(E1425="SU Shape",(I1425+J1425+K1425)-(C1425*2*2),"-")))))))))))))))</f>
        <v>42660</v>
      </c>
      <c r="O1425" s="721">
        <f t="shared" ref="O1425:O1427" si="763">IF(N1425&lt;12001,C1425*49*0,IF(N1425&lt;24001,C1425*49*1,IF(N1425&lt;36001,C1425*49*2,IF(N1425&lt;48001,C1425*49*3,IF(N1425&lt;60001,C1425*49*4,IF(N1425&lt;72001,(C1425*49*5),IF(N1425&lt;84001,(C1425*49*6),IF(N1425&lt;96001,(C1425*49*7),IF(N1425&lt;108001,(C1425*49*8),IF(N1425&lt;120001,(C1425*49*9),IF(N1425&lt;132001,(C1425*49*10),IF(N1425&lt;144001,(C1425*49*11),""))))))))))))</f>
        <v>1470</v>
      </c>
      <c r="P1425" s="722" t="str">
        <f t="shared" ref="P1425:P1427" si="764">IF(C1425=8,ROUND(((N1425+O1425)*F1425*G1425*H1425)/1000,3),"-")</f>
        <v>-</v>
      </c>
      <c r="Q1425" s="686">
        <f t="shared" ref="Q1425:Q1427" si="765">IF(C1425=10,ROUND(((N1425+O1425)*F1425*G1425*H1425)/1000,3),"-")</f>
        <v>88.26</v>
      </c>
      <c r="R1425" s="686" t="str">
        <f t="shared" ref="R1425:R1427" si="766">IF(C1425=12,ROUND(((N1425+O1425)*F1425*G1425*H1425)/1000,3),"-")</f>
        <v>-</v>
      </c>
      <c r="S1425" s="686" t="str">
        <f t="shared" ref="S1425:S1427" si="767">IF(C1425=16,ROUND(((N1425+O1425)*F1425*G1425*H1425)/1000,3),"-")</f>
        <v>-</v>
      </c>
      <c r="T1425" s="686" t="str">
        <f t="shared" ref="T1425:T1427" si="768">IF(C1425=20,ROUND(((N1425+O1425)*F1425*G1425*H1425)/1000,3),"-")</f>
        <v>-</v>
      </c>
      <c r="U1425" s="723" t="str">
        <f t="shared" ref="U1425:U1427" si="769">IF(C1425=25,ROUND(((N1425+O1425)*F1425*G1425*H1425)/1000,3),"-")</f>
        <v>-</v>
      </c>
      <c r="V1425" s="695" t="str">
        <f t="shared" ref="V1425:V1427" si="770">IF(C1425=32,ROUND(((N1425+O1425)*F1425*G1425*H1425)/1000,3),"-")</f>
        <v>-</v>
      </c>
      <c r="W1425" s="711"/>
    </row>
    <row r="1426" spans="1:23" ht="16.5" hidden="1" outlineLevel="1">
      <c r="A1426" s="726"/>
      <c r="B1426" s="726" t="s">
        <v>393</v>
      </c>
      <c r="C1426" s="727">
        <v>10</v>
      </c>
      <c r="D1426" s="690"/>
      <c r="E1426" s="753" t="s">
        <v>1557</v>
      </c>
      <c r="F1426" s="685">
        <v>1</v>
      </c>
      <c r="G1426" s="239">
        <v>1</v>
      </c>
      <c r="H1426" s="203">
        <v>2</v>
      </c>
      <c r="I1426" s="198">
        <f>C1426*10</f>
        <v>100</v>
      </c>
      <c r="J1426" s="171">
        <f>42550-50</f>
        <v>42500</v>
      </c>
      <c r="K1426" s="198">
        <v>100</v>
      </c>
      <c r="L1426" s="198"/>
      <c r="M1426" s="198"/>
      <c r="N1426" s="721">
        <f t="shared" si="762"/>
        <v>42660</v>
      </c>
      <c r="O1426" s="721">
        <f t="shared" si="763"/>
        <v>1470</v>
      </c>
      <c r="P1426" s="722" t="str">
        <f t="shared" si="764"/>
        <v>-</v>
      </c>
      <c r="Q1426" s="686">
        <f t="shared" si="765"/>
        <v>88.26</v>
      </c>
      <c r="R1426" s="686" t="str">
        <f t="shared" si="766"/>
        <v>-</v>
      </c>
      <c r="S1426" s="686" t="str">
        <f t="shared" si="767"/>
        <v>-</v>
      </c>
      <c r="T1426" s="686" t="str">
        <f t="shared" si="768"/>
        <v>-</v>
      </c>
      <c r="U1426" s="723" t="str">
        <f t="shared" si="769"/>
        <v>-</v>
      </c>
      <c r="V1426" s="695" t="str">
        <f t="shared" si="770"/>
        <v>-</v>
      </c>
      <c r="W1426" s="711"/>
    </row>
    <row r="1427" spans="1:23" ht="16.5" hidden="1" outlineLevel="1">
      <c r="A1427" s="726"/>
      <c r="B1427" s="726" t="s">
        <v>394</v>
      </c>
      <c r="C1427" s="727">
        <v>8</v>
      </c>
      <c r="D1427" s="690"/>
      <c r="E1427" s="754" t="s">
        <v>1558</v>
      </c>
      <c r="F1427" s="685">
        <v>1</v>
      </c>
      <c r="G1427" s="239">
        <v>1</v>
      </c>
      <c r="H1427" s="203">
        <f>((J1425)/200)+1</f>
        <v>213.5</v>
      </c>
      <c r="I1427" s="198">
        <v>180</v>
      </c>
      <c r="J1427" s="198">
        <v>150</v>
      </c>
      <c r="K1427" s="198">
        <v>180</v>
      </c>
      <c r="L1427" s="198">
        <v>150</v>
      </c>
      <c r="M1427" s="198"/>
      <c r="N1427" s="721">
        <f t="shared" si="762"/>
        <v>740</v>
      </c>
      <c r="O1427" s="721">
        <f t="shared" si="763"/>
        <v>0</v>
      </c>
      <c r="P1427" s="722">
        <f t="shared" si="764"/>
        <v>157.99</v>
      </c>
      <c r="Q1427" s="686" t="str">
        <f t="shared" si="765"/>
        <v>-</v>
      </c>
      <c r="R1427" s="686" t="str">
        <f t="shared" si="766"/>
        <v>-</v>
      </c>
      <c r="S1427" s="686" t="str">
        <f t="shared" si="767"/>
        <v>-</v>
      </c>
      <c r="T1427" s="686" t="str">
        <f t="shared" si="768"/>
        <v>-</v>
      </c>
      <c r="U1427" s="723" t="str">
        <f t="shared" si="769"/>
        <v>-</v>
      </c>
      <c r="V1427" s="695" t="str">
        <f t="shared" si="770"/>
        <v>-</v>
      </c>
      <c r="W1427" s="711"/>
    </row>
    <row r="1428" spans="1:23" ht="16.5" hidden="1" outlineLevel="1">
      <c r="A1428" s="195"/>
      <c r="B1428" s="172"/>
      <c r="C1428" s="196"/>
      <c r="D1428" s="685"/>
      <c r="E1428" s="196"/>
      <c r="F1428" s="685"/>
      <c r="G1428" s="204"/>
      <c r="H1428" s="203"/>
      <c r="I1428" s="198"/>
      <c r="J1428" s="198"/>
      <c r="K1428" s="198"/>
      <c r="L1428" s="198"/>
      <c r="M1428" s="198"/>
      <c r="N1428" s="198"/>
      <c r="O1428" s="198"/>
      <c r="P1428" s="199"/>
      <c r="Q1428" s="200"/>
      <c r="R1428" s="200"/>
      <c r="S1428" s="200"/>
      <c r="T1428" s="200"/>
      <c r="U1428" s="688"/>
      <c r="V1428" s="200"/>
      <c r="W1428" s="711"/>
    </row>
    <row r="1429" spans="1:23" ht="34.5" hidden="1" outlineLevel="1">
      <c r="A1429" s="756" t="s">
        <v>37</v>
      </c>
      <c r="B1429" s="757" t="s">
        <v>1644</v>
      </c>
      <c r="C1429" s="196"/>
      <c r="D1429" s="685"/>
      <c r="E1429" s="196"/>
      <c r="F1429" s="685"/>
      <c r="G1429" s="204"/>
      <c r="H1429" s="203"/>
      <c r="I1429" s="198"/>
      <c r="J1429" s="198"/>
      <c r="K1429" s="198"/>
      <c r="L1429" s="198"/>
      <c r="M1429" s="198"/>
      <c r="N1429" s="198"/>
      <c r="O1429" s="198"/>
      <c r="P1429" s="199"/>
      <c r="Q1429" s="200"/>
      <c r="R1429" s="200"/>
      <c r="S1429" s="200"/>
      <c r="T1429" s="200"/>
      <c r="U1429" s="688"/>
      <c r="V1429" s="200"/>
      <c r="W1429" s="711"/>
    </row>
    <row r="1430" spans="1:23" ht="69" hidden="1" outlineLevel="1">
      <c r="A1430" s="756"/>
      <c r="B1430" s="758" t="s">
        <v>1645</v>
      </c>
      <c r="C1430" s="196"/>
      <c r="D1430" s="685"/>
      <c r="E1430" s="196"/>
      <c r="F1430" s="685"/>
      <c r="G1430" s="204"/>
      <c r="H1430" s="203"/>
      <c r="I1430" s="198"/>
      <c r="J1430" s="198"/>
      <c r="K1430" s="198"/>
      <c r="L1430" s="198"/>
      <c r="M1430" s="198"/>
      <c r="N1430" s="198"/>
      <c r="O1430" s="198"/>
      <c r="P1430" s="199"/>
      <c r="Q1430" s="200"/>
      <c r="R1430" s="200"/>
      <c r="S1430" s="200"/>
      <c r="T1430" s="200"/>
      <c r="U1430" s="688"/>
      <c r="V1430" s="200"/>
      <c r="W1430" s="711"/>
    </row>
    <row r="1431" spans="1:23" ht="17.25" hidden="1" outlineLevel="1">
      <c r="A1431" s="756"/>
      <c r="B1431" s="759" t="s">
        <v>676</v>
      </c>
      <c r="C1431" s="196"/>
      <c r="D1431" s="685"/>
      <c r="E1431" s="196"/>
      <c r="F1431" s="685"/>
      <c r="G1431" s="204"/>
      <c r="H1431" s="203"/>
      <c r="I1431" s="198"/>
      <c r="J1431" s="198"/>
      <c r="K1431" s="198"/>
      <c r="L1431" s="198"/>
      <c r="M1431" s="198"/>
      <c r="N1431" s="198"/>
      <c r="O1431" s="198"/>
      <c r="P1431" s="199"/>
      <c r="Q1431" s="200"/>
      <c r="R1431" s="200"/>
      <c r="S1431" s="200"/>
      <c r="T1431" s="200"/>
      <c r="U1431" s="688"/>
      <c r="V1431" s="200"/>
      <c r="W1431" s="711"/>
    </row>
    <row r="1432" spans="1:23" ht="17.25" hidden="1" outlineLevel="1">
      <c r="A1432" s="756"/>
      <c r="B1432" s="758" t="s">
        <v>961</v>
      </c>
      <c r="C1432" s="196"/>
      <c r="D1432" s="685"/>
      <c r="E1432" s="196"/>
      <c r="F1432" s="685"/>
      <c r="G1432" s="204"/>
      <c r="H1432" s="203"/>
      <c r="I1432" s="198"/>
      <c r="J1432" s="198"/>
      <c r="K1432" s="198"/>
      <c r="L1432" s="198"/>
      <c r="M1432" s="198"/>
      <c r="N1432" s="198"/>
      <c r="O1432" s="198"/>
      <c r="P1432" s="199"/>
      <c r="Q1432" s="200"/>
      <c r="R1432" s="200"/>
      <c r="S1432" s="200"/>
      <c r="T1432" s="200"/>
      <c r="U1432" s="688"/>
      <c r="V1432" s="200"/>
      <c r="W1432" s="711"/>
    </row>
    <row r="1433" spans="1:23" ht="16.5" hidden="1" outlineLevel="1">
      <c r="A1433" s="195"/>
      <c r="B1433" s="172" t="s">
        <v>1646</v>
      </c>
      <c r="C1433" s="196">
        <v>10</v>
      </c>
      <c r="D1433" s="685"/>
      <c r="E1433" s="740" t="s">
        <v>1587</v>
      </c>
      <c r="F1433" s="685">
        <v>1</v>
      </c>
      <c r="G1433" s="204">
        <v>1</v>
      </c>
      <c r="H1433" s="760">
        <f>(18320/150)+1</f>
        <v>123.13333333333334</v>
      </c>
      <c r="I1433" s="198"/>
      <c r="J1433" s="198">
        <f>(18320+500+500)*78.5%</f>
        <v>15166.2</v>
      </c>
      <c r="K1433" s="198"/>
      <c r="L1433" s="198"/>
      <c r="M1433" s="198"/>
      <c r="N1433" s="721">
        <f t="shared" ref="N1433:N1437" si="771">IF(E1433="L Shape",(I1433+J1433)-(C1433*2*1),IF(E1433="U Shape",(I1433+J1433+K1433)-(C1433*2*2),IF(E1433="Rectangle",(I1433+J1433+K1433+L1433)+(C1433*10*2)-(C1433*2*5),IF(E1433="Straight",J1433-(C1433*0),IF(E1433="Chair",(I1433+J1433+K1433+L1433+M1433)-(C1433*2*4),IF(E1433="U2 Shape",(I1433+J1433+K1433+L1433+M1433)-(C1433*2*4),IF(E1433="U3 Shape",(I1433+J1433+K1433+L1433)-(C1433*2*3),IF(E1433="Z Shape",(I1433+J1433+K1433)-(C1433*2*2),IF(E1433="Triangle",(I1433+J1433+K1433)+(C1433*10*2)-(C1433*2*4),IF(E1433="Trapezoid2",(I1433+I1433+J1433+K1433+K1433+L1433)+(C1433*10*2)-(C1433*2*7),IF(E1433="Trapezoid",(I1433+J1433+K1433+L1433)+(C1433*10*2)-(C1433*2*5),IF(E1433="Link",J1433+(C1433*10*2),IF(E1433="U5 Shape",(I1433+J1433+K1433+L1433)-(C1433*2*3),IF(E1433="DU2 Shape",(I1433+J1433+K1433+L1433)-(C1433*2*4),IF(E1433="SU Shape",(I1433+J1433+K1433)-(C1433*2*2),"-")))))))))))))))</f>
        <v>15166.2</v>
      </c>
      <c r="O1433" s="721">
        <f t="shared" ref="O1433:O1437" si="772">IF(N1433&lt;12001,C1433*49*0,IF(N1433&lt;24001,C1433*49*1,IF(N1433&lt;36001,C1433*49*2,IF(N1433&lt;48001,C1433*49*3,IF(N1433&lt;60001,C1433*49*4,IF(N1433&lt;72001,(C1433*49*5),IF(N1433&lt;84001,(C1433*49*6),IF(N1433&lt;96001,(C1433*49*7),IF(N1433&lt;108001,(C1433*49*8),IF(N1433&lt;120001,(C1433*49*9),IF(N1433&lt;132001,(C1433*49*10),IF(N1433&lt;144001,(C1433*49*11),""))))))))))))</f>
        <v>490</v>
      </c>
      <c r="P1433" s="722" t="str">
        <f t="shared" ref="P1433:P1437" si="773">IF(C1433=8,ROUND(((N1433+O1433)*F1433*G1433*H1433)/1000,3),"-")</f>
        <v>-</v>
      </c>
      <c r="Q1433" s="686">
        <f t="shared" ref="Q1433:Q1437" si="774">IF(C1433=10,ROUND(((N1433+O1433)*F1433*G1433*H1433)/1000,3),"-")</f>
        <v>1927.8</v>
      </c>
      <c r="R1433" s="686" t="str">
        <f t="shared" ref="R1433:R1437" si="775">IF(C1433=12,ROUND(((N1433+O1433)*F1433*G1433*H1433)/1000,3),"-")</f>
        <v>-</v>
      </c>
      <c r="S1433" s="686" t="str">
        <f t="shared" ref="S1433:S1437" si="776">IF(C1433=16,ROUND(((N1433+O1433)*F1433*G1433*H1433)/1000,3),"-")</f>
        <v>-</v>
      </c>
      <c r="T1433" s="686" t="str">
        <f t="shared" ref="T1433:T1437" si="777">IF(C1433=20,ROUND(((N1433+O1433)*F1433*G1433*H1433)/1000,3),"-")</f>
        <v>-</v>
      </c>
      <c r="U1433" s="723" t="str">
        <f t="shared" ref="U1433:U1437" si="778">IF(C1433=25,ROUND(((N1433+O1433)*F1433*G1433*H1433)/1000,3),"-")</f>
        <v>-</v>
      </c>
      <c r="V1433" s="695" t="str">
        <f t="shared" ref="V1433:V1437" si="779">IF(C1433=32,ROUND(((N1433+O1433)*F1433*G1433*H1433)/1000,3),"-")</f>
        <v>-</v>
      </c>
      <c r="W1433" s="711"/>
    </row>
    <row r="1434" spans="1:23" ht="16.5" hidden="1" outlineLevel="1">
      <c r="A1434" s="195"/>
      <c r="B1434" s="172" t="s">
        <v>1647</v>
      </c>
      <c r="C1434" s="196">
        <v>10</v>
      </c>
      <c r="D1434" s="685"/>
      <c r="E1434" s="740" t="s">
        <v>1587</v>
      </c>
      <c r="F1434" s="685">
        <v>1</v>
      </c>
      <c r="G1434" s="204">
        <v>1</v>
      </c>
      <c r="H1434" s="760">
        <f>(18320/150)+1</f>
        <v>123.13333333333334</v>
      </c>
      <c r="I1434" s="198"/>
      <c r="J1434" s="198">
        <f>(18320+500+500)*78.5%</f>
        <v>15166.2</v>
      </c>
      <c r="K1434" s="198"/>
      <c r="L1434" s="198"/>
      <c r="M1434" s="198"/>
      <c r="N1434" s="721">
        <f t="shared" si="771"/>
        <v>15166.2</v>
      </c>
      <c r="O1434" s="721">
        <f t="shared" si="772"/>
        <v>490</v>
      </c>
      <c r="P1434" s="722" t="str">
        <f t="shared" si="773"/>
        <v>-</v>
      </c>
      <c r="Q1434" s="686">
        <f t="shared" si="774"/>
        <v>1927.8</v>
      </c>
      <c r="R1434" s="686" t="str">
        <f t="shared" si="775"/>
        <v>-</v>
      </c>
      <c r="S1434" s="686" t="str">
        <f t="shared" si="776"/>
        <v>-</v>
      </c>
      <c r="T1434" s="686" t="str">
        <f t="shared" si="777"/>
        <v>-</v>
      </c>
      <c r="U1434" s="723" t="str">
        <f t="shared" si="778"/>
        <v>-</v>
      </c>
      <c r="V1434" s="695" t="str">
        <f t="shared" si="779"/>
        <v>-</v>
      </c>
      <c r="W1434" s="711"/>
    </row>
    <row r="1435" spans="1:23" ht="16.5" hidden="1" outlineLevel="1">
      <c r="A1435" s="195"/>
      <c r="B1435" s="172" t="s">
        <v>1648</v>
      </c>
      <c r="C1435" s="196">
        <v>10</v>
      </c>
      <c r="D1435" s="685"/>
      <c r="E1435" s="740" t="s">
        <v>1587</v>
      </c>
      <c r="F1435" s="685">
        <v>1</v>
      </c>
      <c r="G1435" s="204">
        <v>1</v>
      </c>
      <c r="H1435" s="760">
        <f>(18320/150)+1</f>
        <v>123.13333333333334</v>
      </c>
      <c r="I1435" s="198"/>
      <c r="J1435" s="198">
        <f>(18320+500+500)*78.5%</f>
        <v>15166.2</v>
      </c>
      <c r="K1435" s="198"/>
      <c r="L1435" s="198"/>
      <c r="M1435" s="198"/>
      <c r="N1435" s="721">
        <f t="shared" si="771"/>
        <v>15166.2</v>
      </c>
      <c r="O1435" s="721">
        <f t="shared" si="772"/>
        <v>490</v>
      </c>
      <c r="P1435" s="722" t="str">
        <f t="shared" si="773"/>
        <v>-</v>
      </c>
      <c r="Q1435" s="686">
        <f t="shared" si="774"/>
        <v>1927.8</v>
      </c>
      <c r="R1435" s="686" t="str">
        <f t="shared" si="775"/>
        <v>-</v>
      </c>
      <c r="S1435" s="686" t="str">
        <f t="shared" si="776"/>
        <v>-</v>
      </c>
      <c r="T1435" s="686" t="str">
        <f t="shared" si="777"/>
        <v>-</v>
      </c>
      <c r="U1435" s="723" t="str">
        <f t="shared" si="778"/>
        <v>-</v>
      </c>
      <c r="V1435" s="695" t="str">
        <f t="shared" si="779"/>
        <v>-</v>
      </c>
      <c r="W1435" s="711"/>
    </row>
    <row r="1436" spans="1:23" ht="16.5" hidden="1" outlineLevel="1">
      <c r="A1436" s="195"/>
      <c r="B1436" s="172" t="s">
        <v>1649</v>
      </c>
      <c r="C1436" s="196">
        <v>10</v>
      </c>
      <c r="D1436" s="685"/>
      <c r="E1436" s="740" t="s">
        <v>1587</v>
      </c>
      <c r="F1436" s="685">
        <v>1</v>
      </c>
      <c r="G1436" s="204">
        <v>1</v>
      </c>
      <c r="H1436" s="760">
        <f>(18320/150)+1</f>
        <v>123.13333333333334</v>
      </c>
      <c r="I1436" s="198"/>
      <c r="J1436" s="198">
        <f>(18320+500+500)*78.5%</f>
        <v>15166.2</v>
      </c>
      <c r="K1436" s="198"/>
      <c r="L1436" s="198"/>
      <c r="M1436" s="198"/>
      <c r="N1436" s="721">
        <f t="shared" si="771"/>
        <v>15166.2</v>
      </c>
      <c r="O1436" s="721">
        <f t="shared" si="772"/>
        <v>490</v>
      </c>
      <c r="P1436" s="722" t="str">
        <f t="shared" si="773"/>
        <v>-</v>
      </c>
      <c r="Q1436" s="686">
        <f t="shared" si="774"/>
        <v>1927.8</v>
      </c>
      <c r="R1436" s="686" t="str">
        <f t="shared" si="775"/>
        <v>-</v>
      </c>
      <c r="S1436" s="686" t="str">
        <f t="shared" si="776"/>
        <v>-</v>
      </c>
      <c r="T1436" s="686" t="str">
        <f t="shared" si="777"/>
        <v>-</v>
      </c>
      <c r="U1436" s="723" t="str">
        <f t="shared" si="778"/>
        <v>-</v>
      </c>
      <c r="V1436" s="695" t="str">
        <f t="shared" si="779"/>
        <v>-</v>
      </c>
      <c r="W1436" s="711"/>
    </row>
    <row r="1437" spans="1:23" ht="16.5" hidden="1" outlineLevel="1">
      <c r="A1437" s="195"/>
      <c r="B1437" s="172" t="s">
        <v>1566</v>
      </c>
      <c r="C1437" s="196">
        <v>10</v>
      </c>
      <c r="D1437" s="685"/>
      <c r="E1437" s="691" t="s">
        <v>1566</v>
      </c>
      <c r="F1437" s="685">
        <v>1</v>
      </c>
      <c r="G1437" s="239">
        <v>1</v>
      </c>
      <c r="H1437" s="761">
        <f>18*18</f>
        <v>324</v>
      </c>
      <c r="I1437" s="198">
        <v>300</v>
      </c>
      <c r="J1437" s="198">
        <f>300-100-32</f>
        <v>168</v>
      </c>
      <c r="K1437" s="198">
        <v>500</v>
      </c>
      <c r="L1437" s="198">
        <f>300-100-32</f>
        <v>168</v>
      </c>
      <c r="M1437" s="198">
        <v>300</v>
      </c>
      <c r="N1437" s="721">
        <f t="shared" si="771"/>
        <v>1356</v>
      </c>
      <c r="O1437" s="721">
        <f t="shared" si="772"/>
        <v>0</v>
      </c>
      <c r="P1437" s="722" t="str">
        <f t="shared" si="773"/>
        <v>-</v>
      </c>
      <c r="Q1437" s="686">
        <f t="shared" si="774"/>
        <v>439.34399999999999</v>
      </c>
      <c r="R1437" s="686" t="str">
        <f t="shared" si="775"/>
        <v>-</v>
      </c>
      <c r="S1437" s="686" t="str">
        <f t="shared" si="776"/>
        <v>-</v>
      </c>
      <c r="T1437" s="686" t="str">
        <f t="shared" si="777"/>
        <v>-</v>
      </c>
      <c r="U1437" s="723" t="str">
        <f t="shared" si="778"/>
        <v>-</v>
      </c>
      <c r="V1437" s="695" t="str">
        <f t="shared" si="779"/>
        <v>-</v>
      </c>
      <c r="W1437" s="711"/>
    </row>
    <row r="1438" spans="1:23" ht="16.5" hidden="1" outlineLevel="1">
      <c r="A1438" s="195"/>
      <c r="B1438" s="172"/>
      <c r="C1438" s="196"/>
      <c r="D1438" s="685"/>
      <c r="E1438" s="196"/>
      <c r="F1438" s="685"/>
      <c r="G1438" s="204"/>
      <c r="H1438" s="203"/>
      <c r="I1438" s="198"/>
      <c r="J1438" s="198"/>
      <c r="K1438" s="198"/>
      <c r="L1438" s="198"/>
      <c r="M1438" s="198"/>
      <c r="N1438" s="198"/>
      <c r="O1438" s="198"/>
      <c r="P1438" s="199"/>
      <c r="Q1438" s="200"/>
      <c r="R1438" s="200"/>
      <c r="S1438" s="200"/>
      <c r="T1438" s="200"/>
      <c r="U1438" s="688"/>
      <c r="V1438" s="200"/>
      <c r="W1438" s="711"/>
    </row>
    <row r="1439" spans="1:23" ht="45.75" hidden="1" outlineLevel="1">
      <c r="A1439" s="195"/>
      <c r="B1439" s="719" t="s">
        <v>1650</v>
      </c>
      <c r="C1439" s="196"/>
      <c r="D1439" s="685"/>
      <c r="E1439" s="196"/>
      <c r="F1439" s="685"/>
      <c r="G1439" s="204"/>
      <c r="H1439" s="203"/>
      <c r="I1439" s="198"/>
      <c r="J1439" s="198"/>
      <c r="K1439" s="198"/>
      <c r="L1439" s="198"/>
      <c r="M1439" s="198"/>
      <c r="N1439" s="198"/>
      <c r="O1439" s="198"/>
      <c r="P1439" s="199"/>
      <c r="Q1439" s="200"/>
      <c r="R1439" s="200"/>
      <c r="S1439" s="200"/>
      <c r="T1439" s="200"/>
      <c r="U1439" s="200"/>
      <c r="V1439" s="200"/>
    </row>
    <row r="1440" spans="1:23" ht="16.5" hidden="1" outlineLevel="1">
      <c r="A1440" s="195"/>
      <c r="B1440" s="172" t="s">
        <v>1651</v>
      </c>
      <c r="C1440" s="196"/>
      <c r="D1440" s="685"/>
      <c r="E1440" s="196"/>
      <c r="F1440" s="685"/>
      <c r="G1440" s="204"/>
      <c r="H1440" s="203"/>
      <c r="I1440" s="198"/>
      <c r="J1440" s="198"/>
      <c r="K1440" s="198"/>
      <c r="L1440" s="198"/>
      <c r="M1440" s="198"/>
      <c r="N1440" s="198"/>
      <c r="O1440" s="198"/>
      <c r="P1440" s="199"/>
      <c r="Q1440" s="200"/>
      <c r="R1440" s="200"/>
      <c r="S1440" s="200"/>
      <c r="T1440" s="200"/>
      <c r="U1440" s="200"/>
      <c r="V1440" s="762"/>
    </row>
    <row r="1441" spans="1:22" ht="16.5" hidden="1" outlineLevel="1">
      <c r="A1441" s="195"/>
      <c r="B1441" s="172" t="s">
        <v>1652</v>
      </c>
      <c r="C1441" s="196">
        <v>10</v>
      </c>
      <c r="D1441" s="685">
        <v>150</v>
      </c>
      <c r="E1441" s="753" t="s">
        <v>1557</v>
      </c>
      <c r="F1441" s="685">
        <v>5</v>
      </c>
      <c r="G1441" s="204">
        <v>2</v>
      </c>
      <c r="H1441" s="203">
        <f>(J1441/150)+1</f>
        <v>9</v>
      </c>
      <c r="I1441" s="198">
        <f>C1441*10</f>
        <v>100</v>
      </c>
      <c r="J1441" s="763">
        <f>900+200+200-100</f>
        <v>1200</v>
      </c>
      <c r="K1441" s="764">
        <v>100</v>
      </c>
      <c r="L1441" s="198"/>
      <c r="M1441" s="198"/>
      <c r="N1441" s="765">
        <f t="shared" ref="N1441:N1448" si="780">IF(E1441="L Shape",(I1441+J1441)-(C1441*2*1),IF(E1441="U Shape",(I1441+J1441+K1441)-(C1441*2*2),IF(E1441="Rectangle",(I1441+J1441+K1441+L1441)+(C1441*10*2)-(C1441*2*5),IF(E1441="Straight",J1441-(C1441*0),IF(E1441="Chair",(I1441+J1441+K1441+L1441+M1441)-(C1441*2*4),IF(E1441="U2 Shape",(I1441+J1441+K1441+L1441+M1441)-(C1441*2*4),IF(E1441="U3 Shape",(I1441+J1441+K1441+L1441)-(C1441*2*3),IF(E1441="Z Shape",(I1441+J1441+K1441)-(C1441*2*2),IF(E1441="Triangle",(I1441+J1441+K1441)+(C1441*10*2)-(C1441*2*4),IF(E1441="Trapezoid2",(I1441+I1441+J1441+K1441+K1441+L1441)+(C1441*10*2)-(C1441*2*7),IF(E1441="Trapezoid",(I1441+J1441+K1441+L1441)+(C1441*10*2)-(C1441*2*5),IF(E1441="Link",J1441+(C1441*10*2),IF(E1441="U5 Shape",(I1441+J1441+K1441+L1441)-(C1441*2*3),IF(E1441="DU2 Shape",(I1441+J1441+K1441+L1441)-(C1441*2*4),IF(E1441="SU Shape",(I1441+J1441+K1441)-(C1441*2*2),"-")))))))))))))))</f>
        <v>1360</v>
      </c>
      <c r="O1441" s="765">
        <f t="shared" ref="O1441:O1448" si="781">IF(N1441&lt;12001,C1441*49*0,IF(N1441&lt;24001,C1441*49*1,IF(N1441&lt;36001,C1441*49*2,IF(N1441&lt;48001,C1441*49*3,IF(N1441&lt;60001,C1441*49*4,IF(N1441&lt;72001,(C1441*49*5),IF(N1441&lt;84001,(C1441*49*6),IF(N1441&lt;96001,(C1441*49*7),IF(N1441&lt;108001,(C1441*49*8),IF(N1441&lt;120001,(C1441*49*9),IF(N1441&lt;132001,(C1441*49*10),IF(N1441&lt;144001,(C1441*49*11),""))))))))))))</f>
        <v>0</v>
      </c>
      <c r="P1441" s="695" t="str">
        <f t="shared" ref="P1441:P1448" si="782">IF(C1441=8,ROUND(((N1441+O1441)*F1441*G1441*H1441)/1000,3),"-")</f>
        <v>-</v>
      </c>
      <c r="Q1441" s="695">
        <f t="shared" ref="Q1441:Q1448" si="783">IF(C1441=10,ROUND(((N1441+O1441)*F1441*G1441*H1441)/1000,3),"-")</f>
        <v>122.4</v>
      </c>
      <c r="R1441" s="695" t="str">
        <f t="shared" ref="R1441:R1448" si="784">IF(C1441=12,ROUND(((N1441+O1441)*F1441*G1441*H1441)/1000,3),"-")</f>
        <v>-</v>
      </c>
      <c r="S1441" s="695" t="str">
        <f t="shared" ref="S1441:S1448" si="785">IF(C1441=16,ROUND(((N1441+O1441)*F1441*G1441*H1441)/1000,3),"-")</f>
        <v>-</v>
      </c>
      <c r="T1441" s="695" t="str">
        <f t="shared" ref="T1441:T1448" si="786">IF(C1441=20,ROUND(((N1441+O1441)*F1441*G1441*H1441)/1000,3),"-")</f>
        <v>-</v>
      </c>
      <c r="U1441" s="695" t="str">
        <f t="shared" ref="U1441:U1448" si="787">IF(C1441=25,ROUND(((N1441+O1441)*F1441*G1441*H1441)/1000,3),"-")</f>
        <v>-</v>
      </c>
      <c r="V1441" s="766" t="str">
        <f t="shared" ref="V1441:V1448" si="788">IF(C1441=32,ROUND(((N1441+O1441)*F1441*G1441*H1441)/1000,3),"-")</f>
        <v>-</v>
      </c>
    </row>
    <row r="1442" spans="1:22" ht="16.5" hidden="1" outlineLevel="1">
      <c r="A1442" s="195"/>
      <c r="B1442" s="172" t="s">
        <v>1653</v>
      </c>
      <c r="C1442" s="196">
        <v>10</v>
      </c>
      <c r="D1442" s="685">
        <v>150</v>
      </c>
      <c r="E1442" s="753" t="s">
        <v>1557</v>
      </c>
      <c r="F1442" s="685">
        <v>5</v>
      </c>
      <c r="G1442" s="204">
        <v>2</v>
      </c>
      <c r="H1442" s="203">
        <f>(J1442/150)+1</f>
        <v>9</v>
      </c>
      <c r="I1442" s="198">
        <f>C1442*10</f>
        <v>100</v>
      </c>
      <c r="J1442" s="763">
        <f>900+200+200-100</f>
        <v>1200</v>
      </c>
      <c r="K1442" s="764">
        <v>100</v>
      </c>
      <c r="L1442" s="198"/>
      <c r="M1442" s="198"/>
      <c r="N1442" s="765">
        <f t="shared" si="780"/>
        <v>1360</v>
      </c>
      <c r="O1442" s="765">
        <f t="shared" si="781"/>
        <v>0</v>
      </c>
      <c r="P1442" s="695" t="str">
        <f t="shared" si="782"/>
        <v>-</v>
      </c>
      <c r="Q1442" s="695">
        <f t="shared" si="783"/>
        <v>122.4</v>
      </c>
      <c r="R1442" s="695" t="str">
        <f t="shared" si="784"/>
        <v>-</v>
      </c>
      <c r="S1442" s="695" t="str">
        <f t="shared" si="785"/>
        <v>-</v>
      </c>
      <c r="T1442" s="695" t="str">
        <f t="shared" si="786"/>
        <v>-</v>
      </c>
      <c r="U1442" s="695" t="str">
        <f t="shared" si="787"/>
        <v>-</v>
      </c>
      <c r="V1442" s="766" t="str">
        <f t="shared" si="788"/>
        <v>-</v>
      </c>
    </row>
    <row r="1443" spans="1:22" ht="16.5" hidden="1" outlineLevel="1">
      <c r="A1443" s="195"/>
      <c r="B1443" s="172" t="s">
        <v>1654</v>
      </c>
      <c r="C1443" s="196">
        <v>10</v>
      </c>
      <c r="D1443" s="685">
        <v>150</v>
      </c>
      <c r="E1443" s="753" t="s">
        <v>1593</v>
      </c>
      <c r="F1443" s="685">
        <v>5</v>
      </c>
      <c r="G1443" s="204">
        <v>4</v>
      </c>
      <c r="H1443" s="203">
        <f>(1100/150)+1</f>
        <v>8.3333333333333321</v>
      </c>
      <c r="I1443" s="198">
        <v>100</v>
      </c>
      <c r="J1443" s="198">
        <f>850+200-50</f>
        <v>1000</v>
      </c>
      <c r="K1443" s="198"/>
      <c r="L1443" s="198"/>
      <c r="M1443" s="198"/>
      <c r="N1443" s="765">
        <f t="shared" si="780"/>
        <v>1080</v>
      </c>
      <c r="O1443" s="765">
        <f t="shared" si="781"/>
        <v>0</v>
      </c>
      <c r="P1443" s="695" t="str">
        <f t="shared" si="782"/>
        <v>-</v>
      </c>
      <c r="Q1443" s="695">
        <f t="shared" si="783"/>
        <v>180</v>
      </c>
      <c r="R1443" s="695" t="str">
        <f t="shared" si="784"/>
        <v>-</v>
      </c>
      <c r="S1443" s="695" t="str">
        <f t="shared" si="785"/>
        <v>-</v>
      </c>
      <c r="T1443" s="695" t="str">
        <f t="shared" si="786"/>
        <v>-</v>
      </c>
      <c r="U1443" s="695" t="str">
        <f t="shared" si="787"/>
        <v>-</v>
      </c>
      <c r="V1443" s="766" t="str">
        <f t="shared" si="788"/>
        <v>-</v>
      </c>
    </row>
    <row r="1444" spans="1:22" ht="16.5" hidden="1" outlineLevel="1">
      <c r="A1444" s="195"/>
      <c r="B1444" s="172" t="s">
        <v>1655</v>
      </c>
      <c r="C1444" s="196">
        <v>10</v>
      </c>
      <c r="D1444" s="685">
        <v>150</v>
      </c>
      <c r="E1444" s="753" t="s">
        <v>1593</v>
      </c>
      <c r="F1444" s="685">
        <v>5</v>
      </c>
      <c r="G1444" s="204">
        <v>4</v>
      </c>
      <c r="H1444" s="203">
        <f>(800/150)+1</f>
        <v>6.333333333333333</v>
      </c>
      <c r="I1444" s="198">
        <v>100</v>
      </c>
      <c r="J1444" s="198">
        <f>850+200-50</f>
        <v>1000</v>
      </c>
      <c r="K1444" s="198"/>
      <c r="L1444" s="198"/>
      <c r="M1444" s="198"/>
      <c r="N1444" s="765">
        <f t="shared" si="780"/>
        <v>1080</v>
      </c>
      <c r="O1444" s="765">
        <f t="shared" si="781"/>
        <v>0</v>
      </c>
      <c r="P1444" s="695" t="str">
        <f t="shared" si="782"/>
        <v>-</v>
      </c>
      <c r="Q1444" s="695">
        <f t="shared" si="783"/>
        <v>136.80000000000001</v>
      </c>
      <c r="R1444" s="695" t="str">
        <f t="shared" si="784"/>
        <v>-</v>
      </c>
      <c r="S1444" s="695" t="str">
        <f t="shared" si="785"/>
        <v>-</v>
      </c>
      <c r="T1444" s="695" t="str">
        <f t="shared" si="786"/>
        <v>-</v>
      </c>
      <c r="U1444" s="695" t="str">
        <f t="shared" si="787"/>
        <v>-</v>
      </c>
      <c r="V1444" s="766" t="str">
        <f t="shared" si="788"/>
        <v>-</v>
      </c>
    </row>
    <row r="1445" spans="1:22" ht="16.5" hidden="1" outlineLevel="1">
      <c r="A1445" s="195"/>
      <c r="B1445" s="172" t="s">
        <v>1656</v>
      </c>
      <c r="C1445" s="196">
        <v>10</v>
      </c>
      <c r="D1445" s="685">
        <v>150</v>
      </c>
      <c r="E1445" s="753" t="s">
        <v>1593</v>
      </c>
      <c r="F1445" s="685">
        <v>5</v>
      </c>
      <c r="G1445" s="204">
        <v>4</v>
      </c>
      <c r="H1445" s="203">
        <f>(850/150)+1</f>
        <v>6.666666666666667</v>
      </c>
      <c r="I1445" s="198">
        <v>100</v>
      </c>
      <c r="J1445" s="198">
        <v>950</v>
      </c>
      <c r="K1445" s="198"/>
      <c r="L1445" s="198"/>
      <c r="M1445" s="198"/>
      <c r="N1445" s="765">
        <f t="shared" si="780"/>
        <v>1030</v>
      </c>
      <c r="O1445" s="765">
        <f t="shared" si="781"/>
        <v>0</v>
      </c>
      <c r="P1445" s="695" t="str">
        <f t="shared" si="782"/>
        <v>-</v>
      </c>
      <c r="Q1445" s="695">
        <f t="shared" si="783"/>
        <v>137.333</v>
      </c>
      <c r="R1445" s="695" t="str">
        <f t="shared" si="784"/>
        <v>-</v>
      </c>
      <c r="S1445" s="695" t="str">
        <f t="shared" si="785"/>
        <v>-</v>
      </c>
      <c r="T1445" s="695" t="str">
        <f t="shared" si="786"/>
        <v>-</v>
      </c>
      <c r="U1445" s="695" t="str">
        <f t="shared" si="787"/>
        <v>-</v>
      </c>
      <c r="V1445" s="766" t="str">
        <f t="shared" si="788"/>
        <v>-</v>
      </c>
    </row>
    <row r="1446" spans="1:22" ht="16.5" hidden="1" outlineLevel="1">
      <c r="A1446" s="195"/>
      <c r="B1446" s="172" t="s">
        <v>1657</v>
      </c>
      <c r="C1446" s="196">
        <v>10</v>
      </c>
      <c r="D1446" s="685">
        <v>150</v>
      </c>
      <c r="E1446" s="753" t="s">
        <v>1593</v>
      </c>
      <c r="F1446" s="685">
        <v>5</v>
      </c>
      <c r="G1446" s="204">
        <v>4</v>
      </c>
      <c r="H1446" s="203">
        <f>(850/150)+1</f>
        <v>6.666666666666667</v>
      </c>
      <c r="I1446" s="198">
        <v>100</v>
      </c>
      <c r="J1446" s="198">
        <v>1250</v>
      </c>
      <c r="K1446" s="198"/>
      <c r="L1446" s="198"/>
      <c r="M1446" s="198"/>
      <c r="N1446" s="765">
        <f t="shared" si="780"/>
        <v>1330</v>
      </c>
      <c r="O1446" s="765">
        <f t="shared" si="781"/>
        <v>0</v>
      </c>
      <c r="P1446" s="695" t="str">
        <f t="shared" si="782"/>
        <v>-</v>
      </c>
      <c r="Q1446" s="695">
        <f t="shared" si="783"/>
        <v>177.333</v>
      </c>
      <c r="R1446" s="695" t="str">
        <f t="shared" si="784"/>
        <v>-</v>
      </c>
      <c r="S1446" s="695" t="str">
        <f t="shared" si="785"/>
        <v>-</v>
      </c>
      <c r="T1446" s="695" t="str">
        <f t="shared" si="786"/>
        <v>-</v>
      </c>
      <c r="U1446" s="695" t="str">
        <f t="shared" si="787"/>
        <v>-</v>
      </c>
      <c r="V1446" s="766" t="str">
        <f t="shared" si="788"/>
        <v>-</v>
      </c>
    </row>
    <row r="1447" spans="1:22" ht="16.5" hidden="1" outlineLevel="1">
      <c r="A1447" s="195"/>
      <c r="B1447" s="172" t="s">
        <v>1658</v>
      </c>
      <c r="C1447" s="196">
        <v>10</v>
      </c>
      <c r="D1447" s="685"/>
      <c r="E1447" s="753" t="s">
        <v>1557</v>
      </c>
      <c r="F1447" s="685">
        <v>5</v>
      </c>
      <c r="G1447" s="204">
        <v>4</v>
      </c>
      <c r="H1447" s="203">
        <v>3</v>
      </c>
      <c r="I1447" s="198">
        <v>300</v>
      </c>
      <c r="J1447" s="198">
        <f>200-50-20</f>
        <v>130</v>
      </c>
      <c r="K1447" s="198">
        <v>300</v>
      </c>
      <c r="L1447" s="198"/>
      <c r="M1447" s="198"/>
      <c r="N1447" s="765">
        <f t="shared" si="780"/>
        <v>690</v>
      </c>
      <c r="O1447" s="765">
        <f t="shared" si="781"/>
        <v>0</v>
      </c>
      <c r="P1447" s="695" t="str">
        <f t="shared" si="782"/>
        <v>-</v>
      </c>
      <c r="Q1447" s="695">
        <f t="shared" si="783"/>
        <v>41.4</v>
      </c>
      <c r="R1447" s="695" t="str">
        <f t="shared" si="784"/>
        <v>-</v>
      </c>
      <c r="S1447" s="695" t="str">
        <f t="shared" si="785"/>
        <v>-</v>
      </c>
      <c r="T1447" s="695" t="str">
        <f t="shared" si="786"/>
        <v>-</v>
      </c>
      <c r="U1447" s="695" t="str">
        <f t="shared" si="787"/>
        <v>-</v>
      </c>
      <c r="V1447" s="766" t="str">
        <f t="shared" si="788"/>
        <v>-</v>
      </c>
    </row>
    <row r="1448" spans="1:22" ht="16.5" hidden="1" outlineLevel="1">
      <c r="A1448" s="195"/>
      <c r="B1448" s="172"/>
      <c r="C1448" s="196"/>
      <c r="D1448" s="685"/>
      <c r="E1448" s="196"/>
      <c r="F1448" s="685"/>
      <c r="G1448" s="204"/>
      <c r="H1448" s="203"/>
      <c r="I1448" s="198"/>
      <c r="J1448" s="198"/>
      <c r="K1448" s="198"/>
      <c r="L1448" s="198"/>
      <c r="M1448" s="198"/>
      <c r="N1448" s="765" t="str">
        <f t="shared" si="780"/>
        <v>-</v>
      </c>
      <c r="O1448" s="765" t="str">
        <f t="shared" si="781"/>
        <v/>
      </c>
      <c r="P1448" s="695" t="str">
        <f t="shared" si="782"/>
        <v>-</v>
      </c>
      <c r="Q1448" s="695" t="str">
        <f t="shared" si="783"/>
        <v>-</v>
      </c>
      <c r="R1448" s="695" t="str">
        <f t="shared" si="784"/>
        <v>-</v>
      </c>
      <c r="S1448" s="695" t="str">
        <f t="shared" si="785"/>
        <v>-</v>
      </c>
      <c r="T1448" s="695" t="str">
        <f t="shared" si="786"/>
        <v>-</v>
      </c>
      <c r="U1448" s="695" t="str">
        <f t="shared" si="787"/>
        <v>-</v>
      </c>
      <c r="V1448" s="766" t="str">
        <f t="shared" si="788"/>
        <v>-</v>
      </c>
    </row>
    <row r="1449" spans="1:22" ht="45.75" hidden="1" outlineLevel="1">
      <c r="A1449" s="195"/>
      <c r="B1449" s="719" t="s">
        <v>1659</v>
      </c>
      <c r="C1449" s="196"/>
      <c r="D1449" s="685"/>
      <c r="E1449" s="196"/>
      <c r="F1449" s="685"/>
      <c r="G1449" s="204"/>
      <c r="H1449" s="203"/>
      <c r="I1449" s="198"/>
      <c r="J1449" s="198"/>
      <c r="K1449" s="198"/>
      <c r="L1449" s="198"/>
      <c r="M1449" s="198"/>
      <c r="N1449" s="198"/>
      <c r="O1449" s="198"/>
      <c r="P1449" s="199"/>
      <c r="Q1449" s="200"/>
      <c r="R1449" s="200"/>
      <c r="S1449" s="200"/>
      <c r="T1449" s="200"/>
      <c r="U1449" s="200"/>
      <c r="V1449" s="200"/>
    </row>
    <row r="1450" spans="1:22" ht="16.5" hidden="1" outlineLevel="1">
      <c r="A1450" s="195"/>
      <c r="B1450" s="172" t="s">
        <v>1651</v>
      </c>
      <c r="C1450" s="196"/>
      <c r="D1450" s="685"/>
      <c r="E1450" s="196"/>
      <c r="F1450" s="685"/>
      <c r="G1450" s="204"/>
      <c r="H1450" s="203"/>
      <c r="I1450" s="198"/>
      <c r="J1450" s="198"/>
      <c r="K1450" s="198"/>
      <c r="L1450" s="198"/>
      <c r="M1450" s="198"/>
      <c r="N1450" s="198"/>
      <c r="O1450" s="198"/>
      <c r="P1450" s="199"/>
      <c r="Q1450" s="200"/>
      <c r="R1450" s="200"/>
      <c r="S1450" s="200"/>
      <c r="T1450" s="200"/>
      <c r="U1450" s="200"/>
      <c r="V1450" s="762"/>
    </row>
    <row r="1451" spans="1:22" ht="16.5" hidden="1" outlineLevel="1">
      <c r="A1451" s="195"/>
      <c r="B1451" s="172" t="s">
        <v>1652</v>
      </c>
      <c r="C1451" s="196">
        <v>10</v>
      </c>
      <c r="D1451" s="685">
        <v>150</v>
      </c>
      <c r="E1451" s="753" t="s">
        <v>1557</v>
      </c>
      <c r="F1451" s="685">
        <v>1</v>
      </c>
      <c r="G1451" s="204">
        <v>2</v>
      </c>
      <c r="H1451" s="203">
        <f>(J1451/150)+1</f>
        <v>16.333333333333336</v>
      </c>
      <c r="I1451" s="198">
        <f>C1451*10</f>
        <v>100</v>
      </c>
      <c r="J1451" s="763">
        <f>2000+200+200-100</f>
        <v>2300</v>
      </c>
      <c r="K1451" s="764">
        <v>100</v>
      </c>
      <c r="L1451" s="198"/>
      <c r="M1451" s="198"/>
      <c r="N1451" s="765">
        <f t="shared" ref="N1451:N1458" si="789">IF(E1451="L Shape",(I1451+J1451)-(C1451*2*1),IF(E1451="U Shape",(I1451+J1451+K1451)-(C1451*2*2),IF(E1451="Rectangle",(I1451+J1451+K1451+L1451)+(C1451*10*2)-(C1451*2*5),IF(E1451="Straight",J1451-(C1451*0),IF(E1451="Chair",(I1451+J1451+K1451+L1451+M1451)-(C1451*2*4),IF(E1451="U2 Shape",(I1451+J1451+K1451+L1451+M1451)-(C1451*2*4),IF(E1451="U3 Shape",(I1451+J1451+K1451+L1451)-(C1451*2*3),IF(E1451="Z Shape",(I1451+J1451+K1451)-(C1451*2*2),IF(E1451="Triangle",(I1451+J1451+K1451)+(C1451*10*2)-(C1451*2*4),IF(E1451="Trapezoid2",(I1451+I1451+J1451+K1451+K1451+L1451)+(C1451*10*2)-(C1451*2*7),IF(E1451="Trapezoid",(I1451+J1451+K1451+L1451)+(C1451*10*2)-(C1451*2*5),IF(E1451="Link",J1451+(C1451*10*2),IF(E1451="U5 Shape",(I1451+J1451+K1451+L1451)-(C1451*2*3),IF(E1451="DU2 Shape",(I1451+J1451+K1451+L1451)-(C1451*2*4),IF(E1451="SU Shape",(I1451+J1451+K1451)-(C1451*2*2),"-")))))))))))))))</f>
        <v>2460</v>
      </c>
      <c r="O1451" s="765">
        <f t="shared" ref="O1451:O1458" si="790">IF(N1451&lt;12001,C1451*49*0,IF(N1451&lt;24001,C1451*49*1,IF(N1451&lt;36001,C1451*49*2,IF(N1451&lt;48001,C1451*49*3,IF(N1451&lt;60001,C1451*49*4,IF(N1451&lt;72001,(C1451*49*5),IF(N1451&lt;84001,(C1451*49*6),IF(N1451&lt;96001,(C1451*49*7),IF(N1451&lt;108001,(C1451*49*8),IF(N1451&lt;120001,(C1451*49*9),IF(N1451&lt;132001,(C1451*49*10),IF(N1451&lt;144001,(C1451*49*11),""))))))))))))</f>
        <v>0</v>
      </c>
      <c r="P1451" s="695" t="str">
        <f t="shared" ref="P1451:P1458" si="791">IF(C1451=8,ROUND(((N1451+O1451)*F1451*G1451*H1451)/1000,3),"-")</f>
        <v>-</v>
      </c>
      <c r="Q1451" s="695">
        <f t="shared" ref="Q1451:Q1458" si="792">IF(C1451=10,ROUND(((N1451+O1451)*F1451*G1451*H1451)/1000,3),"-")</f>
        <v>80.36</v>
      </c>
      <c r="R1451" s="695" t="str">
        <f t="shared" ref="R1451:R1458" si="793">IF(C1451=12,ROUND(((N1451+O1451)*F1451*G1451*H1451)/1000,3),"-")</f>
        <v>-</v>
      </c>
      <c r="S1451" s="695" t="str">
        <f t="shared" ref="S1451:S1458" si="794">IF(C1451=16,ROUND(((N1451+O1451)*F1451*G1451*H1451)/1000,3),"-")</f>
        <v>-</v>
      </c>
      <c r="T1451" s="695" t="str">
        <f t="shared" ref="T1451:T1458" si="795">IF(C1451=20,ROUND(((N1451+O1451)*F1451*G1451*H1451)/1000,3),"-")</f>
        <v>-</v>
      </c>
      <c r="U1451" s="695" t="str">
        <f t="shared" ref="U1451:U1458" si="796">IF(C1451=25,ROUND(((N1451+O1451)*F1451*G1451*H1451)/1000,3),"-")</f>
        <v>-</v>
      </c>
      <c r="V1451" s="766" t="str">
        <f t="shared" ref="V1451:V1458" si="797">IF(C1451=32,ROUND(((N1451+O1451)*F1451*G1451*H1451)/1000,3),"-")</f>
        <v>-</v>
      </c>
    </row>
    <row r="1452" spans="1:22" ht="16.5" hidden="1" outlineLevel="1">
      <c r="A1452" s="195"/>
      <c r="B1452" s="172" t="s">
        <v>1653</v>
      </c>
      <c r="C1452" s="196">
        <v>10</v>
      </c>
      <c r="D1452" s="685">
        <v>150</v>
      </c>
      <c r="E1452" s="753" t="s">
        <v>1557</v>
      </c>
      <c r="F1452" s="685">
        <v>1</v>
      </c>
      <c r="G1452" s="204">
        <v>2</v>
      </c>
      <c r="H1452" s="203">
        <f>(J1452/150)+1</f>
        <v>16.333333333333336</v>
      </c>
      <c r="I1452" s="198">
        <f>C1452*10</f>
        <v>100</v>
      </c>
      <c r="J1452" s="763">
        <f>2000+200+200-100</f>
        <v>2300</v>
      </c>
      <c r="K1452" s="764">
        <v>100</v>
      </c>
      <c r="L1452" s="198"/>
      <c r="M1452" s="198"/>
      <c r="N1452" s="765">
        <f t="shared" si="789"/>
        <v>2460</v>
      </c>
      <c r="O1452" s="765">
        <f t="shared" si="790"/>
        <v>0</v>
      </c>
      <c r="P1452" s="695" t="str">
        <f t="shared" si="791"/>
        <v>-</v>
      </c>
      <c r="Q1452" s="695">
        <f t="shared" si="792"/>
        <v>80.36</v>
      </c>
      <c r="R1452" s="695" t="str">
        <f t="shared" si="793"/>
        <v>-</v>
      </c>
      <c r="S1452" s="695" t="str">
        <f t="shared" si="794"/>
        <v>-</v>
      </c>
      <c r="T1452" s="695" t="str">
        <f t="shared" si="795"/>
        <v>-</v>
      </c>
      <c r="U1452" s="695" t="str">
        <f t="shared" si="796"/>
        <v>-</v>
      </c>
      <c r="V1452" s="766" t="str">
        <f t="shared" si="797"/>
        <v>-</v>
      </c>
    </row>
    <row r="1453" spans="1:22" ht="16.5" hidden="1" outlineLevel="1">
      <c r="A1453" s="195"/>
      <c r="B1453" s="172" t="s">
        <v>1654</v>
      </c>
      <c r="C1453" s="196">
        <v>10</v>
      </c>
      <c r="D1453" s="685">
        <v>150</v>
      </c>
      <c r="E1453" s="753" t="s">
        <v>1593</v>
      </c>
      <c r="F1453" s="685">
        <v>1</v>
      </c>
      <c r="G1453" s="204">
        <v>4</v>
      </c>
      <c r="H1453" s="203">
        <f>(1400/150)+1</f>
        <v>10.333333333333334</v>
      </c>
      <c r="I1453" s="198">
        <v>100</v>
      </c>
      <c r="J1453" s="198">
        <f>1800+200-50</f>
        <v>1950</v>
      </c>
      <c r="K1453" s="198"/>
      <c r="L1453" s="198"/>
      <c r="M1453" s="198"/>
      <c r="N1453" s="765">
        <f t="shared" si="789"/>
        <v>2030</v>
      </c>
      <c r="O1453" s="765">
        <f t="shared" si="790"/>
        <v>0</v>
      </c>
      <c r="P1453" s="695" t="str">
        <f t="shared" si="791"/>
        <v>-</v>
      </c>
      <c r="Q1453" s="695">
        <f t="shared" si="792"/>
        <v>83.906999999999996</v>
      </c>
      <c r="R1453" s="695" t="str">
        <f t="shared" si="793"/>
        <v>-</v>
      </c>
      <c r="S1453" s="695" t="str">
        <f t="shared" si="794"/>
        <v>-</v>
      </c>
      <c r="T1453" s="695" t="str">
        <f t="shared" si="795"/>
        <v>-</v>
      </c>
      <c r="U1453" s="695" t="str">
        <f t="shared" si="796"/>
        <v>-</v>
      </c>
      <c r="V1453" s="766" t="str">
        <f t="shared" si="797"/>
        <v>-</v>
      </c>
    </row>
    <row r="1454" spans="1:22" ht="16.5" hidden="1" outlineLevel="1">
      <c r="A1454" s="195"/>
      <c r="B1454" s="172" t="s">
        <v>1655</v>
      </c>
      <c r="C1454" s="196">
        <v>10</v>
      </c>
      <c r="D1454" s="685">
        <v>150</v>
      </c>
      <c r="E1454" s="753" t="s">
        <v>1593</v>
      </c>
      <c r="F1454" s="685">
        <v>1</v>
      </c>
      <c r="G1454" s="204">
        <v>4</v>
      </c>
      <c r="H1454" s="203">
        <f>(1050/150)+1</f>
        <v>8</v>
      </c>
      <c r="I1454" s="198">
        <v>100</v>
      </c>
      <c r="J1454" s="198">
        <f>1800+200-50</f>
        <v>1950</v>
      </c>
      <c r="K1454" s="198"/>
      <c r="L1454" s="198"/>
      <c r="M1454" s="198"/>
      <c r="N1454" s="765">
        <f t="shared" si="789"/>
        <v>2030</v>
      </c>
      <c r="O1454" s="765">
        <f t="shared" si="790"/>
        <v>0</v>
      </c>
      <c r="P1454" s="695" t="str">
        <f t="shared" si="791"/>
        <v>-</v>
      </c>
      <c r="Q1454" s="695">
        <f t="shared" si="792"/>
        <v>64.959999999999994</v>
      </c>
      <c r="R1454" s="695" t="str">
        <f t="shared" si="793"/>
        <v>-</v>
      </c>
      <c r="S1454" s="695" t="str">
        <f t="shared" si="794"/>
        <v>-</v>
      </c>
      <c r="T1454" s="695" t="str">
        <f t="shared" si="795"/>
        <v>-</v>
      </c>
      <c r="U1454" s="695" t="str">
        <f t="shared" si="796"/>
        <v>-</v>
      </c>
      <c r="V1454" s="766" t="str">
        <f t="shared" si="797"/>
        <v>-</v>
      </c>
    </row>
    <row r="1455" spans="1:22" ht="16.5" hidden="1" outlineLevel="1">
      <c r="A1455" s="195"/>
      <c r="B1455" s="172" t="s">
        <v>1656</v>
      </c>
      <c r="C1455" s="196">
        <v>10</v>
      </c>
      <c r="D1455" s="685">
        <v>150</v>
      </c>
      <c r="E1455" s="753" t="s">
        <v>1593</v>
      </c>
      <c r="F1455" s="685">
        <v>1</v>
      </c>
      <c r="G1455" s="204">
        <v>4</v>
      </c>
      <c r="H1455" s="203">
        <f>(1800/150)+1</f>
        <v>13</v>
      </c>
      <c r="I1455" s="198">
        <v>100</v>
      </c>
      <c r="J1455" s="198">
        <f>2000+50</f>
        <v>2050</v>
      </c>
      <c r="K1455" s="198"/>
      <c r="L1455" s="198"/>
      <c r="M1455" s="198"/>
      <c r="N1455" s="765">
        <f t="shared" si="789"/>
        <v>2130</v>
      </c>
      <c r="O1455" s="765">
        <f t="shared" si="790"/>
        <v>0</v>
      </c>
      <c r="P1455" s="695" t="str">
        <f t="shared" si="791"/>
        <v>-</v>
      </c>
      <c r="Q1455" s="695">
        <f t="shared" si="792"/>
        <v>110.76</v>
      </c>
      <c r="R1455" s="695" t="str">
        <f t="shared" si="793"/>
        <v>-</v>
      </c>
      <c r="S1455" s="695" t="str">
        <f t="shared" si="794"/>
        <v>-</v>
      </c>
      <c r="T1455" s="695" t="str">
        <f t="shared" si="795"/>
        <v>-</v>
      </c>
      <c r="U1455" s="695" t="str">
        <f t="shared" si="796"/>
        <v>-</v>
      </c>
      <c r="V1455" s="766" t="str">
        <f t="shared" si="797"/>
        <v>-</v>
      </c>
    </row>
    <row r="1456" spans="1:22" ht="16.5" hidden="1" outlineLevel="1">
      <c r="A1456" s="195"/>
      <c r="B1456" s="172" t="s">
        <v>1657</v>
      </c>
      <c r="C1456" s="196">
        <v>10</v>
      </c>
      <c r="D1456" s="685">
        <v>150</v>
      </c>
      <c r="E1456" s="753" t="s">
        <v>1593</v>
      </c>
      <c r="F1456" s="685">
        <v>1</v>
      </c>
      <c r="G1456" s="204">
        <v>4</v>
      </c>
      <c r="H1456" s="203">
        <f>(1800/150)+1</f>
        <v>13</v>
      </c>
      <c r="I1456" s="198">
        <v>100</v>
      </c>
      <c r="J1456" s="198">
        <f>2400-50</f>
        <v>2350</v>
      </c>
      <c r="K1456" s="198"/>
      <c r="L1456" s="198"/>
      <c r="M1456" s="198"/>
      <c r="N1456" s="765">
        <f t="shared" si="789"/>
        <v>2430</v>
      </c>
      <c r="O1456" s="765">
        <f t="shared" si="790"/>
        <v>0</v>
      </c>
      <c r="P1456" s="695" t="str">
        <f t="shared" si="791"/>
        <v>-</v>
      </c>
      <c r="Q1456" s="695">
        <f t="shared" si="792"/>
        <v>126.36</v>
      </c>
      <c r="R1456" s="695" t="str">
        <f t="shared" si="793"/>
        <v>-</v>
      </c>
      <c r="S1456" s="695" t="str">
        <f t="shared" si="794"/>
        <v>-</v>
      </c>
      <c r="T1456" s="695" t="str">
        <f t="shared" si="795"/>
        <v>-</v>
      </c>
      <c r="U1456" s="695" t="str">
        <f t="shared" si="796"/>
        <v>-</v>
      </c>
      <c r="V1456" s="766" t="str">
        <f t="shared" si="797"/>
        <v>-</v>
      </c>
    </row>
    <row r="1457" spans="1:23" ht="16.5" hidden="1" outlineLevel="1">
      <c r="A1457" s="195"/>
      <c r="B1457" s="172" t="s">
        <v>1658</v>
      </c>
      <c r="C1457" s="196">
        <v>10</v>
      </c>
      <c r="D1457" s="685"/>
      <c r="E1457" s="753" t="s">
        <v>1557</v>
      </c>
      <c r="F1457" s="685">
        <v>1</v>
      </c>
      <c r="G1457" s="204">
        <v>4</v>
      </c>
      <c r="H1457" s="203">
        <v>6</v>
      </c>
      <c r="I1457" s="198">
        <v>300</v>
      </c>
      <c r="J1457" s="198">
        <f>200-50-20</f>
        <v>130</v>
      </c>
      <c r="K1457" s="198">
        <v>300</v>
      </c>
      <c r="L1457" s="198"/>
      <c r="M1457" s="198"/>
      <c r="N1457" s="765">
        <f t="shared" si="789"/>
        <v>690</v>
      </c>
      <c r="O1457" s="765">
        <f t="shared" si="790"/>
        <v>0</v>
      </c>
      <c r="P1457" s="695" t="str">
        <f t="shared" si="791"/>
        <v>-</v>
      </c>
      <c r="Q1457" s="695">
        <f t="shared" si="792"/>
        <v>16.559999999999999</v>
      </c>
      <c r="R1457" s="695" t="str">
        <f t="shared" si="793"/>
        <v>-</v>
      </c>
      <c r="S1457" s="695" t="str">
        <f t="shared" si="794"/>
        <v>-</v>
      </c>
      <c r="T1457" s="695" t="str">
        <f t="shared" si="795"/>
        <v>-</v>
      </c>
      <c r="U1457" s="695" t="str">
        <f t="shared" si="796"/>
        <v>-</v>
      </c>
      <c r="V1457" s="766" t="str">
        <f t="shared" si="797"/>
        <v>-</v>
      </c>
    </row>
    <row r="1458" spans="1:23" ht="16.5" hidden="1" outlineLevel="1">
      <c r="A1458" s="195"/>
      <c r="B1458" s="172"/>
      <c r="C1458" s="196"/>
      <c r="D1458" s="685"/>
      <c r="E1458" s="196"/>
      <c r="F1458" s="685"/>
      <c r="G1458" s="204"/>
      <c r="H1458" s="203"/>
      <c r="I1458" s="198"/>
      <c r="J1458" s="198"/>
      <c r="K1458" s="198"/>
      <c r="L1458" s="198"/>
      <c r="M1458" s="198"/>
      <c r="N1458" s="765" t="str">
        <f t="shared" si="789"/>
        <v>-</v>
      </c>
      <c r="O1458" s="765" t="str">
        <f t="shared" si="790"/>
        <v/>
      </c>
      <c r="P1458" s="695" t="str">
        <f t="shared" si="791"/>
        <v>-</v>
      </c>
      <c r="Q1458" s="695" t="str">
        <f t="shared" si="792"/>
        <v>-</v>
      </c>
      <c r="R1458" s="695" t="str">
        <f t="shared" si="793"/>
        <v>-</v>
      </c>
      <c r="S1458" s="695" t="str">
        <f t="shared" si="794"/>
        <v>-</v>
      </c>
      <c r="T1458" s="695" t="str">
        <f t="shared" si="795"/>
        <v>-</v>
      </c>
      <c r="U1458" s="695" t="str">
        <f t="shared" si="796"/>
        <v>-</v>
      </c>
      <c r="V1458" s="766" t="str">
        <f t="shared" si="797"/>
        <v>-</v>
      </c>
    </row>
    <row r="1459" spans="1:23" ht="16.5" hidden="1" outlineLevel="1">
      <c r="A1459" s="195"/>
      <c r="B1459" s="172"/>
      <c r="C1459" s="196"/>
      <c r="D1459" s="685"/>
      <c r="E1459" s="196"/>
      <c r="F1459" s="685"/>
      <c r="G1459" s="204"/>
      <c r="H1459" s="203"/>
      <c r="I1459" s="198"/>
      <c r="J1459" s="198"/>
      <c r="K1459" s="198"/>
      <c r="L1459" s="198"/>
      <c r="M1459" s="198"/>
      <c r="N1459" s="198"/>
      <c r="O1459" s="198"/>
      <c r="P1459" s="199"/>
      <c r="Q1459" s="200"/>
      <c r="R1459" s="200"/>
      <c r="S1459" s="200"/>
      <c r="T1459" s="200"/>
      <c r="U1459" s="688"/>
      <c r="V1459" s="200"/>
      <c r="W1459" s="711"/>
    </row>
    <row r="1460" spans="1:23" ht="16.5" hidden="1" outlineLevel="1">
      <c r="A1460" s="195"/>
      <c r="B1460" s="172"/>
      <c r="C1460" s="196"/>
      <c r="D1460" s="685"/>
      <c r="E1460" s="196"/>
      <c r="F1460" s="685"/>
      <c r="G1460" s="204"/>
      <c r="H1460" s="203"/>
      <c r="I1460" s="198"/>
      <c r="J1460" s="198"/>
      <c r="K1460" s="198"/>
      <c r="L1460" s="198"/>
      <c r="M1460" s="198"/>
      <c r="N1460" s="721" t="str">
        <f t="shared" ref="N1460" si="798">IF(E1460="L Shape",(I1460+J1460)-(C1460*2*1),IF(E1460="U Shape",(I1460+J1460+K1460)-(C1460*2*2),IF(E1460="Rectangle",(I1460+J1460+K1460+L1460)+(C1460*10*2)-(C1460*2*5),IF(E1460="Straight",J1460-(C1460*0),IF(E1460="Chair",(I1460+J1460+K1460+L1460+M1460)-(C1460*2*4),IF(E1460="U2 Shape",(I1460+J1460+K1460+L1460+M1460)-(C1460*2*4),IF(E1460="U3 Shape",(I1460+J1460+K1460+L1460)-(C1460*2*3),IF(E1460="Z Shape",(I1460+J1460+K1460)-(C1460*2*2),IF(E1460="Triangle",(I1460+J1460+K1460)+(C1460*10*2)-(C1460*2*4),IF(E1460="Trapezoid2",(I1460+I1460+J1460+K1460+K1460+L1460)+(C1460*10*2)-(C1460*2*7),IF(E1460="Trapezoid",(I1460+J1460+K1460+L1460)+(C1460*10*2)-(C1460*2*5),IF(E1460="Link",J1460+(C1460*10*2),IF(E1460="U5 Shape",(I1460+J1460+K1460+L1460)-(C1460*2*3),IF(E1460="DU2 Shape",(I1460+J1460+K1460+L1460)-(C1460*2*4),IF(E1460="SU Shape",(I1460+J1460+K1460)-(C1460*2*2),"-")))))))))))))))</f>
        <v>-</v>
      </c>
      <c r="O1460" s="721" t="str">
        <f t="shared" ref="O1460" si="799">IF(N1460&lt;12001,C1460*49*0,IF(N1460&lt;24001,C1460*49*1,IF(N1460&lt;36001,C1460*49*2,IF(N1460&lt;48001,C1460*49*3,IF(N1460&lt;60001,C1460*49*4,IF(N1460&lt;72001,(C1460*49*5),IF(N1460&lt;84001,(C1460*49*6),IF(N1460&lt;96001,(C1460*49*7),IF(N1460&lt;108001,(C1460*49*8),IF(N1460&lt;120001,(C1460*49*9),IF(N1460&lt;132001,(C1460*49*10),IF(N1460&lt;144001,(C1460*49*11),""))))))))))))</f>
        <v/>
      </c>
      <c r="P1460" s="722" t="str">
        <f t="shared" ref="P1460" si="800">IF(C1460=8,ROUND(((N1460+O1460)*F1460*G1460*H1460)/1000,3),"-")</f>
        <v>-</v>
      </c>
      <c r="Q1460" s="686" t="str">
        <f t="shared" ref="Q1460" si="801">IF(C1460=10,ROUND(((N1460+O1460)*F1460*G1460*H1460)/1000,3),"-")</f>
        <v>-</v>
      </c>
      <c r="R1460" s="686" t="str">
        <f t="shared" ref="R1460" si="802">IF(C1460=12,ROUND(((N1460+O1460)*F1460*G1460*H1460)/1000,3),"-")</f>
        <v>-</v>
      </c>
      <c r="S1460" s="686" t="str">
        <f t="shared" ref="S1460" si="803">IF(C1460=16,ROUND(((N1460+O1460)*F1460*G1460*H1460)/1000,3),"-")</f>
        <v>-</v>
      </c>
      <c r="T1460" s="686" t="str">
        <f t="shared" ref="T1460" si="804">IF(C1460=20,ROUND(((N1460+O1460)*F1460*G1460*H1460)/1000,3),"-")</f>
        <v>-</v>
      </c>
      <c r="U1460" s="723" t="str">
        <f t="shared" ref="U1460" si="805">IF(C1460=25,ROUND(((N1460+O1460)*F1460*G1460*H1460)/1000,3),"-")</f>
        <v>-</v>
      </c>
      <c r="V1460" s="695" t="str">
        <f t="shared" ref="V1460" si="806">IF(C1460=32,ROUND(((N1460+O1460)*F1460*G1460*H1460)/1000,3),"-")</f>
        <v>-</v>
      </c>
      <c r="W1460" s="711"/>
    </row>
    <row r="1461" spans="1:23" ht="16.5" hidden="1" outlineLevel="1">
      <c r="A1461" s="195"/>
      <c r="B1461" s="212" t="s">
        <v>482</v>
      </c>
      <c r="C1461" s="196"/>
      <c r="D1461" s="685"/>
      <c r="E1461" s="196"/>
      <c r="F1461" s="685"/>
      <c r="G1461" s="204"/>
      <c r="H1461" s="213"/>
      <c r="I1461" s="198">
        <v>0</v>
      </c>
      <c r="J1461" s="198">
        <v>0</v>
      </c>
      <c r="K1461" s="198">
        <v>0</v>
      </c>
      <c r="L1461" s="198">
        <v>0</v>
      </c>
      <c r="M1461" s="198">
        <v>0</v>
      </c>
      <c r="N1461" s="198"/>
      <c r="O1461" s="198"/>
      <c r="P1461" s="200">
        <f t="shared" ref="P1461:V1461" si="807">SUM(P1131:P1460)</f>
        <v>2447.5980000000009</v>
      </c>
      <c r="Q1461" s="200">
        <f t="shared" si="807"/>
        <v>12331.160999999996</v>
      </c>
      <c r="R1461" s="200">
        <f t="shared" si="807"/>
        <v>0</v>
      </c>
      <c r="S1461" s="200">
        <f t="shared" si="807"/>
        <v>0</v>
      </c>
      <c r="T1461" s="200">
        <f t="shared" si="807"/>
        <v>0</v>
      </c>
      <c r="U1461" s="200">
        <f t="shared" si="807"/>
        <v>0</v>
      </c>
      <c r="V1461" s="200">
        <f t="shared" si="807"/>
        <v>0</v>
      </c>
      <c r="W1461" s="684"/>
    </row>
    <row r="1462" spans="1:23" ht="16.5" hidden="1" outlineLevel="1">
      <c r="A1462" s="195"/>
      <c r="B1462" s="214" t="s">
        <v>483</v>
      </c>
      <c r="C1462" s="196"/>
      <c r="D1462" s="685"/>
      <c r="E1462" s="196"/>
      <c r="F1462" s="685"/>
      <c r="G1462" s="204"/>
      <c r="H1462" s="213"/>
      <c r="I1462" s="198">
        <v>0</v>
      </c>
      <c r="J1462" s="198">
        <v>0</v>
      </c>
      <c r="K1462" s="198">
        <v>0</v>
      </c>
      <c r="L1462" s="198">
        <v>0</v>
      </c>
      <c r="M1462" s="198">
        <v>0</v>
      </c>
      <c r="N1462" s="198"/>
      <c r="O1462" s="198"/>
      <c r="P1462" s="215">
        <f>8^2/162</f>
        <v>0.39506172839506171</v>
      </c>
      <c r="Q1462" s="215">
        <f>10^2/162</f>
        <v>0.61728395061728392</v>
      </c>
      <c r="R1462" s="215">
        <f>12^2/162</f>
        <v>0.88888888888888884</v>
      </c>
      <c r="S1462" s="215">
        <f>16^2/162</f>
        <v>1.5802469135802468</v>
      </c>
      <c r="T1462" s="215">
        <f>20^2/162</f>
        <v>2.4691358024691357</v>
      </c>
      <c r="U1462" s="724">
        <f>25^2/162</f>
        <v>3.8580246913580245</v>
      </c>
      <c r="V1462" s="215">
        <f>32^2/162</f>
        <v>6.3209876543209873</v>
      </c>
      <c r="W1462" s="684"/>
    </row>
    <row r="1463" spans="1:23" ht="16.5" hidden="1" outlineLevel="1">
      <c r="A1463" s="195"/>
      <c r="B1463" s="216" t="s">
        <v>484</v>
      </c>
      <c r="C1463" s="196"/>
      <c r="D1463" s="685"/>
      <c r="E1463" s="196"/>
      <c r="F1463" s="685"/>
      <c r="G1463" s="204"/>
      <c r="H1463" s="213"/>
      <c r="I1463" s="198">
        <v>0</v>
      </c>
      <c r="J1463" s="198">
        <v>0</v>
      </c>
      <c r="K1463" s="198">
        <v>0</v>
      </c>
      <c r="L1463" s="198">
        <v>0</v>
      </c>
      <c r="M1463" s="198">
        <v>0</v>
      </c>
      <c r="N1463" s="198"/>
      <c r="O1463" s="198"/>
      <c r="P1463" s="200">
        <f>P1461*P1462</f>
        <v>966.95229629629659</v>
      </c>
      <c r="Q1463" s="200">
        <f t="shared" ref="Q1463:V1463" si="808">Q1461*Q1462</f>
        <v>7611.8277777777748</v>
      </c>
      <c r="R1463" s="200">
        <f t="shared" si="808"/>
        <v>0</v>
      </c>
      <c r="S1463" s="200">
        <f t="shared" si="808"/>
        <v>0</v>
      </c>
      <c r="T1463" s="200">
        <f t="shared" si="808"/>
        <v>0</v>
      </c>
      <c r="U1463" s="688">
        <f t="shared" si="808"/>
        <v>0</v>
      </c>
      <c r="V1463" s="200">
        <f t="shared" si="808"/>
        <v>0</v>
      </c>
      <c r="W1463" s="684"/>
    </row>
    <row r="1464" spans="1:23" ht="16.5" hidden="1" outlineLevel="1">
      <c r="A1464" s="195"/>
      <c r="B1464" s="212" t="s">
        <v>485</v>
      </c>
      <c r="C1464" s="196"/>
      <c r="D1464" s="685"/>
      <c r="E1464" s="196"/>
      <c r="F1464" s="685"/>
      <c r="G1464" s="204"/>
      <c r="H1464" s="213"/>
      <c r="I1464" s="198">
        <v>0</v>
      </c>
      <c r="J1464" s="198">
        <v>0</v>
      </c>
      <c r="K1464" s="198">
        <v>0</v>
      </c>
      <c r="L1464" s="198">
        <v>0</v>
      </c>
      <c r="M1464" s="198">
        <v>0</v>
      </c>
      <c r="N1464" s="198"/>
      <c r="O1464" s="198"/>
      <c r="P1464" s="200">
        <f>P1463+Q1463+R1463+S1463+T1463+U1463+V1463</f>
        <v>8578.7800740740713</v>
      </c>
      <c r="Q1464" s="200" t="s">
        <v>486</v>
      </c>
      <c r="R1464" s="200"/>
      <c r="S1464" s="200"/>
      <c r="T1464" s="200"/>
      <c r="U1464" s="688"/>
      <c r="V1464" s="200"/>
      <c r="W1464" s="684"/>
    </row>
    <row r="1465" spans="1:23" ht="16.5" hidden="1" outlineLevel="1">
      <c r="A1465" s="195"/>
      <c r="B1465" s="217" t="s">
        <v>487</v>
      </c>
      <c r="C1465" s="218"/>
      <c r="D1465" s="702"/>
      <c r="E1465" s="218"/>
      <c r="F1465" s="837"/>
      <c r="G1465" s="838"/>
      <c r="H1465" s="839"/>
      <c r="I1465" s="198">
        <v>0</v>
      </c>
      <c r="J1465" s="198">
        <v>0</v>
      </c>
      <c r="K1465" s="198">
        <v>0</v>
      </c>
      <c r="L1465" s="198">
        <v>0</v>
      </c>
      <c r="M1465" s="198">
        <v>0</v>
      </c>
      <c r="N1465" s="198"/>
      <c r="O1465" s="198"/>
      <c r="P1465" s="221">
        <f>P1464/1000</f>
        <v>8.5787800740740714</v>
      </c>
      <c r="Q1465" s="222" t="s">
        <v>374</v>
      </c>
      <c r="R1465" s="200"/>
      <c r="S1465" s="200"/>
      <c r="T1465" s="200"/>
      <c r="U1465" s="688"/>
      <c r="V1465" s="200"/>
      <c r="W1465" s="684"/>
    </row>
    <row r="1466" spans="1:23" ht="16.5" hidden="1" outlineLevel="1">
      <c r="A1466" s="195"/>
      <c r="B1466" s="172"/>
      <c r="C1466" s="196"/>
      <c r="D1466" s="685"/>
      <c r="E1466" s="196"/>
      <c r="F1466" s="685"/>
      <c r="G1466" s="204"/>
      <c r="H1466" s="203"/>
      <c r="I1466" s="198"/>
      <c r="J1466" s="198"/>
      <c r="K1466" s="198"/>
      <c r="L1466" s="198"/>
      <c r="M1466" s="198"/>
      <c r="N1466" s="198">
        <v>0</v>
      </c>
      <c r="O1466" s="198"/>
      <c r="P1466" s="199">
        <v>0</v>
      </c>
      <c r="Q1466" s="200">
        <v>0</v>
      </c>
      <c r="R1466" s="200">
        <v>0</v>
      </c>
      <c r="S1466" s="200">
        <v>0</v>
      </c>
      <c r="T1466" s="200">
        <v>0</v>
      </c>
      <c r="U1466" s="688">
        <v>0</v>
      </c>
      <c r="V1466" s="200">
        <v>0</v>
      </c>
      <c r="W1466" s="711"/>
    </row>
    <row r="1467" spans="1:23" ht="30.75" hidden="1" outlineLevel="1">
      <c r="A1467" s="195"/>
      <c r="B1467" s="202" t="s">
        <v>1660</v>
      </c>
      <c r="C1467" s="742"/>
      <c r="D1467" s="743"/>
      <c r="E1467" s="742"/>
      <c r="F1467" s="705"/>
      <c r="G1467" s="706"/>
      <c r="H1467" s="707"/>
      <c r="I1467" s="708"/>
      <c r="J1467" s="708"/>
      <c r="K1467" s="708"/>
      <c r="L1467" s="708"/>
      <c r="M1467" s="708"/>
      <c r="N1467" s="744"/>
      <c r="O1467" s="744"/>
      <c r="P1467" s="745">
        <f>P1123+P1465</f>
        <v>32.823910888888889</v>
      </c>
      <c r="Q1467" s="817" t="s">
        <v>374</v>
      </c>
      <c r="R1467" s="200"/>
      <c r="S1467" s="200"/>
      <c r="T1467" s="200"/>
      <c r="U1467" s="688"/>
      <c r="V1467" s="200"/>
      <c r="W1467" s="711"/>
    </row>
    <row r="1468" spans="1:23" ht="16.5" hidden="1" outlineLevel="1">
      <c r="A1468" s="195"/>
      <c r="B1468" s="172"/>
      <c r="C1468" s="196"/>
      <c r="D1468" s="685"/>
      <c r="E1468" s="196"/>
      <c r="F1468" s="685"/>
      <c r="G1468" s="204"/>
      <c r="H1468" s="203"/>
      <c r="I1468" s="198"/>
      <c r="J1468" s="198"/>
      <c r="K1468" s="198"/>
      <c r="L1468" s="198"/>
      <c r="M1468" s="198"/>
      <c r="N1468" s="198"/>
      <c r="O1468" s="198"/>
      <c r="P1468" s="199"/>
      <c r="Q1468" s="200"/>
      <c r="R1468" s="200"/>
      <c r="S1468" s="200"/>
      <c r="T1468" s="200"/>
      <c r="U1468" s="688"/>
      <c r="V1468" s="200"/>
      <c r="W1468" s="711"/>
    </row>
    <row r="1469" spans="1:23" ht="16.5" hidden="1" outlineLevel="1">
      <c r="A1469" s="195"/>
      <c r="B1469" s="719" t="s">
        <v>1661</v>
      </c>
      <c r="C1469" s="196"/>
      <c r="D1469" s="685"/>
      <c r="E1469" s="196"/>
      <c r="F1469" s="685"/>
      <c r="G1469" s="204"/>
      <c r="H1469" s="203"/>
      <c r="I1469" s="198"/>
      <c r="J1469" s="198"/>
      <c r="K1469" s="198"/>
      <c r="L1469" s="198"/>
      <c r="M1469" s="198"/>
      <c r="N1469" s="198"/>
      <c r="O1469" s="198"/>
      <c r="P1469" s="199"/>
      <c r="Q1469" s="200"/>
      <c r="R1469" s="200"/>
      <c r="S1469" s="200"/>
      <c r="T1469" s="200"/>
      <c r="U1469" s="688"/>
      <c r="V1469" s="200"/>
      <c r="W1469" s="711"/>
    </row>
    <row r="1470" spans="1:23" ht="16.5" hidden="1" outlineLevel="1">
      <c r="A1470" s="195"/>
      <c r="B1470" s="172"/>
      <c r="C1470" s="196"/>
      <c r="D1470" s="685"/>
      <c r="E1470" s="196"/>
      <c r="F1470" s="685"/>
      <c r="G1470" s="204"/>
      <c r="H1470" s="203"/>
      <c r="I1470" s="198"/>
      <c r="J1470" s="198"/>
      <c r="K1470" s="198"/>
      <c r="L1470" s="198"/>
      <c r="M1470" s="198"/>
      <c r="N1470" s="198"/>
      <c r="O1470" s="198"/>
      <c r="P1470" s="199"/>
      <c r="Q1470" s="200"/>
      <c r="R1470" s="200"/>
      <c r="S1470" s="200"/>
      <c r="T1470" s="200"/>
      <c r="U1470" s="688"/>
      <c r="V1470" s="200"/>
      <c r="W1470" s="711"/>
    </row>
    <row r="1471" spans="1:23" ht="46.5" hidden="1" customHeight="1" outlineLevel="1">
      <c r="A1471" s="747">
        <v>1</v>
      </c>
      <c r="B1471" s="748" t="s">
        <v>1329</v>
      </c>
      <c r="C1471" s="196"/>
      <c r="D1471" s="685"/>
      <c r="E1471" s="196"/>
      <c r="F1471" s="685"/>
      <c r="G1471" s="204"/>
      <c r="H1471" s="203"/>
      <c r="I1471" s="198"/>
      <c r="J1471" s="198"/>
      <c r="K1471" s="198"/>
      <c r="L1471" s="198"/>
      <c r="M1471" s="198"/>
      <c r="N1471" s="198"/>
      <c r="O1471" s="198"/>
      <c r="P1471" s="199"/>
      <c r="Q1471" s="200"/>
      <c r="R1471" s="200"/>
      <c r="S1471" s="200"/>
      <c r="T1471" s="200"/>
      <c r="U1471" s="688"/>
      <c r="V1471" s="200"/>
      <c r="W1471" s="711"/>
    </row>
    <row r="1472" spans="1:23" ht="33" hidden="1" outlineLevel="1">
      <c r="A1472" s="195"/>
      <c r="B1472" s="172" t="s">
        <v>959</v>
      </c>
      <c r="C1472" s="196"/>
      <c r="D1472" s="685"/>
      <c r="E1472" s="196"/>
      <c r="F1472" s="685"/>
      <c r="G1472" s="204"/>
      <c r="H1472" s="203"/>
      <c r="I1472" s="198"/>
      <c r="J1472" s="198"/>
      <c r="K1472" s="198"/>
      <c r="L1472" s="198"/>
      <c r="M1472" s="198"/>
      <c r="N1472" s="198"/>
      <c r="O1472" s="198"/>
      <c r="P1472" s="199"/>
      <c r="Q1472" s="200"/>
      <c r="R1472" s="200"/>
      <c r="S1472" s="200"/>
      <c r="T1472" s="200"/>
      <c r="U1472" s="688"/>
      <c r="V1472" s="200"/>
      <c r="W1472" s="711"/>
    </row>
    <row r="1473" spans="1:23" ht="16.5" hidden="1" outlineLevel="1">
      <c r="A1473" s="195">
        <v>1</v>
      </c>
      <c r="B1473" s="751" t="s">
        <v>1310</v>
      </c>
      <c r="C1473" s="196"/>
      <c r="D1473" s="685"/>
      <c r="E1473" s="196"/>
      <c r="F1473" s="685"/>
      <c r="G1473" s="204"/>
      <c r="H1473" s="203"/>
      <c r="I1473" s="198"/>
      <c r="J1473" s="198"/>
      <c r="K1473" s="198"/>
      <c r="L1473" s="198"/>
      <c r="M1473" s="198"/>
      <c r="N1473" s="198"/>
      <c r="O1473" s="198"/>
      <c r="P1473" s="199"/>
      <c r="Q1473" s="200"/>
      <c r="R1473" s="200"/>
      <c r="S1473" s="200"/>
      <c r="T1473" s="200"/>
      <c r="U1473" s="688"/>
      <c r="V1473" s="200"/>
      <c r="W1473" s="711"/>
    </row>
    <row r="1474" spans="1:23" ht="16.5" hidden="1" outlineLevel="1">
      <c r="A1474" s="726">
        <v>1.1000000000000001</v>
      </c>
      <c r="B1474" s="730" t="s">
        <v>1574</v>
      </c>
      <c r="C1474" s="727">
        <v>10</v>
      </c>
      <c r="D1474" s="690"/>
      <c r="E1474" s="720" t="s">
        <v>1557</v>
      </c>
      <c r="F1474" s="685">
        <v>1</v>
      </c>
      <c r="G1474" s="239">
        <v>2</v>
      </c>
      <c r="H1474" s="203">
        <v>2</v>
      </c>
      <c r="I1474" s="198">
        <f>C1474*10</f>
        <v>100</v>
      </c>
      <c r="J1474" s="198">
        <f>6310-50</f>
        <v>6260</v>
      </c>
      <c r="K1474" s="198">
        <v>100</v>
      </c>
      <c r="L1474" s="198"/>
      <c r="M1474" s="198"/>
      <c r="N1474" s="721">
        <f t="shared" ref="N1474:N1537" si="809">IF(E1474="L Shape",(I1474+J1474)-(C1474*2*1),IF(E1474="U Shape",(I1474+J1474+K1474)-(C1474*2*2),IF(E1474="Rectangle",(I1474+J1474+K1474+L1474)+(C1474*10*2)-(C1474*2*5),IF(E1474="Straight",J1474-(C1474*0),IF(E1474="Chair",(I1474+J1474+K1474+L1474+M1474)-(C1474*2*4),IF(E1474="U2 Shape",(I1474+J1474+K1474+L1474+M1474)-(C1474*2*4),IF(E1474="U3 Shape",(I1474+J1474+K1474+L1474)-(C1474*2*3),IF(E1474="Z Shape",(I1474+J1474+K1474)-(C1474*2*2),IF(E1474="Triangle",(I1474+J1474+K1474)+(C1474*10*2)-(C1474*2*4),IF(E1474="Trapezoid2",(I1474+I1474+J1474+K1474+K1474+L1474)+(C1474*10*2)-(C1474*2*7),IF(E1474="Trapezoid",(I1474+J1474+K1474+L1474)+(C1474*10*2)-(C1474*2*5),IF(E1474="Link",J1474+(C1474*10*2),IF(E1474="U5 Shape",(I1474+J1474+K1474+L1474)-(C1474*2*3),IF(E1474="DU2 Shape",(I1474+J1474+K1474+L1474)-(C1474*2*4),IF(E1474="SU Shape",(I1474+J1474+K1474)-(C1474*2*2),"-")))))))))))))))</f>
        <v>6420</v>
      </c>
      <c r="O1474" s="721">
        <f t="shared" ref="O1474:O1537" si="810">IF(N1474&lt;12001,C1474*49*0,IF(N1474&lt;24001,C1474*49*1,IF(N1474&lt;36001,C1474*49*2,IF(N1474&lt;48001,C1474*49*3,IF(N1474&lt;60001,C1474*49*4,IF(N1474&lt;72001,(C1474*49*5),IF(N1474&lt;84001,(C1474*49*6),IF(N1474&lt;96001,(C1474*49*7),IF(N1474&lt;108001,(C1474*49*8),IF(N1474&lt;120001,(C1474*49*9),IF(N1474&lt;132001,(C1474*49*10),IF(N1474&lt;144001,(C1474*49*11),""))))))))))))</f>
        <v>0</v>
      </c>
      <c r="P1474" s="722" t="str">
        <f t="shared" ref="P1474:P1537" si="811">IF(C1474=8,ROUND(((N1474+O1474)*F1474*G1474*H1474)/1000,3),"-")</f>
        <v>-</v>
      </c>
      <c r="Q1474" s="686">
        <f t="shared" ref="Q1474:Q1537" si="812">IF(C1474=10,ROUND(((N1474+O1474)*F1474*G1474*H1474)/1000,3),"-")</f>
        <v>25.68</v>
      </c>
      <c r="R1474" s="686" t="str">
        <f t="shared" ref="R1474:R1537" si="813">IF(C1474=12,ROUND(((N1474+O1474)*F1474*G1474*H1474)/1000,3),"-")</f>
        <v>-</v>
      </c>
      <c r="S1474" s="686" t="str">
        <f t="shared" ref="S1474:S1537" si="814">IF(C1474=16,ROUND(((N1474+O1474)*F1474*G1474*H1474)/1000,3),"-")</f>
        <v>-</v>
      </c>
      <c r="T1474" s="686" t="str">
        <f t="shared" ref="T1474:T1537" si="815">IF(C1474=20,ROUND(((N1474+O1474)*F1474*G1474*H1474)/1000,3),"-")</f>
        <v>-</v>
      </c>
      <c r="U1474" s="723" t="str">
        <f t="shared" ref="U1474:U1537" si="816">IF(C1474=25,ROUND(((N1474+O1474)*F1474*G1474*H1474)/1000,3),"-")</f>
        <v>-</v>
      </c>
      <c r="V1474" s="695" t="str">
        <f t="shared" ref="V1474:V1537" si="817">IF(C1474=32,ROUND(((N1474+O1474)*F1474*G1474*H1474)/1000,3),"-")</f>
        <v>-</v>
      </c>
      <c r="W1474" s="847"/>
    </row>
    <row r="1475" spans="1:23" ht="16.5" hidden="1" outlineLevel="1">
      <c r="A1475" s="726"/>
      <c r="B1475" s="726" t="s">
        <v>393</v>
      </c>
      <c r="C1475" s="727">
        <v>10</v>
      </c>
      <c r="D1475" s="690"/>
      <c r="E1475" s="720" t="s">
        <v>1557</v>
      </c>
      <c r="F1475" s="685">
        <v>1</v>
      </c>
      <c r="G1475" s="239">
        <v>2</v>
      </c>
      <c r="H1475" s="203">
        <v>2</v>
      </c>
      <c r="I1475" s="198">
        <f>C1475*10</f>
        <v>100</v>
      </c>
      <c r="J1475" s="198">
        <f>6310-50</f>
        <v>6260</v>
      </c>
      <c r="K1475" s="198">
        <v>100</v>
      </c>
      <c r="L1475" s="198"/>
      <c r="M1475" s="198"/>
      <c r="N1475" s="721">
        <f t="shared" si="809"/>
        <v>6420</v>
      </c>
      <c r="O1475" s="721">
        <f t="shared" si="810"/>
        <v>0</v>
      </c>
      <c r="P1475" s="722" t="str">
        <f t="shared" si="811"/>
        <v>-</v>
      </c>
      <c r="Q1475" s="686">
        <f t="shared" si="812"/>
        <v>25.68</v>
      </c>
      <c r="R1475" s="686" t="str">
        <f t="shared" si="813"/>
        <v>-</v>
      </c>
      <c r="S1475" s="686" t="str">
        <f t="shared" si="814"/>
        <v>-</v>
      </c>
      <c r="T1475" s="686" t="str">
        <f t="shared" si="815"/>
        <v>-</v>
      </c>
      <c r="U1475" s="723" t="str">
        <f t="shared" si="816"/>
        <v>-</v>
      </c>
      <c r="V1475" s="695" t="str">
        <f t="shared" si="817"/>
        <v>-</v>
      </c>
      <c r="W1475" s="847"/>
    </row>
    <row r="1476" spans="1:23" ht="16.5" hidden="1" outlineLevel="1">
      <c r="A1476" s="726"/>
      <c r="B1476" s="726" t="s">
        <v>394</v>
      </c>
      <c r="C1476" s="727">
        <v>8</v>
      </c>
      <c r="D1476" s="690"/>
      <c r="E1476" s="691" t="s">
        <v>1558</v>
      </c>
      <c r="F1476" s="685">
        <v>1</v>
      </c>
      <c r="G1476" s="239">
        <v>2</v>
      </c>
      <c r="H1476" s="203">
        <f>((J1474)/200)+1</f>
        <v>32.299999999999997</v>
      </c>
      <c r="I1476" s="198">
        <v>180</v>
      </c>
      <c r="J1476" s="198">
        <v>150</v>
      </c>
      <c r="K1476" s="198">
        <v>180</v>
      </c>
      <c r="L1476" s="198">
        <v>150</v>
      </c>
      <c r="M1476" s="198"/>
      <c r="N1476" s="721">
        <f t="shared" si="809"/>
        <v>740</v>
      </c>
      <c r="O1476" s="721">
        <f t="shared" si="810"/>
        <v>0</v>
      </c>
      <c r="P1476" s="722">
        <f t="shared" si="811"/>
        <v>47.804000000000002</v>
      </c>
      <c r="Q1476" s="686" t="str">
        <f t="shared" si="812"/>
        <v>-</v>
      </c>
      <c r="R1476" s="686" t="str">
        <f t="shared" si="813"/>
        <v>-</v>
      </c>
      <c r="S1476" s="686" t="str">
        <f t="shared" si="814"/>
        <v>-</v>
      </c>
      <c r="T1476" s="686" t="str">
        <f t="shared" si="815"/>
        <v>-</v>
      </c>
      <c r="U1476" s="723" t="str">
        <f t="shared" si="816"/>
        <v>-</v>
      </c>
      <c r="V1476" s="695" t="str">
        <f t="shared" si="817"/>
        <v>-</v>
      </c>
      <c r="W1476" s="847"/>
    </row>
    <row r="1477" spans="1:23" ht="16.5" hidden="1" outlineLevel="1">
      <c r="A1477" s="195"/>
      <c r="B1477" s="172"/>
      <c r="C1477" s="196"/>
      <c r="D1477" s="685"/>
      <c r="E1477" s="196"/>
      <c r="F1477" s="685"/>
      <c r="G1477" s="204"/>
      <c r="H1477" s="203"/>
      <c r="I1477" s="198"/>
      <c r="J1477" s="198"/>
      <c r="K1477" s="198"/>
      <c r="L1477" s="198"/>
      <c r="M1477" s="198"/>
      <c r="N1477" s="721" t="str">
        <f t="shared" si="809"/>
        <v>-</v>
      </c>
      <c r="O1477" s="721" t="str">
        <f t="shared" si="810"/>
        <v/>
      </c>
      <c r="P1477" s="722" t="str">
        <f t="shared" si="811"/>
        <v>-</v>
      </c>
      <c r="Q1477" s="686" t="str">
        <f t="shared" si="812"/>
        <v>-</v>
      </c>
      <c r="R1477" s="686" t="str">
        <f t="shared" si="813"/>
        <v>-</v>
      </c>
      <c r="S1477" s="686" t="str">
        <f t="shared" si="814"/>
        <v>-</v>
      </c>
      <c r="T1477" s="686" t="str">
        <f t="shared" si="815"/>
        <v>-</v>
      </c>
      <c r="U1477" s="723" t="str">
        <f t="shared" si="816"/>
        <v>-</v>
      </c>
      <c r="V1477" s="695" t="str">
        <f t="shared" si="817"/>
        <v>-</v>
      </c>
      <c r="W1477" s="711"/>
    </row>
    <row r="1478" spans="1:23" ht="16.5" hidden="1" outlineLevel="1">
      <c r="A1478" s="726">
        <v>1.2</v>
      </c>
      <c r="B1478" s="730" t="s">
        <v>1574</v>
      </c>
      <c r="C1478" s="727">
        <v>10</v>
      </c>
      <c r="D1478" s="690"/>
      <c r="E1478" s="720" t="s">
        <v>1557</v>
      </c>
      <c r="F1478" s="685">
        <v>1</v>
      </c>
      <c r="G1478" s="239">
        <v>2</v>
      </c>
      <c r="H1478" s="203">
        <v>2</v>
      </c>
      <c r="I1478" s="198">
        <f>C1478*10</f>
        <v>100</v>
      </c>
      <c r="J1478" s="171">
        <f>1800-50</f>
        <v>1750</v>
      </c>
      <c r="K1478" s="198">
        <v>100</v>
      </c>
      <c r="L1478" s="198"/>
      <c r="M1478" s="198"/>
      <c r="N1478" s="721">
        <f t="shared" si="809"/>
        <v>1910</v>
      </c>
      <c r="O1478" s="721">
        <f t="shared" si="810"/>
        <v>0</v>
      </c>
      <c r="P1478" s="722" t="str">
        <f t="shared" si="811"/>
        <v>-</v>
      </c>
      <c r="Q1478" s="686">
        <f t="shared" si="812"/>
        <v>7.64</v>
      </c>
      <c r="R1478" s="686" t="str">
        <f t="shared" si="813"/>
        <v>-</v>
      </c>
      <c r="S1478" s="686" t="str">
        <f t="shared" si="814"/>
        <v>-</v>
      </c>
      <c r="T1478" s="686" t="str">
        <f t="shared" si="815"/>
        <v>-</v>
      </c>
      <c r="U1478" s="723" t="str">
        <f t="shared" si="816"/>
        <v>-</v>
      </c>
      <c r="V1478" s="695" t="str">
        <f t="shared" si="817"/>
        <v>-</v>
      </c>
      <c r="W1478" s="711"/>
    </row>
    <row r="1479" spans="1:23" ht="16.5" hidden="1" outlineLevel="1">
      <c r="A1479" s="726"/>
      <c r="B1479" s="726" t="s">
        <v>393</v>
      </c>
      <c r="C1479" s="727">
        <v>10</v>
      </c>
      <c r="D1479" s="690"/>
      <c r="E1479" s="720" t="s">
        <v>1557</v>
      </c>
      <c r="F1479" s="685">
        <v>1</v>
      </c>
      <c r="G1479" s="239">
        <v>2</v>
      </c>
      <c r="H1479" s="203">
        <v>2</v>
      </c>
      <c r="I1479" s="198">
        <f>C1479*10</f>
        <v>100</v>
      </c>
      <c r="J1479" s="171">
        <f>1800-50</f>
        <v>1750</v>
      </c>
      <c r="K1479" s="198">
        <v>100</v>
      </c>
      <c r="L1479" s="198"/>
      <c r="M1479" s="198"/>
      <c r="N1479" s="721">
        <f t="shared" si="809"/>
        <v>1910</v>
      </c>
      <c r="O1479" s="721">
        <f t="shared" si="810"/>
        <v>0</v>
      </c>
      <c r="P1479" s="722" t="str">
        <f t="shared" si="811"/>
        <v>-</v>
      </c>
      <c r="Q1479" s="686">
        <f t="shared" si="812"/>
        <v>7.64</v>
      </c>
      <c r="R1479" s="686" t="str">
        <f t="shared" si="813"/>
        <v>-</v>
      </c>
      <c r="S1479" s="686" t="str">
        <f t="shared" si="814"/>
        <v>-</v>
      </c>
      <c r="T1479" s="686" t="str">
        <f t="shared" si="815"/>
        <v>-</v>
      </c>
      <c r="U1479" s="723" t="str">
        <f t="shared" si="816"/>
        <v>-</v>
      </c>
      <c r="V1479" s="695" t="str">
        <f t="shared" si="817"/>
        <v>-</v>
      </c>
      <c r="W1479" s="711"/>
    </row>
    <row r="1480" spans="1:23" ht="16.5" hidden="1" outlineLevel="1">
      <c r="A1480" s="726"/>
      <c r="B1480" s="726" t="s">
        <v>394</v>
      </c>
      <c r="C1480" s="727">
        <v>8</v>
      </c>
      <c r="D1480" s="690"/>
      <c r="E1480" s="691" t="s">
        <v>1558</v>
      </c>
      <c r="F1480" s="685">
        <v>1</v>
      </c>
      <c r="G1480" s="239">
        <v>2</v>
      </c>
      <c r="H1480" s="203">
        <f>((J1478)/200)+1</f>
        <v>9.75</v>
      </c>
      <c r="I1480" s="198">
        <v>180</v>
      </c>
      <c r="J1480" s="198">
        <v>150</v>
      </c>
      <c r="K1480" s="198">
        <v>180</v>
      </c>
      <c r="L1480" s="198">
        <v>150</v>
      </c>
      <c r="M1480" s="198"/>
      <c r="N1480" s="721">
        <f t="shared" si="809"/>
        <v>740</v>
      </c>
      <c r="O1480" s="721">
        <f t="shared" si="810"/>
        <v>0</v>
      </c>
      <c r="P1480" s="722">
        <f t="shared" si="811"/>
        <v>14.43</v>
      </c>
      <c r="Q1480" s="686" t="str">
        <f t="shared" si="812"/>
        <v>-</v>
      </c>
      <c r="R1480" s="686" t="str">
        <f t="shared" si="813"/>
        <v>-</v>
      </c>
      <c r="S1480" s="686" t="str">
        <f t="shared" si="814"/>
        <v>-</v>
      </c>
      <c r="T1480" s="686" t="str">
        <f t="shared" si="815"/>
        <v>-</v>
      </c>
      <c r="U1480" s="723" t="str">
        <f t="shared" si="816"/>
        <v>-</v>
      </c>
      <c r="V1480" s="695" t="str">
        <f t="shared" si="817"/>
        <v>-</v>
      </c>
      <c r="W1480" s="711"/>
    </row>
    <row r="1481" spans="1:23" ht="16.5" hidden="1" outlineLevel="1">
      <c r="A1481" s="195"/>
      <c r="B1481" s="172"/>
      <c r="C1481" s="196"/>
      <c r="D1481" s="685"/>
      <c r="E1481" s="196"/>
      <c r="F1481" s="685"/>
      <c r="G1481" s="204"/>
      <c r="H1481" s="203"/>
      <c r="I1481" s="198"/>
      <c r="J1481" s="198"/>
      <c r="K1481" s="198"/>
      <c r="L1481" s="198"/>
      <c r="M1481" s="198"/>
      <c r="N1481" s="721" t="str">
        <f t="shared" si="809"/>
        <v>-</v>
      </c>
      <c r="O1481" s="721" t="str">
        <f t="shared" si="810"/>
        <v/>
      </c>
      <c r="P1481" s="722" t="str">
        <f t="shared" si="811"/>
        <v>-</v>
      </c>
      <c r="Q1481" s="686" t="str">
        <f t="shared" si="812"/>
        <v>-</v>
      </c>
      <c r="R1481" s="686" t="str">
        <f t="shared" si="813"/>
        <v>-</v>
      </c>
      <c r="S1481" s="686" t="str">
        <f t="shared" si="814"/>
        <v>-</v>
      </c>
      <c r="T1481" s="686" t="str">
        <f t="shared" si="815"/>
        <v>-</v>
      </c>
      <c r="U1481" s="723" t="str">
        <f t="shared" si="816"/>
        <v>-</v>
      </c>
      <c r="V1481" s="695" t="str">
        <f t="shared" si="817"/>
        <v>-</v>
      </c>
      <c r="W1481" s="711"/>
    </row>
    <row r="1482" spans="1:23" ht="16.5" hidden="1" outlineLevel="1">
      <c r="A1482" s="726">
        <v>1.3</v>
      </c>
      <c r="B1482" s="730" t="s">
        <v>1617</v>
      </c>
      <c r="C1482" s="727">
        <v>10</v>
      </c>
      <c r="D1482" s="690"/>
      <c r="E1482" s="720" t="s">
        <v>1557</v>
      </c>
      <c r="F1482" s="685">
        <v>1</v>
      </c>
      <c r="G1482" s="239">
        <v>2</v>
      </c>
      <c r="H1482" s="203">
        <v>2</v>
      </c>
      <c r="I1482" s="198">
        <f>C1482*10</f>
        <v>100</v>
      </c>
      <c r="J1482" s="845">
        <v>4935</v>
      </c>
      <c r="K1482" s="198">
        <v>100</v>
      </c>
      <c r="L1482" s="198"/>
      <c r="M1482" s="198"/>
      <c r="N1482" s="721">
        <f t="shared" si="809"/>
        <v>5095</v>
      </c>
      <c r="O1482" s="721">
        <f t="shared" si="810"/>
        <v>0</v>
      </c>
      <c r="P1482" s="722" t="str">
        <f t="shared" si="811"/>
        <v>-</v>
      </c>
      <c r="Q1482" s="686">
        <f t="shared" si="812"/>
        <v>20.38</v>
      </c>
      <c r="R1482" s="686" t="str">
        <f t="shared" si="813"/>
        <v>-</v>
      </c>
      <c r="S1482" s="686" t="str">
        <f t="shared" si="814"/>
        <v>-</v>
      </c>
      <c r="T1482" s="686" t="str">
        <f t="shared" si="815"/>
        <v>-</v>
      </c>
      <c r="U1482" s="723" t="str">
        <f t="shared" si="816"/>
        <v>-</v>
      </c>
      <c r="V1482" s="695" t="str">
        <f t="shared" si="817"/>
        <v>-</v>
      </c>
      <c r="W1482" s="711"/>
    </row>
    <row r="1483" spans="1:23" ht="16.5" hidden="1" outlineLevel="1">
      <c r="A1483" s="726"/>
      <c r="B1483" s="726" t="s">
        <v>393</v>
      </c>
      <c r="C1483" s="727">
        <v>10</v>
      </c>
      <c r="D1483" s="690"/>
      <c r="E1483" s="720" t="s">
        <v>1557</v>
      </c>
      <c r="F1483" s="685">
        <v>1</v>
      </c>
      <c r="G1483" s="239">
        <v>2</v>
      </c>
      <c r="H1483" s="203">
        <v>2</v>
      </c>
      <c r="I1483" s="198">
        <f>C1483*10</f>
        <v>100</v>
      </c>
      <c r="J1483" s="845">
        <v>4935</v>
      </c>
      <c r="K1483" s="198">
        <v>100</v>
      </c>
      <c r="L1483" s="198"/>
      <c r="M1483" s="198"/>
      <c r="N1483" s="721">
        <f t="shared" si="809"/>
        <v>5095</v>
      </c>
      <c r="O1483" s="721">
        <f t="shared" si="810"/>
        <v>0</v>
      </c>
      <c r="P1483" s="722" t="str">
        <f t="shared" si="811"/>
        <v>-</v>
      </c>
      <c r="Q1483" s="686">
        <f t="shared" si="812"/>
        <v>20.38</v>
      </c>
      <c r="R1483" s="686" t="str">
        <f t="shared" si="813"/>
        <v>-</v>
      </c>
      <c r="S1483" s="686" t="str">
        <f t="shared" si="814"/>
        <v>-</v>
      </c>
      <c r="T1483" s="686" t="str">
        <f t="shared" si="815"/>
        <v>-</v>
      </c>
      <c r="U1483" s="723" t="str">
        <f t="shared" si="816"/>
        <v>-</v>
      </c>
      <c r="V1483" s="695" t="str">
        <f t="shared" si="817"/>
        <v>-</v>
      </c>
      <c r="W1483" s="711"/>
    </row>
    <row r="1484" spans="1:23" ht="16.5" hidden="1" outlineLevel="1">
      <c r="A1484" s="726"/>
      <c r="B1484" s="726" t="s">
        <v>394</v>
      </c>
      <c r="C1484" s="727">
        <v>8</v>
      </c>
      <c r="D1484" s="690"/>
      <c r="E1484" s="691" t="s">
        <v>1558</v>
      </c>
      <c r="F1484" s="685">
        <v>1</v>
      </c>
      <c r="G1484" s="239">
        <v>2</v>
      </c>
      <c r="H1484" s="249">
        <f>((J1482)/200)+1</f>
        <v>25.675000000000001</v>
      </c>
      <c r="I1484" s="198">
        <v>180</v>
      </c>
      <c r="J1484" s="198">
        <v>150</v>
      </c>
      <c r="K1484" s="198">
        <v>180</v>
      </c>
      <c r="L1484" s="198">
        <v>150</v>
      </c>
      <c r="M1484" s="198"/>
      <c r="N1484" s="721">
        <f t="shared" si="809"/>
        <v>740</v>
      </c>
      <c r="O1484" s="721">
        <f t="shared" si="810"/>
        <v>0</v>
      </c>
      <c r="P1484" s="722">
        <f t="shared" si="811"/>
        <v>37.999000000000002</v>
      </c>
      <c r="Q1484" s="686" t="str">
        <f t="shared" si="812"/>
        <v>-</v>
      </c>
      <c r="R1484" s="686" t="str">
        <f t="shared" si="813"/>
        <v>-</v>
      </c>
      <c r="S1484" s="686" t="str">
        <f t="shared" si="814"/>
        <v>-</v>
      </c>
      <c r="T1484" s="686" t="str">
        <f t="shared" si="815"/>
        <v>-</v>
      </c>
      <c r="U1484" s="723" t="str">
        <f t="shared" si="816"/>
        <v>-</v>
      </c>
      <c r="V1484" s="695" t="str">
        <f t="shared" si="817"/>
        <v>-</v>
      </c>
      <c r="W1484" s="711"/>
    </row>
    <row r="1485" spans="1:23" ht="16.5" hidden="1" outlineLevel="1">
      <c r="A1485" s="195"/>
      <c r="B1485" s="172"/>
      <c r="C1485" s="196"/>
      <c r="D1485" s="685"/>
      <c r="E1485" s="196"/>
      <c r="F1485" s="685"/>
      <c r="G1485" s="204"/>
      <c r="H1485" s="203"/>
      <c r="I1485" s="198"/>
      <c r="J1485" s="198"/>
      <c r="K1485" s="198"/>
      <c r="L1485" s="198"/>
      <c r="M1485" s="198"/>
      <c r="N1485" s="721" t="str">
        <f t="shared" si="809"/>
        <v>-</v>
      </c>
      <c r="O1485" s="721" t="str">
        <f t="shared" si="810"/>
        <v/>
      </c>
      <c r="P1485" s="722" t="str">
        <f t="shared" si="811"/>
        <v>-</v>
      </c>
      <c r="Q1485" s="686" t="str">
        <f t="shared" si="812"/>
        <v>-</v>
      </c>
      <c r="R1485" s="686" t="str">
        <f t="shared" si="813"/>
        <v>-</v>
      </c>
      <c r="S1485" s="686" t="str">
        <f t="shared" si="814"/>
        <v>-</v>
      </c>
      <c r="T1485" s="686" t="str">
        <f t="shared" si="815"/>
        <v>-</v>
      </c>
      <c r="U1485" s="723" t="str">
        <f t="shared" si="816"/>
        <v>-</v>
      </c>
      <c r="V1485" s="695" t="str">
        <f t="shared" si="817"/>
        <v>-</v>
      </c>
      <c r="W1485" s="711"/>
    </row>
    <row r="1486" spans="1:23" ht="16.5" hidden="1" outlineLevel="1">
      <c r="A1486" s="726">
        <v>1.4</v>
      </c>
      <c r="B1486" s="730" t="s">
        <v>1618</v>
      </c>
      <c r="C1486" s="727">
        <v>10</v>
      </c>
      <c r="D1486" s="690"/>
      <c r="E1486" s="720" t="s">
        <v>1557</v>
      </c>
      <c r="F1486" s="685">
        <v>1</v>
      </c>
      <c r="G1486" s="239">
        <v>2</v>
      </c>
      <c r="H1486" s="203">
        <v>2</v>
      </c>
      <c r="I1486" s="198">
        <f>C1486*10</f>
        <v>100</v>
      </c>
      <c r="J1486" s="171">
        <f>1800-50</f>
        <v>1750</v>
      </c>
      <c r="K1486" s="198">
        <v>100</v>
      </c>
      <c r="L1486" s="198"/>
      <c r="M1486" s="198"/>
      <c r="N1486" s="721">
        <f t="shared" si="809"/>
        <v>1910</v>
      </c>
      <c r="O1486" s="721">
        <f t="shared" si="810"/>
        <v>0</v>
      </c>
      <c r="P1486" s="722" t="str">
        <f t="shared" si="811"/>
        <v>-</v>
      </c>
      <c r="Q1486" s="686">
        <f t="shared" si="812"/>
        <v>7.64</v>
      </c>
      <c r="R1486" s="686" t="str">
        <f t="shared" si="813"/>
        <v>-</v>
      </c>
      <c r="S1486" s="686" t="str">
        <f t="shared" si="814"/>
        <v>-</v>
      </c>
      <c r="T1486" s="686" t="str">
        <f t="shared" si="815"/>
        <v>-</v>
      </c>
      <c r="U1486" s="723" t="str">
        <f t="shared" si="816"/>
        <v>-</v>
      </c>
      <c r="V1486" s="695" t="str">
        <f t="shared" si="817"/>
        <v>-</v>
      </c>
      <c r="W1486" s="711"/>
    </row>
    <row r="1487" spans="1:23" ht="16.5" hidden="1" outlineLevel="1">
      <c r="A1487" s="726"/>
      <c r="B1487" s="726" t="s">
        <v>393</v>
      </c>
      <c r="C1487" s="727">
        <v>10</v>
      </c>
      <c r="D1487" s="690"/>
      <c r="E1487" s="720" t="s">
        <v>1557</v>
      </c>
      <c r="F1487" s="685">
        <v>1</v>
      </c>
      <c r="G1487" s="239">
        <v>2</v>
      </c>
      <c r="H1487" s="203">
        <v>2</v>
      </c>
      <c r="I1487" s="198">
        <f>C1487*10</f>
        <v>100</v>
      </c>
      <c r="J1487" s="171">
        <f>1800-50</f>
        <v>1750</v>
      </c>
      <c r="K1487" s="198">
        <v>100</v>
      </c>
      <c r="L1487" s="198"/>
      <c r="M1487" s="198"/>
      <c r="N1487" s="721">
        <f t="shared" si="809"/>
        <v>1910</v>
      </c>
      <c r="O1487" s="721">
        <f t="shared" si="810"/>
        <v>0</v>
      </c>
      <c r="P1487" s="722" t="str">
        <f t="shared" si="811"/>
        <v>-</v>
      </c>
      <c r="Q1487" s="686">
        <f t="shared" si="812"/>
        <v>7.64</v>
      </c>
      <c r="R1487" s="686" t="str">
        <f t="shared" si="813"/>
        <v>-</v>
      </c>
      <c r="S1487" s="686" t="str">
        <f t="shared" si="814"/>
        <v>-</v>
      </c>
      <c r="T1487" s="686" t="str">
        <f t="shared" si="815"/>
        <v>-</v>
      </c>
      <c r="U1487" s="723" t="str">
        <f t="shared" si="816"/>
        <v>-</v>
      </c>
      <c r="V1487" s="695" t="str">
        <f t="shared" si="817"/>
        <v>-</v>
      </c>
      <c r="W1487" s="711"/>
    </row>
    <row r="1488" spans="1:23" ht="16.5" hidden="1" outlineLevel="1">
      <c r="A1488" s="726"/>
      <c r="B1488" s="726" t="s">
        <v>394</v>
      </c>
      <c r="C1488" s="727">
        <v>8</v>
      </c>
      <c r="D1488" s="690"/>
      <c r="E1488" s="691" t="s">
        <v>1558</v>
      </c>
      <c r="F1488" s="685">
        <v>1</v>
      </c>
      <c r="G1488" s="239">
        <v>2</v>
      </c>
      <c r="H1488" s="203">
        <f>((J1486)/200)+1</f>
        <v>9.75</v>
      </c>
      <c r="I1488" s="198">
        <v>180</v>
      </c>
      <c r="J1488" s="198">
        <v>150</v>
      </c>
      <c r="K1488" s="198">
        <v>180</v>
      </c>
      <c r="L1488" s="198">
        <v>150</v>
      </c>
      <c r="M1488" s="198"/>
      <c r="N1488" s="721">
        <f t="shared" si="809"/>
        <v>740</v>
      </c>
      <c r="O1488" s="721">
        <f t="shared" si="810"/>
        <v>0</v>
      </c>
      <c r="P1488" s="722">
        <f t="shared" si="811"/>
        <v>14.43</v>
      </c>
      <c r="Q1488" s="686" t="str">
        <f t="shared" si="812"/>
        <v>-</v>
      </c>
      <c r="R1488" s="686" t="str">
        <f t="shared" si="813"/>
        <v>-</v>
      </c>
      <c r="S1488" s="686" t="str">
        <f t="shared" si="814"/>
        <v>-</v>
      </c>
      <c r="T1488" s="686" t="str">
        <f t="shared" si="815"/>
        <v>-</v>
      </c>
      <c r="U1488" s="723" t="str">
        <f t="shared" si="816"/>
        <v>-</v>
      </c>
      <c r="V1488" s="695" t="str">
        <f t="shared" si="817"/>
        <v>-</v>
      </c>
      <c r="W1488" s="711"/>
    </row>
    <row r="1489" spans="1:23" ht="16.5" hidden="1" outlineLevel="1">
      <c r="A1489" s="195"/>
      <c r="B1489" s="172"/>
      <c r="C1489" s="196"/>
      <c r="D1489" s="685"/>
      <c r="E1489" s="196"/>
      <c r="F1489" s="685"/>
      <c r="G1489" s="204"/>
      <c r="H1489" s="203"/>
      <c r="I1489" s="198"/>
      <c r="J1489" s="198"/>
      <c r="K1489" s="198"/>
      <c r="L1489" s="198"/>
      <c r="M1489" s="198"/>
      <c r="N1489" s="721" t="str">
        <f t="shared" si="809"/>
        <v>-</v>
      </c>
      <c r="O1489" s="721" t="str">
        <f t="shared" si="810"/>
        <v/>
      </c>
      <c r="P1489" s="722" t="str">
        <f t="shared" si="811"/>
        <v>-</v>
      </c>
      <c r="Q1489" s="686" t="str">
        <f t="shared" si="812"/>
        <v>-</v>
      </c>
      <c r="R1489" s="686" t="str">
        <f t="shared" si="813"/>
        <v>-</v>
      </c>
      <c r="S1489" s="686" t="str">
        <f t="shared" si="814"/>
        <v>-</v>
      </c>
      <c r="T1489" s="686" t="str">
        <f t="shared" si="815"/>
        <v>-</v>
      </c>
      <c r="U1489" s="723" t="str">
        <f t="shared" si="816"/>
        <v>-</v>
      </c>
      <c r="V1489" s="695" t="str">
        <f t="shared" si="817"/>
        <v>-</v>
      </c>
      <c r="W1489" s="711"/>
    </row>
    <row r="1490" spans="1:23" ht="82.5" hidden="1" outlineLevel="1">
      <c r="A1490" s="747">
        <v>2</v>
      </c>
      <c r="B1490" s="748" t="s">
        <v>1329</v>
      </c>
      <c r="C1490" s="196"/>
      <c r="D1490" s="685"/>
      <c r="E1490" s="196"/>
      <c r="F1490" s="685"/>
      <c r="G1490" s="204"/>
      <c r="H1490" s="203"/>
      <c r="I1490" s="198"/>
      <c r="J1490" s="198"/>
      <c r="K1490" s="198"/>
      <c r="L1490" s="198"/>
      <c r="M1490" s="198"/>
      <c r="N1490" s="721" t="str">
        <f t="shared" si="809"/>
        <v>-</v>
      </c>
      <c r="O1490" s="721" t="str">
        <f t="shared" si="810"/>
        <v/>
      </c>
      <c r="P1490" s="722" t="str">
        <f t="shared" si="811"/>
        <v>-</v>
      </c>
      <c r="Q1490" s="686" t="str">
        <f t="shared" si="812"/>
        <v>-</v>
      </c>
      <c r="R1490" s="686" t="str">
        <f t="shared" si="813"/>
        <v>-</v>
      </c>
      <c r="S1490" s="686" t="str">
        <f t="shared" si="814"/>
        <v>-</v>
      </c>
      <c r="T1490" s="686" t="str">
        <f t="shared" si="815"/>
        <v>-</v>
      </c>
      <c r="U1490" s="723" t="str">
        <f t="shared" si="816"/>
        <v>-</v>
      </c>
      <c r="V1490" s="695" t="str">
        <f t="shared" si="817"/>
        <v>-</v>
      </c>
      <c r="W1490" s="711"/>
    </row>
    <row r="1491" spans="1:23" ht="33" hidden="1" outlineLevel="1">
      <c r="A1491" s="195"/>
      <c r="B1491" s="172" t="s">
        <v>959</v>
      </c>
      <c r="C1491" s="196"/>
      <c r="D1491" s="685"/>
      <c r="E1491" s="196"/>
      <c r="F1491" s="685"/>
      <c r="G1491" s="204"/>
      <c r="H1491" s="203"/>
      <c r="I1491" s="198"/>
      <c r="J1491" s="198"/>
      <c r="K1491" s="198"/>
      <c r="L1491" s="198"/>
      <c r="M1491" s="198"/>
      <c r="N1491" s="721" t="str">
        <f t="shared" si="809"/>
        <v>-</v>
      </c>
      <c r="O1491" s="721" t="str">
        <f t="shared" si="810"/>
        <v/>
      </c>
      <c r="P1491" s="722" t="str">
        <f t="shared" si="811"/>
        <v>-</v>
      </c>
      <c r="Q1491" s="686" t="str">
        <f t="shared" si="812"/>
        <v>-</v>
      </c>
      <c r="R1491" s="686" t="str">
        <f t="shared" si="813"/>
        <v>-</v>
      </c>
      <c r="S1491" s="686" t="str">
        <f t="shared" si="814"/>
        <v>-</v>
      </c>
      <c r="T1491" s="686" t="str">
        <f t="shared" si="815"/>
        <v>-</v>
      </c>
      <c r="U1491" s="723" t="str">
        <f t="shared" si="816"/>
        <v>-</v>
      </c>
      <c r="V1491" s="695" t="str">
        <f t="shared" si="817"/>
        <v>-</v>
      </c>
      <c r="W1491" s="711"/>
    </row>
    <row r="1492" spans="1:23" ht="16.5" hidden="1" outlineLevel="1">
      <c r="A1492" s="195">
        <v>2</v>
      </c>
      <c r="B1492" s="751" t="s">
        <v>1310</v>
      </c>
      <c r="C1492" s="196"/>
      <c r="D1492" s="685"/>
      <c r="E1492" s="196"/>
      <c r="F1492" s="685"/>
      <c r="G1492" s="204"/>
      <c r="H1492" s="203"/>
      <c r="I1492" s="198"/>
      <c r="J1492" s="198"/>
      <c r="K1492" s="198"/>
      <c r="L1492" s="198"/>
      <c r="M1492" s="198"/>
      <c r="N1492" s="721" t="str">
        <f t="shared" si="809"/>
        <v>-</v>
      </c>
      <c r="O1492" s="721" t="str">
        <f t="shared" si="810"/>
        <v/>
      </c>
      <c r="P1492" s="722" t="str">
        <f t="shared" si="811"/>
        <v>-</v>
      </c>
      <c r="Q1492" s="686" t="str">
        <f t="shared" si="812"/>
        <v>-</v>
      </c>
      <c r="R1492" s="686" t="str">
        <f t="shared" si="813"/>
        <v>-</v>
      </c>
      <c r="S1492" s="686" t="str">
        <f t="shared" si="814"/>
        <v>-</v>
      </c>
      <c r="T1492" s="686" t="str">
        <f t="shared" si="815"/>
        <v>-</v>
      </c>
      <c r="U1492" s="723" t="str">
        <f t="shared" si="816"/>
        <v>-</v>
      </c>
      <c r="V1492" s="695" t="str">
        <f t="shared" si="817"/>
        <v>-</v>
      </c>
      <c r="W1492" s="711"/>
    </row>
    <row r="1493" spans="1:23" ht="16.5" hidden="1" outlineLevel="1">
      <c r="A1493" s="726">
        <v>2.1</v>
      </c>
      <c r="B1493" s="730" t="s">
        <v>1574</v>
      </c>
      <c r="C1493" s="727">
        <v>10</v>
      </c>
      <c r="D1493" s="690"/>
      <c r="E1493" s="720" t="s">
        <v>1557</v>
      </c>
      <c r="F1493" s="685">
        <v>1</v>
      </c>
      <c r="G1493" s="239">
        <v>2</v>
      </c>
      <c r="H1493" s="203">
        <v>2</v>
      </c>
      <c r="I1493" s="198">
        <f>C1493*10</f>
        <v>100</v>
      </c>
      <c r="J1493" s="198">
        <f>6310-50</f>
        <v>6260</v>
      </c>
      <c r="K1493" s="198">
        <v>100</v>
      </c>
      <c r="L1493" s="198"/>
      <c r="M1493" s="198"/>
      <c r="N1493" s="721">
        <f t="shared" si="809"/>
        <v>6420</v>
      </c>
      <c r="O1493" s="721">
        <f t="shared" si="810"/>
        <v>0</v>
      </c>
      <c r="P1493" s="722" t="str">
        <f t="shared" si="811"/>
        <v>-</v>
      </c>
      <c r="Q1493" s="686">
        <f t="shared" si="812"/>
        <v>25.68</v>
      </c>
      <c r="R1493" s="686" t="str">
        <f t="shared" si="813"/>
        <v>-</v>
      </c>
      <c r="S1493" s="686" t="str">
        <f t="shared" si="814"/>
        <v>-</v>
      </c>
      <c r="T1493" s="686" t="str">
        <f t="shared" si="815"/>
        <v>-</v>
      </c>
      <c r="U1493" s="723" t="str">
        <f t="shared" si="816"/>
        <v>-</v>
      </c>
      <c r="V1493" s="695" t="str">
        <f t="shared" si="817"/>
        <v>-</v>
      </c>
      <c r="W1493" s="711"/>
    </row>
    <row r="1494" spans="1:23" ht="16.5" hidden="1" outlineLevel="1">
      <c r="A1494" s="726"/>
      <c r="B1494" s="726" t="s">
        <v>393</v>
      </c>
      <c r="C1494" s="727">
        <v>10</v>
      </c>
      <c r="D1494" s="690"/>
      <c r="E1494" s="720" t="s">
        <v>1557</v>
      </c>
      <c r="F1494" s="685">
        <v>1</v>
      </c>
      <c r="G1494" s="239">
        <v>2</v>
      </c>
      <c r="H1494" s="203">
        <v>2</v>
      </c>
      <c r="I1494" s="198">
        <f>C1494*10</f>
        <v>100</v>
      </c>
      <c r="J1494" s="198">
        <f>6310-50</f>
        <v>6260</v>
      </c>
      <c r="K1494" s="198">
        <v>100</v>
      </c>
      <c r="L1494" s="198"/>
      <c r="M1494" s="198"/>
      <c r="N1494" s="721">
        <f t="shared" si="809"/>
        <v>6420</v>
      </c>
      <c r="O1494" s="721">
        <f t="shared" si="810"/>
        <v>0</v>
      </c>
      <c r="P1494" s="722" t="str">
        <f t="shared" si="811"/>
        <v>-</v>
      </c>
      <c r="Q1494" s="686">
        <f t="shared" si="812"/>
        <v>25.68</v>
      </c>
      <c r="R1494" s="686" t="str">
        <f t="shared" si="813"/>
        <v>-</v>
      </c>
      <c r="S1494" s="686" t="str">
        <f t="shared" si="814"/>
        <v>-</v>
      </c>
      <c r="T1494" s="686" t="str">
        <f t="shared" si="815"/>
        <v>-</v>
      </c>
      <c r="U1494" s="723" t="str">
        <f t="shared" si="816"/>
        <v>-</v>
      </c>
      <c r="V1494" s="695" t="str">
        <f t="shared" si="817"/>
        <v>-</v>
      </c>
      <c r="W1494" s="711"/>
    </row>
    <row r="1495" spans="1:23" ht="16.5" hidden="1" outlineLevel="1">
      <c r="A1495" s="726"/>
      <c r="B1495" s="726" t="s">
        <v>394</v>
      </c>
      <c r="C1495" s="727">
        <v>8</v>
      </c>
      <c r="D1495" s="690"/>
      <c r="E1495" s="691" t="s">
        <v>1558</v>
      </c>
      <c r="F1495" s="685">
        <v>1</v>
      </c>
      <c r="G1495" s="239">
        <v>2</v>
      </c>
      <c r="H1495" s="203">
        <f>((J1493)/200)+1</f>
        <v>32.299999999999997</v>
      </c>
      <c r="I1495" s="198">
        <v>180</v>
      </c>
      <c r="J1495" s="198">
        <v>150</v>
      </c>
      <c r="K1495" s="198">
        <v>180</v>
      </c>
      <c r="L1495" s="198">
        <v>150</v>
      </c>
      <c r="M1495" s="198"/>
      <c r="N1495" s="721">
        <f t="shared" si="809"/>
        <v>740</v>
      </c>
      <c r="O1495" s="721">
        <f t="shared" si="810"/>
        <v>0</v>
      </c>
      <c r="P1495" s="722">
        <f t="shared" si="811"/>
        <v>47.804000000000002</v>
      </c>
      <c r="Q1495" s="686" t="str">
        <f t="shared" si="812"/>
        <v>-</v>
      </c>
      <c r="R1495" s="686" t="str">
        <f t="shared" si="813"/>
        <v>-</v>
      </c>
      <c r="S1495" s="686" t="str">
        <f t="shared" si="814"/>
        <v>-</v>
      </c>
      <c r="T1495" s="686" t="str">
        <f t="shared" si="815"/>
        <v>-</v>
      </c>
      <c r="U1495" s="723" t="str">
        <f t="shared" si="816"/>
        <v>-</v>
      </c>
      <c r="V1495" s="695" t="str">
        <f t="shared" si="817"/>
        <v>-</v>
      </c>
      <c r="W1495" s="711"/>
    </row>
    <row r="1496" spans="1:23" ht="16.5" hidden="1" outlineLevel="1">
      <c r="A1496" s="195"/>
      <c r="B1496" s="172"/>
      <c r="C1496" s="196"/>
      <c r="D1496" s="685"/>
      <c r="E1496" s="196"/>
      <c r="F1496" s="685"/>
      <c r="G1496" s="204"/>
      <c r="H1496" s="203"/>
      <c r="I1496" s="198"/>
      <c r="J1496" s="198"/>
      <c r="K1496" s="198"/>
      <c r="L1496" s="198"/>
      <c r="M1496" s="198"/>
      <c r="N1496" s="721" t="str">
        <f t="shared" si="809"/>
        <v>-</v>
      </c>
      <c r="O1496" s="721" t="str">
        <f t="shared" si="810"/>
        <v/>
      </c>
      <c r="P1496" s="722" t="str">
        <f t="shared" si="811"/>
        <v>-</v>
      </c>
      <c r="Q1496" s="686" t="str">
        <f t="shared" si="812"/>
        <v>-</v>
      </c>
      <c r="R1496" s="686" t="str">
        <f t="shared" si="813"/>
        <v>-</v>
      </c>
      <c r="S1496" s="686" t="str">
        <f t="shared" si="814"/>
        <v>-</v>
      </c>
      <c r="T1496" s="686" t="str">
        <f t="shared" si="815"/>
        <v>-</v>
      </c>
      <c r="U1496" s="723" t="str">
        <f t="shared" si="816"/>
        <v>-</v>
      </c>
      <c r="V1496" s="695" t="str">
        <f t="shared" si="817"/>
        <v>-</v>
      </c>
      <c r="W1496" s="711"/>
    </row>
    <row r="1497" spans="1:23" ht="16.5" hidden="1" outlineLevel="1">
      <c r="A1497" s="726">
        <v>2.2000000000000002</v>
      </c>
      <c r="B1497" s="730" t="s">
        <v>1574</v>
      </c>
      <c r="C1497" s="727">
        <v>10</v>
      </c>
      <c r="D1497" s="690"/>
      <c r="E1497" s="720" t="s">
        <v>1557</v>
      </c>
      <c r="F1497" s="685">
        <v>1</v>
      </c>
      <c r="G1497" s="239">
        <v>2</v>
      </c>
      <c r="H1497" s="203">
        <v>2</v>
      </c>
      <c r="I1497" s="198">
        <f>C1497*10</f>
        <v>100</v>
      </c>
      <c r="J1497" s="171">
        <f>1200-50</f>
        <v>1150</v>
      </c>
      <c r="K1497" s="198">
        <v>100</v>
      </c>
      <c r="L1497" s="198"/>
      <c r="M1497" s="198"/>
      <c r="N1497" s="721">
        <f t="shared" si="809"/>
        <v>1310</v>
      </c>
      <c r="O1497" s="721">
        <f t="shared" si="810"/>
        <v>0</v>
      </c>
      <c r="P1497" s="722" t="str">
        <f t="shared" si="811"/>
        <v>-</v>
      </c>
      <c r="Q1497" s="686">
        <f t="shared" si="812"/>
        <v>5.24</v>
      </c>
      <c r="R1497" s="686" t="str">
        <f t="shared" si="813"/>
        <v>-</v>
      </c>
      <c r="S1497" s="686" t="str">
        <f t="shared" si="814"/>
        <v>-</v>
      </c>
      <c r="T1497" s="686" t="str">
        <f t="shared" si="815"/>
        <v>-</v>
      </c>
      <c r="U1497" s="723" t="str">
        <f t="shared" si="816"/>
        <v>-</v>
      </c>
      <c r="V1497" s="695" t="str">
        <f t="shared" si="817"/>
        <v>-</v>
      </c>
      <c r="W1497" s="711"/>
    </row>
    <row r="1498" spans="1:23" ht="16.5" hidden="1" outlineLevel="1">
      <c r="A1498" s="726"/>
      <c r="B1498" s="726" t="s">
        <v>393</v>
      </c>
      <c r="C1498" s="727">
        <v>10</v>
      </c>
      <c r="D1498" s="690"/>
      <c r="E1498" s="720" t="s">
        <v>1557</v>
      </c>
      <c r="F1498" s="685">
        <v>1</v>
      </c>
      <c r="G1498" s="239">
        <v>2</v>
      </c>
      <c r="H1498" s="203">
        <v>2</v>
      </c>
      <c r="I1498" s="198">
        <f>C1498*10</f>
        <v>100</v>
      </c>
      <c r="J1498" s="171">
        <f>1200-50</f>
        <v>1150</v>
      </c>
      <c r="K1498" s="198">
        <v>100</v>
      </c>
      <c r="L1498" s="198"/>
      <c r="M1498" s="198"/>
      <c r="N1498" s="721">
        <f t="shared" si="809"/>
        <v>1310</v>
      </c>
      <c r="O1498" s="721">
        <f t="shared" si="810"/>
        <v>0</v>
      </c>
      <c r="P1498" s="722" t="str">
        <f t="shared" si="811"/>
        <v>-</v>
      </c>
      <c r="Q1498" s="686">
        <f t="shared" si="812"/>
        <v>5.24</v>
      </c>
      <c r="R1498" s="686" t="str">
        <f t="shared" si="813"/>
        <v>-</v>
      </c>
      <c r="S1498" s="686" t="str">
        <f t="shared" si="814"/>
        <v>-</v>
      </c>
      <c r="T1498" s="686" t="str">
        <f t="shared" si="815"/>
        <v>-</v>
      </c>
      <c r="U1498" s="723" t="str">
        <f t="shared" si="816"/>
        <v>-</v>
      </c>
      <c r="V1498" s="695" t="str">
        <f t="shared" si="817"/>
        <v>-</v>
      </c>
      <c r="W1498" s="711"/>
    </row>
    <row r="1499" spans="1:23" ht="16.5" hidden="1" outlineLevel="1">
      <c r="A1499" s="726"/>
      <c r="B1499" s="726" t="s">
        <v>394</v>
      </c>
      <c r="C1499" s="727">
        <v>8</v>
      </c>
      <c r="D1499" s="690"/>
      <c r="E1499" s="691" t="s">
        <v>1558</v>
      </c>
      <c r="F1499" s="685">
        <v>1</v>
      </c>
      <c r="G1499" s="239">
        <v>2</v>
      </c>
      <c r="H1499" s="203">
        <f>((J1497)/200)+1</f>
        <v>6.75</v>
      </c>
      <c r="I1499" s="198">
        <v>180</v>
      </c>
      <c r="J1499" s="198">
        <v>150</v>
      </c>
      <c r="K1499" s="198">
        <v>180</v>
      </c>
      <c r="L1499" s="198">
        <v>150</v>
      </c>
      <c r="M1499" s="198"/>
      <c r="N1499" s="721">
        <f t="shared" si="809"/>
        <v>740</v>
      </c>
      <c r="O1499" s="721">
        <f t="shared" si="810"/>
        <v>0</v>
      </c>
      <c r="P1499" s="722">
        <f t="shared" si="811"/>
        <v>9.99</v>
      </c>
      <c r="Q1499" s="686" t="str">
        <f t="shared" si="812"/>
        <v>-</v>
      </c>
      <c r="R1499" s="686" t="str">
        <f t="shared" si="813"/>
        <v>-</v>
      </c>
      <c r="S1499" s="686" t="str">
        <f t="shared" si="814"/>
        <v>-</v>
      </c>
      <c r="T1499" s="686" t="str">
        <f t="shared" si="815"/>
        <v>-</v>
      </c>
      <c r="U1499" s="723" t="str">
        <f t="shared" si="816"/>
        <v>-</v>
      </c>
      <c r="V1499" s="695" t="str">
        <f t="shared" si="817"/>
        <v>-</v>
      </c>
      <c r="W1499" s="711"/>
    </row>
    <row r="1500" spans="1:23" ht="16.5" hidden="1" outlineLevel="1">
      <c r="A1500" s="195"/>
      <c r="B1500" s="172"/>
      <c r="C1500" s="196"/>
      <c r="D1500" s="685"/>
      <c r="E1500" s="196"/>
      <c r="F1500" s="685"/>
      <c r="G1500" s="204"/>
      <c r="H1500" s="203"/>
      <c r="I1500" s="198"/>
      <c r="J1500" s="198"/>
      <c r="K1500" s="198"/>
      <c r="L1500" s="198"/>
      <c r="M1500" s="198"/>
      <c r="N1500" s="721" t="str">
        <f t="shared" si="809"/>
        <v>-</v>
      </c>
      <c r="O1500" s="721" t="str">
        <f t="shared" si="810"/>
        <v/>
      </c>
      <c r="P1500" s="722" t="str">
        <f t="shared" si="811"/>
        <v>-</v>
      </c>
      <c r="Q1500" s="686" t="str">
        <f t="shared" si="812"/>
        <v>-</v>
      </c>
      <c r="R1500" s="686" t="str">
        <f t="shared" si="813"/>
        <v>-</v>
      </c>
      <c r="S1500" s="686" t="str">
        <f t="shared" si="814"/>
        <v>-</v>
      </c>
      <c r="T1500" s="686" t="str">
        <f t="shared" si="815"/>
        <v>-</v>
      </c>
      <c r="U1500" s="723" t="str">
        <f t="shared" si="816"/>
        <v>-</v>
      </c>
      <c r="V1500" s="695" t="str">
        <f t="shared" si="817"/>
        <v>-</v>
      </c>
      <c r="W1500" s="711"/>
    </row>
    <row r="1501" spans="1:23" ht="16.5" hidden="1" outlineLevel="1">
      <c r="A1501" s="726">
        <v>2.2999999999999998</v>
      </c>
      <c r="B1501" s="730" t="s">
        <v>1617</v>
      </c>
      <c r="C1501" s="727">
        <v>10</v>
      </c>
      <c r="D1501" s="690"/>
      <c r="E1501" s="720" t="s">
        <v>1557</v>
      </c>
      <c r="F1501" s="685">
        <v>1</v>
      </c>
      <c r="G1501" s="239">
        <v>2</v>
      </c>
      <c r="H1501" s="203">
        <v>2</v>
      </c>
      <c r="I1501" s="198">
        <f>C1501*10</f>
        <v>100</v>
      </c>
      <c r="J1501" s="845">
        <v>4935</v>
      </c>
      <c r="K1501" s="198">
        <v>100</v>
      </c>
      <c r="L1501" s="198"/>
      <c r="M1501" s="198"/>
      <c r="N1501" s="721">
        <f t="shared" si="809"/>
        <v>5095</v>
      </c>
      <c r="O1501" s="721">
        <f t="shared" si="810"/>
        <v>0</v>
      </c>
      <c r="P1501" s="722" t="str">
        <f t="shared" si="811"/>
        <v>-</v>
      </c>
      <c r="Q1501" s="686">
        <f t="shared" si="812"/>
        <v>20.38</v>
      </c>
      <c r="R1501" s="686" t="str">
        <f t="shared" si="813"/>
        <v>-</v>
      </c>
      <c r="S1501" s="686" t="str">
        <f t="shared" si="814"/>
        <v>-</v>
      </c>
      <c r="T1501" s="686" t="str">
        <f t="shared" si="815"/>
        <v>-</v>
      </c>
      <c r="U1501" s="723" t="str">
        <f t="shared" si="816"/>
        <v>-</v>
      </c>
      <c r="V1501" s="695" t="str">
        <f t="shared" si="817"/>
        <v>-</v>
      </c>
      <c r="W1501" s="711"/>
    </row>
    <row r="1502" spans="1:23" ht="16.5" hidden="1" outlineLevel="1">
      <c r="A1502" s="726"/>
      <c r="B1502" s="726" t="s">
        <v>393</v>
      </c>
      <c r="C1502" s="727">
        <v>10</v>
      </c>
      <c r="D1502" s="690"/>
      <c r="E1502" s="720" t="s">
        <v>1557</v>
      </c>
      <c r="F1502" s="685">
        <v>1</v>
      </c>
      <c r="G1502" s="239">
        <v>2</v>
      </c>
      <c r="H1502" s="203">
        <v>2</v>
      </c>
      <c r="I1502" s="198">
        <f>C1502*10</f>
        <v>100</v>
      </c>
      <c r="J1502" s="845">
        <v>4935</v>
      </c>
      <c r="K1502" s="198">
        <v>100</v>
      </c>
      <c r="L1502" s="198"/>
      <c r="M1502" s="198"/>
      <c r="N1502" s="721">
        <f t="shared" si="809"/>
        <v>5095</v>
      </c>
      <c r="O1502" s="721">
        <f t="shared" si="810"/>
        <v>0</v>
      </c>
      <c r="P1502" s="722" t="str">
        <f t="shared" si="811"/>
        <v>-</v>
      </c>
      <c r="Q1502" s="686">
        <f t="shared" si="812"/>
        <v>20.38</v>
      </c>
      <c r="R1502" s="686" t="str">
        <f t="shared" si="813"/>
        <v>-</v>
      </c>
      <c r="S1502" s="686" t="str">
        <f t="shared" si="814"/>
        <v>-</v>
      </c>
      <c r="T1502" s="686" t="str">
        <f t="shared" si="815"/>
        <v>-</v>
      </c>
      <c r="U1502" s="723" t="str">
        <f t="shared" si="816"/>
        <v>-</v>
      </c>
      <c r="V1502" s="695" t="str">
        <f t="shared" si="817"/>
        <v>-</v>
      </c>
      <c r="W1502" s="711"/>
    </row>
    <row r="1503" spans="1:23" ht="16.5" hidden="1" outlineLevel="1">
      <c r="A1503" s="726"/>
      <c r="B1503" s="726" t="s">
        <v>394</v>
      </c>
      <c r="C1503" s="727">
        <v>8</v>
      </c>
      <c r="D1503" s="690"/>
      <c r="E1503" s="691" t="s">
        <v>1558</v>
      </c>
      <c r="F1503" s="685">
        <v>1</v>
      </c>
      <c r="G1503" s="239">
        <v>2</v>
      </c>
      <c r="H1503" s="249">
        <f>((J1501)/200)+1</f>
        <v>25.675000000000001</v>
      </c>
      <c r="I1503" s="198">
        <v>180</v>
      </c>
      <c r="J1503" s="198">
        <v>150</v>
      </c>
      <c r="K1503" s="198">
        <v>180</v>
      </c>
      <c r="L1503" s="198">
        <v>150</v>
      </c>
      <c r="M1503" s="198"/>
      <c r="N1503" s="721">
        <f t="shared" si="809"/>
        <v>740</v>
      </c>
      <c r="O1503" s="721">
        <f t="shared" si="810"/>
        <v>0</v>
      </c>
      <c r="P1503" s="722">
        <f t="shared" si="811"/>
        <v>37.999000000000002</v>
      </c>
      <c r="Q1503" s="686" t="str">
        <f t="shared" si="812"/>
        <v>-</v>
      </c>
      <c r="R1503" s="686" t="str">
        <f t="shared" si="813"/>
        <v>-</v>
      </c>
      <c r="S1503" s="686" t="str">
        <f t="shared" si="814"/>
        <v>-</v>
      </c>
      <c r="T1503" s="686" t="str">
        <f t="shared" si="815"/>
        <v>-</v>
      </c>
      <c r="U1503" s="723" t="str">
        <f t="shared" si="816"/>
        <v>-</v>
      </c>
      <c r="V1503" s="695" t="str">
        <f t="shared" si="817"/>
        <v>-</v>
      </c>
      <c r="W1503" s="711"/>
    </row>
    <row r="1504" spans="1:23" ht="16.5" hidden="1" outlineLevel="1">
      <c r="A1504" s="195"/>
      <c r="B1504" s="172"/>
      <c r="C1504" s="196"/>
      <c r="D1504" s="685"/>
      <c r="E1504" s="196"/>
      <c r="F1504" s="685"/>
      <c r="G1504" s="204"/>
      <c r="H1504" s="203"/>
      <c r="I1504" s="198"/>
      <c r="J1504" s="198"/>
      <c r="K1504" s="198"/>
      <c r="L1504" s="198"/>
      <c r="M1504" s="198"/>
      <c r="N1504" s="721" t="str">
        <f t="shared" si="809"/>
        <v>-</v>
      </c>
      <c r="O1504" s="721" t="str">
        <f t="shared" si="810"/>
        <v/>
      </c>
      <c r="P1504" s="722" t="str">
        <f t="shared" si="811"/>
        <v>-</v>
      </c>
      <c r="Q1504" s="686" t="str">
        <f t="shared" si="812"/>
        <v>-</v>
      </c>
      <c r="R1504" s="686" t="str">
        <f t="shared" si="813"/>
        <v>-</v>
      </c>
      <c r="S1504" s="686" t="str">
        <f t="shared" si="814"/>
        <v>-</v>
      </c>
      <c r="T1504" s="686" t="str">
        <f t="shared" si="815"/>
        <v>-</v>
      </c>
      <c r="U1504" s="723" t="str">
        <f t="shared" si="816"/>
        <v>-</v>
      </c>
      <c r="V1504" s="695" t="str">
        <f t="shared" si="817"/>
        <v>-</v>
      </c>
      <c r="W1504" s="711"/>
    </row>
    <row r="1505" spans="1:23" ht="16.5" hidden="1" outlineLevel="1">
      <c r="A1505" s="726">
        <v>2.4</v>
      </c>
      <c r="B1505" s="730" t="s">
        <v>1618</v>
      </c>
      <c r="C1505" s="727">
        <v>10</v>
      </c>
      <c r="D1505" s="690"/>
      <c r="E1505" s="720" t="s">
        <v>1557</v>
      </c>
      <c r="F1505" s="685">
        <v>1</v>
      </c>
      <c r="G1505" s="239">
        <v>2</v>
      </c>
      <c r="H1505" s="203">
        <v>2</v>
      </c>
      <c r="I1505" s="198">
        <f>C1505*10</f>
        <v>100</v>
      </c>
      <c r="J1505" s="171">
        <f>1200-50</f>
        <v>1150</v>
      </c>
      <c r="K1505" s="198">
        <v>100</v>
      </c>
      <c r="L1505" s="198"/>
      <c r="M1505" s="198"/>
      <c r="N1505" s="721">
        <f t="shared" si="809"/>
        <v>1310</v>
      </c>
      <c r="O1505" s="721">
        <f t="shared" si="810"/>
        <v>0</v>
      </c>
      <c r="P1505" s="722" t="str">
        <f t="shared" si="811"/>
        <v>-</v>
      </c>
      <c r="Q1505" s="686">
        <f t="shared" si="812"/>
        <v>5.24</v>
      </c>
      <c r="R1505" s="686" t="str">
        <f t="shared" si="813"/>
        <v>-</v>
      </c>
      <c r="S1505" s="686" t="str">
        <f t="shared" si="814"/>
        <v>-</v>
      </c>
      <c r="T1505" s="686" t="str">
        <f t="shared" si="815"/>
        <v>-</v>
      </c>
      <c r="U1505" s="723" t="str">
        <f t="shared" si="816"/>
        <v>-</v>
      </c>
      <c r="V1505" s="695" t="str">
        <f t="shared" si="817"/>
        <v>-</v>
      </c>
      <c r="W1505" s="711"/>
    </row>
    <row r="1506" spans="1:23" ht="16.5" hidden="1" outlineLevel="1">
      <c r="A1506" s="726"/>
      <c r="B1506" s="726" t="s">
        <v>393</v>
      </c>
      <c r="C1506" s="727">
        <v>10</v>
      </c>
      <c r="D1506" s="690"/>
      <c r="E1506" s="720" t="s">
        <v>1557</v>
      </c>
      <c r="F1506" s="685">
        <v>1</v>
      </c>
      <c r="G1506" s="239">
        <v>2</v>
      </c>
      <c r="H1506" s="203">
        <v>2</v>
      </c>
      <c r="I1506" s="198">
        <f>C1506*10</f>
        <v>100</v>
      </c>
      <c r="J1506" s="171">
        <f>1200-50</f>
        <v>1150</v>
      </c>
      <c r="K1506" s="198">
        <v>100</v>
      </c>
      <c r="L1506" s="198"/>
      <c r="M1506" s="198"/>
      <c r="N1506" s="721">
        <f t="shared" si="809"/>
        <v>1310</v>
      </c>
      <c r="O1506" s="721">
        <f t="shared" si="810"/>
        <v>0</v>
      </c>
      <c r="P1506" s="722" t="str">
        <f t="shared" si="811"/>
        <v>-</v>
      </c>
      <c r="Q1506" s="686">
        <f t="shared" si="812"/>
        <v>5.24</v>
      </c>
      <c r="R1506" s="686" t="str">
        <f t="shared" si="813"/>
        <v>-</v>
      </c>
      <c r="S1506" s="686" t="str">
        <f t="shared" si="814"/>
        <v>-</v>
      </c>
      <c r="T1506" s="686" t="str">
        <f t="shared" si="815"/>
        <v>-</v>
      </c>
      <c r="U1506" s="723" t="str">
        <f t="shared" si="816"/>
        <v>-</v>
      </c>
      <c r="V1506" s="695" t="str">
        <f t="shared" si="817"/>
        <v>-</v>
      </c>
      <c r="W1506" s="711"/>
    </row>
    <row r="1507" spans="1:23" ht="16.5" hidden="1" outlineLevel="1">
      <c r="A1507" s="726"/>
      <c r="B1507" s="726" t="s">
        <v>394</v>
      </c>
      <c r="C1507" s="727">
        <v>8</v>
      </c>
      <c r="D1507" s="690"/>
      <c r="E1507" s="691" t="s">
        <v>1558</v>
      </c>
      <c r="F1507" s="685">
        <v>1</v>
      </c>
      <c r="G1507" s="239">
        <v>2</v>
      </c>
      <c r="H1507" s="203">
        <f>((J1505)/200)+1</f>
        <v>6.75</v>
      </c>
      <c r="I1507" s="198">
        <v>180</v>
      </c>
      <c r="J1507" s="198">
        <v>150</v>
      </c>
      <c r="K1507" s="198">
        <v>180</v>
      </c>
      <c r="L1507" s="198">
        <v>150</v>
      </c>
      <c r="M1507" s="198"/>
      <c r="N1507" s="721">
        <f t="shared" si="809"/>
        <v>740</v>
      </c>
      <c r="O1507" s="721">
        <f t="shared" si="810"/>
        <v>0</v>
      </c>
      <c r="P1507" s="722">
        <f t="shared" si="811"/>
        <v>9.99</v>
      </c>
      <c r="Q1507" s="686" t="str">
        <f t="shared" si="812"/>
        <v>-</v>
      </c>
      <c r="R1507" s="686" t="str">
        <f t="shared" si="813"/>
        <v>-</v>
      </c>
      <c r="S1507" s="686" t="str">
        <f t="shared" si="814"/>
        <v>-</v>
      </c>
      <c r="T1507" s="686" t="str">
        <f t="shared" si="815"/>
        <v>-</v>
      </c>
      <c r="U1507" s="723" t="str">
        <f t="shared" si="816"/>
        <v>-</v>
      </c>
      <c r="V1507" s="695" t="str">
        <f t="shared" si="817"/>
        <v>-</v>
      </c>
      <c r="W1507" s="711"/>
    </row>
    <row r="1508" spans="1:23" ht="16.5" hidden="1" outlineLevel="1">
      <c r="A1508" s="195"/>
      <c r="B1508" s="172"/>
      <c r="C1508" s="196"/>
      <c r="D1508" s="685"/>
      <c r="E1508" s="196"/>
      <c r="F1508" s="685"/>
      <c r="G1508" s="204"/>
      <c r="H1508" s="203"/>
      <c r="I1508" s="198"/>
      <c r="J1508" s="198"/>
      <c r="K1508" s="198"/>
      <c r="L1508" s="198"/>
      <c r="M1508" s="198"/>
      <c r="N1508" s="721" t="str">
        <f t="shared" si="809"/>
        <v>-</v>
      </c>
      <c r="O1508" s="721" t="str">
        <f t="shared" si="810"/>
        <v/>
      </c>
      <c r="P1508" s="722" t="str">
        <f t="shared" si="811"/>
        <v>-</v>
      </c>
      <c r="Q1508" s="686" t="str">
        <f t="shared" si="812"/>
        <v>-</v>
      </c>
      <c r="R1508" s="686" t="str">
        <f t="shared" si="813"/>
        <v>-</v>
      </c>
      <c r="S1508" s="686" t="str">
        <f t="shared" si="814"/>
        <v>-</v>
      </c>
      <c r="T1508" s="686" t="str">
        <f t="shared" si="815"/>
        <v>-</v>
      </c>
      <c r="U1508" s="723" t="str">
        <f t="shared" si="816"/>
        <v>-</v>
      </c>
      <c r="V1508" s="695" t="str">
        <f t="shared" si="817"/>
        <v>-</v>
      </c>
      <c r="W1508" s="711"/>
    </row>
    <row r="1509" spans="1:23" ht="66" hidden="1" outlineLevel="1">
      <c r="A1509" s="747">
        <v>3</v>
      </c>
      <c r="B1509" s="748" t="s">
        <v>1331</v>
      </c>
      <c r="C1509" s="196"/>
      <c r="D1509" s="685"/>
      <c r="E1509" s="196"/>
      <c r="F1509" s="685"/>
      <c r="G1509" s="204"/>
      <c r="H1509" s="203"/>
      <c r="I1509" s="198"/>
      <c r="J1509" s="198"/>
      <c r="K1509" s="198"/>
      <c r="L1509" s="198"/>
      <c r="M1509" s="198"/>
      <c r="N1509" s="721" t="str">
        <f t="shared" si="809"/>
        <v>-</v>
      </c>
      <c r="O1509" s="721" t="str">
        <f t="shared" si="810"/>
        <v/>
      </c>
      <c r="P1509" s="722" t="str">
        <f t="shared" si="811"/>
        <v>-</v>
      </c>
      <c r="Q1509" s="686" t="str">
        <f t="shared" si="812"/>
        <v>-</v>
      </c>
      <c r="R1509" s="686" t="str">
        <f t="shared" si="813"/>
        <v>-</v>
      </c>
      <c r="S1509" s="686" t="str">
        <f t="shared" si="814"/>
        <v>-</v>
      </c>
      <c r="T1509" s="686" t="str">
        <f t="shared" si="815"/>
        <v>-</v>
      </c>
      <c r="U1509" s="723" t="str">
        <f t="shared" si="816"/>
        <v>-</v>
      </c>
      <c r="V1509" s="695" t="str">
        <f t="shared" si="817"/>
        <v>-</v>
      </c>
      <c r="W1509" s="711"/>
    </row>
    <row r="1510" spans="1:23" ht="33" hidden="1" outlineLevel="1">
      <c r="A1510" s="195"/>
      <c r="B1510" s="172" t="s">
        <v>959</v>
      </c>
      <c r="C1510" s="196"/>
      <c r="D1510" s="685"/>
      <c r="E1510" s="196"/>
      <c r="F1510" s="685"/>
      <c r="G1510" s="204"/>
      <c r="H1510" s="203"/>
      <c r="I1510" s="198"/>
      <c r="J1510" s="198"/>
      <c r="K1510" s="198"/>
      <c r="L1510" s="198"/>
      <c r="M1510" s="198"/>
      <c r="N1510" s="721" t="str">
        <f t="shared" si="809"/>
        <v>-</v>
      </c>
      <c r="O1510" s="721" t="str">
        <f t="shared" si="810"/>
        <v/>
      </c>
      <c r="P1510" s="722" t="str">
        <f t="shared" si="811"/>
        <v>-</v>
      </c>
      <c r="Q1510" s="686" t="str">
        <f t="shared" si="812"/>
        <v>-</v>
      </c>
      <c r="R1510" s="686" t="str">
        <f t="shared" si="813"/>
        <v>-</v>
      </c>
      <c r="S1510" s="686" t="str">
        <f t="shared" si="814"/>
        <v>-</v>
      </c>
      <c r="T1510" s="686" t="str">
        <f t="shared" si="815"/>
        <v>-</v>
      </c>
      <c r="U1510" s="723" t="str">
        <f t="shared" si="816"/>
        <v>-</v>
      </c>
      <c r="V1510" s="695" t="str">
        <f t="shared" si="817"/>
        <v>-</v>
      </c>
      <c r="W1510" s="711"/>
    </row>
    <row r="1511" spans="1:23" ht="16.5" hidden="1" outlineLevel="1">
      <c r="A1511" s="195">
        <v>3</v>
      </c>
      <c r="B1511" s="751" t="s">
        <v>1310</v>
      </c>
      <c r="C1511" s="196"/>
      <c r="D1511" s="685"/>
      <c r="E1511" s="196"/>
      <c r="F1511" s="685"/>
      <c r="G1511" s="204"/>
      <c r="H1511" s="203"/>
      <c r="I1511" s="198"/>
      <c r="J1511" s="198"/>
      <c r="K1511" s="198"/>
      <c r="L1511" s="198"/>
      <c r="M1511" s="198"/>
      <c r="N1511" s="721" t="str">
        <f t="shared" si="809"/>
        <v>-</v>
      </c>
      <c r="O1511" s="721" t="str">
        <f t="shared" si="810"/>
        <v/>
      </c>
      <c r="P1511" s="722" t="str">
        <f t="shared" si="811"/>
        <v>-</v>
      </c>
      <c r="Q1511" s="686" t="str">
        <f t="shared" si="812"/>
        <v>-</v>
      </c>
      <c r="R1511" s="686" t="str">
        <f t="shared" si="813"/>
        <v>-</v>
      </c>
      <c r="S1511" s="686" t="str">
        <f t="shared" si="814"/>
        <v>-</v>
      </c>
      <c r="T1511" s="686" t="str">
        <f t="shared" si="815"/>
        <v>-</v>
      </c>
      <c r="U1511" s="723" t="str">
        <f t="shared" si="816"/>
        <v>-</v>
      </c>
      <c r="V1511" s="695" t="str">
        <f t="shared" si="817"/>
        <v>-</v>
      </c>
      <c r="W1511" s="711"/>
    </row>
    <row r="1512" spans="1:23" ht="16.5" hidden="1" outlineLevel="1">
      <c r="A1512" s="726">
        <v>3.1</v>
      </c>
      <c r="B1512" s="730" t="s">
        <v>1574</v>
      </c>
      <c r="C1512" s="727">
        <v>10</v>
      </c>
      <c r="D1512" s="690"/>
      <c r="E1512" s="720" t="s">
        <v>1557</v>
      </c>
      <c r="F1512" s="685">
        <v>1</v>
      </c>
      <c r="G1512" s="239">
        <v>2</v>
      </c>
      <c r="H1512" s="203">
        <v>2</v>
      </c>
      <c r="I1512" s="198">
        <f>C1512*10</f>
        <v>100</v>
      </c>
      <c r="J1512" s="198">
        <f>6310-50</f>
        <v>6260</v>
      </c>
      <c r="K1512" s="198">
        <v>100</v>
      </c>
      <c r="L1512" s="198"/>
      <c r="M1512" s="198"/>
      <c r="N1512" s="721">
        <f t="shared" si="809"/>
        <v>6420</v>
      </c>
      <c r="O1512" s="721">
        <f t="shared" si="810"/>
        <v>0</v>
      </c>
      <c r="P1512" s="722" t="str">
        <f t="shared" si="811"/>
        <v>-</v>
      </c>
      <c r="Q1512" s="686">
        <f t="shared" si="812"/>
        <v>25.68</v>
      </c>
      <c r="R1512" s="686" t="str">
        <f t="shared" si="813"/>
        <v>-</v>
      </c>
      <c r="S1512" s="686" t="str">
        <f t="shared" si="814"/>
        <v>-</v>
      </c>
      <c r="T1512" s="686" t="str">
        <f t="shared" si="815"/>
        <v>-</v>
      </c>
      <c r="U1512" s="723" t="str">
        <f t="shared" si="816"/>
        <v>-</v>
      </c>
      <c r="V1512" s="695" t="str">
        <f t="shared" si="817"/>
        <v>-</v>
      </c>
      <c r="W1512" s="711"/>
    </row>
    <row r="1513" spans="1:23" ht="16.5" hidden="1" outlineLevel="1">
      <c r="A1513" s="726"/>
      <c r="B1513" s="726" t="s">
        <v>393</v>
      </c>
      <c r="C1513" s="727">
        <v>10</v>
      </c>
      <c r="D1513" s="690"/>
      <c r="E1513" s="720" t="s">
        <v>1557</v>
      </c>
      <c r="F1513" s="685">
        <v>1</v>
      </c>
      <c r="G1513" s="239">
        <v>2</v>
      </c>
      <c r="H1513" s="203">
        <v>2</v>
      </c>
      <c r="I1513" s="198">
        <f>C1513*10</f>
        <v>100</v>
      </c>
      <c r="J1513" s="198">
        <f>6310-50</f>
        <v>6260</v>
      </c>
      <c r="K1513" s="198">
        <v>100</v>
      </c>
      <c r="L1513" s="198"/>
      <c r="M1513" s="198"/>
      <c r="N1513" s="721">
        <f t="shared" si="809"/>
        <v>6420</v>
      </c>
      <c r="O1513" s="721">
        <f t="shared" si="810"/>
        <v>0</v>
      </c>
      <c r="P1513" s="722" t="str">
        <f t="shared" si="811"/>
        <v>-</v>
      </c>
      <c r="Q1513" s="686">
        <f t="shared" si="812"/>
        <v>25.68</v>
      </c>
      <c r="R1513" s="686" t="str">
        <f t="shared" si="813"/>
        <v>-</v>
      </c>
      <c r="S1513" s="686" t="str">
        <f t="shared" si="814"/>
        <v>-</v>
      </c>
      <c r="T1513" s="686" t="str">
        <f t="shared" si="815"/>
        <v>-</v>
      </c>
      <c r="U1513" s="723" t="str">
        <f t="shared" si="816"/>
        <v>-</v>
      </c>
      <c r="V1513" s="695" t="str">
        <f t="shared" si="817"/>
        <v>-</v>
      </c>
      <c r="W1513" s="711"/>
    </row>
    <row r="1514" spans="1:23" ht="16.5" hidden="1" outlineLevel="1">
      <c r="A1514" s="726"/>
      <c r="B1514" s="726" t="s">
        <v>394</v>
      </c>
      <c r="C1514" s="727">
        <v>8</v>
      </c>
      <c r="D1514" s="690"/>
      <c r="E1514" s="691" t="s">
        <v>1558</v>
      </c>
      <c r="F1514" s="685">
        <v>1</v>
      </c>
      <c r="G1514" s="239">
        <v>2</v>
      </c>
      <c r="H1514" s="203">
        <f>((J1512)/200)+1</f>
        <v>32.299999999999997</v>
      </c>
      <c r="I1514" s="198">
        <v>180</v>
      </c>
      <c r="J1514" s="198">
        <v>150</v>
      </c>
      <c r="K1514" s="198">
        <v>180</v>
      </c>
      <c r="L1514" s="198">
        <v>150</v>
      </c>
      <c r="M1514" s="198"/>
      <c r="N1514" s="721">
        <f t="shared" si="809"/>
        <v>740</v>
      </c>
      <c r="O1514" s="721">
        <f t="shared" si="810"/>
        <v>0</v>
      </c>
      <c r="P1514" s="722">
        <f t="shared" si="811"/>
        <v>47.804000000000002</v>
      </c>
      <c r="Q1514" s="686" t="str">
        <f t="shared" si="812"/>
        <v>-</v>
      </c>
      <c r="R1514" s="686" t="str">
        <f t="shared" si="813"/>
        <v>-</v>
      </c>
      <c r="S1514" s="686" t="str">
        <f t="shared" si="814"/>
        <v>-</v>
      </c>
      <c r="T1514" s="686" t="str">
        <f t="shared" si="815"/>
        <v>-</v>
      </c>
      <c r="U1514" s="723" t="str">
        <f t="shared" si="816"/>
        <v>-</v>
      </c>
      <c r="V1514" s="695" t="str">
        <f t="shared" si="817"/>
        <v>-</v>
      </c>
      <c r="W1514" s="711"/>
    </row>
    <row r="1515" spans="1:23" ht="16.5" hidden="1" outlineLevel="1">
      <c r="A1515" s="195"/>
      <c r="B1515" s="172"/>
      <c r="C1515" s="196"/>
      <c r="D1515" s="685"/>
      <c r="E1515" s="196"/>
      <c r="F1515" s="685"/>
      <c r="G1515" s="204"/>
      <c r="H1515" s="203"/>
      <c r="I1515" s="198"/>
      <c r="J1515" s="198"/>
      <c r="K1515" s="198"/>
      <c r="L1515" s="198"/>
      <c r="M1515" s="198"/>
      <c r="N1515" s="721" t="str">
        <f t="shared" si="809"/>
        <v>-</v>
      </c>
      <c r="O1515" s="721" t="str">
        <f t="shared" si="810"/>
        <v/>
      </c>
      <c r="P1515" s="722" t="str">
        <f t="shared" si="811"/>
        <v>-</v>
      </c>
      <c r="Q1515" s="686" t="str">
        <f t="shared" si="812"/>
        <v>-</v>
      </c>
      <c r="R1515" s="686" t="str">
        <f t="shared" si="813"/>
        <v>-</v>
      </c>
      <c r="S1515" s="686" t="str">
        <f t="shared" si="814"/>
        <v>-</v>
      </c>
      <c r="T1515" s="686" t="str">
        <f t="shared" si="815"/>
        <v>-</v>
      </c>
      <c r="U1515" s="723" t="str">
        <f t="shared" si="816"/>
        <v>-</v>
      </c>
      <c r="V1515" s="695" t="str">
        <f t="shared" si="817"/>
        <v>-</v>
      </c>
      <c r="W1515" s="711"/>
    </row>
    <row r="1516" spans="1:23" ht="16.5" hidden="1" outlineLevel="1">
      <c r="A1516" s="726">
        <v>3.2</v>
      </c>
      <c r="B1516" s="730" t="s">
        <v>1574</v>
      </c>
      <c r="C1516" s="727">
        <v>10</v>
      </c>
      <c r="D1516" s="690"/>
      <c r="E1516" s="720" t="s">
        <v>1557</v>
      </c>
      <c r="F1516" s="685">
        <v>1</v>
      </c>
      <c r="G1516" s="239">
        <v>2</v>
      </c>
      <c r="H1516" s="203">
        <v>2</v>
      </c>
      <c r="I1516" s="198">
        <f>C1516*10</f>
        <v>100</v>
      </c>
      <c r="J1516" s="171">
        <f>1200-50</f>
        <v>1150</v>
      </c>
      <c r="K1516" s="198">
        <v>100</v>
      </c>
      <c r="L1516" s="198"/>
      <c r="M1516" s="198"/>
      <c r="N1516" s="721">
        <f t="shared" si="809"/>
        <v>1310</v>
      </c>
      <c r="O1516" s="721">
        <f t="shared" si="810"/>
        <v>0</v>
      </c>
      <c r="P1516" s="722" t="str">
        <f t="shared" si="811"/>
        <v>-</v>
      </c>
      <c r="Q1516" s="686">
        <f t="shared" si="812"/>
        <v>5.24</v>
      </c>
      <c r="R1516" s="686" t="str">
        <f t="shared" si="813"/>
        <v>-</v>
      </c>
      <c r="S1516" s="686" t="str">
        <f t="shared" si="814"/>
        <v>-</v>
      </c>
      <c r="T1516" s="686" t="str">
        <f t="shared" si="815"/>
        <v>-</v>
      </c>
      <c r="U1516" s="723" t="str">
        <f t="shared" si="816"/>
        <v>-</v>
      </c>
      <c r="V1516" s="695" t="str">
        <f t="shared" si="817"/>
        <v>-</v>
      </c>
      <c r="W1516" s="711"/>
    </row>
    <row r="1517" spans="1:23" ht="16.5" hidden="1" outlineLevel="1">
      <c r="A1517" s="726"/>
      <c r="B1517" s="726" t="s">
        <v>393</v>
      </c>
      <c r="C1517" s="727">
        <v>10</v>
      </c>
      <c r="D1517" s="690"/>
      <c r="E1517" s="720" t="s">
        <v>1557</v>
      </c>
      <c r="F1517" s="685">
        <v>1</v>
      </c>
      <c r="G1517" s="239">
        <v>2</v>
      </c>
      <c r="H1517" s="203">
        <v>2</v>
      </c>
      <c r="I1517" s="198">
        <f>C1517*10</f>
        <v>100</v>
      </c>
      <c r="J1517" s="171">
        <f>1200-50</f>
        <v>1150</v>
      </c>
      <c r="K1517" s="198">
        <v>100</v>
      </c>
      <c r="L1517" s="198"/>
      <c r="M1517" s="198"/>
      <c r="N1517" s="721">
        <f t="shared" si="809"/>
        <v>1310</v>
      </c>
      <c r="O1517" s="721">
        <f t="shared" si="810"/>
        <v>0</v>
      </c>
      <c r="P1517" s="722" t="str">
        <f t="shared" si="811"/>
        <v>-</v>
      </c>
      <c r="Q1517" s="686">
        <f t="shared" si="812"/>
        <v>5.24</v>
      </c>
      <c r="R1517" s="686" t="str">
        <f t="shared" si="813"/>
        <v>-</v>
      </c>
      <c r="S1517" s="686" t="str">
        <f t="shared" si="814"/>
        <v>-</v>
      </c>
      <c r="T1517" s="686" t="str">
        <f t="shared" si="815"/>
        <v>-</v>
      </c>
      <c r="U1517" s="723" t="str">
        <f t="shared" si="816"/>
        <v>-</v>
      </c>
      <c r="V1517" s="695" t="str">
        <f t="shared" si="817"/>
        <v>-</v>
      </c>
      <c r="W1517" s="711"/>
    </row>
    <row r="1518" spans="1:23" ht="16.5" hidden="1" outlineLevel="1">
      <c r="A1518" s="726"/>
      <c r="B1518" s="726" t="s">
        <v>394</v>
      </c>
      <c r="C1518" s="727">
        <v>8</v>
      </c>
      <c r="D1518" s="690"/>
      <c r="E1518" s="691" t="s">
        <v>1558</v>
      </c>
      <c r="F1518" s="685">
        <v>1</v>
      </c>
      <c r="G1518" s="239">
        <v>2</v>
      </c>
      <c r="H1518" s="203">
        <f>((J1516)/200)+1</f>
        <v>6.75</v>
      </c>
      <c r="I1518" s="198">
        <v>180</v>
      </c>
      <c r="J1518" s="198">
        <v>150</v>
      </c>
      <c r="K1518" s="198">
        <v>180</v>
      </c>
      <c r="L1518" s="198">
        <v>150</v>
      </c>
      <c r="M1518" s="198"/>
      <c r="N1518" s="721">
        <f t="shared" si="809"/>
        <v>740</v>
      </c>
      <c r="O1518" s="721">
        <f t="shared" si="810"/>
        <v>0</v>
      </c>
      <c r="P1518" s="722">
        <f t="shared" si="811"/>
        <v>9.99</v>
      </c>
      <c r="Q1518" s="686" t="str">
        <f t="shared" si="812"/>
        <v>-</v>
      </c>
      <c r="R1518" s="686" t="str">
        <f t="shared" si="813"/>
        <v>-</v>
      </c>
      <c r="S1518" s="686" t="str">
        <f t="shared" si="814"/>
        <v>-</v>
      </c>
      <c r="T1518" s="686" t="str">
        <f t="shared" si="815"/>
        <v>-</v>
      </c>
      <c r="U1518" s="723" t="str">
        <f t="shared" si="816"/>
        <v>-</v>
      </c>
      <c r="V1518" s="695" t="str">
        <f t="shared" si="817"/>
        <v>-</v>
      </c>
      <c r="W1518" s="711"/>
    </row>
    <row r="1519" spans="1:23" ht="16.5" hidden="1" outlineLevel="1">
      <c r="A1519" s="195"/>
      <c r="B1519" s="172"/>
      <c r="C1519" s="196"/>
      <c r="D1519" s="685"/>
      <c r="E1519" s="196"/>
      <c r="F1519" s="685"/>
      <c r="G1519" s="204"/>
      <c r="H1519" s="203"/>
      <c r="I1519" s="198"/>
      <c r="J1519" s="198"/>
      <c r="K1519" s="198"/>
      <c r="L1519" s="198"/>
      <c r="M1519" s="198"/>
      <c r="N1519" s="721" t="str">
        <f t="shared" si="809"/>
        <v>-</v>
      </c>
      <c r="O1519" s="721" t="str">
        <f t="shared" si="810"/>
        <v/>
      </c>
      <c r="P1519" s="722" t="str">
        <f t="shared" si="811"/>
        <v>-</v>
      </c>
      <c r="Q1519" s="686" t="str">
        <f t="shared" si="812"/>
        <v>-</v>
      </c>
      <c r="R1519" s="686" t="str">
        <f t="shared" si="813"/>
        <v>-</v>
      </c>
      <c r="S1519" s="686" t="str">
        <f t="shared" si="814"/>
        <v>-</v>
      </c>
      <c r="T1519" s="686" t="str">
        <f t="shared" si="815"/>
        <v>-</v>
      </c>
      <c r="U1519" s="723" t="str">
        <f t="shared" si="816"/>
        <v>-</v>
      </c>
      <c r="V1519" s="695" t="str">
        <f t="shared" si="817"/>
        <v>-</v>
      </c>
      <c r="W1519" s="711"/>
    </row>
    <row r="1520" spans="1:23" ht="16.5" hidden="1" outlineLevel="1">
      <c r="A1520" s="726">
        <v>3.3</v>
      </c>
      <c r="B1520" s="730" t="s">
        <v>1617</v>
      </c>
      <c r="C1520" s="727">
        <v>10</v>
      </c>
      <c r="D1520" s="690"/>
      <c r="E1520" s="720" t="s">
        <v>1557</v>
      </c>
      <c r="F1520" s="685">
        <v>1</v>
      </c>
      <c r="G1520" s="239">
        <v>2</v>
      </c>
      <c r="H1520" s="203">
        <v>2</v>
      </c>
      <c r="I1520" s="198">
        <f>C1520*10</f>
        <v>100</v>
      </c>
      <c r="J1520" s="845">
        <v>4935</v>
      </c>
      <c r="K1520" s="198">
        <v>100</v>
      </c>
      <c r="L1520" s="198"/>
      <c r="M1520" s="198"/>
      <c r="N1520" s="721">
        <f t="shared" si="809"/>
        <v>5095</v>
      </c>
      <c r="O1520" s="721">
        <f t="shared" si="810"/>
        <v>0</v>
      </c>
      <c r="P1520" s="722" t="str">
        <f t="shared" si="811"/>
        <v>-</v>
      </c>
      <c r="Q1520" s="686">
        <f t="shared" si="812"/>
        <v>20.38</v>
      </c>
      <c r="R1520" s="686" t="str">
        <f t="shared" si="813"/>
        <v>-</v>
      </c>
      <c r="S1520" s="686" t="str">
        <f t="shared" si="814"/>
        <v>-</v>
      </c>
      <c r="T1520" s="686" t="str">
        <f t="shared" si="815"/>
        <v>-</v>
      </c>
      <c r="U1520" s="723" t="str">
        <f t="shared" si="816"/>
        <v>-</v>
      </c>
      <c r="V1520" s="695" t="str">
        <f t="shared" si="817"/>
        <v>-</v>
      </c>
      <c r="W1520" s="711"/>
    </row>
    <row r="1521" spans="1:23" ht="16.5" hidden="1" outlineLevel="1">
      <c r="A1521" s="726"/>
      <c r="B1521" s="726" t="s">
        <v>393</v>
      </c>
      <c r="C1521" s="727">
        <v>10</v>
      </c>
      <c r="D1521" s="690"/>
      <c r="E1521" s="720" t="s">
        <v>1557</v>
      </c>
      <c r="F1521" s="685">
        <v>1</v>
      </c>
      <c r="G1521" s="239">
        <v>2</v>
      </c>
      <c r="H1521" s="203">
        <v>2</v>
      </c>
      <c r="I1521" s="198">
        <f>C1521*10</f>
        <v>100</v>
      </c>
      <c r="J1521" s="845">
        <v>4935</v>
      </c>
      <c r="K1521" s="198">
        <v>100</v>
      </c>
      <c r="L1521" s="198"/>
      <c r="M1521" s="198"/>
      <c r="N1521" s="721">
        <f t="shared" si="809"/>
        <v>5095</v>
      </c>
      <c r="O1521" s="721">
        <f t="shared" si="810"/>
        <v>0</v>
      </c>
      <c r="P1521" s="722" t="str">
        <f t="shared" si="811"/>
        <v>-</v>
      </c>
      <c r="Q1521" s="686">
        <f t="shared" si="812"/>
        <v>20.38</v>
      </c>
      <c r="R1521" s="686" t="str">
        <f t="shared" si="813"/>
        <v>-</v>
      </c>
      <c r="S1521" s="686" t="str">
        <f t="shared" si="814"/>
        <v>-</v>
      </c>
      <c r="T1521" s="686" t="str">
        <f t="shared" si="815"/>
        <v>-</v>
      </c>
      <c r="U1521" s="723" t="str">
        <f t="shared" si="816"/>
        <v>-</v>
      </c>
      <c r="V1521" s="695" t="str">
        <f t="shared" si="817"/>
        <v>-</v>
      </c>
      <c r="W1521" s="711"/>
    </row>
    <row r="1522" spans="1:23" ht="16.5" hidden="1" outlineLevel="1">
      <c r="A1522" s="726"/>
      <c r="B1522" s="726" t="s">
        <v>394</v>
      </c>
      <c r="C1522" s="727">
        <v>8</v>
      </c>
      <c r="D1522" s="690"/>
      <c r="E1522" s="691" t="s">
        <v>1558</v>
      </c>
      <c r="F1522" s="685">
        <v>1</v>
      </c>
      <c r="G1522" s="239">
        <v>2</v>
      </c>
      <c r="H1522" s="249">
        <f>((J1520)/200)+1</f>
        <v>25.675000000000001</v>
      </c>
      <c r="I1522" s="198">
        <v>180</v>
      </c>
      <c r="J1522" s="198">
        <v>150</v>
      </c>
      <c r="K1522" s="198">
        <v>180</v>
      </c>
      <c r="L1522" s="198">
        <v>150</v>
      </c>
      <c r="M1522" s="198"/>
      <c r="N1522" s="721">
        <f t="shared" si="809"/>
        <v>740</v>
      </c>
      <c r="O1522" s="721">
        <f t="shared" si="810"/>
        <v>0</v>
      </c>
      <c r="P1522" s="722">
        <f t="shared" si="811"/>
        <v>37.999000000000002</v>
      </c>
      <c r="Q1522" s="686" t="str">
        <f t="shared" si="812"/>
        <v>-</v>
      </c>
      <c r="R1522" s="686" t="str">
        <f t="shared" si="813"/>
        <v>-</v>
      </c>
      <c r="S1522" s="686" t="str">
        <f t="shared" si="814"/>
        <v>-</v>
      </c>
      <c r="T1522" s="686" t="str">
        <f t="shared" si="815"/>
        <v>-</v>
      </c>
      <c r="U1522" s="723" t="str">
        <f t="shared" si="816"/>
        <v>-</v>
      </c>
      <c r="V1522" s="695" t="str">
        <f t="shared" si="817"/>
        <v>-</v>
      </c>
      <c r="W1522" s="711"/>
    </row>
    <row r="1523" spans="1:23" ht="16.5" hidden="1" outlineLevel="1">
      <c r="A1523" s="195"/>
      <c r="B1523" s="172"/>
      <c r="C1523" s="196"/>
      <c r="D1523" s="685"/>
      <c r="E1523" s="196"/>
      <c r="F1523" s="685"/>
      <c r="G1523" s="204"/>
      <c r="H1523" s="203"/>
      <c r="I1523" s="198"/>
      <c r="J1523" s="198"/>
      <c r="K1523" s="198"/>
      <c r="L1523" s="198"/>
      <c r="M1523" s="198"/>
      <c r="N1523" s="721" t="str">
        <f t="shared" si="809"/>
        <v>-</v>
      </c>
      <c r="O1523" s="721" t="str">
        <f t="shared" si="810"/>
        <v/>
      </c>
      <c r="P1523" s="722" t="str">
        <f t="shared" si="811"/>
        <v>-</v>
      </c>
      <c r="Q1523" s="686" t="str">
        <f t="shared" si="812"/>
        <v>-</v>
      </c>
      <c r="R1523" s="686" t="str">
        <f t="shared" si="813"/>
        <v>-</v>
      </c>
      <c r="S1523" s="686" t="str">
        <f t="shared" si="814"/>
        <v>-</v>
      </c>
      <c r="T1523" s="686" t="str">
        <f t="shared" si="815"/>
        <v>-</v>
      </c>
      <c r="U1523" s="723" t="str">
        <f t="shared" si="816"/>
        <v>-</v>
      </c>
      <c r="V1523" s="695" t="str">
        <f t="shared" si="817"/>
        <v>-</v>
      </c>
      <c r="W1523" s="711"/>
    </row>
    <row r="1524" spans="1:23" ht="16.5" hidden="1" outlineLevel="1">
      <c r="A1524" s="726">
        <v>3.4</v>
      </c>
      <c r="B1524" s="730" t="s">
        <v>1618</v>
      </c>
      <c r="C1524" s="727">
        <v>10</v>
      </c>
      <c r="D1524" s="690"/>
      <c r="E1524" s="720" t="s">
        <v>1557</v>
      </c>
      <c r="F1524" s="685">
        <v>1</v>
      </c>
      <c r="G1524" s="239">
        <v>2</v>
      </c>
      <c r="H1524" s="203">
        <v>2</v>
      </c>
      <c r="I1524" s="198">
        <f>C1524*10</f>
        <v>100</v>
      </c>
      <c r="J1524" s="171">
        <f>1200-50</f>
        <v>1150</v>
      </c>
      <c r="K1524" s="198">
        <v>100</v>
      </c>
      <c r="L1524" s="198"/>
      <c r="M1524" s="198"/>
      <c r="N1524" s="721">
        <f t="shared" si="809"/>
        <v>1310</v>
      </c>
      <c r="O1524" s="721">
        <f t="shared" si="810"/>
        <v>0</v>
      </c>
      <c r="P1524" s="722" t="str">
        <f t="shared" si="811"/>
        <v>-</v>
      </c>
      <c r="Q1524" s="686">
        <f t="shared" si="812"/>
        <v>5.24</v>
      </c>
      <c r="R1524" s="686" t="str">
        <f t="shared" si="813"/>
        <v>-</v>
      </c>
      <c r="S1524" s="686" t="str">
        <f t="shared" si="814"/>
        <v>-</v>
      </c>
      <c r="T1524" s="686" t="str">
        <f t="shared" si="815"/>
        <v>-</v>
      </c>
      <c r="U1524" s="723" t="str">
        <f t="shared" si="816"/>
        <v>-</v>
      </c>
      <c r="V1524" s="695" t="str">
        <f t="shared" si="817"/>
        <v>-</v>
      </c>
      <c r="W1524" s="711"/>
    </row>
    <row r="1525" spans="1:23" ht="16.5" hidden="1" outlineLevel="1">
      <c r="A1525" s="726"/>
      <c r="B1525" s="726" t="s">
        <v>393</v>
      </c>
      <c r="C1525" s="727">
        <v>10</v>
      </c>
      <c r="D1525" s="690"/>
      <c r="E1525" s="720" t="s">
        <v>1557</v>
      </c>
      <c r="F1525" s="685">
        <v>1</v>
      </c>
      <c r="G1525" s="239">
        <v>2</v>
      </c>
      <c r="H1525" s="203">
        <v>2</v>
      </c>
      <c r="I1525" s="198">
        <f>C1525*10</f>
        <v>100</v>
      </c>
      <c r="J1525" s="171">
        <f>1200-50</f>
        <v>1150</v>
      </c>
      <c r="K1525" s="198">
        <v>100</v>
      </c>
      <c r="L1525" s="198"/>
      <c r="M1525" s="198"/>
      <c r="N1525" s="721">
        <f t="shared" si="809"/>
        <v>1310</v>
      </c>
      <c r="O1525" s="721">
        <f t="shared" si="810"/>
        <v>0</v>
      </c>
      <c r="P1525" s="722" t="str">
        <f t="shared" si="811"/>
        <v>-</v>
      </c>
      <c r="Q1525" s="686">
        <f t="shared" si="812"/>
        <v>5.24</v>
      </c>
      <c r="R1525" s="686" t="str">
        <f t="shared" si="813"/>
        <v>-</v>
      </c>
      <c r="S1525" s="686" t="str">
        <f t="shared" si="814"/>
        <v>-</v>
      </c>
      <c r="T1525" s="686" t="str">
        <f t="shared" si="815"/>
        <v>-</v>
      </c>
      <c r="U1525" s="723" t="str">
        <f t="shared" si="816"/>
        <v>-</v>
      </c>
      <c r="V1525" s="695" t="str">
        <f t="shared" si="817"/>
        <v>-</v>
      </c>
      <c r="W1525" s="711"/>
    </row>
    <row r="1526" spans="1:23" ht="16.5" hidden="1" outlineLevel="1">
      <c r="A1526" s="726"/>
      <c r="B1526" s="726" t="s">
        <v>394</v>
      </c>
      <c r="C1526" s="727">
        <v>8</v>
      </c>
      <c r="D1526" s="690"/>
      <c r="E1526" s="691" t="s">
        <v>1558</v>
      </c>
      <c r="F1526" s="685">
        <v>1</v>
      </c>
      <c r="G1526" s="239">
        <v>2</v>
      </c>
      <c r="H1526" s="203">
        <f>((J1524)/200)+1</f>
        <v>6.75</v>
      </c>
      <c r="I1526" s="198">
        <v>180</v>
      </c>
      <c r="J1526" s="198">
        <v>150</v>
      </c>
      <c r="K1526" s="198">
        <v>180</v>
      </c>
      <c r="L1526" s="198">
        <v>150</v>
      </c>
      <c r="M1526" s="198"/>
      <c r="N1526" s="721">
        <f t="shared" si="809"/>
        <v>740</v>
      </c>
      <c r="O1526" s="721">
        <f t="shared" si="810"/>
        <v>0</v>
      </c>
      <c r="P1526" s="722">
        <f t="shared" si="811"/>
        <v>9.99</v>
      </c>
      <c r="Q1526" s="686" t="str">
        <f t="shared" si="812"/>
        <v>-</v>
      </c>
      <c r="R1526" s="686" t="str">
        <f t="shared" si="813"/>
        <v>-</v>
      </c>
      <c r="S1526" s="686" t="str">
        <f t="shared" si="814"/>
        <v>-</v>
      </c>
      <c r="T1526" s="686" t="str">
        <f t="shared" si="815"/>
        <v>-</v>
      </c>
      <c r="U1526" s="723" t="str">
        <f t="shared" si="816"/>
        <v>-</v>
      </c>
      <c r="V1526" s="695" t="str">
        <f t="shared" si="817"/>
        <v>-</v>
      </c>
      <c r="W1526" s="711"/>
    </row>
    <row r="1527" spans="1:23" ht="16.5" hidden="1" outlineLevel="1">
      <c r="A1527" s="195"/>
      <c r="B1527" s="172"/>
      <c r="C1527" s="196"/>
      <c r="D1527" s="685"/>
      <c r="E1527" s="196"/>
      <c r="F1527" s="685"/>
      <c r="G1527" s="204"/>
      <c r="H1527" s="203"/>
      <c r="I1527" s="198"/>
      <c r="J1527" s="198"/>
      <c r="K1527" s="198"/>
      <c r="L1527" s="198"/>
      <c r="M1527" s="198"/>
      <c r="N1527" s="721" t="str">
        <f t="shared" si="809"/>
        <v>-</v>
      </c>
      <c r="O1527" s="721" t="str">
        <f t="shared" si="810"/>
        <v/>
      </c>
      <c r="P1527" s="722" t="str">
        <f t="shared" si="811"/>
        <v>-</v>
      </c>
      <c r="Q1527" s="686" t="str">
        <f t="shared" si="812"/>
        <v>-</v>
      </c>
      <c r="R1527" s="686" t="str">
        <f t="shared" si="813"/>
        <v>-</v>
      </c>
      <c r="S1527" s="686" t="str">
        <f t="shared" si="814"/>
        <v>-</v>
      </c>
      <c r="T1527" s="686" t="str">
        <f t="shared" si="815"/>
        <v>-</v>
      </c>
      <c r="U1527" s="723" t="str">
        <f t="shared" si="816"/>
        <v>-</v>
      </c>
      <c r="V1527" s="695" t="str">
        <f t="shared" si="817"/>
        <v>-</v>
      </c>
      <c r="W1527" s="711"/>
    </row>
    <row r="1528" spans="1:23" ht="16.5" hidden="1" outlineLevel="1">
      <c r="A1528" s="726">
        <v>3.5</v>
      </c>
      <c r="B1528" s="730" t="s">
        <v>1617</v>
      </c>
      <c r="C1528" s="727">
        <v>10</v>
      </c>
      <c r="D1528" s="690"/>
      <c r="E1528" s="720" t="s">
        <v>1557</v>
      </c>
      <c r="F1528" s="685">
        <v>1</v>
      </c>
      <c r="G1528" s="239">
        <v>2</v>
      </c>
      <c r="H1528" s="203">
        <v>2</v>
      </c>
      <c r="I1528" s="198">
        <f>C1528*10</f>
        <v>100</v>
      </c>
      <c r="J1528" s="171">
        <f>3085-50</f>
        <v>3035</v>
      </c>
      <c r="K1528" s="198">
        <v>100</v>
      </c>
      <c r="L1528" s="198"/>
      <c r="M1528" s="198"/>
      <c r="N1528" s="721">
        <f t="shared" si="809"/>
        <v>3195</v>
      </c>
      <c r="O1528" s="721">
        <f t="shared" si="810"/>
        <v>0</v>
      </c>
      <c r="P1528" s="722" t="str">
        <f t="shared" si="811"/>
        <v>-</v>
      </c>
      <c r="Q1528" s="686">
        <f t="shared" si="812"/>
        <v>12.78</v>
      </c>
      <c r="R1528" s="686" t="str">
        <f t="shared" si="813"/>
        <v>-</v>
      </c>
      <c r="S1528" s="686" t="str">
        <f t="shared" si="814"/>
        <v>-</v>
      </c>
      <c r="T1528" s="686" t="str">
        <f t="shared" si="815"/>
        <v>-</v>
      </c>
      <c r="U1528" s="723" t="str">
        <f t="shared" si="816"/>
        <v>-</v>
      </c>
      <c r="V1528" s="695" t="str">
        <f t="shared" si="817"/>
        <v>-</v>
      </c>
      <c r="W1528" s="711"/>
    </row>
    <row r="1529" spans="1:23" ht="16.5" hidden="1" outlineLevel="1">
      <c r="A1529" s="726"/>
      <c r="B1529" s="726" t="s">
        <v>393</v>
      </c>
      <c r="C1529" s="727">
        <v>10</v>
      </c>
      <c r="D1529" s="690"/>
      <c r="E1529" s="720" t="s">
        <v>1557</v>
      </c>
      <c r="F1529" s="685">
        <v>1</v>
      </c>
      <c r="G1529" s="239">
        <v>2</v>
      </c>
      <c r="H1529" s="203">
        <v>2</v>
      </c>
      <c r="I1529" s="198">
        <f>C1529*10</f>
        <v>100</v>
      </c>
      <c r="J1529" s="171">
        <f>3085-50</f>
        <v>3035</v>
      </c>
      <c r="K1529" s="198">
        <v>100</v>
      </c>
      <c r="L1529" s="198"/>
      <c r="M1529" s="198"/>
      <c r="N1529" s="721">
        <f t="shared" si="809"/>
        <v>3195</v>
      </c>
      <c r="O1529" s="721">
        <f t="shared" si="810"/>
        <v>0</v>
      </c>
      <c r="P1529" s="722" t="str">
        <f t="shared" si="811"/>
        <v>-</v>
      </c>
      <c r="Q1529" s="686">
        <f t="shared" si="812"/>
        <v>12.78</v>
      </c>
      <c r="R1529" s="686" t="str">
        <f t="shared" si="813"/>
        <v>-</v>
      </c>
      <c r="S1529" s="686" t="str">
        <f t="shared" si="814"/>
        <v>-</v>
      </c>
      <c r="T1529" s="686" t="str">
        <f t="shared" si="815"/>
        <v>-</v>
      </c>
      <c r="U1529" s="723" t="str">
        <f t="shared" si="816"/>
        <v>-</v>
      </c>
      <c r="V1529" s="695" t="str">
        <f t="shared" si="817"/>
        <v>-</v>
      </c>
      <c r="W1529" s="711"/>
    </row>
    <row r="1530" spans="1:23" ht="16.5" hidden="1" outlineLevel="1">
      <c r="A1530" s="726"/>
      <c r="B1530" s="726" t="s">
        <v>394</v>
      </c>
      <c r="C1530" s="727">
        <v>8</v>
      </c>
      <c r="D1530" s="690"/>
      <c r="E1530" s="691" t="s">
        <v>1558</v>
      </c>
      <c r="F1530" s="685">
        <v>1</v>
      </c>
      <c r="G1530" s="239">
        <v>2</v>
      </c>
      <c r="H1530" s="203">
        <f>((J1528)/200)+1</f>
        <v>16.175000000000001</v>
      </c>
      <c r="I1530" s="198">
        <v>180</v>
      </c>
      <c r="J1530" s="198">
        <v>150</v>
      </c>
      <c r="K1530" s="198">
        <v>180</v>
      </c>
      <c r="L1530" s="198">
        <v>150</v>
      </c>
      <c r="M1530" s="198"/>
      <c r="N1530" s="721">
        <f t="shared" si="809"/>
        <v>740</v>
      </c>
      <c r="O1530" s="721">
        <f t="shared" si="810"/>
        <v>0</v>
      </c>
      <c r="P1530" s="722">
        <f t="shared" si="811"/>
        <v>23.939</v>
      </c>
      <c r="Q1530" s="686" t="str">
        <f t="shared" si="812"/>
        <v>-</v>
      </c>
      <c r="R1530" s="686" t="str">
        <f t="shared" si="813"/>
        <v>-</v>
      </c>
      <c r="S1530" s="686" t="str">
        <f t="shared" si="814"/>
        <v>-</v>
      </c>
      <c r="T1530" s="686" t="str">
        <f t="shared" si="815"/>
        <v>-</v>
      </c>
      <c r="U1530" s="723" t="str">
        <f t="shared" si="816"/>
        <v>-</v>
      </c>
      <c r="V1530" s="695" t="str">
        <f t="shared" si="817"/>
        <v>-</v>
      </c>
      <c r="W1530" s="711"/>
    </row>
    <row r="1531" spans="1:23" ht="16.5" hidden="1" outlineLevel="1">
      <c r="A1531" s="195"/>
      <c r="B1531" s="172"/>
      <c r="C1531" s="196"/>
      <c r="D1531" s="685"/>
      <c r="E1531" s="196"/>
      <c r="F1531" s="685"/>
      <c r="G1531" s="204"/>
      <c r="H1531" s="203"/>
      <c r="I1531" s="198"/>
      <c r="J1531" s="198"/>
      <c r="K1531" s="198"/>
      <c r="L1531" s="198"/>
      <c r="M1531" s="198"/>
      <c r="N1531" s="721" t="str">
        <f t="shared" si="809"/>
        <v>-</v>
      </c>
      <c r="O1531" s="721" t="str">
        <f t="shared" si="810"/>
        <v/>
      </c>
      <c r="P1531" s="722" t="str">
        <f t="shared" si="811"/>
        <v>-</v>
      </c>
      <c r="Q1531" s="686" t="str">
        <f t="shared" si="812"/>
        <v>-</v>
      </c>
      <c r="R1531" s="686" t="str">
        <f t="shared" si="813"/>
        <v>-</v>
      </c>
      <c r="S1531" s="686" t="str">
        <f t="shared" si="814"/>
        <v>-</v>
      </c>
      <c r="T1531" s="686" t="str">
        <f t="shared" si="815"/>
        <v>-</v>
      </c>
      <c r="U1531" s="723" t="str">
        <f t="shared" si="816"/>
        <v>-</v>
      </c>
      <c r="V1531" s="695" t="str">
        <f t="shared" si="817"/>
        <v>-</v>
      </c>
      <c r="W1531" s="711"/>
    </row>
    <row r="1532" spans="1:23" ht="16.5" hidden="1" outlineLevel="1">
      <c r="A1532" s="726">
        <v>3.6</v>
      </c>
      <c r="B1532" s="730" t="s">
        <v>1618</v>
      </c>
      <c r="C1532" s="727">
        <v>10</v>
      </c>
      <c r="D1532" s="690"/>
      <c r="E1532" s="720" t="s">
        <v>1557</v>
      </c>
      <c r="F1532" s="685">
        <v>1</v>
      </c>
      <c r="G1532" s="239">
        <v>2</v>
      </c>
      <c r="H1532" s="203">
        <v>2</v>
      </c>
      <c r="I1532" s="198">
        <f>C1532*10</f>
        <v>100</v>
      </c>
      <c r="J1532" s="171">
        <f>1200-50</f>
        <v>1150</v>
      </c>
      <c r="K1532" s="198">
        <v>100</v>
      </c>
      <c r="L1532" s="198"/>
      <c r="M1532" s="198"/>
      <c r="N1532" s="721">
        <f t="shared" si="809"/>
        <v>1310</v>
      </c>
      <c r="O1532" s="721">
        <f t="shared" si="810"/>
        <v>0</v>
      </c>
      <c r="P1532" s="722" t="str">
        <f t="shared" si="811"/>
        <v>-</v>
      </c>
      <c r="Q1532" s="686">
        <f t="shared" si="812"/>
        <v>5.24</v>
      </c>
      <c r="R1532" s="686" t="str">
        <f t="shared" si="813"/>
        <v>-</v>
      </c>
      <c r="S1532" s="686" t="str">
        <f t="shared" si="814"/>
        <v>-</v>
      </c>
      <c r="T1532" s="686" t="str">
        <f t="shared" si="815"/>
        <v>-</v>
      </c>
      <c r="U1532" s="723" t="str">
        <f t="shared" si="816"/>
        <v>-</v>
      </c>
      <c r="V1532" s="695" t="str">
        <f t="shared" si="817"/>
        <v>-</v>
      </c>
      <c r="W1532" s="711"/>
    </row>
    <row r="1533" spans="1:23" ht="16.5" hidden="1" outlineLevel="1">
      <c r="A1533" s="726"/>
      <c r="B1533" s="726" t="s">
        <v>393</v>
      </c>
      <c r="C1533" s="727">
        <v>10</v>
      </c>
      <c r="D1533" s="690"/>
      <c r="E1533" s="720" t="s">
        <v>1557</v>
      </c>
      <c r="F1533" s="685">
        <v>1</v>
      </c>
      <c r="G1533" s="239">
        <v>2</v>
      </c>
      <c r="H1533" s="203">
        <v>2</v>
      </c>
      <c r="I1533" s="198">
        <f>C1533*10</f>
        <v>100</v>
      </c>
      <c r="J1533" s="171">
        <f>1200-50</f>
        <v>1150</v>
      </c>
      <c r="K1533" s="198">
        <v>100</v>
      </c>
      <c r="L1533" s="198"/>
      <c r="M1533" s="198"/>
      <c r="N1533" s="721">
        <f t="shared" si="809"/>
        <v>1310</v>
      </c>
      <c r="O1533" s="721">
        <f t="shared" si="810"/>
        <v>0</v>
      </c>
      <c r="P1533" s="722" t="str">
        <f t="shared" si="811"/>
        <v>-</v>
      </c>
      <c r="Q1533" s="686">
        <f t="shared" si="812"/>
        <v>5.24</v>
      </c>
      <c r="R1533" s="686" t="str">
        <f t="shared" si="813"/>
        <v>-</v>
      </c>
      <c r="S1533" s="686" t="str">
        <f t="shared" si="814"/>
        <v>-</v>
      </c>
      <c r="T1533" s="686" t="str">
        <f t="shared" si="815"/>
        <v>-</v>
      </c>
      <c r="U1533" s="723" t="str">
        <f t="shared" si="816"/>
        <v>-</v>
      </c>
      <c r="V1533" s="695" t="str">
        <f t="shared" si="817"/>
        <v>-</v>
      </c>
      <c r="W1533" s="711"/>
    </row>
    <row r="1534" spans="1:23" ht="16.5" hidden="1" outlineLevel="1">
      <c r="A1534" s="726"/>
      <c r="B1534" s="726" t="s">
        <v>394</v>
      </c>
      <c r="C1534" s="727">
        <v>8</v>
      </c>
      <c r="D1534" s="690"/>
      <c r="E1534" s="691" t="s">
        <v>1558</v>
      </c>
      <c r="F1534" s="685">
        <v>1</v>
      </c>
      <c r="G1534" s="239">
        <v>2</v>
      </c>
      <c r="H1534" s="203">
        <f>((J1532)/200)+1</f>
        <v>6.75</v>
      </c>
      <c r="I1534" s="198">
        <v>180</v>
      </c>
      <c r="J1534" s="198">
        <v>150</v>
      </c>
      <c r="K1534" s="198">
        <v>180</v>
      </c>
      <c r="L1534" s="198">
        <v>150</v>
      </c>
      <c r="M1534" s="198"/>
      <c r="N1534" s="721">
        <f t="shared" si="809"/>
        <v>740</v>
      </c>
      <c r="O1534" s="721">
        <f t="shared" si="810"/>
        <v>0</v>
      </c>
      <c r="P1534" s="722">
        <f t="shared" si="811"/>
        <v>9.99</v>
      </c>
      <c r="Q1534" s="686" t="str">
        <f t="shared" si="812"/>
        <v>-</v>
      </c>
      <c r="R1534" s="686" t="str">
        <f t="shared" si="813"/>
        <v>-</v>
      </c>
      <c r="S1534" s="686" t="str">
        <f t="shared" si="814"/>
        <v>-</v>
      </c>
      <c r="T1534" s="686" t="str">
        <f t="shared" si="815"/>
        <v>-</v>
      </c>
      <c r="U1534" s="723" t="str">
        <f t="shared" si="816"/>
        <v>-</v>
      </c>
      <c r="V1534" s="695" t="str">
        <f t="shared" si="817"/>
        <v>-</v>
      </c>
      <c r="W1534" s="711"/>
    </row>
    <row r="1535" spans="1:23" ht="16.5" hidden="1" outlineLevel="1">
      <c r="A1535" s="195"/>
      <c r="B1535" s="172"/>
      <c r="C1535" s="196"/>
      <c r="D1535" s="685"/>
      <c r="E1535" s="196"/>
      <c r="F1535" s="685"/>
      <c r="G1535" s="204"/>
      <c r="H1535" s="203"/>
      <c r="I1535" s="198"/>
      <c r="J1535" s="198"/>
      <c r="K1535" s="198"/>
      <c r="L1535" s="198"/>
      <c r="M1535" s="198"/>
      <c r="N1535" s="721" t="str">
        <f t="shared" si="809"/>
        <v>-</v>
      </c>
      <c r="O1535" s="721" t="str">
        <f t="shared" si="810"/>
        <v/>
      </c>
      <c r="P1535" s="722" t="str">
        <f t="shared" si="811"/>
        <v>-</v>
      </c>
      <c r="Q1535" s="686" t="str">
        <f t="shared" si="812"/>
        <v>-</v>
      </c>
      <c r="R1535" s="686" t="str">
        <f t="shared" si="813"/>
        <v>-</v>
      </c>
      <c r="S1535" s="686" t="str">
        <f t="shared" si="814"/>
        <v>-</v>
      </c>
      <c r="T1535" s="686" t="str">
        <f t="shared" si="815"/>
        <v>-</v>
      </c>
      <c r="U1535" s="723" t="str">
        <f t="shared" si="816"/>
        <v>-</v>
      </c>
      <c r="V1535" s="695" t="str">
        <f t="shared" si="817"/>
        <v>-</v>
      </c>
      <c r="W1535" s="711"/>
    </row>
    <row r="1536" spans="1:23" ht="16.5" hidden="1" outlineLevel="1">
      <c r="A1536" s="726">
        <v>3.7</v>
      </c>
      <c r="B1536" s="730" t="s">
        <v>1617</v>
      </c>
      <c r="C1536" s="727">
        <v>10</v>
      </c>
      <c r="D1536" s="690"/>
      <c r="E1536" s="720" t="s">
        <v>1557</v>
      </c>
      <c r="F1536" s="685">
        <v>1</v>
      </c>
      <c r="G1536" s="239">
        <v>2</v>
      </c>
      <c r="H1536" s="203">
        <v>2</v>
      </c>
      <c r="I1536" s="198">
        <f>C1536*10</f>
        <v>100</v>
      </c>
      <c r="J1536" s="171">
        <f>2860-50</f>
        <v>2810</v>
      </c>
      <c r="K1536" s="198">
        <v>100</v>
      </c>
      <c r="L1536" s="198"/>
      <c r="M1536" s="198"/>
      <c r="N1536" s="721">
        <f t="shared" si="809"/>
        <v>2970</v>
      </c>
      <c r="O1536" s="721">
        <f t="shared" si="810"/>
        <v>0</v>
      </c>
      <c r="P1536" s="722" t="str">
        <f t="shared" si="811"/>
        <v>-</v>
      </c>
      <c r="Q1536" s="686">
        <f t="shared" si="812"/>
        <v>11.88</v>
      </c>
      <c r="R1536" s="686" t="str">
        <f t="shared" si="813"/>
        <v>-</v>
      </c>
      <c r="S1536" s="686" t="str">
        <f t="shared" si="814"/>
        <v>-</v>
      </c>
      <c r="T1536" s="686" t="str">
        <f t="shared" si="815"/>
        <v>-</v>
      </c>
      <c r="U1536" s="723" t="str">
        <f t="shared" si="816"/>
        <v>-</v>
      </c>
      <c r="V1536" s="695" t="str">
        <f t="shared" si="817"/>
        <v>-</v>
      </c>
      <c r="W1536" s="711"/>
    </row>
    <row r="1537" spans="1:23" ht="16.5" hidden="1" outlineLevel="1">
      <c r="A1537" s="726"/>
      <c r="B1537" s="726" t="s">
        <v>393</v>
      </c>
      <c r="C1537" s="727">
        <v>10</v>
      </c>
      <c r="D1537" s="690"/>
      <c r="E1537" s="720" t="s">
        <v>1557</v>
      </c>
      <c r="F1537" s="685">
        <v>1</v>
      </c>
      <c r="G1537" s="239">
        <v>2</v>
      </c>
      <c r="H1537" s="203">
        <v>2</v>
      </c>
      <c r="I1537" s="198">
        <f>C1537*10</f>
        <v>100</v>
      </c>
      <c r="J1537" s="171">
        <f>2860-50</f>
        <v>2810</v>
      </c>
      <c r="K1537" s="198">
        <v>100</v>
      </c>
      <c r="L1537" s="198"/>
      <c r="M1537" s="198"/>
      <c r="N1537" s="721">
        <f t="shared" si="809"/>
        <v>2970</v>
      </c>
      <c r="O1537" s="721">
        <f t="shared" si="810"/>
        <v>0</v>
      </c>
      <c r="P1537" s="722" t="str">
        <f t="shared" si="811"/>
        <v>-</v>
      </c>
      <c r="Q1537" s="686">
        <f t="shared" si="812"/>
        <v>11.88</v>
      </c>
      <c r="R1537" s="686" t="str">
        <f t="shared" si="813"/>
        <v>-</v>
      </c>
      <c r="S1537" s="686" t="str">
        <f t="shared" si="814"/>
        <v>-</v>
      </c>
      <c r="T1537" s="686" t="str">
        <f t="shared" si="815"/>
        <v>-</v>
      </c>
      <c r="U1537" s="723" t="str">
        <f t="shared" si="816"/>
        <v>-</v>
      </c>
      <c r="V1537" s="695" t="str">
        <f t="shared" si="817"/>
        <v>-</v>
      </c>
      <c r="W1537" s="711"/>
    </row>
    <row r="1538" spans="1:23" ht="16.5" hidden="1" outlineLevel="1">
      <c r="A1538" s="726"/>
      <c r="B1538" s="726" t="s">
        <v>394</v>
      </c>
      <c r="C1538" s="727">
        <v>8</v>
      </c>
      <c r="D1538" s="690"/>
      <c r="E1538" s="691" t="s">
        <v>1558</v>
      </c>
      <c r="F1538" s="685">
        <v>1</v>
      </c>
      <c r="G1538" s="239">
        <v>2</v>
      </c>
      <c r="H1538" s="203">
        <f>((J1536)/200)+1</f>
        <v>15.05</v>
      </c>
      <c r="I1538" s="198">
        <v>180</v>
      </c>
      <c r="J1538" s="198">
        <v>150</v>
      </c>
      <c r="K1538" s="198">
        <v>180</v>
      </c>
      <c r="L1538" s="198">
        <v>150</v>
      </c>
      <c r="M1538" s="198"/>
      <c r="N1538" s="721">
        <f t="shared" ref="N1538:N1581" si="818">IF(E1538="L Shape",(I1538+J1538)-(C1538*2*1),IF(E1538="U Shape",(I1538+J1538+K1538)-(C1538*2*2),IF(E1538="Rectangle",(I1538+J1538+K1538+L1538)+(C1538*10*2)-(C1538*2*5),IF(E1538="Straight",J1538-(C1538*0),IF(E1538="Chair",(I1538+J1538+K1538+L1538+M1538)-(C1538*2*4),IF(E1538="U2 Shape",(I1538+J1538+K1538+L1538+M1538)-(C1538*2*4),IF(E1538="U3 Shape",(I1538+J1538+K1538+L1538)-(C1538*2*3),IF(E1538="Z Shape",(I1538+J1538+K1538)-(C1538*2*2),IF(E1538="Triangle",(I1538+J1538+K1538)+(C1538*10*2)-(C1538*2*4),IF(E1538="Trapezoid2",(I1538+I1538+J1538+K1538+K1538+L1538)+(C1538*10*2)-(C1538*2*7),IF(E1538="Trapezoid",(I1538+J1538+K1538+L1538)+(C1538*10*2)-(C1538*2*5),IF(E1538="Link",J1538+(C1538*10*2),IF(E1538="U5 Shape",(I1538+J1538+K1538+L1538)-(C1538*2*3),IF(E1538="DU2 Shape",(I1538+J1538+K1538+L1538)-(C1538*2*4),IF(E1538="SU Shape",(I1538+J1538+K1538)-(C1538*2*2),"-")))))))))))))))</f>
        <v>740</v>
      </c>
      <c r="O1538" s="721">
        <f t="shared" ref="O1538:O1581" si="819">IF(N1538&lt;12001,C1538*49*0,IF(N1538&lt;24001,C1538*49*1,IF(N1538&lt;36001,C1538*49*2,IF(N1538&lt;48001,C1538*49*3,IF(N1538&lt;60001,C1538*49*4,IF(N1538&lt;72001,(C1538*49*5),IF(N1538&lt;84001,(C1538*49*6),IF(N1538&lt;96001,(C1538*49*7),IF(N1538&lt;108001,(C1538*49*8),IF(N1538&lt;120001,(C1538*49*9),IF(N1538&lt;132001,(C1538*49*10),IF(N1538&lt;144001,(C1538*49*11),""))))))))))))</f>
        <v>0</v>
      </c>
      <c r="P1538" s="722">
        <f t="shared" ref="P1538:P1581" si="820">IF(C1538=8,ROUND(((N1538+O1538)*F1538*G1538*H1538)/1000,3),"-")</f>
        <v>22.274000000000001</v>
      </c>
      <c r="Q1538" s="686" t="str">
        <f t="shared" ref="Q1538:Q1581" si="821">IF(C1538=10,ROUND(((N1538+O1538)*F1538*G1538*H1538)/1000,3),"-")</f>
        <v>-</v>
      </c>
      <c r="R1538" s="686" t="str">
        <f t="shared" ref="R1538:R1581" si="822">IF(C1538=12,ROUND(((N1538+O1538)*F1538*G1538*H1538)/1000,3),"-")</f>
        <v>-</v>
      </c>
      <c r="S1538" s="686" t="str">
        <f t="shared" ref="S1538:S1581" si="823">IF(C1538=16,ROUND(((N1538+O1538)*F1538*G1538*H1538)/1000,3),"-")</f>
        <v>-</v>
      </c>
      <c r="T1538" s="686" t="str">
        <f t="shared" ref="T1538:T1581" si="824">IF(C1538=20,ROUND(((N1538+O1538)*F1538*G1538*H1538)/1000,3),"-")</f>
        <v>-</v>
      </c>
      <c r="U1538" s="723" t="str">
        <f t="shared" ref="U1538:U1581" si="825">IF(C1538=25,ROUND(((N1538+O1538)*F1538*G1538*H1538)/1000,3),"-")</f>
        <v>-</v>
      </c>
      <c r="V1538" s="695" t="str">
        <f t="shared" ref="V1538:V1581" si="826">IF(C1538=32,ROUND(((N1538+O1538)*F1538*G1538*H1538)/1000,3),"-")</f>
        <v>-</v>
      </c>
      <c r="W1538" s="711"/>
    </row>
    <row r="1539" spans="1:23" ht="16.5" hidden="1" outlineLevel="1">
      <c r="A1539" s="195"/>
      <c r="B1539" s="172"/>
      <c r="C1539" s="196"/>
      <c r="D1539" s="685"/>
      <c r="E1539" s="196"/>
      <c r="F1539" s="685"/>
      <c r="G1539" s="204"/>
      <c r="H1539" s="203"/>
      <c r="I1539" s="198"/>
      <c r="J1539" s="198"/>
      <c r="K1539" s="198"/>
      <c r="L1539" s="198"/>
      <c r="M1539" s="198"/>
      <c r="N1539" s="721" t="str">
        <f t="shared" si="818"/>
        <v>-</v>
      </c>
      <c r="O1539" s="721" t="str">
        <f t="shared" si="819"/>
        <v/>
      </c>
      <c r="P1539" s="722" t="str">
        <f t="shared" si="820"/>
        <v>-</v>
      </c>
      <c r="Q1539" s="686" t="str">
        <f t="shared" si="821"/>
        <v>-</v>
      </c>
      <c r="R1539" s="686" t="str">
        <f t="shared" si="822"/>
        <v>-</v>
      </c>
      <c r="S1539" s="686" t="str">
        <f t="shared" si="823"/>
        <v>-</v>
      </c>
      <c r="T1539" s="686" t="str">
        <f t="shared" si="824"/>
        <v>-</v>
      </c>
      <c r="U1539" s="723" t="str">
        <f t="shared" si="825"/>
        <v>-</v>
      </c>
      <c r="V1539" s="695" t="str">
        <f t="shared" si="826"/>
        <v>-</v>
      </c>
      <c r="W1539" s="711"/>
    </row>
    <row r="1540" spans="1:23" ht="16.5" hidden="1" outlineLevel="1">
      <c r="A1540" s="726">
        <v>3.6</v>
      </c>
      <c r="B1540" s="730" t="s">
        <v>1618</v>
      </c>
      <c r="C1540" s="727">
        <v>10</v>
      </c>
      <c r="D1540" s="690"/>
      <c r="E1540" s="720" t="s">
        <v>1557</v>
      </c>
      <c r="F1540" s="685">
        <v>1</v>
      </c>
      <c r="G1540" s="239">
        <v>2</v>
      </c>
      <c r="H1540" s="203">
        <v>2</v>
      </c>
      <c r="I1540" s="198">
        <f>C1540*10</f>
        <v>100</v>
      </c>
      <c r="J1540" s="171">
        <f>1200-50</f>
        <v>1150</v>
      </c>
      <c r="K1540" s="198">
        <v>100</v>
      </c>
      <c r="L1540" s="198"/>
      <c r="M1540" s="198"/>
      <c r="N1540" s="721">
        <f t="shared" si="818"/>
        <v>1310</v>
      </c>
      <c r="O1540" s="721">
        <f t="shared" si="819"/>
        <v>0</v>
      </c>
      <c r="P1540" s="722" t="str">
        <f t="shared" si="820"/>
        <v>-</v>
      </c>
      <c r="Q1540" s="686">
        <f t="shared" si="821"/>
        <v>5.24</v>
      </c>
      <c r="R1540" s="686" t="str">
        <f t="shared" si="822"/>
        <v>-</v>
      </c>
      <c r="S1540" s="686" t="str">
        <f t="shared" si="823"/>
        <v>-</v>
      </c>
      <c r="T1540" s="686" t="str">
        <f t="shared" si="824"/>
        <v>-</v>
      </c>
      <c r="U1540" s="723" t="str">
        <f t="shared" si="825"/>
        <v>-</v>
      </c>
      <c r="V1540" s="695" t="str">
        <f t="shared" si="826"/>
        <v>-</v>
      </c>
      <c r="W1540" s="711"/>
    </row>
    <row r="1541" spans="1:23" ht="16.5" hidden="1" outlineLevel="1">
      <c r="A1541" s="726"/>
      <c r="B1541" s="726" t="s">
        <v>393</v>
      </c>
      <c r="C1541" s="727">
        <v>10</v>
      </c>
      <c r="D1541" s="690"/>
      <c r="E1541" s="720" t="s">
        <v>1557</v>
      </c>
      <c r="F1541" s="685">
        <v>1</v>
      </c>
      <c r="G1541" s="239">
        <v>2</v>
      </c>
      <c r="H1541" s="203">
        <v>2</v>
      </c>
      <c r="I1541" s="198">
        <f>C1541*10</f>
        <v>100</v>
      </c>
      <c r="J1541" s="171">
        <f>1200-50</f>
        <v>1150</v>
      </c>
      <c r="K1541" s="198">
        <v>100</v>
      </c>
      <c r="L1541" s="198"/>
      <c r="M1541" s="198"/>
      <c r="N1541" s="721">
        <f t="shared" si="818"/>
        <v>1310</v>
      </c>
      <c r="O1541" s="721">
        <f t="shared" si="819"/>
        <v>0</v>
      </c>
      <c r="P1541" s="722" t="str">
        <f t="shared" si="820"/>
        <v>-</v>
      </c>
      <c r="Q1541" s="686">
        <f t="shared" si="821"/>
        <v>5.24</v>
      </c>
      <c r="R1541" s="686" t="str">
        <f t="shared" si="822"/>
        <v>-</v>
      </c>
      <c r="S1541" s="686" t="str">
        <f t="shared" si="823"/>
        <v>-</v>
      </c>
      <c r="T1541" s="686" t="str">
        <f t="shared" si="824"/>
        <v>-</v>
      </c>
      <c r="U1541" s="723" t="str">
        <f t="shared" si="825"/>
        <v>-</v>
      </c>
      <c r="V1541" s="695" t="str">
        <f t="shared" si="826"/>
        <v>-</v>
      </c>
      <c r="W1541" s="711"/>
    </row>
    <row r="1542" spans="1:23" ht="16.5" hidden="1" outlineLevel="1">
      <c r="A1542" s="726"/>
      <c r="B1542" s="726" t="s">
        <v>394</v>
      </c>
      <c r="C1542" s="727">
        <v>8</v>
      </c>
      <c r="D1542" s="690"/>
      <c r="E1542" s="691" t="s">
        <v>1558</v>
      </c>
      <c r="F1542" s="685">
        <v>1</v>
      </c>
      <c r="G1542" s="239">
        <v>2</v>
      </c>
      <c r="H1542" s="203">
        <f>((J1540)/200)+1</f>
        <v>6.75</v>
      </c>
      <c r="I1542" s="198">
        <v>180</v>
      </c>
      <c r="J1542" s="198">
        <v>150</v>
      </c>
      <c r="K1542" s="198">
        <v>180</v>
      </c>
      <c r="L1542" s="198">
        <v>150</v>
      </c>
      <c r="M1542" s="198"/>
      <c r="N1542" s="721">
        <f t="shared" si="818"/>
        <v>740</v>
      </c>
      <c r="O1542" s="721">
        <f t="shared" si="819"/>
        <v>0</v>
      </c>
      <c r="P1542" s="722">
        <f t="shared" si="820"/>
        <v>9.99</v>
      </c>
      <c r="Q1542" s="686" t="str">
        <f t="shared" si="821"/>
        <v>-</v>
      </c>
      <c r="R1542" s="686" t="str">
        <f t="shared" si="822"/>
        <v>-</v>
      </c>
      <c r="S1542" s="686" t="str">
        <f t="shared" si="823"/>
        <v>-</v>
      </c>
      <c r="T1542" s="686" t="str">
        <f t="shared" si="824"/>
        <v>-</v>
      </c>
      <c r="U1542" s="723" t="str">
        <f t="shared" si="825"/>
        <v>-</v>
      </c>
      <c r="V1542" s="695" t="str">
        <f t="shared" si="826"/>
        <v>-</v>
      </c>
      <c r="W1542" s="711"/>
    </row>
    <row r="1543" spans="1:23" ht="16.5" hidden="1" outlineLevel="1">
      <c r="A1543" s="195"/>
      <c r="B1543" s="172"/>
      <c r="C1543" s="196"/>
      <c r="D1543" s="685"/>
      <c r="E1543" s="196"/>
      <c r="F1543" s="685"/>
      <c r="G1543" s="204"/>
      <c r="H1543" s="203"/>
      <c r="I1543" s="198"/>
      <c r="J1543" s="198"/>
      <c r="K1543" s="198"/>
      <c r="L1543" s="198"/>
      <c r="M1543" s="198"/>
      <c r="N1543" s="721" t="str">
        <f t="shared" si="818"/>
        <v>-</v>
      </c>
      <c r="O1543" s="721" t="str">
        <f t="shared" si="819"/>
        <v/>
      </c>
      <c r="P1543" s="722" t="str">
        <f t="shared" si="820"/>
        <v>-</v>
      </c>
      <c r="Q1543" s="686" t="str">
        <f t="shared" si="821"/>
        <v>-</v>
      </c>
      <c r="R1543" s="686" t="str">
        <f t="shared" si="822"/>
        <v>-</v>
      </c>
      <c r="S1543" s="686" t="str">
        <f t="shared" si="823"/>
        <v>-</v>
      </c>
      <c r="T1543" s="686" t="str">
        <f t="shared" si="824"/>
        <v>-</v>
      </c>
      <c r="U1543" s="723" t="str">
        <f t="shared" si="825"/>
        <v>-</v>
      </c>
      <c r="V1543" s="695" t="str">
        <f t="shared" si="826"/>
        <v>-</v>
      </c>
      <c r="W1543" s="711"/>
    </row>
    <row r="1544" spans="1:23" ht="30.75" hidden="1" outlineLevel="1">
      <c r="A1544" s="207">
        <v>4</v>
      </c>
      <c r="B1544" s="208" t="s">
        <v>1662</v>
      </c>
      <c r="C1544" s="727"/>
      <c r="D1544" s="690"/>
      <c r="E1544" s="720"/>
      <c r="F1544" s="685"/>
      <c r="G1544" s="239"/>
      <c r="H1544" s="203"/>
      <c r="I1544" s="198"/>
      <c r="J1544" s="171"/>
      <c r="K1544" s="198"/>
      <c r="L1544" s="198"/>
      <c r="M1544" s="198"/>
      <c r="N1544" s="721" t="str">
        <f t="shared" si="818"/>
        <v>-</v>
      </c>
      <c r="O1544" s="721" t="str">
        <f t="shared" si="819"/>
        <v/>
      </c>
      <c r="P1544" s="722" t="str">
        <f t="shared" si="820"/>
        <v>-</v>
      </c>
      <c r="Q1544" s="686" t="str">
        <f t="shared" si="821"/>
        <v>-</v>
      </c>
      <c r="R1544" s="686" t="str">
        <f t="shared" si="822"/>
        <v>-</v>
      </c>
      <c r="S1544" s="686" t="str">
        <f t="shared" si="823"/>
        <v>-</v>
      </c>
      <c r="T1544" s="686" t="str">
        <f t="shared" si="824"/>
        <v>-</v>
      </c>
      <c r="U1544" s="723" t="str">
        <f t="shared" si="825"/>
        <v>-</v>
      </c>
      <c r="V1544" s="695" t="str">
        <f t="shared" si="826"/>
        <v>-</v>
      </c>
      <c r="W1544" s="711"/>
    </row>
    <row r="1545" spans="1:23" ht="16.5" hidden="1" outlineLevel="1">
      <c r="A1545" s="726"/>
      <c r="B1545" s="730" t="s">
        <v>1663</v>
      </c>
      <c r="C1545" s="727">
        <v>8</v>
      </c>
      <c r="D1545" s="690"/>
      <c r="E1545" s="720" t="s">
        <v>1557</v>
      </c>
      <c r="F1545" s="685">
        <v>10</v>
      </c>
      <c r="G1545" s="239">
        <v>1</v>
      </c>
      <c r="H1545" s="203">
        <f>(J1545/200)+1</f>
        <v>7.95</v>
      </c>
      <c r="I1545" s="198">
        <f>100-50</f>
        <v>50</v>
      </c>
      <c r="J1545" s="171">
        <f>1440-50</f>
        <v>1390</v>
      </c>
      <c r="K1545" s="198">
        <f>100-50</f>
        <v>50</v>
      </c>
      <c r="L1545" s="198"/>
      <c r="M1545" s="198"/>
      <c r="N1545" s="721">
        <f t="shared" si="818"/>
        <v>1458</v>
      </c>
      <c r="O1545" s="721">
        <f t="shared" si="819"/>
        <v>0</v>
      </c>
      <c r="P1545" s="722">
        <f t="shared" si="820"/>
        <v>115.911</v>
      </c>
      <c r="Q1545" s="686" t="str">
        <f t="shared" si="821"/>
        <v>-</v>
      </c>
      <c r="R1545" s="686" t="str">
        <f t="shared" si="822"/>
        <v>-</v>
      </c>
      <c r="S1545" s="686" t="str">
        <f t="shared" si="823"/>
        <v>-</v>
      </c>
      <c r="T1545" s="686" t="str">
        <f t="shared" si="824"/>
        <v>-</v>
      </c>
      <c r="U1545" s="723" t="str">
        <f t="shared" si="825"/>
        <v>-</v>
      </c>
      <c r="V1545" s="695" t="str">
        <f t="shared" si="826"/>
        <v>-</v>
      </c>
      <c r="W1545" s="711"/>
    </row>
    <row r="1546" spans="1:23" ht="16.5" hidden="1" outlineLevel="1">
      <c r="A1546" s="726"/>
      <c r="B1546" s="730" t="s">
        <v>1664</v>
      </c>
      <c r="C1546" s="727">
        <v>8</v>
      </c>
      <c r="D1546" s="690"/>
      <c r="E1546" s="720" t="s">
        <v>1557</v>
      </c>
      <c r="F1546" s="685">
        <v>10</v>
      </c>
      <c r="G1546" s="239">
        <v>1</v>
      </c>
      <c r="H1546" s="203">
        <f>(J1546/200)+1</f>
        <v>7.95</v>
      </c>
      <c r="I1546" s="198">
        <f>100-50</f>
        <v>50</v>
      </c>
      <c r="J1546" s="171">
        <f>1440-50</f>
        <v>1390</v>
      </c>
      <c r="K1546" s="198">
        <f>100-50</f>
        <v>50</v>
      </c>
      <c r="L1546" s="198"/>
      <c r="M1546" s="198"/>
      <c r="N1546" s="721">
        <f t="shared" si="818"/>
        <v>1458</v>
      </c>
      <c r="O1546" s="721">
        <f t="shared" si="819"/>
        <v>0</v>
      </c>
      <c r="P1546" s="722">
        <f t="shared" si="820"/>
        <v>115.911</v>
      </c>
      <c r="Q1546" s="686" t="str">
        <f t="shared" si="821"/>
        <v>-</v>
      </c>
      <c r="R1546" s="686" t="str">
        <f t="shared" si="822"/>
        <v>-</v>
      </c>
      <c r="S1546" s="686" t="str">
        <f t="shared" si="823"/>
        <v>-</v>
      </c>
      <c r="T1546" s="686" t="str">
        <f t="shared" si="824"/>
        <v>-</v>
      </c>
      <c r="U1546" s="723" t="str">
        <f t="shared" si="825"/>
        <v>-</v>
      </c>
      <c r="V1546" s="695" t="str">
        <f t="shared" si="826"/>
        <v>-</v>
      </c>
      <c r="W1546" s="711"/>
    </row>
    <row r="1547" spans="1:23" ht="16.5" hidden="1" outlineLevel="1">
      <c r="A1547" s="195"/>
      <c r="B1547" s="172"/>
      <c r="C1547" s="196"/>
      <c r="D1547" s="685"/>
      <c r="E1547" s="196"/>
      <c r="F1547" s="685"/>
      <c r="G1547" s="204"/>
      <c r="H1547" s="203"/>
      <c r="I1547" s="198"/>
      <c r="J1547" s="198"/>
      <c r="K1547" s="198"/>
      <c r="L1547" s="198"/>
      <c r="M1547" s="198"/>
      <c r="N1547" s="721" t="str">
        <f t="shared" si="818"/>
        <v>-</v>
      </c>
      <c r="O1547" s="721" t="str">
        <f t="shared" si="819"/>
        <v/>
      </c>
      <c r="P1547" s="722" t="str">
        <f t="shared" si="820"/>
        <v>-</v>
      </c>
      <c r="Q1547" s="686" t="str">
        <f t="shared" si="821"/>
        <v>-</v>
      </c>
      <c r="R1547" s="686" t="str">
        <f t="shared" si="822"/>
        <v>-</v>
      </c>
      <c r="S1547" s="686" t="str">
        <f t="shared" si="823"/>
        <v>-</v>
      </c>
      <c r="T1547" s="686" t="str">
        <f t="shared" si="824"/>
        <v>-</v>
      </c>
      <c r="U1547" s="723" t="str">
        <f t="shared" si="825"/>
        <v>-</v>
      </c>
      <c r="V1547" s="695" t="str">
        <f t="shared" si="826"/>
        <v>-</v>
      </c>
      <c r="W1547" s="711"/>
    </row>
    <row r="1548" spans="1:23" ht="16.5" hidden="1" outlineLevel="1">
      <c r="A1548" s="195"/>
      <c r="B1548" s="172"/>
      <c r="C1548" s="196"/>
      <c r="D1548" s="685"/>
      <c r="E1548" s="196"/>
      <c r="F1548" s="685"/>
      <c r="G1548" s="204"/>
      <c r="H1548" s="203"/>
      <c r="I1548" s="198"/>
      <c r="J1548" s="198"/>
      <c r="K1548" s="198"/>
      <c r="L1548" s="198"/>
      <c r="M1548" s="198"/>
      <c r="N1548" s="721" t="str">
        <f t="shared" si="818"/>
        <v>-</v>
      </c>
      <c r="O1548" s="721" t="str">
        <f t="shared" si="819"/>
        <v/>
      </c>
      <c r="P1548" s="722" t="str">
        <f t="shared" si="820"/>
        <v>-</v>
      </c>
      <c r="Q1548" s="686" t="str">
        <f t="shared" si="821"/>
        <v>-</v>
      </c>
      <c r="R1548" s="686" t="str">
        <f t="shared" si="822"/>
        <v>-</v>
      </c>
      <c r="S1548" s="686" t="str">
        <f t="shared" si="823"/>
        <v>-</v>
      </c>
      <c r="T1548" s="686" t="str">
        <f t="shared" si="824"/>
        <v>-</v>
      </c>
      <c r="U1548" s="723" t="str">
        <f t="shared" si="825"/>
        <v>-</v>
      </c>
      <c r="V1548" s="695" t="str">
        <f t="shared" si="826"/>
        <v>-</v>
      </c>
      <c r="W1548" s="711"/>
    </row>
    <row r="1549" spans="1:23" ht="33" hidden="1" outlineLevel="1">
      <c r="A1549" s="5">
        <v>5</v>
      </c>
      <c r="B1549" s="748" t="s">
        <v>1665</v>
      </c>
      <c r="C1549" s="196"/>
      <c r="D1549" s="685"/>
      <c r="E1549" s="196"/>
      <c r="F1549" s="685"/>
      <c r="G1549" s="204"/>
      <c r="H1549" s="203"/>
      <c r="I1549" s="198"/>
      <c r="J1549" s="198"/>
      <c r="K1549" s="198"/>
      <c r="L1549" s="198"/>
      <c r="M1549" s="198"/>
      <c r="N1549" s="721" t="str">
        <f t="shared" si="818"/>
        <v>-</v>
      </c>
      <c r="O1549" s="721" t="str">
        <f t="shared" si="819"/>
        <v/>
      </c>
      <c r="P1549" s="722" t="str">
        <f t="shared" si="820"/>
        <v>-</v>
      </c>
      <c r="Q1549" s="686" t="str">
        <f t="shared" si="821"/>
        <v>-</v>
      </c>
      <c r="R1549" s="686" t="str">
        <f t="shared" si="822"/>
        <v>-</v>
      </c>
      <c r="S1549" s="686" t="str">
        <f t="shared" si="823"/>
        <v>-</v>
      </c>
      <c r="T1549" s="686" t="str">
        <f t="shared" si="824"/>
        <v>-</v>
      </c>
      <c r="U1549" s="723" t="str">
        <f t="shared" si="825"/>
        <v>-</v>
      </c>
      <c r="V1549" s="695" t="str">
        <f t="shared" si="826"/>
        <v>-</v>
      </c>
      <c r="W1549" s="711"/>
    </row>
    <row r="1550" spans="1:23" ht="16.5" hidden="1" outlineLevel="1">
      <c r="A1550" s="195"/>
      <c r="B1550" s="172"/>
      <c r="C1550" s="196"/>
      <c r="D1550" s="685"/>
      <c r="E1550" s="196"/>
      <c r="F1550" s="685"/>
      <c r="G1550" s="204"/>
      <c r="H1550" s="203"/>
      <c r="I1550" s="198"/>
      <c r="J1550" s="198"/>
      <c r="K1550" s="198"/>
      <c r="L1550" s="198"/>
      <c r="M1550" s="198"/>
      <c r="N1550" s="721" t="str">
        <f t="shared" si="818"/>
        <v>-</v>
      </c>
      <c r="O1550" s="721" t="str">
        <f t="shared" si="819"/>
        <v/>
      </c>
      <c r="P1550" s="722" t="str">
        <f t="shared" si="820"/>
        <v>-</v>
      </c>
      <c r="Q1550" s="686" t="str">
        <f t="shared" si="821"/>
        <v>-</v>
      </c>
      <c r="R1550" s="686" t="str">
        <f t="shared" si="822"/>
        <v>-</v>
      </c>
      <c r="S1550" s="686" t="str">
        <f t="shared" si="823"/>
        <v>-</v>
      </c>
      <c r="T1550" s="686" t="str">
        <f t="shared" si="824"/>
        <v>-</v>
      </c>
      <c r="U1550" s="723" t="str">
        <f t="shared" si="825"/>
        <v>-</v>
      </c>
      <c r="V1550" s="695" t="str">
        <f t="shared" si="826"/>
        <v>-</v>
      </c>
      <c r="W1550" s="711"/>
    </row>
    <row r="1551" spans="1:23" ht="63" hidden="1" outlineLevel="1">
      <c r="A1551" s="5">
        <v>5.0999999999999996</v>
      </c>
      <c r="B1551" s="751" t="s">
        <v>1479</v>
      </c>
      <c r="C1551" s="196"/>
      <c r="D1551" s="685"/>
      <c r="E1551" s="196"/>
      <c r="F1551" s="685"/>
      <c r="G1551" s="204"/>
      <c r="H1551" s="203"/>
      <c r="I1551" s="198"/>
      <c r="J1551" s="198"/>
      <c r="K1551" s="198"/>
      <c r="L1551" s="198"/>
      <c r="M1551" s="198"/>
      <c r="N1551" s="721" t="str">
        <f t="shared" si="818"/>
        <v>-</v>
      </c>
      <c r="O1551" s="721" t="str">
        <f t="shared" si="819"/>
        <v/>
      </c>
      <c r="P1551" s="722" t="str">
        <f t="shared" si="820"/>
        <v>-</v>
      </c>
      <c r="Q1551" s="686" t="str">
        <f t="shared" si="821"/>
        <v>-</v>
      </c>
      <c r="R1551" s="686" t="str">
        <f t="shared" si="822"/>
        <v>-</v>
      </c>
      <c r="S1551" s="686" t="str">
        <f t="shared" si="823"/>
        <v>-</v>
      </c>
      <c r="T1551" s="686" t="str">
        <f t="shared" si="824"/>
        <v>-</v>
      </c>
      <c r="U1551" s="723" t="str">
        <f t="shared" si="825"/>
        <v>-</v>
      </c>
      <c r="V1551" s="695" t="str">
        <f t="shared" si="826"/>
        <v>-</v>
      </c>
      <c r="W1551" s="711"/>
    </row>
    <row r="1552" spans="1:23" ht="16.5" hidden="1" outlineLevel="1">
      <c r="A1552" s="207"/>
      <c r="B1552" s="208" t="s">
        <v>1580</v>
      </c>
      <c r="C1552" s="727">
        <v>12</v>
      </c>
      <c r="D1552" s="690"/>
      <c r="E1552" s="720" t="s">
        <v>1557</v>
      </c>
      <c r="F1552" s="685">
        <v>1</v>
      </c>
      <c r="G1552" s="239">
        <v>4</v>
      </c>
      <c r="H1552" s="203">
        <v>3</v>
      </c>
      <c r="I1552" s="198">
        <f>C1552*10</f>
        <v>120</v>
      </c>
      <c r="J1552" s="198">
        <f>3000-50</f>
        <v>2950</v>
      </c>
      <c r="K1552" s="198">
        <v>120</v>
      </c>
      <c r="L1552" s="198"/>
      <c r="M1552" s="198"/>
      <c r="N1552" s="721">
        <f t="shared" si="818"/>
        <v>3142</v>
      </c>
      <c r="O1552" s="721">
        <f t="shared" si="819"/>
        <v>0</v>
      </c>
      <c r="P1552" s="722" t="str">
        <f t="shared" si="820"/>
        <v>-</v>
      </c>
      <c r="Q1552" s="686" t="str">
        <f t="shared" si="821"/>
        <v>-</v>
      </c>
      <c r="R1552" s="686">
        <f t="shared" si="822"/>
        <v>37.704000000000001</v>
      </c>
      <c r="S1552" s="686" t="str">
        <f t="shared" si="823"/>
        <v>-</v>
      </c>
      <c r="T1552" s="686" t="str">
        <f t="shared" si="824"/>
        <v>-</v>
      </c>
      <c r="U1552" s="723" t="str">
        <f t="shared" si="825"/>
        <v>-</v>
      </c>
      <c r="V1552" s="695" t="str">
        <f t="shared" si="826"/>
        <v>-</v>
      </c>
      <c r="W1552" s="711"/>
    </row>
    <row r="1553" spans="1:23" ht="16.5" hidden="1" outlineLevel="1">
      <c r="A1553" s="726"/>
      <c r="B1553" s="726" t="s">
        <v>393</v>
      </c>
      <c r="C1553" s="727">
        <v>12</v>
      </c>
      <c r="D1553" s="690"/>
      <c r="E1553" s="720" t="s">
        <v>1557</v>
      </c>
      <c r="F1553" s="685">
        <v>1</v>
      </c>
      <c r="G1553" s="239">
        <v>4</v>
      </c>
      <c r="H1553" s="203">
        <v>3</v>
      </c>
      <c r="I1553" s="198">
        <f>C1553*10</f>
        <v>120</v>
      </c>
      <c r="J1553" s="198">
        <f>3000-50</f>
        <v>2950</v>
      </c>
      <c r="K1553" s="198">
        <v>120</v>
      </c>
      <c r="L1553" s="198"/>
      <c r="M1553" s="198"/>
      <c r="N1553" s="721">
        <f t="shared" si="818"/>
        <v>3142</v>
      </c>
      <c r="O1553" s="721">
        <f t="shared" si="819"/>
        <v>0</v>
      </c>
      <c r="P1553" s="722" t="str">
        <f t="shared" si="820"/>
        <v>-</v>
      </c>
      <c r="Q1553" s="686" t="str">
        <f t="shared" si="821"/>
        <v>-</v>
      </c>
      <c r="R1553" s="686">
        <f t="shared" si="822"/>
        <v>37.704000000000001</v>
      </c>
      <c r="S1553" s="686" t="str">
        <f t="shared" si="823"/>
        <v>-</v>
      </c>
      <c r="T1553" s="686" t="str">
        <f t="shared" si="824"/>
        <v>-</v>
      </c>
      <c r="U1553" s="723" t="str">
        <f t="shared" si="825"/>
        <v>-</v>
      </c>
      <c r="V1553" s="695" t="str">
        <f t="shared" si="826"/>
        <v>-</v>
      </c>
      <c r="W1553" s="711"/>
    </row>
    <row r="1554" spans="1:23" ht="16.5" hidden="1" outlineLevel="1">
      <c r="A1554" s="726"/>
      <c r="B1554" s="726" t="s">
        <v>400</v>
      </c>
      <c r="C1554" s="727">
        <v>8</v>
      </c>
      <c r="D1554" s="690"/>
      <c r="E1554" s="691" t="s">
        <v>1558</v>
      </c>
      <c r="F1554" s="685">
        <v>1</v>
      </c>
      <c r="G1554" s="239">
        <v>4</v>
      </c>
      <c r="H1554" s="203">
        <f>((J1552)/200)+1</f>
        <v>15.75</v>
      </c>
      <c r="I1554" s="198">
        <v>335</v>
      </c>
      <c r="J1554" s="198">
        <v>225</v>
      </c>
      <c r="K1554" s="198">
        <v>335</v>
      </c>
      <c r="L1554" s="198">
        <v>225</v>
      </c>
      <c r="M1554" s="198"/>
      <c r="N1554" s="721">
        <f t="shared" si="818"/>
        <v>1200</v>
      </c>
      <c r="O1554" s="721">
        <f t="shared" si="819"/>
        <v>0</v>
      </c>
      <c r="P1554" s="722">
        <f t="shared" si="820"/>
        <v>75.599999999999994</v>
      </c>
      <c r="Q1554" s="686" t="str">
        <f t="shared" si="821"/>
        <v>-</v>
      </c>
      <c r="R1554" s="686" t="str">
        <f t="shared" si="822"/>
        <v>-</v>
      </c>
      <c r="S1554" s="686" t="str">
        <f t="shared" si="823"/>
        <v>-</v>
      </c>
      <c r="T1554" s="686" t="str">
        <f t="shared" si="824"/>
        <v>-</v>
      </c>
      <c r="U1554" s="723" t="str">
        <f t="shared" si="825"/>
        <v>-</v>
      </c>
      <c r="V1554" s="695" t="str">
        <f t="shared" si="826"/>
        <v>-</v>
      </c>
      <c r="W1554" s="711"/>
    </row>
    <row r="1555" spans="1:23" ht="16.5" hidden="1" outlineLevel="1">
      <c r="A1555" s="726"/>
      <c r="B1555" s="726"/>
      <c r="C1555" s="727"/>
      <c r="D1555" s="690"/>
      <c r="E1555" s="727"/>
      <c r="F1555" s="685"/>
      <c r="G1555" s="239"/>
      <c r="H1555" s="203"/>
      <c r="I1555" s="198"/>
      <c r="J1555" s="198"/>
      <c r="K1555" s="198"/>
      <c r="L1555" s="198"/>
      <c r="M1555" s="198"/>
      <c r="N1555" s="721" t="str">
        <f t="shared" si="818"/>
        <v>-</v>
      </c>
      <c r="O1555" s="721" t="str">
        <f t="shared" si="819"/>
        <v/>
      </c>
      <c r="P1555" s="722" t="str">
        <f t="shared" si="820"/>
        <v>-</v>
      </c>
      <c r="Q1555" s="686" t="str">
        <f t="shared" si="821"/>
        <v>-</v>
      </c>
      <c r="R1555" s="686" t="str">
        <f t="shared" si="822"/>
        <v>-</v>
      </c>
      <c r="S1555" s="686" t="str">
        <f t="shared" si="823"/>
        <v>-</v>
      </c>
      <c r="T1555" s="686" t="str">
        <f t="shared" si="824"/>
        <v>-</v>
      </c>
      <c r="U1555" s="723" t="str">
        <f t="shared" si="825"/>
        <v>-</v>
      </c>
      <c r="V1555" s="695" t="str">
        <f t="shared" si="826"/>
        <v>-</v>
      </c>
      <c r="W1555" s="711"/>
    </row>
    <row r="1556" spans="1:23" ht="47.25" hidden="1" outlineLevel="1">
      <c r="A1556" s="5">
        <v>5.2</v>
      </c>
      <c r="B1556" s="751" t="s">
        <v>1666</v>
      </c>
      <c r="C1556" s="196"/>
      <c r="D1556" s="685"/>
      <c r="E1556" s="196"/>
      <c r="F1556" s="685"/>
      <c r="G1556" s="204"/>
      <c r="H1556" s="203"/>
      <c r="I1556" s="198"/>
      <c r="J1556" s="198"/>
      <c r="K1556" s="198"/>
      <c r="L1556" s="198"/>
      <c r="M1556" s="198"/>
      <c r="N1556" s="721" t="str">
        <f t="shared" si="818"/>
        <v>-</v>
      </c>
      <c r="O1556" s="721" t="str">
        <f t="shared" si="819"/>
        <v/>
      </c>
      <c r="P1556" s="722" t="str">
        <f t="shared" si="820"/>
        <v>-</v>
      </c>
      <c r="Q1556" s="686" t="str">
        <f t="shared" si="821"/>
        <v>-</v>
      </c>
      <c r="R1556" s="686" t="str">
        <f t="shared" si="822"/>
        <v>-</v>
      </c>
      <c r="S1556" s="686" t="str">
        <f t="shared" si="823"/>
        <v>-</v>
      </c>
      <c r="T1556" s="686" t="str">
        <f t="shared" si="824"/>
        <v>-</v>
      </c>
      <c r="U1556" s="723" t="str">
        <f t="shared" si="825"/>
        <v>-</v>
      </c>
      <c r="V1556" s="695" t="str">
        <f t="shared" si="826"/>
        <v>-</v>
      </c>
      <c r="W1556" s="711"/>
    </row>
    <row r="1557" spans="1:23" ht="16.5" hidden="1" outlineLevel="1">
      <c r="A1557" s="207"/>
      <c r="B1557" s="208" t="s">
        <v>1580</v>
      </c>
      <c r="C1557" s="727">
        <v>12</v>
      </c>
      <c r="D1557" s="690"/>
      <c r="E1557" s="720" t="s">
        <v>1557</v>
      </c>
      <c r="F1557" s="685">
        <v>1</v>
      </c>
      <c r="G1557" s="239">
        <v>2</v>
      </c>
      <c r="H1557" s="203">
        <v>3</v>
      </c>
      <c r="I1557" s="198">
        <f>C1557*10</f>
        <v>120</v>
      </c>
      <c r="J1557" s="198">
        <f>3000-50</f>
        <v>2950</v>
      </c>
      <c r="K1557" s="198">
        <v>120</v>
      </c>
      <c r="L1557" s="198"/>
      <c r="M1557" s="198"/>
      <c r="N1557" s="721">
        <f t="shared" si="818"/>
        <v>3142</v>
      </c>
      <c r="O1557" s="721">
        <f t="shared" si="819"/>
        <v>0</v>
      </c>
      <c r="P1557" s="722" t="str">
        <f t="shared" si="820"/>
        <v>-</v>
      </c>
      <c r="Q1557" s="686" t="str">
        <f t="shared" si="821"/>
        <v>-</v>
      </c>
      <c r="R1557" s="686">
        <f t="shared" si="822"/>
        <v>18.852</v>
      </c>
      <c r="S1557" s="686" t="str">
        <f t="shared" si="823"/>
        <v>-</v>
      </c>
      <c r="T1557" s="686" t="str">
        <f t="shared" si="824"/>
        <v>-</v>
      </c>
      <c r="U1557" s="723" t="str">
        <f t="shared" si="825"/>
        <v>-</v>
      </c>
      <c r="V1557" s="695" t="str">
        <f t="shared" si="826"/>
        <v>-</v>
      </c>
      <c r="W1557" s="711"/>
    </row>
    <row r="1558" spans="1:23" ht="16.5" hidden="1" outlineLevel="1">
      <c r="A1558" s="726"/>
      <c r="B1558" s="726" t="s">
        <v>393</v>
      </c>
      <c r="C1558" s="727">
        <v>12</v>
      </c>
      <c r="D1558" s="690"/>
      <c r="E1558" s="720" t="s">
        <v>1557</v>
      </c>
      <c r="F1558" s="685">
        <v>1</v>
      </c>
      <c r="G1558" s="239">
        <v>2</v>
      </c>
      <c r="H1558" s="203">
        <v>3</v>
      </c>
      <c r="I1558" s="198">
        <f>C1558*10</f>
        <v>120</v>
      </c>
      <c r="J1558" s="198">
        <f>3000-50</f>
        <v>2950</v>
      </c>
      <c r="K1558" s="198">
        <v>120</v>
      </c>
      <c r="L1558" s="198"/>
      <c r="M1558" s="198"/>
      <c r="N1558" s="721">
        <f t="shared" si="818"/>
        <v>3142</v>
      </c>
      <c r="O1558" s="721">
        <f t="shared" si="819"/>
        <v>0</v>
      </c>
      <c r="P1558" s="722" t="str">
        <f t="shared" si="820"/>
        <v>-</v>
      </c>
      <c r="Q1558" s="686" t="str">
        <f t="shared" si="821"/>
        <v>-</v>
      </c>
      <c r="R1558" s="686">
        <f t="shared" si="822"/>
        <v>18.852</v>
      </c>
      <c r="S1558" s="686" t="str">
        <f t="shared" si="823"/>
        <v>-</v>
      </c>
      <c r="T1558" s="686" t="str">
        <f t="shared" si="824"/>
        <v>-</v>
      </c>
      <c r="U1558" s="723" t="str">
        <f t="shared" si="825"/>
        <v>-</v>
      </c>
      <c r="V1558" s="695" t="str">
        <f t="shared" si="826"/>
        <v>-</v>
      </c>
      <c r="W1558" s="711"/>
    </row>
    <row r="1559" spans="1:23" ht="16.5" hidden="1" outlineLevel="1">
      <c r="A1559" s="726"/>
      <c r="B1559" s="726" t="s">
        <v>400</v>
      </c>
      <c r="C1559" s="727">
        <v>8</v>
      </c>
      <c r="D1559" s="690"/>
      <c r="E1559" s="691" t="s">
        <v>1558</v>
      </c>
      <c r="F1559" s="685">
        <v>1</v>
      </c>
      <c r="G1559" s="239">
        <v>2</v>
      </c>
      <c r="H1559" s="203">
        <f>((J1557)/200)+1</f>
        <v>15.75</v>
      </c>
      <c r="I1559" s="198">
        <v>335</v>
      </c>
      <c r="J1559" s="198">
        <v>225</v>
      </c>
      <c r="K1559" s="198">
        <v>335</v>
      </c>
      <c r="L1559" s="198">
        <v>225</v>
      </c>
      <c r="M1559" s="198"/>
      <c r="N1559" s="721">
        <f t="shared" si="818"/>
        <v>1200</v>
      </c>
      <c r="O1559" s="721">
        <f t="shared" si="819"/>
        <v>0</v>
      </c>
      <c r="P1559" s="722">
        <f t="shared" si="820"/>
        <v>37.799999999999997</v>
      </c>
      <c r="Q1559" s="686" t="str">
        <f t="shared" si="821"/>
        <v>-</v>
      </c>
      <c r="R1559" s="686" t="str">
        <f t="shared" si="822"/>
        <v>-</v>
      </c>
      <c r="S1559" s="686" t="str">
        <f t="shared" si="823"/>
        <v>-</v>
      </c>
      <c r="T1559" s="686" t="str">
        <f t="shared" si="824"/>
        <v>-</v>
      </c>
      <c r="U1559" s="723" t="str">
        <f t="shared" si="825"/>
        <v>-</v>
      </c>
      <c r="V1559" s="695" t="str">
        <f t="shared" si="826"/>
        <v>-</v>
      </c>
      <c r="W1559" s="711"/>
    </row>
    <row r="1560" spans="1:23" ht="16.5" hidden="1" outlineLevel="1">
      <c r="A1560" s="726"/>
      <c r="B1560" s="726"/>
      <c r="C1560" s="727"/>
      <c r="D1560" s="690"/>
      <c r="E1560" s="727"/>
      <c r="F1560" s="685"/>
      <c r="G1560" s="239"/>
      <c r="H1560" s="203"/>
      <c r="I1560" s="198"/>
      <c r="J1560" s="198"/>
      <c r="K1560" s="198"/>
      <c r="L1560" s="198"/>
      <c r="M1560" s="198"/>
      <c r="N1560" s="721" t="str">
        <f t="shared" si="818"/>
        <v>-</v>
      </c>
      <c r="O1560" s="721" t="str">
        <f t="shared" si="819"/>
        <v/>
      </c>
      <c r="P1560" s="722" t="str">
        <f t="shared" si="820"/>
        <v>-</v>
      </c>
      <c r="Q1560" s="686" t="str">
        <f t="shared" si="821"/>
        <v>-</v>
      </c>
      <c r="R1560" s="686" t="str">
        <f t="shared" si="822"/>
        <v>-</v>
      </c>
      <c r="S1560" s="686" t="str">
        <f t="shared" si="823"/>
        <v>-</v>
      </c>
      <c r="T1560" s="686" t="str">
        <f t="shared" si="824"/>
        <v>-</v>
      </c>
      <c r="U1560" s="723" t="str">
        <f t="shared" si="825"/>
        <v>-</v>
      </c>
      <c r="V1560" s="695" t="str">
        <f t="shared" si="826"/>
        <v>-</v>
      </c>
      <c r="W1560" s="711"/>
    </row>
    <row r="1561" spans="1:23" ht="47.25" hidden="1" outlineLevel="1">
      <c r="A1561" s="5">
        <v>5.3</v>
      </c>
      <c r="B1561" s="751" t="s">
        <v>1666</v>
      </c>
      <c r="C1561" s="196"/>
      <c r="D1561" s="685"/>
      <c r="E1561" s="196"/>
      <c r="F1561" s="685"/>
      <c r="G1561" s="204"/>
      <c r="H1561" s="203"/>
      <c r="I1561" s="198"/>
      <c r="J1561" s="198"/>
      <c r="K1561" s="198"/>
      <c r="L1561" s="198"/>
      <c r="M1561" s="198"/>
      <c r="N1561" s="721" t="str">
        <f t="shared" si="818"/>
        <v>-</v>
      </c>
      <c r="O1561" s="721" t="str">
        <f t="shared" si="819"/>
        <v/>
      </c>
      <c r="P1561" s="722" t="str">
        <f t="shared" si="820"/>
        <v>-</v>
      </c>
      <c r="Q1561" s="686" t="str">
        <f t="shared" si="821"/>
        <v>-</v>
      </c>
      <c r="R1561" s="686" t="str">
        <f t="shared" si="822"/>
        <v>-</v>
      </c>
      <c r="S1561" s="686" t="str">
        <f t="shared" si="823"/>
        <v>-</v>
      </c>
      <c r="T1561" s="686" t="str">
        <f t="shared" si="824"/>
        <v>-</v>
      </c>
      <c r="U1561" s="723" t="str">
        <f t="shared" si="825"/>
        <v>-</v>
      </c>
      <c r="V1561" s="695" t="str">
        <f t="shared" si="826"/>
        <v>-</v>
      </c>
      <c r="W1561" s="711"/>
    </row>
    <row r="1562" spans="1:23" ht="16.5" hidden="1" outlineLevel="1">
      <c r="A1562" s="207"/>
      <c r="B1562" s="208" t="s">
        <v>1580</v>
      </c>
      <c r="C1562" s="727">
        <v>12</v>
      </c>
      <c r="D1562" s="690"/>
      <c r="E1562" s="720" t="s">
        <v>1557</v>
      </c>
      <c r="F1562" s="685">
        <v>1</v>
      </c>
      <c r="G1562" s="239">
        <v>6</v>
      </c>
      <c r="H1562" s="203">
        <v>3</v>
      </c>
      <c r="I1562" s="198">
        <f>C1562*10</f>
        <v>120</v>
      </c>
      <c r="J1562" s="198">
        <f>3000-50</f>
        <v>2950</v>
      </c>
      <c r="K1562" s="198">
        <v>120</v>
      </c>
      <c r="L1562" s="198"/>
      <c r="M1562" s="198"/>
      <c r="N1562" s="721">
        <f t="shared" si="818"/>
        <v>3142</v>
      </c>
      <c r="O1562" s="721">
        <f t="shared" si="819"/>
        <v>0</v>
      </c>
      <c r="P1562" s="722" t="str">
        <f t="shared" si="820"/>
        <v>-</v>
      </c>
      <c r="Q1562" s="686" t="str">
        <f t="shared" si="821"/>
        <v>-</v>
      </c>
      <c r="R1562" s="686">
        <f t="shared" si="822"/>
        <v>56.555999999999997</v>
      </c>
      <c r="S1562" s="686" t="str">
        <f t="shared" si="823"/>
        <v>-</v>
      </c>
      <c r="T1562" s="686" t="str">
        <f t="shared" si="824"/>
        <v>-</v>
      </c>
      <c r="U1562" s="723" t="str">
        <f t="shared" si="825"/>
        <v>-</v>
      </c>
      <c r="V1562" s="695" t="str">
        <f t="shared" si="826"/>
        <v>-</v>
      </c>
      <c r="W1562" s="711"/>
    </row>
    <row r="1563" spans="1:23" ht="16.5" hidden="1" outlineLevel="1">
      <c r="A1563" s="726"/>
      <c r="B1563" s="726" t="s">
        <v>393</v>
      </c>
      <c r="C1563" s="727">
        <v>12</v>
      </c>
      <c r="D1563" s="690"/>
      <c r="E1563" s="720" t="s">
        <v>1557</v>
      </c>
      <c r="F1563" s="685">
        <v>1</v>
      </c>
      <c r="G1563" s="239">
        <v>6</v>
      </c>
      <c r="H1563" s="203">
        <v>3</v>
      </c>
      <c r="I1563" s="198">
        <f>C1563*10</f>
        <v>120</v>
      </c>
      <c r="J1563" s="198">
        <f>3000-50</f>
        <v>2950</v>
      </c>
      <c r="K1563" s="198">
        <v>120</v>
      </c>
      <c r="L1563" s="198"/>
      <c r="M1563" s="198"/>
      <c r="N1563" s="721">
        <f t="shared" si="818"/>
        <v>3142</v>
      </c>
      <c r="O1563" s="721">
        <f t="shared" si="819"/>
        <v>0</v>
      </c>
      <c r="P1563" s="722" t="str">
        <f t="shared" si="820"/>
        <v>-</v>
      </c>
      <c r="Q1563" s="686" t="str">
        <f t="shared" si="821"/>
        <v>-</v>
      </c>
      <c r="R1563" s="686">
        <f t="shared" si="822"/>
        <v>56.555999999999997</v>
      </c>
      <c r="S1563" s="686" t="str">
        <f t="shared" si="823"/>
        <v>-</v>
      </c>
      <c r="T1563" s="686" t="str">
        <f t="shared" si="824"/>
        <v>-</v>
      </c>
      <c r="U1563" s="723" t="str">
        <f t="shared" si="825"/>
        <v>-</v>
      </c>
      <c r="V1563" s="695" t="str">
        <f t="shared" si="826"/>
        <v>-</v>
      </c>
      <c r="W1563" s="711"/>
    </row>
    <row r="1564" spans="1:23" ht="16.5" hidden="1" outlineLevel="1">
      <c r="A1564" s="726"/>
      <c r="B1564" s="726" t="s">
        <v>400</v>
      </c>
      <c r="C1564" s="727">
        <v>8</v>
      </c>
      <c r="D1564" s="690"/>
      <c r="E1564" s="691" t="s">
        <v>1558</v>
      </c>
      <c r="F1564" s="685">
        <v>1</v>
      </c>
      <c r="G1564" s="239">
        <v>6</v>
      </c>
      <c r="H1564" s="203">
        <f>((J1562)/200)+1</f>
        <v>15.75</v>
      </c>
      <c r="I1564" s="198">
        <v>335</v>
      </c>
      <c r="J1564" s="198">
        <v>225</v>
      </c>
      <c r="K1564" s="198">
        <v>335</v>
      </c>
      <c r="L1564" s="198">
        <v>225</v>
      </c>
      <c r="M1564" s="198"/>
      <c r="N1564" s="721">
        <f t="shared" si="818"/>
        <v>1200</v>
      </c>
      <c r="O1564" s="721">
        <f t="shared" si="819"/>
        <v>0</v>
      </c>
      <c r="P1564" s="722">
        <f t="shared" si="820"/>
        <v>113.4</v>
      </c>
      <c r="Q1564" s="686" t="str">
        <f t="shared" si="821"/>
        <v>-</v>
      </c>
      <c r="R1564" s="686" t="str">
        <f t="shared" si="822"/>
        <v>-</v>
      </c>
      <c r="S1564" s="686" t="str">
        <f t="shared" si="823"/>
        <v>-</v>
      </c>
      <c r="T1564" s="686" t="str">
        <f t="shared" si="824"/>
        <v>-</v>
      </c>
      <c r="U1564" s="723" t="str">
        <f t="shared" si="825"/>
        <v>-</v>
      </c>
      <c r="V1564" s="695" t="str">
        <f t="shared" si="826"/>
        <v>-</v>
      </c>
      <c r="W1564" s="711"/>
    </row>
    <row r="1565" spans="1:23" ht="16.5" hidden="1" outlineLevel="1">
      <c r="A1565" s="726"/>
      <c r="B1565" s="726"/>
      <c r="C1565" s="727"/>
      <c r="D1565" s="690"/>
      <c r="E1565" s="727"/>
      <c r="F1565" s="685"/>
      <c r="G1565" s="239"/>
      <c r="H1565" s="203"/>
      <c r="I1565" s="198"/>
      <c r="J1565" s="198"/>
      <c r="K1565" s="198"/>
      <c r="L1565" s="198"/>
      <c r="M1565" s="198"/>
      <c r="N1565" s="721" t="str">
        <f t="shared" si="818"/>
        <v>-</v>
      </c>
      <c r="O1565" s="721" t="str">
        <f t="shared" si="819"/>
        <v/>
      </c>
      <c r="P1565" s="722" t="str">
        <f t="shared" si="820"/>
        <v>-</v>
      </c>
      <c r="Q1565" s="686" t="str">
        <f t="shared" si="821"/>
        <v>-</v>
      </c>
      <c r="R1565" s="686" t="str">
        <f t="shared" si="822"/>
        <v>-</v>
      </c>
      <c r="S1565" s="686" t="str">
        <f t="shared" si="823"/>
        <v>-</v>
      </c>
      <c r="T1565" s="686" t="str">
        <f t="shared" si="824"/>
        <v>-</v>
      </c>
      <c r="U1565" s="723" t="str">
        <f t="shared" si="825"/>
        <v>-</v>
      </c>
      <c r="V1565" s="695" t="str">
        <f t="shared" si="826"/>
        <v>-</v>
      </c>
      <c r="W1565" s="711"/>
    </row>
    <row r="1566" spans="1:23" ht="47.25" hidden="1" outlineLevel="1">
      <c r="A1566" s="5">
        <v>5.4</v>
      </c>
      <c r="B1566" s="751" t="s">
        <v>1482</v>
      </c>
      <c r="C1566" s="196"/>
      <c r="D1566" s="685"/>
      <c r="E1566" s="196"/>
      <c r="F1566" s="685"/>
      <c r="G1566" s="204"/>
      <c r="H1566" s="203"/>
      <c r="I1566" s="198"/>
      <c r="J1566" s="198"/>
      <c r="K1566" s="198"/>
      <c r="L1566" s="198"/>
      <c r="M1566" s="198"/>
      <c r="N1566" s="721" t="str">
        <f t="shared" si="818"/>
        <v>-</v>
      </c>
      <c r="O1566" s="721" t="str">
        <f t="shared" si="819"/>
        <v/>
      </c>
      <c r="P1566" s="722" t="str">
        <f t="shared" si="820"/>
        <v>-</v>
      </c>
      <c r="Q1566" s="686" t="str">
        <f t="shared" si="821"/>
        <v>-</v>
      </c>
      <c r="R1566" s="686" t="str">
        <f t="shared" si="822"/>
        <v>-</v>
      </c>
      <c r="S1566" s="686" t="str">
        <f t="shared" si="823"/>
        <v>-</v>
      </c>
      <c r="T1566" s="686" t="str">
        <f t="shared" si="824"/>
        <v>-</v>
      </c>
      <c r="U1566" s="723" t="str">
        <f t="shared" si="825"/>
        <v>-</v>
      </c>
      <c r="V1566" s="695" t="str">
        <f t="shared" si="826"/>
        <v>-</v>
      </c>
      <c r="W1566" s="711"/>
    </row>
    <row r="1567" spans="1:23" ht="16.5" hidden="1" outlineLevel="1">
      <c r="A1567" s="207"/>
      <c r="B1567" s="208" t="s">
        <v>1580</v>
      </c>
      <c r="C1567" s="727">
        <v>12</v>
      </c>
      <c r="D1567" s="690"/>
      <c r="E1567" s="720" t="s">
        <v>1557</v>
      </c>
      <c r="F1567" s="685">
        <v>1</v>
      </c>
      <c r="G1567" s="239">
        <v>7</v>
      </c>
      <c r="H1567" s="203">
        <v>3</v>
      </c>
      <c r="I1567" s="198">
        <f>C1567*10</f>
        <v>120</v>
      </c>
      <c r="J1567" s="198">
        <f>3000-50</f>
        <v>2950</v>
      </c>
      <c r="K1567" s="198">
        <v>120</v>
      </c>
      <c r="L1567" s="198"/>
      <c r="M1567" s="198"/>
      <c r="N1567" s="721">
        <f t="shared" si="818"/>
        <v>3142</v>
      </c>
      <c r="O1567" s="721">
        <f t="shared" si="819"/>
        <v>0</v>
      </c>
      <c r="P1567" s="722" t="str">
        <f t="shared" si="820"/>
        <v>-</v>
      </c>
      <c r="Q1567" s="686" t="str">
        <f t="shared" si="821"/>
        <v>-</v>
      </c>
      <c r="R1567" s="686">
        <f t="shared" si="822"/>
        <v>65.981999999999999</v>
      </c>
      <c r="S1567" s="686" t="str">
        <f t="shared" si="823"/>
        <v>-</v>
      </c>
      <c r="T1567" s="686" t="str">
        <f t="shared" si="824"/>
        <v>-</v>
      </c>
      <c r="U1567" s="723" t="str">
        <f t="shared" si="825"/>
        <v>-</v>
      </c>
      <c r="V1567" s="695" t="str">
        <f t="shared" si="826"/>
        <v>-</v>
      </c>
      <c r="W1567" s="711"/>
    </row>
    <row r="1568" spans="1:23" ht="16.5" hidden="1" outlineLevel="1">
      <c r="A1568" s="726"/>
      <c r="B1568" s="726" t="s">
        <v>393</v>
      </c>
      <c r="C1568" s="727">
        <v>12</v>
      </c>
      <c r="D1568" s="690"/>
      <c r="E1568" s="720" t="s">
        <v>1557</v>
      </c>
      <c r="F1568" s="685">
        <v>1</v>
      </c>
      <c r="G1568" s="239">
        <v>7</v>
      </c>
      <c r="H1568" s="203">
        <v>3</v>
      </c>
      <c r="I1568" s="198">
        <f>C1568*10</f>
        <v>120</v>
      </c>
      <c r="J1568" s="198">
        <f>3000-50</f>
        <v>2950</v>
      </c>
      <c r="K1568" s="198">
        <v>120</v>
      </c>
      <c r="L1568" s="198"/>
      <c r="M1568" s="198"/>
      <c r="N1568" s="721">
        <f t="shared" si="818"/>
        <v>3142</v>
      </c>
      <c r="O1568" s="721">
        <f t="shared" si="819"/>
        <v>0</v>
      </c>
      <c r="P1568" s="722" t="str">
        <f t="shared" si="820"/>
        <v>-</v>
      </c>
      <c r="Q1568" s="686" t="str">
        <f t="shared" si="821"/>
        <v>-</v>
      </c>
      <c r="R1568" s="686">
        <f t="shared" si="822"/>
        <v>65.981999999999999</v>
      </c>
      <c r="S1568" s="686" t="str">
        <f t="shared" si="823"/>
        <v>-</v>
      </c>
      <c r="T1568" s="686" t="str">
        <f t="shared" si="824"/>
        <v>-</v>
      </c>
      <c r="U1568" s="723" t="str">
        <f t="shared" si="825"/>
        <v>-</v>
      </c>
      <c r="V1568" s="695" t="str">
        <f t="shared" si="826"/>
        <v>-</v>
      </c>
      <c r="W1568" s="711"/>
    </row>
    <row r="1569" spans="1:23" ht="16.5" hidden="1" outlineLevel="1">
      <c r="A1569" s="726"/>
      <c r="B1569" s="726" t="s">
        <v>400</v>
      </c>
      <c r="C1569" s="727">
        <v>8</v>
      </c>
      <c r="D1569" s="690"/>
      <c r="E1569" s="691" t="s">
        <v>1558</v>
      </c>
      <c r="F1569" s="685">
        <v>1</v>
      </c>
      <c r="G1569" s="239">
        <v>7</v>
      </c>
      <c r="H1569" s="203">
        <f>((J1567)/200)+1</f>
        <v>15.75</v>
      </c>
      <c r="I1569" s="198">
        <v>335</v>
      </c>
      <c r="J1569" s="198">
        <v>225</v>
      </c>
      <c r="K1569" s="198">
        <v>335</v>
      </c>
      <c r="L1569" s="198">
        <v>225</v>
      </c>
      <c r="M1569" s="198"/>
      <c r="N1569" s="721">
        <f t="shared" si="818"/>
        <v>1200</v>
      </c>
      <c r="O1569" s="721">
        <f t="shared" si="819"/>
        <v>0</v>
      </c>
      <c r="P1569" s="722">
        <f t="shared" si="820"/>
        <v>132.30000000000001</v>
      </c>
      <c r="Q1569" s="686" t="str">
        <f t="shared" si="821"/>
        <v>-</v>
      </c>
      <c r="R1569" s="686" t="str">
        <f t="shared" si="822"/>
        <v>-</v>
      </c>
      <c r="S1569" s="686" t="str">
        <f t="shared" si="823"/>
        <v>-</v>
      </c>
      <c r="T1569" s="686" t="str">
        <f t="shared" si="824"/>
        <v>-</v>
      </c>
      <c r="U1569" s="723" t="str">
        <f t="shared" si="825"/>
        <v>-</v>
      </c>
      <c r="V1569" s="695" t="str">
        <f t="shared" si="826"/>
        <v>-</v>
      </c>
      <c r="W1569" s="711"/>
    </row>
    <row r="1570" spans="1:23" ht="16.5" hidden="1" outlineLevel="1">
      <c r="A1570" s="726"/>
      <c r="B1570" s="726"/>
      <c r="C1570" s="727"/>
      <c r="D1570" s="690"/>
      <c r="E1570" s="727"/>
      <c r="F1570" s="685"/>
      <c r="G1570" s="239"/>
      <c r="H1570" s="203"/>
      <c r="I1570" s="198"/>
      <c r="J1570" s="198"/>
      <c r="K1570" s="198"/>
      <c r="L1570" s="198"/>
      <c r="M1570" s="198"/>
      <c r="N1570" s="721" t="str">
        <f t="shared" si="818"/>
        <v>-</v>
      </c>
      <c r="O1570" s="721" t="str">
        <f t="shared" si="819"/>
        <v/>
      </c>
      <c r="P1570" s="722" t="str">
        <f t="shared" si="820"/>
        <v>-</v>
      </c>
      <c r="Q1570" s="686" t="str">
        <f t="shared" si="821"/>
        <v>-</v>
      </c>
      <c r="R1570" s="686" t="str">
        <f t="shared" si="822"/>
        <v>-</v>
      </c>
      <c r="S1570" s="686" t="str">
        <f t="shared" si="823"/>
        <v>-</v>
      </c>
      <c r="T1570" s="686" t="str">
        <f t="shared" si="824"/>
        <v>-</v>
      </c>
      <c r="U1570" s="723" t="str">
        <f t="shared" si="825"/>
        <v>-</v>
      </c>
      <c r="V1570" s="695" t="str">
        <f t="shared" si="826"/>
        <v>-</v>
      </c>
      <c r="W1570" s="711"/>
    </row>
    <row r="1571" spans="1:23" ht="47.25" hidden="1" outlineLevel="1">
      <c r="A1571" s="5">
        <v>5.5</v>
      </c>
      <c r="B1571" s="751" t="s">
        <v>1667</v>
      </c>
      <c r="C1571" s="196"/>
      <c r="D1571" s="685"/>
      <c r="E1571" s="196"/>
      <c r="F1571" s="685"/>
      <c r="G1571" s="204"/>
      <c r="H1571" s="203"/>
      <c r="I1571" s="198"/>
      <c r="J1571" s="198"/>
      <c r="K1571" s="198"/>
      <c r="L1571" s="198"/>
      <c r="M1571" s="198"/>
      <c r="N1571" s="721" t="str">
        <f t="shared" si="818"/>
        <v>-</v>
      </c>
      <c r="O1571" s="721" t="str">
        <f t="shared" si="819"/>
        <v/>
      </c>
      <c r="P1571" s="722" t="str">
        <f t="shared" si="820"/>
        <v>-</v>
      </c>
      <c r="Q1571" s="686" t="str">
        <f t="shared" si="821"/>
        <v>-</v>
      </c>
      <c r="R1571" s="686" t="str">
        <f t="shared" si="822"/>
        <v>-</v>
      </c>
      <c r="S1571" s="686" t="str">
        <f t="shared" si="823"/>
        <v>-</v>
      </c>
      <c r="T1571" s="686" t="str">
        <f t="shared" si="824"/>
        <v>-</v>
      </c>
      <c r="U1571" s="723" t="str">
        <f t="shared" si="825"/>
        <v>-</v>
      </c>
      <c r="V1571" s="695" t="str">
        <f t="shared" si="826"/>
        <v>-</v>
      </c>
      <c r="W1571" s="711"/>
    </row>
    <row r="1572" spans="1:23" ht="16.5" hidden="1" outlineLevel="1">
      <c r="A1572" s="207"/>
      <c r="B1572" s="208" t="s">
        <v>1580</v>
      </c>
      <c r="C1572" s="727">
        <v>12</v>
      </c>
      <c r="D1572" s="690"/>
      <c r="E1572" s="720" t="s">
        <v>1557</v>
      </c>
      <c r="F1572" s="685">
        <v>1</v>
      </c>
      <c r="G1572" s="239">
        <v>6</v>
      </c>
      <c r="H1572" s="203">
        <v>3</v>
      </c>
      <c r="I1572" s="198">
        <f>C1572*10</f>
        <v>120</v>
      </c>
      <c r="J1572" s="198">
        <f>3000-50</f>
        <v>2950</v>
      </c>
      <c r="K1572" s="198">
        <v>120</v>
      </c>
      <c r="L1572" s="198"/>
      <c r="M1572" s="198"/>
      <c r="N1572" s="721">
        <f t="shared" si="818"/>
        <v>3142</v>
      </c>
      <c r="O1572" s="721">
        <f t="shared" si="819"/>
        <v>0</v>
      </c>
      <c r="P1572" s="722" t="str">
        <f t="shared" si="820"/>
        <v>-</v>
      </c>
      <c r="Q1572" s="686" t="str">
        <f t="shared" si="821"/>
        <v>-</v>
      </c>
      <c r="R1572" s="686">
        <f t="shared" si="822"/>
        <v>56.555999999999997</v>
      </c>
      <c r="S1572" s="686" t="str">
        <f t="shared" si="823"/>
        <v>-</v>
      </c>
      <c r="T1572" s="686" t="str">
        <f t="shared" si="824"/>
        <v>-</v>
      </c>
      <c r="U1572" s="723" t="str">
        <f t="shared" si="825"/>
        <v>-</v>
      </c>
      <c r="V1572" s="695" t="str">
        <f t="shared" si="826"/>
        <v>-</v>
      </c>
      <c r="W1572" s="711"/>
    </row>
    <row r="1573" spans="1:23" ht="16.5" hidden="1" outlineLevel="1">
      <c r="A1573" s="726"/>
      <c r="B1573" s="726" t="s">
        <v>393</v>
      </c>
      <c r="C1573" s="727">
        <v>12</v>
      </c>
      <c r="D1573" s="690"/>
      <c r="E1573" s="720" t="s">
        <v>1557</v>
      </c>
      <c r="F1573" s="685">
        <v>1</v>
      </c>
      <c r="G1573" s="239">
        <v>6</v>
      </c>
      <c r="H1573" s="203">
        <v>3</v>
      </c>
      <c r="I1573" s="198">
        <f>C1573*10</f>
        <v>120</v>
      </c>
      <c r="J1573" s="198">
        <f>3000-50</f>
        <v>2950</v>
      </c>
      <c r="K1573" s="198">
        <v>120</v>
      </c>
      <c r="L1573" s="198"/>
      <c r="M1573" s="198"/>
      <c r="N1573" s="721">
        <f t="shared" si="818"/>
        <v>3142</v>
      </c>
      <c r="O1573" s="721">
        <f t="shared" si="819"/>
        <v>0</v>
      </c>
      <c r="P1573" s="722" t="str">
        <f t="shared" si="820"/>
        <v>-</v>
      </c>
      <c r="Q1573" s="686" t="str">
        <f t="shared" si="821"/>
        <v>-</v>
      </c>
      <c r="R1573" s="686">
        <f t="shared" si="822"/>
        <v>56.555999999999997</v>
      </c>
      <c r="S1573" s="686" t="str">
        <f t="shared" si="823"/>
        <v>-</v>
      </c>
      <c r="T1573" s="686" t="str">
        <f t="shared" si="824"/>
        <v>-</v>
      </c>
      <c r="U1573" s="723" t="str">
        <f t="shared" si="825"/>
        <v>-</v>
      </c>
      <c r="V1573" s="695" t="str">
        <f t="shared" si="826"/>
        <v>-</v>
      </c>
      <c r="W1573" s="711"/>
    </row>
    <row r="1574" spans="1:23" ht="16.5" hidden="1" outlineLevel="1">
      <c r="A1574" s="726"/>
      <c r="B1574" s="726" t="s">
        <v>400</v>
      </c>
      <c r="C1574" s="727">
        <v>8</v>
      </c>
      <c r="D1574" s="690"/>
      <c r="E1574" s="691" t="s">
        <v>1558</v>
      </c>
      <c r="F1574" s="685">
        <v>1</v>
      </c>
      <c r="G1574" s="239">
        <v>6</v>
      </c>
      <c r="H1574" s="203">
        <f>((J1572)/200)+1</f>
        <v>15.75</v>
      </c>
      <c r="I1574" s="198">
        <v>335</v>
      </c>
      <c r="J1574" s="198">
        <v>225</v>
      </c>
      <c r="K1574" s="198">
        <v>335</v>
      </c>
      <c r="L1574" s="198">
        <v>225</v>
      </c>
      <c r="M1574" s="198"/>
      <c r="N1574" s="721">
        <f t="shared" si="818"/>
        <v>1200</v>
      </c>
      <c r="O1574" s="721">
        <f t="shared" si="819"/>
        <v>0</v>
      </c>
      <c r="P1574" s="722">
        <f t="shared" si="820"/>
        <v>113.4</v>
      </c>
      <c r="Q1574" s="686" t="str">
        <f t="shared" si="821"/>
        <v>-</v>
      </c>
      <c r="R1574" s="686" t="str">
        <f t="shared" si="822"/>
        <v>-</v>
      </c>
      <c r="S1574" s="686" t="str">
        <f t="shared" si="823"/>
        <v>-</v>
      </c>
      <c r="T1574" s="686" t="str">
        <f t="shared" si="824"/>
        <v>-</v>
      </c>
      <c r="U1574" s="723" t="str">
        <f t="shared" si="825"/>
        <v>-</v>
      </c>
      <c r="V1574" s="695" t="str">
        <f t="shared" si="826"/>
        <v>-</v>
      </c>
      <c r="W1574" s="711"/>
    </row>
    <row r="1575" spans="1:23" ht="16.5" hidden="1" outlineLevel="1">
      <c r="A1575" s="726"/>
      <c r="B1575" s="726"/>
      <c r="C1575" s="727"/>
      <c r="D1575" s="690"/>
      <c r="E1575" s="727"/>
      <c r="F1575" s="685"/>
      <c r="G1575" s="239"/>
      <c r="H1575" s="203"/>
      <c r="I1575" s="198"/>
      <c r="J1575" s="198"/>
      <c r="K1575" s="198"/>
      <c r="L1575" s="198"/>
      <c r="M1575" s="198"/>
      <c r="N1575" s="721" t="str">
        <f t="shared" si="818"/>
        <v>-</v>
      </c>
      <c r="O1575" s="721" t="str">
        <f t="shared" si="819"/>
        <v/>
      </c>
      <c r="P1575" s="722" t="str">
        <f t="shared" si="820"/>
        <v>-</v>
      </c>
      <c r="Q1575" s="686" t="str">
        <f t="shared" si="821"/>
        <v>-</v>
      </c>
      <c r="R1575" s="686" t="str">
        <f t="shared" si="822"/>
        <v>-</v>
      </c>
      <c r="S1575" s="686" t="str">
        <f t="shared" si="823"/>
        <v>-</v>
      </c>
      <c r="T1575" s="686" t="str">
        <f t="shared" si="824"/>
        <v>-</v>
      </c>
      <c r="U1575" s="723" t="str">
        <f t="shared" si="825"/>
        <v>-</v>
      </c>
      <c r="V1575" s="695" t="str">
        <f t="shared" si="826"/>
        <v>-</v>
      </c>
      <c r="W1575" s="711"/>
    </row>
    <row r="1576" spans="1:23" ht="31.5" hidden="1" outlineLevel="1">
      <c r="A1576" s="5">
        <v>5.6</v>
      </c>
      <c r="B1576" s="751" t="s">
        <v>1668</v>
      </c>
      <c r="C1576" s="196"/>
      <c r="D1576" s="685"/>
      <c r="E1576" s="196"/>
      <c r="F1576" s="685"/>
      <c r="G1576" s="204"/>
      <c r="H1576" s="203"/>
      <c r="I1576" s="198"/>
      <c r="J1576" s="198"/>
      <c r="K1576" s="198"/>
      <c r="L1576" s="198"/>
      <c r="M1576" s="198"/>
      <c r="N1576" s="721" t="str">
        <f t="shared" si="818"/>
        <v>-</v>
      </c>
      <c r="O1576" s="721" t="str">
        <f t="shared" si="819"/>
        <v/>
      </c>
      <c r="P1576" s="722" t="str">
        <f t="shared" si="820"/>
        <v>-</v>
      </c>
      <c r="Q1576" s="686" t="str">
        <f t="shared" si="821"/>
        <v>-</v>
      </c>
      <c r="R1576" s="686" t="str">
        <f t="shared" si="822"/>
        <v>-</v>
      </c>
      <c r="S1576" s="686" t="str">
        <f t="shared" si="823"/>
        <v>-</v>
      </c>
      <c r="T1576" s="686" t="str">
        <f t="shared" si="824"/>
        <v>-</v>
      </c>
      <c r="U1576" s="723" t="str">
        <f t="shared" si="825"/>
        <v>-</v>
      </c>
      <c r="V1576" s="695" t="str">
        <f t="shared" si="826"/>
        <v>-</v>
      </c>
      <c r="W1576" s="711"/>
    </row>
    <row r="1577" spans="1:23" ht="16.5" hidden="1" outlineLevel="1">
      <c r="A1577" s="207"/>
      <c r="B1577" s="208" t="s">
        <v>1580</v>
      </c>
      <c r="C1577" s="727">
        <v>12</v>
      </c>
      <c r="D1577" s="690"/>
      <c r="E1577" s="720" t="s">
        <v>1557</v>
      </c>
      <c r="F1577" s="685">
        <v>1</v>
      </c>
      <c r="G1577" s="239">
        <v>8</v>
      </c>
      <c r="H1577" s="203">
        <v>3</v>
      </c>
      <c r="I1577" s="198">
        <f>C1577*10</f>
        <v>120</v>
      </c>
      <c r="J1577" s="198">
        <f>3000-50</f>
        <v>2950</v>
      </c>
      <c r="K1577" s="198">
        <v>120</v>
      </c>
      <c r="L1577" s="198"/>
      <c r="M1577" s="198"/>
      <c r="N1577" s="721">
        <f t="shared" si="818"/>
        <v>3142</v>
      </c>
      <c r="O1577" s="721">
        <f t="shared" si="819"/>
        <v>0</v>
      </c>
      <c r="P1577" s="722" t="str">
        <f t="shared" si="820"/>
        <v>-</v>
      </c>
      <c r="Q1577" s="686" t="str">
        <f t="shared" si="821"/>
        <v>-</v>
      </c>
      <c r="R1577" s="686">
        <f t="shared" si="822"/>
        <v>75.408000000000001</v>
      </c>
      <c r="S1577" s="686" t="str">
        <f t="shared" si="823"/>
        <v>-</v>
      </c>
      <c r="T1577" s="686" t="str">
        <f t="shared" si="824"/>
        <v>-</v>
      </c>
      <c r="U1577" s="723" t="str">
        <f t="shared" si="825"/>
        <v>-</v>
      </c>
      <c r="V1577" s="695" t="str">
        <f t="shared" si="826"/>
        <v>-</v>
      </c>
      <c r="W1577" s="711"/>
    </row>
    <row r="1578" spans="1:23" ht="16.5" hidden="1" outlineLevel="1">
      <c r="A1578" s="726"/>
      <c r="B1578" s="726" t="s">
        <v>393</v>
      </c>
      <c r="C1578" s="727">
        <v>12</v>
      </c>
      <c r="D1578" s="690"/>
      <c r="E1578" s="720" t="s">
        <v>1557</v>
      </c>
      <c r="F1578" s="685">
        <v>1</v>
      </c>
      <c r="G1578" s="239">
        <v>8</v>
      </c>
      <c r="H1578" s="203">
        <v>3</v>
      </c>
      <c r="I1578" s="198">
        <f>C1578*10</f>
        <v>120</v>
      </c>
      <c r="J1578" s="198">
        <f>3000-50</f>
        <v>2950</v>
      </c>
      <c r="K1578" s="198">
        <v>120</v>
      </c>
      <c r="L1578" s="198"/>
      <c r="M1578" s="198"/>
      <c r="N1578" s="721">
        <f t="shared" si="818"/>
        <v>3142</v>
      </c>
      <c r="O1578" s="721">
        <f t="shared" si="819"/>
        <v>0</v>
      </c>
      <c r="P1578" s="722" t="str">
        <f t="shared" si="820"/>
        <v>-</v>
      </c>
      <c r="Q1578" s="686" t="str">
        <f t="shared" si="821"/>
        <v>-</v>
      </c>
      <c r="R1578" s="686">
        <f t="shared" si="822"/>
        <v>75.408000000000001</v>
      </c>
      <c r="S1578" s="686" t="str">
        <f t="shared" si="823"/>
        <v>-</v>
      </c>
      <c r="T1578" s="686" t="str">
        <f t="shared" si="824"/>
        <v>-</v>
      </c>
      <c r="U1578" s="723" t="str">
        <f t="shared" si="825"/>
        <v>-</v>
      </c>
      <c r="V1578" s="695" t="str">
        <f t="shared" si="826"/>
        <v>-</v>
      </c>
      <c r="W1578" s="711"/>
    </row>
    <row r="1579" spans="1:23" ht="16.5" hidden="1" outlineLevel="1">
      <c r="A1579" s="726"/>
      <c r="B1579" s="726" t="s">
        <v>400</v>
      </c>
      <c r="C1579" s="727">
        <v>8</v>
      </c>
      <c r="D1579" s="690"/>
      <c r="E1579" s="691" t="s">
        <v>1558</v>
      </c>
      <c r="F1579" s="685">
        <v>1</v>
      </c>
      <c r="G1579" s="239">
        <v>8</v>
      </c>
      <c r="H1579" s="203">
        <f>((J1577)/200)+1</f>
        <v>15.75</v>
      </c>
      <c r="I1579" s="198">
        <v>335</v>
      </c>
      <c r="J1579" s="198">
        <v>225</v>
      </c>
      <c r="K1579" s="198">
        <v>335</v>
      </c>
      <c r="L1579" s="198">
        <v>225</v>
      </c>
      <c r="M1579" s="198"/>
      <c r="N1579" s="721">
        <f t="shared" si="818"/>
        <v>1200</v>
      </c>
      <c r="O1579" s="721">
        <f t="shared" si="819"/>
        <v>0</v>
      </c>
      <c r="P1579" s="722">
        <f t="shared" si="820"/>
        <v>151.19999999999999</v>
      </c>
      <c r="Q1579" s="686" t="str">
        <f t="shared" si="821"/>
        <v>-</v>
      </c>
      <c r="R1579" s="686" t="str">
        <f t="shared" si="822"/>
        <v>-</v>
      </c>
      <c r="S1579" s="686" t="str">
        <f t="shared" si="823"/>
        <v>-</v>
      </c>
      <c r="T1579" s="686" t="str">
        <f t="shared" si="824"/>
        <v>-</v>
      </c>
      <c r="U1579" s="723" t="str">
        <f t="shared" si="825"/>
        <v>-</v>
      </c>
      <c r="V1579" s="695" t="str">
        <f t="shared" si="826"/>
        <v>-</v>
      </c>
      <c r="W1579" s="711"/>
    </row>
    <row r="1580" spans="1:23" ht="16.5" hidden="1" outlineLevel="1">
      <c r="A1580" s="195"/>
      <c r="B1580" s="172"/>
      <c r="C1580" s="196"/>
      <c r="D1580" s="685"/>
      <c r="E1580" s="196"/>
      <c r="F1580" s="685"/>
      <c r="G1580" s="204"/>
      <c r="H1580" s="203"/>
      <c r="I1580" s="198"/>
      <c r="J1580" s="198"/>
      <c r="K1580" s="198"/>
      <c r="L1580" s="198"/>
      <c r="M1580" s="198"/>
      <c r="N1580" s="721" t="str">
        <f t="shared" si="818"/>
        <v>-</v>
      </c>
      <c r="O1580" s="721" t="str">
        <f t="shared" si="819"/>
        <v/>
      </c>
      <c r="P1580" s="722" t="str">
        <f t="shared" si="820"/>
        <v>-</v>
      </c>
      <c r="Q1580" s="686" t="str">
        <f t="shared" si="821"/>
        <v>-</v>
      </c>
      <c r="R1580" s="686" t="str">
        <f t="shared" si="822"/>
        <v>-</v>
      </c>
      <c r="S1580" s="686" t="str">
        <f t="shared" si="823"/>
        <v>-</v>
      </c>
      <c r="T1580" s="686" t="str">
        <f t="shared" si="824"/>
        <v>-</v>
      </c>
      <c r="U1580" s="723" t="str">
        <f t="shared" si="825"/>
        <v>-</v>
      </c>
      <c r="V1580" s="695" t="str">
        <f t="shared" si="826"/>
        <v>-</v>
      </c>
      <c r="W1580" s="711"/>
    </row>
    <row r="1581" spans="1:23" ht="16.5" hidden="1" outlineLevel="1">
      <c r="A1581" s="195"/>
      <c r="B1581" s="172"/>
      <c r="C1581" s="196"/>
      <c r="D1581" s="685"/>
      <c r="E1581" s="196"/>
      <c r="F1581" s="685"/>
      <c r="G1581" s="204"/>
      <c r="H1581" s="203"/>
      <c r="I1581" s="198"/>
      <c r="J1581" s="198"/>
      <c r="K1581" s="198"/>
      <c r="L1581" s="198"/>
      <c r="M1581" s="198"/>
      <c r="N1581" s="721" t="str">
        <f t="shared" si="818"/>
        <v>-</v>
      </c>
      <c r="O1581" s="721" t="str">
        <f t="shared" si="819"/>
        <v/>
      </c>
      <c r="P1581" s="722" t="str">
        <f t="shared" si="820"/>
        <v>-</v>
      </c>
      <c r="Q1581" s="686" t="str">
        <f t="shared" si="821"/>
        <v>-</v>
      </c>
      <c r="R1581" s="686" t="str">
        <f t="shared" si="822"/>
        <v>-</v>
      </c>
      <c r="S1581" s="686" t="str">
        <f t="shared" si="823"/>
        <v>-</v>
      </c>
      <c r="T1581" s="686" t="str">
        <f t="shared" si="824"/>
        <v>-</v>
      </c>
      <c r="U1581" s="723" t="str">
        <f t="shared" si="825"/>
        <v>-</v>
      </c>
      <c r="V1581" s="695" t="str">
        <f t="shared" si="826"/>
        <v>-</v>
      </c>
      <c r="W1581" s="711"/>
    </row>
    <row r="1582" spans="1:23" ht="16.5" hidden="1" outlineLevel="1">
      <c r="A1582" s="195"/>
      <c r="B1582" s="172"/>
      <c r="C1582" s="196"/>
      <c r="D1582" s="685"/>
      <c r="E1582" s="196"/>
      <c r="F1582" s="685"/>
      <c r="G1582" s="204"/>
      <c r="H1582" s="203"/>
      <c r="I1582" s="198"/>
      <c r="J1582" s="198"/>
      <c r="K1582" s="198"/>
      <c r="L1582" s="198"/>
      <c r="M1582" s="198"/>
      <c r="N1582" s="721"/>
      <c r="O1582" s="721"/>
      <c r="P1582" s="722"/>
      <c r="Q1582" s="686"/>
      <c r="R1582" s="686"/>
      <c r="S1582" s="686"/>
      <c r="T1582" s="686"/>
      <c r="U1582" s="723"/>
      <c r="V1582" s="695"/>
      <c r="W1582" s="711"/>
    </row>
    <row r="1583" spans="1:23" ht="16.5" hidden="1" outlineLevel="1">
      <c r="A1583" s="195"/>
      <c r="B1583" s="212" t="s">
        <v>482</v>
      </c>
      <c r="C1583" s="196"/>
      <c r="D1583" s="685"/>
      <c r="E1583" s="196"/>
      <c r="F1583" s="685"/>
      <c r="G1583" s="204"/>
      <c r="H1583" s="213"/>
      <c r="I1583" s="198">
        <v>0</v>
      </c>
      <c r="J1583" s="198">
        <v>0</v>
      </c>
      <c r="K1583" s="198">
        <v>0</v>
      </c>
      <c r="L1583" s="198">
        <v>0</v>
      </c>
      <c r="M1583" s="198">
        <v>0</v>
      </c>
      <c r="N1583" s="198"/>
      <c r="O1583" s="198"/>
      <c r="P1583" s="200">
        <f>SUM(P1474:P1582)</f>
        <v>1247.9440000000002</v>
      </c>
      <c r="Q1583" s="200">
        <f t="shared" ref="Q1583:V1583" si="827">SUM(Q1474:Q1582)</f>
        <v>419.12</v>
      </c>
      <c r="R1583" s="200">
        <f t="shared" si="827"/>
        <v>622.11599999999999</v>
      </c>
      <c r="S1583" s="200">
        <f t="shared" si="827"/>
        <v>0</v>
      </c>
      <c r="T1583" s="200">
        <f t="shared" si="827"/>
        <v>0</v>
      </c>
      <c r="U1583" s="200">
        <f t="shared" si="827"/>
        <v>0</v>
      </c>
      <c r="V1583" s="200">
        <f t="shared" si="827"/>
        <v>0</v>
      </c>
      <c r="W1583" s="846"/>
    </row>
    <row r="1584" spans="1:23" ht="16.5" hidden="1" outlineLevel="1">
      <c r="A1584" s="195"/>
      <c r="B1584" s="214" t="s">
        <v>483</v>
      </c>
      <c r="C1584" s="196"/>
      <c r="D1584" s="685"/>
      <c r="E1584" s="196"/>
      <c r="F1584" s="685"/>
      <c r="G1584" s="204"/>
      <c r="H1584" s="213"/>
      <c r="I1584" s="198">
        <v>0</v>
      </c>
      <c r="J1584" s="198">
        <v>0</v>
      </c>
      <c r="K1584" s="198">
        <v>0</v>
      </c>
      <c r="L1584" s="198">
        <v>0</v>
      </c>
      <c r="M1584" s="198">
        <v>0</v>
      </c>
      <c r="N1584" s="198"/>
      <c r="O1584" s="198"/>
      <c r="P1584" s="215">
        <v>0.39500000000000002</v>
      </c>
      <c r="Q1584" s="215">
        <v>0.61699999999999999</v>
      </c>
      <c r="R1584" s="215">
        <v>0.88800000000000001</v>
      </c>
      <c r="S1584" s="215">
        <v>1.58</v>
      </c>
      <c r="T1584" s="215">
        <v>2.4700000000000002</v>
      </c>
      <c r="U1584" s="724">
        <v>3.85</v>
      </c>
      <c r="V1584" s="215">
        <v>6.31</v>
      </c>
      <c r="W1584" s="684"/>
    </row>
    <row r="1585" spans="1:23" ht="16.5" hidden="1" outlineLevel="1">
      <c r="A1585" s="195"/>
      <c r="B1585" s="216" t="s">
        <v>484</v>
      </c>
      <c r="C1585" s="196"/>
      <c r="D1585" s="685"/>
      <c r="E1585" s="196"/>
      <c r="F1585" s="685"/>
      <c r="G1585" s="204"/>
      <c r="H1585" s="213"/>
      <c r="I1585" s="198">
        <v>0</v>
      </c>
      <c r="J1585" s="198">
        <v>0</v>
      </c>
      <c r="K1585" s="198">
        <v>0</v>
      </c>
      <c r="L1585" s="198">
        <v>0</v>
      </c>
      <c r="M1585" s="198">
        <v>0</v>
      </c>
      <c r="N1585" s="198"/>
      <c r="O1585" s="198"/>
      <c r="P1585" s="200">
        <f>P1583*P1584</f>
        <v>492.93788000000012</v>
      </c>
      <c r="Q1585" s="200">
        <f t="shared" ref="Q1585:V1585" si="828">Q1583*Q1584</f>
        <v>258.59703999999999</v>
      </c>
      <c r="R1585" s="200">
        <f t="shared" si="828"/>
        <v>552.43900799999994</v>
      </c>
      <c r="S1585" s="200">
        <f t="shared" si="828"/>
        <v>0</v>
      </c>
      <c r="T1585" s="200">
        <f t="shared" si="828"/>
        <v>0</v>
      </c>
      <c r="U1585" s="688">
        <f t="shared" si="828"/>
        <v>0</v>
      </c>
      <c r="V1585" s="200">
        <f t="shared" si="828"/>
        <v>0</v>
      </c>
      <c r="W1585" s="684"/>
    </row>
    <row r="1586" spans="1:23" ht="16.5" hidden="1" outlineLevel="1">
      <c r="A1586" s="195"/>
      <c r="B1586" s="212" t="s">
        <v>485</v>
      </c>
      <c r="C1586" s="196"/>
      <c r="D1586" s="685"/>
      <c r="E1586" s="196"/>
      <c r="F1586" s="685"/>
      <c r="G1586" s="204"/>
      <c r="H1586" s="213"/>
      <c r="I1586" s="198">
        <v>0</v>
      </c>
      <c r="J1586" s="198">
        <v>0</v>
      </c>
      <c r="K1586" s="198">
        <v>0</v>
      </c>
      <c r="L1586" s="198">
        <v>0</v>
      </c>
      <c r="M1586" s="198">
        <v>0</v>
      </c>
      <c r="N1586" s="198"/>
      <c r="O1586" s="198"/>
      <c r="P1586" s="200">
        <f>P1585+Q1585+R1585+S1585+T1585+U1585+V1585</f>
        <v>1303.9739279999999</v>
      </c>
      <c r="Q1586" s="200" t="s">
        <v>486</v>
      </c>
      <c r="R1586" s="200"/>
      <c r="S1586" s="200"/>
      <c r="T1586" s="200"/>
      <c r="U1586" s="688"/>
      <c r="V1586" s="200"/>
      <c r="W1586" s="684"/>
    </row>
    <row r="1587" spans="1:23" ht="16.5" hidden="1" outlineLevel="1">
      <c r="A1587" s="195"/>
      <c r="B1587" s="217" t="s">
        <v>487</v>
      </c>
      <c r="C1587" s="218"/>
      <c r="D1587" s="702"/>
      <c r="E1587" s="218"/>
      <c r="F1587" s="837"/>
      <c r="G1587" s="838"/>
      <c r="H1587" s="839"/>
      <c r="I1587" s="198">
        <v>0</v>
      </c>
      <c r="J1587" s="198">
        <v>0</v>
      </c>
      <c r="K1587" s="198">
        <v>0</v>
      </c>
      <c r="L1587" s="198">
        <v>0</v>
      </c>
      <c r="M1587" s="198">
        <v>0</v>
      </c>
      <c r="N1587" s="198"/>
      <c r="O1587" s="198"/>
      <c r="P1587" s="221">
        <f>P1586/1000</f>
        <v>1.3039739279999998</v>
      </c>
      <c r="Q1587" s="222" t="s">
        <v>374</v>
      </c>
      <c r="R1587" s="200"/>
      <c r="S1587" s="200"/>
      <c r="T1587" s="200"/>
      <c r="U1587" s="688"/>
      <c r="V1587" s="200"/>
      <c r="W1587" s="684"/>
    </row>
    <row r="1588" spans="1:23" ht="16.5" hidden="1" outlineLevel="1">
      <c r="A1588" s="726"/>
      <c r="B1588" s="726"/>
      <c r="C1588" s="727"/>
      <c r="D1588" s="690"/>
      <c r="E1588" s="690"/>
      <c r="F1588" s="685"/>
      <c r="G1588" s="239"/>
      <c r="H1588" s="203"/>
      <c r="I1588" s="198"/>
      <c r="J1588" s="198"/>
      <c r="K1588" s="198"/>
      <c r="L1588" s="198"/>
      <c r="M1588" s="198"/>
      <c r="N1588" s="721" t="str">
        <f t="shared" ref="N1588" si="829">IF(E1588="L Shape",(I1588+J1588)-(C1588*2*1),IF(E1588="U Shape",(I1588+J1588+K1588)-(C1588*2*2),IF(E1588="Rectangle",(I1588+J1588+K1588+L1588)+(C1588*10*2)-(C1588*2*5),IF(E1588="Straight",J1588-(C1588*0),IF(E1588="Chair",(I1588+J1588+K1588+L1588+M1588)-(C1588*2*4),IF(E1588="U2 Shape",(I1588+J1588+K1588+L1588+M1588)-(C1588*2*4),IF(E1588="U3 Shape",(I1588+J1588+K1588+L1588)-(C1588*2*3),IF(E1588="Z Shape",(I1588+J1588+K1588)-(C1588*2*2),IF(E1588="Triangle",(I1588+J1588+K1588)+(C1588*10*2)-(C1588*2*4),IF(E1588="Trapezoid2",(I1588+I1588+J1588+K1588+K1588+L1588)+(C1588*10*2)-(C1588*2*7),IF(E1588="Trapezoid",(I1588+J1588+K1588+L1588)+(C1588*10*2)-(C1588*2*5),IF(E1588="Link",J1588+(C1588*10*2),IF(E1588="U5 Shape",(I1588+J1588+K1588+L1588)-(C1588*2*3),IF(E1588="DU2 Shape",(I1588+J1588+K1588+L1588)-(C1588*2*4),IF(E1588="SU Shape",(I1588+J1588+K1588)-(C1588*2*2),"-")))))))))))))))</f>
        <v>-</v>
      </c>
      <c r="O1588" s="721" t="str">
        <f t="shared" ref="O1588" si="830">IF(N1588&lt;12001,C1588*49*0,IF(N1588&lt;24001,C1588*49*1,IF(N1588&lt;36001,C1588*49*2,IF(N1588&lt;48001,C1588*49*3,IF(N1588&lt;60001,C1588*49*4,IF(N1588&lt;72001,(C1588*49*5),IF(N1588&lt;84001,(C1588*49*6),IF(N1588&lt;96001,(C1588*49*7),IF(N1588&lt;108001,(C1588*49*8),IF(N1588&lt;120001,(C1588*49*9),IF(N1588&lt;132001,(C1588*49*10),IF(N1588&lt;144001,(C1588*49*11),""))))))))))))</f>
        <v/>
      </c>
      <c r="P1588" s="722" t="str">
        <f t="shared" ref="P1588" si="831">IF(C1588=8,ROUND(((N1588+O1588)*F1588*G1588*H1588)/1000,3),"-")</f>
        <v>-</v>
      </c>
      <c r="Q1588" s="686" t="str">
        <f t="shared" ref="Q1588" si="832">IF(C1588=10,ROUND(((N1588+O1588)*F1588*G1588*H1588)/1000,3),"-")</f>
        <v>-</v>
      </c>
      <c r="R1588" s="686" t="str">
        <f t="shared" ref="R1588" si="833">IF(C1588=12,ROUND(((N1588+O1588)*F1588*G1588*H1588)/1000,3),"-")</f>
        <v>-</v>
      </c>
      <c r="S1588" s="686" t="str">
        <f t="shared" ref="S1588" si="834">IF(C1588=16,ROUND(((N1588+O1588)*F1588*G1588*H1588)/1000,3),"-")</f>
        <v>-</v>
      </c>
      <c r="T1588" s="686" t="str">
        <f t="shared" ref="T1588" si="835">IF(C1588=20,ROUND(((N1588+O1588)*F1588*G1588*H1588)/1000,3),"-")</f>
        <v>-</v>
      </c>
      <c r="U1588" s="723" t="str">
        <f t="shared" ref="U1588" si="836">IF(C1588=25,ROUND(((N1588+O1588)*F1588*G1588*H1588)/1000,3),"-")</f>
        <v>-</v>
      </c>
      <c r="V1588" s="695" t="str">
        <f t="shared" ref="V1588" si="837">IF(C1588=32,ROUND(((N1588+O1588)*F1588*G1588*H1588)/1000,3),"-")</f>
        <v>-</v>
      </c>
      <c r="W1588" s="711"/>
    </row>
    <row r="1589" spans="1:23" ht="16.5" collapsed="1">
      <c r="A1589" s="195"/>
      <c r="B1589" s="928" t="s">
        <v>1728</v>
      </c>
      <c r="C1589" s="929"/>
      <c r="D1589" s="930"/>
      <c r="E1589" s="929"/>
      <c r="F1589" s="930"/>
      <c r="G1589" s="931"/>
      <c r="H1589" s="932"/>
      <c r="I1589" s="933"/>
      <c r="J1589" s="933"/>
      <c r="K1589" s="933"/>
      <c r="L1589" s="933"/>
      <c r="M1589" s="933"/>
      <c r="N1589" s="933"/>
      <c r="O1589" s="933"/>
      <c r="P1589" s="934">
        <v>33.79</v>
      </c>
      <c r="Q1589" s="935" t="s">
        <v>374</v>
      </c>
      <c r="R1589" s="935" t="s">
        <v>1729</v>
      </c>
      <c r="S1589" s="200"/>
      <c r="T1589" s="200"/>
      <c r="U1589" s="688"/>
      <c r="V1589" s="200"/>
      <c r="W1589" s="711"/>
    </row>
    <row r="1590" spans="1:23" ht="16.5">
      <c r="A1590" s="726"/>
      <c r="B1590" s="726"/>
      <c r="C1590" s="727"/>
      <c r="D1590" s="690"/>
      <c r="E1590" s="690"/>
      <c r="F1590" s="685"/>
      <c r="G1590" s="239"/>
      <c r="H1590" s="203"/>
      <c r="I1590" s="198"/>
      <c r="J1590" s="198"/>
      <c r="K1590" s="198"/>
      <c r="L1590" s="198"/>
      <c r="M1590" s="198"/>
      <c r="N1590" s="721" t="str">
        <f t="shared" ref="N1590:N1617" si="838">IF(E1590="L Shape",(I1590+J1590)-(C1590*2*1),IF(E1590="U Shape",(I1590+J1590+K1590)-(C1590*2*2),IF(E1590="Rectangle",(I1590+J1590+K1590+L1590)+(C1590*10*2)-(C1590*2*5),IF(E1590="Straight",J1590-(C1590*0),IF(E1590="Chair",(I1590+J1590+K1590+L1590+M1590)-(C1590*2*4),IF(E1590="U2 Shape",(I1590+J1590+K1590+L1590+M1590)-(C1590*2*4),IF(E1590="U3 Shape",(I1590+J1590+K1590+L1590)-(C1590*2*3),IF(E1590="Z Shape",(I1590+J1590+K1590)-(C1590*2*2),IF(E1590="Triangle",(I1590+J1590+K1590)+(C1590*10*2)-(C1590*2*4),IF(E1590="Trapezoid2",(I1590+I1590+J1590+K1590+K1590+L1590)+(C1590*10*2)-(C1590*2*7),IF(E1590="Trapezoid",(I1590+J1590+K1590+L1590)+(C1590*10*2)-(C1590*2*5),IF(E1590="Link",J1590+(C1590*10*2),IF(E1590="U5 Shape",(I1590+J1590+K1590+L1590)-(C1590*2*3),IF(E1590="DU2 Shape",(I1590+J1590+K1590+L1590)-(C1590*2*4),IF(E1590="SU Shape",(I1590+J1590+K1590)-(C1590*2*2),"-")))))))))))))))</f>
        <v>-</v>
      </c>
      <c r="O1590" s="721" t="str">
        <f t="shared" ref="O1590:O1617" si="839">IF(N1590&lt;12001,C1590*49*0,IF(N1590&lt;24001,C1590*49*1,IF(N1590&lt;36001,C1590*49*2,IF(N1590&lt;48001,C1590*49*3,IF(N1590&lt;60001,C1590*49*4,IF(N1590&lt;72001,(C1590*49*5),IF(N1590&lt;84001,(C1590*49*6),IF(N1590&lt;96001,(C1590*49*7),IF(N1590&lt;108001,(C1590*49*8),IF(N1590&lt;120001,(C1590*49*9),IF(N1590&lt;132001,(C1590*49*10),IF(N1590&lt;144001,(C1590*49*11),""))))))))))))</f>
        <v/>
      </c>
      <c r="P1590" s="722" t="str">
        <f t="shared" ref="P1590" si="840">IF(C1590=8,ROUND(((N1590+O1590)*F1590*G1590*H1590)/1000,3),"-")</f>
        <v>-</v>
      </c>
      <c r="Q1590" s="686" t="str">
        <f t="shared" ref="Q1590" si="841">IF(C1590=10,ROUND(((N1590+O1590)*F1590*G1590*H1590)/1000,3),"-")</f>
        <v>-</v>
      </c>
      <c r="R1590" s="686" t="str">
        <f t="shared" ref="R1590:R1617" si="842">IF(C1590=12,ROUND(((N1590+O1590)*F1590*G1590*H1590)/1000,3),"-")</f>
        <v>-</v>
      </c>
      <c r="S1590" s="686" t="str">
        <f t="shared" ref="S1590:S1617" si="843">IF(C1590=16,ROUND(((N1590+O1590)*F1590*G1590*H1590)/1000,3),"-")</f>
        <v>-</v>
      </c>
      <c r="T1590" s="686" t="str">
        <f t="shared" ref="T1590:T1617" si="844">IF(C1590=20,ROUND(((N1590+O1590)*F1590*G1590*H1590)/1000,3),"-")</f>
        <v>-</v>
      </c>
      <c r="U1590" s="723" t="str">
        <f t="shared" ref="U1590:U1617" si="845">IF(C1590=25,ROUND(((N1590+O1590)*F1590*G1590*H1590)/1000,3),"-")</f>
        <v>-</v>
      </c>
      <c r="V1590" s="695" t="str">
        <f t="shared" ref="V1590:V1617" si="846">IF(C1590=32,ROUND(((N1590+O1590)*F1590*G1590*H1590)/1000,3),"-")</f>
        <v>-</v>
      </c>
      <c r="W1590" s="711"/>
    </row>
    <row r="1591" spans="1:23" ht="21">
      <c r="A1591" s="726"/>
      <c r="B1591" s="936" t="s">
        <v>1730</v>
      </c>
      <c r="C1591" s="727"/>
      <c r="D1591" s="690"/>
      <c r="E1591" s="690"/>
      <c r="F1591" s="685"/>
      <c r="G1591" s="239"/>
      <c r="H1591" s="203"/>
      <c r="I1591" s="198"/>
      <c r="J1591" s="198"/>
      <c r="K1591" s="198"/>
      <c r="L1591" s="198"/>
      <c r="M1591" s="198"/>
      <c r="N1591" s="721" t="str">
        <f t="shared" ref="N1591:N1611" si="847">IF(E1591="L Shape",(I1591+J1591)-(C1591*2*1),IF(E1591="U Shape",(I1591+J1591+K1591)-(C1591*2*2),IF(E1591="Rectangle",(I1591+J1591+K1591+L1591)+(C1591*10*2)-(C1591*2*5),IF(E1591="Straight",J1591-(C1591*0),IF(E1591="Chair",(I1591+J1591+K1591+L1591+M1591)-(C1591*2*4),IF(E1591="U2 Shape",(I1591+J1591+K1591+L1591+M1591)-(C1591*2*4),IF(E1591="U3 Shape",(I1591+J1591+K1591+L1591)-(C1591*2*3),IF(E1591="Z Shape",(I1591+J1591+K1591)-(C1591*2*2),IF(E1591="Triangle",(I1591+J1591+K1591)+(C1591*10*2)-(C1591*2*4),IF(E1591="Trapezoid2",(I1591+I1591+J1591+K1591+K1591+L1591)+(C1591*10*2)-(C1591*2*7),IF(E1591="Trapezoid",(I1591+J1591+K1591+L1591)+(C1591*10*2)-(C1591*2*5),IF(E1591="Link",J1591+(C1591*10*2),IF(E1591="U5 Shape",(I1591+J1591+K1591+L1591)-(C1591*2*3),IF(E1591="DU2 Shape",(I1591+J1591+K1591+L1591)-(C1591*2*4),IF(E1591="SU Shape",(I1591+J1591+K1591)-(C1591*2*2),"-")))))))))))))))</f>
        <v>-</v>
      </c>
      <c r="O1591" s="721" t="str">
        <f t="shared" ref="O1591:O1611" si="848">IF(N1591&lt;12001,C1591*49*0,IF(N1591&lt;24001,C1591*49*1,IF(N1591&lt;36001,C1591*49*2,IF(N1591&lt;48001,C1591*49*3,IF(N1591&lt;60001,C1591*49*4,IF(N1591&lt;72001,(C1591*49*5),IF(N1591&lt;84001,(C1591*49*6),IF(N1591&lt;96001,(C1591*49*7),IF(N1591&lt;108001,(C1591*49*8),IF(N1591&lt;120001,(C1591*49*9),IF(N1591&lt;132001,(C1591*49*10),IF(N1591&lt;144001,(C1591*49*11),""))))))))))))</f>
        <v/>
      </c>
      <c r="P1591" s="722" t="str">
        <f t="shared" ref="P1591:P1611" si="849">IF(C1591=8,ROUND(((N1591+O1591)*F1591*G1591*H1591)/1000,3),"-")</f>
        <v>-</v>
      </c>
      <c r="Q1591" s="686" t="str">
        <f t="shared" ref="Q1591:Q1611" si="850">IF(C1591=10,ROUND(((N1591+O1591)*F1591*G1591*H1591)/1000,3),"-")</f>
        <v>-</v>
      </c>
      <c r="R1591" s="686" t="str">
        <f t="shared" ref="R1591:R1611" si="851">IF(C1591=12,ROUND(((N1591+O1591)*F1591*G1591*H1591)/1000,3),"-")</f>
        <v>-</v>
      </c>
      <c r="S1591" s="686" t="str">
        <f t="shared" ref="S1591:S1611" si="852">IF(C1591=16,ROUND(((N1591+O1591)*F1591*G1591*H1591)/1000,3),"-")</f>
        <v>-</v>
      </c>
      <c r="T1591" s="686" t="str">
        <f t="shared" ref="T1591:T1611" si="853">IF(C1591=20,ROUND(((N1591+O1591)*F1591*G1591*H1591)/1000,3),"-")</f>
        <v>-</v>
      </c>
      <c r="U1591" s="723" t="str">
        <f t="shared" ref="U1591:U1611" si="854">IF(C1591=25,ROUND(((N1591+O1591)*F1591*G1591*H1591)/1000,3),"-")</f>
        <v>-</v>
      </c>
      <c r="V1591" s="695" t="str">
        <f t="shared" ref="V1591:V1611" si="855">IF(C1591=32,ROUND(((N1591+O1591)*F1591*G1591*H1591)/1000,3),"-")</f>
        <v>-</v>
      </c>
      <c r="W1591" s="711"/>
    </row>
    <row r="1592" spans="1:23" ht="30.75">
      <c r="A1592" s="726"/>
      <c r="B1592" s="208" t="s">
        <v>1731</v>
      </c>
      <c r="C1592" s="727"/>
      <c r="D1592" s="690"/>
      <c r="E1592" s="690"/>
      <c r="F1592" s="685"/>
      <c r="G1592" s="239"/>
      <c r="H1592" s="203"/>
      <c r="I1592" s="198"/>
      <c r="J1592" s="198"/>
      <c r="K1592" s="198"/>
      <c r="L1592" s="198"/>
      <c r="M1592" s="198"/>
      <c r="N1592" s="721" t="str">
        <f t="shared" si="847"/>
        <v>-</v>
      </c>
      <c r="O1592" s="721" t="str">
        <f t="shared" si="848"/>
        <v/>
      </c>
      <c r="P1592" s="722" t="str">
        <f t="shared" si="849"/>
        <v>-</v>
      </c>
      <c r="Q1592" s="686" t="str">
        <f t="shared" si="850"/>
        <v>-</v>
      </c>
      <c r="R1592" s="686" t="str">
        <f t="shared" si="851"/>
        <v>-</v>
      </c>
      <c r="S1592" s="686" t="str">
        <f t="shared" si="852"/>
        <v>-</v>
      </c>
      <c r="T1592" s="686" t="str">
        <f t="shared" si="853"/>
        <v>-</v>
      </c>
      <c r="U1592" s="723" t="str">
        <f t="shared" si="854"/>
        <v>-</v>
      </c>
      <c r="V1592" s="695" t="str">
        <f t="shared" si="855"/>
        <v>-</v>
      </c>
      <c r="W1592" s="711"/>
    </row>
    <row r="1593" spans="1:23" ht="16.5">
      <c r="A1593" s="726"/>
      <c r="B1593" s="726"/>
      <c r="C1593" s="727"/>
      <c r="D1593" s="690"/>
      <c r="E1593" s="690"/>
      <c r="F1593" s="685"/>
      <c r="G1593" s="239"/>
      <c r="H1593" s="203"/>
      <c r="I1593" s="198"/>
      <c r="J1593" s="198"/>
      <c r="K1593" s="198"/>
      <c r="L1593" s="198"/>
      <c r="M1593" s="198"/>
      <c r="N1593" s="721" t="str">
        <f t="shared" si="847"/>
        <v>-</v>
      </c>
      <c r="O1593" s="721" t="str">
        <f t="shared" si="848"/>
        <v/>
      </c>
      <c r="P1593" s="722" t="str">
        <f t="shared" si="849"/>
        <v>-</v>
      </c>
      <c r="Q1593" s="686" t="str">
        <f t="shared" si="850"/>
        <v>-</v>
      </c>
      <c r="R1593" s="686" t="str">
        <f t="shared" si="851"/>
        <v>-</v>
      </c>
      <c r="S1593" s="686" t="str">
        <f t="shared" si="852"/>
        <v>-</v>
      </c>
      <c r="T1593" s="686" t="str">
        <f t="shared" si="853"/>
        <v>-</v>
      </c>
      <c r="U1593" s="723" t="str">
        <f t="shared" si="854"/>
        <v>-</v>
      </c>
      <c r="V1593" s="695" t="str">
        <f t="shared" si="855"/>
        <v>-</v>
      </c>
      <c r="W1593" s="711"/>
    </row>
    <row r="1594" spans="1:23" ht="16.5">
      <c r="A1594" s="726"/>
      <c r="B1594" s="726" t="s">
        <v>1732</v>
      </c>
      <c r="C1594" s="727"/>
      <c r="D1594" s="690"/>
      <c r="E1594" s="690"/>
      <c r="F1594" s="685"/>
      <c r="G1594" s="239"/>
      <c r="H1594" s="203"/>
      <c r="I1594" s="198"/>
      <c r="J1594" s="198"/>
      <c r="K1594" s="198"/>
      <c r="L1594" s="198"/>
      <c r="M1594" s="198"/>
      <c r="N1594" s="721" t="str">
        <f t="shared" si="847"/>
        <v>-</v>
      </c>
      <c r="O1594" s="721" t="str">
        <f t="shared" si="848"/>
        <v/>
      </c>
      <c r="P1594" s="722" t="str">
        <f t="shared" si="849"/>
        <v>-</v>
      </c>
      <c r="Q1594" s="686" t="str">
        <f t="shared" si="850"/>
        <v>-</v>
      </c>
      <c r="R1594" s="686" t="str">
        <f t="shared" si="851"/>
        <v>-</v>
      </c>
      <c r="S1594" s="686" t="str">
        <f t="shared" si="852"/>
        <v>-</v>
      </c>
      <c r="T1594" s="686" t="str">
        <f t="shared" si="853"/>
        <v>-</v>
      </c>
      <c r="U1594" s="723" t="str">
        <f t="shared" si="854"/>
        <v>-</v>
      </c>
      <c r="V1594" s="695" t="str">
        <f t="shared" si="855"/>
        <v>-</v>
      </c>
      <c r="W1594" s="711"/>
    </row>
    <row r="1595" spans="1:23" ht="16.5">
      <c r="A1595" s="726"/>
      <c r="B1595" s="726" t="s">
        <v>1663</v>
      </c>
      <c r="C1595" s="727">
        <v>10</v>
      </c>
      <c r="D1595" s="690"/>
      <c r="E1595" s="720" t="s">
        <v>1557</v>
      </c>
      <c r="F1595" s="685">
        <v>1</v>
      </c>
      <c r="G1595" s="239">
        <v>2</v>
      </c>
      <c r="H1595" s="1112">
        <v>5</v>
      </c>
      <c r="I1595" s="198">
        <f>250-50-50</f>
        <v>150</v>
      </c>
      <c r="J1595" s="198">
        <f>900-50-50</f>
        <v>800</v>
      </c>
      <c r="K1595" s="198">
        <f>250-50-50</f>
        <v>150</v>
      </c>
      <c r="L1595" s="198"/>
      <c r="M1595" s="198"/>
      <c r="N1595" s="721">
        <f t="shared" si="847"/>
        <v>1060</v>
      </c>
      <c r="O1595" s="721">
        <f t="shared" si="848"/>
        <v>0</v>
      </c>
      <c r="P1595" s="722" t="str">
        <f t="shared" si="849"/>
        <v>-</v>
      </c>
      <c r="Q1595" s="686">
        <f t="shared" si="850"/>
        <v>10.6</v>
      </c>
      <c r="R1595" s="686" t="str">
        <f t="shared" si="851"/>
        <v>-</v>
      </c>
      <c r="S1595" s="686" t="str">
        <f t="shared" si="852"/>
        <v>-</v>
      </c>
      <c r="T1595" s="686" t="str">
        <f t="shared" si="853"/>
        <v>-</v>
      </c>
      <c r="U1595" s="723" t="str">
        <f t="shared" si="854"/>
        <v>-</v>
      </c>
      <c r="V1595" s="695" t="str">
        <f t="shared" si="855"/>
        <v>-</v>
      </c>
      <c r="W1595" s="711"/>
    </row>
    <row r="1596" spans="1:23" ht="16.5">
      <c r="A1596" s="726"/>
      <c r="B1596" s="726" t="s">
        <v>1733</v>
      </c>
      <c r="C1596" s="727">
        <v>10</v>
      </c>
      <c r="D1596" s="690"/>
      <c r="E1596" s="720" t="s">
        <v>1557</v>
      </c>
      <c r="F1596" s="685">
        <v>1</v>
      </c>
      <c r="G1596" s="239">
        <v>2</v>
      </c>
      <c r="H1596" s="1112">
        <v>5</v>
      </c>
      <c r="I1596" s="198">
        <f>250-50-50</f>
        <v>150</v>
      </c>
      <c r="J1596" s="198">
        <f>900-50-50</f>
        <v>800</v>
      </c>
      <c r="K1596" s="198">
        <f>250-50-50</f>
        <v>150</v>
      </c>
      <c r="L1596" s="198"/>
      <c r="M1596" s="198"/>
      <c r="N1596" s="721">
        <f t="shared" si="847"/>
        <v>1060</v>
      </c>
      <c r="O1596" s="721">
        <f t="shared" si="848"/>
        <v>0</v>
      </c>
      <c r="P1596" s="722" t="str">
        <f t="shared" si="849"/>
        <v>-</v>
      </c>
      <c r="Q1596" s="686">
        <f t="shared" si="850"/>
        <v>10.6</v>
      </c>
      <c r="R1596" s="686" t="str">
        <f t="shared" si="851"/>
        <v>-</v>
      </c>
      <c r="S1596" s="686" t="str">
        <f t="shared" si="852"/>
        <v>-</v>
      </c>
      <c r="T1596" s="686" t="str">
        <f t="shared" si="853"/>
        <v>-</v>
      </c>
      <c r="U1596" s="723" t="str">
        <f t="shared" si="854"/>
        <v>-</v>
      </c>
      <c r="V1596" s="695" t="str">
        <f t="shared" si="855"/>
        <v>-</v>
      </c>
      <c r="W1596" s="711"/>
    </row>
    <row r="1597" spans="1:23" ht="16.5">
      <c r="A1597" s="726"/>
      <c r="B1597" s="726"/>
      <c r="C1597" s="727"/>
      <c r="D1597" s="690"/>
      <c r="E1597" s="690"/>
      <c r="F1597" s="685"/>
      <c r="G1597" s="239"/>
      <c r="H1597" s="203"/>
      <c r="I1597" s="198"/>
      <c r="J1597" s="198"/>
      <c r="K1597" s="198"/>
      <c r="L1597" s="198"/>
      <c r="M1597" s="198"/>
      <c r="N1597" s="721" t="str">
        <f t="shared" si="847"/>
        <v>-</v>
      </c>
      <c r="O1597" s="721" t="str">
        <f t="shared" si="848"/>
        <v/>
      </c>
      <c r="P1597" s="722" t="str">
        <f t="shared" si="849"/>
        <v>-</v>
      </c>
      <c r="Q1597" s="686" t="str">
        <f t="shared" si="850"/>
        <v>-</v>
      </c>
      <c r="R1597" s="686" t="str">
        <f t="shared" si="851"/>
        <v>-</v>
      </c>
      <c r="S1597" s="686" t="str">
        <f t="shared" si="852"/>
        <v>-</v>
      </c>
      <c r="T1597" s="686" t="str">
        <f t="shared" si="853"/>
        <v>-</v>
      </c>
      <c r="U1597" s="723" t="str">
        <f t="shared" si="854"/>
        <v>-</v>
      </c>
      <c r="V1597" s="695" t="str">
        <f t="shared" si="855"/>
        <v>-</v>
      </c>
      <c r="W1597" s="711"/>
    </row>
    <row r="1598" spans="1:23" ht="16.5">
      <c r="A1598" s="726"/>
      <c r="B1598" s="207" t="s">
        <v>1734</v>
      </c>
      <c r="C1598" s="727">
        <v>12</v>
      </c>
      <c r="D1598" s="690"/>
      <c r="E1598" s="753" t="s">
        <v>1593</v>
      </c>
      <c r="F1598" s="685">
        <v>1</v>
      </c>
      <c r="G1598" s="204">
        <v>2</v>
      </c>
      <c r="H1598" s="203">
        <v>4</v>
      </c>
      <c r="I1598" s="198">
        <v>150</v>
      </c>
      <c r="J1598" s="198">
        <f>1200+200</f>
        <v>1400</v>
      </c>
      <c r="K1598" s="198"/>
      <c r="L1598" s="198"/>
      <c r="M1598" s="198"/>
      <c r="N1598" s="721">
        <f t="shared" si="847"/>
        <v>1526</v>
      </c>
      <c r="O1598" s="721">
        <f t="shared" si="848"/>
        <v>0</v>
      </c>
      <c r="P1598" s="722" t="str">
        <f t="shared" si="849"/>
        <v>-</v>
      </c>
      <c r="Q1598" s="686" t="str">
        <f t="shared" si="850"/>
        <v>-</v>
      </c>
      <c r="R1598" s="686">
        <f t="shared" si="851"/>
        <v>12.208</v>
      </c>
      <c r="S1598" s="686" t="str">
        <f t="shared" si="852"/>
        <v>-</v>
      </c>
      <c r="T1598" s="686" t="str">
        <f t="shared" si="853"/>
        <v>-</v>
      </c>
      <c r="U1598" s="723" t="str">
        <f t="shared" si="854"/>
        <v>-</v>
      </c>
      <c r="V1598" s="695" t="str">
        <f t="shared" si="855"/>
        <v>-</v>
      </c>
      <c r="W1598" s="711"/>
    </row>
    <row r="1599" spans="1:23" ht="16.5">
      <c r="A1599" s="726"/>
      <c r="B1599" s="726" t="s">
        <v>1735</v>
      </c>
      <c r="C1599" s="727">
        <v>8</v>
      </c>
      <c r="D1599" s="690"/>
      <c r="E1599" s="691" t="s">
        <v>1558</v>
      </c>
      <c r="F1599" s="685">
        <v>1</v>
      </c>
      <c r="G1599" s="239">
        <v>2</v>
      </c>
      <c r="H1599" s="203">
        <f>((J1598)/200)+1</f>
        <v>8</v>
      </c>
      <c r="I1599" s="198">
        <v>170</v>
      </c>
      <c r="J1599" s="198">
        <v>170</v>
      </c>
      <c r="K1599" s="198">
        <v>170</v>
      </c>
      <c r="L1599" s="198">
        <v>170</v>
      </c>
      <c r="M1599" s="198"/>
      <c r="N1599" s="721">
        <f t="shared" si="847"/>
        <v>760</v>
      </c>
      <c r="O1599" s="721">
        <f t="shared" si="848"/>
        <v>0</v>
      </c>
      <c r="P1599" s="722">
        <f t="shared" si="849"/>
        <v>12.16</v>
      </c>
      <c r="Q1599" s="686" t="str">
        <f t="shared" si="850"/>
        <v>-</v>
      </c>
      <c r="R1599" s="686" t="str">
        <f t="shared" si="851"/>
        <v>-</v>
      </c>
      <c r="S1599" s="686" t="str">
        <f t="shared" si="852"/>
        <v>-</v>
      </c>
      <c r="T1599" s="686" t="str">
        <f t="shared" si="853"/>
        <v>-</v>
      </c>
      <c r="U1599" s="723" t="str">
        <f t="shared" si="854"/>
        <v>-</v>
      </c>
      <c r="V1599" s="695" t="str">
        <f t="shared" si="855"/>
        <v>-</v>
      </c>
      <c r="W1599" s="711"/>
    </row>
    <row r="1600" spans="1:23" ht="16.5">
      <c r="A1600" s="726"/>
      <c r="B1600" s="726"/>
      <c r="C1600" s="727"/>
      <c r="D1600" s="690"/>
      <c r="E1600" s="690"/>
      <c r="F1600" s="685"/>
      <c r="G1600" s="239"/>
      <c r="H1600" s="203"/>
      <c r="I1600" s="198"/>
      <c r="J1600" s="198"/>
      <c r="K1600" s="198"/>
      <c r="L1600" s="198"/>
      <c r="M1600" s="198"/>
      <c r="N1600" s="721" t="str">
        <f t="shared" si="847"/>
        <v>-</v>
      </c>
      <c r="O1600" s="721" t="str">
        <f t="shared" si="848"/>
        <v/>
      </c>
      <c r="P1600" s="722" t="str">
        <f t="shared" si="849"/>
        <v>-</v>
      </c>
      <c r="Q1600" s="686" t="str">
        <f t="shared" si="850"/>
        <v>-</v>
      </c>
      <c r="R1600" s="686" t="str">
        <f t="shared" si="851"/>
        <v>-</v>
      </c>
      <c r="S1600" s="686" t="str">
        <f t="shared" si="852"/>
        <v>-</v>
      </c>
      <c r="T1600" s="686" t="str">
        <f t="shared" si="853"/>
        <v>-</v>
      </c>
      <c r="U1600" s="723" t="str">
        <f t="shared" si="854"/>
        <v>-</v>
      </c>
      <c r="V1600" s="695" t="str">
        <f t="shared" si="855"/>
        <v>-</v>
      </c>
      <c r="W1600" s="711"/>
    </row>
    <row r="1601" spans="1:23" ht="30.75">
      <c r="A1601" s="726"/>
      <c r="B1601" s="208" t="s">
        <v>1736</v>
      </c>
      <c r="C1601" s="727"/>
      <c r="D1601" s="690"/>
      <c r="E1601" s="690"/>
      <c r="F1601" s="685"/>
      <c r="G1601" s="239"/>
      <c r="H1601" s="203"/>
      <c r="I1601" s="198"/>
      <c r="J1601" s="198"/>
      <c r="K1601" s="198"/>
      <c r="L1601" s="198"/>
      <c r="M1601" s="198"/>
      <c r="N1601" s="721" t="str">
        <f t="shared" si="847"/>
        <v>-</v>
      </c>
      <c r="O1601" s="721" t="str">
        <f t="shared" si="848"/>
        <v/>
      </c>
      <c r="P1601" s="722" t="str">
        <f t="shared" si="849"/>
        <v>-</v>
      </c>
      <c r="Q1601" s="686" t="str">
        <f t="shared" si="850"/>
        <v>-</v>
      </c>
      <c r="R1601" s="686" t="str">
        <f t="shared" si="851"/>
        <v>-</v>
      </c>
      <c r="S1601" s="686" t="str">
        <f t="shared" si="852"/>
        <v>-</v>
      </c>
      <c r="T1601" s="686" t="str">
        <f t="shared" si="853"/>
        <v>-</v>
      </c>
      <c r="U1601" s="723" t="str">
        <f t="shared" si="854"/>
        <v>-</v>
      </c>
      <c r="V1601" s="695" t="str">
        <f t="shared" si="855"/>
        <v>-</v>
      </c>
      <c r="W1601" s="711"/>
    </row>
    <row r="1602" spans="1:23" ht="16.5">
      <c r="A1602" s="726"/>
      <c r="B1602" s="726"/>
      <c r="C1602" s="727"/>
      <c r="D1602" s="690"/>
      <c r="E1602" s="690"/>
      <c r="F1602" s="685"/>
      <c r="G1602" s="239"/>
      <c r="H1602" s="203"/>
      <c r="I1602" s="198"/>
      <c r="J1602" s="198"/>
      <c r="K1602" s="198"/>
      <c r="L1602" s="198"/>
      <c r="M1602" s="198"/>
      <c r="N1602" s="721" t="str">
        <f t="shared" si="847"/>
        <v>-</v>
      </c>
      <c r="O1602" s="721" t="str">
        <f t="shared" si="848"/>
        <v/>
      </c>
      <c r="P1602" s="722" t="str">
        <f t="shared" si="849"/>
        <v>-</v>
      </c>
      <c r="Q1602" s="686" t="str">
        <f t="shared" si="850"/>
        <v>-</v>
      </c>
      <c r="R1602" s="686" t="str">
        <f t="shared" si="851"/>
        <v>-</v>
      </c>
      <c r="S1602" s="686" t="str">
        <f t="shared" si="852"/>
        <v>-</v>
      </c>
      <c r="T1602" s="686" t="str">
        <f t="shared" si="853"/>
        <v>-</v>
      </c>
      <c r="U1602" s="723" t="str">
        <f t="shared" si="854"/>
        <v>-</v>
      </c>
      <c r="V1602" s="695" t="str">
        <f t="shared" si="855"/>
        <v>-</v>
      </c>
      <c r="W1602" s="711"/>
    </row>
    <row r="1603" spans="1:23" ht="16.5">
      <c r="A1603" s="726"/>
      <c r="B1603" s="726" t="s">
        <v>1737</v>
      </c>
      <c r="C1603" s="727"/>
      <c r="D1603" s="690"/>
      <c r="E1603" s="690"/>
      <c r="F1603" s="685"/>
      <c r="G1603" s="239"/>
      <c r="H1603" s="203"/>
      <c r="I1603" s="198"/>
      <c r="J1603" s="198"/>
      <c r="K1603" s="198"/>
      <c r="L1603" s="198"/>
      <c r="M1603" s="198"/>
      <c r="N1603" s="721" t="str">
        <f t="shared" si="847"/>
        <v>-</v>
      </c>
      <c r="O1603" s="721" t="str">
        <f t="shared" si="848"/>
        <v/>
      </c>
      <c r="P1603" s="722" t="str">
        <f t="shared" si="849"/>
        <v>-</v>
      </c>
      <c r="Q1603" s="686" t="str">
        <f t="shared" si="850"/>
        <v>-</v>
      </c>
      <c r="R1603" s="686" t="str">
        <f t="shared" si="851"/>
        <v>-</v>
      </c>
      <c r="S1603" s="686" t="str">
        <f t="shared" si="852"/>
        <v>-</v>
      </c>
      <c r="T1603" s="686" t="str">
        <f t="shared" si="853"/>
        <v>-</v>
      </c>
      <c r="U1603" s="723" t="str">
        <f t="shared" si="854"/>
        <v>-</v>
      </c>
      <c r="V1603" s="695" t="str">
        <f t="shared" si="855"/>
        <v>-</v>
      </c>
      <c r="W1603" s="711"/>
    </row>
    <row r="1604" spans="1:23" ht="16.5">
      <c r="A1604" s="726"/>
      <c r="B1604" s="726" t="s">
        <v>1738</v>
      </c>
      <c r="C1604" s="727">
        <v>10</v>
      </c>
      <c r="D1604" s="690"/>
      <c r="E1604" s="720" t="s">
        <v>1557</v>
      </c>
      <c r="F1604" s="1113">
        <v>1</v>
      </c>
      <c r="G1604" s="239">
        <v>2</v>
      </c>
      <c r="H1604" s="1112">
        <v>8</v>
      </c>
      <c r="I1604" s="198">
        <f>350-50-50</f>
        <v>250</v>
      </c>
      <c r="J1604" s="198">
        <f>1500-50-50</f>
        <v>1400</v>
      </c>
      <c r="K1604" s="198">
        <f>350-50-50</f>
        <v>250</v>
      </c>
      <c r="L1604" s="198"/>
      <c r="M1604" s="198"/>
      <c r="N1604" s="721">
        <f t="shared" si="847"/>
        <v>1860</v>
      </c>
      <c r="O1604" s="721">
        <f t="shared" si="848"/>
        <v>0</v>
      </c>
      <c r="P1604" s="722" t="str">
        <f t="shared" si="849"/>
        <v>-</v>
      </c>
      <c r="Q1604" s="686">
        <f t="shared" si="850"/>
        <v>29.76</v>
      </c>
      <c r="R1604" s="686" t="str">
        <f t="shared" si="851"/>
        <v>-</v>
      </c>
      <c r="S1604" s="686" t="str">
        <f t="shared" si="852"/>
        <v>-</v>
      </c>
      <c r="T1604" s="686" t="str">
        <f t="shared" si="853"/>
        <v>-</v>
      </c>
      <c r="U1604" s="723" t="str">
        <f t="shared" si="854"/>
        <v>-</v>
      </c>
      <c r="V1604" s="695" t="str">
        <f t="shared" si="855"/>
        <v>-</v>
      </c>
      <c r="W1604" s="711"/>
    </row>
    <row r="1605" spans="1:23" ht="16.5">
      <c r="A1605" s="726"/>
      <c r="B1605" s="726" t="s">
        <v>1739</v>
      </c>
      <c r="C1605" s="727">
        <v>10</v>
      </c>
      <c r="D1605" s="690"/>
      <c r="E1605" s="720" t="s">
        <v>1557</v>
      </c>
      <c r="F1605" s="1113">
        <v>1</v>
      </c>
      <c r="G1605" s="239">
        <v>2</v>
      </c>
      <c r="H1605" s="1112">
        <v>8</v>
      </c>
      <c r="I1605" s="198">
        <f>350-50-50</f>
        <v>250</v>
      </c>
      <c r="J1605" s="198">
        <f>1500-50-50</f>
        <v>1400</v>
      </c>
      <c r="K1605" s="198">
        <f>350-50-50</f>
        <v>250</v>
      </c>
      <c r="L1605" s="198"/>
      <c r="M1605" s="198"/>
      <c r="N1605" s="721">
        <f t="shared" si="847"/>
        <v>1860</v>
      </c>
      <c r="O1605" s="721">
        <f t="shared" si="848"/>
        <v>0</v>
      </c>
      <c r="P1605" s="722" t="str">
        <f t="shared" si="849"/>
        <v>-</v>
      </c>
      <c r="Q1605" s="686">
        <f t="shared" si="850"/>
        <v>29.76</v>
      </c>
      <c r="R1605" s="686" t="str">
        <f t="shared" si="851"/>
        <v>-</v>
      </c>
      <c r="S1605" s="686" t="str">
        <f t="shared" si="852"/>
        <v>-</v>
      </c>
      <c r="T1605" s="686" t="str">
        <f t="shared" si="853"/>
        <v>-</v>
      </c>
      <c r="U1605" s="723" t="str">
        <f t="shared" si="854"/>
        <v>-</v>
      </c>
      <c r="V1605" s="695" t="str">
        <f t="shared" si="855"/>
        <v>-</v>
      </c>
      <c r="W1605" s="711"/>
    </row>
    <row r="1606" spans="1:23" ht="16.5">
      <c r="A1606" s="726"/>
      <c r="B1606" s="726" t="s">
        <v>1740</v>
      </c>
      <c r="C1606" s="727">
        <v>10</v>
      </c>
      <c r="D1606" s="690"/>
      <c r="E1606" s="753" t="s">
        <v>1593</v>
      </c>
      <c r="F1606" s="1113">
        <v>1</v>
      </c>
      <c r="G1606" s="1114">
        <v>2</v>
      </c>
      <c r="H1606" s="203">
        <v>2</v>
      </c>
      <c r="I1606" s="198"/>
      <c r="J1606" s="198">
        <f>1400*4</f>
        <v>5600</v>
      </c>
      <c r="K1606" s="198"/>
      <c r="L1606" s="198"/>
      <c r="M1606" s="198"/>
      <c r="N1606" s="721">
        <f t="shared" si="847"/>
        <v>5580</v>
      </c>
      <c r="O1606" s="721">
        <f t="shared" si="848"/>
        <v>0</v>
      </c>
      <c r="P1606" s="722" t="str">
        <f t="shared" si="849"/>
        <v>-</v>
      </c>
      <c r="Q1606" s="686">
        <f t="shared" si="850"/>
        <v>22.32</v>
      </c>
      <c r="R1606" s="686" t="str">
        <f t="shared" si="851"/>
        <v>-</v>
      </c>
      <c r="S1606" s="686" t="str">
        <f t="shared" si="852"/>
        <v>-</v>
      </c>
      <c r="T1606" s="686" t="str">
        <f t="shared" si="853"/>
        <v>-</v>
      </c>
      <c r="U1606" s="723" t="str">
        <f t="shared" si="854"/>
        <v>-</v>
      </c>
      <c r="V1606" s="695" t="str">
        <f t="shared" si="855"/>
        <v>-</v>
      </c>
      <c r="W1606" s="711"/>
    </row>
    <row r="1607" spans="1:23" ht="16.5">
      <c r="A1607" s="726"/>
      <c r="B1607" s="726"/>
      <c r="C1607" s="727"/>
      <c r="D1607" s="690"/>
      <c r="E1607" s="690"/>
      <c r="F1607" s="685"/>
      <c r="G1607" s="239"/>
      <c r="H1607" s="203"/>
      <c r="I1607" s="198"/>
      <c r="J1607" s="198"/>
      <c r="K1607" s="198"/>
      <c r="L1607" s="198"/>
      <c r="M1607" s="198"/>
      <c r="N1607" s="721" t="str">
        <f t="shared" si="847"/>
        <v>-</v>
      </c>
      <c r="O1607" s="721" t="str">
        <f t="shared" si="848"/>
        <v/>
      </c>
      <c r="P1607" s="722" t="str">
        <f t="shared" si="849"/>
        <v>-</v>
      </c>
      <c r="Q1607" s="686" t="str">
        <f t="shared" si="850"/>
        <v>-</v>
      </c>
      <c r="R1607" s="686" t="str">
        <f t="shared" si="851"/>
        <v>-</v>
      </c>
      <c r="S1607" s="686" t="str">
        <f t="shared" si="852"/>
        <v>-</v>
      </c>
      <c r="T1607" s="686" t="str">
        <f t="shared" si="853"/>
        <v>-</v>
      </c>
      <c r="U1607" s="723" t="str">
        <f t="shared" si="854"/>
        <v>-</v>
      </c>
      <c r="V1607" s="695" t="str">
        <f t="shared" si="855"/>
        <v>-</v>
      </c>
      <c r="W1607" s="711"/>
    </row>
    <row r="1608" spans="1:23" ht="16.5">
      <c r="A1608" s="726"/>
      <c r="B1608" s="207" t="s">
        <v>1734</v>
      </c>
      <c r="C1608" s="727">
        <v>12</v>
      </c>
      <c r="D1608" s="690"/>
      <c r="E1608" s="753" t="s">
        <v>1593</v>
      </c>
      <c r="F1608" s="685">
        <v>1</v>
      </c>
      <c r="G1608" s="204">
        <v>2</v>
      </c>
      <c r="H1608" s="203">
        <v>4</v>
      </c>
      <c r="I1608" s="198">
        <v>150</v>
      </c>
      <c r="J1608" s="1115">
        <v>2225</v>
      </c>
      <c r="K1608" s="198"/>
      <c r="L1608" s="198"/>
      <c r="M1608" s="198"/>
      <c r="N1608" s="721">
        <f t="shared" si="847"/>
        <v>2351</v>
      </c>
      <c r="O1608" s="721">
        <f t="shared" si="848"/>
        <v>0</v>
      </c>
      <c r="P1608" s="722" t="str">
        <f t="shared" si="849"/>
        <v>-</v>
      </c>
      <c r="Q1608" s="686" t="str">
        <f t="shared" si="850"/>
        <v>-</v>
      </c>
      <c r="R1608" s="686">
        <f t="shared" si="851"/>
        <v>18.808</v>
      </c>
      <c r="S1608" s="686" t="str">
        <f t="shared" si="852"/>
        <v>-</v>
      </c>
      <c r="T1608" s="686" t="str">
        <f t="shared" si="853"/>
        <v>-</v>
      </c>
      <c r="U1608" s="723" t="str">
        <f t="shared" si="854"/>
        <v>-</v>
      </c>
      <c r="V1608" s="695" t="str">
        <f t="shared" si="855"/>
        <v>-</v>
      </c>
      <c r="W1608" s="711"/>
    </row>
    <row r="1609" spans="1:23" ht="16.5">
      <c r="A1609" s="726"/>
      <c r="B1609" s="726" t="s">
        <v>1741</v>
      </c>
      <c r="C1609" s="727">
        <v>8</v>
      </c>
      <c r="D1609" s="690"/>
      <c r="E1609" s="691" t="s">
        <v>1558</v>
      </c>
      <c r="F1609" s="685">
        <v>1</v>
      </c>
      <c r="G1609" s="239">
        <v>2</v>
      </c>
      <c r="H1609" s="203">
        <f>((J1608)/150)+1</f>
        <v>15.833333333333334</v>
      </c>
      <c r="I1609" s="198">
        <v>420</v>
      </c>
      <c r="J1609" s="198">
        <v>420</v>
      </c>
      <c r="K1609" s="198">
        <v>420</v>
      </c>
      <c r="L1609" s="198">
        <v>420</v>
      </c>
      <c r="M1609" s="198"/>
      <c r="N1609" s="721">
        <f t="shared" si="847"/>
        <v>1760</v>
      </c>
      <c r="O1609" s="721">
        <f t="shared" si="848"/>
        <v>0</v>
      </c>
      <c r="P1609" s="722">
        <f t="shared" si="849"/>
        <v>55.732999999999997</v>
      </c>
      <c r="Q1609" s="686" t="str">
        <f t="shared" si="850"/>
        <v>-</v>
      </c>
      <c r="R1609" s="686" t="str">
        <f t="shared" si="851"/>
        <v>-</v>
      </c>
      <c r="S1609" s="686" t="str">
        <f t="shared" si="852"/>
        <v>-</v>
      </c>
      <c r="T1609" s="686" t="str">
        <f t="shared" si="853"/>
        <v>-</v>
      </c>
      <c r="U1609" s="723" t="str">
        <f t="shared" si="854"/>
        <v>-</v>
      </c>
      <c r="V1609" s="695" t="str">
        <f t="shared" si="855"/>
        <v>-</v>
      </c>
      <c r="W1609" s="711"/>
    </row>
    <row r="1610" spans="1:23" ht="16.5">
      <c r="A1610" s="726"/>
      <c r="B1610" s="726" t="s">
        <v>1742</v>
      </c>
      <c r="C1610" s="727">
        <v>8</v>
      </c>
      <c r="D1610" s="690"/>
      <c r="E1610" s="691" t="s">
        <v>1558</v>
      </c>
      <c r="F1610" s="685">
        <v>1</v>
      </c>
      <c r="G1610" s="239">
        <v>2</v>
      </c>
      <c r="H1610" s="203">
        <v>8</v>
      </c>
      <c r="I1610" s="198">
        <v>148</v>
      </c>
      <c r="J1610" s="198">
        <v>420</v>
      </c>
      <c r="K1610" s="198">
        <v>148</v>
      </c>
      <c r="L1610" s="198">
        <v>420</v>
      </c>
      <c r="M1610" s="198"/>
      <c r="N1610" s="721">
        <f t="shared" si="847"/>
        <v>1216</v>
      </c>
      <c r="O1610" s="721">
        <f t="shared" si="848"/>
        <v>0</v>
      </c>
      <c r="P1610" s="722">
        <f t="shared" si="849"/>
        <v>19.456</v>
      </c>
      <c r="Q1610" s="686" t="str">
        <f t="shared" si="850"/>
        <v>-</v>
      </c>
      <c r="R1610" s="686" t="str">
        <f t="shared" si="851"/>
        <v>-</v>
      </c>
      <c r="S1610" s="686" t="str">
        <f t="shared" si="852"/>
        <v>-</v>
      </c>
      <c r="T1610" s="686" t="str">
        <f t="shared" si="853"/>
        <v>-</v>
      </c>
      <c r="U1610" s="723" t="str">
        <f t="shared" si="854"/>
        <v>-</v>
      </c>
      <c r="V1610" s="695" t="str">
        <f t="shared" si="855"/>
        <v>-</v>
      </c>
      <c r="W1610" s="711"/>
    </row>
    <row r="1611" spans="1:23" ht="16.5">
      <c r="A1611" s="726"/>
      <c r="B1611" s="726"/>
      <c r="C1611" s="727"/>
      <c r="D1611" s="690"/>
      <c r="E1611" s="690"/>
      <c r="F1611" s="685"/>
      <c r="G1611" s="239"/>
      <c r="H1611" s="203"/>
      <c r="I1611" s="198"/>
      <c r="J1611" s="198"/>
      <c r="K1611" s="198"/>
      <c r="L1611" s="198"/>
      <c r="M1611" s="198"/>
      <c r="N1611" s="721" t="str">
        <f t="shared" si="847"/>
        <v>-</v>
      </c>
      <c r="O1611" s="721" t="str">
        <f t="shared" si="848"/>
        <v/>
      </c>
      <c r="P1611" s="722" t="str">
        <f t="shared" si="849"/>
        <v>-</v>
      </c>
      <c r="Q1611" s="686" t="str">
        <f t="shared" si="850"/>
        <v>-</v>
      </c>
      <c r="R1611" s="686" t="str">
        <f t="shared" si="851"/>
        <v>-</v>
      </c>
      <c r="S1611" s="686" t="str">
        <f t="shared" si="852"/>
        <v>-</v>
      </c>
      <c r="T1611" s="686" t="str">
        <f t="shared" si="853"/>
        <v>-</v>
      </c>
      <c r="U1611" s="723" t="str">
        <f t="shared" si="854"/>
        <v>-</v>
      </c>
      <c r="V1611" s="695" t="str">
        <f t="shared" si="855"/>
        <v>-</v>
      </c>
      <c r="W1611" s="711"/>
    </row>
    <row r="1612" spans="1:23" ht="16.5">
      <c r="A1612" s="195"/>
      <c r="B1612" s="212" t="s">
        <v>482</v>
      </c>
      <c r="C1612" s="196"/>
      <c r="D1612" s="685"/>
      <c r="E1612" s="196"/>
      <c r="F1612" s="685"/>
      <c r="G1612" s="204"/>
      <c r="H1612" s="213"/>
      <c r="I1612" s="198">
        <v>0</v>
      </c>
      <c r="J1612" s="198">
        <v>0</v>
      </c>
      <c r="K1612" s="198">
        <v>0</v>
      </c>
      <c r="L1612" s="198">
        <v>0</v>
      </c>
      <c r="M1612" s="198">
        <v>0</v>
      </c>
      <c r="N1612" s="198"/>
      <c r="O1612" s="198"/>
      <c r="P1612" s="200">
        <f>SUM(P1595:P1611)</f>
        <v>87.349000000000004</v>
      </c>
      <c r="Q1612" s="200">
        <f t="shared" ref="Q1612:V1612" si="856">SUM(Q1595:Q1611)</f>
        <v>103.03999999999999</v>
      </c>
      <c r="R1612" s="200">
        <f t="shared" si="856"/>
        <v>31.015999999999998</v>
      </c>
      <c r="S1612" s="200">
        <f t="shared" si="856"/>
        <v>0</v>
      </c>
      <c r="T1612" s="200">
        <f t="shared" si="856"/>
        <v>0</v>
      </c>
      <c r="U1612" s="200">
        <f t="shared" si="856"/>
        <v>0</v>
      </c>
      <c r="V1612" s="200">
        <f t="shared" si="856"/>
        <v>0</v>
      </c>
      <c r="W1612" s="846"/>
    </row>
    <row r="1613" spans="1:23" ht="16.5">
      <c r="A1613" s="195"/>
      <c r="B1613" s="214" t="s">
        <v>483</v>
      </c>
      <c r="C1613" s="196"/>
      <c r="D1613" s="685"/>
      <c r="E1613" s="196"/>
      <c r="F1613" s="685"/>
      <c r="G1613" s="204"/>
      <c r="H1613" s="213"/>
      <c r="I1613" s="198">
        <v>0</v>
      </c>
      <c r="J1613" s="198">
        <v>0</v>
      </c>
      <c r="K1613" s="198">
        <v>0</v>
      </c>
      <c r="L1613" s="198">
        <v>0</v>
      </c>
      <c r="M1613" s="198">
        <v>0</v>
      </c>
      <c r="N1613" s="198"/>
      <c r="O1613" s="198"/>
      <c r="P1613" s="215">
        <v>0.39500000000000002</v>
      </c>
      <c r="Q1613" s="215">
        <v>0.61699999999999999</v>
      </c>
      <c r="R1613" s="215">
        <v>0.88800000000000001</v>
      </c>
      <c r="S1613" s="215">
        <v>1.58</v>
      </c>
      <c r="T1613" s="215">
        <v>2.4700000000000002</v>
      </c>
      <c r="U1613" s="724">
        <v>3.85</v>
      </c>
      <c r="V1613" s="215">
        <v>6.31</v>
      </c>
      <c r="W1613" s="684"/>
    </row>
    <row r="1614" spans="1:23" ht="16.5">
      <c r="A1614" s="195"/>
      <c r="B1614" s="216" t="s">
        <v>484</v>
      </c>
      <c r="C1614" s="196"/>
      <c r="D1614" s="685"/>
      <c r="E1614" s="196"/>
      <c r="F1614" s="685"/>
      <c r="G1614" s="204"/>
      <c r="H1614" s="213"/>
      <c r="I1614" s="198">
        <v>0</v>
      </c>
      <c r="J1614" s="198">
        <v>0</v>
      </c>
      <c r="K1614" s="198">
        <v>0</v>
      </c>
      <c r="L1614" s="198">
        <v>0</v>
      </c>
      <c r="M1614" s="198">
        <v>0</v>
      </c>
      <c r="N1614" s="198"/>
      <c r="O1614" s="198"/>
      <c r="P1614" s="200">
        <f>P1612*P1613</f>
        <v>34.502855000000004</v>
      </c>
      <c r="Q1614" s="200">
        <f t="shared" ref="Q1614:V1614" si="857">Q1612*Q1613</f>
        <v>63.575679999999991</v>
      </c>
      <c r="R1614" s="200">
        <f t="shared" si="857"/>
        <v>27.542207999999999</v>
      </c>
      <c r="S1614" s="200">
        <f t="shared" si="857"/>
        <v>0</v>
      </c>
      <c r="T1614" s="200">
        <f t="shared" si="857"/>
        <v>0</v>
      </c>
      <c r="U1614" s="688">
        <f t="shared" si="857"/>
        <v>0</v>
      </c>
      <c r="V1614" s="200">
        <f t="shared" si="857"/>
        <v>0</v>
      </c>
      <c r="W1614" s="684"/>
    </row>
    <row r="1615" spans="1:23" ht="16.5">
      <c r="A1615" s="195"/>
      <c r="B1615" s="212" t="s">
        <v>485</v>
      </c>
      <c r="C1615" s="196"/>
      <c r="D1615" s="685"/>
      <c r="E1615" s="196"/>
      <c r="F1615" s="685"/>
      <c r="G1615" s="204"/>
      <c r="H1615" s="213"/>
      <c r="I1615" s="198">
        <v>0</v>
      </c>
      <c r="J1615" s="198">
        <v>0</v>
      </c>
      <c r="K1615" s="198">
        <v>0</v>
      </c>
      <c r="L1615" s="198">
        <v>0</v>
      </c>
      <c r="M1615" s="198">
        <v>0</v>
      </c>
      <c r="N1615" s="198"/>
      <c r="O1615" s="198"/>
      <c r="P1615" s="200">
        <f>P1614+Q1614+R1614+S1614+T1614+U1614+V1614</f>
        <v>125.62074299999999</v>
      </c>
      <c r="Q1615" s="200" t="s">
        <v>486</v>
      </c>
      <c r="R1615" s="200"/>
      <c r="S1615" s="200"/>
      <c r="T1615" s="200"/>
      <c r="U1615" s="688"/>
      <c r="V1615" s="200"/>
      <c r="W1615" s="684"/>
    </row>
    <row r="1616" spans="1:23" ht="16.5">
      <c r="A1616" s="195"/>
      <c r="B1616" s="217" t="s">
        <v>487</v>
      </c>
      <c r="C1616" s="218"/>
      <c r="D1616" s="702"/>
      <c r="E1616" s="218"/>
      <c r="F1616" s="837"/>
      <c r="G1616" s="838"/>
      <c r="H1616" s="839"/>
      <c r="I1616" s="198">
        <v>0</v>
      </c>
      <c r="J1616" s="198">
        <v>0</v>
      </c>
      <c r="K1616" s="198">
        <v>0</v>
      </c>
      <c r="L1616" s="198">
        <v>0</v>
      </c>
      <c r="M1616" s="198">
        <v>0</v>
      </c>
      <c r="N1616" s="198"/>
      <c r="O1616" s="198"/>
      <c r="P1616" s="221">
        <f>P1615/1000</f>
        <v>0.12562074299999998</v>
      </c>
      <c r="Q1616" s="222" t="s">
        <v>374</v>
      </c>
      <c r="R1616" s="200"/>
      <c r="S1616" s="200"/>
      <c r="T1616" s="200"/>
      <c r="U1616" s="688"/>
      <c r="V1616" s="200"/>
      <c r="W1616" s="684"/>
    </row>
    <row r="1617" spans="1:23" ht="16.5">
      <c r="A1617" s="726"/>
      <c r="B1617" s="726" t="s">
        <v>1669</v>
      </c>
      <c r="C1617" s="727"/>
      <c r="D1617" s="690"/>
      <c r="E1617" s="690"/>
      <c r="F1617" s="685"/>
      <c r="G1617" s="239"/>
      <c r="H1617" s="203"/>
      <c r="I1617" s="198"/>
      <c r="J1617" s="198"/>
      <c r="K1617" s="198"/>
      <c r="L1617" s="198"/>
      <c r="M1617" s="198"/>
      <c r="N1617" s="721" t="str">
        <f t="shared" si="838"/>
        <v>-</v>
      </c>
      <c r="O1617" s="721" t="str">
        <f t="shared" si="839"/>
        <v/>
      </c>
      <c r="P1617" s="722">
        <f>P1589+P1616</f>
        <v>33.915620742999998</v>
      </c>
      <c r="Q1617" s="686" t="s">
        <v>374</v>
      </c>
      <c r="R1617" s="686" t="str">
        <f t="shared" si="842"/>
        <v>-</v>
      </c>
      <c r="S1617" s="686" t="str">
        <f t="shared" si="843"/>
        <v>-</v>
      </c>
      <c r="T1617" s="686" t="str">
        <f t="shared" si="844"/>
        <v>-</v>
      </c>
      <c r="U1617" s="723" t="str">
        <f t="shared" si="845"/>
        <v>-</v>
      </c>
      <c r="V1617" s="695" t="str">
        <f t="shared" si="846"/>
        <v>-</v>
      </c>
      <c r="W1617" s="711"/>
    </row>
  </sheetData>
  <mergeCells count="13">
    <mergeCell ref="N5:N6"/>
    <mergeCell ref="O5:O6"/>
    <mergeCell ref="P5:V5"/>
    <mergeCell ref="A1:V1"/>
    <mergeCell ref="A3:G3"/>
    <mergeCell ref="T3:U3"/>
    <mergeCell ref="A4:G4"/>
    <mergeCell ref="L4:N4"/>
    <mergeCell ref="A5:A6"/>
    <mergeCell ref="B5:B6"/>
    <mergeCell ref="C5:E5"/>
    <mergeCell ref="F5:H5"/>
    <mergeCell ref="I5:M5"/>
  </mergeCells>
  <conditionalFormatting sqref="N7:T7 P794:V1114 P1460:V1460 P10:V10 P1130:V1141 P1143:V1145 P1147:V1149 P1151:V1153 P1155:V1157 P1159:V1161 P1164:V1166 P1168:V1170 P1173:V1175 P1177:V1179 P1183:V1185 P1187:V1189 P1191:V1193 P1195:V1197 P1199:V1201 P1205:V1207 P1209:V1211 P1214:V1216 P1218:V1220 P1222:V1224 P1226:V1228 P1230:V1232 P1234:V1236 P1238:V1240 P1242:V1244 P1246:V1248 P1250:V1252 P1256:V1258 P1260:V1262 P1264:V1266 P1268:V1270 P1274:V1276 P1278:V1280 P1282:V1284 P1286:V1288 P1290:V1292 P1294:V1296 P1298:V1300 P1302:V1304 P1308:V1310 P1312:V1314 P1316:V1318 P1320:V1322 P1324:V1326 P1328:V1330 P1332:V1334 P1336:V1338 P1342:V1344 P1346:V1348 P1350:V1352 P1354:V1356 P1358:V1360 P1362:V1364 P1369:V1371 P1373:V1375 P1377:V1379 P1383:V1385 P1387:V1389 P1391:V1393 P1395:V1397 P1399:V1401 P1405:V1407 P1411:V1413 P1415:V1417 P1421:V1423 P1425:V1427 P1433:V1437 P1441:V1448 P1451:V1458 P1474:V1584 P1586:V1588 P1590:V1617">
    <cfRule type="cellIs" dxfId="1" priority="5" operator="equal">
      <formula>0</formula>
    </cfRule>
  </conditionalFormatting>
  <conditionalFormatting sqref="P1615:V1616 P1612:V1613">
    <cfRule type="cellIs" dxfId="0" priority="1" operator="equal">
      <formula>0</formula>
    </cfRule>
  </conditionalFormatting>
  <dataValidations count="1">
    <dataValidation type="list" allowBlank="1" showInputMessage="1" showErrorMessage="1" sqref="E1552:E1554 E1532:E1534 E1528:E1530 E1524:E1526 E1516:E1518 E1520:E1522 E1512:E1514 E1505:E1507 E1497:E1499 E1501:E1503 E1493:E1495 E794:E799 E813:E815 E817:E819 E821:E823 E825:E827 E829:E831 E833:E835 E837:E839 E841:E843 E845:E847 E849:E851 E853:E855 E857:E859 E861:E863 E865:E867 E871:E873 E875:E877 E879:E881 E883:E885 E887:E889 E893:E895 E897:E899 E905:E907 E909:E911 E913:E915 E919:E921 E923:E925 E927:E929 E931:E933 E939:E941 E943:E945 E947:E949 E951:E953 E955:E957 E960:E962 E967:E969 E971:E973 E975:E977 E979:E981 E983:E985 E990:E992 E994:E996 E998:E1000 E1003:E1005 E1007:E1009 E935:E937 E1017:E1019 E1021:E1023 E901:E903 E1011:E1013 E1029:E1030 E1032:E1034 E1037:E1040 E1044:E1045 E1047:E1049 E1052:E1055 E1061:E1062 E1064:E1066 E1069:E1072 E1076:E1077 E1079:E1081 E1084:E1087 E1095:E1096 E1098:E1100 E1103:E1108 E1131:E1133 E1135:E1137 E1139:E1141 E1143:E1145 E1147:E1149 E1151:E1153 E1155:E1157 E1159:E1161 E1164:E1166 E1168:E1170 E1173:E1175 E1177:E1179 E1183:E1185 E1187:E1189 E1191:E1193 E1195:E1197 E1199:E1201 E1205:E1207 E1209:E1211 E1214:E1216 E1218:E1220 E1222:E1224 E1226:E1228 E1230:E1232 E1234:E1236 E1238:E1240 E1242:E1244 E1246:E1248 E1250:E1252 E1256:E1258 E1260:E1262 E1264:E1266 E1268:E1270 E1274:E1276 E1278:E1280 E1282:E1284 E1286:E1288 E1290:E1292 E1294:E1296 E1298:E1300 E1302:E1304 E1308:E1310 E1312:E1314 E1316:E1318 E1320:E1322 E1324:E1326 E1328:E1330 E1332:E1334 E1336:E1338 E1342:E1344 E1346:E1348 E1350:E1352 E1354:E1356 E1358:E1360 E1362:E1364 E1369:E1371 E1373:E1375 E1377:E1379 E1383:E1385 E1387:E1389 E1391:E1393 E1395:E1397 E1399:E1401 E1405:E1407 E1411:E1413 E1415:E1417 E1421:E1423 E1425:E1427 E1433:E1437 E1441:E1447 E1451:E1457 E10:E12 E1474:E1476 E1478:E1480 E1482:E1484 E1486:E1488 E1540:E1542 E1544:E1546 E1536:E1538 E1557:E1559 E1562:E1564 E1567:E1569 E1572:E1574 E1577:E1579 E1595:E1596 E1598:E1599 E1604:E1606 E1608:E1610">
      <formula1>$H$1:$H$14</formula1>
    </dataValidation>
  </dataValidations>
  <hyperlinks>
    <hyperlink ref="B783" r:id="rId1"/>
    <hyperlink ref="B803" r:id="rId2"/>
    <hyperlink ref="B1116" r:id="rId3"/>
    <hyperlink ref="B1462" r:id="rId4"/>
    <hyperlink ref="B1584" r:id="rId5"/>
    <hyperlink ref="B1613" r:id="rId6"/>
  </hyperlinks>
  <printOptions horizontalCentered="1"/>
  <pageMargins left="0.1" right="0.1" top="0.5" bottom="0.5" header="0.3" footer="0.3"/>
  <pageSetup scale="63" orientation="landscape" r:id="rId7"/>
  <headerFooter>
    <oddFooter>&amp;C&amp;P of &amp;N&amp;R&amp;P/&amp;N</oddFooter>
  </headerFooter>
  <drawing r:id="rId8"/>
  <legacy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35"/>
  <sheetViews>
    <sheetView view="pageBreakPreview" zoomScale="80" zoomScaleSheetLayoutView="80" workbookViewId="0">
      <pane ySplit="7" topLeftCell="A777" activePane="bottomLeft" state="frozen"/>
      <selection pane="bottomLeft" activeCell="J7" sqref="J7"/>
    </sheetView>
  </sheetViews>
  <sheetFormatPr defaultRowHeight="15"/>
  <cols>
    <col min="1" max="1" width="4.85546875" customWidth="1"/>
    <col min="2" max="2" width="29.85546875" customWidth="1"/>
    <col min="3" max="3" width="5.28515625" customWidth="1"/>
    <col min="4" max="4" width="5.5703125" customWidth="1"/>
    <col min="5" max="5" width="6.28515625" customWidth="1"/>
    <col min="6" max="6" width="6.5703125" bestFit="1" customWidth="1"/>
    <col min="7" max="7" width="9.28515625" bestFit="1" customWidth="1"/>
    <col min="8" max="8" width="9.85546875" bestFit="1" customWidth="1"/>
    <col min="9" max="10" width="6.5703125" bestFit="1" customWidth="1"/>
    <col min="11" max="11" width="9.140625" customWidth="1"/>
    <col min="12" max="12" width="9.85546875" customWidth="1"/>
    <col min="13" max="13" width="11.140625" customWidth="1"/>
    <col min="14" max="14" width="10.42578125" bestFit="1" customWidth="1"/>
    <col min="15" max="15" width="8.7109375" bestFit="1" customWidth="1"/>
    <col min="16" max="16" width="8.5703125" bestFit="1" customWidth="1"/>
    <col min="17" max="19" width="8.5703125" customWidth="1"/>
    <col min="21" max="21" width="9.28515625" bestFit="1" customWidth="1"/>
  </cols>
  <sheetData>
    <row r="1" spans="1:19" ht="40.5" customHeight="1">
      <c r="A1" s="1545" t="s">
        <v>43</v>
      </c>
      <c r="B1" s="1546"/>
      <c r="C1" s="1546"/>
      <c r="D1" s="1546"/>
      <c r="E1" s="1546"/>
      <c r="F1" s="1546"/>
      <c r="G1" s="1546"/>
      <c r="H1" s="1546"/>
      <c r="I1" s="1546"/>
      <c r="J1" s="1546"/>
      <c r="K1" s="1546"/>
      <c r="L1" s="1546"/>
      <c r="M1" s="1546"/>
      <c r="N1" s="1546"/>
      <c r="O1" s="1546"/>
      <c r="P1" s="1546"/>
      <c r="Q1" s="1546"/>
      <c r="R1" s="1546"/>
      <c r="S1" s="1547"/>
    </row>
    <row r="2" spans="1:19" s="179" customFormat="1" ht="18.75">
      <c r="A2" s="257" t="s">
        <v>375</v>
      </c>
      <c r="B2" s="258"/>
      <c r="C2" s="258"/>
      <c r="D2" s="258"/>
      <c r="E2" s="258"/>
      <c r="F2" s="258"/>
      <c r="G2" s="177"/>
      <c r="H2" s="177"/>
      <c r="I2" s="177"/>
      <c r="J2" s="177"/>
      <c r="K2" s="177"/>
      <c r="L2" s="177"/>
      <c r="M2" s="177"/>
      <c r="N2" s="177"/>
      <c r="O2" s="177"/>
      <c r="P2" s="177"/>
      <c r="Q2" s="177"/>
      <c r="R2" s="177"/>
      <c r="S2" s="178"/>
    </row>
    <row r="3" spans="1:19" s="179" customFormat="1" ht="15" customHeight="1">
      <c r="A3" s="180"/>
      <c r="B3" s="177"/>
      <c r="C3" s="177"/>
      <c r="D3" s="177"/>
      <c r="E3" s="177"/>
      <c r="F3" s="177"/>
      <c r="G3" s="177"/>
      <c r="H3" s="177"/>
      <c r="I3" s="177"/>
      <c r="J3" s="177"/>
      <c r="K3" s="177"/>
      <c r="L3" s="177"/>
      <c r="M3" s="177"/>
      <c r="N3" s="177"/>
      <c r="O3" s="177"/>
      <c r="P3" s="177"/>
      <c r="Q3" s="177"/>
      <c r="R3" s="177"/>
      <c r="S3" s="178"/>
    </row>
    <row r="4" spans="1:19" ht="16.5">
      <c r="A4" s="1548" t="s">
        <v>376</v>
      </c>
      <c r="B4" s="1548"/>
      <c r="C4" s="1548"/>
      <c r="D4" s="1549"/>
      <c r="E4" s="181"/>
      <c r="F4" s="182"/>
      <c r="G4" s="183"/>
      <c r="H4" s="183"/>
      <c r="I4" s="183"/>
      <c r="J4" s="184"/>
      <c r="K4" s="183"/>
      <c r="L4" s="185"/>
      <c r="M4" s="186"/>
      <c r="N4" s="186"/>
      <c r="O4" s="186"/>
      <c r="P4" s="187" t="s">
        <v>377</v>
      </c>
      <c r="Q4" s="1550">
        <v>42841</v>
      </c>
      <c r="R4" s="1550"/>
      <c r="S4" s="188"/>
    </row>
    <row r="5" spans="1:19" ht="16.5">
      <c r="A5" s="1537"/>
      <c r="B5" s="1538"/>
      <c r="C5" s="1538"/>
      <c r="D5" s="1538"/>
      <c r="E5" s="189"/>
      <c r="F5" s="190"/>
      <c r="G5" s="191" t="s">
        <v>378</v>
      </c>
      <c r="H5" s="187"/>
      <c r="I5" s="1550"/>
      <c r="J5" s="1550"/>
      <c r="K5" s="191"/>
      <c r="L5" s="192"/>
      <c r="M5" s="186"/>
      <c r="N5" s="186"/>
      <c r="O5" s="186"/>
      <c r="P5" s="186"/>
      <c r="Q5" s="186"/>
      <c r="R5" s="186"/>
      <c r="S5" s="188"/>
    </row>
    <row r="6" spans="1:19" ht="30" customHeight="1">
      <c r="A6" s="1540" t="s">
        <v>593</v>
      </c>
      <c r="B6" s="1540" t="s">
        <v>379</v>
      </c>
      <c r="C6" s="1544" t="s">
        <v>380</v>
      </c>
      <c r="D6" s="1540" t="s">
        <v>381</v>
      </c>
      <c r="E6" s="1540" t="s">
        <v>382</v>
      </c>
      <c r="F6" s="1530" t="s">
        <v>383</v>
      </c>
      <c r="G6" s="1530"/>
      <c r="H6" s="1530"/>
      <c r="I6" s="1530"/>
      <c r="J6" s="1530"/>
      <c r="K6" s="1542" t="s">
        <v>384</v>
      </c>
      <c r="L6" s="1526" t="s">
        <v>385</v>
      </c>
      <c r="M6" s="1530" t="s">
        <v>386</v>
      </c>
      <c r="N6" s="1530"/>
      <c r="O6" s="1530"/>
      <c r="P6" s="1530"/>
      <c r="Q6" s="1530"/>
      <c r="R6" s="1530"/>
      <c r="S6" s="1530"/>
    </row>
    <row r="7" spans="1:19" ht="54.75" customHeight="1">
      <c r="A7" s="1540"/>
      <c r="B7" s="1540"/>
      <c r="C7" s="1544"/>
      <c r="D7" s="1540"/>
      <c r="E7" s="1540"/>
      <c r="F7" s="193" t="s">
        <v>30</v>
      </c>
      <c r="G7" s="193" t="s">
        <v>33</v>
      </c>
      <c r="H7" s="193" t="s">
        <v>34</v>
      </c>
      <c r="I7" s="193" t="s">
        <v>35</v>
      </c>
      <c r="J7" s="193" t="s">
        <v>37</v>
      </c>
      <c r="K7" s="1543"/>
      <c r="L7" s="1527"/>
      <c r="M7" s="194">
        <v>8</v>
      </c>
      <c r="N7" s="194">
        <v>10</v>
      </c>
      <c r="O7" s="194">
        <v>12</v>
      </c>
      <c r="P7" s="194">
        <v>16</v>
      </c>
      <c r="Q7" s="194">
        <v>20</v>
      </c>
      <c r="R7" s="194">
        <v>25</v>
      </c>
      <c r="S7" s="194">
        <v>32</v>
      </c>
    </row>
    <row r="8" spans="1:19" s="236" customFormat="1" ht="38.25" customHeight="1">
      <c r="A8" s="201" t="s">
        <v>387</v>
      </c>
      <c r="B8" s="202" t="s">
        <v>388</v>
      </c>
      <c r="C8" s="196"/>
      <c r="D8" s="203"/>
      <c r="E8" s="197"/>
      <c r="F8" s="234"/>
      <c r="G8" s="234"/>
      <c r="H8" s="234"/>
      <c r="I8" s="234"/>
      <c r="J8" s="234"/>
      <c r="K8" s="234"/>
      <c r="L8" s="235"/>
      <c r="M8" s="200"/>
      <c r="N8" s="200"/>
      <c r="O8" s="200"/>
      <c r="P8" s="200"/>
      <c r="Q8" s="200"/>
      <c r="R8" s="200"/>
      <c r="S8" s="200"/>
    </row>
    <row r="9" spans="1:19" s="236" customFormat="1" ht="47.25" customHeight="1">
      <c r="A9" s="237">
        <v>1</v>
      </c>
      <c r="B9" s="238" t="s">
        <v>389</v>
      </c>
      <c r="C9" s="196"/>
      <c r="D9" s="204"/>
      <c r="E9" s="203"/>
      <c r="F9" s="234"/>
      <c r="G9" s="234"/>
      <c r="H9" s="234"/>
      <c r="I9" s="234"/>
      <c r="J9" s="234"/>
      <c r="K9" s="234">
        <v>0</v>
      </c>
      <c r="L9" s="235"/>
      <c r="M9" s="200"/>
      <c r="N9" s="200"/>
      <c r="O9" s="200"/>
      <c r="P9" s="200"/>
      <c r="Q9" s="200"/>
      <c r="R9" s="200"/>
      <c r="S9" s="200"/>
    </row>
    <row r="10" spans="1:19" s="236" customFormat="1" ht="72" customHeight="1">
      <c r="A10" s="205" t="s">
        <v>390</v>
      </c>
      <c r="B10" s="206" t="s">
        <v>391</v>
      </c>
      <c r="C10" s="240"/>
      <c r="D10" s="239"/>
      <c r="E10" s="203"/>
      <c r="F10" s="234"/>
      <c r="G10" s="234"/>
      <c r="H10" s="234"/>
      <c r="I10" s="234"/>
      <c r="J10" s="234"/>
      <c r="K10" s="234"/>
      <c r="L10" s="235"/>
      <c r="M10" s="200"/>
      <c r="N10" s="200"/>
      <c r="O10" s="200"/>
      <c r="P10" s="200"/>
      <c r="Q10" s="200"/>
      <c r="R10" s="200"/>
      <c r="S10" s="200"/>
    </row>
    <row r="11" spans="1:19" s="236" customFormat="1" ht="24.95" customHeight="1">
      <c r="A11" s="239">
        <v>1</v>
      </c>
      <c r="B11" s="239" t="s">
        <v>392</v>
      </c>
      <c r="C11" s="240">
        <v>10</v>
      </c>
      <c r="D11" s="239">
        <v>1</v>
      </c>
      <c r="E11" s="203">
        <v>2</v>
      </c>
      <c r="F11" s="241">
        <v>100</v>
      </c>
      <c r="G11" s="234"/>
      <c r="H11" s="234">
        <v>3610</v>
      </c>
      <c r="I11" s="234"/>
      <c r="J11" s="241">
        <v>100</v>
      </c>
      <c r="K11" s="234">
        <v>2</v>
      </c>
      <c r="L11" s="235">
        <f t="shared" ref="L11:L74" si="0">(((F11+G11+H11+I11+J11)-C11*K11*2)/1000)</f>
        <v>3.77</v>
      </c>
      <c r="M11" s="200">
        <f t="shared" ref="M11:M74" si="1">+IF(C11=8,D11*E11*L11,0)</f>
        <v>0</v>
      </c>
      <c r="N11" s="200">
        <f t="shared" ref="N11:N74" si="2">+IF(C11=10,D11*E11*L11,0)</f>
        <v>7.54</v>
      </c>
      <c r="O11" s="200">
        <f t="shared" ref="O11:O74" si="3">+IF(C11=12,D11*E11*L11,0)</f>
        <v>0</v>
      </c>
      <c r="P11" s="200">
        <f t="shared" ref="P11:P74" si="4">+IF(C11=16,D11*E11*L11,0)</f>
        <v>0</v>
      </c>
      <c r="Q11" s="200">
        <f t="shared" ref="Q11:Q74" si="5">+IF(C11=20,D11*E11*L11,0)</f>
        <v>0</v>
      </c>
      <c r="R11" s="200">
        <f t="shared" ref="R11:R74" si="6">+IF(C11=25,D11*E11*L11,0)</f>
        <v>0</v>
      </c>
      <c r="S11" s="200">
        <f t="shared" ref="S11:S74" si="7">+IF(C11=32,D11*E11*L11,0)</f>
        <v>0</v>
      </c>
    </row>
    <row r="12" spans="1:19" s="236" customFormat="1" ht="24.95" customHeight="1">
      <c r="A12" s="239"/>
      <c r="B12" s="239" t="s">
        <v>393</v>
      </c>
      <c r="C12" s="240">
        <v>10</v>
      </c>
      <c r="D12" s="239">
        <v>1</v>
      </c>
      <c r="E12" s="203">
        <v>2</v>
      </c>
      <c r="F12" s="241">
        <v>100</v>
      </c>
      <c r="G12" s="234"/>
      <c r="H12" s="234">
        <v>3610</v>
      </c>
      <c r="I12" s="234"/>
      <c r="J12" s="241">
        <v>100</v>
      </c>
      <c r="K12" s="234">
        <v>2</v>
      </c>
      <c r="L12" s="235">
        <f t="shared" si="0"/>
        <v>3.77</v>
      </c>
      <c r="M12" s="200">
        <f t="shared" si="1"/>
        <v>0</v>
      </c>
      <c r="N12" s="200">
        <f t="shared" si="2"/>
        <v>7.54</v>
      </c>
      <c r="O12" s="200">
        <f t="shared" si="3"/>
        <v>0</v>
      </c>
      <c r="P12" s="200">
        <f t="shared" si="4"/>
        <v>0</v>
      </c>
      <c r="Q12" s="200">
        <f t="shared" si="5"/>
        <v>0</v>
      </c>
      <c r="R12" s="200">
        <f t="shared" si="6"/>
        <v>0</v>
      </c>
      <c r="S12" s="200">
        <f t="shared" si="7"/>
        <v>0</v>
      </c>
    </row>
    <row r="13" spans="1:19" s="236" customFormat="1" ht="24.95" customHeight="1">
      <c r="A13" s="239"/>
      <c r="B13" s="239" t="s">
        <v>394</v>
      </c>
      <c r="C13" s="240">
        <v>8</v>
      </c>
      <c r="D13" s="239">
        <v>1</v>
      </c>
      <c r="E13" s="203">
        <f>(3610/200)+1</f>
        <v>19.05</v>
      </c>
      <c r="F13" s="234"/>
      <c r="G13" s="234"/>
      <c r="H13" s="234">
        <v>820</v>
      </c>
      <c r="I13" s="234"/>
      <c r="J13" s="234"/>
      <c r="K13" s="241">
        <v>5</v>
      </c>
      <c r="L13" s="235">
        <f t="shared" si="0"/>
        <v>0.74</v>
      </c>
      <c r="M13" s="200">
        <f t="shared" si="1"/>
        <v>14.097</v>
      </c>
      <c r="N13" s="200">
        <f t="shared" si="2"/>
        <v>0</v>
      </c>
      <c r="O13" s="200">
        <f t="shared" si="3"/>
        <v>0</v>
      </c>
      <c r="P13" s="200">
        <f t="shared" si="4"/>
        <v>0</v>
      </c>
      <c r="Q13" s="200">
        <f t="shared" si="5"/>
        <v>0</v>
      </c>
      <c r="R13" s="200">
        <f t="shared" si="6"/>
        <v>0</v>
      </c>
      <c r="S13" s="200">
        <f t="shared" si="7"/>
        <v>0</v>
      </c>
    </row>
    <row r="14" spans="1:19" s="236" customFormat="1" ht="24.95" customHeight="1">
      <c r="A14" s="239">
        <v>2</v>
      </c>
      <c r="B14" s="239" t="s">
        <v>392</v>
      </c>
      <c r="C14" s="240">
        <v>10</v>
      </c>
      <c r="D14" s="239">
        <v>2</v>
      </c>
      <c r="E14" s="203">
        <v>2</v>
      </c>
      <c r="F14" s="241">
        <v>100</v>
      </c>
      <c r="G14" s="234"/>
      <c r="H14" s="234">
        <v>1610</v>
      </c>
      <c r="I14" s="234"/>
      <c r="J14" s="241">
        <v>100</v>
      </c>
      <c r="K14" s="234">
        <v>2</v>
      </c>
      <c r="L14" s="235">
        <f t="shared" si="0"/>
        <v>1.77</v>
      </c>
      <c r="M14" s="200">
        <f t="shared" si="1"/>
        <v>0</v>
      </c>
      <c r="N14" s="200">
        <f t="shared" si="2"/>
        <v>7.08</v>
      </c>
      <c r="O14" s="200">
        <f t="shared" si="3"/>
        <v>0</v>
      </c>
      <c r="P14" s="200">
        <f t="shared" si="4"/>
        <v>0</v>
      </c>
      <c r="Q14" s="200">
        <f t="shared" si="5"/>
        <v>0</v>
      </c>
      <c r="R14" s="200">
        <f t="shared" si="6"/>
        <v>0</v>
      </c>
      <c r="S14" s="200">
        <f t="shared" si="7"/>
        <v>0</v>
      </c>
    </row>
    <row r="15" spans="1:19" s="236" customFormat="1" ht="24.95" customHeight="1">
      <c r="A15" s="239"/>
      <c r="B15" s="239" t="s">
        <v>393</v>
      </c>
      <c r="C15" s="240">
        <v>10</v>
      </c>
      <c r="D15" s="239">
        <v>2</v>
      </c>
      <c r="E15" s="203">
        <v>2</v>
      </c>
      <c r="F15" s="241">
        <v>100</v>
      </c>
      <c r="G15" s="234"/>
      <c r="H15" s="234">
        <v>1610</v>
      </c>
      <c r="I15" s="234"/>
      <c r="J15" s="241">
        <v>100</v>
      </c>
      <c r="K15" s="234">
        <v>2</v>
      </c>
      <c r="L15" s="235">
        <f t="shared" si="0"/>
        <v>1.77</v>
      </c>
      <c r="M15" s="200">
        <f t="shared" si="1"/>
        <v>0</v>
      </c>
      <c r="N15" s="200">
        <f t="shared" si="2"/>
        <v>7.08</v>
      </c>
      <c r="O15" s="200">
        <f t="shared" si="3"/>
        <v>0</v>
      </c>
      <c r="P15" s="200">
        <f t="shared" si="4"/>
        <v>0</v>
      </c>
      <c r="Q15" s="200">
        <f t="shared" si="5"/>
        <v>0</v>
      </c>
      <c r="R15" s="200">
        <f t="shared" si="6"/>
        <v>0</v>
      </c>
      <c r="S15" s="200">
        <f t="shared" si="7"/>
        <v>0</v>
      </c>
    </row>
    <row r="16" spans="1:19" s="236" customFormat="1" ht="24.95" customHeight="1">
      <c r="A16" s="239"/>
      <c r="B16" s="239" t="s">
        <v>394</v>
      </c>
      <c r="C16" s="240">
        <v>8</v>
      </c>
      <c r="D16" s="239">
        <v>2</v>
      </c>
      <c r="E16" s="203">
        <f>(1610/200)+1</f>
        <v>9.0500000000000007</v>
      </c>
      <c r="F16" s="234"/>
      <c r="G16" s="234"/>
      <c r="H16" s="234">
        <v>820</v>
      </c>
      <c r="I16" s="234"/>
      <c r="J16" s="234"/>
      <c r="K16" s="241">
        <v>5</v>
      </c>
      <c r="L16" s="235">
        <f t="shared" si="0"/>
        <v>0.74</v>
      </c>
      <c r="M16" s="200">
        <f t="shared" si="1"/>
        <v>13.394</v>
      </c>
      <c r="N16" s="200">
        <f t="shared" si="2"/>
        <v>0</v>
      </c>
      <c r="O16" s="200">
        <f t="shared" si="3"/>
        <v>0</v>
      </c>
      <c r="P16" s="200">
        <f t="shared" si="4"/>
        <v>0</v>
      </c>
      <c r="Q16" s="200">
        <f t="shared" si="5"/>
        <v>0</v>
      </c>
      <c r="R16" s="200">
        <f t="shared" si="6"/>
        <v>0</v>
      </c>
      <c r="S16" s="200">
        <f t="shared" si="7"/>
        <v>0</v>
      </c>
    </row>
    <row r="17" spans="1:19" s="236" customFormat="1" ht="24.95" customHeight="1">
      <c r="A17" s="239">
        <v>3</v>
      </c>
      <c r="B17" s="239" t="s">
        <v>392</v>
      </c>
      <c r="C17" s="240">
        <v>10</v>
      </c>
      <c r="D17" s="239">
        <v>1</v>
      </c>
      <c r="E17" s="203">
        <v>2</v>
      </c>
      <c r="F17" s="241">
        <v>100</v>
      </c>
      <c r="G17" s="234"/>
      <c r="H17" s="234">
        <v>1080</v>
      </c>
      <c r="I17" s="234"/>
      <c r="J17" s="241">
        <v>100</v>
      </c>
      <c r="K17" s="234">
        <v>2</v>
      </c>
      <c r="L17" s="235">
        <f t="shared" si="0"/>
        <v>1.24</v>
      </c>
      <c r="M17" s="200">
        <f t="shared" si="1"/>
        <v>0</v>
      </c>
      <c r="N17" s="200">
        <f t="shared" si="2"/>
        <v>2.48</v>
      </c>
      <c r="O17" s="200">
        <f t="shared" si="3"/>
        <v>0</v>
      </c>
      <c r="P17" s="200">
        <f t="shared" si="4"/>
        <v>0</v>
      </c>
      <c r="Q17" s="200">
        <f t="shared" si="5"/>
        <v>0</v>
      </c>
      <c r="R17" s="200">
        <f t="shared" si="6"/>
        <v>0</v>
      </c>
      <c r="S17" s="200">
        <f t="shared" si="7"/>
        <v>0</v>
      </c>
    </row>
    <row r="18" spans="1:19" s="236" customFormat="1" ht="24.95" customHeight="1">
      <c r="A18" s="239"/>
      <c r="B18" s="239" t="s">
        <v>393</v>
      </c>
      <c r="C18" s="240">
        <v>10</v>
      </c>
      <c r="D18" s="239">
        <v>1</v>
      </c>
      <c r="E18" s="203">
        <v>2</v>
      </c>
      <c r="F18" s="241">
        <v>100</v>
      </c>
      <c r="G18" s="234"/>
      <c r="H18" s="234">
        <v>1080</v>
      </c>
      <c r="I18" s="234"/>
      <c r="J18" s="241">
        <v>100</v>
      </c>
      <c r="K18" s="234">
        <v>2</v>
      </c>
      <c r="L18" s="235">
        <f t="shared" si="0"/>
        <v>1.24</v>
      </c>
      <c r="M18" s="200">
        <f t="shared" si="1"/>
        <v>0</v>
      </c>
      <c r="N18" s="200">
        <f t="shared" si="2"/>
        <v>2.48</v>
      </c>
      <c r="O18" s="200">
        <f t="shared" si="3"/>
        <v>0</v>
      </c>
      <c r="P18" s="200">
        <f t="shared" si="4"/>
        <v>0</v>
      </c>
      <c r="Q18" s="200">
        <f t="shared" si="5"/>
        <v>0</v>
      </c>
      <c r="R18" s="200">
        <f t="shared" si="6"/>
        <v>0</v>
      </c>
      <c r="S18" s="200">
        <f t="shared" si="7"/>
        <v>0</v>
      </c>
    </row>
    <row r="19" spans="1:19" s="236" customFormat="1" ht="24.95" customHeight="1">
      <c r="A19" s="239"/>
      <c r="B19" s="239" t="s">
        <v>394</v>
      </c>
      <c r="C19" s="240">
        <v>8</v>
      </c>
      <c r="D19" s="239">
        <v>1</v>
      </c>
      <c r="E19" s="203">
        <f>(1080/200)+1</f>
        <v>6.4</v>
      </c>
      <c r="F19" s="234"/>
      <c r="G19" s="234"/>
      <c r="H19" s="234">
        <v>820</v>
      </c>
      <c r="I19" s="234"/>
      <c r="J19" s="234"/>
      <c r="K19" s="241">
        <v>5</v>
      </c>
      <c r="L19" s="235">
        <f t="shared" si="0"/>
        <v>0.74</v>
      </c>
      <c r="M19" s="200">
        <f t="shared" si="1"/>
        <v>4.7359999999999998</v>
      </c>
      <c r="N19" s="200">
        <f t="shared" si="2"/>
        <v>0</v>
      </c>
      <c r="O19" s="200">
        <f t="shared" si="3"/>
        <v>0</v>
      </c>
      <c r="P19" s="200">
        <f t="shared" si="4"/>
        <v>0</v>
      </c>
      <c r="Q19" s="200">
        <f t="shared" si="5"/>
        <v>0</v>
      </c>
      <c r="R19" s="200">
        <f t="shared" si="6"/>
        <v>0</v>
      </c>
      <c r="S19" s="200">
        <f t="shared" si="7"/>
        <v>0</v>
      </c>
    </row>
    <row r="20" spans="1:19" s="236" customFormat="1" ht="24.95" customHeight="1">
      <c r="A20" s="239">
        <v>4</v>
      </c>
      <c r="B20" s="239" t="s">
        <v>392</v>
      </c>
      <c r="C20" s="240">
        <v>10</v>
      </c>
      <c r="D20" s="239">
        <v>1</v>
      </c>
      <c r="E20" s="203">
        <v>2</v>
      </c>
      <c r="F20" s="241">
        <v>100</v>
      </c>
      <c r="G20" s="234"/>
      <c r="H20" s="234">
        <v>780</v>
      </c>
      <c r="I20" s="234"/>
      <c r="J20" s="241">
        <v>100</v>
      </c>
      <c r="K20" s="234">
        <v>2</v>
      </c>
      <c r="L20" s="235">
        <f t="shared" si="0"/>
        <v>0.94</v>
      </c>
      <c r="M20" s="200">
        <f t="shared" si="1"/>
        <v>0</v>
      </c>
      <c r="N20" s="200">
        <f t="shared" si="2"/>
        <v>1.88</v>
      </c>
      <c r="O20" s="200">
        <f t="shared" si="3"/>
        <v>0</v>
      </c>
      <c r="P20" s="200">
        <f t="shared" si="4"/>
        <v>0</v>
      </c>
      <c r="Q20" s="200">
        <f t="shared" si="5"/>
        <v>0</v>
      </c>
      <c r="R20" s="200">
        <f t="shared" si="6"/>
        <v>0</v>
      </c>
      <c r="S20" s="200">
        <f t="shared" si="7"/>
        <v>0</v>
      </c>
    </row>
    <row r="21" spans="1:19" s="236" customFormat="1" ht="24.95" customHeight="1">
      <c r="A21" s="239"/>
      <c r="B21" s="239" t="s">
        <v>393</v>
      </c>
      <c r="C21" s="240">
        <v>10</v>
      </c>
      <c r="D21" s="239">
        <v>1</v>
      </c>
      <c r="E21" s="203">
        <v>2</v>
      </c>
      <c r="F21" s="241">
        <v>100</v>
      </c>
      <c r="G21" s="234"/>
      <c r="H21" s="234">
        <v>780</v>
      </c>
      <c r="I21" s="234"/>
      <c r="J21" s="241">
        <v>100</v>
      </c>
      <c r="K21" s="234">
        <v>2</v>
      </c>
      <c r="L21" s="235">
        <f t="shared" si="0"/>
        <v>0.94</v>
      </c>
      <c r="M21" s="200">
        <f t="shared" si="1"/>
        <v>0</v>
      </c>
      <c r="N21" s="200">
        <f t="shared" si="2"/>
        <v>1.88</v>
      </c>
      <c r="O21" s="200">
        <f t="shared" si="3"/>
        <v>0</v>
      </c>
      <c r="P21" s="200">
        <f t="shared" si="4"/>
        <v>0</v>
      </c>
      <c r="Q21" s="200">
        <f t="shared" si="5"/>
        <v>0</v>
      </c>
      <c r="R21" s="200">
        <f t="shared" si="6"/>
        <v>0</v>
      </c>
      <c r="S21" s="200">
        <f t="shared" si="7"/>
        <v>0</v>
      </c>
    </row>
    <row r="22" spans="1:19" s="236" customFormat="1" ht="24.95" customHeight="1">
      <c r="A22" s="239"/>
      <c r="B22" s="239" t="s">
        <v>394</v>
      </c>
      <c r="C22" s="240">
        <v>8</v>
      </c>
      <c r="D22" s="239">
        <v>1</v>
      </c>
      <c r="E22" s="203">
        <f>(830/200)+1</f>
        <v>5.15</v>
      </c>
      <c r="F22" s="234"/>
      <c r="G22" s="234"/>
      <c r="H22" s="234">
        <v>820</v>
      </c>
      <c r="I22" s="234"/>
      <c r="J22" s="234"/>
      <c r="K22" s="241">
        <v>5</v>
      </c>
      <c r="L22" s="235">
        <f t="shared" si="0"/>
        <v>0.74</v>
      </c>
      <c r="M22" s="200">
        <f t="shared" si="1"/>
        <v>3.8110000000000004</v>
      </c>
      <c r="N22" s="200">
        <f t="shared" si="2"/>
        <v>0</v>
      </c>
      <c r="O22" s="200">
        <f t="shared" si="3"/>
        <v>0</v>
      </c>
      <c r="P22" s="200">
        <f t="shared" si="4"/>
        <v>0</v>
      </c>
      <c r="Q22" s="200">
        <f t="shared" si="5"/>
        <v>0</v>
      </c>
      <c r="R22" s="200">
        <f t="shared" si="6"/>
        <v>0</v>
      </c>
      <c r="S22" s="200">
        <f t="shared" si="7"/>
        <v>0</v>
      </c>
    </row>
    <row r="23" spans="1:19" s="236" customFormat="1" ht="24.95" customHeight="1">
      <c r="A23" s="239">
        <v>5</v>
      </c>
      <c r="B23" s="239" t="s">
        <v>392</v>
      </c>
      <c r="C23" s="240">
        <v>10</v>
      </c>
      <c r="D23" s="239">
        <v>3</v>
      </c>
      <c r="E23" s="203">
        <v>2</v>
      </c>
      <c r="F23" s="241">
        <v>100</v>
      </c>
      <c r="G23" s="234"/>
      <c r="H23" s="234">
        <v>1910</v>
      </c>
      <c r="I23" s="234"/>
      <c r="J23" s="241">
        <v>100</v>
      </c>
      <c r="K23" s="234">
        <v>2</v>
      </c>
      <c r="L23" s="235">
        <f t="shared" si="0"/>
        <v>2.0699999999999998</v>
      </c>
      <c r="M23" s="200">
        <f t="shared" si="1"/>
        <v>0</v>
      </c>
      <c r="N23" s="200">
        <f t="shared" si="2"/>
        <v>12.419999999999998</v>
      </c>
      <c r="O23" s="200">
        <f t="shared" si="3"/>
        <v>0</v>
      </c>
      <c r="P23" s="200">
        <f t="shared" si="4"/>
        <v>0</v>
      </c>
      <c r="Q23" s="200">
        <f t="shared" si="5"/>
        <v>0</v>
      </c>
      <c r="R23" s="200">
        <f t="shared" si="6"/>
        <v>0</v>
      </c>
      <c r="S23" s="200">
        <f t="shared" si="7"/>
        <v>0</v>
      </c>
    </row>
    <row r="24" spans="1:19" s="236" customFormat="1" ht="24.95" customHeight="1">
      <c r="A24" s="239"/>
      <c r="B24" s="239" t="s">
        <v>393</v>
      </c>
      <c r="C24" s="240">
        <v>10</v>
      </c>
      <c r="D24" s="239">
        <v>3</v>
      </c>
      <c r="E24" s="203">
        <v>2</v>
      </c>
      <c r="F24" s="241">
        <v>100</v>
      </c>
      <c r="G24" s="234"/>
      <c r="H24" s="234">
        <v>1910</v>
      </c>
      <c r="I24" s="234"/>
      <c r="J24" s="241">
        <v>100</v>
      </c>
      <c r="K24" s="234">
        <v>2</v>
      </c>
      <c r="L24" s="235">
        <f t="shared" si="0"/>
        <v>2.0699999999999998</v>
      </c>
      <c r="M24" s="200">
        <f t="shared" si="1"/>
        <v>0</v>
      </c>
      <c r="N24" s="200">
        <f t="shared" si="2"/>
        <v>12.419999999999998</v>
      </c>
      <c r="O24" s="200">
        <f t="shared" si="3"/>
        <v>0</v>
      </c>
      <c r="P24" s="200">
        <f t="shared" si="4"/>
        <v>0</v>
      </c>
      <c r="Q24" s="200">
        <f t="shared" si="5"/>
        <v>0</v>
      </c>
      <c r="R24" s="200">
        <f t="shared" si="6"/>
        <v>0</v>
      </c>
      <c r="S24" s="200">
        <f t="shared" si="7"/>
        <v>0</v>
      </c>
    </row>
    <row r="25" spans="1:19" s="236" customFormat="1" ht="24.95" customHeight="1">
      <c r="A25" s="239"/>
      <c r="B25" s="239" t="s">
        <v>394</v>
      </c>
      <c r="C25" s="240">
        <v>8</v>
      </c>
      <c r="D25" s="239">
        <v>3</v>
      </c>
      <c r="E25" s="203">
        <f>(1910/200)+1</f>
        <v>10.55</v>
      </c>
      <c r="F25" s="234"/>
      <c r="G25" s="234"/>
      <c r="H25" s="234">
        <v>820</v>
      </c>
      <c r="I25" s="234"/>
      <c r="J25" s="234"/>
      <c r="K25" s="241">
        <v>5</v>
      </c>
      <c r="L25" s="235">
        <f t="shared" si="0"/>
        <v>0.74</v>
      </c>
      <c r="M25" s="200">
        <f t="shared" si="1"/>
        <v>23.421000000000003</v>
      </c>
      <c r="N25" s="200">
        <f t="shared" si="2"/>
        <v>0</v>
      </c>
      <c r="O25" s="200">
        <f t="shared" si="3"/>
        <v>0</v>
      </c>
      <c r="P25" s="200">
        <f t="shared" si="4"/>
        <v>0</v>
      </c>
      <c r="Q25" s="200">
        <f t="shared" si="5"/>
        <v>0</v>
      </c>
      <c r="R25" s="200">
        <f t="shared" si="6"/>
        <v>0</v>
      </c>
      <c r="S25" s="200">
        <f t="shared" si="7"/>
        <v>0</v>
      </c>
    </row>
    <row r="26" spans="1:19" s="236" customFormat="1" ht="24.95" customHeight="1">
      <c r="A26" s="239">
        <v>6</v>
      </c>
      <c r="B26" s="239" t="s">
        <v>392</v>
      </c>
      <c r="C26" s="240">
        <v>10</v>
      </c>
      <c r="D26" s="239">
        <v>1</v>
      </c>
      <c r="E26" s="203">
        <v>2</v>
      </c>
      <c r="F26" s="241">
        <v>100</v>
      </c>
      <c r="G26" s="234"/>
      <c r="H26" s="234">
        <v>2510</v>
      </c>
      <c r="I26" s="234"/>
      <c r="J26" s="241">
        <v>100</v>
      </c>
      <c r="K26" s="234">
        <v>2</v>
      </c>
      <c r="L26" s="235">
        <f t="shared" si="0"/>
        <v>2.67</v>
      </c>
      <c r="M26" s="200">
        <f t="shared" si="1"/>
        <v>0</v>
      </c>
      <c r="N26" s="200">
        <f t="shared" si="2"/>
        <v>5.34</v>
      </c>
      <c r="O26" s="200">
        <f t="shared" si="3"/>
        <v>0</v>
      </c>
      <c r="P26" s="200">
        <f t="shared" si="4"/>
        <v>0</v>
      </c>
      <c r="Q26" s="200">
        <f t="shared" si="5"/>
        <v>0</v>
      </c>
      <c r="R26" s="200">
        <f t="shared" si="6"/>
        <v>0</v>
      </c>
      <c r="S26" s="200">
        <f t="shared" si="7"/>
        <v>0</v>
      </c>
    </row>
    <row r="27" spans="1:19" s="236" customFormat="1" ht="24.95" customHeight="1">
      <c r="A27" s="239"/>
      <c r="B27" s="239" t="s">
        <v>393</v>
      </c>
      <c r="C27" s="240">
        <v>10</v>
      </c>
      <c r="D27" s="239">
        <v>1</v>
      </c>
      <c r="E27" s="203">
        <v>2</v>
      </c>
      <c r="F27" s="241">
        <v>100</v>
      </c>
      <c r="G27" s="234"/>
      <c r="H27" s="234">
        <v>2510</v>
      </c>
      <c r="I27" s="234"/>
      <c r="J27" s="241">
        <v>100</v>
      </c>
      <c r="K27" s="234">
        <v>2</v>
      </c>
      <c r="L27" s="235">
        <f t="shared" si="0"/>
        <v>2.67</v>
      </c>
      <c r="M27" s="200">
        <f t="shared" si="1"/>
        <v>0</v>
      </c>
      <c r="N27" s="200">
        <f t="shared" si="2"/>
        <v>5.34</v>
      </c>
      <c r="O27" s="200">
        <f t="shared" si="3"/>
        <v>0</v>
      </c>
      <c r="P27" s="200">
        <f t="shared" si="4"/>
        <v>0</v>
      </c>
      <c r="Q27" s="200">
        <f t="shared" si="5"/>
        <v>0</v>
      </c>
      <c r="R27" s="200">
        <f t="shared" si="6"/>
        <v>0</v>
      </c>
      <c r="S27" s="200">
        <f t="shared" si="7"/>
        <v>0</v>
      </c>
    </row>
    <row r="28" spans="1:19" s="236" customFormat="1" ht="24.95" customHeight="1">
      <c r="A28" s="239"/>
      <c r="B28" s="239" t="s">
        <v>394</v>
      </c>
      <c r="C28" s="240">
        <v>8</v>
      </c>
      <c r="D28" s="239">
        <v>1</v>
      </c>
      <c r="E28" s="203">
        <f>(2510/200)+1</f>
        <v>13.55</v>
      </c>
      <c r="F28" s="234"/>
      <c r="G28" s="234"/>
      <c r="H28" s="234">
        <v>820</v>
      </c>
      <c r="I28" s="234"/>
      <c r="J28" s="234"/>
      <c r="K28" s="241">
        <v>5</v>
      </c>
      <c r="L28" s="235">
        <f t="shared" si="0"/>
        <v>0.74</v>
      </c>
      <c r="M28" s="200">
        <f t="shared" si="1"/>
        <v>10.027000000000001</v>
      </c>
      <c r="N28" s="200">
        <f t="shared" si="2"/>
        <v>0</v>
      </c>
      <c r="O28" s="200">
        <f t="shared" si="3"/>
        <v>0</v>
      </c>
      <c r="P28" s="200">
        <f t="shared" si="4"/>
        <v>0</v>
      </c>
      <c r="Q28" s="200">
        <f t="shared" si="5"/>
        <v>0</v>
      </c>
      <c r="R28" s="200">
        <f t="shared" si="6"/>
        <v>0</v>
      </c>
      <c r="S28" s="200">
        <f t="shared" si="7"/>
        <v>0</v>
      </c>
    </row>
    <row r="29" spans="1:19" s="236" customFormat="1" ht="24.95" customHeight="1">
      <c r="A29" s="239">
        <v>7</v>
      </c>
      <c r="B29" s="239" t="s">
        <v>392</v>
      </c>
      <c r="C29" s="240">
        <v>10</v>
      </c>
      <c r="D29" s="239">
        <v>1</v>
      </c>
      <c r="E29" s="203">
        <v>2</v>
      </c>
      <c r="F29" s="241">
        <v>100</v>
      </c>
      <c r="G29" s="234"/>
      <c r="H29" s="234">
        <v>1380</v>
      </c>
      <c r="I29" s="234"/>
      <c r="J29" s="241">
        <v>100</v>
      </c>
      <c r="K29" s="234">
        <v>2</v>
      </c>
      <c r="L29" s="235">
        <f t="shared" si="0"/>
        <v>1.54</v>
      </c>
      <c r="M29" s="200">
        <f t="shared" si="1"/>
        <v>0</v>
      </c>
      <c r="N29" s="200">
        <f t="shared" si="2"/>
        <v>3.08</v>
      </c>
      <c r="O29" s="200">
        <f t="shared" si="3"/>
        <v>0</v>
      </c>
      <c r="P29" s="200">
        <f t="shared" si="4"/>
        <v>0</v>
      </c>
      <c r="Q29" s="200">
        <f t="shared" si="5"/>
        <v>0</v>
      </c>
      <c r="R29" s="200">
        <f t="shared" si="6"/>
        <v>0</v>
      </c>
      <c r="S29" s="200">
        <f t="shared" si="7"/>
        <v>0</v>
      </c>
    </row>
    <row r="30" spans="1:19" s="236" customFormat="1" ht="24.95" customHeight="1">
      <c r="A30" s="239"/>
      <c r="B30" s="239" t="s">
        <v>393</v>
      </c>
      <c r="C30" s="240">
        <v>10</v>
      </c>
      <c r="D30" s="239">
        <v>1</v>
      </c>
      <c r="E30" s="203">
        <v>2</v>
      </c>
      <c r="F30" s="241">
        <v>100</v>
      </c>
      <c r="G30" s="234"/>
      <c r="H30" s="234">
        <v>1380</v>
      </c>
      <c r="I30" s="234"/>
      <c r="J30" s="241">
        <v>100</v>
      </c>
      <c r="K30" s="234">
        <v>2</v>
      </c>
      <c r="L30" s="235">
        <f t="shared" si="0"/>
        <v>1.54</v>
      </c>
      <c r="M30" s="200">
        <f t="shared" si="1"/>
        <v>0</v>
      </c>
      <c r="N30" s="200">
        <f t="shared" si="2"/>
        <v>3.08</v>
      </c>
      <c r="O30" s="200">
        <f t="shared" si="3"/>
        <v>0</v>
      </c>
      <c r="P30" s="200">
        <f t="shared" si="4"/>
        <v>0</v>
      </c>
      <c r="Q30" s="200">
        <f t="shared" si="5"/>
        <v>0</v>
      </c>
      <c r="R30" s="200">
        <f t="shared" si="6"/>
        <v>0</v>
      </c>
      <c r="S30" s="200">
        <f t="shared" si="7"/>
        <v>0</v>
      </c>
    </row>
    <row r="31" spans="1:19" s="236" customFormat="1" ht="24.95" customHeight="1">
      <c r="A31" s="239"/>
      <c r="B31" s="239" t="s">
        <v>394</v>
      </c>
      <c r="C31" s="240">
        <v>8</v>
      </c>
      <c r="D31" s="239">
        <v>1</v>
      </c>
      <c r="E31" s="203">
        <f>(1430/200)+1</f>
        <v>8.15</v>
      </c>
      <c r="F31" s="234"/>
      <c r="G31" s="234"/>
      <c r="H31" s="234">
        <v>820</v>
      </c>
      <c r="I31" s="234"/>
      <c r="J31" s="234"/>
      <c r="K31" s="241">
        <v>5</v>
      </c>
      <c r="L31" s="235">
        <f t="shared" si="0"/>
        <v>0.74</v>
      </c>
      <c r="M31" s="200">
        <f t="shared" si="1"/>
        <v>6.0310000000000006</v>
      </c>
      <c r="N31" s="200">
        <f t="shared" si="2"/>
        <v>0</v>
      </c>
      <c r="O31" s="200">
        <f t="shared" si="3"/>
        <v>0</v>
      </c>
      <c r="P31" s="200">
        <f t="shared" si="4"/>
        <v>0</v>
      </c>
      <c r="Q31" s="200">
        <f t="shared" si="5"/>
        <v>0</v>
      </c>
      <c r="R31" s="200">
        <f t="shared" si="6"/>
        <v>0</v>
      </c>
      <c r="S31" s="200">
        <f t="shared" si="7"/>
        <v>0</v>
      </c>
    </row>
    <row r="32" spans="1:19" s="236" customFormat="1" ht="24.95" customHeight="1">
      <c r="A32" s="239">
        <v>8</v>
      </c>
      <c r="B32" s="239" t="s">
        <v>392</v>
      </c>
      <c r="C32" s="240">
        <v>10</v>
      </c>
      <c r="D32" s="239">
        <v>1</v>
      </c>
      <c r="E32" s="203">
        <v>2</v>
      </c>
      <c r="F32" s="241">
        <v>100</v>
      </c>
      <c r="G32" s="234"/>
      <c r="H32" s="241">
        <v>5940</v>
      </c>
      <c r="I32" s="234"/>
      <c r="J32" s="241">
        <v>100</v>
      </c>
      <c r="K32" s="234">
        <v>2</v>
      </c>
      <c r="L32" s="235">
        <f t="shared" si="0"/>
        <v>6.1</v>
      </c>
      <c r="M32" s="200">
        <f t="shared" si="1"/>
        <v>0</v>
      </c>
      <c r="N32" s="200">
        <f t="shared" si="2"/>
        <v>12.2</v>
      </c>
      <c r="O32" s="200">
        <f t="shared" si="3"/>
        <v>0</v>
      </c>
      <c r="P32" s="200">
        <f t="shared" si="4"/>
        <v>0</v>
      </c>
      <c r="Q32" s="200">
        <f t="shared" si="5"/>
        <v>0</v>
      </c>
      <c r="R32" s="200">
        <f t="shared" si="6"/>
        <v>0</v>
      </c>
      <c r="S32" s="200">
        <f t="shared" si="7"/>
        <v>0</v>
      </c>
    </row>
    <row r="33" spans="1:19" s="236" customFormat="1" ht="24.95" customHeight="1">
      <c r="A33" s="239"/>
      <c r="B33" s="239" t="s">
        <v>393</v>
      </c>
      <c r="C33" s="240">
        <v>10</v>
      </c>
      <c r="D33" s="239">
        <v>1</v>
      </c>
      <c r="E33" s="203">
        <v>2</v>
      </c>
      <c r="F33" s="241">
        <v>100</v>
      </c>
      <c r="G33" s="234"/>
      <c r="H33" s="241">
        <v>5940</v>
      </c>
      <c r="I33" s="234"/>
      <c r="J33" s="241">
        <v>100</v>
      </c>
      <c r="K33" s="234">
        <v>2</v>
      </c>
      <c r="L33" s="235">
        <f t="shared" si="0"/>
        <v>6.1</v>
      </c>
      <c r="M33" s="200">
        <f t="shared" si="1"/>
        <v>0</v>
      </c>
      <c r="N33" s="200">
        <f t="shared" si="2"/>
        <v>12.2</v>
      </c>
      <c r="O33" s="200">
        <f t="shared" si="3"/>
        <v>0</v>
      </c>
      <c r="P33" s="200">
        <f t="shared" si="4"/>
        <v>0</v>
      </c>
      <c r="Q33" s="200">
        <f t="shared" si="5"/>
        <v>0</v>
      </c>
      <c r="R33" s="200">
        <f t="shared" si="6"/>
        <v>0</v>
      </c>
      <c r="S33" s="200">
        <f t="shared" si="7"/>
        <v>0</v>
      </c>
    </row>
    <row r="34" spans="1:19" s="236" customFormat="1" ht="24.95" customHeight="1">
      <c r="A34" s="239"/>
      <c r="B34" s="239" t="s">
        <v>394</v>
      </c>
      <c r="C34" s="240">
        <v>8</v>
      </c>
      <c r="D34" s="239">
        <v>1</v>
      </c>
      <c r="E34" s="203">
        <f>(6010/200)+1</f>
        <v>31.05</v>
      </c>
      <c r="F34" s="234"/>
      <c r="G34" s="234"/>
      <c r="H34" s="234">
        <v>820</v>
      </c>
      <c r="I34" s="234"/>
      <c r="J34" s="234"/>
      <c r="K34" s="241">
        <v>5</v>
      </c>
      <c r="L34" s="235">
        <f t="shared" si="0"/>
        <v>0.74</v>
      </c>
      <c r="M34" s="200">
        <f t="shared" si="1"/>
        <v>22.977</v>
      </c>
      <c r="N34" s="200">
        <f t="shared" si="2"/>
        <v>0</v>
      </c>
      <c r="O34" s="200">
        <f t="shared" si="3"/>
        <v>0</v>
      </c>
      <c r="P34" s="200">
        <f t="shared" si="4"/>
        <v>0</v>
      </c>
      <c r="Q34" s="200">
        <f t="shared" si="5"/>
        <v>0</v>
      </c>
      <c r="R34" s="200">
        <f t="shared" si="6"/>
        <v>0</v>
      </c>
      <c r="S34" s="200">
        <f t="shared" si="7"/>
        <v>0</v>
      </c>
    </row>
    <row r="35" spans="1:19" s="236" customFormat="1" ht="24.95" customHeight="1">
      <c r="A35" s="205" t="s">
        <v>395</v>
      </c>
      <c r="B35" s="206" t="s">
        <v>396</v>
      </c>
      <c r="C35" s="240"/>
      <c r="D35" s="239"/>
      <c r="E35" s="203"/>
      <c r="F35" s="234"/>
      <c r="G35" s="234"/>
      <c r="H35" s="234"/>
      <c r="I35" s="234"/>
      <c r="J35" s="234"/>
      <c r="K35" s="234"/>
      <c r="L35" s="235">
        <f t="shared" si="0"/>
        <v>0</v>
      </c>
      <c r="M35" s="200">
        <f t="shared" si="1"/>
        <v>0</v>
      </c>
      <c r="N35" s="200">
        <f t="shared" si="2"/>
        <v>0</v>
      </c>
      <c r="O35" s="200">
        <f t="shared" si="3"/>
        <v>0</v>
      </c>
      <c r="P35" s="200">
        <f t="shared" si="4"/>
        <v>0</v>
      </c>
      <c r="Q35" s="200">
        <f t="shared" si="5"/>
        <v>0</v>
      </c>
      <c r="R35" s="200">
        <f t="shared" si="6"/>
        <v>0</v>
      </c>
      <c r="S35" s="200">
        <f t="shared" si="7"/>
        <v>0</v>
      </c>
    </row>
    <row r="36" spans="1:19" s="236" customFormat="1" ht="24.95" customHeight="1">
      <c r="A36" s="239">
        <v>1</v>
      </c>
      <c r="B36" s="239" t="s">
        <v>392</v>
      </c>
      <c r="C36" s="240">
        <v>10</v>
      </c>
      <c r="D36" s="239">
        <v>1</v>
      </c>
      <c r="E36" s="203">
        <v>2</v>
      </c>
      <c r="F36" s="241">
        <v>100</v>
      </c>
      <c r="G36" s="234"/>
      <c r="H36" s="241">
        <v>2920</v>
      </c>
      <c r="I36" s="234"/>
      <c r="J36" s="241">
        <v>100</v>
      </c>
      <c r="K36" s="234">
        <v>2</v>
      </c>
      <c r="L36" s="235">
        <f t="shared" si="0"/>
        <v>3.08</v>
      </c>
      <c r="M36" s="200">
        <f t="shared" si="1"/>
        <v>0</v>
      </c>
      <c r="N36" s="200">
        <f t="shared" si="2"/>
        <v>6.16</v>
      </c>
      <c r="O36" s="200">
        <f t="shared" si="3"/>
        <v>0</v>
      </c>
      <c r="P36" s="200">
        <f t="shared" si="4"/>
        <v>0</v>
      </c>
      <c r="Q36" s="200">
        <f t="shared" si="5"/>
        <v>0</v>
      </c>
      <c r="R36" s="200">
        <f t="shared" si="6"/>
        <v>0</v>
      </c>
      <c r="S36" s="200">
        <f t="shared" si="7"/>
        <v>0</v>
      </c>
    </row>
    <row r="37" spans="1:19" s="236" customFormat="1" ht="24.95" customHeight="1">
      <c r="A37" s="239"/>
      <c r="B37" s="239" t="s">
        <v>393</v>
      </c>
      <c r="C37" s="240">
        <v>10</v>
      </c>
      <c r="D37" s="239">
        <v>1</v>
      </c>
      <c r="E37" s="203">
        <v>2</v>
      </c>
      <c r="F37" s="241">
        <v>100</v>
      </c>
      <c r="G37" s="234"/>
      <c r="H37" s="241">
        <v>2920</v>
      </c>
      <c r="I37" s="234"/>
      <c r="J37" s="241">
        <v>100</v>
      </c>
      <c r="K37" s="234">
        <v>2</v>
      </c>
      <c r="L37" s="235">
        <f t="shared" si="0"/>
        <v>3.08</v>
      </c>
      <c r="M37" s="200">
        <f t="shared" si="1"/>
        <v>0</v>
      </c>
      <c r="N37" s="200">
        <f t="shared" si="2"/>
        <v>6.16</v>
      </c>
      <c r="O37" s="200">
        <f t="shared" si="3"/>
        <v>0</v>
      </c>
      <c r="P37" s="200">
        <f t="shared" si="4"/>
        <v>0</v>
      </c>
      <c r="Q37" s="200">
        <f t="shared" si="5"/>
        <v>0</v>
      </c>
      <c r="R37" s="200">
        <f t="shared" si="6"/>
        <v>0</v>
      </c>
      <c r="S37" s="200">
        <f t="shared" si="7"/>
        <v>0</v>
      </c>
    </row>
    <row r="38" spans="1:19" s="236" customFormat="1" ht="24.95" customHeight="1">
      <c r="A38" s="239"/>
      <c r="B38" s="239" t="s">
        <v>394</v>
      </c>
      <c r="C38" s="240">
        <v>8</v>
      </c>
      <c r="D38" s="239">
        <v>1</v>
      </c>
      <c r="E38" s="203">
        <f>(2925/200)+1</f>
        <v>15.625</v>
      </c>
      <c r="F38" s="234"/>
      <c r="G38" s="234"/>
      <c r="H38" s="234">
        <v>820</v>
      </c>
      <c r="I38" s="234"/>
      <c r="J38" s="234"/>
      <c r="K38" s="241">
        <v>5</v>
      </c>
      <c r="L38" s="235">
        <f t="shared" si="0"/>
        <v>0.74</v>
      </c>
      <c r="M38" s="200">
        <f t="shared" si="1"/>
        <v>11.5625</v>
      </c>
      <c r="N38" s="200">
        <f t="shared" si="2"/>
        <v>0</v>
      </c>
      <c r="O38" s="200">
        <f t="shared" si="3"/>
        <v>0</v>
      </c>
      <c r="P38" s="200">
        <f t="shared" si="4"/>
        <v>0</v>
      </c>
      <c r="Q38" s="200">
        <f t="shared" si="5"/>
        <v>0</v>
      </c>
      <c r="R38" s="200">
        <f t="shared" si="6"/>
        <v>0</v>
      </c>
      <c r="S38" s="200">
        <f t="shared" si="7"/>
        <v>0</v>
      </c>
    </row>
    <row r="39" spans="1:19" s="236" customFormat="1" ht="24.95" customHeight="1">
      <c r="A39" s="239">
        <v>2</v>
      </c>
      <c r="B39" s="239" t="s">
        <v>392</v>
      </c>
      <c r="C39" s="240">
        <v>10</v>
      </c>
      <c r="D39" s="239">
        <v>3</v>
      </c>
      <c r="E39" s="203">
        <v>2</v>
      </c>
      <c r="F39" s="241">
        <v>100</v>
      </c>
      <c r="G39" s="234"/>
      <c r="H39" s="234">
        <v>1095</v>
      </c>
      <c r="I39" s="234"/>
      <c r="J39" s="241">
        <v>100</v>
      </c>
      <c r="K39" s="234">
        <v>2</v>
      </c>
      <c r="L39" s="235">
        <f t="shared" si="0"/>
        <v>1.2549999999999999</v>
      </c>
      <c r="M39" s="200">
        <f t="shared" si="1"/>
        <v>0</v>
      </c>
      <c r="N39" s="200">
        <f t="shared" si="2"/>
        <v>7.5299999999999994</v>
      </c>
      <c r="O39" s="200">
        <f t="shared" si="3"/>
        <v>0</v>
      </c>
      <c r="P39" s="200">
        <f t="shared" si="4"/>
        <v>0</v>
      </c>
      <c r="Q39" s="200">
        <f t="shared" si="5"/>
        <v>0</v>
      </c>
      <c r="R39" s="200">
        <f t="shared" si="6"/>
        <v>0</v>
      </c>
      <c r="S39" s="200">
        <f t="shared" si="7"/>
        <v>0</v>
      </c>
    </row>
    <row r="40" spans="1:19" s="236" customFormat="1" ht="24.95" customHeight="1">
      <c r="A40" s="239"/>
      <c r="B40" s="239" t="s">
        <v>393</v>
      </c>
      <c r="C40" s="240">
        <v>10</v>
      </c>
      <c r="D40" s="239">
        <v>3</v>
      </c>
      <c r="E40" s="203">
        <v>2</v>
      </c>
      <c r="F40" s="241">
        <v>100</v>
      </c>
      <c r="G40" s="234"/>
      <c r="H40" s="234">
        <v>1095</v>
      </c>
      <c r="I40" s="234"/>
      <c r="J40" s="241">
        <v>100</v>
      </c>
      <c r="K40" s="234">
        <v>2</v>
      </c>
      <c r="L40" s="235">
        <f t="shared" si="0"/>
        <v>1.2549999999999999</v>
      </c>
      <c r="M40" s="200">
        <f t="shared" si="1"/>
        <v>0</v>
      </c>
      <c r="N40" s="200">
        <f t="shared" si="2"/>
        <v>7.5299999999999994</v>
      </c>
      <c r="O40" s="200">
        <f t="shared" si="3"/>
        <v>0</v>
      </c>
      <c r="P40" s="200">
        <f t="shared" si="4"/>
        <v>0</v>
      </c>
      <c r="Q40" s="200">
        <f t="shared" si="5"/>
        <v>0</v>
      </c>
      <c r="R40" s="200">
        <f t="shared" si="6"/>
        <v>0</v>
      </c>
      <c r="S40" s="200">
        <f t="shared" si="7"/>
        <v>0</v>
      </c>
    </row>
    <row r="41" spans="1:19" s="236" customFormat="1" ht="24.95" customHeight="1">
      <c r="A41" s="239"/>
      <c r="B41" s="239" t="s">
        <v>394</v>
      </c>
      <c r="C41" s="240">
        <v>8</v>
      </c>
      <c r="D41" s="239">
        <v>3</v>
      </c>
      <c r="E41" s="203">
        <f>(1095/200)+1</f>
        <v>6.4749999999999996</v>
      </c>
      <c r="F41" s="234"/>
      <c r="G41" s="234"/>
      <c r="H41" s="234">
        <v>820</v>
      </c>
      <c r="I41" s="234"/>
      <c r="J41" s="234"/>
      <c r="K41" s="241">
        <v>5</v>
      </c>
      <c r="L41" s="235">
        <f t="shared" si="0"/>
        <v>0.74</v>
      </c>
      <c r="M41" s="200">
        <f t="shared" si="1"/>
        <v>14.374499999999998</v>
      </c>
      <c r="N41" s="200">
        <f t="shared" si="2"/>
        <v>0</v>
      </c>
      <c r="O41" s="200">
        <f t="shared" si="3"/>
        <v>0</v>
      </c>
      <c r="P41" s="200">
        <f t="shared" si="4"/>
        <v>0</v>
      </c>
      <c r="Q41" s="200">
        <f t="shared" si="5"/>
        <v>0</v>
      </c>
      <c r="R41" s="200">
        <f t="shared" si="6"/>
        <v>0</v>
      </c>
      <c r="S41" s="200">
        <f t="shared" si="7"/>
        <v>0</v>
      </c>
    </row>
    <row r="42" spans="1:19" s="236" customFormat="1" ht="24.95" customHeight="1">
      <c r="A42" s="239">
        <v>3</v>
      </c>
      <c r="B42" s="239" t="s">
        <v>392</v>
      </c>
      <c r="C42" s="240">
        <v>10</v>
      </c>
      <c r="D42" s="239">
        <v>1</v>
      </c>
      <c r="E42" s="203">
        <v>2</v>
      </c>
      <c r="F42" s="241">
        <v>100</v>
      </c>
      <c r="G42" s="234"/>
      <c r="H42" s="234">
        <v>2010</v>
      </c>
      <c r="I42" s="234"/>
      <c r="J42" s="241">
        <v>100</v>
      </c>
      <c r="K42" s="234">
        <v>2</v>
      </c>
      <c r="L42" s="235">
        <f t="shared" si="0"/>
        <v>2.17</v>
      </c>
      <c r="M42" s="200">
        <f t="shared" si="1"/>
        <v>0</v>
      </c>
      <c r="N42" s="200">
        <f t="shared" si="2"/>
        <v>4.34</v>
      </c>
      <c r="O42" s="200">
        <f t="shared" si="3"/>
        <v>0</v>
      </c>
      <c r="P42" s="200">
        <f t="shared" si="4"/>
        <v>0</v>
      </c>
      <c r="Q42" s="200">
        <f t="shared" si="5"/>
        <v>0</v>
      </c>
      <c r="R42" s="200">
        <f t="shared" si="6"/>
        <v>0</v>
      </c>
      <c r="S42" s="200">
        <f t="shared" si="7"/>
        <v>0</v>
      </c>
    </row>
    <row r="43" spans="1:19" s="236" customFormat="1" ht="24.95" customHeight="1">
      <c r="A43" s="239"/>
      <c r="B43" s="239" t="s">
        <v>393</v>
      </c>
      <c r="C43" s="240">
        <v>10</v>
      </c>
      <c r="D43" s="239">
        <v>1</v>
      </c>
      <c r="E43" s="203">
        <v>2</v>
      </c>
      <c r="F43" s="241">
        <v>100</v>
      </c>
      <c r="G43" s="234"/>
      <c r="H43" s="234">
        <v>2010</v>
      </c>
      <c r="I43" s="234"/>
      <c r="J43" s="241">
        <v>100</v>
      </c>
      <c r="K43" s="234">
        <v>2</v>
      </c>
      <c r="L43" s="235">
        <f t="shared" si="0"/>
        <v>2.17</v>
      </c>
      <c r="M43" s="200">
        <f t="shared" si="1"/>
        <v>0</v>
      </c>
      <c r="N43" s="200">
        <f t="shared" si="2"/>
        <v>4.34</v>
      </c>
      <c r="O43" s="200">
        <f t="shared" si="3"/>
        <v>0</v>
      </c>
      <c r="P43" s="200">
        <f t="shared" si="4"/>
        <v>0</v>
      </c>
      <c r="Q43" s="200">
        <f t="shared" si="5"/>
        <v>0</v>
      </c>
      <c r="R43" s="200">
        <f t="shared" si="6"/>
        <v>0</v>
      </c>
      <c r="S43" s="200">
        <f t="shared" si="7"/>
        <v>0</v>
      </c>
    </row>
    <row r="44" spans="1:19" s="236" customFormat="1" ht="24.95" customHeight="1">
      <c r="A44" s="239"/>
      <c r="B44" s="239" t="s">
        <v>394</v>
      </c>
      <c r="C44" s="240">
        <v>8</v>
      </c>
      <c r="D44" s="239">
        <v>1</v>
      </c>
      <c r="E44" s="203">
        <f>(2010/200)+1</f>
        <v>11.05</v>
      </c>
      <c r="F44" s="234"/>
      <c r="G44" s="234"/>
      <c r="H44" s="234">
        <v>820</v>
      </c>
      <c r="I44" s="234"/>
      <c r="J44" s="234"/>
      <c r="K44" s="241">
        <v>5</v>
      </c>
      <c r="L44" s="235">
        <f t="shared" si="0"/>
        <v>0.74</v>
      </c>
      <c r="M44" s="200">
        <f t="shared" si="1"/>
        <v>8.1769999999999996</v>
      </c>
      <c r="N44" s="200">
        <f t="shared" si="2"/>
        <v>0</v>
      </c>
      <c r="O44" s="200">
        <f t="shared" si="3"/>
        <v>0</v>
      </c>
      <c r="P44" s="200">
        <f t="shared" si="4"/>
        <v>0</v>
      </c>
      <c r="Q44" s="200">
        <f t="shared" si="5"/>
        <v>0</v>
      </c>
      <c r="R44" s="200">
        <f t="shared" si="6"/>
        <v>0</v>
      </c>
      <c r="S44" s="200">
        <f t="shared" si="7"/>
        <v>0</v>
      </c>
    </row>
    <row r="45" spans="1:19" s="236" customFormat="1" ht="24.95" customHeight="1">
      <c r="A45" s="239">
        <v>4</v>
      </c>
      <c r="B45" s="239" t="s">
        <v>392</v>
      </c>
      <c r="C45" s="240">
        <v>10</v>
      </c>
      <c r="D45" s="239">
        <v>2</v>
      </c>
      <c r="E45" s="203">
        <v>2</v>
      </c>
      <c r="F45" s="241">
        <v>100</v>
      </c>
      <c r="G45" s="234"/>
      <c r="H45" s="241">
        <v>1025</v>
      </c>
      <c r="I45" s="234"/>
      <c r="J45" s="241">
        <v>100</v>
      </c>
      <c r="K45" s="234">
        <v>2</v>
      </c>
      <c r="L45" s="235">
        <f t="shared" si="0"/>
        <v>1.1850000000000001</v>
      </c>
      <c r="M45" s="200">
        <f t="shared" si="1"/>
        <v>0</v>
      </c>
      <c r="N45" s="200">
        <f t="shared" si="2"/>
        <v>4.74</v>
      </c>
      <c r="O45" s="200">
        <f t="shared" si="3"/>
        <v>0</v>
      </c>
      <c r="P45" s="200">
        <f t="shared" si="4"/>
        <v>0</v>
      </c>
      <c r="Q45" s="200">
        <f t="shared" si="5"/>
        <v>0</v>
      </c>
      <c r="R45" s="200">
        <f t="shared" si="6"/>
        <v>0</v>
      </c>
      <c r="S45" s="200">
        <f t="shared" si="7"/>
        <v>0</v>
      </c>
    </row>
    <row r="46" spans="1:19" s="236" customFormat="1" ht="24.95" customHeight="1">
      <c r="A46" s="239"/>
      <c r="B46" s="239" t="s">
        <v>393</v>
      </c>
      <c r="C46" s="240">
        <v>10</v>
      </c>
      <c r="D46" s="239">
        <v>2</v>
      </c>
      <c r="E46" s="203">
        <v>2</v>
      </c>
      <c r="F46" s="241">
        <v>100</v>
      </c>
      <c r="G46" s="234"/>
      <c r="H46" s="241">
        <v>1025</v>
      </c>
      <c r="I46" s="234"/>
      <c r="J46" s="241">
        <v>100</v>
      </c>
      <c r="K46" s="234">
        <v>2</v>
      </c>
      <c r="L46" s="235">
        <f t="shared" si="0"/>
        <v>1.1850000000000001</v>
      </c>
      <c r="M46" s="200">
        <f t="shared" si="1"/>
        <v>0</v>
      </c>
      <c r="N46" s="200">
        <f t="shared" si="2"/>
        <v>4.74</v>
      </c>
      <c r="O46" s="200">
        <f t="shared" si="3"/>
        <v>0</v>
      </c>
      <c r="P46" s="200">
        <f t="shared" si="4"/>
        <v>0</v>
      </c>
      <c r="Q46" s="200">
        <f t="shared" si="5"/>
        <v>0</v>
      </c>
      <c r="R46" s="200">
        <f t="shared" si="6"/>
        <v>0</v>
      </c>
      <c r="S46" s="200">
        <f t="shared" si="7"/>
        <v>0</v>
      </c>
    </row>
    <row r="47" spans="1:19" s="236" customFormat="1" ht="24.95" customHeight="1">
      <c r="A47" s="239"/>
      <c r="B47" s="239" t="s">
        <v>394</v>
      </c>
      <c r="C47" s="240">
        <v>8</v>
      </c>
      <c r="D47" s="239">
        <v>2</v>
      </c>
      <c r="E47" s="203">
        <f>(1145/200)+1</f>
        <v>6.7249999999999996</v>
      </c>
      <c r="F47" s="234"/>
      <c r="G47" s="234"/>
      <c r="H47" s="234">
        <v>820</v>
      </c>
      <c r="I47" s="234"/>
      <c r="J47" s="234"/>
      <c r="K47" s="241">
        <v>5</v>
      </c>
      <c r="L47" s="235">
        <f t="shared" si="0"/>
        <v>0.74</v>
      </c>
      <c r="M47" s="200">
        <f t="shared" si="1"/>
        <v>9.9529999999999994</v>
      </c>
      <c r="N47" s="200">
        <f t="shared" si="2"/>
        <v>0</v>
      </c>
      <c r="O47" s="200">
        <f t="shared" si="3"/>
        <v>0</v>
      </c>
      <c r="P47" s="200">
        <f t="shared" si="4"/>
        <v>0</v>
      </c>
      <c r="Q47" s="200">
        <f t="shared" si="5"/>
        <v>0</v>
      </c>
      <c r="R47" s="200">
        <f t="shared" si="6"/>
        <v>0</v>
      </c>
      <c r="S47" s="200">
        <f t="shared" si="7"/>
        <v>0</v>
      </c>
    </row>
    <row r="48" spans="1:19" s="236" customFormat="1" ht="24.95" customHeight="1">
      <c r="A48" s="239">
        <v>5</v>
      </c>
      <c r="B48" s="239" t="s">
        <v>392</v>
      </c>
      <c r="C48" s="240">
        <v>10</v>
      </c>
      <c r="D48" s="239">
        <v>2</v>
      </c>
      <c r="E48" s="203">
        <v>2</v>
      </c>
      <c r="F48" s="241">
        <v>100</v>
      </c>
      <c r="G48" s="234"/>
      <c r="H48" s="234">
        <v>2695</v>
      </c>
      <c r="I48" s="234"/>
      <c r="J48" s="241">
        <v>100</v>
      </c>
      <c r="K48" s="234">
        <v>2</v>
      </c>
      <c r="L48" s="235">
        <f t="shared" si="0"/>
        <v>2.855</v>
      </c>
      <c r="M48" s="200">
        <f t="shared" si="1"/>
        <v>0</v>
      </c>
      <c r="N48" s="200">
        <f t="shared" si="2"/>
        <v>11.42</v>
      </c>
      <c r="O48" s="200">
        <f t="shared" si="3"/>
        <v>0</v>
      </c>
      <c r="P48" s="200">
        <f t="shared" si="4"/>
        <v>0</v>
      </c>
      <c r="Q48" s="200">
        <f t="shared" si="5"/>
        <v>0</v>
      </c>
      <c r="R48" s="200">
        <f t="shared" si="6"/>
        <v>0</v>
      </c>
      <c r="S48" s="200">
        <f t="shared" si="7"/>
        <v>0</v>
      </c>
    </row>
    <row r="49" spans="1:19" s="236" customFormat="1" ht="24.95" customHeight="1">
      <c r="A49" s="239"/>
      <c r="B49" s="239" t="s">
        <v>393</v>
      </c>
      <c r="C49" s="240">
        <v>10</v>
      </c>
      <c r="D49" s="239">
        <v>2</v>
      </c>
      <c r="E49" s="203">
        <v>2</v>
      </c>
      <c r="F49" s="241">
        <v>100</v>
      </c>
      <c r="G49" s="234"/>
      <c r="H49" s="234">
        <v>2695</v>
      </c>
      <c r="I49" s="234"/>
      <c r="J49" s="241">
        <v>100</v>
      </c>
      <c r="K49" s="234">
        <v>2</v>
      </c>
      <c r="L49" s="235">
        <f t="shared" si="0"/>
        <v>2.855</v>
      </c>
      <c r="M49" s="200">
        <f t="shared" si="1"/>
        <v>0</v>
      </c>
      <c r="N49" s="200">
        <f t="shared" si="2"/>
        <v>11.42</v>
      </c>
      <c r="O49" s="200">
        <f t="shared" si="3"/>
        <v>0</v>
      </c>
      <c r="P49" s="200">
        <f t="shared" si="4"/>
        <v>0</v>
      </c>
      <c r="Q49" s="200">
        <f t="shared" si="5"/>
        <v>0</v>
      </c>
      <c r="R49" s="200">
        <f t="shared" si="6"/>
        <v>0</v>
      </c>
      <c r="S49" s="200">
        <f t="shared" si="7"/>
        <v>0</v>
      </c>
    </row>
    <row r="50" spans="1:19" s="236" customFormat="1" ht="24.95" customHeight="1">
      <c r="A50" s="239"/>
      <c r="B50" s="239" t="s">
        <v>394</v>
      </c>
      <c r="C50" s="240">
        <v>8</v>
      </c>
      <c r="D50" s="239">
        <v>2</v>
      </c>
      <c r="E50" s="203">
        <f>(2695/200)+1</f>
        <v>14.475</v>
      </c>
      <c r="F50" s="234"/>
      <c r="G50" s="234"/>
      <c r="H50" s="234">
        <v>820</v>
      </c>
      <c r="I50" s="234"/>
      <c r="J50" s="234"/>
      <c r="K50" s="241">
        <v>5</v>
      </c>
      <c r="L50" s="235">
        <f t="shared" si="0"/>
        <v>0.74</v>
      </c>
      <c r="M50" s="200">
        <f t="shared" si="1"/>
        <v>21.422999999999998</v>
      </c>
      <c r="N50" s="200">
        <f t="shared" si="2"/>
        <v>0</v>
      </c>
      <c r="O50" s="200">
        <f t="shared" si="3"/>
        <v>0</v>
      </c>
      <c r="P50" s="200">
        <f t="shared" si="4"/>
        <v>0</v>
      </c>
      <c r="Q50" s="200">
        <f t="shared" si="5"/>
        <v>0</v>
      </c>
      <c r="R50" s="200">
        <f t="shared" si="6"/>
        <v>0</v>
      </c>
      <c r="S50" s="200">
        <f t="shared" si="7"/>
        <v>0</v>
      </c>
    </row>
    <row r="51" spans="1:19" s="236" customFormat="1" ht="24.95" customHeight="1">
      <c r="A51" s="239">
        <v>6</v>
      </c>
      <c r="B51" s="239" t="s">
        <v>392</v>
      </c>
      <c r="C51" s="240">
        <v>10</v>
      </c>
      <c r="D51" s="239">
        <v>2</v>
      </c>
      <c r="E51" s="203">
        <v>2</v>
      </c>
      <c r="F51" s="241">
        <v>100</v>
      </c>
      <c r="G51" s="234"/>
      <c r="H51" s="234">
        <v>2695</v>
      </c>
      <c r="I51" s="234"/>
      <c r="J51" s="241">
        <v>100</v>
      </c>
      <c r="K51" s="234">
        <v>2</v>
      </c>
      <c r="L51" s="235">
        <f t="shared" si="0"/>
        <v>2.855</v>
      </c>
      <c r="M51" s="200">
        <f t="shared" si="1"/>
        <v>0</v>
      </c>
      <c r="N51" s="200">
        <f t="shared" si="2"/>
        <v>11.42</v>
      </c>
      <c r="O51" s="200">
        <f t="shared" si="3"/>
        <v>0</v>
      </c>
      <c r="P51" s="200">
        <f t="shared" si="4"/>
        <v>0</v>
      </c>
      <c r="Q51" s="200">
        <f t="shared" si="5"/>
        <v>0</v>
      </c>
      <c r="R51" s="200">
        <f t="shared" si="6"/>
        <v>0</v>
      </c>
      <c r="S51" s="200">
        <f t="shared" si="7"/>
        <v>0</v>
      </c>
    </row>
    <row r="52" spans="1:19" s="236" customFormat="1" ht="24.95" customHeight="1">
      <c r="A52" s="239"/>
      <c r="B52" s="239" t="s">
        <v>393</v>
      </c>
      <c r="C52" s="240">
        <v>10</v>
      </c>
      <c r="D52" s="239">
        <v>2</v>
      </c>
      <c r="E52" s="203">
        <v>2</v>
      </c>
      <c r="F52" s="241">
        <v>100</v>
      </c>
      <c r="G52" s="234"/>
      <c r="H52" s="234">
        <v>2695</v>
      </c>
      <c r="I52" s="234"/>
      <c r="J52" s="241">
        <v>100</v>
      </c>
      <c r="K52" s="234">
        <v>2</v>
      </c>
      <c r="L52" s="235">
        <f t="shared" si="0"/>
        <v>2.855</v>
      </c>
      <c r="M52" s="200">
        <f t="shared" si="1"/>
        <v>0</v>
      </c>
      <c r="N52" s="200">
        <f t="shared" si="2"/>
        <v>11.42</v>
      </c>
      <c r="O52" s="200">
        <f t="shared" si="3"/>
        <v>0</v>
      </c>
      <c r="P52" s="200">
        <f t="shared" si="4"/>
        <v>0</v>
      </c>
      <c r="Q52" s="200">
        <f t="shared" si="5"/>
        <v>0</v>
      </c>
      <c r="R52" s="200">
        <f t="shared" si="6"/>
        <v>0</v>
      </c>
      <c r="S52" s="200">
        <f t="shared" si="7"/>
        <v>0</v>
      </c>
    </row>
    <row r="53" spans="1:19" s="236" customFormat="1" ht="24.95" customHeight="1">
      <c r="A53" s="239"/>
      <c r="B53" s="239" t="s">
        <v>394</v>
      </c>
      <c r="C53" s="240">
        <v>8</v>
      </c>
      <c r="D53" s="239">
        <v>2</v>
      </c>
      <c r="E53" s="203">
        <f>(2695/200)+1</f>
        <v>14.475</v>
      </c>
      <c r="F53" s="234"/>
      <c r="G53" s="234"/>
      <c r="H53" s="234">
        <v>820</v>
      </c>
      <c r="I53" s="234"/>
      <c r="J53" s="234"/>
      <c r="K53" s="241">
        <v>5</v>
      </c>
      <c r="L53" s="235">
        <f t="shared" si="0"/>
        <v>0.74</v>
      </c>
      <c r="M53" s="200">
        <f t="shared" si="1"/>
        <v>21.422999999999998</v>
      </c>
      <c r="N53" s="200">
        <f t="shared" si="2"/>
        <v>0</v>
      </c>
      <c r="O53" s="200">
        <f t="shared" si="3"/>
        <v>0</v>
      </c>
      <c r="P53" s="200">
        <f t="shared" si="4"/>
        <v>0</v>
      </c>
      <c r="Q53" s="200">
        <f t="shared" si="5"/>
        <v>0</v>
      </c>
      <c r="R53" s="200">
        <f t="shared" si="6"/>
        <v>0</v>
      </c>
      <c r="S53" s="200">
        <f t="shared" si="7"/>
        <v>0</v>
      </c>
    </row>
    <row r="54" spans="1:19" s="236" customFormat="1" ht="24.95" customHeight="1">
      <c r="A54" s="239">
        <v>7</v>
      </c>
      <c r="B54" s="239" t="s">
        <v>392</v>
      </c>
      <c r="C54" s="240">
        <v>10</v>
      </c>
      <c r="D54" s="239">
        <v>2</v>
      </c>
      <c r="E54" s="203">
        <v>2</v>
      </c>
      <c r="F54" s="241">
        <v>100</v>
      </c>
      <c r="G54" s="234"/>
      <c r="H54" s="234">
        <v>2010</v>
      </c>
      <c r="I54" s="234"/>
      <c r="J54" s="241">
        <v>100</v>
      </c>
      <c r="K54" s="234">
        <v>2</v>
      </c>
      <c r="L54" s="235">
        <f t="shared" si="0"/>
        <v>2.17</v>
      </c>
      <c r="M54" s="200">
        <f t="shared" si="1"/>
        <v>0</v>
      </c>
      <c r="N54" s="200">
        <f t="shared" si="2"/>
        <v>8.68</v>
      </c>
      <c r="O54" s="200">
        <f t="shared" si="3"/>
        <v>0</v>
      </c>
      <c r="P54" s="200">
        <f t="shared" si="4"/>
        <v>0</v>
      </c>
      <c r="Q54" s="200">
        <f t="shared" si="5"/>
        <v>0</v>
      </c>
      <c r="R54" s="200">
        <f t="shared" si="6"/>
        <v>0</v>
      </c>
      <c r="S54" s="200">
        <f t="shared" si="7"/>
        <v>0</v>
      </c>
    </row>
    <row r="55" spans="1:19" s="236" customFormat="1" ht="24.95" customHeight="1">
      <c r="A55" s="239"/>
      <c r="B55" s="239" t="s">
        <v>393</v>
      </c>
      <c r="C55" s="240">
        <v>10</v>
      </c>
      <c r="D55" s="239">
        <v>2</v>
      </c>
      <c r="E55" s="203">
        <v>2</v>
      </c>
      <c r="F55" s="241">
        <v>100</v>
      </c>
      <c r="G55" s="234"/>
      <c r="H55" s="234">
        <v>2010</v>
      </c>
      <c r="I55" s="234"/>
      <c r="J55" s="241">
        <v>100</v>
      </c>
      <c r="K55" s="234">
        <v>2</v>
      </c>
      <c r="L55" s="235">
        <f t="shared" si="0"/>
        <v>2.17</v>
      </c>
      <c r="M55" s="200">
        <f t="shared" si="1"/>
        <v>0</v>
      </c>
      <c r="N55" s="200">
        <f t="shared" si="2"/>
        <v>8.68</v>
      </c>
      <c r="O55" s="200">
        <f t="shared" si="3"/>
        <v>0</v>
      </c>
      <c r="P55" s="200">
        <f t="shared" si="4"/>
        <v>0</v>
      </c>
      <c r="Q55" s="200">
        <f t="shared" si="5"/>
        <v>0</v>
      </c>
      <c r="R55" s="200">
        <f t="shared" si="6"/>
        <v>0</v>
      </c>
      <c r="S55" s="200">
        <f t="shared" si="7"/>
        <v>0</v>
      </c>
    </row>
    <row r="56" spans="1:19" s="236" customFormat="1" ht="24.95" customHeight="1">
      <c r="A56" s="239"/>
      <c r="B56" s="239" t="s">
        <v>394</v>
      </c>
      <c r="C56" s="240">
        <v>8</v>
      </c>
      <c r="D56" s="239">
        <v>2</v>
      </c>
      <c r="E56" s="203">
        <f>(2010/200)+1</f>
        <v>11.05</v>
      </c>
      <c r="F56" s="234"/>
      <c r="G56" s="234"/>
      <c r="H56" s="234">
        <v>820</v>
      </c>
      <c r="I56" s="234"/>
      <c r="J56" s="234"/>
      <c r="K56" s="241">
        <v>5</v>
      </c>
      <c r="L56" s="235">
        <f t="shared" si="0"/>
        <v>0.74</v>
      </c>
      <c r="M56" s="200">
        <f t="shared" si="1"/>
        <v>16.353999999999999</v>
      </c>
      <c r="N56" s="200">
        <f t="shared" si="2"/>
        <v>0</v>
      </c>
      <c r="O56" s="200">
        <f t="shared" si="3"/>
        <v>0</v>
      </c>
      <c r="P56" s="200">
        <f t="shared" si="4"/>
        <v>0</v>
      </c>
      <c r="Q56" s="200">
        <f t="shared" si="5"/>
        <v>0</v>
      </c>
      <c r="R56" s="200">
        <f t="shared" si="6"/>
        <v>0</v>
      </c>
      <c r="S56" s="200">
        <f t="shared" si="7"/>
        <v>0</v>
      </c>
    </row>
    <row r="57" spans="1:19" s="236" customFormat="1" ht="24.95" customHeight="1">
      <c r="A57" s="237" t="s">
        <v>390</v>
      </c>
      <c r="B57" s="238" t="s">
        <v>389</v>
      </c>
      <c r="C57" s="240"/>
      <c r="D57" s="239"/>
      <c r="E57" s="203"/>
      <c r="F57" s="234"/>
      <c r="G57" s="234"/>
      <c r="H57" s="234"/>
      <c r="I57" s="234"/>
      <c r="J57" s="234"/>
      <c r="K57" s="234"/>
      <c r="L57" s="235">
        <f t="shared" si="0"/>
        <v>0</v>
      </c>
      <c r="M57" s="200">
        <f t="shared" si="1"/>
        <v>0</v>
      </c>
      <c r="N57" s="200">
        <f t="shared" si="2"/>
        <v>0</v>
      </c>
      <c r="O57" s="200">
        <f t="shared" si="3"/>
        <v>0</v>
      </c>
      <c r="P57" s="200">
        <f t="shared" si="4"/>
        <v>0</v>
      </c>
      <c r="Q57" s="200">
        <f t="shared" si="5"/>
        <v>0</v>
      </c>
      <c r="R57" s="200">
        <f t="shared" si="6"/>
        <v>0</v>
      </c>
      <c r="S57" s="200">
        <f t="shared" si="7"/>
        <v>0</v>
      </c>
    </row>
    <row r="58" spans="1:19" s="236" customFormat="1" ht="24.95" customHeight="1">
      <c r="A58" s="205" t="s">
        <v>397</v>
      </c>
      <c r="B58" s="206" t="s">
        <v>391</v>
      </c>
      <c r="C58" s="240"/>
      <c r="D58" s="239"/>
      <c r="E58" s="203"/>
      <c r="F58" s="234"/>
      <c r="G58" s="234"/>
      <c r="H58" s="234"/>
      <c r="I58" s="234"/>
      <c r="J58" s="234"/>
      <c r="K58" s="234"/>
      <c r="L58" s="235">
        <f t="shared" si="0"/>
        <v>0</v>
      </c>
      <c r="M58" s="200">
        <f t="shared" si="1"/>
        <v>0</v>
      </c>
      <c r="N58" s="200">
        <f t="shared" si="2"/>
        <v>0</v>
      </c>
      <c r="O58" s="200">
        <f t="shared" si="3"/>
        <v>0</v>
      </c>
      <c r="P58" s="200">
        <f t="shared" si="4"/>
        <v>0</v>
      </c>
      <c r="Q58" s="200">
        <f t="shared" si="5"/>
        <v>0</v>
      </c>
      <c r="R58" s="200">
        <f t="shared" si="6"/>
        <v>0</v>
      </c>
      <c r="S58" s="200">
        <f t="shared" si="7"/>
        <v>0</v>
      </c>
    </row>
    <row r="59" spans="1:19" s="236" customFormat="1" ht="24.95" customHeight="1">
      <c r="A59" s="239">
        <v>1</v>
      </c>
      <c r="B59" s="239" t="s">
        <v>392</v>
      </c>
      <c r="C59" s="240">
        <v>10</v>
      </c>
      <c r="D59" s="239">
        <v>1</v>
      </c>
      <c r="E59" s="203">
        <v>2</v>
      </c>
      <c r="F59" s="241">
        <v>100</v>
      </c>
      <c r="G59" s="234"/>
      <c r="H59" s="241">
        <v>6840</v>
      </c>
      <c r="I59" s="234"/>
      <c r="J59" s="241">
        <v>100</v>
      </c>
      <c r="K59" s="234">
        <v>2</v>
      </c>
      <c r="L59" s="235">
        <f t="shared" si="0"/>
        <v>7</v>
      </c>
      <c r="M59" s="200">
        <f t="shared" si="1"/>
        <v>0</v>
      </c>
      <c r="N59" s="200">
        <f t="shared" si="2"/>
        <v>14</v>
      </c>
      <c r="O59" s="200">
        <f t="shared" si="3"/>
        <v>0</v>
      </c>
      <c r="P59" s="200">
        <f t="shared" si="4"/>
        <v>0</v>
      </c>
      <c r="Q59" s="200">
        <f t="shared" si="5"/>
        <v>0</v>
      </c>
      <c r="R59" s="200">
        <f t="shared" si="6"/>
        <v>0</v>
      </c>
      <c r="S59" s="200">
        <f t="shared" si="7"/>
        <v>0</v>
      </c>
    </row>
    <row r="60" spans="1:19" s="236" customFormat="1" ht="24.95" customHeight="1">
      <c r="A60" s="239"/>
      <c r="B60" s="239" t="s">
        <v>393</v>
      </c>
      <c r="C60" s="240">
        <v>10</v>
      </c>
      <c r="D60" s="239">
        <v>1</v>
      </c>
      <c r="E60" s="203">
        <v>2</v>
      </c>
      <c r="F60" s="241">
        <v>100</v>
      </c>
      <c r="G60" s="234"/>
      <c r="H60" s="241">
        <v>6840</v>
      </c>
      <c r="I60" s="234"/>
      <c r="J60" s="241">
        <v>100</v>
      </c>
      <c r="K60" s="234">
        <v>2</v>
      </c>
      <c r="L60" s="235">
        <f t="shared" si="0"/>
        <v>7</v>
      </c>
      <c r="M60" s="200">
        <f t="shared" si="1"/>
        <v>0</v>
      </c>
      <c r="N60" s="200">
        <f t="shared" si="2"/>
        <v>14</v>
      </c>
      <c r="O60" s="200">
        <f t="shared" si="3"/>
        <v>0</v>
      </c>
      <c r="P60" s="200">
        <f t="shared" si="4"/>
        <v>0</v>
      </c>
      <c r="Q60" s="200">
        <f t="shared" si="5"/>
        <v>0</v>
      </c>
      <c r="R60" s="200">
        <f t="shared" si="6"/>
        <v>0</v>
      </c>
      <c r="S60" s="200">
        <f t="shared" si="7"/>
        <v>0</v>
      </c>
    </row>
    <row r="61" spans="1:19" s="236" customFormat="1" ht="24.95" customHeight="1">
      <c r="A61" s="239"/>
      <c r="B61" s="239" t="s">
        <v>394</v>
      </c>
      <c r="C61" s="240">
        <v>8</v>
      </c>
      <c r="D61" s="239">
        <v>1</v>
      </c>
      <c r="E61" s="249">
        <v>35</v>
      </c>
      <c r="F61" s="234"/>
      <c r="G61" s="234"/>
      <c r="H61" s="234">
        <v>820</v>
      </c>
      <c r="I61" s="234"/>
      <c r="J61" s="234"/>
      <c r="K61" s="241">
        <v>5</v>
      </c>
      <c r="L61" s="235">
        <f t="shared" si="0"/>
        <v>0.74</v>
      </c>
      <c r="M61" s="200">
        <f t="shared" si="1"/>
        <v>25.9</v>
      </c>
      <c r="N61" s="200">
        <f t="shared" si="2"/>
        <v>0</v>
      </c>
      <c r="O61" s="200">
        <f t="shared" si="3"/>
        <v>0</v>
      </c>
      <c r="P61" s="200">
        <f t="shared" si="4"/>
        <v>0</v>
      </c>
      <c r="Q61" s="200">
        <f t="shared" si="5"/>
        <v>0</v>
      </c>
      <c r="R61" s="200">
        <f t="shared" si="6"/>
        <v>0</v>
      </c>
      <c r="S61" s="200">
        <f t="shared" si="7"/>
        <v>0</v>
      </c>
    </row>
    <row r="62" spans="1:19" s="236" customFormat="1" ht="24.95" customHeight="1">
      <c r="A62" s="239">
        <v>2</v>
      </c>
      <c r="B62" s="239" t="s">
        <v>392</v>
      </c>
      <c r="C62" s="240">
        <v>10</v>
      </c>
      <c r="D62" s="239">
        <v>1</v>
      </c>
      <c r="E62" s="203">
        <v>2</v>
      </c>
      <c r="F62" s="241">
        <v>100</v>
      </c>
      <c r="G62" s="234"/>
      <c r="H62" s="241">
        <v>1740</v>
      </c>
      <c r="I62" s="234"/>
      <c r="J62" s="241">
        <v>100</v>
      </c>
      <c r="K62" s="234">
        <v>2</v>
      </c>
      <c r="L62" s="235">
        <f t="shared" si="0"/>
        <v>1.9</v>
      </c>
      <c r="M62" s="200">
        <f t="shared" si="1"/>
        <v>0</v>
      </c>
      <c r="N62" s="200">
        <f t="shared" si="2"/>
        <v>3.8</v>
      </c>
      <c r="O62" s="200">
        <f t="shared" si="3"/>
        <v>0</v>
      </c>
      <c r="P62" s="200">
        <f t="shared" si="4"/>
        <v>0</v>
      </c>
      <c r="Q62" s="200">
        <f t="shared" si="5"/>
        <v>0</v>
      </c>
      <c r="R62" s="200">
        <f t="shared" si="6"/>
        <v>0</v>
      </c>
      <c r="S62" s="200">
        <f t="shared" si="7"/>
        <v>0</v>
      </c>
    </row>
    <row r="63" spans="1:19" s="236" customFormat="1" ht="24.95" customHeight="1">
      <c r="A63" s="239"/>
      <c r="B63" s="239" t="s">
        <v>393</v>
      </c>
      <c r="C63" s="240">
        <v>10</v>
      </c>
      <c r="D63" s="239">
        <v>1</v>
      </c>
      <c r="E63" s="203">
        <v>2</v>
      </c>
      <c r="F63" s="241">
        <v>100</v>
      </c>
      <c r="G63" s="234"/>
      <c r="H63" s="241">
        <v>1740</v>
      </c>
      <c r="I63" s="234"/>
      <c r="J63" s="241">
        <v>100</v>
      </c>
      <c r="K63" s="234">
        <v>2</v>
      </c>
      <c r="L63" s="235">
        <f t="shared" si="0"/>
        <v>1.9</v>
      </c>
      <c r="M63" s="200">
        <f t="shared" si="1"/>
        <v>0</v>
      </c>
      <c r="N63" s="200">
        <f t="shared" si="2"/>
        <v>3.8</v>
      </c>
      <c r="O63" s="200">
        <f t="shared" si="3"/>
        <v>0</v>
      </c>
      <c r="P63" s="200">
        <f t="shared" si="4"/>
        <v>0</v>
      </c>
      <c r="Q63" s="200">
        <f t="shared" si="5"/>
        <v>0</v>
      </c>
      <c r="R63" s="200">
        <f t="shared" si="6"/>
        <v>0</v>
      </c>
      <c r="S63" s="200">
        <f t="shared" si="7"/>
        <v>0</v>
      </c>
    </row>
    <row r="64" spans="1:19" s="236" customFormat="1" ht="24.95" customHeight="1">
      <c r="A64" s="239"/>
      <c r="B64" s="239" t="s">
        <v>394</v>
      </c>
      <c r="C64" s="240">
        <v>8</v>
      </c>
      <c r="D64" s="239">
        <v>1</v>
      </c>
      <c r="E64" s="249">
        <v>10</v>
      </c>
      <c r="F64" s="234"/>
      <c r="G64" s="234"/>
      <c r="H64" s="234">
        <v>820</v>
      </c>
      <c r="I64" s="234"/>
      <c r="J64" s="234"/>
      <c r="K64" s="241">
        <v>5</v>
      </c>
      <c r="L64" s="235">
        <f t="shared" si="0"/>
        <v>0.74</v>
      </c>
      <c r="M64" s="200">
        <f t="shared" si="1"/>
        <v>7.4</v>
      </c>
      <c r="N64" s="200">
        <f t="shared" si="2"/>
        <v>0</v>
      </c>
      <c r="O64" s="200">
        <f t="shared" si="3"/>
        <v>0</v>
      </c>
      <c r="P64" s="200">
        <f t="shared" si="4"/>
        <v>0</v>
      </c>
      <c r="Q64" s="200">
        <f t="shared" si="5"/>
        <v>0</v>
      </c>
      <c r="R64" s="200">
        <f t="shared" si="6"/>
        <v>0</v>
      </c>
      <c r="S64" s="200">
        <f t="shared" si="7"/>
        <v>0</v>
      </c>
    </row>
    <row r="65" spans="1:19" s="236" customFormat="1" ht="24.95" customHeight="1">
      <c r="A65" s="239">
        <v>3</v>
      </c>
      <c r="B65" s="239" t="s">
        <v>392</v>
      </c>
      <c r="C65" s="240">
        <v>10</v>
      </c>
      <c r="D65" s="239">
        <v>1</v>
      </c>
      <c r="E65" s="203">
        <v>2</v>
      </c>
      <c r="F65" s="241">
        <v>100</v>
      </c>
      <c r="G65" s="234"/>
      <c r="H65" s="234">
        <v>4610</v>
      </c>
      <c r="I65" s="234"/>
      <c r="J65" s="241">
        <v>100</v>
      </c>
      <c r="K65" s="234">
        <v>2</v>
      </c>
      <c r="L65" s="235">
        <f t="shared" si="0"/>
        <v>4.7699999999999996</v>
      </c>
      <c r="M65" s="200">
        <f t="shared" si="1"/>
        <v>0</v>
      </c>
      <c r="N65" s="200">
        <f t="shared" si="2"/>
        <v>9.5399999999999991</v>
      </c>
      <c r="O65" s="200">
        <f t="shared" si="3"/>
        <v>0</v>
      </c>
      <c r="P65" s="200">
        <f t="shared" si="4"/>
        <v>0</v>
      </c>
      <c r="Q65" s="200">
        <f t="shared" si="5"/>
        <v>0</v>
      </c>
      <c r="R65" s="200">
        <f t="shared" si="6"/>
        <v>0</v>
      </c>
      <c r="S65" s="200">
        <f t="shared" si="7"/>
        <v>0</v>
      </c>
    </row>
    <row r="66" spans="1:19" s="236" customFormat="1" ht="24.95" customHeight="1">
      <c r="A66" s="239"/>
      <c r="B66" s="239" t="s">
        <v>393</v>
      </c>
      <c r="C66" s="240">
        <v>10</v>
      </c>
      <c r="D66" s="239">
        <v>1</v>
      </c>
      <c r="E66" s="203">
        <v>2</v>
      </c>
      <c r="F66" s="241">
        <v>100</v>
      </c>
      <c r="G66" s="234"/>
      <c r="H66" s="234">
        <v>4610</v>
      </c>
      <c r="I66" s="234"/>
      <c r="J66" s="241">
        <v>100</v>
      </c>
      <c r="K66" s="234">
        <v>2</v>
      </c>
      <c r="L66" s="235">
        <f t="shared" si="0"/>
        <v>4.7699999999999996</v>
      </c>
      <c r="M66" s="200">
        <f t="shared" si="1"/>
        <v>0</v>
      </c>
      <c r="N66" s="200">
        <f t="shared" si="2"/>
        <v>9.5399999999999991</v>
      </c>
      <c r="O66" s="200">
        <f t="shared" si="3"/>
        <v>0</v>
      </c>
      <c r="P66" s="200">
        <f t="shared" si="4"/>
        <v>0</v>
      </c>
      <c r="Q66" s="200">
        <f t="shared" si="5"/>
        <v>0</v>
      </c>
      <c r="R66" s="200">
        <f t="shared" si="6"/>
        <v>0</v>
      </c>
      <c r="S66" s="200">
        <f t="shared" si="7"/>
        <v>0</v>
      </c>
    </row>
    <row r="67" spans="1:19" s="236" customFormat="1" ht="24.95" customHeight="1">
      <c r="A67" s="239"/>
      <c r="B67" s="239" t="s">
        <v>394</v>
      </c>
      <c r="C67" s="240">
        <v>8</v>
      </c>
      <c r="D67" s="239">
        <v>1</v>
      </c>
      <c r="E67" s="203">
        <f>(4610/200)+1</f>
        <v>24.05</v>
      </c>
      <c r="F67" s="234"/>
      <c r="G67" s="234"/>
      <c r="H67" s="234">
        <v>820</v>
      </c>
      <c r="I67" s="234"/>
      <c r="J67" s="234"/>
      <c r="K67" s="241">
        <v>5</v>
      </c>
      <c r="L67" s="235">
        <f t="shared" si="0"/>
        <v>0.74</v>
      </c>
      <c r="M67" s="200">
        <f t="shared" si="1"/>
        <v>17.797000000000001</v>
      </c>
      <c r="N67" s="200">
        <f t="shared" si="2"/>
        <v>0</v>
      </c>
      <c r="O67" s="200">
        <f t="shared" si="3"/>
        <v>0</v>
      </c>
      <c r="P67" s="200">
        <f t="shared" si="4"/>
        <v>0</v>
      </c>
      <c r="Q67" s="200">
        <f t="shared" si="5"/>
        <v>0</v>
      </c>
      <c r="R67" s="200">
        <f t="shared" si="6"/>
        <v>0</v>
      </c>
      <c r="S67" s="200">
        <f t="shared" si="7"/>
        <v>0</v>
      </c>
    </row>
    <row r="68" spans="1:19" s="236" customFormat="1" ht="24.95" customHeight="1">
      <c r="A68" s="239">
        <v>4</v>
      </c>
      <c r="B68" s="239" t="s">
        <v>392</v>
      </c>
      <c r="C68" s="240">
        <v>10</v>
      </c>
      <c r="D68" s="239">
        <v>1</v>
      </c>
      <c r="E68" s="203">
        <v>2</v>
      </c>
      <c r="F68" s="241">
        <v>100</v>
      </c>
      <c r="G68" s="234"/>
      <c r="H68" s="234">
        <v>5570</v>
      </c>
      <c r="I68" s="234"/>
      <c r="J68" s="241">
        <v>100</v>
      </c>
      <c r="K68" s="234">
        <v>2</v>
      </c>
      <c r="L68" s="235">
        <f t="shared" si="0"/>
        <v>5.73</v>
      </c>
      <c r="M68" s="200">
        <f t="shared" si="1"/>
        <v>0</v>
      </c>
      <c r="N68" s="200">
        <f t="shared" si="2"/>
        <v>11.46</v>
      </c>
      <c r="O68" s="200">
        <f t="shared" si="3"/>
        <v>0</v>
      </c>
      <c r="P68" s="200">
        <f t="shared" si="4"/>
        <v>0</v>
      </c>
      <c r="Q68" s="200">
        <f t="shared" si="5"/>
        <v>0</v>
      </c>
      <c r="R68" s="200">
        <f t="shared" si="6"/>
        <v>0</v>
      </c>
      <c r="S68" s="200">
        <f t="shared" si="7"/>
        <v>0</v>
      </c>
    </row>
    <row r="69" spans="1:19" s="236" customFormat="1" ht="24.95" customHeight="1">
      <c r="A69" s="239"/>
      <c r="B69" s="239" t="s">
        <v>393</v>
      </c>
      <c r="C69" s="240">
        <v>10</v>
      </c>
      <c r="D69" s="239">
        <v>1</v>
      </c>
      <c r="E69" s="203">
        <v>2</v>
      </c>
      <c r="F69" s="241">
        <v>100</v>
      </c>
      <c r="G69" s="234"/>
      <c r="H69" s="234">
        <v>5570</v>
      </c>
      <c r="I69" s="234"/>
      <c r="J69" s="241">
        <v>100</v>
      </c>
      <c r="K69" s="234">
        <v>2</v>
      </c>
      <c r="L69" s="235">
        <f t="shared" si="0"/>
        <v>5.73</v>
      </c>
      <c r="M69" s="200">
        <f t="shared" si="1"/>
        <v>0</v>
      </c>
      <c r="N69" s="200">
        <f t="shared" si="2"/>
        <v>11.46</v>
      </c>
      <c r="O69" s="200">
        <f t="shared" si="3"/>
        <v>0</v>
      </c>
      <c r="P69" s="200">
        <f t="shared" si="4"/>
        <v>0</v>
      </c>
      <c r="Q69" s="200">
        <f t="shared" si="5"/>
        <v>0</v>
      </c>
      <c r="R69" s="200">
        <f t="shared" si="6"/>
        <v>0</v>
      </c>
      <c r="S69" s="200">
        <f t="shared" si="7"/>
        <v>0</v>
      </c>
    </row>
    <row r="70" spans="1:19" s="236" customFormat="1" ht="24.95" customHeight="1">
      <c r="A70" s="239"/>
      <c r="B70" s="239" t="s">
        <v>394</v>
      </c>
      <c r="C70" s="240">
        <v>8</v>
      </c>
      <c r="D70" s="239">
        <v>1</v>
      </c>
      <c r="E70" s="203">
        <f>(5570/200)+1</f>
        <v>28.85</v>
      </c>
      <c r="F70" s="234"/>
      <c r="G70" s="234"/>
      <c r="H70" s="234">
        <v>820</v>
      </c>
      <c r="I70" s="234"/>
      <c r="J70" s="234"/>
      <c r="K70" s="241">
        <v>5</v>
      </c>
      <c r="L70" s="235">
        <f t="shared" si="0"/>
        <v>0.74</v>
      </c>
      <c r="M70" s="200">
        <f t="shared" si="1"/>
        <v>21.349</v>
      </c>
      <c r="N70" s="200">
        <f t="shared" si="2"/>
        <v>0</v>
      </c>
      <c r="O70" s="200">
        <f t="shared" si="3"/>
        <v>0</v>
      </c>
      <c r="P70" s="200">
        <f t="shared" si="4"/>
        <v>0</v>
      </c>
      <c r="Q70" s="200">
        <f t="shared" si="5"/>
        <v>0</v>
      </c>
      <c r="R70" s="200">
        <f t="shared" si="6"/>
        <v>0</v>
      </c>
      <c r="S70" s="200">
        <f t="shared" si="7"/>
        <v>0</v>
      </c>
    </row>
    <row r="71" spans="1:19" s="236" customFormat="1" ht="24.95" customHeight="1">
      <c r="A71" s="239">
        <v>5</v>
      </c>
      <c r="B71" s="239" t="s">
        <v>392</v>
      </c>
      <c r="C71" s="240">
        <v>10</v>
      </c>
      <c r="D71" s="239">
        <v>1</v>
      </c>
      <c r="E71" s="203">
        <v>2</v>
      </c>
      <c r="F71" s="241">
        <v>100</v>
      </c>
      <c r="G71" s="234"/>
      <c r="H71" s="234">
        <v>780</v>
      </c>
      <c r="I71" s="234"/>
      <c r="J71" s="241">
        <v>100</v>
      </c>
      <c r="K71" s="234">
        <v>2</v>
      </c>
      <c r="L71" s="235">
        <f t="shared" si="0"/>
        <v>0.94</v>
      </c>
      <c r="M71" s="200">
        <f t="shared" si="1"/>
        <v>0</v>
      </c>
      <c r="N71" s="200">
        <f t="shared" si="2"/>
        <v>1.88</v>
      </c>
      <c r="O71" s="200">
        <f t="shared" si="3"/>
        <v>0</v>
      </c>
      <c r="P71" s="200">
        <f t="shared" si="4"/>
        <v>0</v>
      </c>
      <c r="Q71" s="200">
        <f t="shared" si="5"/>
        <v>0</v>
      </c>
      <c r="R71" s="200">
        <f t="shared" si="6"/>
        <v>0</v>
      </c>
      <c r="S71" s="200">
        <f t="shared" si="7"/>
        <v>0</v>
      </c>
    </row>
    <row r="72" spans="1:19" s="236" customFormat="1" ht="24.95" customHeight="1">
      <c r="A72" s="239"/>
      <c r="B72" s="239" t="s">
        <v>393</v>
      </c>
      <c r="C72" s="240">
        <v>10</v>
      </c>
      <c r="D72" s="239">
        <v>1</v>
      </c>
      <c r="E72" s="203">
        <v>2</v>
      </c>
      <c r="F72" s="241">
        <v>100</v>
      </c>
      <c r="G72" s="234"/>
      <c r="H72" s="234">
        <v>780</v>
      </c>
      <c r="I72" s="234"/>
      <c r="J72" s="241">
        <v>100</v>
      </c>
      <c r="K72" s="234">
        <v>2</v>
      </c>
      <c r="L72" s="235">
        <f t="shared" si="0"/>
        <v>0.94</v>
      </c>
      <c r="M72" s="200">
        <f t="shared" si="1"/>
        <v>0</v>
      </c>
      <c r="N72" s="200">
        <f t="shared" si="2"/>
        <v>1.88</v>
      </c>
      <c r="O72" s="200">
        <f t="shared" si="3"/>
        <v>0</v>
      </c>
      <c r="P72" s="200">
        <f t="shared" si="4"/>
        <v>0</v>
      </c>
      <c r="Q72" s="200">
        <f t="shared" si="5"/>
        <v>0</v>
      </c>
      <c r="R72" s="200">
        <f t="shared" si="6"/>
        <v>0</v>
      </c>
      <c r="S72" s="200">
        <f t="shared" si="7"/>
        <v>0</v>
      </c>
    </row>
    <row r="73" spans="1:19" s="236" customFormat="1" ht="24.95" customHeight="1">
      <c r="A73" s="239"/>
      <c r="B73" s="239" t="s">
        <v>394</v>
      </c>
      <c r="C73" s="240">
        <v>8</v>
      </c>
      <c r="D73" s="239">
        <v>1</v>
      </c>
      <c r="E73" s="203">
        <f>(780/200)+1</f>
        <v>4.9000000000000004</v>
      </c>
      <c r="F73" s="241">
        <v>100</v>
      </c>
      <c r="G73" s="234"/>
      <c r="H73" s="234">
        <v>820</v>
      </c>
      <c r="I73" s="234"/>
      <c r="J73" s="234"/>
      <c r="K73" s="241">
        <v>5</v>
      </c>
      <c r="L73" s="235">
        <f t="shared" si="0"/>
        <v>0.84</v>
      </c>
      <c r="M73" s="200">
        <f t="shared" si="1"/>
        <v>4.1160000000000005</v>
      </c>
      <c r="N73" s="200">
        <f t="shared" si="2"/>
        <v>0</v>
      </c>
      <c r="O73" s="200">
        <f t="shared" si="3"/>
        <v>0</v>
      </c>
      <c r="P73" s="200">
        <f t="shared" si="4"/>
        <v>0</v>
      </c>
      <c r="Q73" s="200">
        <f t="shared" si="5"/>
        <v>0</v>
      </c>
      <c r="R73" s="200">
        <f t="shared" si="6"/>
        <v>0</v>
      </c>
      <c r="S73" s="200">
        <f t="shared" si="7"/>
        <v>0</v>
      </c>
    </row>
    <row r="74" spans="1:19" s="247" customFormat="1" ht="24.95" customHeight="1">
      <c r="A74" s="242">
        <v>6</v>
      </c>
      <c r="B74" s="242" t="s">
        <v>392</v>
      </c>
      <c r="C74" s="243">
        <v>10</v>
      </c>
      <c r="D74" s="242">
        <f t="shared" ref="D74:D76" si="8">1*0</f>
        <v>0</v>
      </c>
      <c r="E74" s="244">
        <v>2</v>
      </c>
      <c r="F74" s="245">
        <v>100</v>
      </c>
      <c r="G74" s="246"/>
      <c r="H74" s="246">
        <v>3815</v>
      </c>
      <c r="I74" s="246"/>
      <c r="J74" s="245">
        <v>100</v>
      </c>
      <c r="K74" s="246">
        <v>2</v>
      </c>
      <c r="L74" s="235">
        <f t="shared" si="0"/>
        <v>3.9750000000000001</v>
      </c>
      <c r="M74" s="200">
        <f t="shared" si="1"/>
        <v>0</v>
      </c>
      <c r="N74" s="200">
        <f t="shared" si="2"/>
        <v>0</v>
      </c>
      <c r="O74" s="200">
        <f t="shared" si="3"/>
        <v>0</v>
      </c>
      <c r="P74" s="200">
        <f t="shared" si="4"/>
        <v>0</v>
      </c>
      <c r="Q74" s="200">
        <f t="shared" si="5"/>
        <v>0</v>
      </c>
      <c r="R74" s="200">
        <f t="shared" si="6"/>
        <v>0</v>
      </c>
      <c r="S74" s="200">
        <f t="shared" si="7"/>
        <v>0</v>
      </c>
    </row>
    <row r="75" spans="1:19" s="247" customFormat="1" ht="24.95" customHeight="1">
      <c r="A75" s="242"/>
      <c r="B75" s="242" t="s">
        <v>393</v>
      </c>
      <c r="C75" s="243">
        <v>10</v>
      </c>
      <c r="D75" s="242">
        <f t="shared" si="8"/>
        <v>0</v>
      </c>
      <c r="E75" s="244">
        <v>2</v>
      </c>
      <c r="F75" s="245">
        <v>100</v>
      </c>
      <c r="G75" s="246"/>
      <c r="H75" s="246">
        <v>3815</v>
      </c>
      <c r="I75" s="246"/>
      <c r="J75" s="245">
        <v>100</v>
      </c>
      <c r="K75" s="246">
        <v>2</v>
      </c>
      <c r="L75" s="235">
        <f t="shared" ref="L75:L138" si="9">(((F75+G75+H75+I75+J75)-C75*K75*2)/1000)</f>
        <v>3.9750000000000001</v>
      </c>
      <c r="M75" s="200">
        <f t="shared" ref="M75:M138" si="10">+IF(C75=8,D75*E75*L75,0)</f>
        <v>0</v>
      </c>
      <c r="N75" s="200">
        <f t="shared" ref="N75:N138" si="11">+IF(C75=10,D75*E75*L75,0)</f>
        <v>0</v>
      </c>
      <c r="O75" s="200">
        <f t="shared" ref="O75:O138" si="12">+IF(C75=12,D75*E75*L75,0)</f>
        <v>0</v>
      </c>
      <c r="P75" s="200">
        <f t="shared" ref="P75:P138" si="13">+IF(C75=16,D75*E75*L75,0)</f>
        <v>0</v>
      </c>
      <c r="Q75" s="200">
        <f t="shared" ref="Q75:Q138" si="14">+IF(C75=20,D75*E75*L75,0)</f>
        <v>0</v>
      </c>
      <c r="R75" s="200">
        <f t="shared" ref="R75:R138" si="15">+IF(C75=25,D75*E75*L75,0)</f>
        <v>0</v>
      </c>
      <c r="S75" s="200">
        <f t="shared" ref="S75:S138" si="16">+IF(C75=32,D75*E75*L75,0)</f>
        <v>0</v>
      </c>
    </row>
    <row r="76" spans="1:19" s="247" customFormat="1" ht="24.95" customHeight="1">
      <c r="A76" s="242"/>
      <c r="B76" s="242" t="s">
        <v>394</v>
      </c>
      <c r="C76" s="243">
        <v>8</v>
      </c>
      <c r="D76" s="242">
        <f t="shared" si="8"/>
        <v>0</v>
      </c>
      <c r="E76" s="244">
        <f>(3815/200)+1</f>
        <v>20.074999999999999</v>
      </c>
      <c r="F76" s="246"/>
      <c r="G76" s="246"/>
      <c r="H76" s="246">
        <v>820</v>
      </c>
      <c r="I76" s="246"/>
      <c r="J76" s="246"/>
      <c r="K76" s="245">
        <v>5</v>
      </c>
      <c r="L76" s="235">
        <f t="shared" si="9"/>
        <v>0.74</v>
      </c>
      <c r="M76" s="200">
        <f t="shared" si="10"/>
        <v>0</v>
      </c>
      <c r="N76" s="200">
        <f t="shared" si="11"/>
        <v>0</v>
      </c>
      <c r="O76" s="200">
        <f t="shared" si="12"/>
        <v>0</v>
      </c>
      <c r="P76" s="200">
        <f t="shared" si="13"/>
        <v>0</v>
      </c>
      <c r="Q76" s="200">
        <f t="shared" si="14"/>
        <v>0</v>
      </c>
      <c r="R76" s="200">
        <f t="shared" si="15"/>
        <v>0</v>
      </c>
      <c r="S76" s="200">
        <f t="shared" si="16"/>
        <v>0</v>
      </c>
    </row>
    <row r="77" spans="1:19" s="236" customFormat="1" ht="24.95" customHeight="1">
      <c r="A77" s="239">
        <v>7</v>
      </c>
      <c r="B77" s="239" t="s">
        <v>392</v>
      </c>
      <c r="C77" s="240">
        <v>10</v>
      </c>
      <c r="D77" s="239">
        <v>1</v>
      </c>
      <c r="E77" s="203">
        <v>2</v>
      </c>
      <c r="F77" s="241">
        <v>100</v>
      </c>
      <c r="G77" s="234"/>
      <c r="H77" s="234">
        <v>1980</v>
      </c>
      <c r="I77" s="234"/>
      <c r="J77" s="241">
        <v>100</v>
      </c>
      <c r="K77" s="234">
        <v>2</v>
      </c>
      <c r="L77" s="235">
        <f t="shared" si="9"/>
        <v>2.14</v>
      </c>
      <c r="M77" s="200">
        <f t="shared" si="10"/>
        <v>0</v>
      </c>
      <c r="N77" s="200">
        <f t="shared" si="11"/>
        <v>4.28</v>
      </c>
      <c r="O77" s="200">
        <f t="shared" si="12"/>
        <v>0</v>
      </c>
      <c r="P77" s="200">
        <f t="shared" si="13"/>
        <v>0</v>
      </c>
      <c r="Q77" s="200">
        <f t="shared" si="14"/>
        <v>0</v>
      </c>
      <c r="R77" s="200">
        <f t="shared" si="15"/>
        <v>0</v>
      </c>
      <c r="S77" s="200">
        <f t="shared" si="16"/>
        <v>0</v>
      </c>
    </row>
    <row r="78" spans="1:19" s="236" customFormat="1" ht="24.95" customHeight="1">
      <c r="A78" s="239"/>
      <c r="B78" s="239" t="s">
        <v>393</v>
      </c>
      <c r="C78" s="240">
        <v>10</v>
      </c>
      <c r="D78" s="239">
        <v>1</v>
      </c>
      <c r="E78" s="203">
        <v>2</v>
      </c>
      <c r="F78" s="241">
        <v>100</v>
      </c>
      <c r="G78" s="234"/>
      <c r="H78" s="234">
        <v>1980</v>
      </c>
      <c r="I78" s="234"/>
      <c r="J78" s="241">
        <v>100</v>
      </c>
      <c r="K78" s="234">
        <v>2</v>
      </c>
      <c r="L78" s="235">
        <f t="shared" si="9"/>
        <v>2.14</v>
      </c>
      <c r="M78" s="200">
        <f t="shared" si="10"/>
        <v>0</v>
      </c>
      <c r="N78" s="200">
        <f t="shared" si="11"/>
        <v>4.28</v>
      </c>
      <c r="O78" s="200">
        <f t="shared" si="12"/>
        <v>0</v>
      </c>
      <c r="P78" s="200">
        <f t="shared" si="13"/>
        <v>0</v>
      </c>
      <c r="Q78" s="200">
        <f t="shared" si="14"/>
        <v>0</v>
      </c>
      <c r="R78" s="200">
        <f t="shared" si="15"/>
        <v>0</v>
      </c>
      <c r="S78" s="200">
        <f t="shared" si="16"/>
        <v>0</v>
      </c>
    </row>
    <row r="79" spans="1:19" s="236" customFormat="1" ht="24.95" customHeight="1">
      <c r="A79" s="239"/>
      <c r="B79" s="239" t="s">
        <v>394</v>
      </c>
      <c r="C79" s="240">
        <v>8</v>
      </c>
      <c r="D79" s="239">
        <v>1</v>
      </c>
      <c r="E79" s="203">
        <f>(1980/200)+1</f>
        <v>10.9</v>
      </c>
      <c r="F79" s="234"/>
      <c r="G79" s="234"/>
      <c r="H79" s="234">
        <v>820</v>
      </c>
      <c r="I79" s="234"/>
      <c r="J79" s="234"/>
      <c r="K79" s="241">
        <v>5</v>
      </c>
      <c r="L79" s="235">
        <f t="shared" si="9"/>
        <v>0.74</v>
      </c>
      <c r="M79" s="200">
        <f t="shared" si="10"/>
        <v>8.0660000000000007</v>
      </c>
      <c r="N79" s="200">
        <f t="shared" si="11"/>
        <v>0</v>
      </c>
      <c r="O79" s="200">
        <f t="shared" si="12"/>
        <v>0</v>
      </c>
      <c r="P79" s="200">
        <f t="shared" si="13"/>
        <v>0</v>
      </c>
      <c r="Q79" s="200">
        <f t="shared" si="14"/>
        <v>0</v>
      </c>
      <c r="R79" s="200">
        <f t="shared" si="15"/>
        <v>0</v>
      </c>
      <c r="S79" s="200">
        <f t="shared" si="16"/>
        <v>0</v>
      </c>
    </row>
    <row r="80" spans="1:19" s="236" customFormat="1" ht="24.95" customHeight="1">
      <c r="A80" s="239">
        <v>8</v>
      </c>
      <c r="B80" s="239" t="s">
        <v>392</v>
      </c>
      <c r="C80" s="240">
        <v>10</v>
      </c>
      <c r="D80" s="239">
        <v>1</v>
      </c>
      <c r="E80" s="203">
        <v>2</v>
      </c>
      <c r="F80" s="241">
        <v>100</v>
      </c>
      <c r="G80" s="234"/>
      <c r="H80" s="234">
        <v>7070</v>
      </c>
      <c r="I80" s="234"/>
      <c r="J80" s="241">
        <v>100</v>
      </c>
      <c r="K80" s="234">
        <v>2</v>
      </c>
      <c r="L80" s="235">
        <f t="shared" si="9"/>
        <v>7.23</v>
      </c>
      <c r="M80" s="200">
        <f t="shared" si="10"/>
        <v>0</v>
      </c>
      <c r="N80" s="200">
        <f t="shared" si="11"/>
        <v>14.46</v>
      </c>
      <c r="O80" s="200">
        <f t="shared" si="12"/>
        <v>0</v>
      </c>
      <c r="P80" s="200">
        <f t="shared" si="13"/>
        <v>0</v>
      </c>
      <c r="Q80" s="200">
        <f t="shared" si="14"/>
        <v>0</v>
      </c>
      <c r="R80" s="200">
        <f t="shared" si="15"/>
        <v>0</v>
      </c>
      <c r="S80" s="200">
        <f t="shared" si="16"/>
        <v>0</v>
      </c>
    </row>
    <row r="81" spans="1:19" s="236" customFormat="1" ht="24.95" customHeight="1">
      <c r="A81" s="239"/>
      <c r="B81" s="239" t="s">
        <v>393</v>
      </c>
      <c r="C81" s="240">
        <v>10</v>
      </c>
      <c r="D81" s="239">
        <v>1</v>
      </c>
      <c r="E81" s="203">
        <v>2</v>
      </c>
      <c r="F81" s="241">
        <v>100</v>
      </c>
      <c r="G81" s="234"/>
      <c r="H81" s="234">
        <v>7070</v>
      </c>
      <c r="I81" s="234"/>
      <c r="J81" s="241">
        <v>100</v>
      </c>
      <c r="K81" s="234">
        <v>2</v>
      </c>
      <c r="L81" s="235">
        <f t="shared" si="9"/>
        <v>7.23</v>
      </c>
      <c r="M81" s="200">
        <f t="shared" si="10"/>
        <v>0</v>
      </c>
      <c r="N81" s="200">
        <f t="shared" si="11"/>
        <v>14.46</v>
      </c>
      <c r="O81" s="200">
        <f t="shared" si="12"/>
        <v>0</v>
      </c>
      <c r="P81" s="200">
        <f t="shared" si="13"/>
        <v>0</v>
      </c>
      <c r="Q81" s="200">
        <f t="shared" si="14"/>
        <v>0</v>
      </c>
      <c r="R81" s="200">
        <f t="shared" si="15"/>
        <v>0</v>
      </c>
      <c r="S81" s="200">
        <f t="shared" si="16"/>
        <v>0</v>
      </c>
    </row>
    <row r="82" spans="1:19" s="236" customFormat="1" ht="24.95" customHeight="1">
      <c r="A82" s="239"/>
      <c r="B82" s="239" t="s">
        <v>394</v>
      </c>
      <c r="C82" s="240">
        <v>8</v>
      </c>
      <c r="D82" s="239">
        <v>1</v>
      </c>
      <c r="E82" s="203">
        <f>(7070/200)+1</f>
        <v>36.35</v>
      </c>
      <c r="F82" s="234"/>
      <c r="G82" s="234"/>
      <c r="H82" s="234">
        <v>820</v>
      </c>
      <c r="I82" s="234"/>
      <c r="J82" s="234"/>
      <c r="K82" s="241">
        <v>5</v>
      </c>
      <c r="L82" s="235">
        <f t="shared" si="9"/>
        <v>0.74</v>
      </c>
      <c r="M82" s="200">
        <f t="shared" si="10"/>
        <v>26.899000000000001</v>
      </c>
      <c r="N82" s="200">
        <f t="shared" si="11"/>
        <v>0</v>
      </c>
      <c r="O82" s="200">
        <f t="shared" si="12"/>
        <v>0</v>
      </c>
      <c r="P82" s="200">
        <f t="shared" si="13"/>
        <v>0</v>
      </c>
      <c r="Q82" s="200">
        <f t="shared" si="14"/>
        <v>0</v>
      </c>
      <c r="R82" s="200">
        <f t="shared" si="15"/>
        <v>0</v>
      </c>
      <c r="S82" s="200">
        <f t="shared" si="16"/>
        <v>0</v>
      </c>
    </row>
    <row r="83" spans="1:19" s="236" customFormat="1" ht="24.95" customHeight="1">
      <c r="A83" s="239">
        <v>9</v>
      </c>
      <c r="B83" s="239" t="s">
        <v>392</v>
      </c>
      <c r="C83" s="240">
        <v>10</v>
      </c>
      <c r="D83" s="239">
        <v>1</v>
      </c>
      <c r="E83" s="203">
        <v>2</v>
      </c>
      <c r="F83" s="241">
        <v>100</v>
      </c>
      <c r="G83" s="234"/>
      <c r="H83" s="234">
        <v>8870</v>
      </c>
      <c r="I83" s="234"/>
      <c r="J83" s="241">
        <v>100</v>
      </c>
      <c r="K83" s="234">
        <v>2</v>
      </c>
      <c r="L83" s="235">
        <f t="shared" si="9"/>
        <v>9.0299999999999994</v>
      </c>
      <c r="M83" s="200">
        <f t="shared" si="10"/>
        <v>0</v>
      </c>
      <c r="N83" s="200">
        <f t="shared" si="11"/>
        <v>18.059999999999999</v>
      </c>
      <c r="O83" s="200">
        <f t="shared" si="12"/>
        <v>0</v>
      </c>
      <c r="P83" s="200">
        <f t="shared" si="13"/>
        <v>0</v>
      </c>
      <c r="Q83" s="200">
        <f t="shared" si="14"/>
        <v>0</v>
      </c>
      <c r="R83" s="200">
        <f t="shared" si="15"/>
        <v>0</v>
      </c>
      <c r="S83" s="200">
        <f t="shared" si="16"/>
        <v>0</v>
      </c>
    </row>
    <row r="84" spans="1:19" s="236" customFormat="1" ht="24.95" customHeight="1">
      <c r="A84" s="239"/>
      <c r="B84" s="239" t="s">
        <v>393</v>
      </c>
      <c r="C84" s="240">
        <v>10</v>
      </c>
      <c r="D84" s="239">
        <v>1</v>
      </c>
      <c r="E84" s="203">
        <v>2</v>
      </c>
      <c r="F84" s="241">
        <v>100</v>
      </c>
      <c r="G84" s="234"/>
      <c r="H84" s="234">
        <v>8870</v>
      </c>
      <c r="I84" s="234"/>
      <c r="J84" s="241">
        <v>100</v>
      </c>
      <c r="K84" s="234">
        <v>2</v>
      </c>
      <c r="L84" s="235">
        <f t="shared" si="9"/>
        <v>9.0299999999999994</v>
      </c>
      <c r="M84" s="200">
        <f t="shared" si="10"/>
        <v>0</v>
      </c>
      <c r="N84" s="200">
        <f t="shared" si="11"/>
        <v>18.059999999999999</v>
      </c>
      <c r="O84" s="200">
        <f t="shared" si="12"/>
        <v>0</v>
      </c>
      <c r="P84" s="200">
        <f t="shared" si="13"/>
        <v>0</v>
      </c>
      <c r="Q84" s="200">
        <f t="shared" si="14"/>
        <v>0</v>
      </c>
      <c r="R84" s="200">
        <f t="shared" si="15"/>
        <v>0</v>
      </c>
      <c r="S84" s="200">
        <f t="shared" si="16"/>
        <v>0</v>
      </c>
    </row>
    <row r="85" spans="1:19" s="236" customFormat="1" ht="24.95" customHeight="1">
      <c r="A85" s="239"/>
      <c r="B85" s="239" t="s">
        <v>394</v>
      </c>
      <c r="C85" s="240">
        <v>8</v>
      </c>
      <c r="D85" s="239">
        <v>1</v>
      </c>
      <c r="E85" s="203">
        <f>(8870/200)+1</f>
        <v>45.35</v>
      </c>
      <c r="F85" s="234"/>
      <c r="G85" s="234"/>
      <c r="H85" s="234">
        <v>820</v>
      </c>
      <c r="I85" s="234"/>
      <c r="J85" s="234"/>
      <c r="K85" s="241">
        <v>5</v>
      </c>
      <c r="L85" s="235">
        <f t="shared" si="9"/>
        <v>0.74</v>
      </c>
      <c r="M85" s="200">
        <f t="shared" si="10"/>
        <v>33.558999999999997</v>
      </c>
      <c r="N85" s="200">
        <f t="shared" si="11"/>
        <v>0</v>
      </c>
      <c r="O85" s="200">
        <f t="shared" si="12"/>
        <v>0</v>
      </c>
      <c r="P85" s="200">
        <f t="shared" si="13"/>
        <v>0</v>
      </c>
      <c r="Q85" s="200">
        <f t="shared" si="14"/>
        <v>0</v>
      </c>
      <c r="R85" s="200">
        <f t="shared" si="15"/>
        <v>0</v>
      </c>
      <c r="S85" s="200">
        <f t="shared" si="16"/>
        <v>0</v>
      </c>
    </row>
    <row r="86" spans="1:19" s="236" customFormat="1" ht="24.95" customHeight="1">
      <c r="A86" s="239">
        <v>10</v>
      </c>
      <c r="B86" s="239" t="s">
        <v>392</v>
      </c>
      <c r="C86" s="240">
        <v>10</v>
      </c>
      <c r="D86" s="239">
        <v>1</v>
      </c>
      <c r="E86" s="203">
        <v>2</v>
      </c>
      <c r="F86" s="241">
        <v>100</v>
      </c>
      <c r="G86" s="234"/>
      <c r="H86" s="234">
        <v>6215</v>
      </c>
      <c r="I86" s="234"/>
      <c r="J86" s="241">
        <v>100</v>
      </c>
      <c r="K86" s="234">
        <v>2</v>
      </c>
      <c r="L86" s="235">
        <f t="shared" si="9"/>
        <v>6.375</v>
      </c>
      <c r="M86" s="200">
        <f t="shared" si="10"/>
        <v>0</v>
      </c>
      <c r="N86" s="200">
        <f t="shared" si="11"/>
        <v>12.75</v>
      </c>
      <c r="O86" s="200">
        <f t="shared" si="12"/>
        <v>0</v>
      </c>
      <c r="P86" s="200">
        <f t="shared" si="13"/>
        <v>0</v>
      </c>
      <c r="Q86" s="200">
        <f t="shared" si="14"/>
        <v>0</v>
      </c>
      <c r="R86" s="200">
        <f t="shared" si="15"/>
        <v>0</v>
      </c>
      <c r="S86" s="200">
        <f t="shared" si="16"/>
        <v>0</v>
      </c>
    </row>
    <row r="87" spans="1:19" s="236" customFormat="1" ht="24.95" customHeight="1">
      <c r="A87" s="239"/>
      <c r="B87" s="239" t="s">
        <v>393</v>
      </c>
      <c r="C87" s="240">
        <v>10</v>
      </c>
      <c r="D87" s="239">
        <v>1</v>
      </c>
      <c r="E87" s="203">
        <v>2</v>
      </c>
      <c r="F87" s="241">
        <v>100</v>
      </c>
      <c r="G87" s="234"/>
      <c r="H87" s="234">
        <v>6215</v>
      </c>
      <c r="I87" s="234"/>
      <c r="J87" s="241">
        <v>100</v>
      </c>
      <c r="K87" s="234">
        <v>2</v>
      </c>
      <c r="L87" s="235">
        <f t="shared" si="9"/>
        <v>6.375</v>
      </c>
      <c r="M87" s="200">
        <f t="shared" si="10"/>
        <v>0</v>
      </c>
      <c r="N87" s="200">
        <f t="shared" si="11"/>
        <v>12.75</v>
      </c>
      <c r="O87" s="200">
        <f t="shared" si="12"/>
        <v>0</v>
      </c>
      <c r="P87" s="200">
        <f t="shared" si="13"/>
        <v>0</v>
      </c>
      <c r="Q87" s="200">
        <f t="shared" si="14"/>
        <v>0</v>
      </c>
      <c r="R87" s="200">
        <f t="shared" si="15"/>
        <v>0</v>
      </c>
      <c r="S87" s="200">
        <f t="shared" si="16"/>
        <v>0</v>
      </c>
    </row>
    <row r="88" spans="1:19" s="236" customFormat="1" ht="24.95" customHeight="1">
      <c r="A88" s="239"/>
      <c r="B88" s="239" t="s">
        <v>394</v>
      </c>
      <c r="C88" s="240">
        <v>8</v>
      </c>
      <c r="D88" s="239">
        <v>1</v>
      </c>
      <c r="E88" s="203">
        <f>(6215/200)+1</f>
        <v>32.075000000000003</v>
      </c>
      <c r="F88" s="234"/>
      <c r="G88" s="234"/>
      <c r="H88" s="234">
        <v>820</v>
      </c>
      <c r="I88" s="234"/>
      <c r="J88" s="234"/>
      <c r="K88" s="241">
        <v>5</v>
      </c>
      <c r="L88" s="235">
        <f t="shared" si="9"/>
        <v>0.74</v>
      </c>
      <c r="M88" s="200">
        <f t="shared" si="10"/>
        <v>23.735500000000002</v>
      </c>
      <c r="N88" s="200">
        <f t="shared" si="11"/>
        <v>0</v>
      </c>
      <c r="O88" s="200">
        <f t="shared" si="12"/>
        <v>0</v>
      </c>
      <c r="P88" s="200">
        <f t="shared" si="13"/>
        <v>0</v>
      </c>
      <c r="Q88" s="200">
        <f t="shared" si="14"/>
        <v>0</v>
      </c>
      <c r="R88" s="200">
        <f t="shared" si="15"/>
        <v>0</v>
      </c>
      <c r="S88" s="200">
        <f t="shared" si="16"/>
        <v>0</v>
      </c>
    </row>
    <row r="89" spans="1:19" s="236" customFormat="1" ht="24.95" customHeight="1">
      <c r="A89" s="239">
        <v>11</v>
      </c>
      <c r="B89" s="239" t="s">
        <v>392</v>
      </c>
      <c r="C89" s="240">
        <v>10</v>
      </c>
      <c r="D89" s="239">
        <v>1</v>
      </c>
      <c r="E89" s="203">
        <v>2</v>
      </c>
      <c r="F89" s="241">
        <v>100</v>
      </c>
      <c r="G89" s="234"/>
      <c r="H89" s="241">
        <v>11100</v>
      </c>
      <c r="I89" s="234"/>
      <c r="J89" s="241">
        <v>100</v>
      </c>
      <c r="K89" s="234">
        <v>2</v>
      </c>
      <c r="L89" s="235">
        <f t="shared" si="9"/>
        <v>11.26</v>
      </c>
      <c r="M89" s="200">
        <f t="shared" si="10"/>
        <v>0</v>
      </c>
      <c r="N89" s="200">
        <f t="shared" si="11"/>
        <v>22.52</v>
      </c>
      <c r="O89" s="200">
        <f t="shared" si="12"/>
        <v>0</v>
      </c>
      <c r="P89" s="200">
        <f t="shared" si="13"/>
        <v>0</v>
      </c>
      <c r="Q89" s="200">
        <f t="shared" si="14"/>
        <v>0</v>
      </c>
      <c r="R89" s="200">
        <f t="shared" si="15"/>
        <v>0</v>
      </c>
      <c r="S89" s="200">
        <f t="shared" si="16"/>
        <v>0</v>
      </c>
    </row>
    <row r="90" spans="1:19" s="236" customFormat="1" ht="24.95" customHeight="1">
      <c r="A90" s="239"/>
      <c r="B90" s="239" t="s">
        <v>393</v>
      </c>
      <c r="C90" s="240">
        <v>10</v>
      </c>
      <c r="D90" s="239">
        <v>1</v>
      </c>
      <c r="E90" s="203">
        <v>2</v>
      </c>
      <c r="F90" s="241">
        <v>100</v>
      </c>
      <c r="G90" s="234"/>
      <c r="H90" s="241">
        <v>11100</v>
      </c>
      <c r="I90" s="234"/>
      <c r="J90" s="241">
        <v>100</v>
      </c>
      <c r="K90" s="234">
        <v>2</v>
      </c>
      <c r="L90" s="235">
        <f t="shared" si="9"/>
        <v>11.26</v>
      </c>
      <c r="M90" s="200">
        <f t="shared" si="10"/>
        <v>0</v>
      </c>
      <c r="N90" s="200">
        <f t="shared" si="11"/>
        <v>22.52</v>
      </c>
      <c r="O90" s="200">
        <f t="shared" si="12"/>
        <v>0</v>
      </c>
      <c r="P90" s="200">
        <f t="shared" si="13"/>
        <v>0</v>
      </c>
      <c r="Q90" s="200">
        <f t="shared" si="14"/>
        <v>0</v>
      </c>
      <c r="R90" s="200">
        <f t="shared" si="15"/>
        <v>0</v>
      </c>
      <c r="S90" s="200">
        <f t="shared" si="16"/>
        <v>0</v>
      </c>
    </row>
    <row r="91" spans="1:19" s="236" customFormat="1" ht="24.95" customHeight="1">
      <c r="A91" s="239"/>
      <c r="B91" s="239" t="s">
        <v>394</v>
      </c>
      <c r="C91" s="240">
        <v>8</v>
      </c>
      <c r="D91" s="239">
        <v>1</v>
      </c>
      <c r="E91" s="203">
        <f>(11170/200)+1</f>
        <v>56.85</v>
      </c>
      <c r="F91" s="234"/>
      <c r="G91" s="234"/>
      <c r="H91" s="234">
        <v>820</v>
      </c>
      <c r="I91" s="234"/>
      <c r="J91" s="234"/>
      <c r="K91" s="241">
        <v>5</v>
      </c>
      <c r="L91" s="235">
        <f t="shared" si="9"/>
        <v>0.74</v>
      </c>
      <c r="M91" s="200">
        <f t="shared" si="10"/>
        <v>42.069000000000003</v>
      </c>
      <c r="N91" s="200">
        <f t="shared" si="11"/>
        <v>0</v>
      </c>
      <c r="O91" s="200">
        <f t="shared" si="12"/>
        <v>0</v>
      </c>
      <c r="P91" s="200">
        <f t="shared" si="13"/>
        <v>0</v>
      </c>
      <c r="Q91" s="200">
        <f t="shared" si="14"/>
        <v>0</v>
      </c>
      <c r="R91" s="200">
        <f t="shared" si="15"/>
        <v>0</v>
      </c>
      <c r="S91" s="200">
        <f t="shared" si="16"/>
        <v>0</v>
      </c>
    </row>
    <row r="92" spans="1:19" s="236" customFormat="1" ht="24.95" customHeight="1">
      <c r="A92" s="205" t="s">
        <v>398</v>
      </c>
      <c r="B92" s="206" t="s">
        <v>396</v>
      </c>
      <c r="C92" s="240"/>
      <c r="D92" s="239"/>
      <c r="E92" s="203"/>
      <c r="F92" s="234"/>
      <c r="G92" s="234"/>
      <c r="H92" s="234"/>
      <c r="I92" s="234"/>
      <c r="J92" s="234"/>
      <c r="K92" s="234"/>
      <c r="L92" s="235">
        <f t="shared" si="9"/>
        <v>0</v>
      </c>
      <c r="M92" s="200">
        <f t="shared" si="10"/>
        <v>0</v>
      </c>
      <c r="N92" s="200">
        <f t="shared" si="11"/>
        <v>0</v>
      </c>
      <c r="O92" s="200">
        <f t="shared" si="12"/>
        <v>0</v>
      </c>
      <c r="P92" s="200">
        <f t="shared" si="13"/>
        <v>0</v>
      </c>
      <c r="Q92" s="200">
        <f t="shared" si="14"/>
        <v>0</v>
      </c>
      <c r="R92" s="200">
        <f t="shared" si="15"/>
        <v>0</v>
      </c>
      <c r="S92" s="200">
        <f t="shared" si="16"/>
        <v>0</v>
      </c>
    </row>
    <row r="93" spans="1:19" s="236" customFormat="1" ht="24.95" customHeight="1">
      <c r="A93" s="239">
        <v>1</v>
      </c>
      <c r="B93" s="239" t="s">
        <v>392</v>
      </c>
      <c r="C93" s="240">
        <v>10</v>
      </c>
      <c r="D93" s="239">
        <v>5</v>
      </c>
      <c r="E93" s="203">
        <v>2</v>
      </c>
      <c r="F93" s="241">
        <v>100</v>
      </c>
      <c r="G93" s="234"/>
      <c r="H93" s="241">
        <v>1020</v>
      </c>
      <c r="I93" s="234"/>
      <c r="J93" s="241">
        <v>100</v>
      </c>
      <c r="K93" s="234">
        <v>2</v>
      </c>
      <c r="L93" s="235">
        <f t="shared" si="9"/>
        <v>1.18</v>
      </c>
      <c r="M93" s="200">
        <f t="shared" si="10"/>
        <v>0</v>
      </c>
      <c r="N93" s="200">
        <f t="shared" si="11"/>
        <v>11.799999999999999</v>
      </c>
      <c r="O93" s="200">
        <f t="shared" si="12"/>
        <v>0</v>
      </c>
      <c r="P93" s="200">
        <f t="shared" si="13"/>
        <v>0</v>
      </c>
      <c r="Q93" s="200">
        <f t="shared" si="14"/>
        <v>0</v>
      </c>
      <c r="R93" s="200">
        <f t="shared" si="15"/>
        <v>0</v>
      </c>
      <c r="S93" s="200">
        <f t="shared" si="16"/>
        <v>0</v>
      </c>
    </row>
    <row r="94" spans="1:19" s="236" customFormat="1" ht="24.95" customHeight="1">
      <c r="A94" s="239"/>
      <c r="B94" s="239" t="s">
        <v>393</v>
      </c>
      <c r="C94" s="240">
        <v>10</v>
      </c>
      <c r="D94" s="239">
        <v>5</v>
      </c>
      <c r="E94" s="203">
        <v>2</v>
      </c>
      <c r="F94" s="241">
        <v>100</v>
      </c>
      <c r="G94" s="234"/>
      <c r="H94" s="241">
        <v>1020</v>
      </c>
      <c r="I94" s="234"/>
      <c r="J94" s="241">
        <v>100</v>
      </c>
      <c r="K94" s="234">
        <v>2</v>
      </c>
      <c r="L94" s="235">
        <f t="shared" si="9"/>
        <v>1.18</v>
      </c>
      <c r="M94" s="200">
        <f t="shared" si="10"/>
        <v>0</v>
      </c>
      <c r="N94" s="200">
        <f t="shared" si="11"/>
        <v>11.799999999999999</v>
      </c>
      <c r="O94" s="200">
        <f t="shared" si="12"/>
        <v>0</v>
      </c>
      <c r="P94" s="200">
        <f t="shared" si="13"/>
        <v>0</v>
      </c>
      <c r="Q94" s="200">
        <f t="shared" si="14"/>
        <v>0</v>
      </c>
      <c r="R94" s="200">
        <f t="shared" si="15"/>
        <v>0</v>
      </c>
      <c r="S94" s="200">
        <f t="shared" si="16"/>
        <v>0</v>
      </c>
    </row>
    <row r="95" spans="1:19" s="236" customFormat="1" ht="24.95" customHeight="1">
      <c r="A95" s="239"/>
      <c r="B95" s="239" t="s">
        <v>394</v>
      </c>
      <c r="C95" s="240">
        <v>8</v>
      </c>
      <c r="D95" s="239">
        <v>5</v>
      </c>
      <c r="E95" s="203">
        <f>(1095/200)+1</f>
        <v>6.4749999999999996</v>
      </c>
      <c r="F95" s="234"/>
      <c r="G95" s="234"/>
      <c r="H95" s="234">
        <v>820</v>
      </c>
      <c r="I95" s="234"/>
      <c r="J95" s="234"/>
      <c r="K95" s="241">
        <v>5</v>
      </c>
      <c r="L95" s="235">
        <f t="shared" si="9"/>
        <v>0.74</v>
      </c>
      <c r="M95" s="200">
        <f t="shared" si="10"/>
        <v>23.9575</v>
      </c>
      <c r="N95" s="200">
        <f t="shared" si="11"/>
        <v>0</v>
      </c>
      <c r="O95" s="200">
        <f t="shared" si="12"/>
        <v>0</v>
      </c>
      <c r="P95" s="200">
        <f t="shared" si="13"/>
        <v>0</v>
      </c>
      <c r="Q95" s="200">
        <f t="shared" si="14"/>
        <v>0</v>
      </c>
      <c r="R95" s="200">
        <f t="shared" si="15"/>
        <v>0</v>
      </c>
      <c r="S95" s="200">
        <f t="shared" si="16"/>
        <v>0</v>
      </c>
    </row>
    <row r="96" spans="1:19" s="236" customFormat="1" ht="24.95" customHeight="1">
      <c r="A96" s="239">
        <v>2</v>
      </c>
      <c r="B96" s="239" t="s">
        <v>392</v>
      </c>
      <c r="C96" s="240">
        <v>10</v>
      </c>
      <c r="D96" s="239">
        <v>4</v>
      </c>
      <c r="E96" s="203">
        <v>2</v>
      </c>
      <c r="F96" s="241">
        <v>100</v>
      </c>
      <c r="G96" s="234"/>
      <c r="H96" s="234">
        <v>2010</v>
      </c>
      <c r="I96" s="234"/>
      <c r="J96" s="241">
        <v>100</v>
      </c>
      <c r="K96" s="234">
        <v>2</v>
      </c>
      <c r="L96" s="235">
        <f t="shared" si="9"/>
        <v>2.17</v>
      </c>
      <c r="M96" s="200">
        <f t="shared" si="10"/>
        <v>0</v>
      </c>
      <c r="N96" s="200">
        <f t="shared" si="11"/>
        <v>17.36</v>
      </c>
      <c r="O96" s="200">
        <f t="shared" si="12"/>
        <v>0</v>
      </c>
      <c r="P96" s="200">
        <f t="shared" si="13"/>
        <v>0</v>
      </c>
      <c r="Q96" s="200">
        <f t="shared" si="14"/>
        <v>0</v>
      </c>
      <c r="R96" s="200">
        <f t="shared" si="15"/>
        <v>0</v>
      </c>
      <c r="S96" s="200">
        <f t="shared" si="16"/>
        <v>0</v>
      </c>
    </row>
    <row r="97" spans="1:19" s="236" customFormat="1" ht="24.95" customHeight="1">
      <c r="A97" s="239"/>
      <c r="B97" s="239" t="s">
        <v>393</v>
      </c>
      <c r="C97" s="240">
        <v>10</v>
      </c>
      <c r="D97" s="239">
        <v>4</v>
      </c>
      <c r="E97" s="203">
        <v>2</v>
      </c>
      <c r="F97" s="241">
        <v>100</v>
      </c>
      <c r="G97" s="234"/>
      <c r="H97" s="234">
        <v>2010</v>
      </c>
      <c r="I97" s="234"/>
      <c r="J97" s="241">
        <v>100</v>
      </c>
      <c r="K97" s="234">
        <v>2</v>
      </c>
      <c r="L97" s="235">
        <f t="shared" si="9"/>
        <v>2.17</v>
      </c>
      <c r="M97" s="200">
        <f t="shared" si="10"/>
        <v>0</v>
      </c>
      <c r="N97" s="200">
        <f t="shared" si="11"/>
        <v>17.36</v>
      </c>
      <c r="O97" s="200">
        <f t="shared" si="12"/>
        <v>0</v>
      </c>
      <c r="P97" s="200">
        <f t="shared" si="13"/>
        <v>0</v>
      </c>
      <c r="Q97" s="200">
        <f t="shared" si="14"/>
        <v>0</v>
      </c>
      <c r="R97" s="200">
        <f t="shared" si="15"/>
        <v>0</v>
      </c>
      <c r="S97" s="200">
        <f t="shared" si="16"/>
        <v>0</v>
      </c>
    </row>
    <row r="98" spans="1:19" s="236" customFormat="1" ht="24.95" customHeight="1">
      <c r="A98" s="239"/>
      <c r="B98" s="239" t="s">
        <v>394</v>
      </c>
      <c r="C98" s="240">
        <v>8</v>
      </c>
      <c r="D98" s="239">
        <v>4</v>
      </c>
      <c r="E98" s="203">
        <f>(2010/200)+1</f>
        <v>11.05</v>
      </c>
      <c r="F98" s="234"/>
      <c r="G98" s="234"/>
      <c r="H98" s="234">
        <v>820</v>
      </c>
      <c r="I98" s="234"/>
      <c r="J98" s="234"/>
      <c r="K98" s="241">
        <v>5</v>
      </c>
      <c r="L98" s="235">
        <f t="shared" si="9"/>
        <v>0.74</v>
      </c>
      <c r="M98" s="200">
        <f t="shared" si="10"/>
        <v>32.707999999999998</v>
      </c>
      <c r="N98" s="200">
        <f t="shared" si="11"/>
        <v>0</v>
      </c>
      <c r="O98" s="200">
        <f t="shared" si="12"/>
        <v>0</v>
      </c>
      <c r="P98" s="200">
        <f t="shared" si="13"/>
        <v>0</v>
      </c>
      <c r="Q98" s="200">
        <f t="shared" si="14"/>
        <v>0</v>
      </c>
      <c r="R98" s="200">
        <f t="shared" si="15"/>
        <v>0</v>
      </c>
      <c r="S98" s="200">
        <f t="shared" si="16"/>
        <v>0</v>
      </c>
    </row>
    <row r="99" spans="1:19" s="236" customFormat="1" ht="24.95" customHeight="1">
      <c r="A99" s="239">
        <v>3</v>
      </c>
      <c r="B99" s="239" t="s">
        <v>392</v>
      </c>
      <c r="C99" s="240">
        <v>10</v>
      </c>
      <c r="D99" s="239">
        <v>3</v>
      </c>
      <c r="E99" s="203">
        <v>2</v>
      </c>
      <c r="F99" s="241">
        <v>100</v>
      </c>
      <c r="G99" s="234"/>
      <c r="H99" s="234">
        <v>2925</v>
      </c>
      <c r="I99" s="234"/>
      <c r="J99" s="241">
        <v>100</v>
      </c>
      <c r="K99" s="234">
        <v>2</v>
      </c>
      <c r="L99" s="235">
        <f t="shared" si="9"/>
        <v>3.085</v>
      </c>
      <c r="M99" s="200">
        <f t="shared" si="10"/>
        <v>0</v>
      </c>
      <c r="N99" s="200">
        <f t="shared" si="11"/>
        <v>18.509999999999998</v>
      </c>
      <c r="O99" s="200">
        <f t="shared" si="12"/>
        <v>0</v>
      </c>
      <c r="P99" s="200">
        <f t="shared" si="13"/>
        <v>0</v>
      </c>
      <c r="Q99" s="200">
        <f t="shared" si="14"/>
        <v>0</v>
      </c>
      <c r="R99" s="200">
        <f t="shared" si="15"/>
        <v>0</v>
      </c>
      <c r="S99" s="200">
        <f t="shared" si="16"/>
        <v>0</v>
      </c>
    </row>
    <row r="100" spans="1:19" s="236" customFormat="1" ht="24.95" customHeight="1">
      <c r="A100" s="239"/>
      <c r="B100" s="239" t="s">
        <v>393</v>
      </c>
      <c r="C100" s="240">
        <v>10</v>
      </c>
      <c r="D100" s="239">
        <v>3</v>
      </c>
      <c r="E100" s="203">
        <v>2</v>
      </c>
      <c r="F100" s="241">
        <v>100</v>
      </c>
      <c r="G100" s="234"/>
      <c r="H100" s="234">
        <v>2925</v>
      </c>
      <c r="I100" s="234"/>
      <c r="J100" s="241">
        <v>100</v>
      </c>
      <c r="K100" s="234">
        <v>2</v>
      </c>
      <c r="L100" s="235">
        <f t="shared" si="9"/>
        <v>3.085</v>
      </c>
      <c r="M100" s="200">
        <f t="shared" si="10"/>
        <v>0</v>
      </c>
      <c r="N100" s="200">
        <f t="shared" si="11"/>
        <v>18.509999999999998</v>
      </c>
      <c r="O100" s="200">
        <f t="shared" si="12"/>
        <v>0</v>
      </c>
      <c r="P100" s="200">
        <f t="shared" si="13"/>
        <v>0</v>
      </c>
      <c r="Q100" s="200">
        <f t="shared" si="14"/>
        <v>0</v>
      </c>
      <c r="R100" s="200">
        <f t="shared" si="15"/>
        <v>0</v>
      </c>
      <c r="S100" s="200">
        <f t="shared" si="16"/>
        <v>0</v>
      </c>
    </row>
    <row r="101" spans="1:19" s="236" customFormat="1" ht="24.95" customHeight="1">
      <c r="A101" s="239"/>
      <c r="B101" s="239" t="s">
        <v>394</v>
      </c>
      <c r="C101" s="240">
        <v>8</v>
      </c>
      <c r="D101" s="239">
        <v>3</v>
      </c>
      <c r="E101" s="203">
        <f>(2925/200)+1</f>
        <v>15.625</v>
      </c>
      <c r="F101" s="234"/>
      <c r="G101" s="234"/>
      <c r="H101" s="234">
        <v>820</v>
      </c>
      <c r="I101" s="234"/>
      <c r="J101" s="234"/>
      <c r="K101" s="241">
        <v>5</v>
      </c>
      <c r="L101" s="235">
        <f t="shared" si="9"/>
        <v>0.74</v>
      </c>
      <c r="M101" s="200">
        <f t="shared" si="10"/>
        <v>34.6875</v>
      </c>
      <c r="N101" s="200">
        <f t="shared" si="11"/>
        <v>0</v>
      </c>
      <c r="O101" s="200">
        <f t="shared" si="12"/>
        <v>0</v>
      </c>
      <c r="P101" s="200">
        <f t="shared" si="13"/>
        <v>0</v>
      </c>
      <c r="Q101" s="200">
        <f t="shared" si="14"/>
        <v>0</v>
      </c>
      <c r="R101" s="200">
        <f t="shared" si="15"/>
        <v>0</v>
      </c>
      <c r="S101" s="200">
        <f t="shared" si="16"/>
        <v>0</v>
      </c>
    </row>
    <row r="102" spans="1:19" s="236" customFormat="1" ht="24.95" customHeight="1">
      <c r="A102" s="239">
        <v>4</v>
      </c>
      <c r="B102" s="239" t="s">
        <v>392</v>
      </c>
      <c r="C102" s="240">
        <v>10</v>
      </c>
      <c r="D102" s="239">
        <v>3</v>
      </c>
      <c r="E102" s="203">
        <v>2</v>
      </c>
      <c r="F102" s="241">
        <v>100</v>
      </c>
      <c r="G102" s="234"/>
      <c r="H102" s="241">
        <v>3770</v>
      </c>
      <c r="I102" s="234"/>
      <c r="J102" s="241">
        <v>100</v>
      </c>
      <c r="K102" s="234">
        <v>2</v>
      </c>
      <c r="L102" s="235">
        <f t="shared" si="9"/>
        <v>3.93</v>
      </c>
      <c r="M102" s="200">
        <f t="shared" si="10"/>
        <v>0</v>
      </c>
      <c r="N102" s="200">
        <f t="shared" si="11"/>
        <v>23.580000000000002</v>
      </c>
      <c r="O102" s="200">
        <f t="shared" si="12"/>
        <v>0</v>
      </c>
      <c r="P102" s="200">
        <f t="shared" si="13"/>
        <v>0</v>
      </c>
      <c r="Q102" s="200">
        <f t="shared" si="14"/>
        <v>0</v>
      </c>
      <c r="R102" s="200">
        <f t="shared" si="15"/>
        <v>0</v>
      </c>
      <c r="S102" s="200">
        <f t="shared" si="16"/>
        <v>0</v>
      </c>
    </row>
    <row r="103" spans="1:19" s="236" customFormat="1" ht="24.95" customHeight="1">
      <c r="A103" s="239"/>
      <c r="B103" s="239" t="s">
        <v>393</v>
      </c>
      <c r="C103" s="240">
        <v>10</v>
      </c>
      <c r="D103" s="239">
        <v>3</v>
      </c>
      <c r="E103" s="203">
        <v>2</v>
      </c>
      <c r="F103" s="241">
        <v>100</v>
      </c>
      <c r="G103" s="234"/>
      <c r="H103" s="241">
        <v>3770</v>
      </c>
      <c r="I103" s="234"/>
      <c r="J103" s="241">
        <v>100</v>
      </c>
      <c r="K103" s="234">
        <v>2</v>
      </c>
      <c r="L103" s="235">
        <f t="shared" si="9"/>
        <v>3.93</v>
      </c>
      <c r="M103" s="200">
        <f t="shared" si="10"/>
        <v>0</v>
      </c>
      <c r="N103" s="200">
        <f t="shared" si="11"/>
        <v>23.580000000000002</v>
      </c>
      <c r="O103" s="200">
        <f t="shared" si="12"/>
        <v>0</v>
      </c>
      <c r="P103" s="200">
        <f t="shared" si="13"/>
        <v>0</v>
      </c>
      <c r="Q103" s="200">
        <f t="shared" si="14"/>
        <v>0</v>
      </c>
      <c r="R103" s="200">
        <f t="shared" si="15"/>
        <v>0</v>
      </c>
      <c r="S103" s="200">
        <f t="shared" si="16"/>
        <v>0</v>
      </c>
    </row>
    <row r="104" spans="1:19" s="236" customFormat="1" ht="24.95" customHeight="1">
      <c r="A104" s="239"/>
      <c r="B104" s="239" t="s">
        <v>394</v>
      </c>
      <c r="C104" s="240">
        <v>8</v>
      </c>
      <c r="D104" s="239">
        <v>3</v>
      </c>
      <c r="E104" s="203">
        <f>(3890/200)+1</f>
        <v>20.45</v>
      </c>
      <c r="F104" s="234"/>
      <c r="G104" s="234"/>
      <c r="H104" s="234">
        <v>820</v>
      </c>
      <c r="I104" s="234"/>
      <c r="J104" s="234"/>
      <c r="K104" s="241">
        <v>5</v>
      </c>
      <c r="L104" s="235">
        <f t="shared" si="9"/>
        <v>0.74</v>
      </c>
      <c r="M104" s="200">
        <f t="shared" si="10"/>
        <v>45.398999999999994</v>
      </c>
      <c r="N104" s="200">
        <f t="shared" si="11"/>
        <v>0</v>
      </c>
      <c r="O104" s="200">
        <f t="shared" si="12"/>
        <v>0</v>
      </c>
      <c r="P104" s="200">
        <f t="shared" si="13"/>
        <v>0</v>
      </c>
      <c r="Q104" s="200">
        <f t="shared" si="14"/>
        <v>0</v>
      </c>
      <c r="R104" s="200">
        <f t="shared" si="15"/>
        <v>0</v>
      </c>
      <c r="S104" s="200">
        <f t="shared" si="16"/>
        <v>0</v>
      </c>
    </row>
    <row r="105" spans="1:19" s="236" customFormat="1" ht="24.95" customHeight="1">
      <c r="A105" s="207">
        <v>5</v>
      </c>
      <c r="B105" s="208" t="s">
        <v>399</v>
      </c>
      <c r="C105" s="240">
        <v>12</v>
      </c>
      <c r="D105" s="239">
        <v>4</v>
      </c>
      <c r="E105" s="203">
        <v>3</v>
      </c>
      <c r="F105" s="241">
        <v>100</v>
      </c>
      <c r="G105" s="234"/>
      <c r="H105" s="234">
        <v>2950</v>
      </c>
      <c r="I105" s="234"/>
      <c r="J105" s="241">
        <v>100</v>
      </c>
      <c r="K105" s="234">
        <v>2</v>
      </c>
      <c r="L105" s="235">
        <f t="shared" si="9"/>
        <v>3.1019999999999999</v>
      </c>
      <c r="M105" s="200">
        <f t="shared" si="10"/>
        <v>0</v>
      </c>
      <c r="N105" s="200">
        <f t="shared" si="11"/>
        <v>0</v>
      </c>
      <c r="O105" s="200">
        <f t="shared" si="12"/>
        <v>37.223999999999997</v>
      </c>
      <c r="P105" s="200">
        <f t="shared" si="13"/>
        <v>0</v>
      </c>
      <c r="Q105" s="200">
        <f t="shared" si="14"/>
        <v>0</v>
      </c>
      <c r="R105" s="200">
        <f t="shared" si="15"/>
        <v>0</v>
      </c>
      <c r="S105" s="200">
        <f t="shared" si="16"/>
        <v>0</v>
      </c>
    </row>
    <row r="106" spans="1:19" s="236" customFormat="1" ht="24.95" customHeight="1">
      <c r="A106" s="239"/>
      <c r="B106" s="239" t="s">
        <v>393</v>
      </c>
      <c r="C106" s="240">
        <v>12</v>
      </c>
      <c r="D106" s="239">
        <v>4</v>
      </c>
      <c r="E106" s="203">
        <v>3</v>
      </c>
      <c r="F106" s="241">
        <v>100</v>
      </c>
      <c r="G106" s="234"/>
      <c r="H106" s="234">
        <v>2950</v>
      </c>
      <c r="I106" s="234"/>
      <c r="J106" s="241">
        <v>100</v>
      </c>
      <c r="K106" s="234">
        <v>2</v>
      </c>
      <c r="L106" s="235">
        <f t="shared" si="9"/>
        <v>3.1019999999999999</v>
      </c>
      <c r="M106" s="200">
        <f t="shared" si="10"/>
        <v>0</v>
      </c>
      <c r="N106" s="200">
        <f t="shared" si="11"/>
        <v>0</v>
      </c>
      <c r="O106" s="200">
        <f t="shared" si="12"/>
        <v>37.223999999999997</v>
      </c>
      <c r="P106" s="200">
        <f t="shared" si="13"/>
        <v>0</v>
      </c>
      <c r="Q106" s="200">
        <f t="shared" si="14"/>
        <v>0</v>
      </c>
      <c r="R106" s="200">
        <f t="shared" si="15"/>
        <v>0</v>
      </c>
      <c r="S106" s="200">
        <f t="shared" si="16"/>
        <v>0</v>
      </c>
    </row>
    <row r="107" spans="1:19" s="236" customFormat="1" ht="24.95" customHeight="1">
      <c r="A107" s="239"/>
      <c r="B107" s="239" t="s">
        <v>400</v>
      </c>
      <c r="C107" s="240">
        <v>8</v>
      </c>
      <c r="D107" s="239">
        <v>4</v>
      </c>
      <c r="E107" s="203">
        <f>(2950/200)+1</f>
        <v>15.75</v>
      </c>
      <c r="F107" s="234"/>
      <c r="G107" s="234"/>
      <c r="H107" s="234">
        <v>1280</v>
      </c>
      <c r="I107" s="234"/>
      <c r="J107" s="234"/>
      <c r="K107" s="241">
        <v>5</v>
      </c>
      <c r="L107" s="235">
        <f t="shared" si="9"/>
        <v>1.2</v>
      </c>
      <c r="M107" s="200">
        <f t="shared" si="10"/>
        <v>75.599999999999994</v>
      </c>
      <c r="N107" s="200">
        <f t="shared" si="11"/>
        <v>0</v>
      </c>
      <c r="O107" s="200">
        <f t="shared" si="12"/>
        <v>0</v>
      </c>
      <c r="P107" s="200">
        <f t="shared" si="13"/>
        <v>0</v>
      </c>
      <c r="Q107" s="200">
        <f t="shared" si="14"/>
        <v>0</v>
      </c>
      <c r="R107" s="200">
        <f t="shared" si="15"/>
        <v>0</v>
      </c>
      <c r="S107" s="200">
        <f t="shared" si="16"/>
        <v>0</v>
      </c>
    </row>
    <row r="108" spans="1:19" s="236" customFormat="1" ht="24.95" customHeight="1">
      <c r="A108" s="237">
        <v>2</v>
      </c>
      <c r="B108" s="238" t="s">
        <v>401</v>
      </c>
      <c r="C108" s="240"/>
      <c r="D108" s="239"/>
      <c r="E108" s="203"/>
      <c r="F108" s="234"/>
      <c r="G108" s="234"/>
      <c r="H108" s="234"/>
      <c r="I108" s="234"/>
      <c r="J108" s="234"/>
      <c r="K108" s="234"/>
      <c r="L108" s="235">
        <f t="shared" si="9"/>
        <v>0</v>
      </c>
      <c r="M108" s="200">
        <f t="shared" si="10"/>
        <v>0</v>
      </c>
      <c r="N108" s="200">
        <f t="shared" si="11"/>
        <v>0</v>
      </c>
      <c r="O108" s="200">
        <f t="shared" si="12"/>
        <v>0</v>
      </c>
      <c r="P108" s="200">
        <f t="shared" si="13"/>
        <v>0</v>
      </c>
      <c r="Q108" s="200">
        <f t="shared" si="14"/>
        <v>0</v>
      </c>
      <c r="R108" s="200">
        <f t="shared" si="15"/>
        <v>0</v>
      </c>
      <c r="S108" s="200">
        <f t="shared" si="16"/>
        <v>0</v>
      </c>
    </row>
    <row r="109" spans="1:19" s="236" customFormat="1" ht="24.95" customHeight="1">
      <c r="A109" s="205" t="s">
        <v>402</v>
      </c>
      <c r="B109" s="205" t="s">
        <v>403</v>
      </c>
      <c r="C109" s="240"/>
      <c r="D109" s="239"/>
      <c r="E109" s="203"/>
      <c r="F109" s="234"/>
      <c r="G109" s="234"/>
      <c r="H109" s="234"/>
      <c r="I109" s="234"/>
      <c r="J109" s="234"/>
      <c r="K109" s="234">
        <v>0</v>
      </c>
      <c r="L109" s="235">
        <f t="shared" si="9"/>
        <v>0</v>
      </c>
      <c r="M109" s="200">
        <f t="shared" si="10"/>
        <v>0</v>
      </c>
      <c r="N109" s="200">
        <f t="shared" si="11"/>
        <v>0</v>
      </c>
      <c r="O109" s="200">
        <f t="shared" si="12"/>
        <v>0</v>
      </c>
      <c r="P109" s="200">
        <f t="shared" si="13"/>
        <v>0</v>
      </c>
      <c r="Q109" s="200">
        <f t="shared" si="14"/>
        <v>0</v>
      </c>
      <c r="R109" s="200">
        <f t="shared" si="15"/>
        <v>0</v>
      </c>
      <c r="S109" s="200">
        <f t="shared" si="16"/>
        <v>0</v>
      </c>
    </row>
    <row r="110" spans="1:19" s="236" customFormat="1" ht="24.95" customHeight="1">
      <c r="A110" s="205" t="s">
        <v>404</v>
      </c>
      <c r="B110" s="206" t="s">
        <v>391</v>
      </c>
      <c r="C110" s="240"/>
      <c r="D110" s="239"/>
      <c r="E110" s="203"/>
      <c r="F110" s="234"/>
      <c r="G110" s="234"/>
      <c r="H110" s="234"/>
      <c r="I110" s="234"/>
      <c r="J110" s="234"/>
      <c r="K110" s="234"/>
      <c r="L110" s="235">
        <f t="shared" si="9"/>
        <v>0</v>
      </c>
      <c r="M110" s="200">
        <f t="shared" si="10"/>
        <v>0</v>
      </c>
      <c r="N110" s="200">
        <f t="shared" si="11"/>
        <v>0</v>
      </c>
      <c r="O110" s="200">
        <f t="shared" si="12"/>
        <v>0</v>
      </c>
      <c r="P110" s="200">
        <f t="shared" si="13"/>
        <v>0</v>
      </c>
      <c r="Q110" s="200">
        <f t="shared" si="14"/>
        <v>0</v>
      </c>
      <c r="R110" s="200">
        <f t="shared" si="15"/>
        <v>0</v>
      </c>
      <c r="S110" s="200">
        <f t="shared" si="16"/>
        <v>0</v>
      </c>
    </row>
    <row r="111" spans="1:19" s="236" customFormat="1" ht="24.95" customHeight="1">
      <c r="A111" s="239">
        <v>1</v>
      </c>
      <c r="B111" s="239" t="s">
        <v>392</v>
      </c>
      <c r="C111" s="240">
        <v>10</v>
      </c>
      <c r="D111" s="239">
        <v>1</v>
      </c>
      <c r="E111" s="203">
        <v>2</v>
      </c>
      <c r="F111" s="241">
        <v>100</v>
      </c>
      <c r="G111" s="234"/>
      <c r="H111" s="241">
        <v>9210</v>
      </c>
      <c r="I111" s="234"/>
      <c r="J111" s="241">
        <v>100</v>
      </c>
      <c r="K111" s="234">
        <v>2</v>
      </c>
      <c r="L111" s="235">
        <f t="shared" si="9"/>
        <v>9.3699999999999992</v>
      </c>
      <c r="M111" s="200">
        <f t="shared" si="10"/>
        <v>0</v>
      </c>
      <c r="N111" s="200">
        <f t="shared" si="11"/>
        <v>18.739999999999998</v>
      </c>
      <c r="O111" s="200">
        <f t="shared" si="12"/>
        <v>0</v>
      </c>
      <c r="P111" s="200">
        <f t="shared" si="13"/>
        <v>0</v>
      </c>
      <c r="Q111" s="200">
        <f t="shared" si="14"/>
        <v>0</v>
      </c>
      <c r="R111" s="200">
        <f t="shared" si="15"/>
        <v>0</v>
      </c>
      <c r="S111" s="200">
        <f t="shared" si="16"/>
        <v>0</v>
      </c>
    </row>
    <row r="112" spans="1:19" s="236" customFormat="1" ht="24.95" customHeight="1">
      <c r="A112" s="239"/>
      <c r="B112" s="239" t="s">
        <v>393</v>
      </c>
      <c r="C112" s="240">
        <v>10</v>
      </c>
      <c r="D112" s="239">
        <v>1</v>
      </c>
      <c r="E112" s="203">
        <v>2</v>
      </c>
      <c r="F112" s="241">
        <v>100</v>
      </c>
      <c r="G112" s="234"/>
      <c r="H112" s="241">
        <v>9210</v>
      </c>
      <c r="I112" s="234"/>
      <c r="J112" s="241">
        <v>100</v>
      </c>
      <c r="K112" s="234">
        <v>2</v>
      </c>
      <c r="L112" s="235">
        <f t="shared" si="9"/>
        <v>9.3699999999999992</v>
      </c>
      <c r="M112" s="200">
        <f t="shared" si="10"/>
        <v>0</v>
      </c>
      <c r="N112" s="200">
        <f t="shared" si="11"/>
        <v>18.739999999999998</v>
      </c>
      <c r="O112" s="200">
        <f t="shared" si="12"/>
        <v>0</v>
      </c>
      <c r="P112" s="200">
        <f t="shared" si="13"/>
        <v>0</v>
      </c>
      <c r="Q112" s="200">
        <f t="shared" si="14"/>
        <v>0</v>
      </c>
      <c r="R112" s="200">
        <f t="shared" si="15"/>
        <v>0</v>
      </c>
      <c r="S112" s="200">
        <f t="shared" si="16"/>
        <v>0</v>
      </c>
    </row>
    <row r="113" spans="1:19" s="236" customFormat="1" ht="24.95" customHeight="1">
      <c r="A113" s="239"/>
      <c r="B113" s="239" t="s">
        <v>394</v>
      </c>
      <c r="C113" s="240">
        <v>8</v>
      </c>
      <c r="D113" s="239">
        <v>1</v>
      </c>
      <c r="E113" s="203">
        <f>(9280/200)+1</f>
        <v>47.4</v>
      </c>
      <c r="F113" s="234"/>
      <c r="G113" s="234"/>
      <c r="H113" s="234">
        <v>820</v>
      </c>
      <c r="I113" s="234"/>
      <c r="J113" s="234"/>
      <c r="K113" s="241">
        <v>5</v>
      </c>
      <c r="L113" s="235">
        <f t="shared" si="9"/>
        <v>0.74</v>
      </c>
      <c r="M113" s="200">
        <f t="shared" si="10"/>
        <v>35.076000000000001</v>
      </c>
      <c r="N113" s="200">
        <f t="shared" si="11"/>
        <v>0</v>
      </c>
      <c r="O113" s="200">
        <f t="shared" si="12"/>
        <v>0</v>
      </c>
      <c r="P113" s="200">
        <f t="shared" si="13"/>
        <v>0</v>
      </c>
      <c r="Q113" s="200">
        <f t="shared" si="14"/>
        <v>0</v>
      </c>
      <c r="R113" s="200">
        <f t="shared" si="15"/>
        <v>0</v>
      </c>
      <c r="S113" s="200">
        <f t="shared" si="16"/>
        <v>0</v>
      </c>
    </row>
    <row r="114" spans="1:19" s="236" customFormat="1" ht="24.95" customHeight="1">
      <c r="A114" s="239">
        <v>2</v>
      </c>
      <c r="B114" s="239" t="s">
        <v>392</v>
      </c>
      <c r="C114" s="240">
        <v>10</v>
      </c>
      <c r="D114" s="239">
        <v>1</v>
      </c>
      <c r="E114" s="203">
        <v>2</v>
      </c>
      <c r="F114" s="241">
        <v>100</v>
      </c>
      <c r="G114" s="234"/>
      <c r="H114" s="234">
        <v>4380</v>
      </c>
      <c r="I114" s="234"/>
      <c r="J114" s="241">
        <v>100</v>
      </c>
      <c r="K114" s="234">
        <v>2</v>
      </c>
      <c r="L114" s="235">
        <f t="shared" si="9"/>
        <v>4.54</v>
      </c>
      <c r="M114" s="200">
        <f t="shared" si="10"/>
        <v>0</v>
      </c>
      <c r="N114" s="200">
        <f t="shared" si="11"/>
        <v>9.08</v>
      </c>
      <c r="O114" s="200">
        <f t="shared" si="12"/>
        <v>0</v>
      </c>
      <c r="P114" s="200">
        <f t="shared" si="13"/>
        <v>0</v>
      </c>
      <c r="Q114" s="200">
        <f t="shared" si="14"/>
        <v>0</v>
      </c>
      <c r="R114" s="200">
        <f t="shared" si="15"/>
        <v>0</v>
      </c>
      <c r="S114" s="200">
        <f t="shared" si="16"/>
        <v>0</v>
      </c>
    </row>
    <row r="115" spans="1:19" s="236" customFormat="1" ht="24.95" customHeight="1">
      <c r="A115" s="239"/>
      <c r="B115" s="239" t="s">
        <v>393</v>
      </c>
      <c r="C115" s="240">
        <v>10</v>
      </c>
      <c r="D115" s="239">
        <v>1</v>
      </c>
      <c r="E115" s="203">
        <v>2</v>
      </c>
      <c r="F115" s="241">
        <v>100</v>
      </c>
      <c r="G115" s="234"/>
      <c r="H115" s="234">
        <v>4380</v>
      </c>
      <c r="I115" s="234"/>
      <c r="J115" s="241">
        <v>100</v>
      </c>
      <c r="K115" s="234">
        <v>2</v>
      </c>
      <c r="L115" s="235">
        <f t="shared" si="9"/>
        <v>4.54</v>
      </c>
      <c r="M115" s="200">
        <f t="shared" si="10"/>
        <v>0</v>
      </c>
      <c r="N115" s="200">
        <f t="shared" si="11"/>
        <v>9.08</v>
      </c>
      <c r="O115" s="200">
        <f t="shared" si="12"/>
        <v>0</v>
      </c>
      <c r="P115" s="200">
        <f t="shared" si="13"/>
        <v>0</v>
      </c>
      <c r="Q115" s="200">
        <f t="shared" si="14"/>
        <v>0</v>
      </c>
      <c r="R115" s="200">
        <f t="shared" si="15"/>
        <v>0</v>
      </c>
      <c r="S115" s="200">
        <f t="shared" si="16"/>
        <v>0</v>
      </c>
    </row>
    <row r="116" spans="1:19" s="236" customFormat="1" ht="24.95" customHeight="1">
      <c r="A116" s="239"/>
      <c r="B116" s="239" t="s">
        <v>394</v>
      </c>
      <c r="C116" s="240">
        <v>8</v>
      </c>
      <c r="D116" s="239">
        <v>1</v>
      </c>
      <c r="E116" s="203">
        <f>(4380/200)+1</f>
        <v>22.9</v>
      </c>
      <c r="F116" s="234"/>
      <c r="G116" s="234"/>
      <c r="H116" s="234">
        <v>820</v>
      </c>
      <c r="I116" s="234"/>
      <c r="J116" s="234"/>
      <c r="K116" s="241">
        <v>5</v>
      </c>
      <c r="L116" s="235">
        <f t="shared" si="9"/>
        <v>0.74</v>
      </c>
      <c r="M116" s="200">
        <f t="shared" si="10"/>
        <v>16.945999999999998</v>
      </c>
      <c r="N116" s="200">
        <f t="shared" si="11"/>
        <v>0</v>
      </c>
      <c r="O116" s="200">
        <f t="shared" si="12"/>
        <v>0</v>
      </c>
      <c r="P116" s="200">
        <f t="shared" si="13"/>
        <v>0</v>
      </c>
      <c r="Q116" s="200">
        <f t="shared" si="14"/>
        <v>0</v>
      </c>
      <c r="R116" s="200">
        <f t="shared" si="15"/>
        <v>0</v>
      </c>
      <c r="S116" s="200">
        <f t="shared" si="16"/>
        <v>0</v>
      </c>
    </row>
    <row r="117" spans="1:19" s="236" customFormat="1" ht="24.95" customHeight="1">
      <c r="A117" s="239">
        <v>3</v>
      </c>
      <c r="B117" s="239" t="s">
        <v>392</v>
      </c>
      <c r="C117" s="240">
        <v>10</v>
      </c>
      <c r="D117" s="239">
        <v>2</v>
      </c>
      <c r="E117" s="203">
        <v>2</v>
      </c>
      <c r="F117" s="241">
        <v>100</v>
      </c>
      <c r="G117" s="234"/>
      <c r="H117" s="234">
        <v>2980</v>
      </c>
      <c r="I117" s="234"/>
      <c r="J117" s="241">
        <v>100</v>
      </c>
      <c r="K117" s="234">
        <v>2</v>
      </c>
      <c r="L117" s="235">
        <f t="shared" si="9"/>
        <v>3.14</v>
      </c>
      <c r="M117" s="200">
        <f t="shared" si="10"/>
        <v>0</v>
      </c>
      <c r="N117" s="200">
        <f t="shared" si="11"/>
        <v>12.56</v>
      </c>
      <c r="O117" s="200">
        <f t="shared" si="12"/>
        <v>0</v>
      </c>
      <c r="P117" s="200">
        <f t="shared" si="13"/>
        <v>0</v>
      </c>
      <c r="Q117" s="200">
        <f t="shared" si="14"/>
        <v>0</v>
      </c>
      <c r="R117" s="200">
        <f t="shared" si="15"/>
        <v>0</v>
      </c>
      <c r="S117" s="200">
        <f t="shared" si="16"/>
        <v>0</v>
      </c>
    </row>
    <row r="118" spans="1:19" s="236" customFormat="1" ht="24.95" customHeight="1">
      <c r="A118" s="239"/>
      <c r="B118" s="239" t="s">
        <v>393</v>
      </c>
      <c r="C118" s="240">
        <v>10</v>
      </c>
      <c r="D118" s="239">
        <v>2</v>
      </c>
      <c r="E118" s="203">
        <v>2</v>
      </c>
      <c r="F118" s="241">
        <v>100</v>
      </c>
      <c r="G118" s="234"/>
      <c r="H118" s="234">
        <v>2980</v>
      </c>
      <c r="I118" s="234"/>
      <c r="J118" s="241">
        <v>100</v>
      </c>
      <c r="K118" s="234">
        <v>2</v>
      </c>
      <c r="L118" s="235">
        <f t="shared" si="9"/>
        <v>3.14</v>
      </c>
      <c r="M118" s="200">
        <f t="shared" si="10"/>
        <v>0</v>
      </c>
      <c r="N118" s="200">
        <f t="shared" si="11"/>
        <v>12.56</v>
      </c>
      <c r="O118" s="200">
        <f t="shared" si="12"/>
        <v>0</v>
      </c>
      <c r="P118" s="200">
        <f t="shared" si="13"/>
        <v>0</v>
      </c>
      <c r="Q118" s="200">
        <f t="shared" si="14"/>
        <v>0</v>
      </c>
      <c r="R118" s="200">
        <f t="shared" si="15"/>
        <v>0</v>
      </c>
      <c r="S118" s="200">
        <f t="shared" si="16"/>
        <v>0</v>
      </c>
    </row>
    <row r="119" spans="1:19" s="236" customFormat="1" ht="24.95" customHeight="1">
      <c r="A119" s="239"/>
      <c r="B119" s="239" t="s">
        <v>394</v>
      </c>
      <c r="C119" s="240">
        <v>8</v>
      </c>
      <c r="D119" s="239">
        <v>2</v>
      </c>
      <c r="E119" s="203">
        <f>(2980/200)+1</f>
        <v>15.9</v>
      </c>
      <c r="F119" s="234"/>
      <c r="G119" s="234"/>
      <c r="H119" s="234">
        <v>820</v>
      </c>
      <c r="I119" s="234"/>
      <c r="J119" s="234"/>
      <c r="K119" s="241">
        <v>5</v>
      </c>
      <c r="L119" s="235">
        <f t="shared" si="9"/>
        <v>0.74</v>
      </c>
      <c r="M119" s="200">
        <f t="shared" si="10"/>
        <v>23.532</v>
      </c>
      <c r="N119" s="200">
        <f t="shared" si="11"/>
        <v>0</v>
      </c>
      <c r="O119" s="200">
        <f t="shared" si="12"/>
        <v>0</v>
      </c>
      <c r="P119" s="200">
        <f t="shared" si="13"/>
        <v>0</v>
      </c>
      <c r="Q119" s="200">
        <f t="shared" si="14"/>
        <v>0</v>
      </c>
      <c r="R119" s="200">
        <f t="shared" si="15"/>
        <v>0</v>
      </c>
      <c r="S119" s="200">
        <f t="shared" si="16"/>
        <v>0</v>
      </c>
    </row>
    <row r="120" spans="1:19" s="236" customFormat="1" ht="24.95" customHeight="1">
      <c r="A120" s="239">
        <v>4</v>
      </c>
      <c r="B120" s="239" t="s">
        <v>392</v>
      </c>
      <c r="C120" s="240">
        <v>10</v>
      </c>
      <c r="D120" s="239">
        <v>2</v>
      </c>
      <c r="E120" s="203">
        <v>2</v>
      </c>
      <c r="F120" s="241">
        <v>100</v>
      </c>
      <c r="G120" s="234"/>
      <c r="H120" s="234">
        <v>1980</v>
      </c>
      <c r="I120" s="234"/>
      <c r="J120" s="241">
        <v>100</v>
      </c>
      <c r="K120" s="234">
        <v>2</v>
      </c>
      <c r="L120" s="235">
        <f t="shared" si="9"/>
        <v>2.14</v>
      </c>
      <c r="M120" s="200">
        <f t="shared" si="10"/>
        <v>0</v>
      </c>
      <c r="N120" s="200">
        <f t="shared" si="11"/>
        <v>8.56</v>
      </c>
      <c r="O120" s="200">
        <f t="shared" si="12"/>
        <v>0</v>
      </c>
      <c r="P120" s="200">
        <f t="shared" si="13"/>
        <v>0</v>
      </c>
      <c r="Q120" s="200">
        <f t="shared" si="14"/>
        <v>0</v>
      </c>
      <c r="R120" s="200">
        <f t="shared" si="15"/>
        <v>0</v>
      </c>
      <c r="S120" s="200">
        <f t="shared" si="16"/>
        <v>0</v>
      </c>
    </row>
    <row r="121" spans="1:19" s="236" customFormat="1" ht="24.95" customHeight="1">
      <c r="A121" s="239"/>
      <c r="B121" s="239" t="s">
        <v>393</v>
      </c>
      <c r="C121" s="240">
        <v>10</v>
      </c>
      <c r="D121" s="239">
        <v>2</v>
      </c>
      <c r="E121" s="203">
        <v>2</v>
      </c>
      <c r="F121" s="241">
        <v>100</v>
      </c>
      <c r="G121" s="234"/>
      <c r="H121" s="234">
        <v>1980</v>
      </c>
      <c r="I121" s="234"/>
      <c r="J121" s="241">
        <v>100</v>
      </c>
      <c r="K121" s="234">
        <v>2</v>
      </c>
      <c r="L121" s="235">
        <f t="shared" si="9"/>
        <v>2.14</v>
      </c>
      <c r="M121" s="200">
        <f t="shared" si="10"/>
        <v>0</v>
      </c>
      <c r="N121" s="200">
        <f t="shared" si="11"/>
        <v>8.56</v>
      </c>
      <c r="O121" s="200">
        <f t="shared" si="12"/>
        <v>0</v>
      </c>
      <c r="P121" s="200">
        <f t="shared" si="13"/>
        <v>0</v>
      </c>
      <c r="Q121" s="200">
        <f t="shared" si="14"/>
        <v>0</v>
      </c>
      <c r="R121" s="200">
        <f t="shared" si="15"/>
        <v>0</v>
      </c>
      <c r="S121" s="200">
        <f t="shared" si="16"/>
        <v>0</v>
      </c>
    </row>
    <row r="122" spans="1:19" s="236" customFormat="1" ht="24.95" customHeight="1">
      <c r="A122" s="239"/>
      <c r="B122" s="239" t="s">
        <v>394</v>
      </c>
      <c r="C122" s="240">
        <v>8</v>
      </c>
      <c r="D122" s="239">
        <v>2</v>
      </c>
      <c r="E122" s="203">
        <f>(1980/200)+1</f>
        <v>10.9</v>
      </c>
      <c r="F122" s="234"/>
      <c r="G122" s="234"/>
      <c r="H122" s="234">
        <v>820</v>
      </c>
      <c r="I122" s="234"/>
      <c r="J122" s="234"/>
      <c r="K122" s="241">
        <v>5</v>
      </c>
      <c r="L122" s="235">
        <f t="shared" si="9"/>
        <v>0.74</v>
      </c>
      <c r="M122" s="200">
        <f t="shared" si="10"/>
        <v>16.132000000000001</v>
      </c>
      <c r="N122" s="200">
        <f t="shared" si="11"/>
        <v>0</v>
      </c>
      <c r="O122" s="200">
        <f t="shared" si="12"/>
        <v>0</v>
      </c>
      <c r="P122" s="200">
        <f t="shared" si="13"/>
        <v>0</v>
      </c>
      <c r="Q122" s="200">
        <f t="shared" si="14"/>
        <v>0</v>
      </c>
      <c r="R122" s="200">
        <f t="shared" si="15"/>
        <v>0</v>
      </c>
      <c r="S122" s="200">
        <f t="shared" si="16"/>
        <v>0</v>
      </c>
    </row>
    <row r="123" spans="1:19" s="236" customFormat="1" ht="24.95" customHeight="1">
      <c r="A123" s="239">
        <v>5</v>
      </c>
      <c r="B123" s="239" t="s">
        <v>392</v>
      </c>
      <c r="C123" s="240">
        <v>10</v>
      </c>
      <c r="D123" s="239">
        <v>1</v>
      </c>
      <c r="E123" s="203">
        <v>2</v>
      </c>
      <c r="F123" s="241">
        <v>100</v>
      </c>
      <c r="G123" s="234"/>
      <c r="H123" s="234">
        <v>1180</v>
      </c>
      <c r="I123" s="234"/>
      <c r="J123" s="241">
        <v>100</v>
      </c>
      <c r="K123" s="234">
        <v>2</v>
      </c>
      <c r="L123" s="235">
        <f t="shared" si="9"/>
        <v>1.34</v>
      </c>
      <c r="M123" s="200">
        <f t="shared" si="10"/>
        <v>0</v>
      </c>
      <c r="N123" s="200">
        <f t="shared" si="11"/>
        <v>2.68</v>
      </c>
      <c r="O123" s="200">
        <f t="shared" si="12"/>
        <v>0</v>
      </c>
      <c r="P123" s="200">
        <f t="shared" si="13"/>
        <v>0</v>
      </c>
      <c r="Q123" s="200">
        <f t="shared" si="14"/>
        <v>0</v>
      </c>
      <c r="R123" s="200">
        <f t="shared" si="15"/>
        <v>0</v>
      </c>
      <c r="S123" s="200">
        <f t="shared" si="16"/>
        <v>0</v>
      </c>
    </row>
    <row r="124" spans="1:19" s="236" customFormat="1" ht="24.95" customHeight="1">
      <c r="A124" s="239"/>
      <c r="B124" s="239" t="s">
        <v>393</v>
      </c>
      <c r="C124" s="240">
        <v>10</v>
      </c>
      <c r="D124" s="239">
        <v>1</v>
      </c>
      <c r="E124" s="203">
        <v>2</v>
      </c>
      <c r="F124" s="241">
        <v>100</v>
      </c>
      <c r="G124" s="234"/>
      <c r="H124" s="234">
        <v>1180</v>
      </c>
      <c r="I124" s="234"/>
      <c r="J124" s="241">
        <v>100</v>
      </c>
      <c r="K124" s="234">
        <v>2</v>
      </c>
      <c r="L124" s="235">
        <f t="shared" si="9"/>
        <v>1.34</v>
      </c>
      <c r="M124" s="200">
        <f t="shared" si="10"/>
        <v>0</v>
      </c>
      <c r="N124" s="200">
        <f t="shared" si="11"/>
        <v>2.68</v>
      </c>
      <c r="O124" s="200">
        <f t="shared" si="12"/>
        <v>0</v>
      </c>
      <c r="P124" s="200">
        <f t="shared" si="13"/>
        <v>0</v>
      </c>
      <c r="Q124" s="200">
        <f t="shared" si="14"/>
        <v>0</v>
      </c>
      <c r="R124" s="200">
        <f t="shared" si="15"/>
        <v>0</v>
      </c>
      <c r="S124" s="200">
        <f t="shared" si="16"/>
        <v>0</v>
      </c>
    </row>
    <row r="125" spans="1:19" s="236" customFormat="1" ht="24.95" customHeight="1">
      <c r="A125" s="239"/>
      <c r="B125" s="239" t="s">
        <v>394</v>
      </c>
      <c r="C125" s="240">
        <v>8</v>
      </c>
      <c r="D125" s="239">
        <v>1</v>
      </c>
      <c r="E125" s="203">
        <f>(1180/200)+1</f>
        <v>6.9</v>
      </c>
      <c r="F125" s="234"/>
      <c r="G125" s="234"/>
      <c r="H125" s="234">
        <v>820</v>
      </c>
      <c r="I125" s="234"/>
      <c r="J125" s="234"/>
      <c r="K125" s="241">
        <v>5</v>
      </c>
      <c r="L125" s="235">
        <f t="shared" si="9"/>
        <v>0.74</v>
      </c>
      <c r="M125" s="200">
        <f t="shared" si="10"/>
        <v>5.1059999999999999</v>
      </c>
      <c r="N125" s="200">
        <f t="shared" si="11"/>
        <v>0</v>
      </c>
      <c r="O125" s="200">
        <f t="shared" si="12"/>
        <v>0</v>
      </c>
      <c r="P125" s="200">
        <f t="shared" si="13"/>
        <v>0</v>
      </c>
      <c r="Q125" s="200">
        <f t="shared" si="14"/>
        <v>0</v>
      </c>
      <c r="R125" s="200">
        <f t="shared" si="15"/>
        <v>0</v>
      </c>
      <c r="S125" s="200">
        <f t="shared" si="16"/>
        <v>0</v>
      </c>
    </row>
    <row r="126" spans="1:19" s="247" customFormat="1" ht="24.95" customHeight="1">
      <c r="A126" s="242">
        <v>6</v>
      </c>
      <c r="B126" s="242" t="s">
        <v>392</v>
      </c>
      <c r="C126" s="243">
        <v>10</v>
      </c>
      <c r="D126" s="242">
        <f t="shared" ref="D126:D128" si="17">1*0</f>
        <v>0</v>
      </c>
      <c r="E126" s="244">
        <v>2</v>
      </c>
      <c r="F126" s="245">
        <v>100</v>
      </c>
      <c r="G126" s="246"/>
      <c r="H126" s="246">
        <v>3645</v>
      </c>
      <c r="I126" s="246"/>
      <c r="J126" s="245">
        <v>100</v>
      </c>
      <c r="K126" s="246">
        <v>2</v>
      </c>
      <c r="L126" s="235">
        <f t="shared" si="9"/>
        <v>3.8050000000000002</v>
      </c>
      <c r="M126" s="200">
        <f t="shared" si="10"/>
        <v>0</v>
      </c>
      <c r="N126" s="200">
        <f t="shared" si="11"/>
        <v>0</v>
      </c>
      <c r="O126" s="200">
        <f t="shared" si="12"/>
        <v>0</v>
      </c>
      <c r="P126" s="200">
        <f t="shared" si="13"/>
        <v>0</v>
      </c>
      <c r="Q126" s="200">
        <f t="shared" si="14"/>
        <v>0</v>
      </c>
      <c r="R126" s="200">
        <f t="shared" si="15"/>
        <v>0</v>
      </c>
      <c r="S126" s="200">
        <f t="shared" si="16"/>
        <v>0</v>
      </c>
    </row>
    <row r="127" spans="1:19" s="247" customFormat="1" ht="24.95" customHeight="1">
      <c r="A127" s="242"/>
      <c r="B127" s="242" t="s">
        <v>393</v>
      </c>
      <c r="C127" s="243">
        <v>10</v>
      </c>
      <c r="D127" s="242">
        <f t="shared" si="17"/>
        <v>0</v>
      </c>
      <c r="E127" s="244">
        <v>2</v>
      </c>
      <c r="F127" s="245">
        <v>100</v>
      </c>
      <c r="G127" s="246"/>
      <c r="H127" s="246">
        <v>3645</v>
      </c>
      <c r="I127" s="246"/>
      <c r="J127" s="245">
        <v>100</v>
      </c>
      <c r="K127" s="246">
        <v>2</v>
      </c>
      <c r="L127" s="235">
        <f t="shared" si="9"/>
        <v>3.8050000000000002</v>
      </c>
      <c r="M127" s="200">
        <f t="shared" si="10"/>
        <v>0</v>
      </c>
      <c r="N127" s="200">
        <f t="shared" si="11"/>
        <v>0</v>
      </c>
      <c r="O127" s="200">
        <f t="shared" si="12"/>
        <v>0</v>
      </c>
      <c r="P127" s="200">
        <f t="shared" si="13"/>
        <v>0</v>
      </c>
      <c r="Q127" s="200">
        <f t="shared" si="14"/>
        <v>0</v>
      </c>
      <c r="R127" s="200">
        <f t="shared" si="15"/>
        <v>0</v>
      </c>
      <c r="S127" s="200">
        <f t="shared" si="16"/>
        <v>0</v>
      </c>
    </row>
    <row r="128" spans="1:19" s="247" customFormat="1" ht="24.95" customHeight="1">
      <c r="A128" s="242"/>
      <c r="B128" s="242" t="s">
        <v>394</v>
      </c>
      <c r="C128" s="243">
        <v>8</v>
      </c>
      <c r="D128" s="242">
        <f t="shared" si="17"/>
        <v>0</v>
      </c>
      <c r="E128" s="244">
        <f>(3645/200)+1</f>
        <v>19.225000000000001</v>
      </c>
      <c r="F128" s="246"/>
      <c r="G128" s="246"/>
      <c r="H128" s="246">
        <v>820</v>
      </c>
      <c r="I128" s="246"/>
      <c r="J128" s="246"/>
      <c r="K128" s="245">
        <v>5</v>
      </c>
      <c r="L128" s="235">
        <f t="shared" si="9"/>
        <v>0.74</v>
      </c>
      <c r="M128" s="200">
        <f t="shared" si="10"/>
        <v>0</v>
      </c>
      <c r="N128" s="200">
        <f t="shared" si="11"/>
        <v>0</v>
      </c>
      <c r="O128" s="200">
        <f t="shared" si="12"/>
        <v>0</v>
      </c>
      <c r="P128" s="200">
        <f t="shared" si="13"/>
        <v>0</v>
      </c>
      <c r="Q128" s="200">
        <f t="shared" si="14"/>
        <v>0</v>
      </c>
      <c r="R128" s="200">
        <f t="shared" si="15"/>
        <v>0</v>
      </c>
      <c r="S128" s="200">
        <f t="shared" si="16"/>
        <v>0</v>
      </c>
    </row>
    <row r="129" spans="1:19" s="247" customFormat="1" ht="24.95" customHeight="1">
      <c r="A129" s="242">
        <v>7</v>
      </c>
      <c r="B129" s="242" t="s">
        <v>392</v>
      </c>
      <c r="C129" s="243">
        <v>10</v>
      </c>
      <c r="D129" s="242">
        <f>1*0</f>
        <v>0</v>
      </c>
      <c r="E129" s="244">
        <v>2</v>
      </c>
      <c r="F129" s="245">
        <v>100</v>
      </c>
      <c r="G129" s="246"/>
      <c r="H129" s="246">
        <v>5445</v>
      </c>
      <c r="I129" s="246"/>
      <c r="J129" s="245">
        <v>100</v>
      </c>
      <c r="K129" s="246">
        <v>2</v>
      </c>
      <c r="L129" s="235">
        <f t="shared" si="9"/>
        <v>5.6050000000000004</v>
      </c>
      <c r="M129" s="200">
        <f t="shared" si="10"/>
        <v>0</v>
      </c>
      <c r="N129" s="200">
        <f t="shared" si="11"/>
        <v>0</v>
      </c>
      <c r="O129" s="200">
        <f t="shared" si="12"/>
        <v>0</v>
      </c>
      <c r="P129" s="200">
        <f t="shared" si="13"/>
        <v>0</v>
      </c>
      <c r="Q129" s="200">
        <f t="shared" si="14"/>
        <v>0</v>
      </c>
      <c r="R129" s="200">
        <f t="shared" si="15"/>
        <v>0</v>
      </c>
      <c r="S129" s="200">
        <f t="shared" si="16"/>
        <v>0</v>
      </c>
    </row>
    <row r="130" spans="1:19" s="247" customFormat="1" ht="24.95" customHeight="1">
      <c r="A130" s="242"/>
      <c r="B130" s="242" t="s">
        <v>393</v>
      </c>
      <c r="C130" s="243">
        <v>10</v>
      </c>
      <c r="D130" s="242">
        <f t="shared" ref="D130:D131" si="18">1*0</f>
        <v>0</v>
      </c>
      <c r="E130" s="244">
        <v>2</v>
      </c>
      <c r="F130" s="245">
        <v>100</v>
      </c>
      <c r="G130" s="246"/>
      <c r="H130" s="246">
        <v>5445</v>
      </c>
      <c r="I130" s="246"/>
      <c r="J130" s="245">
        <v>100</v>
      </c>
      <c r="K130" s="246">
        <v>2</v>
      </c>
      <c r="L130" s="235">
        <f t="shared" si="9"/>
        <v>5.6050000000000004</v>
      </c>
      <c r="M130" s="200">
        <f t="shared" si="10"/>
        <v>0</v>
      </c>
      <c r="N130" s="200">
        <f t="shared" si="11"/>
        <v>0</v>
      </c>
      <c r="O130" s="200">
        <f t="shared" si="12"/>
        <v>0</v>
      </c>
      <c r="P130" s="200">
        <f t="shared" si="13"/>
        <v>0</v>
      </c>
      <c r="Q130" s="200">
        <f t="shared" si="14"/>
        <v>0</v>
      </c>
      <c r="R130" s="200">
        <f t="shared" si="15"/>
        <v>0</v>
      </c>
      <c r="S130" s="200">
        <f t="shared" si="16"/>
        <v>0</v>
      </c>
    </row>
    <row r="131" spans="1:19" s="247" customFormat="1" ht="24.95" customHeight="1">
      <c r="A131" s="242"/>
      <c r="B131" s="242" t="s">
        <v>394</v>
      </c>
      <c r="C131" s="243">
        <v>8</v>
      </c>
      <c r="D131" s="242">
        <f t="shared" si="18"/>
        <v>0</v>
      </c>
      <c r="E131" s="244">
        <f>(5445/200)+1</f>
        <v>28.225000000000001</v>
      </c>
      <c r="F131" s="246"/>
      <c r="G131" s="246"/>
      <c r="H131" s="246">
        <v>820</v>
      </c>
      <c r="I131" s="246"/>
      <c r="J131" s="246"/>
      <c r="K131" s="245">
        <v>5</v>
      </c>
      <c r="L131" s="235">
        <f t="shared" si="9"/>
        <v>0.74</v>
      </c>
      <c r="M131" s="200">
        <f t="shared" si="10"/>
        <v>0</v>
      </c>
      <c r="N131" s="200">
        <f t="shared" si="11"/>
        <v>0</v>
      </c>
      <c r="O131" s="200">
        <f t="shared" si="12"/>
        <v>0</v>
      </c>
      <c r="P131" s="200">
        <f t="shared" si="13"/>
        <v>0</v>
      </c>
      <c r="Q131" s="200">
        <f t="shared" si="14"/>
        <v>0</v>
      </c>
      <c r="R131" s="200">
        <f t="shared" si="15"/>
        <v>0</v>
      </c>
      <c r="S131" s="200">
        <f t="shared" si="16"/>
        <v>0</v>
      </c>
    </row>
    <row r="132" spans="1:19" s="236" customFormat="1" ht="24.95" customHeight="1">
      <c r="A132" s="239">
        <v>8</v>
      </c>
      <c r="B132" s="239" t="s">
        <v>392</v>
      </c>
      <c r="C132" s="240">
        <v>10</v>
      </c>
      <c r="D132" s="239">
        <v>1</v>
      </c>
      <c r="E132" s="203">
        <v>2</v>
      </c>
      <c r="F132" s="241">
        <v>100</v>
      </c>
      <c r="G132" s="234"/>
      <c r="H132" s="234">
        <v>6180</v>
      </c>
      <c r="I132" s="234"/>
      <c r="J132" s="241">
        <v>100</v>
      </c>
      <c r="K132" s="234">
        <v>2</v>
      </c>
      <c r="L132" s="235">
        <f t="shared" si="9"/>
        <v>6.34</v>
      </c>
      <c r="M132" s="200">
        <f t="shared" si="10"/>
        <v>0</v>
      </c>
      <c r="N132" s="200">
        <f t="shared" si="11"/>
        <v>12.68</v>
      </c>
      <c r="O132" s="200">
        <f t="shared" si="12"/>
        <v>0</v>
      </c>
      <c r="P132" s="200">
        <f t="shared" si="13"/>
        <v>0</v>
      </c>
      <c r="Q132" s="200">
        <f t="shared" si="14"/>
        <v>0</v>
      </c>
      <c r="R132" s="200">
        <f t="shared" si="15"/>
        <v>0</v>
      </c>
      <c r="S132" s="200">
        <f t="shared" si="16"/>
        <v>0</v>
      </c>
    </row>
    <row r="133" spans="1:19" s="236" customFormat="1" ht="24.95" customHeight="1">
      <c r="A133" s="239"/>
      <c r="B133" s="239" t="s">
        <v>393</v>
      </c>
      <c r="C133" s="240">
        <v>10</v>
      </c>
      <c r="D133" s="239">
        <v>1</v>
      </c>
      <c r="E133" s="203">
        <v>2</v>
      </c>
      <c r="F133" s="241">
        <v>100</v>
      </c>
      <c r="G133" s="234"/>
      <c r="H133" s="234">
        <v>6180</v>
      </c>
      <c r="I133" s="234"/>
      <c r="J133" s="241">
        <v>100</v>
      </c>
      <c r="K133" s="234">
        <v>2</v>
      </c>
      <c r="L133" s="235">
        <f t="shared" si="9"/>
        <v>6.34</v>
      </c>
      <c r="M133" s="200">
        <f t="shared" si="10"/>
        <v>0</v>
      </c>
      <c r="N133" s="200">
        <f t="shared" si="11"/>
        <v>12.68</v>
      </c>
      <c r="O133" s="200">
        <f t="shared" si="12"/>
        <v>0</v>
      </c>
      <c r="P133" s="200">
        <f t="shared" si="13"/>
        <v>0</v>
      </c>
      <c r="Q133" s="200">
        <f t="shared" si="14"/>
        <v>0</v>
      </c>
      <c r="R133" s="200">
        <f t="shared" si="15"/>
        <v>0</v>
      </c>
      <c r="S133" s="200">
        <f t="shared" si="16"/>
        <v>0</v>
      </c>
    </row>
    <row r="134" spans="1:19" s="236" customFormat="1" ht="24.95" customHeight="1">
      <c r="A134" s="239"/>
      <c r="B134" s="239" t="s">
        <v>394</v>
      </c>
      <c r="C134" s="240">
        <v>8</v>
      </c>
      <c r="D134" s="239">
        <v>1</v>
      </c>
      <c r="E134" s="203">
        <f>(6180/200)+1</f>
        <v>31.9</v>
      </c>
      <c r="F134" s="234"/>
      <c r="G134" s="234"/>
      <c r="H134" s="234">
        <v>820</v>
      </c>
      <c r="I134" s="234"/>
      <c r="J134" s="234"/>
      <c r="K134" s="241">
        <v>5</v>
      </c>
      <c r="L134" s="235">
        <f t="shared" si="9"/>
        <v>0.74</v>
      </c>
      <c r="M134" s="200">
        <f t="shared" si="10"/>
        <v>23.605999999999998</v>
      </c>
      <c r="N134" s="200">
        <f t="shared" si="11"/>
        <v>0</v>
      </c>
      <c r="O134" s="200">
        <f t="shared" si="12"/>
        <v>0</v>
      </c>
      <c r="P134" s="200">
        <f t="shared" si="13"/>
        <v>0</v>
      </c>
      <c r="Q134" s="200">
        <f t="shared" si="14"/>
        <v>0</v>
      </c>
      <c r="R134" s="200">
        <f t="shared" si="15"/>
        <v>0</v>
      </c>
      <c r="S134" s="200">
        <f t="shared" si="16"/>
        <v>0</v>
      </c>
    </row>
    <row r="135" spans="1:19" s="247" customFormat="1" ht="24.95" customHeight="1">
      <c r="A135" s="242">
        <v>9</v>
      </c>
      <c r="B135" s="242" t="s">
        <v>392</v>
      </c>
      <c r="C135" s="243">
        <v>10</v>
      </c>
      <c r="D135" s="242">
        <f t="shared" ref="D135:D137" si="19">1*0</f>
        <v>0</v>
      </c>
      <c r="E135" s="244">
        <v>2</v>
      </c>
      <c r="F135" s="245">
        <v>100</v>
      </c>
      <c r="G135" s="246"/>
      <c r="H135" s="246">
        <v>1645</v>
      </c>
      <c r="I135" s="246"/>
      <c r="J135" s="245">
        <v>100</v>
      </c>
      <c r="K135" s="246">
        <v>2</v>
      </c>
      <c r="L135" s="235">
        <f t="shared" si="9"/>
        <v>1.8049999999999999</v>
      </c>
      <c r="M135" s="200">
        <f t="shared" si="10"/>
        <v>0</v>
      </c>
      <c r="N135" s="200">
        <f t="shared" si="11"/>
        <v>0</v>
      </c>
      <c r="O135" s="200">
        <f t="shared" si="12"/>
        <v>0</v>
      </c>
      <c r="P135" s="200">
        <f t="shared" si="13"/>
        <v>0</v>
      </c>
      <c r="Q135" s="200">
        <f t="shared" si="14"/>
        <v>0</v>
      </c>
      <c r="R135" s="200">
        <f t="shared" si="15"/>
        <v>0</v>
      </c>
      <c r="S135" s="200">
        <f t="shared" si="16"/>
        <v>0</v>
      </c>
    </row>
    <row r="136" spans="1:19" s="247" customFormat="1" ht="24.95" customHeight="1">
      <c r="A136" s="242"/>
      <c r="B136" s="242" t="s">
        <v>393</v>
      </c>
      <c r="C136" s="243">
        <v>10</v>
      </c>
      <c r="D136" s="242">
        <f t="shared" si="19"/>
        <v>0</v>
      </c>
      <c r="E136" s="244">
        <v>2</v>
      </c>
      <c r="F136" s="245">
        <v>100</v>
      </c>
      <c r="G136" s="246"/>
      <c r="H136" s="246">
        <v>1645</v>
      </c>
      <c r="I136" s="246"/>
      <c r="J136" s="245">
        <v>100</v>
      </c>
      <c r="K136" s="246">
        <v>2</v>
      </c>
      <c r="L136" s="235">
        <f t="shared" si="9"/>
        <v>1.8049999999999999</v>
      </c>
      <c r="M136" s="200">
        <f t="shared" si="10"/>
        <v>0</v>
      </c>
      <c r="N136" s="200">
        <f t="shared" si="11"/>
        <v>0</v>
      </c>
      <c r="O136" s="200">
        <f t="shared" si="12"/>
        <v>0</v>
      </c>
      <c r="P136" s="200">
        <f t="shared" si="13"/>
        <v>0</v>
      </c>
      <c r="Q136" s="200">
        <f t="shared" si="14"/>
        <v>0</v>
      </c>
      <c r="R136" s="200">
        <f t="shared" si="15"/>
        <v>0</v>
      </c>
      <c r="S136" s="200">
        <f t="shared" si="16"/>
        <v>0</v>
      </c>
    </row>
    <row r="137" spans="1:19" s="247" customFormat="1" ht="24.95" customHeight="1">
      <c r="A137" s="242"/>
      <c r="B137" s="242" t="s">
        <v>394</v>
      </c>
      <c r="C137" s="243">
        <v>8</v>
      </c>
      <c r="D137" s="242">
        <f t="shared" si="19"/>
        <v>0</v>
      </c>
      <c r="E137" s="244">
        <f>(1645/200)+1</f>
        <v>9.2249999999999996</v>
      </c>
      <c r="F137" s="246"/>
      <c r="G137" s="246"/>
      <c r="H137" s="246">
        <v>820</v>
      </c>
      <c r="I137" s="246"/>
      <c r="J137" s="246"/>
      <c r="K137" s="245">
        <v>5</v>
      </c>
      <c r="L137" s="235">
        <f t="shared" si="9"/>
        <v>0.74</v>
      </c>
      <c r="M137" s="200">
        <f t="shared" si="10"/>
        <v>0</v>
      </c>
      <c r="N137" s="200">
        <f t="shared" si="11"/>
        <v>0</v>
      </c>
      <c r="O137" s="200">
        <f t="shared" si="12"/>
        <v>0</v>
      </c>
      <c r="P137" s="200">
        <f t="shared" si="13"/>
        <v>0</v>
      </c>
      <c r="Q137" s="200">
        <f t="shared" si="14"/>
        <v>0</v>
      </c>
      <c r="R137" s="200">
        <f t="shared" si="15"/>
        <v>0</v>
      </c>
      <c r="S137" s="200">
        <f t="shared" si="16"/>
        <v>0</v>
      </c>
    </row>
    <row r="138" spans="1:19" s="236" customFormat="1" ht="24.95" customHeight="1">
      <c r="A138" s="239">
        <v>10</v>
      </c>
      <c r="B138" s="239" t="s">
        <v>392</v>
      </c>
      <c r="C138" s="240">
        <v>10</v>
      </c>
      <c r="D138" s="239">
        <v>1</v>
      </c>
      <c r="E138" s="203">
        <v>2</v>
      </c>
      <c r="F138" s="241">
        <v>100</v>
      </c>
      <c r="G138" s="234"/>
      <c r="H138" s="234">
        <v>2880</v>
      </c>
      <c r="I138" s="234"/>
      <c r="J138" s="241">
        <v>100</v>
      </c>
      <c r="K138" s="234">
        <v>2</v>
      </c>
      <c r="L138" s="235">
        <f t="shared" si="9"/>
        <v>3.04</v>
      </c>
      <c r="M138" s="200">
        <f t="shared" si="10"/>
        <v>0</v>
      </c>
      <c r="N138" s="200">
        <f t="shared" si="11"/>
        <v>6.08</v>
      </c>
      <c r="O138" s="200">
        <f t="shared" si="12"/>
        <v>0</v>
      </c>
      <c r="P138" s="200">
        <f t="shared" si="13"/>
        <v>0</v>
      </c>
      <c r="Q138" s="200">
        <f t="shared" si="14"/>
        <v>0</v>
      </c>
      <c r="R138" s="200">
        <f t="shared" si="15"/>
        <v>0</v>
      </c>
      <c r="S138" s="200">
        <f t="shared" si="16"/>
        <v>0</v>
      </c>
    </row>
    <row r="139" spans="1:19" s="236" customFormat="1" ht="24.95" customHeight="1">
      <c r="A139" s="239"/>
      <c r="B139" s="239" t="s">
        <v>393</v>
      </c>
      <c r="C139" s="240">
        <v>10</v>
      </c>
      <c r="D139" s="239">
        <v>1</v>
      </c>
      <c r="E139" s="203">
        <v>2</v>
      </c>
      <c r="F139" s="241">
        <v>100</v>
      </c>
      <c r="G139" s="234"/>
      <c r="H139" s="234">
        <v>2880</v>
      </c>
      <c r="I139" s="234"/>
      <c r="J139" s="241">
        <v>100</v>
      </c>
      <c r="K139" s="234">
        <v>2</v>
      </c>
      <c r="L139" s="235">
        <f t="shared" ref="L139:L202" si="20">(((F139+G139+H139+I139+J139)-C139*K139*2)/1000)</f>
        <v>3.04</v>
      </c>
      <c r="M139" s="200">
        <f t="shared" ref="M139:M202" si="21">+IF(C139=8,D139*E139*L139,0)</f>
        <v>0</v>
      </c>
      <c r="N139" s="200">
        <f t="shared" ref="N139:N202" si="22">+IF(C139=10,D139*E139*L139,0)</f>
        <v>6.08</v>
      </c>
      <c r="O139" s="200">
        <f t="shared" ref="O139:O202" si="23">+IF(C139=12,D139*E139*L139,0)</f>
        <v>0</v>
      </c>
      <c r="P139" s="200">
        <f t="shared" ref="P139:P202" si="24">+IF(C139=16,D139*E139*L139,0)</f>
        <v>0</v>
      </c>
      <c r="Q139" s="200">
        <f t="shared" ref="Q139:Q202" si="25">+IF(C139=20,D139*E139*L139,0)</f>
        <v>0</v>
      </c>
      <c r="R139" s="200">
        <f t="shared" ref="R139:R202" si="26">+IF(C139=25,D139*E139*L139,0)</f>
        <v>0</v>
      </c>
      <c r="S139" s="200">
        <f t="shared" ref="S139:S202" si="27">+IF(C139=32,D139*E139*L139,0)</f>
        <v>0</v>
      </c>
    </row>
    <row r="140" spans="1:19" s="236" customFormat="1" ht="24.95" customHeight="1">
      <c r="A140" s="239"/>
      <c r="B140" s="239" t="s">
        <v>394</v>
      </c>
      <c r="C140" s="240">
        <v>8</v>
      </c>
      <c r="D140" s="239">
        <v>1</v>
      </c>
      <c r="E140" s="203">
        <f>(2880/200)+1</f>
        <v>15.4</v>
      </c>
      <c r="F140" s="234"/>
      <c r="G140" s="234"/>
      <c r="H140" s="234">
        <v>820</v>
      </c>
      <c r="I140" s="234"/>
      <c r="J140" s="234"/>
      <c r="K140" s="241">
        <v>5</v>
      </c>
      <c r="L140" s="235">
        <f t="shared" si="20"/>
        <v>0.74</v>
      </c>
      <c r="M140" s="200">
        <f t="shared" si="21"/>
        <v>11.396000000000001</v>
      </c>
      <c r="N140" s="200">
        <f t="shared" si="22"/>
        <v>0</v>
      </c>
      <c r="O140" s="200">
        <f t="shared" si="23"/>
        <v>0</v>
      </c>
      <c r="P140" s="200">
        <f t="shared" si="24"/>
        <v>0</v>
      </c>
      <c r="Q140" s="200">
        <f t="shared" si="25"/>
        <v>0</v>
      </c>
      <c r="R140" s="200">
        <f t="shared" si="26"/>
        <v>0</v>
      </c>
      <c r="S140" s="200">
        <f t="shared" si="27"/>
        <v>0</v>
      </c>
    </row>
    <row r="141" spans="1:19" s="247" customFormat="1" ht="24.95" customHeight="1">
      <c r="A141" s="242">
        <v>9</v>
      </c>
      <c r="B141" s="242" t="s">
        <v>392</v>
      </c>
      <c r="C141" s="243">
        <v>10</v>
      </c>
      <c r="D141" s="242">
        <f t="shared" ref="D141:D143" si="28">1*0</f>
        <v>0</v>
      </c>
      <c r="E141" s="244">
        <v>2</v>
      </c>
      <c r="F141" s="245">
        <v>100</v>
      </c>
      <c r="G141" s="246"/>
      <c r="H141" s="246">
        <v>1945</v>
      </c>
      <c r="I141" s="246"/>
      <c r="J141" s="245">
        <v>100</v>
      </c>
      <c r="K141" s="246">
        <v>2</v>
      </c>
      <c r="L141" s="235">
        <f t="shared" si="20"/>
        <v>2.105</v>
      </c>
      <c r="M141" s="200">
        <f t="shared" si="21"/>
        <v>0</v>
      </c>
      <c r="N141" s="200">
        <f t="shared" si="22"/>
        <v>0</v>
      </c>
      <c r="O141" s="200">
        <f t="shared" si="23"/>
        <v>0</v>
      </c>
      <c r="P141" s="200">
        <f t="shared" si="24"/>
        <v>0</v>
      </c>
      <c r="Q141" s="200">
        <f t="shared" si="25"/>
        <v>0</v>
      </c>
      <c r="R141" s="200">
        <f t="shared" si="26"/>
        <v>0</v>
      </c>
      <c r="S141" s="200">
        <f t="shared" si="27"/>
        <v>0</v>
      </c>
    </row>
    <row r="142" spans="1:19" s="247" customFormat="1" ht="24.95" customHeight="1">
      <c r="A142" s="242"/>
      <c r="B142" s="242" t="s">
        <v>393</v>
      </c>
      <c r="C142" s="243">
        <v>10</v>
      </c>
      <c r="D142" s="242">
        <f t="shared" si="28"/>
        <v>0</v>
      </c>
      <c r="E142" s="244">
        <v>2</v>
      </c>
      <c r="F142" s="245">
        <v>100</v>
      </c>
      <c r="G142" s="246"/>
      <c r="H142" s="246">
        <v>1945</v>
      </c>
      <c r="I142" s="246"/>
      <c r="J142" s="245">
        <v>100</v>
      </c>
      <c r="K142" s="246">
        <v>2</v>
      </c>
      <c r="L142" s="235">
        <f t="shared" si="20"/>
        <v>2.105</v>
      </c>
      <c r="M142" s="200">
        <f t="shared" si="21"/>
        <v>0</v>
      </c>
      <c r="N142" s="200">
        <f t="shared" si="22"/>
        <v>0</v>
      </c>
      <c r="O142" s="200">
        <f t="shared" si="23"/>
        <v>0</v>
      </c>
      <c r="P142" s="200">
        <f t="shared" si="24"/>
        <v>0</v>
      </c>
      <c r="Q142" s="200">
        <f t="shared" si="25"/>
        <v>0</v>
      </c>
      <c r="R142" s="200">
        <f t="shared" si="26"/>
        <v>0</v>
      </c>
      <c r="S142" s="200">
        <f t="shared" si="27"/>
        <v>0</v>
      </c>
    </row>
    <row r="143" spans="1:19" s="247" customFormat="1" ht="24.95" customHeight="1">
      <c r="A143" s="242"/>
      <c r="B143" s="242" t="s">
        <v>394</v>
      </c>
      <c r="C143" s="243">
        <v>8</v>
      </c>
      <c r="D143" s="242">
        <f t="shared" si="28"/>
        <v>0</v>
      </c>
      <c r="E143" s="244">
        <f>(1745/200)+1</f>
        <v>9.7249999999999996</v>
      </c>
      <c r="F143" s="246"/>
      <c r="G143" s="246"/>
      <c r="H143" s="246">
        <v>820</v>
      </c>
      <c r="I143" s="246"/>
      <c r="J143" s="246"/>
      <c r="K143" s="245">
        <v>5</v>
      </c>
      <c r="L143" s="235">
        <f t="shared" si="20"/>
        <v>0.74</v>
      </c>
      <c r="M143" s="200">
        <f t="shared" si="21"/>
        <v>0</v>
      </c>
      <c r="N143" s="200">
        <f t="shared" si="22"/>
        <v>0</v>
      </c>
      <c r="O143" s="200">
        <f t="shared" si="23"/>
        <v>0</v>
      </c>
      <c r="P143" s="200">
        <f t="shared" si="24"/>
        <v>0</v>
      </c>
      <c r="Q143" s="200">
        <f t="shared" si="25"/>
        <v>0</v>
      </c>
      <c r="R143" s="200">
        <f t="shared" si="26"/>
        <v>0</v>
      </c>
      <c r="S143" s="200">
        <f t="shared" si="27"/>
        <v>0</v>
      </c>
    </row>
    <row r="144" spans="1:19" s="236" customFormat="1" ht="24.95" customHeight="1">
      <c r="A144" s="239">
        <v>11</v>
      </c>
      <c r="B144" s="239" t="s">
        <v>392</v>
      </c>
      <c r="C144" s="240">
        <v>10</v>
      </c>
      <c r="D144" s="239">
        <v>1</v>
      </c>
      <c r="E144" s="203">
        <v>2</v>
      </c>
      <c r="F144" s="241">
        <v>100</v>
      </c>
      <c r="G144" s="234"/>
      <c r="H144" s="234">
        <v>1380</v>
      </c>
      <c r="I144" s="234"/>
      <c r="J144" s="241">
        <v>100</v>
      </c>
      <c r="K144" s="234">
        <v>2</v>
      </c>
      <c r="L144" s="235">
        <f t="shared" si="20"/>
        <v>1.54</v>
      </c>
      <c r="M144" s="200">
        <f t="shared" si="21"/>
        <v>0</v>
      </c>
      <c r="N144" s="200">
        <f t="shared" si="22"/>
        <v>3.08</v>
      </c>
      <c r="O144" s="200">
        <f t="shared" si="23"/>
        <v>0</v>
      </c>
      <c r="P144" s="200">
        <f t="shared" si="24"/>
        <v>0</v>
      </c>
      <c r="Q144" s="200">
        <f t="shared" si="25"/>
        <v>0</v>
      </c>
      <c r="R144" s="200">
        <f t="shared" si="26"/>
        <v>0</v>
      </c>
      <c r="S144" s="200">
        <f t="shared" si="27"/>
        <v>0</v>
      </c>
    </row>
    <row r="145" spans="1:19" s="236" customFormat="1" ht="24.95" customHeight="1">
      <c r="A145" s="239"/>
      <c r="B145" s="239" t="s">
        <v>393</v>
      </c>
      <c r="C145" s="240">
        <v>10</v>
      </c>
      <c r="D145" s="239">
        <v>1</v>
      </c>
      <c r="E145" s="203">
        <v>2</v>
      </c>
      <c r="F145" s="241">
        <v>100</v>
      </c>
      <c r="G145" s="234"/>
      <c r="H145" s="234">
        <v>1380</v>
      </c>
      <c r="I145" s="234"/>
      <c r="J145" s="241">
        <v>100</v>
      </c>
      <c r="K145" s="234">
        <v>2</v>
      </c>
      <c r="L145" s="235">
        <f t="shared" si="20"/>
        <v>1.54</v>
      </c>
      <c r="M145" s="200">
        <f t="shared" si="21"/>
        <v>0</v>
      </c>
      <c r="N145" s="200">
        <f t="shared" si="22"/>
        <v>3.08</v>
      </c>
      <c r="O145" s="200">
        <f t="shared" si="23"/>
        <v>0</v>
      </c>
      <c r="P145" s="200">
        <f t="shared" si="24"/>
        <v>0</v>
      </c>
      <c r="Q145" s="200">
        <f t="shared" si="25"/>
        <v>0</v>
      </c>
      <c r="R145" s="200">
        <f t="shared" si="26"/>
        <v>0</v>
      </c>
      <c r="S145" s="200">
        <f t="shared" si="27"/>
        <v>0</v>
      </c>
    </row>
    <row r="146" spans="1:19" s="236" customFormat="1" ht="24.95" customHeight="1">
      <c r="A146" s="239"/>
      <c r="B146" s="239" t="s">
        <v>394</v>
      </c>
      <c r="C146" s="240">
        <v>8</v>
      </c>
      <c r="D146" s="239">
        <v>1</v>
      </c>
      <c r="E146" s="203">
        <f>(1380/200)+1</f>
        <v>7.9</v>
      </c>
      <c r="F146" s="234"/>
      <c r="G146" s="234"/>
      <c r="H146" s="234">
        <v>820</v>
      </c>
      <c r="I146" s="234"/>
      <c r="J146" s="234"/>
      <c r="K146" s="241">
        <v>5</v>
      </c>
      <c r="L146" s="235">
        <f t="shared" si="20"/>
        <v>0.74</v>
      </c>
      <c r="M146" s="200">
        <f t="shared" si="21"/>
        <v>5.8460000000000001</v>
      </c>
      <c r="N146" s="200">
        <f t="shared" si="22"/>
        <v>0</v>
      </c>
      <c r="O146" s="200">
        <f t="shared" si="23"/>
        <v>0</v>
      </c>
      <c r="P146" s="200">
        <f t="shared" si="24"/>
        <v>0</v>
      </c>
      <c r="Q146" s="200">
        <f t="shared" si="25"/>
        <v>0</v>
      </c>
      <c r="R146" s="200">
        <f t="shared" si="26"/>
        <v>0</v>
      </c>
      <c r="S146" s="200">
        <f t="shared" si="27"/>
        <v>0</v>
      </c>
    </row>
    <row r="147" spans="1:19" s="236" customFormat="1" ht="24.95" customHeight="1">
      <c r="A147" s="239">
        <v>12</v>
      </c>
      <c r="B147" s="239" t="s">
        <v>392</v>
      </c>
      <c r="C147" s="240">
        <v>10</v>
      </c>
      <c r="D147" s="239">
        <v>1</v>
      </c>
      <c r="E147" s="203">
        <v>2</v>
      </c>
      <c r="F147" s="241">
        <v>100</v>
      </c>
      <c r="G147" s="234"/>
      <c r="H147" s="234">
        <v>4680</v>
      </c>
      <c r="I147" s="234"/>
      <c r="J147" s="241">
        <v>100</v>
      </c>
      <c r="K147" s="234">
        <v>2</v>
      </c>
      <c r="L147" s="235">
        <f t="shared" si="20"/>
        <v>4.84</v>
      </c>
      <c r="M147" s="200">
        <f t="shared" si="21"/>
        <v>0</v>
      </c>
      <c r="N147" s="200">
        <f t="shared" si="22"/>
        <v>9.68</v>
      </c>
      <c r="O147" s="200">
        <f t="shared" si="23"/>
        <v>0</v>
      </c>
      <c r="P147" s="200">
        <f t="shared" si="24"/>
        <v>0</v>
      </c>
      <c r="Q147" s="200">
        <f t="shared" si="25"/>
        <v>0</v>
      </c>
      <c r="R147" s="200">
        <f t="shared" si="26"/>
        <v>0</v>
      </c>
      <c r="S147" s="200">
        <f t="shared" si="27"/>
        <v>0</v>
      </c>
    </row>
    <row r="148" spans="1:19" s="236" customFormat="1" ht="24.95" customHeight="1">
      <c r="A148" s="239"/>
      <c r="B148" s="239" t="s">
        <v>393</v>
      </c>
      <c r="C148" s="240">
        <v>10</v>
      </c>
      <c r="D148" s="239">
        <v>1</v>
      </c>
      <c r="E148" s="203">
        <v>2</v>
      </c>
      <c r="F148" s="241">
        <v>100</v>
      </c>
      <c r="G148" s="234"/>
      <c r="H148" s="234">
        <v>4680</v>
      </c>
      <c r="I148" s="234"/>
      <c r="J148" s="241">
        <v>100</v>
      </c>
      <c r="K148" s="234">
        <v>2</v>
      </c>
      <c r="L148" s="235">
        <f t="shared" si="20"/>
        <v>4.84</v>
      </c>
      <c r="M148" s="200">
        <f t="shared" si="21"/>
        <v>0</v>
      </c>
      <c r="N148" s="200">
        <f t="shared" si="22"/>
        <v>9.68</v>
      </c>
      <c r="O148" s="200">
        <f t="shared" si="23"/>
        <v>0</v>
      </c>
      <c r="P148" s="200">
        <f t="shared" si="24"/>
        <v>0</v>
      </c>
      <c r="Q148" s="200">
        <f t="shared" si="25"/>
        <v>0</v>
      </c>
      <c r="R148" s="200">
        <f t="shared" si="26"/>
        <v>0</v>
      </c>
      <c r="S148" s="200">
        <f t="shared" si="27"/>
        <v>0</v>
      </c>
    </row>
    <row r="149" spans="1:19" s="236" customFormat="1" ht="24.95" customHeight="1">
      <c r="A149" s="239"/>
      <c r="B149" s="239" t="s">
        <v>394</v>
      </c>
      <c r="C149" s="240">
        <v>8</v>
      </c>
      <c r="D149" s="239">
        <v>1</v>
      </c>
      <c r="E149" s="203">
        <f>(4680/200)+1</f>
        <v>24.4</v>
      </c>
      <c r="F149" s="234"/>
      <c r="G149" s="234"/>
      <c r="H149" s="234">
        <v>820</v>
      </c>
      <c r="I149" s="234"/>
      <c r="J149" s="234"/>
      <c r="K149" s="241">
        <v>5</v>
      </c>
      <c r="L149" s="235">
        <f t="shared" si="20"/>
        <v>0.74</v>
      </c>
      <c r="M149" s="200">
        <f t="shared" si="21"/>
        <v>18.055999999999997</v>
      </c>
      <c r="N149" s="200">
        <f t="shared" si="22"/>
        <v>0</v>
      </c>
      <c r="O149" s="200">
        <f t="shared" si="23"/>
        <v>0</v>
      </c>
      <c r="P149" s="200">
        <f t="shared" si="24"/>
        <v>0</v>
      </c>
      <c r="Q149" s="200">
        <f t="shared" si="25"/>
        <v>0</v>
      </c>
      <c r="R149" s="200">
        <f t="shared" si="26"/>
        <v>0</v>
      </c>
      <c r="S149" s="200">
        <f t="shared" si="27"/>
        <v>0</v>
      </c>
    </row>
    <row r="150" spans="1:19" s="236" customFormat="1" ht="24.95" customHeight="1">
      <c r="A150" s="239">
        <v>13</v>
      </c>
      <c r="B150" s="239" t="s">
        <v>392</v>
      </c>
      <c r="C150" s="240">
        <v>10</v>
      </c>
      <c r="D150" s="239">
        <v>1</v>
      </c>
      <c r="E150" s="203">
        <v>2</v>
      </c>
      <c r="F150" s="241">
        <v>100</v>
      </c>
      <c r="G150" s="234"/>
      <c r="H150" s="241">
        <v>7910</v>
      </c>
      <c r="I150" s="234"/>
      <c r="J150" s="241">
        <v>100</v>
      </c>
      <c r="K150" s="234">
        <v>2</v>
      </c>
      <c r="L150" s="235">
        <f t="shared" si="20"/>
        <v>8.07</v>
      </c>
      <c r="M150" s="200">
        <f t="shared" si="21"/>
        <v>0</v>
      </c>
      <c r="N150" s="200">
        <f t="shared" si="22"/>
        <v>16.14</v>
      </c>
      <c r="O150" s="200">
        <f t="shared" si="23"/>
        <v>0</v>
      </c>
      <c r="P150" s="200">
        <f t="shared" si="24"/>
        <v>0</v>
      </c>
      <c r="Q150" s="200">
        <f t="shared" si="25"/>
        <v>0</v>
      </c>
      <c r="R150" s="200">
        <f t="shared" si="26"/>
        <v>0</v>
      </c>
      <c r="S150" s="200">
        <f t="shared" si="27"/>
        <v>0</v>
      </c>
    </row>
    <row r="151" spans="1:19" s="236" customFormat="1" ht="24.95" customHeight="1">
      <c r="A151" s="239"/>
      <c r="B151" s="239" t="s">
        <v>393</v>
      </c>
      <c r="C151" s="240">
        <v>10</v>
      </c>
      <c r="D151" s="239">
        <v>1</v>
      </c>
      <c r="E151" s="203">
        <v>2</v>
      </c>
      <c r="F151" s="241">
        <v>100</v>
      </c>
      <c r="G151" s="234"/>
      <c r="H151" s="241">
        <v>7910</v>
      </c>
      <c r="I151" s="234"/>
      <c r="J151" s="241">
        <v>100</v>
      </c>
      <c r="K151" s="234">
        <v>2</v>
      </c>
      <c r="L151" s="235">
        <f t="shared" si="20"/>
        <v>8.07</v>
      </c>
      <c r="M151" s="200">
        <f t="shared" si="21"/>
        <v>0</v>
      </c>
      <c r="N151" s="200">
        <f t="shared" si="22"/>
        <v>16.14</v>
      </c>
      <c r="O151" s="200">
        <f t="shared" si="23"/>
        <v>0</v>
      </c>
      <c r="P151" s="200">
        <f t="shared" si="24"/>
        <v>0</v>
      </c>
      <c r="Q151" s="200">
        <f t="shared" si="25"/>
        <v>0</v>
      </c>
      <c r="R151" s="200">
        <f t="shared" si="26"/>
        <v>0</v>
      </c>
      <c r="S151" s="200">
        <f t="shared" si="27"/>
        <v>0</v>
      </c>
    </row>
    <row r="152" spans="1:19" s="236" customFormat="1" ht="24.95" customHeight="1">
      <c r="A152" s="239"/>
      <c r="B152" s="239" t="s">
        <v>394</v>
      </c>
      <c r="C152" s="240">
        <v>8</v>
      </c>
      <c r="D152" s="239">
        <v>1</v>
      </c>
      <c r="E152" s="203">
        <f>(7980/200)+1</f>
        <v>40.9</v>
      </c>
      <c r="F152" s="234"/>
      <c r="G152" s="234"/>
      <c r="H152" s="234">
        <v>820</v>
      </c>
      <c r="I152" s="234"/>
      <c r="J152" s="234"/>
      <c r="K152" s="241">
        <v>5</v>
      </c>
      <c r="L152" s="235">
        <f t="shared" si="20"/>
        <v>0.74</v>
      </c>
      <c r="M152" s="200">
        <f t="shared" si="21"/>
        <v>30.265999999999998</v>
      </c>
      <c r="N152" s="200">
        <f t="shared" si="22"/>
        <v>0</v>
      </c>
      <c r="O152" s="200">
        <f t="shared" si="23"/>
        <v>0</v>
      </c>
      <c r="P152" s="200">
        <f t="shared" si="24"/>
        <v>0</v>
      </c>
      <c r="Q152" s="200">
        <f t="shared" si="25"/>
        <v>0</v>
      </c>
      <c r="R152" s="200">
        <f t="shared" si="26"/>
        <v>0</v>
      </c>
      <c r="S152" s="200">
        <f t="shared" si="27"/>
        <v>0</v>
      </c>
    </row>
    <row r="153" spans="1:19" s="236" customFormat="1" ht="24.95" customHeight="1">
      <c r="A153" s="207">
        <v>14</v>
      </c>
      <c r="B153" s="208" t="s">
        <v>399</v>
      </c>
      <c r="C153" s="240">
        <v>12</v>
      </c>
      <c r="D153" s="239">
        <v>4</v>
      </c>
      <c r="E153" s="203">
        <v>3</v>
      </c>
      <c r="F153" s="241">
        <v>100</v>
      </c>
      <c r="G153" s="234"/>
      <c r="H153" s="234">
        <v>2950</v>
      </c>
      <c r="I153" s="234"/>
      <c r="J153" s="241">
        <v>100</v>
      </c>
      <c r="K153" s="234">
        <v>2</v>
      </c>
      <c r="L153" s="235">
        <f t="shared" si="20"/>
        <v>3.1019999999999999</v>
      </c>
      <c r="M153" s="200">
        <f t="shared" si="21"/>
        <v>0</v>
      </c>
      <c r="N153" s="200">
        <f t="shared" si="22"/>
        <v>0</v>
      </c>
      <c r="O153" s="200">
        <f t="shared" si="23"/>
        <v>37.223999999999997</v>
      </c>
      <c r="P153" s="200">
        <f t="shared" si="24"/>
        <v>0</v>
      </c>
      <c r="Q153" s="200">
        <f t="shared" si="25"/>
        <v>0</v>
      </c>
      <c r="R153" s="200">
        <f t="shared" si="26"/>
        <v>0</v>
      </c>
      <c r="S153" s="200">
        <f t="shared" si="27"/>
        <v>0</v>
      </c>
    </row>
    <row r="154" spans="1:19" s="236" customFormat="1" ht="24.95" customHeight="1">
      <c r="A154" s="239"/>
      <c r="B154" s="239" t="s">
        <v>393</v>
      </c>
      <c r="C154" s="240">
        <v>12</v>
      </c>
      <c r="D154" s="239">
        <v>4</v>
      </c>
      <c r="E154" s="203">
        <v>3</v>
      </c>
      <c r="F154" s="241">
        <v>100</v>
      </c>
      <c r="G154" s="234"/>
      <c r="H154" s="234">
        <v>2950</v>
      </c>
      <c r="I154" s="234"/>
      <c r="J154" s="241">
        <v>100</v>
      </c>
      <c r="K154" s="234">
        <v>2</v>
      </c>
      <c r="L154" s="235">
        <f t="shared" si="20"/>
        <v>3.1019999999999999</v>
      </c>
      <c r="M154" s="200">
        <f t="shared" si="21"/>
        <v>0</v>
      </c>
      <c r="N154" s="200">
        <f t="shared" si="22"/>
        <v>0</v>
      </c>
      <c r="O154" s="200">
        <f t="shared" si="23"/>
        <v>37.223999999999997</v>
      </c>
      <c r="P154" s="200">
        <f t="shared" si="24"/>
        <v>0</v>
      </c>
      <c r="Q154" s="200">
        <f t="shared" si="25"/>
        <v>0</v>
      </c>
      <c r="R154" s="200">
        <f t="shared" si="26"/>
        <v>0</v>
      </c>
      <c r="S154" s="200">
        <f t="shared" si="27"/>
        <v>0</v>
      </c>
    </row>
    <row r="155" spans="1:19" s="236" customFormat="1" ht="24.95" customHeight="1">
      <c r="A155" s="239"/>
      <c r="B155" s="239" t="s">
        <v>400</v>
      </c>
      <c r="C155" s="240">
        <v>8</v>
      </c>
      <c r="D155" s="239">
        <v>4</v>
      </c>
      <c r="E155" s="203">
        <f>(2950/200)+1</f>
        <v>15.75</v>
      </c>
      <c r="F155" s="234"/>
      <c r="G155" s="234"/>
      <c r="H155" s="234">
        <v>1280</v>
      </c>
      <c r="I155" s="234"/>
      <c r="J155" s="234"/>
      <c r="K155" s="241">
        <v>5</v>
      </c>
      <c r="L155" s="235">
        <f t="shared" si="20"/>
        <v>1.2</v>
      </c>
      <c r="M155" s="200">
        <f t="shared" si="21"/>
        <v>75.599999999999994</v>
      </c>
      <c r="N155" s="200">
        <f t="shared" si="22"/>
        <v>0</v>
      </c>
      <c r="O155" s="200">
        <f t="shared" si="23"/>
        <v>0</v>
      </c>
      <c r="P155" s="200">
        <f t="shared" si="24"/>
        <v>0</v>
      </c>
      <c r="Q155" s="200">
        <f t="shared" si="25"/>
        <v>0</v>
      </c>
      <c r="R155" s="200">
        <f t="shared" si="26"/>
        <v>0</v>
      </c>
      <c r="S155" s="200">
        <f t="shared" si="27"/>
        <v>0</v>
      </c>
    </row>
    <row r="156" spans="1:19" s="236" customFormat="1" ht="24.95" customHeight="1">
      <c r="A156" s="205" t="s">
        <v>405</v>
      </c>
      <c r="B156" s="206" t="s">
        <v>396</v>
      </c>
      <c r="C156" s="240"/>
      <c r="D156" s="239"/>
      <c r="E156" s="203"/>
      <c r="F156" s="234"/>
      <c r="G156" s="234"/>
      <c r="H156" s="234"/>
      <c r="I156" s="234"/>
      <c r="J156" s="234"/>
      <c r="K156" s="234"/>
      <c r="L156" s="235">
        <f t="shared" si="20"/>
        <v>0</v>
      </c>
      <c r="M156" s="200">
        <f t="shared" si="21"/>
        <v>0</v>
      </c>
      <c r="N156" s="200">
        <f t="shared" si="22"/>
        <v>0</v>
      </c>
      <c r="O156" s="200">
        <f t="shared" si="23"/>
        <v>0</v>
      </c>
      <c r="P156" s="200">
        <f t="shared" si="24"/>
        <v>0</v>
      </c>
      <c r="Q156" s="200">
        <f t="shared" si="25"/>
        <v>0</v>
      </c>
      <c r="R156" s="200">
        <f t="shared" si="26"/>
        <v>0</v>
      </c>
      <c r="S156" s="200">
        <f t="shared" si="27"/>
        <v>0</v>
      </c>
    </row>
    <row r="157" spans="1:19" s="236" customFormat="1" ht="24.95" customHeight="1">
      <c r="A157" s="239">
        <v>1</v>
      </c>
      <c r="B157" s="239" t="s">
        <v>392</v>
      </c>
      <c r="C157" s="240">
        <v>10</v>
      </c>
      <c r="D157" s="239">
        <v>8</v>
      </c>
      <c r="E157" s="203">
        <v>2</v>
      </c>
      <c r="F157" s="241">
        <v>100</v>
      </c>
      <c r="G157" s="234"/>
      <c r="H157" s="234">
        <v>1095</v>
      </c>
      <c r="I157" s="234"/>
      <c r="J157" s="241">
        <v>100</v>
      </c>
      <c r="K157" s="234">
        <v>2</v>
      </c>
      <c r="L157" s="235">
        <f t="shared" si="20"/>
        <v>1.2549999999999999</v>
      </c>
      <c r="M157" s="200">
        <f t="shared" si="21"/>
        <v>0</v>
      </c>
      <c r="N157" s="200">
        <f t="shared" si="22"/>
        <v>20.079999999999998</v>
      </c>
      <c r="O157" s="200">
        <f t="shared" si="23"/>
        <v>0</v>
      </c>
      <c r="P157" s="200">
        <f t="shared" si="24"/>
        <v>0</v>
      </c>
      <c r="Q157" s="200">
        <f t="shared" si="25"/>
        <v>0</v>
      </c>
      <c r="R157" s="200">
        <f t="shared" si="26"/>
        <v>0</v>
      </c>
      <c r="S157" s="200">
        <f t="shared" si="27"/>
        <v>0</v>
      </c>
    </row>
    <row r="158" spans="1:19" s="236" customFormat="1" ht="24.95" customHeight="1">
      <c r="A158" s="239"/>
      <c r="B158" s="239" t="s">
        <v>393</v>
      </c>
      <c r="C158" s="240">
        <v>10</v>
      </c>
      <c r="D158" s="239">
        <v>8</v>
      </c>
      <c r="E158" s="203">
        <v>2</v>
      </c>
      <c r="F158" s="241">
        <v>100</v>
      </c>
      <c r="G158" s="234"/>
      <c r="H158" s="234">
        <v>1095</v>
      </c>
      <c r="I158" s="234"/>
      <c r="J158" s="241">
        <v>100</v>
      </c>
      <c r="K158" s="234">
        <v>2</v>
      </c>
      <c r="L158" s="235">
        <f t="shared" si="20"/>
        <v>1.2549999999999999</v>
      </c>
      <c r="M158" s="200">
        <f t="shared" si="21"/>
        <v>0</v>
      </c>
      <c r="N158" s="200">
        <f t="shared" si="22"/>
        <v>20.079999999999998</v>
      </c>
      <c r="O158" s="200">
        <f t="shared" si="23"/>
        <v>0</v>
      </c>
      <c r="P158" s="200">
        <f t="shared" si="24"/>
        <v>0</v>
      </c>
      <c r="Q158" s="200">
        <f t="shared" si="25"/>
        <v>0</v>
      </c>
      <c r="R158" s="200">
        <f t="shared" si="26"/>
        <v>0</v>
      </c>
      <c r="S158" s="200">
        <f t="shared" si="27"/>
        <v>0</v>
      </c>
    </row>
    <row r="159" spans="1:19" s="236" customFormat="1" ht="24.95" customHeight="1">
      <c r="A159" s="239"/>
      <c r="B159" s="239" t="s">
        <v>394</v>
      </c>
      <c r="C159" s="240">
        <v>8</v>
      </c>
      <c r="D159" s="239">
        <v>8</v>
      </c>
      <c r="E159" s="203">
        <f>(1095/200)+1</f>
        <v>6.4749999999999996</v>
      </c>
      <c r="F159" s="234"/>
      <c r="G159" s="234"/>
      <c r="H159" s="234">
        <v>820</v>
      </c>
      <c r="I159" s="234"/>
      <c r="J159" s="234"/>
      <c r="K159" s="241">
        <v>5</v>
      </c>
      <c r="L159" s="235">
        <f t="shared" si="20"/>
        <v>0.74</v>
      </c>
      <c r="M159" s="200">
        <f t="shared" si="21"/>
        <v>38.332000000000001</v>
      </c>
      <c r="N159" s="200">
        <f t="shared" si="22"/>
        <v>0</v>
      </c>
      <c r="O159" s="200">
        <f t="shared" si="23"/>
        <v>0</v>
      </c>
      <c r="P159" s="200">
        <f t="shared" si="24"/>
        <v>0</v>
      </c>
      <c r="Q159" s="200">
        <f t="shared" si="25"/>
        <v>0</v>
      </c>
      <c r="R159" s="200">
        <f t="shared" si="26"/>
        <v>0</v>
      </c>
      <c r="S159" s="200">
        <f t="shared" si="27"/>
        <v>0</v>
      </c>
    </row>
    <row r="160" spans="1:19" s="236" customFormat="1" ht="24.95" customHeight="1">
      <c r="A160" s="239">
        <v>2</v>
      </c>
      <c r="B160" s="239" t="s">
        <v>392</v>
      </c>
      <c r="C160" s="240">
        <v>10</v>
      </c>
      <c r="D160" s="239">
        <v>1</v>
      </c>
      <c r="E160" s="203">
        <v>2</v>
      </c>
      <c r="F160" s="241">
        <v>100</v>
      </c>
      <c r="G160" s="234"/>
      <c r="H160" s="234">
        <v>2350</v>
      </c>
      <c r="I160" s="234"/>
      <c r="J160" s="241">
        <v>100</v>
      </c>
      <c r="K160" s="234">
        <v>2</v>
      </c>
      <c r="L160" s="235">
        <f t="shared" si="20"/>
        <v>2.5099999999999998</v>
      </c>
      <c r="M160" s="200">
        <f t="shared" si="21"/>
        <v>0</v>
      </c>
      <c r="N160" s="200">
        <f t="shared" si="22"/>
        <v>5.0199999999999996</v>
      </c>
      <c r="O160" s="200">
        <f t="shared" si="23"/>
        <v>0</v>
      </c>
      <c r="P160" s="200">
        <f t="shared" si="24"/>
        <v>0</v>
      </c>
      <c r="Q160" s="200">
        <f t="shared" si="25"/>
        <v>0</v>
      </c>
      <c r="R160" s="200">
        <f t="shared" si="26"/>
        <v>0</v>
      </c>
      <c r="S160" s="200">
        <f t="shared" si="27"/>
        <v>0</v>
      </c>
    </row>
    <row r="161" spans="1:19" s="236" customFormat="1" ht="24.95" customHeight="1">
      <c r="A161" s="239"/>
      <c r="B161" s="239" t="s">
        <v>393</v>
      </c>
      <c r="C161" s="240">
        <v>10</v>
      </c>
      <c r="D161" s="239">
        <v>1</v>
      </c>
      <c r="E161" s="203">
        <v>2</v>
      </c>
      <c r="F161" s="241">
        <v>100</v>
      </c>
      <c r="G161" s="234"/>
      <c r="H161" s="234">
        <v>2350</v>
      </c>
      <c r="I161" s="234"/>
      <c r="J161" s="241">
        <v>100</v>
      </c>
      <c r="K161" s="234">
        <v>2</v>
      </c>
      <c r="L161" s="235">
        <f t="shared" si="20"/>
        <v>2.5099999999999998</v>
      </c>
      <c r="M161" s="200">
        <f t="shared" si="21"/>
        <v>0</v>
      </c>
      <c r="N161" s="200">
        <f t="shared" si="22"/>
        <v>5.0199999999999996</v>
      </c>
      <c r="O161" s="200">
        <f t="shared" si="23"/>
        <v>0</v>
      </c>
      <c r="P161" s="200">
        <f t="shared" si="24"/>
        <v>0</v>
      </c>
      <c r="Q161" s="200">
        <f t="shared" si="25"/>
        <v>0</v>
      </c>
      <c r="R161" s="200">
        <f t="shared" si="26"/>
        <v>0</v>
      </c>
      <c r="S161" s="200">
        <f t="shared" si="27"/>
        <v>0</v>
      </c>
    </row>
    <row r="162" spans="1:19" s="236" customFormat="1" ht="24.95" customHeight="1">
      <c r="A162" s="239"/>
      <c r="B162" s="239" t="s">
        <v>394</v>
      </c>
      <c r="C162" s="240">
        <v>8</v>
      </c>
      <c r="D162" s="239">
        <v>1</v>
      </c>
      <c r="E162" s="203">
        <f>(2350/200)+1</f>
        <v>12.75</v>
      </c>
      <c r="F162" s="234"/>
      <c r="G162" s="234"/>
      <c r="H162" s="234">
        <v>820</v>
      </c>
      <c r="I162" s="234"/>
      <c r="J162" s="234"/>
      <c r="K162" s="241">
        <v>5</v>
      </c>
      <c r="L162" s="235">
        <f t="shared" si="20"/>
        <v>0.74</v>
      </c>
      <c r="M162" s="200">
        <f t="shared" si="21"/>
        <v>9.4350000000000005</v>
      </c>
      <c r="N162" s="200">
        <f t="shared" si="22"/>
        <v>0</v>
      </c>
      <c r="O162" s="200">
        <f t="shared" si="23"/>
        <v>0</v>
      </c>
      <c r="P162" s="200">
        <f t="shared" si="24"/>
        <v>0</v>
      </c>
      <c r="Q162" s="200">
        <f t="shared" si="25"/>
        <v>0</v>
      </c>
      <c r="R162" s="200">
        <f t="shared" si="26"/>
        <v>0</v>
      </c>
      <c r="S162" s="200">
        <f t="shared" si="27"/>
        <v>0</v>
      </c>
    </row>
    <row r="163" spans="1:19" s="236" customFormat="1" ht="24.95" customHeight="1">
      <c r="A163" s="239">
        <v>3</v>
      </c>
      <c r="B163" s="239" t="s">
        <v>392</v>
      </c>
      <c r="C163" s="240">
        <v>10</v>
      </c>
      <c r="D163" s="239">
        <v>1</v>
      </c>
      <c r="E163" s="203">
        <v>2</v>
      </c>
      <c r="F163" s="241">
        <v>100</v>
      </c>
      <c r="G163" s="234"/>
      <c r="H163" s="234">
        <v>2315</v>
      </c>
      <c r="I163" s="234"/>
      <c r="J163" s="241">
        <v>100</v>
      </c>
      <c r="K163" s="234">
        <v>2</v>
      </c>
      <c r="L163" s="235">
        <f t="shared" si="20"/>
        <v>2.4750000000000001</v>
      </c>
      <c r="M163" s="200">
        <f t="shared" si="21"/>
        <v>0</v>
      </c>
      <c r="N163" s="200">
        <f t="shared" si="22"/>
        <v>4.95</v>
      </c>
      <c r="O163" s="200">
        <f t="shared" si="23"/>
        <v>0</v>
      </c>
      <c r="P163" s="200">
        <f t="shared" si="24"/>
        <v>0</v>
      </c>
      <c r="Q163" s="200">
        <f t="shared" si="25"/>
        <v>0</v>
      </c>
      <c r="R163" s="200">
        <f t="shared" si="26"/>
        <v>0</v>
      </c>
      <c r="S163" s="200">
        <f t="shared" si="27"/>
        <v>0</v>
      </c>
    </row>
    <row r="164" spans="1:19" s="236" customFormat="1" ht="24.95" customHeight="1">
      <c r="A164" s="239"/>
      <c r="B164" s="239" t="s">
        <v>393</v>
      </c>
      <c r="C164" s="240">
        <v>10</v>
      </c>
      <c r="D164" s="239">
        <v>1</v>
      </c>
      <c r="E164" s="203">
        <v>2</v>
      </c>
      <c r="F164" s="241">
        <v>100</v>
      </c>
      <c r="G164" s="234"/>
      <c r="H164" s="234">
        <v>2315</v>
      </c>
      <c r="I164" s="234"/>
      <c r="J164" s="241">
        <v>100</v>
      </c>
      <c r="K164" s="234">
        <v>2</v>
      </c>
      <c r="L164" s="235">
        <f t="shared" si="20"/>
        <v>2.4750000000000001</v>
      </c>
      <c r="M164" s="200">
        <f t="shared" si="21"/>
        <v>0</v>
      </c>
      <c r="N164" s="200">
        <f t="shared" si="22"/>
        <v>4.95</v>
      </c>
      <c r="O164" s="200">
        <f t="shared" si="23"/>
        <v>0</v>
      </c>
      <c r="P164" s="200">
        <f t="shared" si="24"/>
        <v>0</v>
      </c>
      <c r="Q164" s="200">
        <f t="shared" si="25"/>
        <v>0</v>
      </c>
      <c r="R164" s="200">
        <f t="shared" si="26"/>
        <v>0</v>
      </c>
      <c r="S164" s="200">
        <f t="shared" si="27"/>
        <v>0</v>
      </c>
    </row>
    <row r="165" spans="1:19" s="236" customFormat="1" ht="24.95" customHeight="1">
      <c r="A165" s="239"/>
      <c r="B165" s="239" t="s">
        <v>394</v>
      </c>
      <c r="C165" s="240">
        <v>8</v>
      </c>
      <c r="D165" s="239">
        <v>1</v>
      </c>
      <c r="E165" s="203">
        <f>(2315/200)+1</f>
        <v>12.574999999999999</v>
      </c>
      <c r="F165" s="234"/>
      <c r="G165" s="234"/>
      <c r="H165" s="234">
        <v>820</v>
      </c>
      <c r="I165" s="234"/>
      <c r="J165" s="234"/>
      <c r="K165" s="241">
        <v>5</v>
      </c>
      <c r="L165" s="235">
        <f t="shared" si="20"/>
        <v>0.74</v>
      </c>
      <c r="M165" s="200">
        <f t="shared" si="21"/>
        <v>9.3054999999999986</v>
      </c>
      <c r="N165" s="200">
        <f t="shared" si="22"/>
        <v>0</v>
      </c>
      <c r="O165" s="200">
        <f t="shared" si="23"/>
        <v>0</v>
      </c>
      <c r="P165" s="200">
        <f t="shared" si="24"/>
        <v>0</v>
      </c>
      <c r="Q165" s="200">
        <f t="shared" si="25"/>
        <v>0</v>
      </c>
      <c r="R165" s="200">
        <f t="shared" si="26"/>
        <v>0</v>
      </c>
      <c r="S165" s="200">
        <f t="shared" si="27"/>
        <v>0</v>
      </c>
    </row>
    <row r="166" spans="1:19" s="236" customFormat="1" ht="24.95" customHeight="1">
      <c r="A166" s="239">
        <v>4</v>
      </c>
      <c r="B166" s="239" t="s">
        <v>392</v>
      </c>
      <c r="C166" s="240">
        <v>10</v>
      </c>
      <c r="D166" s="239">
        <v>2</v>
      </c>
      <c r="E166" s="203">
        <v>2</v>
      </c>
      <c r="F166" s="241">
        <v>100</v>
      </c>
      <c r="G166" s="234"/>
      <c r="H166" s="234">
        <v>2925</v>
      </c>
      <c r="I166" s="234"/>
      <c r="J166" s="241">
        <v>100</v>
      </c>
      <c r="K166" s="234">
        <v>2</v>
      </c>
      <c r="L166" s="235">
        <f t="shared" si="20"/>
        <v>3.085</v>
      </c>
      <c r="M166" s="200">
        <f t="shared" si="21"/>
        <v>0</v>
      </c>
      <c r="N166" s="200">
        <f t="shared" si="22"/>
        <v>12.34</v>
      </c>
      <c r="O166" s="200">
        <f t="shared" si="23"/>
        <v>0</v>
      </c>
      <c r="P166" s="200">
        <f t="shared" si="24"/>
        <v>0</v>
      </c>
      <c r="Q166" s="200">
        <f t="shared" si="25"/>
        <v>0</v>
      </c>
      <c r="R166" s="200">
        <f t="shared" si="26"/>
        <v>0</v>
      </c>
      <c r="S166" s="200">
        <f t="shared" si="27"/>
        <v>0</v>
      </c>
    </row>
    <row r="167" spans="1:19" s="236" customFormat="1" ht="24.95" customHeight="1">
      <c r="A167" s="239"/>
      <c r="B167" s="239" t="s">
        <v>393</v>
      </c>
      <c r="C167" s="240">
        <v>10</v>
      </c>
      <c r="D167" s="239">
        <v>2</v>
      </c>
      <c r="E167" s="203">
        <v>2</v>
      </c>
      <c r="F167" s="241">
        <v>100</v>
      </c>
      <c r="G167" s="234"/>
      <c r="H167" s="234">
        <v>2925</v>
      </c>
      <c r="I167" s="234"/>
      <c r="J167" s="241">
        <v>100</v>
      </c>
      <c r="K167" s="234">
        <v>2</v>
      </c>
      <c r="L167" s="235">
        <f t="shared" si="20"/>
        <v>3.085</v>
      </c>
      <c r="M167" s="200">
        <f t="shared" si="21"/>
        <v>0</v>
      </c>
      <c r="N167" s="200">
        <f t="shared" si="22"/>
        <v>12.34</v>
      </c>
      <c r="O167" s="200">
        <f t="shared" si="23"/>
        <v>0</v>
      </c>
      <c r="P167" s="200">
        <f t="shared" si="24"/>
        <v>0</v>
      </c>
      <c r="Q167" s="200">
        <f t="shared" si="25"/>
        <v>0</v>
      </c>
      <c r="R167" s="200">
        <f t="shared" si="26"/>
        <v>0</v>
      </c>
      <c r="S167" s="200">
        <f t="shared" si="27"/>
        <v>0</v>
      </c>
    </row>
    <row r="168" spans="1:19" s="236" customFormat="1" ht="24.95" customHeight="1">
      <c r="A168" s="239"/>
      <c r="B168" s="239" t="s">
        <v>394</v>
      </c>
      <c r="C168" s="240">
        <v>8</v>
      </c>
      <c r="D168" s="239">
        <v>2</v>
      </c>
      <c r="E168" s="203">
        <f>(2925/200)+1</f>
        <v>15.625</v>
      </c>
      <c r="F168" s="234"/>
      <c r="G168" s="234"/>
      <c r="H168" s="234">
        <v>820</v>
      </c>
      <c r="I168" s="234"/>
      <c r="J168" s="234"/>
      <c r="K168" s="241">
        <v>5</v>
      </c>
      <c r="L168" s="235">
        <f t="shared" si="20"/>
        <v>0.74</v>
      </c>
      <c r="M168" s="200">
        <f t="shared" si="21"/>
        <v>23.125</v>
      </c>
      <c r="N168" s="200">
        <f t="shared" si="22"/>
        <v>0</v>
      </c>
      <c r="O168" s="200">
        <f t="shared" si="23"/>
        <v>0</v>
      </c>
      <c r="P168" s="200">
        <f t="shared" si="24"/>
        <v>0</v>
      </c>
      <c r="Q168" s="200">
        <f t="shared" si="25"/>
        <v>0</v>
      </c>
      <c r="R168" s="200">
        <f t="shared" si="26"/>
        <v>0</v>
      </c>
      <c r="S168" s="200">
        <f t="shared" si="27"/>
        <v>0</v>
      </c>
    </row>
    <row r="169" spans="1:19" s="236" customFormat="1" ht="24.95" customHeight="1">
      <c r="A169" s="239">
        <v>5</v>
      </c>
      <c r="B169" s="239" t="s">
        <v>392</v>
      </c>
      <c r="C169" s="240">
        <v>10</v>
      </c>
      <c r="D169" s="239">
        <v>3</v>
      </c>
      <c r="E169" s="203">
        <v>2</v>
      </c>
      <c r="F169" s="241">
        <v>100</v>
      </c>
      <c r="G169" s="234"/>
      <c r="H169" s="234">
        <v>2045</v>
      </c>
      <c r="I169" s="234"/>
      <c r="J169" s="241">
        <v>100</v>
      </c>
      <c r="K169" s="234">
        <v>2</v>
      </c>
      <c r="L169" s="235">
        <f t="shared" si="20"/>
        <v>2.2050000000000001</v>
      </c>
      <c r="M169" s="200">
        <f t="shared" si="21"/>
        <v>0</v>
      </c>
      <c r="N169" s="200">
        <f t="shared" si="22"/>
        <v>13.23</v>
      </c>
      <c r="O169" s="200">
        <f t="shared" si="23"/>
        <v>0</v>
      </c>
      <c r="P169" s="200">
        <f t="shared" si="24"/>
        <v>0</v>
      </c>
      <c r="Q169" s="200">
        <f t="shared" si="25"/>
        <v>0</v>
      </c>
      <c r="R169" s="200">
        <f t="shared" si="26"/>
        <v>0</v>
      </c>
      <c r="S169" s="200">
        <f t="shared" si="27"/>
        <v>0</v>
      </c>
    </row>
    <row r="170" spans="1:19" s="236" customFormat="1" ht="24.95" customHeight="1">
      <c r="A170" s="239"/>
      <c r="B170" s="239" t="s">
        <v>393</v>
      </c>
      <c r="C170" s="240">
        <v>10</v>
      </c>
      <c r="D170" s="239">
        <v>3</v>
      </c>
      <c r="E170" s="203">
        <v>2</v>
      </c>
      <c r="F170" s="241">
        <v>100</v>
      </c>
      <c r="G170" s="234"/>
      <c r="H170" s="234">
        <v>2045</v>
      </c>
      <c r="I170" s="234"/>
      <c r="J170" s="241">
        <v>100</v>
      </c>
      <c r="K170" s="234">
        <v>2</v>
      </c>
      <c r="L170" s="235">
        <f t="shared" si="20"/>
        <v>2.2050000000000001</v>
      </c>
      <c r="M170" s="200">
        <f t="shared" si="21"/>
        <v>0</v>
      </c>
      <c r="N170" s="200">
        <f t="shared" si="22"/>
        <v>13.23</v>
      </c>
      <c r="O170" s="200">
        <f t="shared" si="23"/>
        <v>0</v>
      </c>
      <c r="P170" s="200">
        <f t="shared" si="24"/>
        <v>0</v>
      </c>
      <c r="Q170" s="200">
        <f t="shared" si="25"/>
        <v>0</v>
      </c>
      <c r="R170" s="200">
        <f t="shared" si="26"/>
        <v>0</v>
      </c>
      <c r="S170" s="200">
        <f t="shared" si="27"/>
        <v>0</v>
      </c>
    </row>
    <row r="171" spans="1:19" s="236" customFormat="1" ht="24.95" customHeight="1">
      <c r="A171" s="239"/>
      <c r="B171" s="239" t="s">
        <v>394</v>
      </c>
      <c r="C171" s="240">
        <v>8</v>
      </c>
      <c r="D171" s="239">
        <v>3</v>
      </c>
      <c r="E171" s="203">
        <f>(2045/200)+1</f>
        <v>11.225</v>
      </c>
      <c r="F171" s="234"/>
      <c r="G171" s="234"/>
      <c r="H171" s="234">
        <v>820</v>
      </c>
      <c r="I171" s="234"/>
      <c r="J171" s="234"/>
      <c r="K171" s="241">
        <v>5</v>
      </c>
      <c r="L171" s="235">
        <f t="shared" si="20"/>
        <v>0.74</v>
      </c>
      <c r="M171" s="200">
        <f t="shared" si="21"/>
        <v>24.919499999999999</v>
      </c>
      <c r="N171" s="200">
        <f t="shared" si="22"/>
        <v>0</v>
      </c>
      <c r="O171" s="200">
        <f t="shared" si="23"/>
        <v>0</v>
      </c>
      <c r="P171" s="200">
        <f t="shared" si="24"/>
        <v>0</v>
      </c>
      <c r="Q171" s="200">
        <f t="shared" si="25"/>
        <v>0</v>
      </c>
      <c r="R171" s="200">
        <f t="shared" si="26"/>
        <v>0</v>
      </c>
      <c r="S171" s="200">
        <f t="shared" si="27"/>
        <v>0</v>
      </c>
    </row>
    <row r="172" spans="1:19" s="236" customFormat="1" ht="24.95" customHeight="1">
      <c r="A172" s="239">
        <v>6</v>
      </c>
      <c r="B172" s="239" t="s">
        <v>392</v>
      </c>
      <c r="C172" s="240">
        <v>10</v>
      </c>
      <c r="D172" s="239">
        <v>1</v>
      </c>
      <c r="E172" s="203">
        <v>2</v>
      </c>
      <c r="F172" s="241">
        <v>100</v>
      </c>
      <c r="G172" s="234"/>
      <c r="H172" s="234">
        <v>2010</v>
      </c>
      <c r="I172" s="234"/>
      <c r="J172" s="241">
        <v>100</v>
      </c>
      <c r="K172" s="234">
        <v>2</v>
      </c>
      <c r="L172" s="235">
        <f t="shared" si="20"/>
        <v>2.17</v>
      </c>
      <c r="M172" s="200">
        <f t="shared" si="21"/>
        <v>0</v>
      </c>
      <c r="N172" s="200">
        <f t="shared" si="22"/>
        <v>4.34</v>
      </c>
      <c r="O172" s="200">
        <f t="shared" si="23"/>
        <v>0</v>
      </c>
      <c r="P172" s="200">
        <f t="shared" si="24"/>
        <v>0</v>
      </c>
      <c r="Q172" s="200">
        <f t="shared" si="25"/>
        <v>0</v>
      </c>
      <c r="R172" s="200">
        <f t="shared" si="26"/>
        <v>0</v>
      </c>
      <c r="S172" s="200">
        <f t="shared" si="27"/>
        <v>0</v>
      </c>
    </row>
    <row r="173" spans="1:19" s="236" customFormat="1" ht="24.95" customHeight="1">
      <c r="A173" s="239"/>
      <c r="B173" s="239" t="s">
        <v>393</v>
      </c>
      <c r="C173" s="240">
        <v>10</v>
      </c>
      <c r="D173" s="239">
        <v>1</v>
      </c>
      <c r="E173" s="203">
        <v>2</v>
      </c>
      <c r="F173" s="241">
        <v>100</v>
      </c>
      <c r="G173" s="234"/>
      <c r="H173" s="234">
        <v>2010</v>
      </c>
      <c r="I173" s="234"/>
      <c r="J173" s="241">
        <v>100</v>
      </c>
      <c r="K173" s="234">
        <v>2</v>
      </c>
      <c r="L173" s="235">
        <f t="shared" si="20"/>
        <v>2.17</v>
      </c>
      <c r="M173" s="200">
        <f t="shared" si="21"/>
        <v>0</v>
      </c>
      <c r="N173" s="200">
        <f t="shared" si="22"/>
        <v>4.34</v>
      </c>
      <c r="O173" s="200">
        <f t="shared" si="23"/>
        <v>0</v>
      </c>
      <c r="P173" s="200">
        <f t="shared" si="24"/>
        <v>0</v>
      </c>
      <c r="Q173" s="200">
        <f t="shared" si="25"/>
        <v>0</v>
      </c>
      <c r="R173" s="200">
        <f t="shared" si="26"/>
        <v>0</v>
      </c>
      <c r="S173" s="200">
        <f t="shared" si="27"/>
        <v>0</v>
      </c>
    </row>
    <row r="174" spans="1:19" s="236" customFormat="1" ht="24.95" customHeight="1">
      <c r="A174" s="239"/>
      <c r="B174" s="239" t="s">
        <v>394</v>
      </c>
      <c r="C174" s="240">
        <v>8</v>
      </c>
      <c r="D174" s="239">
        <v>1</v>
      </c>
      <c r="E174" s="203">
        <f>(2010/200)+1</f>
        <v>11.05</v>
      </c>
      <c r="F174" s="234"/>
      <c r="G174" s="234"/>
      <c r="H174" s="234">
        <v>820</v>
      </c>
      <c r="I174" s="234"/>
      <c r="J174" s="234"/>
      <c r="K174" s="241">
        <v>5</v>
      </c>
      <c r="L174" s="235">
        <f t="shared" si="20"/>
        <v>0.74</v>
      </c>
      <c r="M174" s="200">
        <f t="shared" si="21"/>
        <v>8.1769999999999996</v>
      </c>
      <c r="N174" s="200">
        <f t="shared" si="22"/>
        <v>0</v>
      </c>
      <c r="O174" s="200">
        <f t="shared" si="23"/>
        <v>0</v>
      </c>
      <c r="P174" s="200">
        <f t="shared" si="24"/>
        <v>0</v>
      </c>
      <c r="Q174" s="200">
        <f t="shared" si="25"/>
        <v>0</v>
      </c>
      <c r="R174" s="200">
        <f t="shared" si="26"/>
        <v>0</v>
      </c>
      <c r="S174" s="200">
        <f t="shared" si="27"/>
        <v>0</v>
      </c>
    </row>
    <row r="175" spans="1:19" s="236" customFormat="1" ht="24.95" customHeight="1">
      <c r="A175" s="209" t="s">
        <v>406</v>
      </c>
      <c r="B175" s="209" t="s">
        <v>403</v>
      </c>
      <c r="C175" s="240"/>
      <c r="D175" s="239"/>
      <c r="E175" s="203"/>
      <c r="F175" s="234"/>
      <c r="G175" s="234"/>
      <c r="H175" s="234"/>
      <c r="I175" s="234"/>
      <c r="J175" s="234"/>
      <c r="K175" s="234">
        <v>0</v>
      </c>
      <c r="L175" s="235">
        <f t="shared" si="20"/>
        <v>0</v>
      </c>
      <c r="M175" s="200">
        <f t="shared" si="21"/>
        <v>0</v>
      </c>
      <c r="N175" s="200">
        <f t="shared" si="22"/>
        <v>0</v>
      </c>
      <c r="O175" s="200">
        <f t="shared" si="23"/>
        <v>0</v>
      </c>
      <c r="P175" s="200">
        <f t="shared" si="24"/>
        <v>0</v>
      </c>
      <c r="Q175" s="200">
        <f t="shared" si="25"/>
        <v>0</v>
      </c>
      <c r="R175" s="200">
        <f t="shared" si="26"/>
        <v>0</v>
      </c>
      <c r="S175" s="200">
        <f t="shared" si="27"/>
        <v>0</v>
      </c>
    </row>
    <row r="176" spans="1:19" s="236" customFormat="1" ht="24.95" customHeight="1">
      <c r="A176" s="205" t="s">
        <v>407</v>
      </c>
      <c r="B176" s="206" t="s">
        <v>391</v>
      </c>
      <c r="C176" s="240"/>
      <c r="D176" s="239"/>
      <c r="E176" s="203"/>
      <c r="F176" s="234"/>
      <c r="G176" s="234"/>
      <c r="H176" s="234"/>
      <c r="I176" s="234"/>
      <c r="J176" s="234"/>
      <c r="K176" s="234"/>
      <c r="L176" s="235">
        <f t="shared" si="20"/>
        <v>0</v>
      </c>
      <c r="M176" s="200">
        <f t="shared" si="21"/>
        <v>0</v>
      </c>
      <c r="N176" s="200">
        <f t="shared" si="22"/>
        <v>0</v>
      </c>
      <c r="O176" s="200">
        <f t="shared" si="23"/>
        <v>0</v>
      </c>
      <c r="P176" s="200">
        <f t="shared" si="24"/>
        <v>0</v>
      </c>
      <c r="Q176" s="200">
        <f t="shared" si="25"/>
        <v>0</v>
      </c>
      <c r="R176" s="200">
        <f t="shared" si="26"/>
        <v>0</v>
      </c>
      <c r="S176" s="200">
        <f t="shared" si="27"/>
        <v>0</v>
      </c>
    </row>
    <row r="177" spans="1:19" s="236" customFormat="1" ht="24.95" customHeight="1">
      <c r="A177" s="239">
        <v>1</v>
      </c>
      <c r="B177" s="239" t="s">
        <v>392</v>
      </c>
      <c r="C177" s="240">
        <v>10</v>
      </c>
      <c r="D177" s="239">
        <v>1</v>
      </c>
      <c r="E177" s="203">
        <v>2</v>
      </c>
      <c r="F177" s="241">
        <v>100</v>
      </c>
      <c r="G177" s="234"/>
      <c r="H177" s="241">
        <v>8410</v>
      </c>
      <c r="I177" s="234"/>
      <c r="J177" s="241">
        <v>100</v>
      </c>
      <c r="K177" s="234">
        <v>2</v>
      </c>
      <c r="L177" s="235">
        <f t="shared" si="20"/>
        <v>8.57</v>
      </c>
      <c r="M177" s="200">
        <f t="shared" si="21"/>
        <v>0</v>
      </c>
      <c r="N177" s="200">
        <f t="shared" si="22"/>
        <v>17.14</v>
      </c>
      <c r="O177" s="200">
        <f t="shared" si="23"/>
        <v>0</v>
      </c>
      <c r="P177" s="200">
        <f t="shared" si="24"/>
        <v>0</v>
      </c>
      <c r="Q177" s="200">
        <f t="shared" si="25"/>
        <v>0</v>
      </c>
      <c r="R177" s="200">
        <f t="shared" si="26"/>
        <v>0</v>
      </c>
      <c r="S177" s="200">
        <f t="shared" si="27"/>
        <v>0</v>
      </c>
    </row>
    <row r="178" spans="1:19" s="236" customFormat="1" ht="24.95" customHeight="1">
      <c r="A178" s="239"/>
      <c r="B178" s="239" t="s">
        <v>393</v>
      </c>
      <c r="C178" s="240">
        <v>10</v>
      </c>
      <c r="D178" s="239">
        <v>1</v>
      </c>
      <c r="E178" s="203">
        <v>2</v>
      </c>
      <c r="F178" s="241">
        <v>100</v>
      </c>
      <c r="G178" s="234"/>
      <c r="H178" s="241">
        <v>8410</v>
      </c>
      <c r="I178" s="234"/>
      <c r="J178" s="241">
        <v>100</v>
      </c>
      <c r="K178" s="234">
        <v>2</v>
      </c>
      <c r="L178" s="235">
        <f t="shared" si="20"/>
        <v>8.57</v>
      </c>
      <c r="M178" s="200">
        <f t="shared" si="21"/>
        <v>0</v>
      </c>
      <c r="N178" s="200">
        <f t="shared" si="22"/>
        <v>17.14</v>
      </c>
      <c r="O178" s="200">
        <f t="shared" si="23"/>
        <v>0</v>
      </c>
      <c r="P178" s="200">
        <f t="shared" si="24"/>
        <v>0</v>
      </c>
      <c r="Q178" s="200">
        <f t="shared" si="25"/>
        <v>0</v>
      </c>
      <c r="R178" s="200">
        <f t="shared" si="26"/>
        <v>0</v>
      </c>
      <c r="S178" s="200">
        <f t="shared" si="27"/>
        <v>0</v>
      </c>
    </row>
    <row r="179" spans="1:19" s="236" customFormat="1" ht="24.95" customHeight="1">
      <c r="A179" s="239"/>
      <c r="B179" s="239" t="s">
        <v>394</v>
      </c>
      <c r="C179" s="240">
        <v>8</v>
      </c>
      <c r="D179" s="239">
        <v>1</v>
      </c>
      <c r="E179" s="203">
        <f>(H177/200)+1</f>
        <v>43.05</v>
      </c>
      <c r="F179" s="234"/>
      <c r="G179" s="234"/>
      <c r="H179" s="234">
        <v>820</v>
      </c>
      <c r="I179" s="234"/>
      <c r="J179" s="234"/>
      <c r="K179" s="241">
        <v>5</v>
      </c>
      <c r="L179" s="235">
        <f t="shared" si="20"/>
        <v>0.74</v>
      </c>
      <c r="M179" s="200">
        <f t="shared" si="21"/>
        <v>31.856999999999996</v>
      </c>
      <c r="N179" s="200">
        <f t="shared" si="22"/>
        <v>0</v>
      </c>
      <c r="O179" s="200">
        <f t="shared" si="23"/>
        <v>0</v>
      </c>
      <c r="P179" s="200">
        <f t="shared" si="24"/>
        <v>0</v>
      </c>
      <c r="Q179" s="200">
        <f t="shared" si="25"/>
        <v>0</v>
      </c>
      <c r="R179" s="200">
        <f t="shared" si="26"/>
        <v>0</v>
      </c>
      <c r="S179" s="200">
        <f t="shared" si="27"/>
        <v>0</v>
      </c>
    </row>
    <row r="180" spans="1:19" s="236" customFormat="1" ht="24.95" customHeight="1">
      <c r="A180" s="239">
        <v>2</v>
      </c>
      <c r="B180" s="239" t="s">
        <v>392</v>
      </c>
      <c r="C180" s="240">
        <v>10</v>
      </c>
      <c r="D180" s="239">
        <v>1</v>
      </c>
      <c r="E180" s="203">
        <v>2</v>
      </c>
      <c r="F180" s="241">
        <v>100</v>
      </c>
      <c r="G180" s="234"/>
      <c r="H180" s="234">
        <v>1380</v>
      </c>
      <c r="I180" s="234"/>
      <c r="J180" s="241">
        <v>100</v>
      </c>
      <c r="K180" s="234">
        <v>2</v>
      </c>
      <c r="L180" s="235">
        <f t="shared" si="20"/>
        <v>1.54</v>
      </c>
      <c r="M180" s="200">
        <f t="shared" si="21"/>
        <v>0</v>
      </c>
      <c r="N180" s="200">
        <f t="shared" si="22"/>
        <v>3.08</v>
      </c>
      <c r="O180" s="200">
        <f t="shared" si="23"/>
        <v>0</v>
      </c>
      <c r="P180" s="200">
        <f t="shared" si="24"/>
        <v>0</v>
      </c>
      <c r="Q180" s="200">
        <f t="shared" si="25"/>
        <v>0</v>
      </c>
      <c r="R180" s="200">
        <f t="shared" si="26"/>
        <v>0</v>
      </c>
      <c r="S180" s="200">
        <f t="shared" si="27"/>
        <v>0</v>
      </c>
    </row>
    <row r="181" spans="1:19" s="236" customFormat="1" ht="24.95" customHeight="1">
      <c r="A181" s="239"/>
      <c r="B181" s="239" t="s">
        <v>393</v>
      </c>
      <c r="C181" s="240">
        <v>10</v>
      </c>
      <c r="D181" s="239">
        <v>1</v>
      </c>
      <c r="E181" s="203">
        <v>2</v>
      </c>
      <c r="F181" s="241">
        <v>100</v>
      </c>
      <c r="G181" s="234"/>
      <c r="H181" s="234">
        <v>1380</v>
      </c>
      <c r="I181" s="234"/>
      <c r="J181" s="241">
        <v>100</v>
      </c>
      <c r="K181" s="234">
        <v>2</v>
      </c>
      <c r="L181" s="235">
        <f t="shared" si="20"/>
        <v>1.54</v>
      </c>
      <c r="M181" s="200">
        <f t="shared" si="21"/>
        <v>0</v>
      </c>
      <c r="N181" s="200">
        <f t="shared" si="22"/>
        <v>3.08</v>
      </c>
      <c r="O181" s="200">
        <f t="shared" si="23"/>
        <v>0</v>
      </c>
      <c r="P181" s="200">
        <f t="shared" si="24"/>
        <v>0</v>
      </c>
      <c r="Q181" s="200">
        <f t="shared" si="25"/>
        <v>0</v>
      </c>
      <c r="R181" s="200">
        <f t="shared" si="26"/>
        <v>0</v>
      </c>
      <c r="S181" s="200">
        <f t="shared" si="27"/>
        <v>0</v>
      </c>
    </row>
    <row r="182" spans="1:19" s="236" customFormat="1" ht="24.95" customHeight="1">
      <c r="A182" s="239"/>
      <c r="B182" s="239" t="s">
        <v>394</v>
      </c>
      <c r="C182" s="240">
        <v>8</v>
      </c>
      <c r="D182" s="239">
        <v>1</v>
      </c>
      <c r="E182" s="203">
        <f>(H180/200)+1</f>
        <v>7.9</v>
      </c>
      <c r="F182" s="234"/>
      <c r="G182" s="234"/>
      <c r="H182" s="234">
        <v>820</v>
      </c>
      <c r="I182" s="234"/>
      <c r="J182" s="234"/>
      <c r="K182" s="241">
        <v>5</v>
      </c>
      <c r="L182" s="235">
        <f t="shared" si="20"/>
        <v>0.74</v>
      </c>
      <c r="M182" s="200">
        <f t="shared" si="21"/>
        <v>5.8460000000000001</v>
      </c>
      <c r="N182" s="200">
        <f t="shared" si="22"/>
        <v>0</v>
      </c>
      <c r="O182" s="200">
        <f t="shared" si="23"/>
        <v>0</v>
      </c>
      <c r="P182" s="200">
        <f t="shared" si="24"/>
        <v>0</v>
      </c>
      <c r="Q182" s="200">
        <f t="shared" si="25"/>
        <v>0</v>
      </c>
      <c r="R182" s="200">
        <f t="shared" si="26"/>
        <v>0</v>
      </c>
      <c r="S182" s="200">
        <f t="shared" si="27"/>
        <v>0</v>
      </c>
    </row>
    <row r="183" spans="1:19" s="236" customFormat="1" ht="24.95" customHeight="1">
      <c r="A183" s="239">
        <v>3</v>
      </c>
      <c r="B183" s="239" t="s">
        <v>392</v>
      </c>
      <c r="C183" s="240">
        <v>10</v>
      </c>
      <c r="D183" s="239">
        <v>1</v>
      </c>
      <c r="E183" s="203">
        <v>2</v>
      </c>
      <c r="F183" s="241">
        <v>100</v>
      </c>
      <c r="G183" s="234"/>
      <c r="H183" s="234">
        <v>1380</v>
      </c>
      <c r="I183" s="234"/>
      <c r="J183" s="241">
        <v>100</v>
      </c>
      <c r="K183" s="234">
        <v>2</v>
      </c>
      <c r="L183" s="235">
        <f t="shared" si="20"/>
        <v>1.54</v>
      </c>
      <c r="M183" s="200">
        <f t="shared" si="21"/>
        <v>0</v>
      </c>
      <c r="N183" s="200">
        <f t="shared" si="22"/>
        <v>3.08</v>
      </c>
      <c r="O183" s="200">
        <f t="shared" si="23"/>
        <v>0</v>
      </c>
      <c r="P183" s="200">
        <f t="shared" si="24"/>
        <v>0</v>
      </c>
      <c r="Q183" s="200">
        <f t="shared" si="25"/>
        <v>0</v>
      </c>
      <c r="R183" s="200">
        <f t="shared" si="26"/>
        <v>0</v>
      </c>
      <c r="S183" s="200">
        <f t="shared" si="27"/>
        <v>0</v>
      </c>
    </row>
    <row r="184" spans="1:19" s="236" customFormat="1" ht="24.95" customHeight="1">
      <c r="A184" s="239"/>
      <c r="B184" s="239" t="s">
        <v>393</v>
      </c>
      <c r="C184" s="240">
        <v>10</v>
      </c>
      <c r="D184" s="239">
        <v>1</v>
      </c>
      <c r="E184" s="203">
        <v>2</v>
      </c>
      <c r="F184" s="241">
        <v>100</v>
      </c>
      <c r="G184" s="234"/>
      <c r="H184" s="234">
        <v>1380</v>
      </c>
      <c r="I184" s="234"/>
      <c r="J184" s="241">
        <v>100</v>
      </c>
      <c r="K184" s="234">
        <v>2</v>
      </c>
      <c r="L184" s="235">
        <f t="shared" si="20"/>
        <v>1.54</v>
      </c>
      <c r="M184" s="200">
        <f t="shared" si="21"/>
        <v>0</v>
      </c>
      <c r="N184" s="200">
        <f t="shared" si="22"/>
        <v>3.08</v>
      </c>
      <c r="O184" s="200">
        <f t="shared" si="23"/>
        <v>0</v>
      </c>
      <c r="P184" s="200">
        <f t="shared" si="24"/>
        <v>0</v>
      </c>
      <c r="Q184" s="200">
        <f t="shared" si="25"/>
        <v>0</v>
      </c>
      <c r="R184" s="200">
        <f t="shared" si="26"/>
        <v>0</v>
      </c>
      <c r="S184" s="200">
        <f t="shared" si="27"/>
        <v>0</v>
      </c>
    </row>
    <row r="185" spans="1:19" s="236" customFormat="1" ht="24.95" customHeight="1">
      <c r="A185" s="239"/>
      <c r="B185" s="239" t="s">
        <v>394</v>
      </c>
      <c r="C185" s="240">
        <v>8</v>
      </c>
      <c r="D185" s="239">
        <v>1</v>
      </c>
      <c r="E185" s="203">
        <f>(1380/200)+1</f>
        <v>7.9</v>
      </c>
      <c r="F185" s="234"/>
      <c r="G185" s="234"/>
      <c r="H185" s="234">
        <v>820</v>
      </c>
      <c r="I185" s="234"/>
      <c r="J185" s="234"/>
      <c r="K185" s="241">
        <v>5</v>
      </c>
      <c r="L185" s="235">
        <f t="shared" si="20"/>
        <v>0.74</v>
      </c>
      <c r="M185" s="200">
        <f t="shared" si="21"/>
        <v>5.8460000000000001</v>
      </c>
      <c r="N185" s="200">
        <f t="shared" si="22"/>
        <v>0</v>
      </c>
      <c r="O185" s="200">
        <f t="shared" si="23"/>
        <v>0</v>
      </c>
      <c r="P185" s="200">
        <f t="shared" si="24"/>
        <v>0</v>
      </c>
      <c r="Q185" s="200">
        <f t="shared" si="25"/>
        <v>0</v>
      </c>
      <c r="R185" s="200">
        <f t="shared" si="26"/>
        <v>0</v>
      </c>
      <c r="S185" s="200">
        <f t="shared" si="27"/>
        <v>0</v>
      </c>
    </row>
    <row r="186" spans="1:19" s="247" customFormat="1" ht="24.95" customHeight="1">
      <c r="A186" s="242">
        <v>4</v>
      </c>
      <c r="B186" s="242" t="s">
        <v>392</v>
      </c>
      <c r="C186" s="243">
        <v>10</v>
      </c>
      <c r="D186" s="242">
        <f t="shared" ref="D186:D188" si="29">1*0</f>
        <v>0</v>
      </c>
      <c r="E186" s="244">
        <v>2</v>
      </c>
      <c r="F186" s="245">
        <v>100</v>
      </c>
      <c r="G186" s="246"/>
      <c r="H186" s="246">
        <v>3645</v>
      </c>
      <c r="I186" s="246"/>
      <c r="J186" s="245">
        <v>100</v>
      </c>
      <c r="K186" s="246">
        <v>2</v>
      </c>
      <c r="L186" s="235">
        <f t="shared" si="20"/>
        <v>3.8050000000000002</v>
      </c>
      <c r="M186" s="200">
        <f t="shared" si="21"/>
        <v>0</v>
      </c>
      <c r="N186" s="200">
        <f t="shared" si="22"/>
        <v>0</v>
      </c>
      <c r="O186" s="200">
        <f t="shared" si="23"/>
        <v>0</v>
      </c>
      <c r="P186" s="200">
        <f t="shared" si="24"/>
        <v>0</v>
      </c>
      <c r="Q186" s="200">
        <f t="shared" si="25"/>
        <v>0</v>
      </c>
      <c r="R186" s="200">
        <f t="shared" si="26"/>
        <v>0</v>
      </c>
      <c r="S186" s="200">
        <f t="shared" si="27"/>
        <v>0</v>
      </c>
    </row>
    <row r="187" spans="1:19" s="247" customFormat="1" ht="24.95" customHeight="1">
      <c r="A187" s="242"/>
      <c r="B187" s="242" t="s">
        <v>393</v>
      </c>
      <c r="C187" s="243">
        <v>10</v>
      </c>
      <c r="D187" s="242">
        <f t="shared" si="29"/>
        <v>0</v>
      </c>
      <c r="E187" s="244">
        <v>2</v>
      </c>
      <c r="F187" s="245">
        <v>100</v>
      </c>
      <c r="G187" s="246"/>
      <c r="H187" s="246">
        <v>3645</v>
      </c>
      <c r="I187" s="246"/>
      <c r="J187" s="245">
        <v>100</v>
      </c>
      <c r="K187" s="246">
        <v>2</v>
      </c>
      <c r="L187" s="235">
        <f t="shared" si="20"/>
        <v>3.8050000000000002</v>
      </c>
      <c r="M187" s="200">
        <f t="shared" si="21"/>
        <v>0</v>
      </c>
      <c r="N187" s="200">
        <f t="shared" si="22"/>
        <v>0</v>
      </c>
      <c r="O187" s="200">
        <f t="shared" si="23"/>
        <v>0</v>
      </c>
      <c r="P187" s="200">
        <f t="shared" si="24"/>
        <v>0</v>
      </c>
      <c r="Q187" s="200">
        <f t="shared" si="25"/>
        <v>0</v>
      </c>
      <c r="R187" s="200">
        <f t="shared" si="26"/>
        <v>0</v>
      </c>
      <c r="S187" s="200">
        <f t="shared" si="27"/>
        <v>0</v>
      </c>
    </row>
    <row r="188" spans="1:19" s="247" customFormat="1" ht="24.95" customHeight="1">
      <c r="A188" s="242"/>
      <c r="B188" s="242" t="s">
        <v>394</v>
      </c>
      <c r="C188" s="243">
        <v>8</v>
      </c>
      <c r="D188" s="242">
        <f t="shared" si="29"/>
        <v>0</v>
      </c>
      <c r="E188" s="244">
        <f>(H186/200)+1</f>
        <v>19.225000000000001</v>
      </c>
      <c r="F188" s="246"/>
      <c r="G188" s="246"/>
      <c r="H188" s="246">
        <v>820</v>
      </c>
      <c r="I188" s="246"/>
      <c r="J188" s="246"/>
      <c r="K188" s="245">
        <v>5</v>
      </c>
      <c r="L188" s="235">
        <f t="shared" si="20"/>
        <v>0.74</v>
      </c>
      <c r="M188" s="200">
        <f t="shared" si="21"/>
        <v>0</v>
      </c>
      <c r="N188" s="200">
        <f t="shared" si="22"/>
        <v>0</v>
      </c>
      <c r="O188" s="200">
        <f t="shared" si="23"/>
        <v>0</v>
      </c>
      <c r="P188" s="200">
        <f t="shared" si="24"/>
        <v>0</v>
      </c>
      <c r="Q188" s="200">
        <f t="shared" si="25"/>
        <v>0</v>
      </c>
      <c r="R188" s="200">
        <f t="shared" si="26"/>
        <v>0</v>
      </c>
      <c r="S188" s="200">
        <f t="shared" si="27"/>
        <v>0</v>
      </c>
    </row>
    <row r="189" spans="1:19" s="236" customFormat="1" ht="24.95" customHeight="1">
      <c r="A189" s="239">
        <v>5</v>
      </c>
      <c r="B189" s="239" t="s">
        <v>392</v>
      </c>
      <c r="C189" s="240">
        <v>10</v>
      </c>
      <c r="D189" s="239">
        <v>1</v>
      </c>
      <c r="E189" s="203">
        <v>2</v>
      </c>
      <c r="F189" s="241">
        <v>100</v>
      </c>
      <c r="G189" s="234"/>
      <c r="H189" s="234">
        <v>5180</v>
      </c>
      <c r="I189" s="234"/>
      <c r="J189" s="241">
        <v>100</v>
      </c>
      <c r="K189" s="234">
        <v>2</v>
      </c>
      <c r="L189" s="235">
        <f t="shared" si="20"/>
        <v>5.34</v>
      </c>
      <c r="M189" s="200">
        <f t="shared" si="21"/>
        <v>0</v>
      </c>
      <c r="N189" s="200">
        <f t="shared" si="22"/>
        <v>10.68</v>
      </c>
      <c r="O189" s="200">
        <f t="shared" si="23"/>
        <v>0</v>
      </c>
      <c r="P189" s="200">
        <f t="shared" si="24"/>
        <v>0</v>
      </c>
      <c r="Q189" s="200">
        <f t="shared" si="25"/>
        <v>0</v>
      </c>
      <c r="R189" s="200">
        <f t="shared" si="26"/>
        <v>0</v>
      </c>
      <c r="S189" s="200">
        <f t="shared" si="27"/>
        <v>0</v>
      </c>
    </row>
    <row r="190" spans="1:19" s="236" customFormat="1" ht="24.95" customHeight="1">
      <c r="A190" s="239"/>
      <c r="B190" s="239" t="s">
        <v>393</v>
      </c>
      <c r="C190" s="240">
        <v>10</v>
      </c>
      <c r="D190" s="239">
        <v>1</v>
      </c>
      <c r="E190" s="203">
        <v>2</v>
      </c>
      <c r="F190" s="241">
        <v>100</v>
      </c>
      <c r="G190" s="234"/>
      <c r="H190" s="234">
        <v>5180</v>
      </c>
      <c r="I190" s="234"/>
      <c r="J190" s="241">
        <v>100</v>
      </c>
      <c r="K190" s="234">
        <v>2</v>
      </c>
      <c r="L190" s="235">
        <f t="shared" si="20"/>
        <v>5.34</v>
      </c>
      <c r="M190" s="200">
        <f t="shared" si="21"/>
        <v>0</v>
      </c>
      <c r="N190" s="200">
        <f t="shared" si="22"/>
        <v>10.68</v>
      </c>
      <c r="O190" s="200">
        <f t="shared" si="23"/>
        <v>0</v>
      </c>
      <c r="P190" s="200">
        <f t="shared" si="24"/>
        <v>0</v>
      </c>
      <c r="Q190" s="200">
        <f t="shared" si="25"/>
        <v>0</v>
      </c>
      <c r="R190" s="200">
        <f t="shared" si="26"/>
        <v>0</v>
      </c>
      <c r="S190" s="200">
        <f t="shared" si="27"/>
        <v>0</v>
      </c>
    </row>
    <row r="191" spans="1:19" s="236" customFormat="1" ht="24.95" customHeight="1">
      <c r="A191" s="239"/>
      <c r="B191" s="239" t="s">
        <v>394</v>
      </c>
      <c r="C191" s="240">
        <v>8</v>
      </c>
      <c r="D191" s="239">
        <v>1</v>
      </c>
      <c r="E191" s="203">
        <f>(H189/200)+1</f>
        <v>26.9</v>
      </c>
      <c r="F191" s="234"/>
      <c r="G191" s="234"/>
      <c r="H191" s="234">
        <v>820</v>
      </c>
      <c r="I191" s="234"/>
      <c r="J191" s="234"/>
      <c r="K191" s="241">
        <v>5</v>
      </c>
      <c r="L191" s="235">
        <f t="shared" si="20"/>
        <v>0.74</v>
      </c>
      <c r="M191" s="200">
        <f t="shared" si="21"/>
        <v>19.905999999999999</v>
      </c>
      <c r="N191" s="200">
        <f t="shared" si="22"/>
        <v>0</v>
      </c>
      <c r="O191" s="200">
        <f t="shared" si="23"/>
        <v>0</v>
      </c>
      <c r="P191" s="200">
        <f t="shared" si="24"/>
        <v>0</v>
      </c>
      <c r="Q191" s="200">
        <f t="shared" si="25"/>
        <v>0</v>
      </c>
      <c r="R191" s="200">
        <f t="shared" si="26"/>
        <v>0</v>
      </c>
      <c r="S191" s="200">
        <f t="shared" si="27"/>
        <v>0</v>
      </c>
    </row>
    <row r="192" spans="1:19" s="247" customFormat="1" ht="24.95" customHeight="1">
      <c r="A192" s="242">
        <v>6</v>
      </c>
      <c r="B192" s="242" t="s">
        <v>392</v>
      </c>
      <c r="C192" s="243">
        <v>10</v>
      </c>
      <c r="D192" s="242">
        <f t="shared" ref="D192:D197" si="30">1*0</f>
        <v>0</v>
      </c>
      <c r="E192" s="244">
        <v>2</v>
      </c>
      <c r="F192" s="245">
        <v>100</v>
      </c>
      <c r="G192" s="246"/>
      <c r="H192" s="246">
        <v>445</v>
      </c>
      <c r="I192" s="246"/>
      <c r="J192" s="245">
        <v>100</v>
      </c>
      <c r="K192" s="246">
        <v>2</v>
      </c>
      <c r="L192" s="235">
        <f t="shared" si="20"/>
        <v>0.60499999999999998</v>
      </c>
      <c r="M192" s="200">
        <f t="shared" si="21"/>
        <v>0</v>
      </c>
      <c r="N192" s="200">
        <f t="shared" si="22"/>
        <v>0</v>
      </c>
      <c r="O192" s="200">
        <f t="shared" si="23"/>
        <v>0</v>
      </c>
      <c r="P192" s="200">
        <f t="shared" si="24"/>
        <v>0</v>
      </c>
      <c r="Q192" s="200">
        <f t="shared" si="25"/>
        <v>0</v>
      </c>
      <c r="R192" s="200">
        <f t="shared" si="26"/>
        <v>0</v>
      </c>
      <c r="S192" s="200">
        <f t="shared" si="27"/>
        <v>0</v>
      </c>
    </row>
    <row r="193" spans="1:19" s="247" customFormat="1" ht="24.95" customHeight="1">
      <c r="A193" s="242"/>
      <c r="B193" s="242" t="s">
        <v>393</v>
      </c>
      <c r="C193" s="243">
        <v>10</v>
      </c>
      <c r="D193" s="242">
        <f t="shared" si="30"/>
        <v>0</v>
      </c>
      <c r="E193" s="244">
        <v>2</v>
      </c>
      <c r="F193" s="245">
        <v>100</v>
      </c>
      <c r="G193" s="246"/>
      <c r="H193" s="246">
        <v>445</v>
      </c>
      <c r="I193" s="246"/>
      <c r="J193" s="245">
        <v>100</v>
      </c>
      <c r="K193" s="246">
        <v>2</v>
      </c>
      <c r="L193" s="235">
        <f t="shared" si="20"/>
        <v>0.60499999999999998</v>
      </c>
      <c r="M193" s="200">
        <f t="shared" si="21"/>
        <v>0</v>
      </c>
      <c r="N193" s="200">
        <f t="shared" si="22"/>
        <v>0</v>
      </c>
      <c r="O193" s="200">
        <f t="shared" si="23"/>
        <v>0</v>
      </c>
      <c r="P193" s="200">
        <f t="shared" si="24"/>
        <v>0</v>
      </c>
      <c r="Q193" s="200">
        <f t="shared" si="25"/>
        <v>0</v>
      </c>
      <c r="R193" s="200">
        <f t="shared" si="26"/>
        <v>0</v>
      </c>
      <c r="S193" s="200">
        <f t="shared" si="27"/>
        <v>0</v>
      </c>
    </row>
    <row r="194" spans="1:19" s="247" customFormat="1" ht="24.95" customHeight="1">
      <c r="A194" s="242"/>
      <c r="B194" s="242" t="s">
        <v>394</v>
      </c>
      <c r="C194" s="243">
        <v>8</v>
      </c>
      <c r="D194" s="242">
        <f t="shared" si="30"/>
        <v>0</v>
      </c>
      <c r="E194" s="244">
        <f>(H192/200)+1</f>
        <v>3.2250000000000001</v>
      </c>
      <c r="F194" s="246"/>
      <c r="G194" s="246"/>
      <c r="H194" s="246">
        <v>820</v>
      </c>
      <c r="I194" s="246"/>
      <c r="J194" s="246"/>
      <c r="K194" s="245">
        <v>5</v>
      </c>
      <c r="L194" s="235">
        <f t="shared" si="20"/>
        <v>0.74</v>
      </c>
      <c r="M194" s="200">
        <f t="shared" si="21"/>
        <v>0</v>
      </c>
      <c r="N194" s="200">
        <f t="shared" si="22"/>
        <v>0</v>
      </c>
      <c r="O194" s="200">
        <f t="shared" si="23"/>
        <v>0</v>
      </c>
      <c r="P194" s="200">
        <f t="shared" si="24"/>
        <v>0</v>
      </c>
      <c r="Q194" s="200">
        <f t="shared" si="25"/>
        <v>0</v>
      </c>
      <c r="R194" s="200">
        <f t="shared" si="26"/>
        <v>0</v>
      </c>
      <c r="S194" s="200">
        <f t="shared" si="27"/>
        <v>0</v>
      </c>
    </row>
    <row r="195" spans="1:19" s="247" customFormat="1" ht="24.95" customHeight="1">
      <c r="A195" s="242">
        <v>7</v>
      </c>
      <c r="B195" s="242" t="s">
        <v>392</v>
      </c>
      <c r="C195" s="243">
        <v>10</v>
      </c>
      <c r="D195" s="242">
        <f t="shared" si="30"/>
        <v>0</v>
      </c>
      <c r="E195" s="244">
        <v>2</v>
      </c>
      <c r="F195" s="245">
        <v>100</v>
      </c>
      <c r="G195" s="246"/>
      <c r="H195" s="246">
        <v>645</v>
      </c>
      <c r="I195" s="246"/>
      <c r="J195" s="245">
        <v>100</v>
      </c>
      <c r="K195" s="246">
        <v>2</v>
      </c>
      <c r="L195" s="235">
        <f t="shared" si="20"/>
        <v>0.80500000000000005</v>
      </c>
      <c r="M195" s="200">
        <f t="shared" si="21"/>
        <v>0</v>
      </c>
      <c r="N195" s="200">
        <f t="shared" si="22"/>
        <v>0</v>
      </c>
      <c r="O195" s="200">
        <f t="shared" si="23"/>
        <v>0</v>
      </c>
      <c r="P195" s="200">
        <f t="shared" si="24"/>
        <v>0</v>
      </c>
      <c r="Q195" s="200">
        <f t="shared" si="25"/>
        <v>0</v>
      </c>
      <c r="R195" s="200">
        <f t="shared" si="26"/>
        <v>0</v>
      </c>
      <c r="S195" s="200">
        <f t="shared" si="27"/>
        <v>0</v>
      </c>
    </row>
    <row r="196" spans="1:19" s="247" customFormat="1" ht="24.95" customHeight="1">
      <c r="A196" s="242"/>
      <c r="B196" s="242" t="s">
        <v>393</v>
      </c>
      <c r="C196" s="243">
        <v>10</v>
      </c>
      <c r="D196" s="242">
        <f t="shared" si="30"/>
        <v>0</v>
      </c>
      <c r="E196" s="244">
        <v>2</v>
      </c>
      <c r="F196" s="245">
        <v>100</v>
      </c>
      <c r="G196" s="246"/>
      <c r="H196" s="246">
        <v>645</v>
      </c>
      <c r="I196" s="246"/>
      <c r="J196" s="245">
        <v>100</v>
      </c>
      <c r="K196" s="246">
        <v>2</v>
      </c>
      <c r="L196" s="235">
        <f t="shared" si="20"/>
        <v>0.80500000000000005</v>
      </c>
      <c r="M196" s="200">
        <f t="shared" si="21"/>
        <v>0</v>
      </c>
      <c r="N196" s="200">
        <f t="shared" si="22"/>
        <v>0</v>
      </c>
      <c r="O196" s="200">
        <f t="shared" si="23"/>
        <v>0</v>
      </c>
      <c r="P196" s="200">
        <f t="shared" si="24"/>
        <v>0</v>
      </c>
      <c r="Q196" s="200">
        <f t="shared" si="25"/>
        <v>0</v>
      </c>
      <c r="R196" s="200">
        <f t="shared" si="26"/>
        <v>0</v>
      </c>
      <c r="S196" s="200">
        <f t="shared" si="27"/>
        <v>0</v>
      </c>
    </row>
    <row r="197" spans="1:19" s="247" customFormat="1" ht="24.95" customHeight="1">
      <c r="A197" s="242"/>
      <c r="B197" s="242" t="s">
        <v>394</v>
      </c>
      <c r="C197" s="243">
        <v>8</v>
      </c>
      <c r="D197" s="242">
        <f t="shared" si="30"/>
        <v>0</v>
      </c>
      <c r="E197" s="244">
        <f>(H195/200)+1</f>
        <v>4.2249999999999996</v>
      </c>
      <c r="F197" s="246"/>
      <c r="G197" s="246"/>
      <c r="H197" s="246">
        <v>820</v>
      </c>
      <c r="I197" s="246"/>
      <c r="J197" s="246"/>
      <c r="K197" s="245">
        <v>5</v>
      </c>
      <c r="L197" s="235">
        <f t="shared" si="20"/>
        <v>0.74</v>
      </c>
      <c r="M197" s="200">
        <f t="shared" si="21"/>
        <v>0</v>
      </c>
      <c r="N197" s="200">
        <f t="shared" si="22"/>
        <v>0</v>
      </c>
      <c r="O197" s="200">
        <f t="shared" si="23"/>
        <v>0</v>
      </c>
      <c r="P197" s="200">
        <f t="shared" si="24"/>
        <v>0</v>
      </c>
      <c r="Q197" s="200">
        <f t="shared" si="25"/>
        <v>0</v>
      </c>
      <c r="R197" s="200">
        <f t="shared" si="26"/>
        <v>0</v>
      </c>
      <c r="S197" s="200">
        <f t="shared" si="27"/>
        <v>0</v>
      </c>
    </row>
    <row r="198" spans="1:19" s="236" customFormat="1" ht="24.95" customHeight="1">
      <c r="A198" s="239">
        <v>8</v>
      </c>
      <c r="B198" s="239" t="s">
        <v>392</v>
      </c>
      <c r="C198" s="240">
        <v>10</v>
      </c>
      <c r="D198" s="239">
        <v>1</v>
      </c>
      <c r="E198" s="203">
        <v>2</v>
      </c>
      <c r="F198" s="241">
        <v>100</v>
      </c>
      <c r="G198" s="234"/>
      <c r="H198" s="234">
        <v>3180</v>
      </c>
      <c r="I198" s="234"/>
      <c r="J198" s="241">
        <v>100</v>
      </c>
      <c r="K198" s="234">
        <v>2</v>
      </c>
      <c r="L198" s="235">
        <f t="shared" si="20"/>
        <v>3.34</v>
      </c>
      <c r="M198" s="200">
        <f t="shared" si="21"/>
        <v>0</v>
      </c>
      <c r="N198" s="200">
        <f t="shared" si="22"/>
        <v>6.68</v>
      </c>
      <c r="O198" s="200">
        <f t="shared" si="23"/>
        <v>0</v>
      </c>
      <c r="P198" s="200">
        <f t="shared" si="24"/>
        <v>0</v>
      </c>
      <c r="Q198" s="200">
        <f t="shared" si="25"/>
        <v>0</v>
      </c>
      <c r="R198" s="200">
        <f t="shared" si="26"/>
        <v>0</v>
      </c>
      <c r="S198" s="200">
        <f t="shared" si="27"/>
        <v>0</v>
      </c>
    </row>
    <row r="199" spans="1:19" s="236" customFormat="1" ht="24.95" customHeight="1">
      <c r="A199" s="239"/>
      <c r="B199" s="239" t="s">
        <v>393</v>
      </c>
      <c r="C199" s="240">
        <v>10</v>
      </c>
      <c r="D199" s="239">
        <v>1</v>
      </c>
      <c r="E199" s="203">
        <v>2</v>
      </c>
      <c r="F199" s="241">
        <v>100</v>
      </c>
      <c r="G199" s="234"/>
      <c r="H199" s="234">
        <v>3180</v>
      </c>
      <c r="I199" s="234"/>
      <c r="J199" s="241">
        <v>100</v>
      </c>
      <c r="K199" s="234">
        <v>2</v>
      </c>
      <c r="L199" s="235">
        <f t="shared" si="20"/>
        <v>3.34</v>
      </c>
      <c r="M199" s="200">
        <f t="shared" si="21"/>
        <v>0</v>
      </c>
      <c r="N199" s="200">
        <f t="shared" si="22"/>
        <v>6.68</v>
      </c>
      <c r="O199" s="200">
        <f t="shared" si="23"/>
        <v>0</v>
      </c>
      <c r="P199" s="200">
        <f t="shared" si="24"/>
        <v>0</v>
      </c>
      <c r="Q199" s="200">
        <f t="shared" si="25"/>
        <v>0</v>
      </c>
      <c r="R199" s="200">
        <f t="shared" si="26"/>
        <v>0</v>
      </c>
      <c r="S199" s="200">
        <f t="shared" si="27"/>
        <v>0</v>
      </c>
    </row>
    <row r="200" spans="1:19" s="236" customFormat="1" ht="24.95" customHeight="1">
      <c r="A200" s="239"/>
      <c r="B200" s="239" t="s">
        <v>394</v>
      </c>
      <c r="C200" s="240">
        <v>8</v>
      </c>
      <c r="D200" s="239">
        <v>1</v>
      </c>
      <c r="E200" s="203">
        <f>(H198/200)+1</f>
        <v>16.899999999999999</v>
      </c>
      <c r="F200" s="234"/>
      <c r="G200" s="234"/>
      <c r="H200" s="234">
        <v>820</v>
      </c>
      <c r="I200" s="234"/>
      <c r="J200" s="234"/>
      <c r="K200" s="241">
        <v>5</v>
      </c>
      <c r="L200" s="235">
        <f t="shared" si="20"/>
        <v>0.74</v>
      </c>
      <c r="M200" s="200">
        <f t="shared" si="21"/>
        <v>12.505999999999998</v>
      </c>
      <c r="N200" s="200">
        <f t="shared" si="22"/>
        <v>0</v>
      </c>
      <c r="O200" s="200">
        <f t="shared" si="23"/>
        <v>0</v>
      </c>
      <c r="P200" s="200">
        <f t="shared" si="24"/>
        <v>0</v>
      </c>
      <c r="Q200" s="200">
        <f t="shared" si="25"/>
        <v>0</v>
      </c>
      <c r="R200" s="200">
        <f t="shared" si="26"/>
        <v>0</v>
      </c>
      <c r="S200" s="200">
        <f t="shared" si="27"/>
        <v>0</v>
      </c>
    </row>
    <row r="201" spans="1:19" s="236" customFormat="1" ht="24.95" customHeight="1">
      <c r="A201" s="239">
        <v>9</v>
      </c>
      <c r="B201" s="239" t="s">
        <v>392</v>
      </c>
      <c r="C201" s="240">
        <v>10</v>
      </c>
      <c r="D201" s="239">
        <v>1</v>
      </c>
      <c r="E201" s="203">
        <v>2</v>
      </c>
      <c r="F201" s="241">
        <v>100</v>
      </c>
      <c r="G201" s="234"/>
      <c r="H201" s="234">
        <v>4380</v>
      </c>
      <c r="I201" s="234"/>
      <c r="J201" s="241">
        <v>100</v>
      </c>
      <c r="K201" s="234">
        <v>2</v>
      </c>
      <c r="L201" s="235">
        <f t="shared" si="20"/>
        <v>4.54</v>
      </c>
      <c r="M201" s="200">
        <f t="shared" si="21"/>
        <v>0</v>
      </c>
      <c r="N201" s="200">
        <f t="shared" si="22"/>
        <v>9.08</v>
      </c>
      <c r="O201" s="200">
        <f t="shared" si="23"/>
        <v>0</v>
      </c>
      <c r="P201" s="200">
        <f t="shared" si="24"/>
        <v>0</v>
      </c>
      <c r="Q201" s="200">
        <f t="shared" si="25"/>
        <v>0</v>
      </c>
      <c r="R201" s="200">
        <f t="shared" si="26"/>
        <v>0</v>
      </c>
      <c r="S201" s="200">
        <f t="shared" si="27"/>
        <v>0</v>
      </c>
    </row>
    <row r="202" spans="1:19" s="236" customFormat="1" ht="24.95" customHeight="1">
      <c r="A202" s="239"/>
      <c r="B202" s="239" t="s">
        <v>393</v>
      </c>
      <c r="C202" s="240">
        <v>10</v>
      </c>
      <c r="D202" s="239">
        <v>1</v>
      </c>
      <c r="E202" s="203">
        <v>2</v>
      </c>
      <c r="F202" s="241">
        <v>100</v>
      </c>
      <c r="G202" s="234"/>
      <c r="H202" s="234">
        <v>4380</v>
      </c>
      <c r="I202" s="234"/>
      <c r="J202" s="241">
        <v>100</v>
      </c>
      <c r="K202" s="234">
        <v>2</v>
      </c>
      <c r="L202" s="235">
        <f t="shared" si="20"/>
        <v>4.54</v>
      </c>
      <c r="M202" s="200">
        <f t="shared" si="21"/>
        <v>0</v>
      </c>
      <c r="N202" s="200">
        <f t="shared" si="22"/>
        <v>9.08</v>
      </c>
      <c r="O202" s="200">
        <f t="shared" si="23"/>
        <v>0</v>
      </c>
      <c r="P202" s="200">
        <f t="shared" si="24"/>
        <v>0</v>
      </c>
      <c r="Q202" s="200">
        <f t="shared" si="25"/>
        <v>0</v>
      </c>
      <c r="R202" s="200">
        <f t="shared" si="26"/>
        <v>0</v>
      </c>
      <c r="S202" s="200">
        <f t="shared" si="27"/>
        <v>0</v>
      </c>
    </row>
    <row r="203" spans="1:19" s="236" customFormat="1" ht="24.95" customHeight="1">
      <c r="A203" s="239"/>
      <c r="B203" s="239" t="s">
        <v>394</v>
      </c>
      <c r="C203" s="240">
        <v>8</v>
      </c>
      <c r="D203" s="239">
        <v>1</v>
      </c>
      <c r="E203" s="203">
        <f>(H201/200)+1</f>
        <v>22.9</v>
      </c>
      <c r="F203" s="234"/>
      <c r="G203" s="234"/>
      <c r="H203" s="234">
        <v>820</v>
      </c>
      <c r="I203" s="234"/>
      <c r="J203" s="234"/>
      <c r="K203" s="241">
        <v>5</v>
      </c>
      <c r="L203" s="235">
        <f t="shared" ref="L203:L266" si="31">(((F203+G203+H203+I203+J203)-C203*K203*2)/1000)</f>
        <v>0.74</v>
      </c>
      <c r="M203" s="200">
        <f t="shared" ref="M203:M266" si="32">+IF(C203=8,D203*E203*L203,0)</f>
        <v>16.945999999999998</v>
      </c>
      <c r="N203" s="200">
        <f t="shared" ref="N203:N266" si="33">+IF(C203=10,D203*E203*L203,0)</f>
        <v>0</v>
      </c>
      <c r="O203" s="200">
        <f t="shared" ref="O203:O266" si="34">+IF(C203=12,D203*E203*L203,0)</f>
        <v>0</v>
      </c>
      <c r="P203" s="200">
        <f t="shared" ref="P203:P266" si="35">+IF(C203=16,D203*E203*L203,0)</f>
        <v>0</v>
      </c>
      <c r="Q203" s="200">
        <f t="shared" ref="Q203:Q266" si="36">+IF(C203=20,D203*E203*L203,0)</f>
        <v>0</v>
      </c>
      <c r="R203" s="200">
        <f t="shared" ref="R203:R266" si="37">+IF(C203=25,D203*E203*L203,0)</f>
        <v>0</v>
      </c>
      <c r="S203" s="200">
        <f t="shared" ref="S203:S266" si="38">+IF(C203=32,D203*E203*L203,0)</f>
        <v>0</v>
      </c>
    </row>
    <row r="204" spans="1:19" s="236" customFormat="1" ht="24.95" customHeight="1">
      <c r="A204" s="239">
        <v>10</v>
      </c>
      <c r="B204" s="239" t="s">
        <v>392</v>
      </c>
      <c r="C204" s="240">
        <v>10</v>
      </c>
      <c r="D204" s="239">
        <v>1</v>
      </c>
      <c r="E204" s="203">
        <v>2</v>
      </c>
      <c r="F204" s="241">
        <v>100</v>
      </c>
      <c r="G204" s="234"/>
      <c r="H204" s="241">
        <v>3380</v>
      </c>
      <c r="I204" s="234"/>
      <c r="J204" s="241">
        <v>100</v>
      </c>
      <c r="K204" s="234">
        <v>2</v>
      </c>
      <c r="L204" s="235">
        <f t="shared" si="31"/>
        <v>3.54</v>
      </c>
      <c r="M204" s="200">
        <f t="shared" si="32"/>
        <v>0</v>
      </c>
      <c r="N204" s="200">
        <f t="shared" si="33"/>
        <v>7.08</v>
      </c>
      <c r="O204" s="200">
        <f t="shared" si="34"/>
        <v>0</v>
      </c>
      <c r="P204" s="200">
        <f t="shared" si="35"/>
        <v>0</v>
      </c>
      <c r="Q204" s="200">
        <f t="shared" si="36"/>
        <v>0</v>
      </c>
      <c r="R204" s="200">
        <f t="shared" si="37"/>
        <v>0</v>
      </c>
      <c r="S204" s="200">
        <f t="shared" si="38"/>
        <v>0</v>
      </c>
    </row>
    <row r="205" spans="1:19" s="236" customFormat="1" ht="24.95" customHeight="1">
      <c r="A205" s="239"/>
      <c r="B205" s="239" t="s">
        <v>393</v>
      </c>
      <c r="C205" s="240">
        <v>10</v>
      </c>
      <c r="D205" s="239">
        <v>1</v>
      </c>
      <c r="E205" s="203">
        <v>2</v>
      </c>
      <c r="F205" s="241">
        <v>100</v>
      </c>
      <c r="G205" s="234"/>
      <c r="H205" s="241">
        <v>3380</v>
      </c>
      <c r="I205" s="234"/>
      <c r="J205" s="241">
        <v>100</v>
      </c>
      <c r="K205" s="234">
        <v>2</v>
      </c>
      <c r="L205" s="235">
        <f t="shared" si="31"/>
        <v>3.54</v>
      </c>
      <c r="M205" s="200">
        <f t="shared" si="32"/>
        <v>0</v>
      </c>
      <c r="N205" s="200">
        <f t="shared" si="33"/>
        <v>7.08</v>
      </c>
      <c r="O205" s="200">
        <f t="shared" si="34"/>
        <v>0</v>
      </c>
      <c r="P205" s="200">
        <f t="shared" si="35"/>
        <v>0</v>
      </c>
      <c r="Q205" s="200">
        <f t="shared" si="36"/>
        <v>0</v>
      </c>
      <c r="R205" s="200">
        <f t="shared" si="37"/>
        <v>0</v>
      </c>
      <c r="S205" s="200">
        <f t="shared" si="38"/>
        <v>0</v>
      </c>
    </row>
    <row r="206" spans="1:19" s="236" customFormat="1" ht="24.95" customHeight="1">
      <c r="A206" s="239"/>
      <c r="B206" s="239" t="s">
        <v>394</v>
      </c>
      <c r="C206" s="240">
        <v>8</v>
      </c>
      <c r="D206" s="239">
        <v>1</v>
      </c>
      <c r="E206" s="249">
        <f>(H204/200)+1</f>
        <v>17.899999999999999</v>
      </c>
      <c r="F206" s="234"/>
      <c r="G206" s="234"/>
      <c r="H206" s="234">
        <v>820</v>
      </c>
      <c r="I206" s="234"/>
      <c r="J206" s="234"/>
      <c r="K206" s="241">
        <v>5</v>
      </c>
      <c r="L206" s="235">
        <f t="shared" si="31"/>
        <v>0.74</v>
      </c>
      <c r="M206" s="200">
        <f t="shared" si="32"/>
        <v>13.245999999999999</v>
      </c>
      <c r="N206" s="200">
        <f t="shared" si="33"/>
        <v>0</v>
      </c>
      <c r="O206" s="200">
        <f t="shared" si="34"/>
        <v>0</v>
      </c>
      <c r="P206" s="200">
        <f t="shared" si="35"/>
        <v>0</v>
      </c>
      <c r="Q206" s="200">
        <f t="shared" si="36"/>
        <v>0</v>
      </c>
      <c r="R206" s="200">
        <f t="shared" si="37"/>
        <v>0</v>
      </c>
      <c r="S206" s="200">
        <f t="shared" si="38"/>
        <v>0</v>
      </c>
    </row>
    <row r="207" spans="1:19" s="247" customFormat="1" ht="24.95" customHeight="1">
      <c r="A207" s="242">
        <v>11</v>
      </c>
      <c r="B207" s="242" t="s">
        <v>392</v>
      </c>
      <c r="C207" s="243">
        <v>10</v>
      </c>
      <c r="D207" s="242">
        <f t="shared" ref="D207:D209" si="39">1*0</f>
        <v>0</v>
      </c>
      <c r="E207" s="244">
        <v>2</v>
      </c>
      <c r="F207" s="245">
        <v>100</v>
      </c>
      <c r="G207" s="246"/>
      <c r="H207" s="246">
        <v>3445</v>
      </c>
      <c r="I207" s="246"/>
      <c r="J207" s="245">
        <v>100</v>
      </c>
      <c r="K207" s="246">
        <v>2</v>
      </c>
      <c r="L207" s="235">
        <f t="shared" si="31"/>
        <v>3.605</v>
      </c>
      <c r="M207" s="200">
        <f t="shared" si="32"/>
        <v>0</v>
      </c>
      <c r="N207" s="200">
        <f t="shared" si="33"/>
        <v>0</v>
      </c>
      <c r="O207" s="200">
        <f t="shared" si="34"/>
        <v>0</v>
      </c>
      <c r="P207" s="200">
        <f t="shared" si="35"/>
        <v>0</v>
      </c>
      <c r="Q207" s="200">
        <f t="shared" si="36"/>
        <v>0</v>
      </c>
      <c r="R207" s="200">
        <f t="shared" si="37"/>
        <v>0</v>
      </c>
      <c r="S207" s="200">
        <f t="shared" si="38"/>
        <v>0</v>
      </c>
    </row>
    <row r="208" spans="1:19" s="247" customFormat="1" ht="24.95" customHeight="1">
      <c r="A208" s="242"/>
      <c r="B208" s="242" t="s">
        <v>393</v>
      </c>
      <c r="C208" s="243">
        <v>10</v>
      </c>
      <c r="D208" s="242">
        <f t="shared" si="39"/>
        <v>0</v>
      </c>
      <c r="E208" s="244">
        <v>2</v>
      </c>
      <c r="F208" s="245">
        <v>100</v>
      </c>
      <c r="G208" s="246"/>
      <c r="H208" s="246">
        <v>3445</v>
      </c>
      <c r="I208" s="246"/>
      <c r="J208" s="245">
        <v>100</v>
      </c>
      <c r="K208" s="246">
        <v>2</v>
      </c>
      <c r="L208" s="235">
        <f t="shared" si="31"/>
        <v>3.605</v>
      </c>
      <c r="M208" s="200">
        <f t="shared" si="32"/>
        <v>0</v>
      </c>
      <c r="N208" s="200">
        <f t="shared" si="33"/>
        <v>0</v>
      </c>
      <c r="O208" s="200">
        <f t="shared" si="34"/>
        <v>0</v>
      </c>
      <c r="P208" s="200">
        <f t="shared" si="35"/>
        <v>0</v>
      </c>
      <c r="Q208" s="200">
        <f t="shared" si="36"/>
        <v>0</v>
      </c>
      <c r="R208" s="200">
        <f t="shared" si="37"/>
        <v>0</v>
      </c>
      <c r="S208" s="200">
        <f t="shared" si="38"/>
        <v>0</v>
      </c>
    </row>
    <row r="209" spans="1:19" s="247" customFormat="1" ht="24.95" customHeight="1">
      <c r="A209" s="242"/>
      <c r="B209" s="242" t="s">
        <v>394</v>
      </c>
      <c r="C209" s="243">
        <v>8</v>
      </c>
      <c r="D209" s="242">
        <f t="shared" si="39"/>
        <v>0</v>
      </c>
      <c r="E209" s="244">
        <f>(H207/200)+1</f>
        <v>18.225000000000001</v>
      </c>
      <c r="F209" s="246"/>
      <c r="G209" s="246"/>
      <c r="H209" s="246">
        <v>820</v>
      </c>
      <c r="I209" s="246"/>
      <c r="J209" s="246"/>
      <c r="K209" s="245">
        <v>5</v>
      </c>
      <c r="L209" s="235">
        <f t="shared" si="31"/>
        <v>0.74</v>
      </c>
      <c r="M209" s="200">
        <f t="shared" si="32"/>
        <v>0</v>
      </c>
      <c r="N209" s="200">
        <f t="shared" si="33"/>
        <v>0</v>
      </c>
      <c r="O209" s="200">
        <f t="shared" si="34"/>
        <v>0</v>
      </c>
      <c r="P209" s="200">
        <f t="shared" si="35"/>
        <v>0</v>
      </c>
      <c r="Q209" s="200">
        <f t="shared" si="36"/>
        <v>0</v>
      </c>
      <c r="R209" s="200">
        <f t="shared" si="37"/>
        <v>0</v>
      </c>
      <c r="S209" s="200">
        <f t="shared" si="38"/>
        <v>0</v>
      </c>
    </row>
    <row r="210" spans="1:19" s="236" customFormat="1" ht="24.95" customHeight="1">
      <c r="A210" s="239">
        <v>12</v>
      </c>
      <c r="B210" s="239" t="s">
        <v>392</v>
      </c>
      <c r="C210" s="240">
        <v>10</v>
      </c>
      <c r="D210" s="239">
        <v>1</v>
      </c>
      <c r="E210" s="203">
        <v>2</v>
      </c>
      <c r="F210" s="241">
        <v>100</v>
      </c>
      <c r="G210" s="234"/>
      <c r="H210" s="234">
        <v>1380</v>
      </c>
      <c r="I210" s="234"/>
      <c r="J210" s="241">
        <v>100</v>
      </c>
      <c r="K210" s="234">
        <v>2</v>
      </c>
      <c r="L210" s="235">
        <f t="shared" si="31"/>
        <v>1.54</v>
      </c>
      <c r="M210" s="200">
        <f t="shared" si="32"/>
        <v>0</v>
      </c>
      <c r="N210" s="200">
        <f t="shared" si="33"/>
        <v>3.08</v>
      </c>
      <c r="O210" s="200">
        <f t="shared" si="34"/>
        <v>0</v>
      </c>
      <c r="P210" s="200">
        <f t="shared" si="35"/>
        <v>0</v>
      </c>
      <c r="Q210" s="200">
        <f t="shared" si="36"/>
        <v>0</v>
      </c>
      <c r="R210" s="200">
        <f t="shared" si="37"/>
        <v>0</v>
      </c>
      <c r="S210" s="200">
        <f t="shared" si="38"/>
        <v>0</v>
      </c>
    </row>
    <row r="211" spans="1:19" s="236" customFormat="1" ht="24.95" customHeight="1">
      <c r="A211" s="239"/>
      <c r="B211" s="239" t="s">
        <v>393</v>
      </c>
      <c r="C211" s="240">
        <v>10</v>
      </c>
      <c r="D211" s="239">
        <v>1</v>
      </c>
      <c r="E211" s="203">
        <v>2</v>
      </c>
      <c r="F211" s="241">
        <v>100</v>
      </c>
      <c r="G211" s="234"/>
      <c r="H211" s="234">
        <v>1380</v>
      </c>
      <c r="I211" s="234"/>
      <c r="J211" s="241">
        <v>100</v>
      </c>
      <c r="K211" s="234">
        <v>2</v>
      </c>
      <c r="L211" s="235">
        <f t="shared" si="31"/>
        <v>1.54</v>
      </c>
      <c r="M211" s="200">
        <f t="shared" si="32"/>
        <v>0</v>
      </c>
      <c r="N211" s="200">
        <f t="shared" si="33"/>
        <v>3.08</v>
      </c>
      <c r="O211" s="200">
        <f t="shared" si="34"/>
        <v>0</v>
      </c>
      <c r="P211" s="200">
        <f t="shared" si="35"/>
        <v>0</v>
      </c>
      <c r="Q211" s="200">
        <f t="shared" si="36"/>
        <v>0</v>
      </c>
      <c r="R211" s="200">
        <f t="shared" si="37"/>
        <v>0</v>
      </c>
      <c r="S211" s="200">
        <f t="shared" si="38"/>
        <v>0</v>
      </c>
    </row>
    <row r="212" spans="1:19" s="236" customFormat="1" ht="24.95" customHeight="1">
      <c r="A212" s="239"/>
      <c r="B212" s="239" t="s">
        <v>394</v>
      </c>
      <c r="C212" s="240">
        <v>8</v>
      </c>
      <c r="D212" s="239">
        <v>1</v>
      </c>
      <c r="E212" s="203">
        <f>(H210/200)+1</f>
        <v>7.9</v>
      </c>
      <c r="F212" s="234"/>
      <c r="G212" s="234"/>
      <c r="H212" s="234">
        <v>820</v>
      </c>
      <c r="I212" s="234"/>
      <c r="J212" s="234"/>
      <c r="K212" s="241">
        <v>5</v>
      </c>
      <c r="L212" s="235">
        <f t="shared" si="31"/>
        <v>0.74</v>
      </c>
      <c r="M212" s="200">
        <f t="shared" si="32"/>
        <v>5.8460000000000001</v>
      </c>
      <c r="N212" s="200">
        <f t="shared" si="33"/>
        <v>0</v>
      </c>
      <c r="O212" s="200">
        <f t="shared" si="34"/>
        <v>0</v>
      </c>
      <c r="P212" s="200">
        <f t="shared" si="35"/>
        <v>0</v>
      </c>
      <c r="Q212" s="200">
        <f t="shared" si="36"/>
        <v>0</v>
      </c>
      <c r="R212" s="200">
        <f t="shared" si="37"/>
        <v>0</v>
      </c>
      <c r="S212" s="200">
        <f t="shared" si="38"/>
        <v>0</v>
      </c>
    </row>
    <row r="213" spans="1:19" s="236" customFormat="1" ht="24.95" customHeight="1">
      <c r="A213" s="239">
        <v>13</v>
      </c>
      <c r="B213" s="239" t="s">
        <v>392</v>
      </c>
      <c r="C213" s="240">
        <v>10</v>
      </c>
      <c r="D213" s="239">
        <v>1</v>
      </c>
      <c r="E213" s="203">
        <v>2</v>
      </c>
      <c r="F213" s="241">
        <v>100</v>
      </c>
      <c r="G213" s="234"/>
      <c r="H213" s="234">
        <v>8180</v>
      </c>
      <c r="I213" s="234"/>
      <c r="J213" s="241">
        <v>100</v>
      </c>
      <c r="K213" s="234">
        <v>2</v>
      </c>
      <c r="L213" s="235">
        <f t="shared" si="31"/>
        <v>8.34</v>
      </c>
      <c r="M213" s="200">
        <f t="shared" si="32"/>
        <v>0</v>
      </c>
      <c r="N213" s="200">
        <f t="shared" si="33"/>
        <v>16.68</v>
      </c>
      <c r="O213" s="200">
        <f t="shared" si="34"/>
        <v>0</v>
      </c>
      <c r="P213" s="200">
        <f t="shared" si="35"/>
        <v>0</v>
      </c>
      <c r="Q213" s="200">
        <f t="shared" si="36"/>
        <v>0</v>
      </c>
      <c r="R213" s="200">
        <f t="shared" si="37"/>
        <v>0</v>
      </c>
      <c r="S213" s="200">
        <f t="shared" si="38"/>
        <v>0</v>
      </c>
    </row>
    <row r="214" spans="1:19" s="236" customFormat="1" ht="24.95" customHeight="1">
      <c r="A214" s="239"/>
      <c r="B214" s="239" t="s">
        <v>393</v>
      </c>
      <c r="C214" s="240">
        <v>10</v>
      </c>
      <c r="D214" s="239">
        <v>1</v>
      </c>
      <c r="E214" s="203">
        <v>2</v>
      </c>
      <c r="F214" s="241">
        <v>100</v>
      </c>
      <c r="G214" s="234"/>
      <c r="H214" s="234">
        <v>8180</v>
      </c>
      <c r="I214" s="234"/>
      <c r="J214" s="241">
        <v>100</v>
      </c>
      <c r="K214" s="234">
        <v>2</v>
      </c>
      <c r="L214" s="235">
        <f t="shared" si="31"/>
        <v>8.34</v>
      </c>
      <c r="M214" s="200">
        <f t="shared" si="32"/>
        <v>0</v>
      </c>
      <c r="N214" s="200">
        <f t="shared" si="33"/>
        <v>16.68</v>
      </c>
      <c r="O214" s="200">
        <f t="shared" si="34"/>
        <v>0</v>
      </c>
      <c r="P214" s="200">
        <f t="shared" si="35"/>
        <v>0</v>
      </c>
      <c r="Q214" s="200">
        <f t="shared" si="36"/>
        <v>0</v>
      </c>
      <c r="R214" s="200">
        <f t="shared" si="37"/>
        <v>0</v>
      </c>
      <c r="S214" s="200">
        <f t="shared" si="38"/>
        <v>0</v>
      </c>
    </row>
    <row r="215" spans="1:19" s="236" customFormat="1" ht="24.95" customHeight="1">
      <c r="A215" s="239"/>
      <c r="B215" s="239" t="s">
        <v>394</v>
      </c>
      <c r="C215" s="240">
        <v>8</v>
      </c>
      <c r="D215" s="239">
        <v>1</v>
      </c>
      <c r="E215" s="203">
        <f>(H213/200)+1</f>
        <v>41.9</v>
      </c>
      <c r="F215" s="234"/>
      <c r="G215" s="234"/>
      <c r="H215" s="234">
        <v>820</v>
      </c>
      <c r="I215" s="234"/>
      <c r="J215" s="234"/>
      <c r="K215" s="241">
        <v>5</v>
      </c>
      <c r="L215" s="235">
        <f t="shared" si="31"/>
        <v>0.74</v>
      </c>
      <c r="M215" s="200">
        <f t="shared" si="32"/>
        <v>31.006</v>
      </c>
      <c r="N215" s="200">
        <f t="shared" si="33"/>
        <v>0</v>
      </c>
      <c r="O215" s="200">
        <f t="shared" si="34"/>
        <v>0</v>
      </c>
      <c r="P215" s="200">
        <f t="shared" si="35"/>
        <v>0</v>
      </c>
      <c r="Q215" s="200">
        <f t="shared" si="36"/>
        <v>0</v>
      </c>
      <c r="R215" s="200">
        <f t="shared" si="37"/>
        <v>0</v>
      </c>
      <c r="S215" s="200">
        <f t="shared" si="38"/>
        <v>0</v>
      </c>
    </row>
    <row r="216" spans="1:19" s="236" customFormat="1" ht="24.95" customHeight="1">
      <c r="A216" s="239">
        <v>14</v>
      </c>
      <c r="B216" s="239" t="s">
        <v>392</v>
      </c>
      <c r="C216" s="240">
        <v>10</v>
      </c>
      <c r="D216" s="239">
        <v>1</v>
      </c>
      <c r="E216" s="203">
        <v>2</v>
      </c>
      <c r="F216" s="241">
        <v>100</v>
      </c>
      <c r="G216" s="234"/>
      <c r="H216" s="241">
        <v>10210</v>
      </c>
      <c r="I216" s="234"/>
      <c r="J216" s="241">
        <v>100</v>
      </c>
      <c r="K216" s="234">
        <v>2</v>
      </c>
      <c r="L216" s="235">
        <f t="shared" si="31"/>
        <v>10.37</v>
      </c>
      <c r="M216" s="200">
        <f t="shared" si="32"/>
        <v>0</v>
      </c>
      <c r="N216" s="200">
        <f t="shared" si="33"/>
        <v>20.74</v>
      </c>
      <c r="O216" s="200">
        <f t="shared" si="34"/>
        <v>0</v>
      </c>
      <c r="P216" s="200">
        <f t="shared" si="35"/>
        <v>0</v>
      </c>
      <c r="Q216" s="200">
        <f t="shared" si="36"/>
        <v>0</v>
      </c>
      <c r="R216" s="200">
        <f t="shared" si="37"/>
        <v>0</v>
      </c>
      <c r="S216" s="200">
        <f t="shared" si="38"/>
        <v>0</v>
      </c>
    </row>
    <row r="217" spans="1:19" s="236" customFormat="1" ht="24.95" customHeight="1">
      <c r="A217" s="239"/>
      <c r="B217" s="239" t="s">
        <v>393</v>
      </c>
      <c r="C217" s="240">
        <v>10</v>
      </c>
      <c r="D217" s="239">
        <v>1</v>
      </c>
      <c r="E217" s="203">
        <v>2</v>
      </c>
      <c r="F217" s="241">
        <v>100</v>
      </c>
      <c r="G217" s="234"/>
      <c r="H217" s="241">
        <v>10210</v>
      </c>
      <c r="I217" s="234"/>
      <c r="J217" s="241">
        <v>100</v>
      </c>
      <c r="K217" s="234">
        <v>2</v>
      </c>
      <c r="L217" s="235">
        <f t="shared" si="31"/>
        <v>10.37</v>
      </c>
      <c r="M217" s="200">
        <f t="shared" si="32"/>
        <v>0</v>
      </c>
      <c r="N217" s="200">
        <f t="shared" si="33"/>
        <v>20.74</v>
      </c>
      <c r="O217" s="200">
        <f t="shared" si="34"/>
        <v>0</v>
      </c>
      <c r="P217" s="200">
        <f t="shared" si="35"/>
        <v>0</v>
      </c>
      <c r="Q217" s="200">
        <f t="shared" si="36"/>
        <v>0</v>
      </c>
      <c r="R217" s="200">
        <f t="shared" si="37"/>
        <v>0</v>
      </c>
      <c r="S217" s="200">
        <f t="shared" si="38"/>
        <v>0</v>
      </c>
    </row>
    <row r="218" spans="1:19" s="236" customFormat="1" ht="24.95" customHeight="1">
      <c r="A218" s="239"/>
      <c r="B218" s="239" t="s">
        <v>394</v>
      </c>
      <c r="C218" s="240">
        <v>8</v>
      </c>
      <c r="D218" s="239">
        <v>1</v>
      </c>
      <c r="E218" s="203">
        <f>(H216/200)+1</f>
        <v>52.05</v>
      </c>
      <c r="F218" s="234"/>
      <c r="G218" s="234"/>
      <c r="H218" s="234">
        <v>820</v>
      </c>
      <c r="I218" s="234"/>
      <c r="J218" s="234"/>
      <c r="K218" s="241">
        <v>5</v>
      </c>
      <c r="L218" s="235">
        <f t="shared" si="31"/>
        <v>0.74</v>
      </c>
      <c r="M218" s="200">
        <f t="shared" si="32"/>
        <v>38.516999999999996</v>
      </c>
      <c r="N218" s="200">
        <f t="shared" si="33"/>
        <v>0</v>
      </c>
      <c r="O218" s="200">
        <f t="shared" si="34"/>
        <v>0</v>
      </c>
      <c r="P218" s="200">
        <f t="shared" si="35"/>
        <v>0</v>
      </c>
      <c r="Q218" s="200">
        <f t="shared" si="36"/>
        <v>0</v>
      </c>
      <c r="R218" s="200">
        <f t="shared" si="37"/>
        <v>0</v>
      </c>
      <c r="S218" s="200">
        <f t="shared" si="38"/>
        <v>0</v>
      </c>
    </row>
    <row r="219" spans="1:19" s="236" customFormat="1" ht="24.95" customHeight="1">
      <c r="A219" s="207">
        <v>15</v>
      </c>
      <c r="B219" s="208" t="s">
        <v>399</v>
      </c>
      <c r="C219" s="240">
        <v>12</v>
      </c>
      <c r="D219" s="239">
        <v>4</v>
      </c>
      <c r="E219" s="203">
        <v>3</v>
      </c>
      <c r="F219" s="241">
        <v>100</v>
      </c>
      <c r="G219" s="234"/>
      <c r="H219" s="234">
        <v>2950</v>
      </c>
      <c r="I219" s="234"/>
      <c r="J219" s="241">
        <v>100</v>
      </c>
      <c r="K219" s="234">
        <v>2</v>
      </c>
      <c r="L219" s="235">
        <f t="shared" si="31"/>
        <v>3.1019999999999999</v>
      </c>
      <c r="M219" s="200">
        <f t="shared" si="32"/>
        <v>0</v>
      </c>
      <c r="N219" s="200">
        <f t="shared" si="33"/>
        <v>0</v>
      </c>
      <c r="O219" s="200">
        <f t="shared" si="34"/>
        <v>37.223999999999997</v>
      </c>
      <c r="P219" s="200">
        <f t="shared" si="35"/>
        <v>0</v>
      </c>
      <c r="Q219" s="200">
        <f t="shared" si="36"/>
        <v>0</v>
      </c>
      <c r="R219" s="200">
        <f t="shared" si="37"/>
        <v>0</v>
      </c>
      <c r="S219" s="200">
        <f t="shared" si="38"/>
        <v>0</v>
      </c>
    </row>
    <row r="220" spans="1:19" s="236" customFormat="1" ht="24.95" customHeight="1">
      <c r="A220" s="239"/>
      <c r="B220" s="239" t="s">
        <v>393</v>
      </c>
      <c r="C220" s="240">
        <v>12</v>
      </c>
      <c r="D220" s="239">
        <v>4</v>
      </c>
      <c r="E220" s="203">
        <v>3</v>
      </c>
      <c r="F220" s="241">
        <v>100</v>
      </c>
      <c r="G220" s="234"/>
      <c r="H220" s="234">
        <v>2950</v>
      </c>
      <c r="I220" s="234"/>
      <c r="J220" s="241">
        <v>100</v>
      </c>
      <c r="K220" s="234">
        <v>2</v>
      </c>
      <c r="L220" s="235">
        <f t="shared" si="31"/>
        <v>3.1019999999999999</v>
      </c>
      <c r="M220" s="200">
        <f t="shared" si="32"/>
        <v>0</v>
      </c>
      <c r="N220" s="200">
        <f t="shared" si="33"/>
        <v>0</v>
      </c>
      <c r="O220" s="200">
        <f t="shared" si="34"/>
        <v>37.223999999999997</v>
      </c>
      <c r="P220" s="200">
        <f t="shared" si="35"/>
        <v>0</v>
      </c>
      <c r="Q220" s="200">
        <f t="shared" si="36"/>
        <v>0</v>
      </c>
      <c r="R220" s="200">
        <f t="shared" si="37"/>
        <v>0</v>
      </c>
      <c r="S220" s="200">
        <f t="shared" si="38"/>
        <v>0</v>
      </c>
    </row>
    <row r="221" spans="1:19" s="236" customFormat="1" ht="24.95" customHeight="1">
      <c r="A221" s="239"/>
      <c r="B221" s="239" t="s">
        <v>400</v>
      </c>
      <c r="C221" s="240">
        <v>8</v>
      </c>
      <c r="D221" s="239">
        <v>4</v>
      </c>
      <c r="E221" s="203">
        <f>(2950/200)+1</f>
        <v>15.75</v>
      </c>
      <c r="F221" s="234"/>
      <c r="G221" s="234"/>
      <c r="H221" s="234">
        <v>1280</v>
      </c>
      <c r="I221" s="234"/>
      <c r="J221" s="234"/>
      <c r="K221" s="241">
        <v>5</v>
      </c>
      <c r="L221" s="235">
        <f t="shared" si="31"/>
        <v>1.2</v>
      </c>
      <c r="M221" s="200">
        <f t="shared" si="32"/>
        <v>75.599999999999994</v>
      </c>
      <c r="N221" s="200">
        <f t="shared" si="33"/>
        <v>0</v>
      </c>
      <c r="O221" s="200">
        <f t="shared" si="34"/>
        <v>0</v>
      </c>
      <c r="P221" s="200">
        <f t="shared" si="35"/>
        <v>0</v>
      </c>
      <c r="Q221" s="200">
        <f t="shared" si="36"/>
        <v>0</v>
      </c>
      <c r="R221" s="200">
        <f t="shared" si="37"/>
        <v>0</v>
      </c>
      <c r="S221" s="200">
        <f t="shared" si="38"/>
        <v>0</v>
      </c>
    </row>
    <row r="222" spans="1:19" s="236" customFormat="1" ht="24.95" customHeight="1">
      <c r="A222" s="205" t="s">
        <v>408</v>
      </c>
      <c r="B222" s="206" t="s">
        <v>396</v>
      </c>
      <c r="C222" s="240"/>
      <c r="D222" s="239"/>
      <c r="E222" s="203"/>
      <c r="F222" s="234"/>
      <c r="G222" s="234"/>
      <c r="H222" s="234"/>
      <c r="I222" s="234"/>
      <c r="J222" s="234"/>
      <c r="K222" s="234"/>
      <c r="L222" s="235">
        <f t="shared" si="31"/>
        <v>0</v>
      </c>
      <c r="M222" s="200">
        <f t="shared" si="32"/>
        <v>0</v>
      </c>
      <c r="N222" s="200">
        <f t="shared" si="33"/>
        <v>0</v>
      </c>
      <c r="O222" s="200">
        <f t="shared" si="34"/>
        <v>0</v>
      </c>
      <c r="P222" s="200">
        <f t="shared" si="35"/>
        <v>0</v>
      </c>
      <c r="Q222" s="200">
        <f t="shared" si="36"/>
        <v>0</v>
      </c>
      <c r="R222" s="200">
        <f t="shared" si="37"/>
        <v>0</v>
      </c>
      <c r="S222" s="200">
        <f t="shared" si="38"/>
        <v>0</v>
      </c>
    </row>
    <row r="223" spans="1:19" s="236" customFormat="1" ht="24.95" customHeight="1">
      <c r="A223" s="239">
        <v>1</v>
      </c>
      <c r="B223" s="239" t="s">
        <v>392</v>
      </c>
      <c r="C223" s="240">
        <v>10</v>
      </c>
      <c r="D223" s="239">
        <v>6</v>
      </c>
      <c r="E223" s="203">
        <v>2</v>
      </c>
      <c r="F223" s="241">
        <v>100</v>
      </c>
      <c r="G223" s="234"/>
      <c r="H223" s="241">
        <v>1025</v>
      </c>
      <c r="I223" s="234"/>
      <c r="J223" s="241">
        <v>100</v>
      </c>
      <c r="K223" s="234">
        <v>2</v>
      </c>
      <c r="L223" s="235">
        <f t="shared" si="31"/>
        <v>1.1850000000000001</v>
      </c>
      <c r="M223" s="200">
        <f t="shared" si="32"/>
        <v>0</v>
      </c>
      <c r="N223" s="200">
        <f t="shared" si="33"/>
        <v>14.22</v>
      </c>
      <c r="O223" s="200">
        <f t="shared" si="34"/>
        <v>0</v>
      </c>
      <c r="P223" s="200">
        <f t="shared" si="35"/>
        <v>0</v>
      </c>
      <c r="Q223" s="200">
        <f t="shared" si="36"/>
        <v>0</v>
      </c>
      <c r="R223" s="200">
        <f t="shared" si="37"/>
        <v>0</v>
      </c>
      <c r="S223" s="200">
        <f t="shared" si="38"/>
        <v>0</v>
      </c>
    </row>
    <row r="224" spans="1:19" s="236" customFormat="1" ht="24.95" customHeight="1">
      <c r="A224" s="239"/>
      <c r="B224" s="239" t="s">
        <v>393</v>
      </c>
      <c r="C224" s="240">
        <v>10</v>
      </c>
      <c r="D224" s="239">
        <v>6</v>
      </c>
      <c r="E224" s="203">
        <v>2</v>
      </c>
      <c r="F224" s="241">
        <v>100</v>
      </c>
      <c r="G224" s="234"/>
      <c r="H224" s="241">
        <v>1025</v>
      </c>
      <c r="I224" s="234"/>
      <c r="J224" s="241">
        <v>100</v>
      </c>
      <c r="K224" s="234">
        <v>2</v>
      </c>
      <c r="L224" s="235">
        <f t="shared" si="31"/>
        <v>1.1850000000000001</v>
      </c>
      <c r="M224" s="200">
        <f t="shared" si="32"/>
        <v>0</v>
      </c>
      <c r="N224" s="200">
        <f t="shared" si="33"/>
        <v>14.22</v>
      </c>
      <c r="O224" s="200">
        <f t="shared" si="34"/>
        <v>0</v>
      </c>
      <c r="P224" s="200">
        <f t="shared" si="35"/>
        <v>0</v>
      </c>
      <c r="Q224" s="200">
        <f t="shared" si="36"/>
        <v>0</v>
      </c>
      <c r="R224" s="200">
        <f t="shared" si="37"/>
        <v>0</v>
      </c>
      <c r="S224" s="200">
        <f t="shared" si="38"/>
        <v>0</v>
      </c>
    </row>
    <row r="225" spans="1:19" s="236" customFormat="1" ht="24.95" customHeight="1">
      <c r="A225" s="239"/>
      <c r="B225" s="239" t="s">
        <v>394</v>
      </c>
      <c r="C225" s="240">
        <v>8</v>
      </c>
      <c r="D225" s="239">
        <v>6</v>
      </c>
      <c r="E225" s="203">
        <f>(H223/200)+1</f>
        <v>6.125</v>
      </c>
      <c r="F225" s="234"/>
      <c r="G225" s="234"/>
      <c r="H225" s="234">
        <v>820</v>
      </c>
      <c r="I225" s="234"/>
      <c r="J225" s="234"/>
      <c r="K225" s="241">
        <v>5</v>
      </c>
      <c r="L225" s="235">
        <f t="shared" si="31"/>
        <v>0.74</v>
      </c>
      <c r="M225" s="200">
        <f t="shared" si="32"/>
        <v>27.195</v>
      </c>
      <c r="N225" s="200">
        <f t="shared" si="33"/>
        <v>0</v>
      </c>
      <c r="O225" s="200">
        <f t="shared" si="34"/>
        <v>0</v>
      </c>
      <c r="P225" s="200">
        <f t="shared" si="35"/>
        <v>0</v>
      </c>
      <c r="Q225" s="200">
        <f t="shared" si="36"/>
        <v>0</v>
      </c>
      <c r="R225" s="200">
        <f t="shared" si="37"/>
        <v>0</v>
      </c>
      <c r="S225" s="200">
        <f t="shared" si="38"/>
        <v>0</v>
      </c>
    </row>
    <row r="226" spans="1:19" s="236" customFormat="1" ht="24.95" customHeight="1">
      <c r="A226" s="239">
        <v>2</v>
      </c>
      <c r="B226" s="239" t="s">
        <v>392</v>
      </c>
      <c r="C226" s="240">
        <v>10</v>
      </c>
      <c r="D226" s="239">
        <v>4</v>
      </c>
      <c r="E226" s="203">
        <v>2</v>
      </c>
      <c r="F226" s="241">
        <v>100</v>
      </c>
      <c r="G226" s="234"/>
      <c r="H226" s="234">
        <v>2045</v>
      </c>
      <c r="I226" s="234"/>
      <c r="J226" s="241">
        <v>100</v>
      </c>
      <c r="K226" s="234">
        <v>2</v>
      </c>
      <c r="L226" s="235">
        <f t="shared" si="31"/>
        <v>2.2050000000000001</v>
      </c>
      <c r="M226" s="200">
        <f t="shared" si="32"/>
        <v>0</v>
      </c>
      <c r="N226" s="200">
        <f t="shared" si="33"/>
        <v>17.64</v>
      </c>
      <c r="O226" s="200">
        <f t="shared" si="34"/>
        <v>0</v>
      </c>
      <c r="P226" s="200">
        <f t="shared" si="35"/>
        <v>0</v>
      </c>
      <c r="Q226" s="200">
        <f t="shared" si="36"/>
        <v>0</v>
      </c>
      <c r="R226" s="200">
        <f t="shared" si="37"/>
        <v>0</v>
      </c>
      <c r="S226" s="200">
        <f t="shared" si="38"/>
        <v>0</v>
      </c>
    </row>
    <row r="227" spans="1:19" s="236" customFormat="1" ht="24.95" customHeight="1">
      <c r="A227" s="239"/>
      <c r="B227" s="239" t="s">
        <v>393</v>
      </c>
      <c r="C227" s="240">
        <v>10</v>
      </c>
      <c r="D227" s="239">
        <v>4</v>
      </c>
      <c r="E227" s="203">
        <v>2</v>
      </c>
      <c r="F227" s="241">
        <v>100</v>
      </c>
      <c r="G227" s="234"/>
      <c r="H227" s="234">
        <v>2045</v>
      </c>
      <c r="I227" s="234"/>
      <c r="J227" s="241">
        <v>100</v>
      </c>
      <c r="K227" s="234">
        <v>2</v>
      </c>
      <c r="L227" s="235">
        <f t="shared" si="31"/>
        <v>2.2050000000000001</v>
      </c>
      <c r="M227" s="200">
        <f t="shared" si="32"/>
        <v>0</v>
      </c>
      <c r="N227" s="200">
        <f t="shared" si="33"/>
        <v>17.64</v>
      </c>
      <c r="O227" s="200">
        <f t="shared" si="34"/>
        <v>0</v>
      </c>
      <c r="P227" s="200">
        <f t="shared" si="35"/>
        <v>0</v>
      </c>
      <c r="Q227" s="200">
        <f t="shared" si="36"/>
        <v>0</v>
      </c>
      <c r="R227" s="200">
        <f t="shared" si="37"/>
        <v>0</v>
      </c>
      <c r="S227" s="200">
        <f t="shared" si="38"/>
        <v>0</v>
      </c>
    </row>
    <row r="228" spans="1:19" s="236" customFormat="1" ht="24.95" customHeight="1">
      <c r="A228" s="239"/>
      <c r="B228" s="239" t="s">
        <v>394</v>
      </c>
      <c r="C228" s="240">
        <v>8</v>
      </c>
      <c r="D228" s="239">
        <v>4</v>
      </c>
      <c r="E228" s="203">
        <f>(H226/200)+1</f>
        <v>11.225</v>
      </c>
      <c r="F228" s="234"/>
      <c r="G228" s="234"/>
      <c r="H228" s="234">
        <v>820</v>
      </c>
      <c r="I228" s="234"/>
      <c r="J228" s="234"/>
      <c r="K228" s="241">
        <v>5</v>
      </c>
      <c r="L228" s="235">
        <f t="shared" si="31"/>
        <v>0.74</v>
      </c>
      <c r="M228" s="200">
        <f t="shared" si="32"/>
        <v>33.225999999999999</v>
      </c>
      <c r="N228" s="200">
        <f t="shared" si="33"/>
        <v>0</v>
      </c>
      <c r="O228" s="200">
        <f t="shared" si="34"/>
        <v>0</v>
      </c>
      <c r="P228" s="200">
        <f t="shared" si="35"/>
        <v>0</v>
      </c>
      <c r="Q228" s="200">
        <f t="shared" si="36"/>
        <v>0</v>
      </c>
      <c r="R228" s="200">
        <f t="shared" si="37"/>
        <v>0</v>
      </c>
      <c r="S228" s="200">
        <f t="shared" si="38"/>
        <v>0</v>
      </c>
    </row>
    <row r="229" spans="1:19" s="236" customFormat="1" ht="24.95" customHeight="1">
      <c r="A229" s="239">
        <v>3</v>
      </c>
      <c r="B229" s="239" t="s">
        <v>392</v>
      </c>
      <c r="C229" s="240">
        <v>10</v>
      </c>
      <c r="D229" s="239">
        <v>2</v>
      </c>
      <c r="E229" s="203">
        <v>2</v>
      </c>
      <c r="F229" s="241">
        <v>100</v>
      </c>
      <c r="G229" s="234"/>
      <c r="H229" s="234">
        <v>2925</v>
      </c>
      <c r="I229" s="234"/>
      <c r="J229" s="241">
        <v>100</v>
      </c>
      <c r="K229" s="234">
        <v>2</v>
      </c>
      <c r="L229" s="235">
        <f t="shared" si="31"/>
        <v>3.085</v>
      </c>
      <c r="M229" s="200">
        <f t="shared" si="32"/>
        <v>0</v>
      </c>
      <c r="N229" s="200">
        <f t="shared" si="33"/>
        <v>12.34</v>
      </c>
      <c r="O229" s="200">
        <f t="shared" si="34"/>
        <v>0</v>
      </c>
      <c r="P229" s="200">
        <f t="shared" si="35"/>
        <v>0</v>
      </c>
      <c r="Q229" s="200">
        <f t="shared" si="36"/>
        <v>0</v>
      </c>
      <c r="R229" s="200">
        <f t="shared" si="37"/>
        <v>0</v>
      </c>
      <c r="S229" s="200">
        <f t="shared" si="38"/>
        <v>0</v>
      </c>
    </row>
    <row r="230" spans="1:19" s="236" customFormat="1" ht="24.95" customHeight="1">
      <c r="A230" s="239"/>
      <c r="B230" s="239" t="s">
        <v>393</v>
      </c>
      <c r="C230" s="240">
        <v>10</v>
      </c>
      <c r="D230" s="239">
        <v>2</v>
      </c>
      <c r="E230" s="203">
        <v>2</v>
      </c>
      <c r="F230" s="241">
        <v>100</v>
      </c>
      <c r="G230" s="234"/>
      <c r="H230" s="234">
        <v>2925</v>
      </c>
      <c r="I230" s="234"/>
      <c r="J230" s="241">
        <v>100</v>
      </c>
      <c r="K230" s="234">
        <v>2</v>
      </c>
      <c r="L230" s="235">
        <f t="shared" si="31"/>
        <v>3.085</v>
      </c>
      <c r="M230" s="200">
        <f t="shared" si="32"/>
        <v>0</v>
      </c>
      <c r="N230" s="200">
        <f t="shared" si="33"/>
        <v>12.34</v>
      </c>
      <c r="O230" s="200">
        <f t="shared" si="34"/>
        <v>0</v>
      </c>
      <c r="P230" s="200">
        <f t="shared" si="35"/>
        <v>0</v>
      </c>
      <c r="Q230" s="200">
        <f t="shared" si="36"/>
        <v>0</v>
      </c>
      <c r="R230" s="200">
        <f t="shared" si="37"/>
        <v>0</v>
      </c>
      <c r="S230" s="200">
        <f t="shared" si="38"/>
        <v>0</v>
      </c>
    </row>
    <row r="231" spans="1:19" s="236" customFormat="1" ht="24.95" customHeight="1">
      <c r="A231" s="239"/>
      <c r="B231" s="239" t="s">
        <v>394</v>
      </c>
      <c r="C231" s="240">
        <v>8</v>
      </c>
      <c r="D231" s="239">
        <v>2</v>
      </c>
      <c r="E231" s="203">
        <f>(H229/200)+1</f>
        <v>15.625</v>
      </c>
      <c r="F231" s="234"/>
      <c r="G231" s="234"/>
      <c r="H231" s="234">
        <v>820</v>
      </c>
      <c r="I231" s="234"/>
      <c r="J231" s="234"/>
      <c r="K231" s="241">
        <v>5</v>
      </c>
      <c r="L231" s="235">
        <f t="shared" si="31"/>
        <v>0.74</v>
      </c>
      <c r="M231" s="200">
        <f t="shared" si="32"/>
        <v>23.125</v>
      </c>
      <c r="N231" s="200">
        <f t="shared" si="33"/>
        <v>0</v>
      </c>
      <c r="O231" s="200">
        <f t="shared" si="34"/>
        <v>0</v>
      </c>
      <c r="P231" s="200">
        <f t="shared" si="35"/>
        <v>0</v>
      </c>
      <c r="Q231" s="200">
        <f t="shared" si="36"/>
        <v>0</v>
      </c>
      <c r="R231" s="200">
        <f t="shared" si="37"/>
        <v>0</v>
      </c>
      <c r="S231" s="200">
        <f t="shared" si="38"/>
        <v>0</v>
      </c>
    </row>
    <row r="232" spans="1:19" s="236" customFormat="1" ht="24.95" customHeight="1">
      <c r="A232" s="205" t="s">
        <v>409</v>
      </c>
      <c r="B232" s="205" t="s">
        <v>403</v>
      </c>
      <c r="C232" s="240"/>
      <c r="D232" s="239"/>
      <c r="E232" s="203"/>
      <c r="F232" s="234"/>
      <c r="G232" s="234"/>
      <c r="H232" s="234"/>
      <c r="I232" s="234"/>
      <c r="J232" s="234"/>
      <c r="K232" s="234">
        <v>0</v>
      </c>
      <c r="L232" s="235">
        <f t="shared" si="31"/>
        <v>0</v>
      </c>
      <c r="M232" s="200">
        <f t="shared" si="32"/>
        <v>0</v>
      </c>
      <c r="N232" s="200">
        <f t="shared" si="33"/>
        <v>0</v>
      </c>
      <c r="O232" s="200">
        <f t="shared" si="34"/>
        <v>0</v>
      </c>
      <c r="P232" s="200">
        <f t="shared" si="35"/>
        <v>0</v>
      </c>
      <c r="Q232" s="200">
        <f t="shared" si="36"/>
        <v>0</v>
      </c>
      <c r="R232" s="200">
        <f t="shared" si="37"/>
        <v>0</v>
      </c>
      <c r="S232" s="200">
        <f t="shared" si="38"/>
        <v>0</v>
      </c>
    </row>
    <row r="233" spans="1:19" s="236" customFormat="1" ht="24.95" customHeight="1">
      <c r="A233" s="205" t="s">
        <v>410</v>
      </c>
      <c r="B233" s="206" t="s">
        <v>391</v>
      </c>
      <c r="C233" s="240"/>
      <c r="D233" s="239"/>
      <c r="E233" s="203"/>
      <c r="F233" s="234"/>
      <c r="G233" s="234"/>
      <c r="H233" s="234"/>
      <c r="I233" s="234"/>
      <c r="J233" s="234"/>
      <c r="K233" s="234"/>
      <c r="L233" s="235">
        <f t="shared" si="31"/>
        <v>0</v>
      </c>
      <c r="M233" s="200">
        <f t="shared" si="32"/>
        <v>0</v>
      </c>
      <c r="N233" s="200">
        <f t="shared" si="33"/>
        <v>0</v>
      </c>
      <c r="O233" s="200">
        <f t="shared" si="34"/>
        <v>0</v>
      </c>
      <c r="P233" s="200">
        <f t="shared" si="35"/>
        <v>0</v>
      </c>
      <c r="Q233" s="200">
        <f t="shared" si="36"/>
        <v>0</v>
      </c>
      <c r="R233" s="200">
        <f t="shared" si="37"/>
        <v>0</v>
      </c>
      <c r="S233" s="200">
        <f t="shared" si="38"/>
        <v>0</v>
      </c>
    </row>
    <row r="234" spans="1:19" s="236" customFormat="1" ht="24.95" customHeight="1">
      <c r="A234" s="239">
        <v>1</v>
      </c>
      <c r="B234" s="239" t="s">
        <v>392</v>
      </c>
      <c r="C234" s="240">
        <v>10</v>
      </c>
      <c r="D234" s="239">
        <v>1</v>
      </c>
      <c r="E234" s="203">
        <v>2</v>
      </c>
      <c r="F234" s="241">
        <v>100</v>
      </c>
      <c r="G234" s="234"/>
      <c r="H234" s="241">
        <v>7190</v>
      </c>
      <c r="I234" s="234"/>
      <c r="J234" s="241">
        <v>100</v>
      </c>
      <c r="K234" s="234">
        <v>2</v>
      </c>
      <c r="L234" s="235">
        <f t="shared" si="31"/>
        <v>7.35</v>
      </c>
      <c r="M234" s="200">
        <f t="shared" si="32"/>
        <v>0</v>
      </c>
      <c r="N234" s="200">
        <f t="shared" si="33"/>
        <v>14.7</v>
      </c>
      <c r="O234" s="200">
        <f t="shared" si="34"/>
        <v>0</v>
      </c>
      <c r="P234" s="200">
        <f t="shared" si="35"/>
        <v>0</v>
      </c>
      <c r="Q234" s="200">
        <f t="shared" si="36"/>
        <v>0</v>
      </c>
      <c r="R234" s="200">
        <f t="shared" si="37"/>
        <v>0</v>
      </c>
      <c r="S234" s="200">
        <f t="shared" si="38"/>
        <v>0</v>
      </c>
    </row>
    <row r="235" spans="1:19" s="236" customFormat="1" ht="24.95" customHeight="1">
      <c r="A235" s="239"/>
      <c r="B235" s="239" t="s">
        <v>393</v>
      </c>
      <c r="C235" s="240">
        <v>10</v>
      </c>
      <c r="D235" s="239">
        <v>1</v>
      </c>
      <c r="E235" s="203">
        <v>2</v>
      </c>
      <c r="F235" s="241">
        <v>100</v>
      </c>
      <c r="G235" s="234"/>
      <c r="H235" s="241">
        <v>7190</v>
      </c>
      <c r="I235" s="234"/>
      <c r="J235" s="241">
        <v>100</v>
      </c>
      <c r="K235" s="234">
        <v>2</v>
      </c>
      <c r="L235" s="235">
        <f t="shared" si="31"/>
        <v>7.35</v>
      </c>
      <c r="M235" s="200">
        <f t="shared" si="32"/>
        <v>0</v>
      </c>
      <c r="N235" s="200">
        <f t="shared" si="33"/>
        <v>14.7</v>
      </c>
      <c r="O235" s="200">
        <f t="shared" si="34"/>
        <v>0</v>
      </c>
      <c r="P235" s="200">
        <f t="shared" si="35"/>
        <v>0</v>
      </c>
      <c r="Q235" s="200">
        <f t="shared" si="36"/>
        <v>0</v>
      </c>
      <c r="R235" s="200">
        <f t="shared" si="37"/>
        <v>0</v>
      </c>
      <c r="S235" s="200">
        <f t="shared" si="38"/>
        <v>0</v>
      </c>
    </row>
    <row r="236" spans="1:19" s="236" customFormat="1" ht="24.95" customHeight="1">
      <c r="A236" s="239"/>
      <c r="B236" s="239" t="s">
        <v>394</v>
      </c>
      <c r="C236" s="240">
        <v>8</v>
      </c>
      <c r="D236" s="239">
        <v>1</v>
      </c>
      <c r="E236" s="203">
        <f>(H234/200)+1</f>
        <v>36.950000000000003</v>
      </c>
      <c r="F236" s="234"/>
      <c r="G236" s="234"/>
      <c r="H236" s="234">
        <v>820</v>
      </c>
      <c r="I236" s="234"/>
      <c r="J236" s="234"/>
      <c r="K236" s="241">
        <v>5</v>
      </c>
      <c r="L236" s="235">
        <f t="shared" si="31"/>
        <v>0.74</v>
      </c>
      <c r="M236" s="200">
        <f t="shared" si="32"/>
        <v>27.343000000000004</v>
      </c>
      <c r="N236" s="200">
        <f t="shared" si="33"/>
        <v>0</v>
      </c>
      <c r="O236" s="200">
        <f t="shared" si="34"/>
        <v>0</v>
      </c>
      <c r="P236" s="200">
        <f t="shared" si="35"/>
        <v>0</v>
      </c>
      <c r="Q236" s="200">
        <f t="shared" si="36"/>
        <v>0</v>
      </c>
      <c r="R236" s="200">
        <f t="shared" si="37"/>
        <v>0</v>
      </c>
      <c r="S236" s="200">
        <f t="shared" si="38"/>
        <v>0</v>
      </c>
    </row>
    <row r="237" spans="1:19" s="236" customFormat="1" ht="24.95" customHeight="1">
      <c r="A237" s="239">
        <v>2</v>
      </c>
      <c r="B237" s="239" t="s">
        <v>392</v>
      </c>
      <c r="C237" s="240">
        <v>10</v>
      </c>
      <c r="D237" s="239">
        <v>1</v>
      </c>
      <c r="E237" s="203">
        <v>2</v>
      </c>
      <c r="F237" s="241">
        <v>100</v>
      </c>
      <c r="G237" s="234"/>
      <c r="H237" s="234">
        <v>5180</v>
      </c>
      <c r="I237" s="234"/>
      <c r="J237" s="241">
        <v>100</v>
      </c>
      <c r="K237" s="234">
        <v>2</v>
      </c>
      <c r="L237" s="235">
        <f t="shared" si="31"/>
        <v>5.34</v>
      </c>
      <c r="M237" s="200">
        <f t="shared" si="32"/>
        <v>0</v>
      </c>
      <c r="N237" s="200">
        <f t="shared" si="33"/>
        <v>10.68</v>
      </c>
      <c r="O237" s="200">
        <f t="shared" si="34"/>
        <v>0</v>
      </c>
      <c r="P237" s="200">
        <f t="shared" si="35"/>
        <v>0</v>
      </c>
      <c r="Q237" s="200">
        <f t="shared" si="36"/>
        <v>0</v>
      </c>
      <c r="R237" s="200">
        <f t="shared" si="37"/>
        <v>0</v>
      </c>
      <c r="S237" s="200">
        <f t="shared" si="38"/>
        <v>0</v>
      </c>
    </row>
    <row r="238" spans="1:19" s="236" customFormat="1" ht="24.95" customHeight="1">
      <c r="A238" s="239"/>
      <c r="B238" s="239" t="s">
        <v>393</v>
      </c>
      <c r="C238" s="240">
        <v>10</v>
      </c>
      <c r="D238" s="239">
        <v>1</v>
      </c>
      <c r="E238" s="203">
        <v>2</v>
      </c>
      <c r="F238" s="241">
        <v>100</v>
      </c>
      <c r="G238" s="234"/>
      <c r="H238" s="234">
        <v>5180</v>
      </c>
      <c r="I238" s="234"/>
      <c r="J238" s="241">
        <v>100</v>
      </c>
      <c r="K238" s="234">
        <v>2</v>
      </c>
      <c r="L238" s="235">
        <f t="shared" si="31"/>
        <v>5.34</v>
      </c>
      <c r="M238" s="200">
        <f t="shared" si="32"/>
        <v>0</v>
      </c>
      <c r="N238" s="200">
        <f t="shared" si="33"/>
        <v>10.68</v>
      </c>
      <c r="O238" s="200">
        <f t="shared" si="34"/>
        <v>0</v>
      </c>
      <c r="P238" s="200">
        <f t="shared" si="35"/>
        <v>0</v>
      </c>
      <c r="Q238" s="200">
        <f t="shared" si="36"/>
        <v>0</v>
      </c>
      <c r="R238" s="200">
        <f t="shared" si="37"/>
        <v>0</v>
      </c>
      <c r="S238" s="200">
        <f t="shared" si="38"/>
        <v>0</v>
      </c>
    </row>
    <row r="239" spans="1:19" s="236" customFormat="1" ht="24.95" customHeight="1">
      <c r="A239" s="239"/>
      <c r="B239" s="239" t="s">
        <v>394</v>
      </c>
      <c r="C239" s="240">
        <v>8</v>
      </c>
      <c r="D239" s="239">
        <v>1</v>
      </c>
      <c r="E239" s="203">
        <f>(H237/200)+1</f>
        <v>26.9</v>
      </c>
      <c r="F239" s="234"/>
      <c r="G239" s="234"/>
      <c r="H239" s="234">
        <v>820</v>
      </c>
      <c r="I239" s="234"/>
      <c r="J239" s="234"/>
      <c r="K239" s="241">
        <v>5</v>
      </c>
      <c r="L239" s="235">
        <f t="shared" si="31"/>
        <v>0.74</v>
      </c>
      <c r="M239" s="200">
        <f t="shared" si="32"/>
        <v>19.905999999999999</v>
      </c>
      <c r="N239" s="200">
        <f t="shared" si="33"/>
        <v>0</v>
      </c>
      <c r="O239" s="200">
        <f t="shared" si="34"/>
        <v>0</v>
      </c>
      <c r="P239" s="200">
        <f t="shared" si="35"/>
        <v>0</v>
      </c>
      <c r="Q239" s="200">
        <f t="shared" si="36"/>
        <v>0</v>
      </c>
      <c r="R239" s="200">
        <f t="shared" si="37"/>
        <v>0</v>
      </c>
      <c r="S239" s="200">
        <f t="shared" si="38"/>
        <v>0</v>
      </c>
    </row>
    <row r="240" spans="1:19" s="247" customFormat="1" ht="24.95" customHeight="1">
      <c r="A240" s="242">
        <v>3</v>
      </c>
      <c r="B240" s="242" t="s">
        <v>392</v>
      </c>
      <c r="C240" s="243">
        <v>10</v>
      </c>
      <c r="D240" s="242">
        <f t="shared" ref="D240:D242" si="40">1*0</f>
        <v>0</v>
      </c>
      <c r="E240" s="244">
        <v>2</v>
      </c>
      <c r="F240" s="245">
        <v>100</v>
      </c>
      <c r="G240" s="246"/>
      <c r="H240" s="246">
        <v>1445</v>
      </c>
      <c r="I240" s="246"/>
      <c r="J240" s="245">
        <v>100</v>
      </c>
      <c r="K240" s="246">
        <v>2</v>
      </c>
      <c r="L240" s="235">
        <f t="shared" si="31"/>
        <v>1.605</v>
      </c>
      <c r="M240" s="200">
        <f t="shared" si="32"/>
        <v>0</v>
      </c>
      <c r="N240" s="200">
        <f t="shared" si="33"/>
        <v>0</v>
      </c>
      <c r="O240" s="200">
        <f t="shared" si="34"/>
        <v>0</v>
      </c>
      <c r="P240" s="200">
        <f t="shared" si="35"/>
        <v>0</v>
      </c>
      <c r="Q240" s="200">
        <f t="shared" si="36"/>
        <v>0</v>
      </c>
      <c r="R240" s="200">
        <f t="shared" si="37"/>
        <v>0</v>
      </c>
      <c r="S240" s="200">
        <f t="shared" si="38"/>
        <v>0</v>
      </c>
    </row>
    <row r="241" spans="1:19" s="247" customFormat="1" ht="24.95" customHeight="1">
      <c r="A241" s="242"/>
      <c r="B241" s="242" t="s">
        <v>393</v>
      </c>
      <c r="C241" s="243">
        <v>10</v>
      </c>
      <c r="D241" s="242">
        <f t="shared" si="40"/>
        <v>0</v>
      </c>
      <c r="E241" s="244">
        <v>2</v>
      </c>
      <c r="F241" s="245">
        <v>100</v>
      </c>
      <c r="G241" s="246"/>
      <c r="H241" s="246">
        <v>1445</v>
      </c>
      <c r="I241" s="246"/>
      <c r="J241" s="245">
        <v>100</v>
      </c>
      <c r="K241" s="246">
        <v>2</v>
      </c>
      <c r="L241" s="235">
        <f t="shared" si="31"/>
        <v>1.605</v>
      </c>
      <c r="M241" s="200">
        <f t="shared" si="32"/>
        <v>0</v>
      </c>
      <c r="N241" s="200">
        <f t="shared" si="33"/>
        <v>0</v>
      </c>
      <c r="O241" s="200">
        <f t="shared" si="34"/>
        <v>0</v>
      </c>
      <c r="P241" s="200">
        <f t="shared" si="35"/>
        <v>0</v>
      </c>
      <c r="Q241" s="200">
        <f t="shared" si="36"/>
        <v>0</v>
      </c>
      <c r="R241" s="200">
        <f t="shared" si="37"/>
        <v>0</v>
      </c>
      <c r="S241" s="200">
        <f t="shared" si="38"/>
        <v>0</v>
      </c>
    </row>
    <row r="242" spans="1:19" s="247" customFormat="1" ht="24.95" customHeight="1">
      <c r="A242" s="242"/>
      <c r="B242" s="242" t="s">
        <v>394</v>
      </c>
      <c r="C242" s="243">
        <v>8</v>
      </c>
      <c r="D242" s="242">
        <f t="shared" si="40"/>
        <v>0</v>
      </c>
      <c r="E242" s="244">
        <f>(H240/200)+1</f>
        <v>8.2249999999999996</v>
      </c>
      <c r="F242" s="246"/>
      <c r="G242" s="246"/>
      <c r="H242" s="246">
        <v>820</v>
      </c>
      <c r="I242" s="246"/>
      <c r="J242" s="246"/>
      <c r="K242" s="245">
        <v>5</v>
      </c>
      <c r="L242" s="235">
        <f t="shared" si="31"/>
        <v>0.74</v>
      </c>
      <c r="M242" s="200">
        <f t="shared" si="32"/>
        <v>0</v>
      </c>
      <c r="N242" s="200">
        <f t="shared" si="33"/>
        <v>0</v>
      </c>
      <c r="O242" s="200">
        <f t="shared" si="34"/>
        <v>0</v>
      </c>
      <c r="P242" s="200">
        <f t="shared" si="35"/>
        <v>0</v>
      </c>
      <c r="Q242" s="200">
        <f t="shared" si="36"/>
        <v>0</v>
      </c>
      <c r="R242" s="200">
        <f t="shared" si="37"/>
        <v>0</v>
      </c>
      <c r="S242" s="200">
        <f t="shared" si="38"/>
        <v>0</v>
      </c>
    </row>
    <row r="243" spans="1:19" s="236" customFormat="1" ht="24.95" customHeight="1">
      <c r="A243" s="239">
        <v>4</v>
      </c>
      <c r="B243" s="239" t="s">
        <v>392</v>
      </c>
      <c r="C243" s="240">
        <v>10</v>
      </c>
      <c r="D243" s="239">
        <v>1</v>
      </c>
      <c r="E243" s="203">
        <v>2</v>
      </c>
      <c r="F243" s="241">
        <v>100</v>
      </c>
      <c r="G243" s="234"/>
      <c r="H243" s="234">
        <v>1180</v>
      </c>
      <c r="I243" s="234"/>
      <c r="J243" s="241">
        <v>100</v>
      </c>
      <c r="K243" s="234">
        <v>2</v>
      </c>
      <c r="L243" s="235">
        <f t="shared" si="31"/>
        <v>1.34</v>
      </c>
      <c r="M243" s="200">
        <f t="shared" si="32"/>
        <v>0</v>
      </c>
      <c r="N243" s="200">
        <f t="shared" si="33"/>
        <v>2.68</v>
      </c>
      <c r="O243" s="200">
        <f t="shared" si="34"/>
        <v>0</v>
      </c>
      <c r="P243" s="200">
        <f t="shared" si="35"/>
        <v>0</v>
      </c>
      <c r="Q243" s="200">
        <f t="shared" si="36"/>
        <v>0</v>
      </c>
      <c r="R243" s="200">
        <f t="shared" si="37"/>
        <v>0</v>
      </c>
      <c r="S243" s="200">
        <f t="shared" si="38"/>
        <v>0</v>
      </c>
    </row>
    <row r="244" spans="1:19" s="236" customFormat="1" ht="24.95" customHeight="1">
      <c r="A244" s="239"/>
      <c r="B244" s="239" t="s">
        <v>393</v>
      </c>
      <c r="C244" s="240">
        <v>10</v>
      </c>
      <c r="D244" s="239">
        <v>1</v>
      </c>
      <c r="E244" s="203">
        <v>2</v>
      </c>
      <c r="F244" s="241">
        <v>100</v>
      </c>
      <c r="G244" s="234"/>
      <c r="H244" s="234">
        <v>1180</v>
      </c>
      <c r="I244" s="234"/>
      <c r="J244" s="241">
        <v>100</v>
      </c>
      <c r="K244" s="234">
        <v>2</v>
      </c>
      <c r="L244" s="235">
        <f t="shared" si="31"/>
        <v>1.34</v>
      </c>
      <c r="M244" s="200">
        <f t="shared" si="32"/>
        <v>0</v>
      </c>
      <c r="N244" s="200">
        <f t="shared" si="33"/>
        <v>2.68</v>
      </c>
      <c r="O244" s="200">
        <f t="shared" si="34"/>
        <v>0</v>
      </c>
      <c r="P244" s="200">
        <f t="shared" si="35"/>
        <v>0</v>
      </c>
      <c r="Q244" s="200">
        <f t="shared" si="36"/>
        <v>0</v>
      </c>
      <c r="R244" s="200">
        <f t="shared" si="37"/>
        <v>0</v>
      </c>
      <c r="S244" s="200">
        <f t="shared" si="38"/>
        <v>0</v>
      </c>
    </row>
    <row r="245" spans="1:19" s="236" customFormat="1" ht="24.95" customHeight="1">
      <c r="A245" s="239"/>
      <c r="B245" s="239" t="s">
        <v>394</v>
      </c>
      <c r="C245" s="240">
        <v>8</v>
      </c>
      <c r="D245" s="239">
        <v>1</v>
      </c>
      <c r="E245" s="203">
        <f>(H243/200)+1</f>
        <v>6.9</v>
      </c>
      <c r="F245" s="234"/>
      <c r="G245" s="234"/>
      <c r="H245" s="234">
        <v>820</v>
      </c>
      <c r="I245" s="234"/>
      <c r="J245" s="234"/>
      <c r="K245" s="241">
        <v>5</v>
      </c>
      <c r="L245" s="235">
        <f t="shared" si="31"/>
        <v>0.74</v>
      </c>
      <c r="M245" s="200">
        <f t="shared" si="32"/>
        <v>5.1059999999999999</v>
      </c>
      <c r="N245" s="200">
        <f t="shared" si="33"/>
        <v>0</v>
      </c>
      <c r="O245" s="200">
        <f t="shared" si="34"/>
        <v>0</v>
      </c>
      <c r="P245" s="200">
        <f t="shared" si="35"/>
        <v>0</v>
      </c>
      <c r="Q245" s="200">
        <f t="shared" si="36"/>
        <v>0</v>
      </c>
      <c r="R245" s="200">
        <f t="shared" si="37"/>
        <v>0</v>
      </c>
      <c r="S245" s="200">
        <f t="shared" si="38"/>
        <v>0</v>
      </c>
    </row>
    <row r="246" spans="1:19" s="236" customFormat="1" ht="24.95" customHeight="1">
      <c r="A246" s="239">
        <v>5</v>
      </c>
      <c r="B246" s="239" t="s">
        <v>392</v>
      </c>
      <c r="C246" s="240">
        <v>10</v>
      </c>
      <c r="D246" s="239">
        <v>1</v>
      </c>
      <c r="E246" s="203">
        <v>2</v>
      </c>
      <c r="F246" s="241">
        <v>100</v>
      </c>
      <c r="G246" s="234"/>
      <c r="H246" s="234">
        <v>3180</v>
      </c>
      <c r="I246" s="234"/>
      <c r="J246" s="241">
        <v>100</v>
      </c>
      <c r="K246" s="234">
        <v>2</v>
      </c>
      <c r="L246" s="235">
        <f t="shared" si="31"/>
        <v>3.34</v>
      </c>
      <c r="M246" s="200">
        <f t="shared" si="32"/>
        <v>0</v>
      </c>
      <c r="N246" s="200">
        <f t="shared" si="33"/>
        <v>6.68</v>
      </c>
      <c r="O246" s="200">
        <f t="shared" si="34"/>
        <v>0</v>
      </c>
      <c r="P246" s="200">
        <f t="shared" si="35"/>
        <v>0</v>
      </c>
      <c r="Q246" s="200">
        <f t="shared" si="36"/>
        <v>0</v>
      </c>
      <c r="R246" s="200">
        <f t="shared" si="37"/>
        <v>0</v>
      </c>
      <c r="S246" s="200">
        <f t="shared" si="38"/>
        <v>0</v>
      </c>
    </row>
    <row r="247" spans="1:19" s="236" customFormat="1" ht="24.95" customHeight="1">
      <c r="A247" s="239"/>
      <c r="B247" s="239" t="s">
        <v>393</v>
      </c>
      <c r="C247" s="240">
        <v>10</v>
      </c>
      <c r="D247" s="239">
        <v>1</v>
      </c>
      <c r="E247" s="203">
        <v>2</v>
      </c>
      <c r="F247" s="241">
        <v>100</v>
      </c>
      <c r="G247" s="234"/>
      <c r="H247" s="234">
        <v>3180</v>
      </c>
      <c r="I247" s="234"/>
      <c r="J247" s="241">
        <v>100</v>
      </c>
      <c r="K247" s="234">
        <v>2</v>
      </c>
      <c r="L247" s="235">
        <f t="shared" si="31"/>
        <v>3.34</v>
      </c>
      <c r="M247" s="200">
        <f t="shared" si="32"/>
        <v>0</v>
      </c>
      <c r="N247" s="200">
        <f t="shared" si="33"/>
        <v>6.68</v>
      </c>
      <c r="O247" s="200">
        <f t="shared" si="34"/>
        <v>0</v>
      </c>
      <c r="P247" s="200">
        <f t="shared" si="35"/>
        <v>0</v>
      </c>
      <c r="Q247" s="200">
        <f t="shared" si="36"/>
        <v>0</v>
      </c>
      <c r="R247" s="200">
        <f t="shared" si="37"/>
        <v>0</v>
      </c>
      <c r="S247" s="200">
        <f t="shared" si="38"/>
        <v>0</v>
      </c>
    </row>
    <row r="248" spans="1:19" s="236" customFormat="1" ht="24.95" customHeight="1">
      <c r="A248" s="239"/>
      <c r="B248" s="239" t="s">
        <v>394</v>
      </c>
      <c r="C248" s="240">
        <v>8</v>
      </c>
      <c r="D248" s="239">
        <v>1</v>
      </c>
      <c r="E248" s="203">
        <f>(H246/200)+1</f>
        <v>16.899999999999999</v>
      </c>
      <c r="F248" s="234"/>
      <c r="G248" s="234"/>
      <c r="H248" s="234">
        <v>820</v>
      </c>
      <c r="I248" s="234"/>
      <c r="J248" s="234"/>
      <c r="K248" s="241">
        <v>5</v>
      </c>
      <c r="L248" s="235">
        <f t="shared" si="31"/>
        <v>0.74</v>
      </c>
      <c r="M248" s="200">
        <f t="shared" si="32"/>
        <v>12.505999999999998</v>
      </c>
      <c r="N248" s="200">
        <f t="shared" si="33"/>
        <v>0</v>
      </c>
      <c r="O248" s="200">
        <f t="shared" si="34"/>
        <v>0</v>
      </c>
      <c r="P248" s="200">
        <f t="shared" si="35"/>
        <v>0</v>
      </c>
      <c r="Q248" s="200">
        <f t="shared" si="36"/>
        <v>0</v>
      </c>
      <c r="R248" s="200">
        <f t="shared" si="37"/>
        <v>0</v>
      </c>
      <c r="S248" s="200">
        <f t="shared" si="38"/>
        <v>0</v>
      </c>
    </row>
    <row r="249" spans="1:19" s="236" customFormat="1" ht="24.95" customHeight="1">
      <c r="A249" s="239">
        <v>6</v>
      </c>
      <c r="B249" s="239" t="s">
        <v>392</v>
      </c>
      <c r="C249" s="240">
        <v>10</v>
      </c>
      <c r="D249" s="239">
        <v>4</v>
      </c>
      <c r="E249" s="203">
        <v>2</v>
      </c>
      <c r="F249" s="241">
        <v>100</v>
      </c>
      <c r="G249" s="234"/>
      <c r="H249" s="234">
        <v>3180</v>
      </c>
      <c r="I249" s="234"/>
      <c r="J249" s="241">
        <v>100</v>
      </c>
      <c r="K249" s="234">
        <v>2</v>
      </c>
      <c r="L249" s="235">
        <f t="shared" si="31"/>
        <v>3.34</v>
      </c>
      <c r="M249" s="200">
        <f t="shared" si="32"/>
        <v>0</v>
      </c>
      <c r="N249" s="200">
        <f t="shared" si="33"/>
        <v>26.72</v>
      </c>
      <c r="O249" s="200">
        <f t="shared" si="34"/>
        <v>0</v>
      </c>
      <c r="P249" s="200">
        <f t="shared" si="35"/>
        <v>0</v>
      </c>
      <c r="Q249" s="200">
        <f t="shared" si="36"/>
        <v>0</v>
      </c>
      <c r="R249" s="200">
        <f t="shared" si="37"/>
        <v>0</v>
      </c>
      <c r="S249" s="200">
        <f t="shared" si="38"/>
        <v>0</v>
      </c>
    </row>
    <row r="250" spans="1:19" s="236" customFormat="1" ht="24.95" customHeight="1">
      <c r="A250" s="239"/>
      <c r="B250" s="239" t="s">
        <v>393</v>
      </c>
      <c r="C250" s="240">
        <v>10</v>
      </c>
      <c r="D250" s="239">
        <v>4</v>
      </c>
      <c r="E250" s="203">
        <v>2</v>
      </c>
      <c r="F250" s="241">
        <v>100</v>
      </c>
      <c r="G250" s="234"/>
      <c r="H250" s="234">
        <v>3180</v>
      </c>
      <c r="I250" s="234"/>
      <c r="J250" s="241">
        <v>100</v>
      </c>
      <c r="K250" s="234">
        <v>2</v>
      </c>
      <c r="L250" s="235">
        <f t="shared" si="31"/>
        <v>3.34</v>
      </c>
      <c r="M250" s="200">
        <f t="shared" si="32"/>
        <v>0</v>
      </c>
      <c r="N250" s="200">
        <f t="shared" si="33"/>
        <v>26.72</v>
      </c>
      <c r="O250" s="200">
        <f t="shared" si="34"/>
        <v>0</v>
      </c>
      <c r="P250" s="200">
        <f t="shared" si="35"/>
        <v>0</v>
      </c>
      <c r="Q250" s="200">
        <f t="shared" si="36"/>
        <v>0</v>
      </c>
      <c r="R250" s="200">
        <f t="shared" si="37"/>
        <v>0</v>
      </c>
      <c r="S250" s="200">
        <f t="shared" si="38"/>
        <v>0</v>
      </c>
    </row>
    <row r="251" spans="1:19" s="236" customFormat="1" ht="24.95" customHeight="1">
      <c r="A251" s="239"/>
      <c r="B251" s="239" t="s">
        <v>394</v>
      </c>
      <c r="C251" s="240">
        <v>8</v>
      </c>
      <c r="D251" s="239">
        <v>4</v>
      </c>
      <c r="E251" s="203">
        <f>(H249/200)+1</f>
        <v>16.899999999999999</v>
      </c>
      <c r="F251" s="234"/>
      <c r="G251" s="234"/>
      <c r="H251" s="234">
        <v>820</v>
      </c>
      <c r="I251" s="234"/>
      <c r="J251" s="234"/>
      <c r="K251" s="241">
        <v>5</v>
      </c>
      <c r="L251" s="235">
        <f t="shared" si="31"/>
        <v>0.74</v>
      </c>
      <c r="M251" s="200">
        <f t="shared" si="32"/>
        <v>50.023999999999994</v>
      </c>
      <c r="N251" s="200">
        <f t="shared" si="33"/>
        <v>0</v>
      </c>
      <c r="O251" s="200">
        <f t="shared" si="34"/>
        <v>0</v>
      </c>
      <c r="P251" s="200">
        <f t="shared" si="35"/>
        <v>0</v>
      </c>
      <c r="Q251" s="200">
        <f t="shared" si="36"/>
        <v>0</v>
      </c>
      <c r="R251" s="200">
        <f t="shared" si="37"/>
        <v>0</v>
      </c>
      <c r="S251" s="200">
        <f t="shared" si="38"/>
        <v>0</v>
      </c>
    </row>
    <row r="252" spans="1:19" s="247" customFormat="1" ht="24.95" customHeight="1">
      <c r="A252" s="242">
        <v>7</v>
      </c>
      <c r="B252" s="242" t="s">
        <v>392</v>
      </c>
      <c r="C252" s="243">
        <v>10</v>
      </c>
      <c r="D252" s="242">
        <f t="shared" ref="D252:D254" si="41">1*0</f>
        <v>0</v>
      </c>
      <c r="E252" s="244">
        <v>2</v>
      </c>
      <c r="F252" s="245">
        <v>100</v>
      </c>
      <c r="G252" s="246"/>
      <c r="H252" s="246">
        <v>2445</v>
      </c>
      <c r="I252" s="246"/>
      <c r="J252" s="245">
        <v>100</v>
      </c>
      <c r="K252" s="246">
        <v>2</v>
      </c>
      <c r="L252" s="235">
        <f t="shared" si="31"/>
        <v>2.605</v>
      </c>
      <c r="M252" s="200">
        <f t="shared" si="32"/>
        <v>0</v>
      </c>
      <c r="N252" s="200">
        <f t="shared" si="33"/>
        <v>0</v>
      </c>
      <c r="O252" s="200">
        <f t="shared" si="34"/>
        <v>0</v>
      </c>
      <c r="P252" s="200">
        <f t="shared" si="35"/>
        <v>0</v>
      </c>
      <c r="Q252" s="200">
        <f t="shared" si="36"/>
        <v>0</v>
      </c>
      <c r="R252" s="200">
        <f t="shared" si="37"/>
        <v>0</v>
      </c>
      <c r="S252" s="200">
        <f t="shared" si="38"/>
        <v>0</v>
      </c>
    </row>
    <row r="253" spans="1:19" s="247" customFormat="1" ht="24.95" customHeight="1">
      <c r="A253" s="242"/>
      <c r="B253" s="242" t="s">
        <v>393</v>
      </c>
      <c r="C253" s="243">
        <v>10</v>
      </c>
      <c r="D253" s="242">
        <f t="shared" si="41"/>
        <v>0</v>
      </c>
      <c r="E253" s="244">
        <v>2</v>
      </c>
      <c r="F253" s="245">
        <v>100</v>
      </c>
      <c r="G253" s="246"/>
      <c r="H253" s="246">
        <v>2445</v>
      </c>
      <c r="I253" s="246"/>
      <c r="J253" s="245">
        <v>100</v>
      </c>
      <c r="K253" s="246">
        <v>2</v>
      </c>
      <c r="L253" s="235">
        <f t="shared" si="31"/>
        <v>2.605</v>
      </c>
      <c r="M253" s="200">
        <f t="shared" si="32"/>
        <v>0</v>
      </c>
      <c r="N253" s="200">
        <f t="shared" si="33"/>
        <v>0</v>
      </c>
      <c r="O253" s="200">
        <f t="shared" si="34"/>
        <v>0</v>
      </c>
      <c r="P253" s="200">
        <f t="shared" si="35"/>
        <v>0</v>
      </c>
      <c r="Q253" s="200">
        <f t="shared" si="36"/>
        <v>0</v>
      </c>
      <c r="R253" s="200">
        <f t="shared" si="37"/>
        <v>0</v>
      </c>
      <c r="S253" s="200">
        <f t="shared" si="38"/>
        <v>0</v>
      </c>
    </row>
    <row r="254" spans="1:19" s="247" customFormat="1" ht="24.95" customHeight="1">
      <c r="A254" s="242"/>
      <c r="B254" s="242" t="s">
        <v>394</v>
      </c>
      <c r="C254" s="243">
        <v>8</v>
      </c>
      <c r="D254" s="242">
        <f t="shared" si="41"/>
        <v>0</v>
      </c>
      <c r="E254" s="244">
        <f>(H252/200)+1</f>
        <v>13.225</v>
      </c>
      <c r="F254" s="246"/>
      <c r="G254" s="246"/>
      <c r="H254" s="246">
        <v>820</v>
      </c>
      <c r="I254" s="246"/>
      <c r="J254" s="246"/>
      <c r="K254" s="245">
        <v>5</v>
      </c>
      <c r="L254" s="235">
        <f t="shared" si="31"/>
        <v>0.74</v>
      </c>
      <c r="M254" s="200">
        <f t="shared" si="32"/>
        <v>0</v>
      </c>
      <c r="N254" s="200">
        <f t="shared" si="33"/>
        <v>0</v>
      </c>
      <c r="O254" s="200">
        <f t="shared" si="34"/>
        <v>0</v>
      </c>
      <c r="P254" s="200">
        <f t="shared" si="35"/>
        <v>0</v>
      </c>
      <c r="Q254" s="200">
        <f t="shared" si="36"/>
        <v>0</v>
      </c>
      <c r="R254" s="200">
        <f t="shared" si="37"/>
        <v>0</v>
      </c>
      <c r="S254" s="200">
        <f t="shared" si="38"/>
        <v>0</v>
      </c>
    </row>
    <row r="255" spans="1:19" s="236" customFormat="1" ht="24.95" customHeight="1">
      <c r="A255" s="239">
        <v>8</v>
      </c>
      <c r="B255" s="239" t="s">
        <v>392</v>
      </c>
      <c r="C255" s="240">
        <v>10</v>
      </c>
      <c r="D255" s="239">
        <v>1</v>
      </c>
      <c r="E255" s="203">
        <v>2</v>
      </c>
      <c r="F255" s="241">
        <v>100</v>
      </c>
      <c r="G255" s="234"/>
      <c r="H255" s="234">
        <v>2180</v>
      </c>
      <c r="I255" s="234"/>
      <c r="J255" s="241">
        <v>100</v>
      </c>
      <c r="K255" s="234">
        <v>2</v>
      </c>
      <c r="L255" s="235">
        <f t="shared" si="31"/>
        <v>2.34</v>
      </c>
      <c r="M255" s="200">
        <f t="shared" si="32"/>
        <v>0</v>
      </c>
      <c r="N255" s="200">
        <f t="shared" si="33"/>
        <v>4.68</v>
      </c>
      <c r="O255" s="200">
        <f t="shared" si="34"/>
        <v>0</v>
      </c>
      <c r="P255" s="200">
        <f t="shared" si="35"/>
        <v>0</v>
      </c>
      <c r="Q255" s="200">
        <f t="shared" si="36"/>
        <v>0</v>
      </c>
      <c r="R255" s="200">
        <f t="shared" si="37"/>
        <v>0</v>
      </c>
      <c r="S255" s="200">
        <f t="shared" si="38"/>
        <v>0</v>
      </c>
    </row>
    <row r="256" spans="1:19" s="236" customFormat="1" ht="24.95" customHeight="1">
      <c r="A256" s="239"/>
      <c r="B256" s="239" t="s">
        <v>393</v>
      </c>
      <c r="C256" s="240">
        <v>10</v>
      </c>
      <c r="D256" s="239">
        <v>1</v>
      </c>
      <c r="E256" s="203">
        <v>2</v>
      </c>
      <c r="F256" s="241">
        <v>100</v>
      </c>
      <c r="G256" s="234"/>
      <c r="H256" s="234">
        <v>2180</v>
      </c>
      <c r="I256" s="234"/>
      <c r="J256" s="241">
        <v>100</v>
      </c>
      <c r="K256" s="234">
        <v>2</v>
      </c>
      <c r="L256" s="235">
        <f t="shared" si="31"/>
        <v>2.34</v>
      </c>
      <c r="M256" s="200">
        <f t="shared" si="32"/>
        <v>0</v>
      </c>
      <c r="N256" s="200">
        <f t="shared" si="33"/>
        <v>4.68</v>
      </c>
      <c r="O256" s="200">
        <f t="shared" si="34"/>
        <v>0</v>
      </c>
      <c r="P256" s="200">
        <f t="shared" si="35"/>
        <v>0</v>
      </c>
      <c r="Q256" s="200">
        <f t="shared" si="36"/>
        <v>0</v>
      </c>
      <c r="R256" s="200">
        <f t="shared" si="37"/>
        <v>0</v>
      </c>
      <c r="S256" s="200">
        <f t="shared" si="38"/>
        <v>0</v>
      </c>
    </row>
    <row r="257" spans="1:19" s="236" customFormat="1" ht="24.95" customHeight="1">
      <c r="A257" s="239"/>
      <c r="B257" s="239" t="s">
        <v>394</v>
      </c>
      <c r="C257" s="240">
        <v>8</v>
      </c>
      <c r="D257" s="239">
        <v>1</v>
      </c>
      <c r="E257" s="203">
        <f>(H255/200)+1</f>
        <v>11.9</v>
      </c>
      <c r="F257" s="234"/>
      <c r="G257" s="234"/>
      <c r="H257" s="234">
        <v>820</v>
      </c>
      <c r="I257" s="234"/>
      <c r="J257" s="234"/>
      <c r="K257" s="241">
        <v>5</v>
      </c>
      <c r="L257" s="235">
        <f t="shared" si="31"/>
        <v>0.74</v>
      </c>
      <c r="M257" s="200">
        <f t="shared" si="32"/>
        <v>8.8060000000000009</v>
      </c>
      <c r="N257" s="200">
        <f t="shared" si="33"/>
        <v>0</v>
      </c>
      <c r="O257" s="200">
        <f t="shared" si="34"/>
        <v>0</v>
      </c>
      <c r="P257" s="200">
        <f t="shared" si="35"/>
        <v>0</v>
      </c>
      <c r="Q257" s="200">
        <f t="shared" si="36"/>
        <v>0</v>
      </c>
      <c r="R257" s="200">
        <f t="shared" si="37"/>
        <v>0</v>
      </c>
      <c r="S257" s="200">
        <f t="shared" si="38"/>
        <v>0</v>
      </c>
    </row>
    <row r="258" spans="1:19" s="236" customFormat="1" ht="24.95" customHeight="1">
      <c r="A258" s="239">
        <v>9</v>
      </c>
      <c r="B258" s="239" t="s">
        <v>392</v>
      </c>
      <c r="C258" s="240">
        <v>10</v>
      </c>
      <c r="D258" s="239">
        <v>1</v>
      </c>
      <c r="E258" s="203">
        <v>2</v>
      </c>
      <c r="F258" s="241">
        <v>100</v>
      </c>
      <c r="G258" s="234"/>
      <c r="H258" s="234">
        <v>1180</v>
      </c>
      <c r="I258" s="234"/>
      <c r="J258" s="241">
        <v>100</v>
      </c>
      <c r="K258" s="234">
        <v>2</v>
      </c>
      <c r="L258" s="235">
        <f t="shared" si="31"/>
        <v>1.34</v>
      </c>
      <c r="M258" s="200">
        <f t="shared" si="32"/>
        <v>0</v>
      </c>
      <c r="N258" s="200">
        <f t="shared" si="33"/>
        <v>2.68</v>
      </c>
      <c r="O258" s="200">
        <f t="shared" si="34"/>
        <v>0</v>
      </c>
      <c r="P258" s="200">
        <f t="shared" si="35"/>
        <v>0</v>
      </c>
      <c r="Q258" s="200">
        <f t="shared" si="36"/>
        <v>0</v>
      </c>
      <c r="R258" s="200">
        <f t="shared" si="37"/>
        <v>0</v>
      </c>
      <c r="S258" s="200">
        <f t="shared" si="38"/>
        <v>0</v>
      </c>
    </row>
    <row r="259" spans="1:19" s="236" customFormat="1" ht="24.95" customHeight="1">
      <c r="A259" s="239"/>
      <c r="B259" s="239" t="s">
        <v>393</v>
      </c>
      <c r="C259" s="240">
        <v>10</v>
      </c>
      <c r="D259" s="239">
        <v>1</v>
      </c>
      <c r="E259" s="203">
        <v>2</v>
      </c>
      <c r="F259" s="241">
        <v>100</v>
      </c>
      <c r="G259" s="234"/>
      <c r="H259" s="234">
        <v>1180</v>
      </c>
      <c r="I259" s="234"/>
      <c r="J259" s="241">
        <v>100</v>
      </c>
      <c r="K259" s="234">
        <v>2</v>
      </c>
      <c r="L259" s="235">
        <f t="shared" si="31"/>
        <v>1.34</v>
      </c>
      <c r="M259" s="200">
        <f t="shared" si="32"/>
        <v>0</v>
      </c>
      <c r="N259" s="200">
        <f t="shared" si="33"/>
        <v>2.68</v>
      </c>
      <c r="O259" s="200">
        <f t="shared" si="34"/>
        <v>0</v>
      </c>
      <c r="P259" s="200">
        <f t="shared" si="35"/>
        <v>0</v>
      </c>
      <c r="Q259" s="200">
        <f t="shared" si="36"/>
        <v>0</v>
      </c>
      <c r="R259" s="200">
        <f t="shared" si="37"/>
        <v>0</v>
      </c>
      <c r="S259" s="200">
        <f t="shared" si="38"/>
        <v>0</v>
      </c>
    </row>
    <row r="260" spans="1:19" s="236" customFormat="1" ht="24.95" customHeight="1">
      <c r="A260" s="239"/>
      <c r="B260" s="239" t="s">
        <v>394</v>
      </c>
      <c r="C260" s="240">
        <v>8</v>
      </c>
      <c r="D260" s="239">
        <v>1</v>
      </c>
      <c r="E260" s="203">
        <f>(H258/200)+1</f>
        <v>6.9</v>
      </c>
      <c r="F260" s="234"/>
      <c r="G260" s="234"/>
      <c r="H260" s="234">
        <v>820</v>
      </c>
      <c r="I260" s="234"/>
      <c r="J260" s="234"/>
      <c r="K260" s="241">
        <v>5</v>
      </c>
      <c r="L260" s="235">
        <f t="shared" si="31"/>
        <v>0.74</v>
      </c>
      <c r="M260" s="200">
        <f t="shared" si="32"/>
        <v>5.1059999999999999</v>
      </c>
      <c r="N260" s="200">
        <f t="shared" si="33"/>
        <v>0</v>
      </c>
      <c r="O260" s="200">
        <f t="shared" si="34"/>
        <v>0</v>
      </c>
      <c r="P260" s="200">
        <f t="shared" si="35"/>
        <v>0</v>
      </c>
      <c r="Q260" s="200">
        <f t="shared" si="36"/>
        <v>0</v>
      </c>
      <c r="R260" s="200">
        <f t="shared" si="37"/>
        <v>0</v>
      </c>
      <c r="S260" s="200">
        <f t="shared" si="38"/>
        <v>0</v>
      </c>
    </row>
    <row r="261" spans="1:19" s="236" customFormat="1" ht="24.95" customHeight="1">
      <c r="A261" s="239">
        <v>10</v>
      </c>
      <c r="B261" s="239" t="s">
        <v>392</v>
      </c>
      <c r="C261" s="240">
        <v>10</v>
      </c>
      <c r="D261" s="239">
        <v>1</v>
      </c>
      <c r="E261" s="203">
        <v>2</v>
      </c>
      <c r="F261" s="241">
        <v>100</v>
      </c>
      <c r="G261" s="234"/>
      <c r="H261" s="234">
        <v>4180</v>
      </c>
      <c r="I261" s="234"/>
      <c r="J261" s="241">
        <v>100</v>
      </c>
      <c r="K261" s="234">
        <v>2</v>
      </c>
      <c r="L261" s="235">
        <f t="shared" si="31"/>
        <v>4.34</v>
      </c>
      <c r="M261" s="200">
        <f t="shared" si="32"/>
        <v>0</v>
      </c>
      <c r="N261" s="200">
        <f t="shared" si="33"/>
        <v>8.68</v>
      </c>
      <c r="O261" s="200">
        <f t="shared" si="34"/>
        <v>0</v>
      </c>
      <c r="P261" s="200">
        <f t="shared" si="35"/>
        <v>0</v>
      </c>
      <c r="Q261" s="200">
        <f t="shared" si="36"/>
        <v>0</v>
      </c>
      <c r="R261" s="200">
        <f t="shared" si="37"/>
        <v>0</v>
      </c>
      <c r="S261" s="200">
        <f t="shared" si="38"/>
        <v>0</v>
      </c>
    </row>
    <row r="262" spans="1:19" s="236" customFormat="1" ht="24.95" customHeight="1">
      <c r="A262" s="239"/>
      <c r="B262" s="239" t="s">
        <v>393</v>
      </c>
      <c r="C262" s="240">
        <v>10</v>
      </c>
      <c r="D262" s="239">
        <v>1</v>
      </c>
      <c r="E262" s="203">
        <v>2</v>
      </c>
      <c r="F262" s="241">
        <v>100</v>
      </c>
      <c r="G262" s="234"/>
      <c r="H262" s="234">
        <v>4180</v>
      </c>
      <c r="I262" s="234"/>
      <c r="J262" s="241">
        <v>100</v>
      </c>
      <c r="K262" s="234">
        <v>2</v>
      </c>
      <c r="L262" s="235">
        <f t="shared" si="31"/>
        <v>4.34</v>
      </c>
      <c r="M262" s="200">
        <f t="shared" si="32"/>
        <v>0</v>
      </c>
      <c r="N262" s="200">
        <f t="shared" si="33"/>
        <v>8.68</v>
      </c>
      <c r="O262" s="200">
        <f t="shared" si="34"/>
        <v>0</v>
      </c>
      <c r="P262" s="200">
        <f t="shared" si="35"/>
        <v>0</v>
      </c>
      <c r="Q262" s="200">
        <f t="shared" si="36"/>
        <v>0</v>
      </c>
      <c r="R262" s="200">
        <f t="shared" si="37"/>
        <v>0</v>
      </c>
      <c r="S262" s="200">
        <f t="shared" si="38"/>
        <v>0</v>
      </c>
    </row>
    <row r="263" spans="1:19" s="236" customFormat="1" ht="24.95" customHeight="1">
      <c r="A263" s="239"/>
      <c r="B263" s="239" t="s">
        <v>394</v>
      </c>
      <c r="C263" s="240">
        <v>8</v>
      </c>
      <c r="D263" s="239">
        <v>1</v>
      </c>
      <c r="E263" s="203">
        <f>(H261/200)+1</f>
        <v>21.9</v>
      </c>
      <c r="F263" s="234"/>
      <c r="G263" s="234"/>
      <c r="H263" s="234">
        <v>820</v>
      </c>
      <c r="I263" s="234"/>
      <c r="J263" s="234"/>
      <c r="K263" s="241">
        <v>5</v>
      </c>
      <c r="L263" s="235">
        <f t="shared" si="31"/>
        <v>0.74</v>
      </c>
      <c r="M263" s="200">
        <f t="shared" si="32"/>
        <v>16.206</v>
      </c>
      <c r="N263" s="200">
        <f t="shared" si="33"/>
        <v>0</v>
      </c>
      <c r="O263" s="200">
        <f t="shared" si="34"/>
        <v>0</v>
      </c>
      <c r="P263" s="200">
        <f t="shared" si="35"/>
        <v>0</v>
      </c>
      <c r="Q263" s="200">
        <f t="shared" si="36"/>
        <v>0</v>
      </c>
      <c r="R263" s="200">
        <f t="shared" si="37"/>
        <v>0</v>
      </c>
      <c r="S263" s="200">
        <f t="shared" si="38"/>
        <v>0</v>
      </c>
    </row>
    <row r="264" spans="1:19" s="247" customFormat="1" ht="24.95" customHeight="1">
      <c r="A264" s="242">
        <v>11</v>
      </c>
      <c r="B264" s="242" t="s">
        <v>392</v>
      </c>
      <c r="C264" s="243">
        <v>10</v>
      </c>
      <c r="D264" s="242">
        <f t="shared" ref="D264:D266" si="42">1*0</f>
        <v>0</v>
      </c>
      <c r="E264" s="244">
        <v>2</v>
      </c>
      <c r="F264" s="245">
        <v>100</v>
      </c>
      <c r="G264" s="246"/>
      <c r="H264" s="246">
        <v>445</v>
      </c>
      <c r="I264" s="246"/>
      <c r="J264" s="245">
        <v>100</v>
      </c>
      <c r="K264" s="246">
        <v>2</v>
      </c>
      <c r="L264" s="235">
        <f t="shared" si="31"/>
        <v>0.60499999999999998</v>
      </c>
      <c r="M264" s="200">
        <f t="shared" si="32"/>
        <v>0</v>
      </c>
      <c r="N264" s="200">
        <f t="shared" si="33"/>
        <v>0</v>
      </c>
      <c r="O264" s="200">
        <f t="shared" si="34"/>
        <v>0</v>
      </c>
      <c r="P264" s="200">
        <f t="shared" si="35"/>
        <v>0</v>
      </c>
      <c r="Q264" s="200">
        <f t="shared" si="36"/>
        <v>0</v>
      </c>
      <c r="R264" s="200">
        <f t="shared" si="37"/>
        <v>0</v>
      </c>
      <c r="S264" s="200">
        <f t="shared" si="38"/>
        <v>0</v>
      </c>
    </row>
    <row r="265" spans="1:19" s="247" customFormat="1" ht="24.95" customHeight="1">
      <c r="A265" s="242"/>
      <c r="B265" s="242" t="s">
        <v>393</v>
      </c>
      <c r="C265" s="243">
        <v>10</v>
      </c>
      <c r="D265" s="242">
        <f t="shared" si="42"/>
        <v>0</v>
      </c>
      <c r="E265" s="244">
        <v>2</v>
      </c>
      <c r="F265" s="245">
        <v>100</v>
      </c>
      <c r="G265" s="246"/>
      <c r="H265" s="246">
        <v>445</v>
      </c>
      <c r="I265" s="246"/>
      <c r="J265" s="245">
        <v>100</v>
      </c>
      <c r="K265" s="246">
        <v>2</v>
      </c>
      <c r="L265" s="235">
        <f t="shared" si="31"/>
        <v>0.60499999999999998</v>
      </c>
      <c r="M265" s="200">
        <f t="shared" si="32"/>
        <v>0</v>
      </c>
      <c r="N265" s="200">
        <f t="shared" si="33"/>
        <v>0</v>
      </c>
      <c r="O265" s="200">
        <f t="shared" si="34"/>
        <v>0</v>
      </c>
      <c r="P265" s="200">
        <f t="shared" si="35"/>
        <v>0</v>
      </c>
      <c r="Q265" s="200">
        <f t="shared" si="36"/>
        <v>0</v>
      </c>
      <c r="R265" s="200">
        <f t="shared" si="37"/>
        <v>0</v>
      </c>
      <c r="S265" s="200">
        <f t="shared" si="38"/>
        <v>0</v>
      </c>
    </row>
    <row r="266" spans="1:19" s="247" customFormat="1" ht="24.95" customHeight="1">
      <c r="A266" s="242"/>
      <c r="B266" s="242" t="s">
        <v>394</v>
      </c>
      <c r="C266" s="243">
        <v>8</v>
      </c>
      <c r="D266" s="242">
        <f t="shared" si="42"/>
        <v>0</v>
      </c>
      <c r="E266" s="244">
        <f>(H264/200)+1</f>
        <v>3.2250000000000001</v>
      </c>
      <c r="F266" s="246"/>
      <c r="G266" s="246"/>
      <c r="H266" s="246">
        <v>820</v>
      </c>
      <c r="I266" s="246"/>
      <c r="J266" s="246"/>
      <c r="K266" s="245">
        <v>5</v>
      </c>
      <c r="L266" s="235">
        <f t="shared" si="31"/>
        <v>0.74</v>
      </c>
      <c r="M266" s="200">
        <f t="shared" si="32"/>
        <v>0</v>
      </c>
      <c r="N266" s="200">
        <f t="shared" si="33"/>
        <v>0</v>
      </c>
      <c r="O266" s="200">
        <f t="shared" si="34"/>
        <v>0</v>
      </c>
      <c r="P266" s="200">
        <f t="shared" si="35"/>
        <v>0</v>
      </c>
      <c r="Q266" s="200">
        <f t="shared" si="36"/>
        <v>0</v>
      </c>
      <c r="R266" s="200">
        <f t="shared" si="37"/>
        <v>0</v>
      </c>
      <c r="S266" s="200">
        <f t="shared" si="38"/>
        <v>0</v>
      </c>
    </row>
    <row r="267" spans="1:19" s="236" customFormat="1" ht="24.95" customHeight="1">
      <c r="A267" s="239">
        <v>12</v>
      </c>
      <c r="B267" s="239" t="s">
        <v>392</v>
      </c>
      <c r="C267" s="240">
        <v>10</v>
      </c>
      <c r="D267" s="239">
        <v>1</v>
      </c>
      <c r="E267" s="203">
        <v>2</v>
      </c>
      <c r="F267" s="241">
        <v>100</v>
      </c>
      <c r="G267" s="234"/>
      <c r="H267" s="241">
        <v>5210</v>
      </c>
      <c r="I267" s="234"/>
      <c r="J267" s="241">
        <v>100</v>
      </c>
      <c r="K267" s="234">
        <v>2</v>
      </c>
      <c r="L267" s="235">
        <f t="shared" ref="L267:L330" si="43">(((F267+G267+H267+I267+J267)-C267*K267*2)/1000)</f>
        <v>5.37</v>
      </c>
      <c r="M267" s="200">
        <f t="shared" ref="M267:M330" si="44">+IF(C267=8,D267*E267*L267,0)</f>
        <v>0</v>
      </c>
      <c r="N267" s="200">
        <f t="shared" ref="N267:N330" si="45">+IF(C267=10,D267*E267*L267,0)</f>
        <v>10.74</v>
      </c>
      <c r="O267" s="200">
        <f t="shared" ref="O267:O330" si="46">+IF(C267=12,D267*E267*L267,0)</f>
        <v>0</v>
      </c>
      <c r="P267" s="200">
        <f t="shared" ref="P267:P330" si="47">+IF(C267=16,D267*E267*L267,0)</f>
        <v>0</v>
      </c>
      <c r="Q267" s="200">
        <f t="shared" ref="Q267:Q330" si="48">+IF(C267=20,D267*E267*L267,0)</f>
        <v>0</v>
      </c>
      <c r="R267" s="200">
        <f t="shared" ref="R267:R330" si="49">+IF(C267=25,D267*E267*L267,0)</f>
        <v>0</v>
      </c>
      <c r="S267" s="200">
        <f t="shared" ref="S267:S330" si="50">+IF(C267=32,D267*E267*L267,0)</f>
        <v>0</v>
      </c>
    </row>
    <row r="268" spans="1:19" s="236" customFormat="1" ht="24.95" customHeight="1">
      <c r="A268" s="239"/>
      <c r="B268" s="239" t="s">
        <v>393</v>
      </c>
      <c r="C268" s="240">
        <v>10</v>
      </c>
      <c r="D268" s="239">
        <v>1</v>
      </c>
      <c r="E268" s="203">
        <v>2</v>
      </c>
      <c r="F268" s="241">
        <v>100</v>
      </c>
      <c r="G268" s="234"/>
      <c r="H268" s="241">
        <v>5210</v>
      </c>
      <c r="I268" s="234"/>
      <c r="J268" s="241">
        <v>100</v>
      </c>
      <c r="K268" s="234">
        <v>2</v>
      </c>
      <c r="L268" s="235">
        <f t="shared" si="43"/>
        <v>5.37</v>
      </c>
      <c r="M268" s="200">
        <f t="shared" si="44"/>
        <v>0</v>
      </c>
      <c r="N268" s="200">
        <f t="shared" si="45"/>
        <v>10.74</v>
      </c>
      <c r="O268" s="200">
        <f t="shared" si="46"/>
        <v>0</v>
      </c>
      <c r="P268" s="200">
        <f t="shared" si="47"/>
        <v>0</v>
      </c>
      <c r="Q268" s="200">
        <f t="shared" si="48"/>
        <v>0</v>
      </c>
      <c r="R268" s="200">
        <f t="shared" si="49"/>
        <v>0</v>
      </c>
      <c r="S268" s="200">
        <f t="shared" si="50"/>
        <v>0</v>
      </c>
    </row>
    <row r="269" spans="1:19" s="236" customFormat="1" ht="24.95" customHeight="1">
      <c r="A269" s="239"/>
      <c r="B269" s="239" t="s">
        <v>394</v>
      </c>
      <c r="C269" s="240">
        <v>8</v>
      </c>
      <c r="D269" s="239">
        <v>1</v>
      </c>
      <c r="E269" s="203">
        <f>(H267/200)+1</f>
        <v>27.05</v>
      </c>
      <c r="F269" s="234"/>
      <c r="G269" s="234"/>
      <c r="H269" s="234">
        <v>820</v>
      </c>
      <c r="I269" s="234"/>
      <c r="J269" s="234"/>
      <c r="K269" s="241">
        <v>5</v>
      </c>
      <c r="L269" s="235">
        <f t="shared" si="43"/>
        <v>0.74</v>
      </c>
      <c r="M269" s="200">
        <f t="shared" si="44"/>
        <v>20.016999999999999</v>
      </c>
      <c r="N269" s="200">
        <f t="shared" si="45"/>
        <v>0</v>
      </c>
      <c r="O269" s="200">
        <f t="shared" si="46"/>
        <v>0</v>
      </c>
      <c r="P269" s="200">
        <f t="shared" si="47"/>
        <v>0</v>
      </c>
      <c r="Q269" s="200">
        <f t="shared" si="48"/>
        <v>0</v>
      </c>
      <c r="R269" s="200">
        <f t="shared" si="49"/>
        <v>0</v>
      </c>
      <c r="S269" s="200">
        <f t="shared" si="50"/>
        <v>0</v>
      </c>
    </row>
    <row r="270" spans="1:19" s="236" customFormat="1" ht="24.95" customHeight="1">
      <c r="A270" s="207">
        <v>13</v>
      </c>
      <c r="B270" s="208" t="s">
        <v>399</v>
      </c>
      <c r="C270" s="240">
        <v>12</v>
      </c>
      <c r="D270" s="250">
        <v>1</v>
      </c>
      <c r="E270" s="203">
        <v>3</v>
      </c>
      <c r="F270" s="241">
        <v>100</v>
      </c>
      <c r="G270" s="234"/>
      <c r="H270" s="241">
        <v>2925</v>
      </c>
      <c r="I270" s="234"/>
      <c r="J270" s="241">
        <v>100</v>
      </c>
      <c r="K270" s="234">
        <v>2</v>
      </c>
      <c r="L270" s="235">
        <f t="shared" si="43"/>
        <v>3.077</v>
      </c>
      <c r="M270" s="200">
        <f t="shared" si="44"/>
        <v>0</v>
      </c>
      <c r="N270" s="200">
        <f t="shared" si="45"/>
        <v>0</v>
      </c>
      <c r="O270" s="200">
        <f t="shared" si="46"/>
        <v>9.2309999999999999</v>
      </c>
      <c r="P270" s="200">
        <f t="shared" si="47"/>
        <v>0</v>
      </c>
      <c r="Q270" s="200">
        <f t="shared" si="48"/>
        <v>0</v>
      </c>
      <c r="R270" s="200">
        <f t="shared" si="49"/>
        <v>0</v>
      </c>
      <c r="S270" s="200">
        <f t="shared" si="50"/>
        <v>0</v>
      </c>
    </row>
    <row r="271" spans="1:19" s="236" customFormat="1" ht="24.95" customHeight="1">
      <c r="A271" s="239"/>
      <c r="B271" s="239" t="s">
        <v>393</v>
      </c>
      <c r="C271" s="240">
        <v>12</v>
      </c>
      <c r="D271" s="250">
        <v>1</v>
      </c>
      <c r="E271" s="203">
        <v>3</v>
      </c>
      <c r="F271" s="241">
        <v>100</v>
      </c>
      <c r="G271" s="234"/>
      <c r="H271" s="241">
        <v>2925</v>
      </c>
      <c r="I271" s="234"/>
      <c r="J271" s="241">
        <v>100</v>
      </c>
      <c r="K271" s="234">
        <v>2</v>
      </c>
      <c r="L271" s="235">
        <f t="shared" si="43"/>
        <v>3.077</v>
      </c>
      <c r="M271" s="200">
        <f t="shared" si="44"/>
        <v>0</v>
      </c>
      <c r="N271" s="200">
        <f t="shared" si="45"/>
        <v>0</v>
      </c>
      <c r="O271" s="200">
        <f t="shared" si="46"/>
        <v>9.2309999999999999</v>
      </c>
      <c r="P271" s="200">
        <f t="shared" si="47"/>
        <v>0</v>
      </c>
      <c r="Q271" s="200">
        <f t="shared" si="48"/>
        <v>0</v>
      </c>
      <c r="R271" s="200">
        <f t="shared" si="49"/>
        <v>0</v>
      </c>
      <c r="S271" s="200">
        <f t="shared" si="50"/>
        <v>0</v>
      </c>
    </row>
    <row r="272" spans="1:19" s="236" customFormat="1" ht="24.95" customHeight="1">
      <c r="A272" s="239"/>
      <c r="B272" s="239" t="s">
        <v>400</v>
      </c>
      <c r="C272" s="240">
        <v>8</v>
      </c>
      <c r="D272" s="250">
        <v>1</v>
      </c>
      <c r="E272" s="203">
        <f>(2950/200)+1</f>
        <v>15.75</v>
      </c>
      <c r="F272" s="234"/>
      <c r="G272" s="234"/>
      <c r="H272" s="234">
        <v>1280</v>
      </c>
      <c r="I272" s="234"/>
      <c r="J272" s="234"/>
      <c r="K272" s="241">
        <v>5</v>
      </c>
      <c r="L272" s="235">
        <f t="shared" si="43"/>
        <v>1.2</v>
      </c>
      <c r="M272" s="200">
        <f t="shared" si="44"/>
        <v>18.899999999999999</v>
      </c>
      <c r="N272" s="200">
        <f t="shared" si="45"/>
        <v>0</v>
      </c>
      <c r="O272" s="200">
        <f t="shared" si="46"/>
        <v>0</v>
      </c>
      <c r="P272" s="200">
        <f t="shared" si="47"/>
        <v>0</v>
      </c>
      <c r="Q272" s="200">
        <f t="shared" si="48"/>
        <v>0</v>
      </c>
      <c r="R272" s="200">
        <f t="shared" si="49"/>
        <v>0</v>
      </c>
      <c r="S272" s="200">
        <f t="shared" si="50"/>
        <v>0</v>
      </c>
    </row>
    <row r="273" spans="1:19" s="236" customFormat="1" ht="24.95" customHeight="1">
      <c r="A273" s="205" t="s">
        <v>411</v>
      </c>
      <c r="B273" s="206" t="s">
        <v>396</v>
      </c>
      <c r="C273" s="240"/>
      <c r="D273" s="239"/>
      <c r="E273" s="203"/>
      <c r="F273" s="234"/>
      <c r="G273" s="234"/>
      <c r="H273" s="234"/>
      <c r="I273" s="234"/>
      <c r="J273" s="234"/>
      <c r="K273" s="234"/>
      <c r="L273" s="235">
        <f t="shared" si="43"/>
        <v>0</v>
      </c>
      <c r="M273" s="200">
        <f t="shared" si="44"/>
        <v>0</v>
      </c>
      <c r="N273" s="200">
        <f t="shared" si="45"/>
        <v>0</v>
      </c>
      <c r="O273" s="200">
        <f t="shared" si="46"/>
        <v>0</v>
      </c>
      <c r="P273" s="200">
        <f t="shared" si="47"/>
        <v>0</v>
      </c>
      <c r="Q273" s="200">
        <f t="shared" si="48"/>
        <v>0</v>
      </c>
      <c r="R273" s="200">
        <f t="shared" si="49"/>
        <v>0</v>
      </c>
      <c r="S273" s="200">
        <f t="shared" si="50"/>
        <v>0</v>
      </c>
    </row>
    <row r="274" spans="1:19" s="236" customFormat="1" ht="24.95" customHeight="1">
      <c r="A274" s="239">
        <v>1</v>
      </c>
      <c r="B274" s="239" t="s">
        <v>392</v>
      </c>
      <c r="C274" s="240">
        <v>10</v>
      </c>
      <c r="D274" s="239">
        <v>5</v>
      </c>
      <c r="E274" s="203">
        <v>2</v>
      </c>
      <c r="F274" s="241">
        <v>100</v>
      </c>
      <c r="G274" s="234"/>
      <c r="H274" s="241">
        <v>1025</v>
      </c>
      <c r="I274" s="234"/>
      <c r="J274" s="241">
        <v>100</v>
      </c>
      <c r="K274" s="234">
        <v>2</v>
      </c>
      <c r="L274" s="235">
        <f t="shared" si="43"/>
        <v>1.1850000000000001</v>
      </c>
      <c r="M274" s="200">
        <f t="shared" si="44"/>
        <v>0</v>
      </c>
      <c r="N274" s="200">
        <f t="shared" si="45"/>
        <v>11.850000000000001</v>
      </c>
      <c r="O274" s="200">
        <f t="shared" si="46"/>
        <v>0</v>
      </c>
      <c r="P274" s="200">
        <f t="shared" si="47"/>
        <v>0</v>
      </c>
      <c r="Q274" s="200">
        <f t="shared" si="48"/>
        <v>0</v>
      </c>
      <c r="R274" s="200">
        <f t="shared" si="49"/>
        <v>0</v>
      </c>
      <c r="S274" s="200">
        <f t="shared" si="50"/>
        <v>0</v>
      </c>
    </row>
    <row r="275" spans="1:19" s="236" customFormat="1" ht="24.95" customHeight="1">
      <c r="A275" s="239"/>
      <c r="B275" s="239" t="s">
        <v>393</v>
      </c>
      <c r="C275" s="240">
        <v>10</v>
      </c>
      <c r="D275" s="239">
        <v>5</v>
      </c>
      <c r="E275" s="203">
        <v>2</v>
      </c>
      <c r="F275" s="241">
        <v>100</v>
      </c>
      <c r="G275" s="234"/>
      <c r="H275" s="241">
        <v>1025</v>
      </c>
      <c r="I275" s="234"/>
      <c r="J275" s="241">
        <v>100</v>
      </c>
      <c r="K275" s="234">
        <v>2</v>
      </c>
      <c r="L275" s="235">
        <f t="shared" si="43"/>
        <v>1.1850000000000001</v>
      </c>
      <c r="M275" s="200">
        <f t="shared" si="44"/>
        <v>0</v>
      </c>
      <c r="N275" s="200">
        <f t="shared" si="45"/>
        <v>11.850000000000001</v>
      </c>
      <c r="O275" s="200">
        <f t="shared" si="46"/>
        <v>0</v>
      </c>
      <c r="P275" s="200">
        <f t="shared" si="47"/>
        <v>0</v>
      </c>
      <c r="Q275" s="200">
        <f t="shared" si="48"/>
        <v>0</v>
      </c>
      <c r="R275" s="200">
        <f t="shared" si="49"/>
        <v>0</v>
      </c>
      <c r="S275" s="200">
        <f t="shared" si="50"/>
        <v>0</v>
      </c>
    </row>
    <row r="276" spans="1:19" s="236" customFormat="1" ht="24.95" customHeight="1">
      <c r="A276" s="239"/>
      <c r="B276" s="239" t="s">
        <v>394</v>
      </c>
      <c r="C276" s="240">
        <v>8</v>
      </c>
      <c r="D276" s="239">
        <v>5</v>
      </c>
      <c r="E276" s="203">
        <f>(H274/200)+1</f>
        <v>6.125</v>
      </c>
      <c r="F276" s="234"/>
      <c r="G276" s="234"/>
      <c r="H276" s="234">
        <v>820</v>
      </c>
      <c r="I276" s="234"/>
      <c r="J276" s="234"/>
      <c r="K276" s="241">
        <v>5</v>
      </c>
      <c r="L276" s="235">
        <f t="shared" si="43"/>
        <v>0.74</v>
      </c>
      <c r="M276" s="200">
        <f t="shared" si="44"/>
        <v>22.662500000000001</v>
      </c>
      <c r="N276" s="200">
        <f t="shared" si="45"/>
        <v>0</v>
      </c>
      <c r="O276" s="200">
        <f t="shared" si="46"/>
        <v>0</v>
      </c>
      <c r="P276" s="200">
        <f t="shared" si="47"/>
        <v>0</v>
      </c>
      <c r="Q276" s="200">
        <f t="shared" si="48"/>
        <v>0</v>
      </c>
      <c r="R276" s="200">
        <f t="shared" si="49"/>
        <v>0</v>
      </c>
      <c r="S276" s="200">
        <f t="shared" si="50"/>
        <v>0</v>
      </c>
    </row>
    <row r="277" spans="1:19" s="236" customFormat="1" ht="24.95" customHeight="1">
      <c r="A277" s="239">
        <v>2</v>
      </c>
      <c r="B277" s="239" t="s">
        <v>392</v>
      </c>
      <c r="C277" s="240">
        <v>10</v>
      </c>
      <c r="D277" s="239">
        <v>6</v>
      </c>
      <c r="E277" s="203">
        <v>2</v>
      </c>
      <c r="F277" s="241">
        <v>100</v>
      </c>
      <c r="G277" s="234"/>
      <c r="H277" s="234">
        <v>2010</v>
      </c>
      <c r="I277" s="234"/>
      <c r="J277" s="241">
        <v>100</v>
      </c>
      <c r="K277" s="234">
        <v>2</v>
      </c>
      <c r="L277" s="235">
        <f t="shared" si="43"/>
        <v>2.17</v>
      </c>
      <c r="M277" s="200">
        <f t="shared" si="44"/>
        <v>0</v>
      </c>
      <c r="N277" s="200">
        <f t="shared" si="45"/>
        <v>26.04</v>
      </c>
      <c r="O277" s="200">
        <f t="shared" si="46"/>
        <v>0</v>
      </c>
      <c r="P277" s="200">
        <f t="shared" si="47"/>
        <v>0</v>
      </c>
      <c r="Q277" s="200">
        <f t="shared" si="48"/>
        <v>0</v>
      </c>
      <c r="R277" s="200">
        <f t="shared" si="49"/>
        <v>0</v>
      </c>
      <c r="S277" s="200">
        <f t="shared" si="50"/>
        <v>0</v>
      </c>
    </row>
    <row r="278" spans="1:19" s="236" customFormat="1" ht="24.95" customHeight="1">
      <c r="A278" s="239"/>
      <c r="B278" s="239" t="s">
        <v>393</v>
      </c>
      <c r="C278" s="240">
        <v>10</v>
      </c>
      <c r="D278" s="239">
        <v>6</v>
      </c>
      <c r="E278" s="203">
        <v>2</v>
      </c>
      <c r="F278" s="241">
        <v>100</v>
      </c>
      <c r="G278" s="234"/>
      <c r="H278" s="234">
        <v>2010</v>
      </c>
      <c r="I278" s="234"/>
      <c r="J278" s="241">
        <v>100</v>
      </c>
      <c r="K278" s="234">
        <v>2</v>
      </c>
      <c r="L278" s="235">
        <f t="shared" si="43"/>
        <v>2.17</v>
      </c>
      <c r="M278" s="200">
        <f t="shared" si="44"/>
        <v>0</v>
      </c>
      <c r="N278" s="200">
        <f t="shared" si="45"/>
        <v>26.04</v>
      </c>
      <c r="O278" s="200">
        <f t="shared" si="46"/>
        <v>0</v>
      </c>
      <c r="P278" s="200">
        <f t="shared" si="47"/>
        <v>0</v>
      </c>
      <c r="Q278" s="200">
        <f t="shared" si="48"/>
        <v>0</v>
      </c>
      <c r="R278" s="200">
        <f t="shared" si="49"/>
        <v>0</v>
      </c>
      <c r="S278" s="200">
        <f t="shared" si="50"/>
        <v>0</v>
      </c>
    </row>
    <row r="279" spans="1:19" s="236" customFormat="1" ht="24.95" customHeight="1">
      <c r="A279" s="239"/>
      <c r="B279" s="239" t="s">
        <v>394</v>
      </c>
      <c r="C279" s="240">
        <v>8</v>
      </c>
      <c r="D279" s="239">
        <v>6</v>
      </c>
      <c r="E279" s="203">
        <f>(H277/200)+1</f>
        <v>11.05</v>
      </c>
      <c r="F279" s="234"/>
      <c r="G279" s="234"/>
      <c r="H279" s="234">
        <v>820</v>
      </c>
      <c r="I279" s="234"/>
      <c r="J279" s="234"/>
      <c r="K279" s="241">
        <v>5</v>
      </c>
      <c r="L279" s="235">
        <f t="shared" si="43"/>
        <v>0.74</v>
      </c>
      <c r="M279" s="200">
        <f t="shared" si="44"/>
        <v>49.062000000000005</v>
      </c>
      <c r="N279" s="200">
        <f t="shared" si="45"/>
        <v>0</v>
      </c>
      <c r="O279" s="200">
        <f t="shared" si="46"/>
        <v>0</v>
      </c>
      <c r="P279" s="200">
        <f t="shared" si="47"/>
        <v>0</v>
      </c>
      <c r="Q279" s="200">
        <f t="shared" si="48"/>
        <v>0</v>
      </c>
      <c r="R279" s="200">
        <f t="shared" si="49"/>
        <v>0</v>
      </c>
      <c r="S279" s="200">
        <f t="shared" si="50"/>
        <v>0</v>
      </c>
    </row>
    <row r="280" spans="1:19" s="236" customFormat="1" ht="24.95" customHeight="1">
      <c r="A280" s="239">
        <v>3</v>
      </c>
      <c r="B280" s="239" t="s">
        <v>392</v>
      </c>
      <c r="C280" s="240">
        <v>10</v>
      </c>
      <c r="D280" s="239">
        <v>1</v>
      </c>
      <c r="E280" s="203">
        <v>2</v>
      </c>
      <c r="F280" s="241">
        <v>100</v>
      </c>
      <c r="G280" s="234"/>
      <c r="H280" s="234">
        <v>2925</v>
      </c>
      <c r="I280" s="234"/>
      <c r="J280" s="241">
        <v>100</v>
      </c>
      <c r="K280" s="234">
        <v>2</v>
      </c>
      <c r="L280" s="235">
        <f t="shared" si="43"/>
        <v>3.085</v>
      </c>
      <c r="M280" s="200">
        <f t="shared" si="44"/>
        <v>0</v>
      </c>
      <c r="N280" s="200">
        <f t="shared" si="45"/>
        <v>6.17</v>
      </c>
      <c r="O280" s="200">
        <f t="shared" si="46"/>
        <v>0</v>
      </c>
      <c r="P280" s="200">
        <f t="shared" si="47"/>
        <v>0</v>
      </c>
      <c r="Q280" s="200">
        <f t="shared" si="48"/>
        <v>0</v>
      </c>
      <c r="R280" s="200">
        <f t="shared" si="49"/>
        <v>0</v>
      </c>
      <c r="S280" s="200">
        <f t="shared" si="50"/>
        <v>0</v>
      </c>
    </row>
    <row r="281" spans="1:19" s="236" customFormat="1" ht="24.95" customHeight="1">
      <c r="A281" s="239"/>
      <c r="B281" s="239" t="s">
        <v>393</v>
      </c>
      <c r="C281" s="240">
        <v>10</v>
      </c>
      <c r="D281" s="239">
        <v>1</v>
      </c>
      <c r="E281" s="203">
        <v>2</v>
      </c>
      <c r="F281" s="241">
        <v>100</v>
      </c>
      <c r="G281" s="234"/>
      <c r="H281" s="234">
        <v>2925</v>
      </c>
      <c r="I281" s="234"/>
      <c r="J281" s="241">
        <v>100</v>
      </c>
      <c r="K281" s="234">
        <v>2</v>
      </c>
      <c r="L281" s="235">
        <f t="shared" si="43"/>
        <v>3.085</v>
      </c>
      <c r="M281" s="200">
        <f t="shared" si="44"/>
        <v>0</v>
      </c>
      <c r="N281" s="200">
        <f t="shared" si="45"/>
        <v>6.17</v>
      </c>
      <c r="O281" s="200">
        <f t="shared" si="46"/>
        <v>0</v>
      </c>
      <c r="P281" s="200">
        <f t="shared" si="47"/>
        <v>0</v>
      </c>
      <c r="Q281" s="200">
        <f t="shared" si="48"/>
        <v>0</v>
      </c>
      <c r="R281" s="200">
        <f t="shared" si="49"/>
        <v>0</v>
      </c>
      <c r="S281" s="200">
        <f t="shared" si="50"/>
        <v>0</v>
      </c>
    </row>
    <row r="282" spans="1:19" s="236" customFormat="1" ht="24.95" customHeight="1">
      <c r="A282" s="239"/>
      <c r="B282" s="239" t="s">
        <v>394</v>
      </c>
      <c r="C282" s="240">
        <v>8</v>
      </c>
      <c r="D282" s="239">
        <v>1</v>
      </c>
      <c r="E282" s="203">
        <f>(H280/200)+1</f>
        <v>15.625</v>
      </c>
      <c r="F282" s="234"/>
      <c r="G282" s="234"/>
      <c r="H282" s="234">
        <v>820</v>
      </c>
      <c r="I282" s="234"/>
      <c r="J282" s="234"/>
      <c r="K282" s="241">
        <v>5</v>
      </c>
      <c r="L282" s="235">
        <f t="shared" si="43"/>
        <v>0.74</v>
      </c>
      <c r="M282" s="200">
        <f t="shared" si="44"/>
        <v>11.5625</v>
      </c>
      <c r="N282" s="200">
        <f t="shared" si="45"/>
        <v>0</v>
      </c>
      <c r="O282" s="200">
        <f t="shared" si="46"/>
        <v>0</v>
      </c>
      <c r="P282" s="200">
        <f t="shared" si="47"/>
        <v>0</v>
      </c>
      <c r="Q282" s="200">
        <f t="shared" si="48"/>
        <v>0</v>
      </c>
      <c r="R282" s="200">
        <f t="shared" si="49"/>
        <v>0</v>
      </c>
      <c r="S282" s="200">
        <f t="shared" si="50"/>
        <v>0</v>
      </c>
    </row>
    <row r="283" spans="1:19" s="236" customFormat="1" ht="24.95" customHeight="1">
      <c r="A283" s="239">
        <v>4</v>
      </c>
      <c r="B283" s="239" t="s">
        <v>392</v>
      </c>
      <c r="C283" s="240">
        <v>10</v>
      </c>
      <c r="D283" s="239">
        <v>3</v>
      </c>
      <c r="E283" s="203">
        <v>2</v>
      </c>
      <c r="F283" s="241">
        <v>100</v>
      </c>
      <c r="G283" s="234"/>
      <c r="H283" s="241">
        <v>3770</v>
      </c>
      <c r="I283" s="234"/>
      <c r="J283" s="241">
        <v>100</v>
      </c>
      <c r="K283" s="234">
        <v>2</v>
      </c>
      <c r="L283" s="235">
        <f t="shared" si="43"/>
        <v>3.93</v>
      </c>
      <c r="M283" s="200">
        <f t="shared" si="44"/>
        <v>0</v>
      </c>
      <c r="N283" s="200">
        <f t="shared" si="45"/>
        <v>23.580000000000002</v>
      </c>
      <c r="O283" s="200">
        <f t="shared" si="46"/>
        <v>0</v>
      </c>
      <c r="P283" s="200">
        <f t="shared" si="47"/>
        <v>0</v>
      </c>
      <c r="Q283" s="200">
        <f t="shared" si="48"/>
        <v>0</v>
      </c>
      <c r="R283" s="200">
        <f t="shared" si="49"/>
        <v>0</v>
      </c>
      <c r="S283" s="200">
        <f t="shared" si="50"/>
        <v>0</v>
      </c>
    </row>
    <row r="284" spans="1:19" s="236" customFormat="1" ht="24.95" customHeight="1">
      <c r="A284" s="239"/>
      <c r="B284" s="239" t="s">
        <v>393</v>
      </c>
      <c r="C284" s="240">
        <v>10</v>
      </c>
      <c r="D284" s="239">
        <v>3</v>
      </c>
      <c r="E284" s="203">
        <v>2</v>
      </c>
      <c r="F284" s="241">
        <v>100</v>
      </c>
      <c r="G284" s="234"/>
      <c r="H284" s="241">
        <v>3770</v>
      </c>
      <c r="I284" s="234"/>
      <c r="J284" s="241">
        <v>100</v>
      </c>
      <c r="K284" s="234">
        <v>2</v>
      </c>
      <c r="L284" s="235">
        <f t="shared" si="43"/>
        <v>3.93</v>
      </c>
      <c r="M284" s="200">
        <f t="shared" si="44"/>
        <v>0</v>
      </c>
      <c r="N284" s="200">
        <f t="shared" si="45"/>
        <v>23.580000000000002</v>
      </c>
      <c r="O284" s="200">
        <f t="shared" si="46"/>
        <v>0</v>
      </c>
      <c r="P284" s="200">
        <f t="shared" si="47"/>
        <v>0</v>
      </c>
      <c r="Q284" s="200">
        <f t="shared" si="48"/>
        <v>0</v>
      </c>
      <c r="R284" s="200">
        <f t="shared" si="49"/>
        <v>0</v>
      </c>
      <c r="S284" s="200">
        <f t="shared" si="50"/>
        <v>0</v>
      </c>
    </row>
    <row r="285" spans="1:19" s="236" customFormat="1" ht="24.95" customHeight="1">
      <c r="A285" s="239"/>
      <c r="B285" s="239" t="s">
        <v>394</v>
      </c>
      <c r="C285" s="240">
        <v>8</v>
      </c>
      <c r="D285" s="239">
        <v>3</v>
      </c>
      <c r="E285" s="203">
        <f>(H283/200)+1</f>
        <v>19.850000000000001</v>
      </c>
      <c r="F285" s="234"/>
      <c r="G285" s="234"/>
      <c r="H285" s="234">
        <v>820</v>
      </c>
      <c r="I285" s="234"/>
      <c r="J285" s="234"/>
      <c r="K285" s="241">
        <v>5</v>
      </c>
      <c r="L285" s="235">
        <f t="shared" si="43"/>
        <v>0.74</v>
      </c>
      <c r="M285" s="200">
        <f t="shared" si="44"/>
        <v>44.067</v>
      </c>
      <c r="N285" s="200">
        <f t="shared" si="45"/>
        <v>0</v>
      </c>
      <c r="O285" s="200">
        <f t="shared" si="46"/>
        <v>0</v>
      </c>
      <c r="P285" s="200">
        <f t="shared" si="47"/>
        <v>0</v>
      </c>
      <c r="Q285" s="200">
        <f t="shared" si="48"/>
        <v>0</v>
      </c>
      <c r="R285" s="200">
        <f t="shared" si="49"/>
        <v>0</v>
      </c>
      <c r="S285" s="200">
        <f t="shared" si="50"/>
        <v>0</v>
      </c>
    </row>
    <row r="286" spans="1:19" s="236" customFormat="1" ht="24.95" customHeight="1">
      <c r="A286" s="237">
        <v>3</v>
      </c>
      <c r="B286" s="238" t="s">
        <v>412</v>
      </c>
      <c r="C286" s="240"/>
      <c r="D286" s="239"/>
      <c r="E286" s="203"/>
      <c r="F286" s="234"/>
      <c r="G286" s="234"/>
      <c r="H286" s="234"/>
      <c r="I286" s="234"/>
      <c r="J286" s="234"/>
      <c r="K286" s="234"/>
      <c r="L286" s="235">
        <f t="shared" si="43"/>
        <v>0</v>
      </c>
      <c r="M286" s="200">
        <f t="shared" si="44"/>
        <v>0</v>
      </c>
      <c r="N286" s="200">
        <f t="shared" si="45"/>
        <v>0</v>
      </c>
      <c r="O286" s="200">
        <f t="shared" si="46"/>
        <v>0</v>
      </c>
      <c r="P286" s="200">
        <f t="shared" si="47"/>
        <v>0</v>
      </c>
      <c r="Q286" s="200">
        <f t="shared" si="48"/>
        <v>0</v>
      </c>
      <c r="R286" s="200">
        <f t="shared" si="49"/>
        <v>0</v>
      </c>
      <c r="S286" s="200">
        <f t="shared" si="50"/>
        <v>0</v>
      </c>
    </row>
    <row r="287" spans="1:19" s="236" customFormat="1" ht="24.95" customHeight="1">
      <c r="A287" s="205" t="s">
        <v>413</v>
      </c>
      <c r="B287" s="205" t="s">
        <v>403</v>
      </c>
      <c r="C287" s="240"/>
      <c r="D287" s="239"/>
      <c r="E287" s="203"/>
      <c r="F287" s="234"/>
      <c r="G287" s="234"/>
      <c r="H287" s="234"/>
      <c r="I287" s="234"/>
      <c r="J287" s="234"/>
      <c r="K287" s="234">
        <v>0</v>
      </c>
      <c r="L287" s="235">
        <f t="shared" si="43"/>
        <v>0</v>
      </c>
      <c r="M287" s="200">
        <f t="shared" si="44"/>
        <v>0</v>
      </c>
      <c r="N287" s="200">
        <f t="shared" si="45"/>
        <v>0</v>
      </c>
      <c r="O287" s="200">
        <f t="shared" si="46"/>
        <v>0</v>
      </c>
      <c r="P287" s="200">
        <f t="shared" si="47"/>
        <v>0</v>
      </c>
      <c r="Q287" s="200">
        <f t="shared" si="48"/>
        <v>0</v>
      </c>
      <c r="R287" s="200">
        <f t="shared" si="49"/>
        <v>0</v>
      </c>
      <c r="S287" s="200">
        <f t="shared" si="50"/>
        <v>0</v>
      </c>
    </row>
    <row r="288" spans="1:19" s="236" customFormat="1" ht="24.95" customHeight="1">
      <c r="A288" s="205" t="s">
        <v>414</v>
      </c>
      <c r="B288" s="206" t="s">
        <v>391</v>
      </c>
      <c r="C288" s="240"/>
      <c r="D288" s="239"/>
      <c r="E288" s="203"/>
      <c r="F288" s="234"/>
      <c r="G288" s="234"/>
      <c r="H288" s="234"/>
      <c r="I288" s="234"/>
      <c r="J288" s="234"/>
      <c r="K288" s="234"/>
      <c r="L288" s="235">
        <f t="shared" si="43"/>
        <v>0</v>
      </c>
      <c r="M288" s="200">
        <f t="shared" si="44"/>
        <v>0</v>
      </c>
      <c r="N288" s="200">
        <f t="shared" si="45"/>
        <v>0</v>
      </c>
      <c r="O288" s="200">
        <f t="shared" si="46"/>
        <v>0</v>
      </c>
      <c r="P288" s="200">
        <f t="shared" si="47"/>
        <v>0</v>
      </c>
      <c r="Q288" s="200">
        <f t="shared" si="48"/>
        <v>0</v>
      </c>
      <c r="R288" s="200">
        <f t="shared" si="49"/>
        <v>0</v>
      </c>
      <c r="S288" s="200">
        <f t="shared" si="50"/>
        <v>0</v>
      </c>
    </row>
    <row r="289" spans="1:19" s="236" customFormat="1" ht="24.95" customHeight="1">
      <c r="A289" s="239">
        <v>1</v>
      </c>
      <c r="B289" s="239" t="s">
        <v>392</v>
      </c>
      <c r="C289" s="240">
        <v>10</v>
      </c>
      <c r="D289" s="239">
        <v>1</v>
      </c>
      <c r="E289" s="203">
        <v>2</v>
      </c>
      <c r="F289" s="241">
        <v>100</v>
      </c>
      <c r="G289" s="234"/>
      <c r="H289" s="241">
        <v>4610</v>
      </c>
      <c r="I289" s="234"/>
      <c r="J289" s="241">
        <v>100</v>
      </c>
      <c r="K289" s="234">
        <v>2</v>
      </c>
      <c r="L289" s="235">
        <f t="shared" si="43"/>
        <v>4.7699999999999996</v>
      </c>
      <c r="M289" s="200">
        <f t="shared" si="44"/>
        <v>0</v>
      </c>
      <c r="N289" s="200">
        <f t="shared" si="45"/>
        <v>9.5399999999999991</v>
      </c>
      <c r="O289" s="200">
        <f t="shared" si="46"/>
        <v>0</v>
      </c>
      <c r="P289" s="200">
        <f t="shared" si="47"/>
        <v>0</v>
      </c>
      <c r="Q289" s="200">
        <f t="shared" si="48"/>
        <v>0</v>
      </c>
      <c r="R289" s="200">
        <f t="shared" si="49"/>
        <v>0</v>
      </c>
      <c r="S289" s="200">
        <f t="shared" si="50"/>
        <v>0</v>
      </c>
    </row>
    <row r="290" spans="1:19" s="236" customFormat="1" ht="24.95" customHeight="1">
      <c r="A290" s="239"/>
      <c r="B290" s="239" t="s">
        <v>393</v>
      </c>
      <c r="C290" s="240">
        <v>10</v>
      </c>
      <c r="D290" s="239">
        <v>1</v>
      </c>
      <c r="E290" s="203">
        <v>2</v>
      </c>
      <c r="F290" s="241">
        <v>100</v>
      </c>
      <c r="G290" s="234"/>
      <c r="H290" s="241">
        <v>4610</v>
      </c>
      <c r="I290" s="234"/>
      <c r="J290" s="241">
        <v>100</v>
      </c>
      <c r="K290" s="234">
        <v>2</v>
      </c>
      <c r="L290" s="235">
        <f t="shared" si="43"/>
        <v>4.7699999999999996</v>
      </c>
      <c r="M290" s="200">
        <f t="shared" si="44"/>
        <v>0</v>
      </c>
      <c r="N290" s="200">
        <f t="shared" si="45"/>
        <v>9.5399999999999991</v>
      </c>
      <c r="O290" s="200">
        <f t="shared" si="46"/>
        <v>0</v>
      </c>
      <c r="P290" s="200">
        <f t="shared" si="47"/>
        <v>0</v>
      </c>
      <c r="Q290" s="200">
        <f t="shared" si="48"/>
        <v>0</v>
      </c>
      <c r="R290" s="200">
        <f t="shared" si="49"/>
        <v>0</v>
      </c>
      <c r="S290" s="200">
        <f t="shared" si="50"/>
        <v>0</v>
      </c>
    </row>
    <row r="291" spans="1:19" s="236" customFormat="1" ht="24.95" customHeight="1">
      <c r="A291" s="239"/>
      <c r="B291" s="239" t="s">
        <v>394</v>
      </c>
      <c r="C291" s="240">
        <v>8</v>
      </c>
      <c r="D291" s="239">
        <v>1</v>
      </c>
      <c r="E291" s="203">
        <f>(H289/200)+1</f>
        <v>24.05</v>
      </c>
      <c r="F291" s="234"/>
      <c r="G291" s="234"/>
      <c r="H291" s="234">
        <v>820</v>
      </c>
      <c r="I291" s="234"/>
      <c r="J291" s="234"/>
      <c r="K291" s="241">
        <v>5</v>
      </c>
      <c r="L291" s="235">
        <f t="shared" si="43"/>
        <v>0.74</v>
      </c>
      <c r="M291" s="200">
        <f t="shared" si="44"/>
        <v>17.797000000000001</v>
      </c>
      <c r="N291" s="200">
        <f t="shared" si="45"/>
        <v>0</v>
      </c>
      <c r="O291" s="200">
        <f t="shared" si="46"/>
        <v>0</v>
      </c>
      <c r="P291" s="200">
        <f t="shared" si="47"/>
        <v>0</v>
      </c>
      <c r="Q291" s="200">
        <f t="shared" si="48"/>
        <v>0</v>
      </c>
      <c r="R291" s="200">
        <f t="shared" si="49"/>
        <v>0</v>
      </c>
      <c r="S291" s="200">
        <f t="shared" si="50"/>
        <v>0</v>
      </c>
    </row>
    <row r="292" spans="1:19" s="236" customFormat="1" ht="24.95" customHeight="1">
      <c r="A292" s="239">
        <v>2</v>
      </c>
      <c r="B292" s="239" t="s">
        <v>392</v>
      </c>
      <c r="C292" s="240">
        <v>10</v>
      </c>
      <c r="D292" s="239">
        <v>1</v>
      </c>
      <c r="E292" s="203">
        <v>2</v>
      </c>
      <c r="F292" s="241">
        <v>100</v>
      </c>
      <c r="G292" s="234"/>
      <c r="H292" s="234">
        <v>840</v>
      </c>
      <c r="I292" s="234"/>
      <c r="J292" s="241">
        <v>100</v>
      </c>
      <c r="K292" s="234">
        <v>2</v>
      </c>
      <c r="L292" s="235">
        <f t="shared" si="43"/>
        <v>1</v>
      </c>
      <c r="M292" s="200">
        <f t="shared" si="44"/>
        <v>0</v>
      </c>
      <c r="N292" s="200">
        <f t="shared" si="45"/>
        <v>2</v>
      </c>
      <c r="O292" s="200">
        <f t="shared" si="46"/>
        <v>0</v>
      </c>
      <c r="P292" s="200">
        <f t="shared" si="47"/>
        <v>0</v>
      </c>
      <c r="Q292" s="200">
        <f t="shared" si="48"/>
        <v>0</v>
      </c>
      <c r="R292" s="200">
        <f t="shared" si="49"/>
        <v>0</v>
      </c>
      <c r="S292" s="200">
        <f t="shared" si="50"/>
        <v>0</v>
      </c>
    </row>
    <row r="293" spans="1:19" s="236" customFormat="1" ht="24.95" customHeight="1">
      <c r="A293" s="239"/>
      <c r="B293" s="239" t="s">
        <v>393</v>
      </c>
      <c r="C293" s="240">
        <v>10</v>
      </c>
      <c r="D293" s="239">
        <v>1</v>
      </c>
      <c r="E293" s="203">
        <v>2</v>
      </c>
      <c r="F293" s="241">
        <v>100</v>
      </c>
      <c r="G293" s="234"/>
      <c r="H293" s="234">
        <v>840</v>
      </c>
      <c r="I293" s="234"/>
      <c r="J293" s="241">
        <v>100</v>
      </c>
      <c r="K293" s="234">
        <v>2</v>
      </c>
      <c r="L293" s="235">
        <f t="shared" si="43"/>
        <v>1</v>
      </c>
      <c r="M293" s="200">
        <f t="shared" si="44"/>
        <v>0</v>
      </c>
      <c r="N293" s="200">
        <f t="shared" si="45"/>
        <v>2</v>
      </c>
      <c r="O293" s="200">
        <f t="shared" si="46"/>
        <v>0</v>
      </c>
      <c r="P293" s="200">
        <f t="shared" si="47"/>
        <v>0</v>
      </c>
      <c r="Q293" s="200">
        <f t="shared" si="48"/>
        <v>0</v>
      </c>
      <c r="R293" s="200">
        <f t="shared" si="49"/>
        <v>0</v>
      </c>
      <c r="S293" s="200">
        <f t="shared" si="50"/>
        <v>0</v>
      </c>
    </row>
    <row r="294" spans="1:19" s="236" customFormat="1" ht="24.95" customHeight="1">
      <c r="A294" s="239"/>
      <c r="B294" s="239" t="s">
        <v>394</v>
      </c>
      <c r="C294" s="240">
        <v>8</v>
      </c>
      <c r="D294" s="239">
        <v>1</v>
      </c>
      <c r="E294" s="203">
        <f>(H292/200)+1</f>
        <v>5.2</v>
      </c>
      <c r="F294" s="234"/>
      <c r="G294" s="234"/>
      <c r="H294" s="234">
        <v>820</v>
      </c>
      <c r="I294" s="234"/>
      <c r="J294" s="234"/>
      <c r="K294" s="241">
        <v>5</v>
      </c>
      <c r="L294" s="235">
        <f t="shared" si="43"/>
        <v>0.74</v>
      </c>
      <c r="M294" s="200">
        <f t="shared" si="44"/>
        <v>3.8479999999999999</v>
      </c>
      <c r="N294" s="200">
        <f t="shared" si="45"/>
        <v>0</v>
      </c>
      <c r="O294" s="200">
        <f t="shared" si="46"/>
        <v>0</v>
      </c>
      <c r="P294" s="200">
        <f t="shared" si="47"/>
        <v>0</v>
      </c>
      <c r="Q294" s="200">
        <f t="shared" si="48"/>
        <v>0</v>
      </c>
      <c r="R294" s="200">
        <f t="shared" si="49"/>
        <v>0</v>
      </c>
      <c r="S294" s="200">
        <f t="shared" si="50"/>
        <v>0</v>
      </c>
    </row>
    <row r="295" spans="1:19" s="236" customFormat="1" ht="24.95" customHeight="1">
      <c r="A295" s="239">
        <v>3</v>
      </c>
      <c r="B295" s="239" t="s">
        <v>392</v>
      </c>
      <c r="C295" s="240">
        <v>10</v>
      </c>
      <c r="D295" s="239">
        <v>1</v>
      </c>
      <c r="E295" s="203">
        <v>2</v>
      </c>
      <c r="F295" s="241">
        <v>100</v>
      </c>
      <c r="G295" s="234"/>
      <c r="H295" s="234">
        <v>2380</v>
      </c>
      <c r="I295" s="234"/>
      <c r="J295" s="241">
        <v>100</v>
      </c>
      <c r="K295" s="234">
        <v>2</v>
      </c>
      <c r="L295" s="235">
        <f t="shared" si="43"/>
        <v>2.54</v>
      </c>
      <c r="M295" s="200">
        <f t="shared" si="44"/>
        <v>0</v>
      </c>
      <c r="N295" s="200">
        <f t="shared" si="45"/>
        <v>5.08</v>
      </c>
      <c r="O295" s="200">
        <f t="shared" si="46"/>
        <v>0</v>
      </c>
      <c r="P295" s="200">
        <f t="shared" si="47"/>
        <v>0</v>
      </c>
      <c r="Q295" s="200">
        <f t="shared" si="48"/>
        <v>0</v>
      </c>
      <c r="R295" s="200">
        <f t="shared" si="49"/>
        <v>0</v>
      </c>
      <c r="S295" s="200">
        <f t="shared" si="50"/>
        <v>0</v>
      </c>
    </row>
    <row r="296" spans="1:19" s="236" customFormat="1" ht="24.95" customHeight="1">
      <c r="A296" s="239"/>
      <c r="B296" s="239" t="s">
        <v>393</v>
      </c>
      <c r="C296" s="240">
        <v>10</v>
      </c>
      <c r="D296" s="239">
        <v>1</v>
      </c>
      <c r="E296" s="203">
        <v>2</v>
      </c>
      <c r="F296" s="241">
        <v>100</v>
      </c>
      <c r="G296" s="234"/>
      <c r="H296" s="234">
        <v>2380</v>
      </c>
      <c r="I296" s="234"/>
      <c r="J296" s="241">
        <v>100</v>
      </c>
      <c r="K296" s="234">
        <v>2</v>
      </c>
      <c r="L296" s="235">
        <f t="shared" si="43"/>
        <v>2.54</v>
      </c>
      <c r="M296" s="200">
        <f t="shared" si="44"/>
        <v>0</v>
      </c>
      <c r="N296" s="200">
        <f t="shared" si="45"/>
        <v>5.08</v>
      </c>
      <c r="O296" s="200">
        <f t="shared" si="46"/>
        <v>0</v>
      </c>
      <c r="P296" s="200">
        <f t="shared" si="47"/>
        <v>0</v>
      </c>
      <c r="Q296" s="200">
        <f t="shared" si="48"/>
        <v>0</v>
      </c>
      <c r="R296" s="200">
        <f t="shared" si="49"/>
        <v>0</v>
      </c>
      <c r="S296" s="200">
        <f t="shared" si="50"/>
        <v>0</v>
      </c>
    </row>
    <row r="297" spans="1:19" s="236" customFormat="1" ht="24.95" customHeight="1">
      <c r="A297" s="239"/>
      <c r="B297" s="239" t="s">
        <v>394</v>
      </c>
      <c r="C297" s="240">
        <v>8</v>
      </c>
      <c r="D297" s="239">
        <v>1</v>
      </c>
      <c r="E297" s="203">
        <f>(H295/200)+1</f>
        <v>12.9</v>
      </c>
      <c r="F297" s="234"/>
      <c r="G297" s="234"/>
      <c r="H297" s="234">
        <v>820</v>
      </c>
      <c r="I297" s="234"/>
      <c r="J297" s="234"/>
      <c r="K297" s="241">
        <v>5</v>
      </c>
      <c r="L297" s="235">
        <f t="shared" si="43"/>
        <v>0.74</v>
      </c>
      <c r="M297" s="200">
        <f t="shared" si="44"/>
        <v>9.5459999999999994</v>
      </c>
      <c r="N297" s="200">
        <f t="shared" si="45"/>
        <v>0</v>
      </c>
      <c r="O297" s="200">
        <f t="shared" si="46"/>
        <v>0</v>
      </c>
      <c r="P297" s="200">
        <f t="shared" si="47"/>
        <v>0</v>
      </c>
      <c r="Q297" s="200">
        <f t="shared" si="48"/>
        <v>0</v>
      </c>
      <c r="R297" s="200">
        <f t="shared" si="49"/>
        <v>0</v>
      </c>
      <c r="S297" s="200">
        <f t="shared" si="50"/>
        <v>0</v>
      </c>
    </row>
    <row r="298" spans="1:19" s="247" customFormat="1" ht="24.95" customHeight="1">
      <c r="A298" s="242">
        <v>4</v>
      </c>
      <c r="B298" s="242" t="s">
        <v>392</v>
      </c>
      <c r="C298" s="243">
        <v>10</v>
      </c>
      <c r="D298" s="242">
        <f t="shared" ref="D298:D306" si="51">1*0</f>
        <v>0</v>
      </c>
      <c r="E298" s="244">
        <v>2</v>
      </c>
      <c r="F298" s="245">
        <v>100</v>
      </c>
      <c r="G298" s="246"/>
      <c r="H298" s="246">
        <v>925</v>
      </c>
      <c r="I298" s="246"/>
      <c r="J298" s="245">
        <v>100</v>
      </c>
      <c r="K298" s="246">
        <v>2</v>
      </c>
      <c r="L298" s="235">
        <f t="shared" si="43"/>
        <v>1.085</v>
      </c>
      <c r="M298" s="200">
        <f t="shared" si="44"/>
        <v>0</v>
      </c>
      <c r="N298" s="200">
        <f t="shared" si="45"/>
        <v>0</v>
      </c>
      <c r="O298" s="200">
        <f t="shared" si="46"/>
        <v>0</v>
      </c>
      <c r="P298" s="200">
        <f t="shared" si="47"/>
        <v>0</v>
      </c>
      <c r="Q298" s="200">
        <f t="shared" si="48"/>
        <v>0</v>
      </c>
      <c r="R298" s="200">
        <f t="shared" si="49"/>
        <v>0</v>
      </c>
      <c r="S298" s="200">
        <f t="shared" si="50"/>
        <v>0</v>
      </c>
    </row>
    <row r="299" spans="1:19" s="247" customFormat="1" ht="24.95" customHeight="1">
      <c r="A299" s="242"/>
      <c r="B299" s="242" t="s">
        <v>393</v>
      </c>
      <c r="C299" s="243">
        <v>10</v>
      </c>
      <c r="D299" s="242">
        <f t="shared" si="51"/>
        <v>0</v>
      </c>
      <c r="E299" s="244">
        <v>2</v>
      </c>
      <c r="F299" s="245">
        <v>100</v>
      </c>
      <c r="G299" s="246"/>
      <c r="H299" s="246">
        <v>925</v>
      </c>
      <c r="I299" s="246"/>
      <c r="J299" s="245">
        <v>100</v>
      </c>
      <c r="K299" s="246">
        <v>2</v>
      </c>
      <c r="L299" s="235">
        <f t="shared" si="43"/>
        <v>1.085</v>
      </c>
      <c r="M299" s="200">
        <f t="shared" si="44"/>
        <v>0</v>
      </c>
      <c r="N299" s="200">
        <f t="shared" si="45"/>
        <v>0</v>
      </c>
      <c r="O299" s="200">
        <f t="shared" si="46"/>
        <v>0</v>
      </c>
      <c r="P299" s="200">
        <f t="shared" si="47"/>
        <v>0</v>
      </c>
      <c r="Q299" s="200">
        <f t="shared" si="48"/>
        <v>0</v>
      </c>
      <c r="R299" s="200">
        <f t="shared" si="49"/>
        <v>0</v>
      </c>
      <c r="S299" s="200">
        <f t="shared" si="50"/>
        <v>0</v>
      </c>
    </row>
    <row r="300" spans="1:19" s="247" customFormat="1" ht="24.95" customHeight="1">
      <c r="A300" s="242"/>
      <c r="B300" s="242" t="s">
        <v>394</v>
      </c>
      <c r="C300" s="243">
        <v>8</v>
      </c>
      <c r="D300" s="242">
        <f t="shared" si="51"/>
        <v>0</v>
      </c>
      <c r="E300" s="244">
        <f>(H298/200)+1</f>
        <v>5.625</v>
      </c>
      <c r="F300" s="246"/>
      <c r="G300" s="246"/>
      <c r="H300" s="246">
        <v>820</v>
      </c>
      <c r="I300" s="246"/>
      <c r="J300" s="246"/>
      <c r="K300" s="245">
        <v>5</v>
      </c>
      <c r="L300" s="235">
        <f t="shared" si="43"/>
        <v>0.74</v>
      </c>
      <c r="M300" s="200">
        <f t="shared" si="44"/>
        <v>0</v>
      </c>
      <c r="N300" s="200">
        <f t="shared" si="45"/>
        <v>0</v>
      </c>
      <c r="O300" s="200">
        <f t="shared" si="46"/>
        <v>0</v>
      </c>
      <c r="P300" s="200">
        <f t="shared" si="47"/>
        <v>0</v>
      </c>
      <c r="Q300" s="200">
        <f t="shared" si="48"/>
        <v>0</v>
      </c>
      <c r="R300" s="200">
        <f t="shared" si="49"/>
        <v>0</v>
      </c>
      <c r="S300" s="200">
        <f t="shared" si="50"/>
        <v>0</v>
      </c>
    </row>
    <row r="301" spans="1:19" s="247" customFormat="1" ht="24.95" customHeight="1">
      <c r="A301" s="242">
        <v>5</v>
      </c>
      <c r="B301" s="242" t="s">
        <v>392</v>
      </c>
      <c r="C301" s="243">
        <v>10</v>
      </c>
      <c r="D301" s="242">
        <f t="shared" si="51"/>
        <v>0</v>
      </c>
      <c r="E301" s="244">
        <v>2</v>
      </c>
      <c r="F301" s="245">
        <v>100</v>
      </c>
      <c r="G301" s="246"/>
      <c r="H301" s="246">
        <v>1205</v>
      </c>
      <c r="I301" s="246"/>
      <c r="J301" s="245">
        <v>100</v>
      </c>
      <c r="K301" s="246">
        <v>2</v>
      </c>
      <c r="L301" s="235">
        <f t="shared" si="43"/>
        <v>1.365</v>
      </c>
      <c r="M301" s="200">
        <f t="shared" si="44"/>
        <v>0</v>
      </c>
      <c r="N301" s="200">
        <f t="shared" si="45"/>
        <v>0</v>
      </c>
      <c r="O301" s="200">
        <f t="shared" si="46"/>
        <v>0</v>
      </c>
      <c r="P301" s="200">
        <f t="shared" si="47"/>
        <v>0</v>
      </c>
      <c r="Q301" s="200">
        <f t="shared" si="48"/>
        <v>0</v>
      </c>
      <c r="R301" s="200">
        <f t="shared" si="49"/>
        <v>0</v>
      </c>
      <c r="S301" s="200">
        <f t="shared" si="50"/>
        <v>0</v>
      </c>
    </row>
    <row r="302" spans="1:19" s="247" customFormat="1" ht="24.95" customHeight="1">
      <c r="A302" s="242"/>
      <c r="B302" s="242" t="s">
        <v>393</v>
      </c>
      <c r="C302" s="243">
        <v>10</v>
      </c>
      <c r="D302" s="242">
        <f t="shared" si="51"/>
        <v>0</v>
      </c>
      <c r="E302" s="244">
        <v>2</v>
      </c>
      <c r="F302" s="245">
        <v>100</v>
      </c>
      <c r="G302" s="246"/>
      <c r="H302" s="246">
        <v>1205</v>
      </c>
      <c r="I302" s="246"/>
      <c r="J302" s="245">
        <v>100</v>
      </c>
      <c r="K302" s="246">
        <v>2</v>
      </c>
      <c r="L302" s="235">
        <f t="shared" si="43"/>
        <v>1.365</v>
      </c>
      <c r="M302" s="200">
        <f t="shared" si="44"/>
        <v>0</v>
      </c>
      <c r="N302" s="200">
        <f t="shared" si="45"/>
        <v>0</v>
      </c>
      <c r="O302" s="200">
        <f t="shared" si="46"/>
        <v>0</v>
      </c>
      <c r="P302" s="200">
        <f t="shared" si="47"/>
        <v>0</v>
      </c>
      <c r="Q302" s="200">
        <f t="shared" si="48"/>
        <v>0</v>
      </c>
      <c r="R302" s="200">
        <f t="shared" si="49"/>
        <v>0</v>
      </c>
      <c r="S302" s="200">
        <f t="shared" si="50"/>
        <v>0</v>
      </c>
    </row>
    <row r="303" spans="1:19" s="247" customFormat="1" ht="24.95" customHeight="1">
      <c r="A303" s="242"/>
      <c r="B303" s="242" t="s">
        <v>394</v>
      </c>
      <c r="C303" s="243">
        <v>8</v>
      </c>
      <c r="D303" s="242">
        <f t="shared" si="51"/>
        <v>0</v>
      </c>
      <c r="E303" s="244">
        <f>(H301/200)+1</f>
        <v>7.0250000000000004</v>
      </c>
      <c r="F303" s="246"/>
      <c r="G303" s="246"/>
      <c r="H303" s="246">
        <v>820</v>
      </c>
      <c r="I303" s="246"/>
      <c r="J303" s="246"/>
      <c r="K303" s="245">
        <v>5</v>
      </c>
      <c r="L303" s="235">
        <f t="shared" si="43"/>
        <v>0.74</v>
      </c>
      <c r="M303" s="200">
        <f t="shared" si="44"/>
        <v>0</v>
      </c>
      <c r="N303" s="200">
        <f t="shared" si="45"/>
        <v>0</v>
      </c>
      <c r="O303" s="200">
        <f t="shared" si="46"/>
        <v>0</v>
      </c>
      <c r="P303" s="200">
        <f t="shared" si="47"/>
        <v>0</v>
      </c>
      <c r="Q303" s="200">
        <f t="shared" si="48"/>
        <v>0</v>
      </c>
      <c r="R303" s="200">
        <f t="shared" si="49"/>
        <v>0</v>
      </c>
      <c r="S303" s="200">
        <f t="shared" si="50"/>
        <v>0</v>
      </c>
    </row>
    <row r="304" spans="1:19" s="247" customFormat="1" ht="24.95" customHeight="1">
      <c r="A304" s="242">
        <v>6</v>
      </c>
      <c r="B304" s="242" t="s">
        <v>392</v>
      </c>
      <c r="C304" s="243">
        <v>10</v>
      </c>
      <c r="D304" s="242">
        <f t="shared" si="51"/>
        <v>0</v>
      </c>
      <c r="E304" s="244">
        <v>2</v>
      </c>
      <c r="F304" s="245">
        <v>100</v>
      </c>
      <c r="G304" s="246"/>
      <c r="H304" s="246">
        <v>1585</v>
      </c>
      <c r="I304" s="246"/>
      <c r="J304" s="245">
        <v>100</v>
      </c>
      <c r="K304" s="246">
        <v>2</v>
      </c>
      <c r="L304" s="235">
        <f t="shared" si="43"/>
        <v>1.7450000000000001</v>
      </c>
      <c r="M304" s="200">
        <f t="shared" si="44"/>
        <v>0</v>
      </c>
      <c r="N304" s="200">
        <f t="shared" si="45"/>
        <v>0</v>
      </c>
      <c r="O304" s="200">
        <f t="shared" si="46"/>
        <v>0</v>
      </c>
      <c r="P304" s="200">
        <f t="shared" si="47"/>
        <v>0</v>
      </c>
      <c r="Q304" s="200">
        <f t="shared" si="48"/>
        <v>0</v>
      </c>
      <c r="R304" s="200">
        <f t="shared" si="49"/>
        <v>0</v>
      </c>
      <c r="S304" s="200">
        <f t="shared" si="50"/>
        <v>0</v>
      </c>
    </row>
    <row r="305" spans="1:19" s="247" customFormat="1" ht="24.95" customHeight="1">
      <c r="A305" s="242"/>
      <c r="B305" s="242" t="s">
        <v>393</v>
      </c>
      <c r="C305" s="243">
        <v>10</v>
      </c>
      <c r="D305" s="242">
        <f t="shared" si="51"/>
        <v>0</v>
      </c>
      <c r="E305" s="244">
        <v>2</v>
      </c>
      <c r="F305" s="245">
        <v>100</v>
      </c>
      <c r="G305" s="246"/>
      <c r="H305" s="246">
        <v>1585</v>
      </c>
      <c r="I305" s="246"/>
      <c r="J305" s="245">
        <v>100</v>
      </c>
      <c r="K305" s="246">
        <v>2</v>
      </c>
      <c r="L305" s="235">
        <f t="shared" si="43"/>
        <v>1.7450000000000001</v>
      </c>
      <c r="M305" s="200">
        <f t="shared" si="44"/>
        <v>0</v>
      </c>
      <c r="N305" s="200">
        <f t="shared" si="45"/>
        <v>0</v>
      </c>
      <c r="O305" s="200">
        <f t="shared" si="46"/>
        <v>0</v>
      </c>
      <c r="P305" s="200">
        <f t="shared" si="47"/>
        <v>0</v>
      </c>
      <c r="Q305" s="200">
        <f t="shared" si="48"/>
        <v>0</v>
      </c>
      <c r="R305" s="200">
        <f t="shared" si="49"/>
        <v>0</v>
      </c>
      <c r="S305" s="200">
        <f t="shared" si="50"/>
        <v>0</v>
      </c>
    </row>
    <row r="306" spans="1:19" s="247" customFormat="1" ht="24.95" customHeight="1">
      <c r="A306" s="242"/>
      <c r="B306" s="242" t="s">
        <v>394</v>
      </c>
      <c r="C306" s="243">
        <v>8</v>
      </c>
      <c r="D306" s="242">
        <f t="shared" si="51"/>
        <v>0</v>
      </c>
      <c r="E306" s="244">
        <f>(H304/200)+1</f>
        <v>8.9250000000000007</v>
      </c>
      <c r="F306" s="246"/>
      <c r="G306" s="246"/>
      <c r="H306" s="246">
        <v>820</v>
      </c>
      <c r="I306" s="246"/>
      <c r="J306" s="246"/>
      <c r="K306" s="245">
        <v>5</v>
      </c>
      <c r="L306" s="235">
        <f t="shared" si="43"/>
        <v>0.74</v>
      </c>
      <c r="M306" s="200">
        <f t="shared" si="44"/>
        <v>0</v>
      </c>
      <c r="N306" s="200">
        <f t="shared" si="45"/>
        <v>0</v>
      </c>
      <c r="O306" s="200">
        <f t="shared" si="46"/>
        <v>0</v>
      </c>
      <c r="P306" s="200">
        <f t="shared" si="47"/>
        <v>0</v>
      </c>
      <c r="Q306" s="200">
        <f t="shared" si="48"/>
        <v>0</v>
      </c>
      <c r="R306" s="200">
        <f t="shared" si="49"/>
        <v>0</v>
      </c>
      <c r="S306" s="200">
        <f t="shared" si="50"/>
        <v>0</v>
      </c>
    </row>
    <row r="307" spans="1:19" s="236" customFormat="1" ht="24.95" customHeight="1">
      <c r="A307" s="239">
        <v>7</v>
      </c>
      <c r="B307" s="239" t="s">
        <v>392</v>
      </c>
      <c r="C307" s="240">
        <v>10</v>
      </c>
      <c r="D307" s="239">
        <v>1</v>
      </c>
      <c r="E307" s="203">
        <v>2</v>
      </c>
      <c r="F307" s="241">
        <v>100</v>
      </c>
      <c r="G307" s="234"/>
      <c r="H307" s="234">
        <v>4240</v>
      </c>
      <c r="I307" s="234"/>
      <c r="J307" s="241">
        <v>100</v>
      </c>
      <c r="K307" s="234">
        <v>2</v>
      </c>
      <c r="L307" s="235">
        <f t="shared" si="43"/>
        <v>4.4000000000000004</v>
      </c>
      <c r="M307" s="200">
        <f t="shared" si="44"/>
        <v>0</v>
      </c>
      <c r="N307" s="200">
        <f t="shared" si="45"/>
        <v>8.8000000000000007</v>
      </c>
      <c r="O307" s="200">
        <f t="shared" si="46"/>
        <v>0</v>
      </c>
      <c r="P307" s="200">
        <f t="shared" si="47"/>
        <v>0</v>
      </c>
      <c r="Q307" s="200">
        <f t="shared" si="48"/>
        <v>0</v>
      </c>
      <c r="R307" s="200">
        <f t="shared" si="49"/>
        <v>0</v>
      </c>
      <c r="S307" s="200">
        <f t="shared" si="50"/>
        <v>0</v>
      </c>
    </row>
    <row r="308" spans="1:19" s="236" customFormat="1" ht="24.95" customHeight="1">
      <c r="A308" s="239"/>
      <c r="B308" s="239" t="s">
        <v>393</v>
      </c>
      <c r="C308" s="240">
        <v>10</v>
      </c>
      <c r="D308" s="239">
        <v>1</v>
      </c>
      <c r="E308" s="203">
        <v>2</v>
      </c>
      <c r="F308" s="241">
        <v>100</v>
      </c>
      <c r="G308" s="234"/>
      <c r="H308" s="234">
        <v>4240</v>
      </c>
      <c r="I308" s="234"/>
      <c r="J308" s="241">
        <v>100</v>
      </c>
      <c r="K308" s="234">
        <v>2</v>
      </c>
      <c r="L308" s="235">
        <f t="shared" si="43"/>
        <v>4.4000000000000004</v>
      </c>
      <c r="M308" s="200">
        <f t="shared" si="44"/>
        <v>0</v>
      </c>
      <c r="N308" s="200">
        <f t="shared" si="45"/>
        <v>8.8000000000000007</v>
      </c>
      <c r="O308" s="200">
        <f t="shared" si="46"/>
        <v>0</v>
      </c>
      <c r="P308" s="200">
        <f t="shared" si="47"/>
        <v>0</v>
      </c>
      <c r="Q308" s="200">
        <f t="shared" si="48"/>
        <v>0</v>
      </c>
      <c r="R308" s="200">
        <f t="shared" si="49"/>
        <v>0</v>
      </c>
      <c r="S308" s="200">
        <f t="shared" si="50"/>
        <v>0</v>
      </c>
    </row>
    <row r="309" spans="1:19" s="236" customFormat="1" ht="24.95" customHeight="1">
      <c r="A309" s="239"/>
      <c r="B309" s="239" t="s">
        <v>394</v>
      </c>
      <c r="C309" s="240">
        <v>8</v>
      </c>
      <c r="D309" s="239">
        <v>1</v>
      </c>
      <c r="E309" s="203">
        <f>(H307/200)+1</f>
        <v>22.2</v>
      </c>
      <c r="F309" s="234"/>
      <c r="G309" s="234"/>
      <c r="H309" s="234">
        <v>820</v>
      </c>
      <c r="I309" s="234"/>
      <c r="J309" s="234"/>
      <c r="K309" s="241">
        <v>5</v>
      </c>
      <c r="L309" s="235">
        <f t="shared" si="43"/>
        <v>0.74</v>
      </c>
      <c r="M309" s="200">
        <f t="shared" si="44"/>
        <v>16.428000000000001</v>
      </c>
      <c r="N309" s="200">
        <f t="shared" si="45"/>
        <v>0</v>
      </c>
      <c r="O309" s="200">
        <f t="shared" si="46"/>
        <v>0</v>
      </c>
      <c r="P309" s="200">
        <f t="shared" si="47"/>
        <v>0</v>
      </c>
      <c r="Q309" s="200">
        <f t="shared" si="48"/>
        <v>0</v>
      </c>
      <c r="R309" s="200">
        <f t="shared" si="49"/>
        <v>0</v>
      </c>
      <c r="S309" s="200">
        <f t="shared" si="50"/>
        <v>0</v>
      </c>
    </row>
    <row r="310" spans="1:19" s="236" customFormat="1" ht="24.95" customHeight="1">
      <c r="A310" s="239">
        <v>8</v>
      </c>
      <c r="B310" s="239" t="s">
        <v>392</v>
      </c>
      <c r="C310" s="240">
        <v>10</v>
      </c>
      <c r="D310" s="239">
        <v>1</v>
      </c>
      <c r="E310" s="203">
        <v>2</v>
      </c>
      <c r="F310" s="241">
        <v>100</v>
      </c>
      <c r="G310" s="234"/>
      <c r="H310" s="234">
        <v>560</v>
      </c>
      <c r="I310" s="234"/>
      <c r="J310" s="241">
        <v>100</v>
      </c>
      <c r="K310" s="234">
        <v>2</v>
      </c>
      <c r="L310" s="235">
        <f t="shared" si="43"/>
        <v>0.72</v>
      </c>
      <c r="M310" s="200">
        <f t="shared" si="44"/>
        <v>0</v>
      </c>
      <c r="N310" s="200">
        <f t="shared" si="45"/>
        <v>1.44</v>
      </c>
      <c r="O310" s="200">
        <f t="shared" si="46"/>
        <v>0</v>
      </c>
      <c r="P310" s="200">
        <f t="shared" si="47"/>
        <v>0</v>
      </c>
      <c r="Q310" s="200">
        <f t="shared" si="48"/>
        <v>0</v>
      </c>
      <c r="R310" s="200">
        <f t="shared" si="49"/>
        <v>0</v>
      </c>
      <c r="S310" s="200">
        <f t="shared" si="50"/>
        <v>0</v>
      </c>
    </row>
    <row r="311" spans="1:19" s="236" customFormat="1" ht="24.95" customHeight="1">
      <c r="A311" s="239"/>
      <c r="B311" s="239" t="s">
        <v>393</v>
      </c>
      <c r="C311" s="240">
        <v>10</v>
      </c>
      <c r="D311" s="239">
        <v>1</v>
      </c>
      <c r="E311" s="203">
        <v>2</v>
      </c>
      <c r="F311" s="241">
        <v>100</v>
      </c>
      <c r="G311" s="234"/>
      <c r="H311" s="234">
        <v>560</v>
      </c>
      <c r="I311" s="234"/>
      <c r="J311" s="241">
        <v>100</v>
      </c>
      <c r="K311" s="234">
        <v>2</v>
      </c>
      <c r="L311" s="235">
        <f t="shared" si="43"/>
        <v>0.72</v>
      </c>
      <c r="M311" s="200">
        <f t="shared" si="44"/>
        <v>0</v>
      </c>
      <c r="N311" s="200">
        <f t="shared" si="45"/>
        <v>1.44</v>
      </c>
      <c r="O311" s="200">
        <f t="shared" si="46"/>
        <v>0</v>
      </c>
      <c r="P311" s="200">
        <f t="shared" si="47"/>
        <v>0</v>
      </c>
      <c r="Q311" s="200">
        <f t="shared" si="48"/>
        <v>0</v>
      </c>
      <c r="R311" s="200">
        <f t="shared" si="49"/>
        <v>0</v>
      </c>
      <c r="S311" s="200">
        <f t="shared" si="50"/>
        <v>0</v>
      </c>
    </row>
    <row r="312" spans="1:19" s="236" customFormat="1" ht="24.95" customHeight="1">
      <c r="A312" s="239"/>
      <c r="B312" s="239" t="s">
        <v>394</v>
      </c>
      <c r="C312" s="240">
        <v>8</v>
      </c>
      <c r="D312" s="239">
        <v>1</v>
      </c>
      <c r="E312" s="203">
        <f>(H310/200)+1</f>
        <v>3.8</v>
      </c>
      <c r="F312" s="234"/>
      <c r="G312" s="234"/>
      <c r="H312" s="234">
        <v>820</v>
      </c>
      <c r="I312" s="234"/>
      <c r="J312" s="234"/>
      <c r="K312" s="241">
        <v>5</v>
      </c>
      <c r="L312" s="235">
        <f t="shared" si="43"/>
        <v>0.74</v>
      </c>
      <c r="M312" s="200">
        <f t="shared" si="44"/>
        <v>2.8119999999999998</v>
      </c>
      <c r="N312" s="200">
        <f t="shared" si="45"/>
        <v>0</v>
      </c>
      <c r="O312" s="200">
        <f t="shared" si="46"/>
        <v>0</v>
      </c>
      <c r="P312" s="200">
        <f t="shared" si="47"/>
        <v>0</v>
      </c>
      <c r="Q312" s="200">
        <f t="shared" si="48"/>
        <v>0</v>
      </c>
      <c r="R312" s="200">
        <f t="shared" si="49"/>
        <v>0</v>
      </c>
      <c r="S312" s="200">
        <f t="shared" si="50"/>
        <v>0</v>
      </c>
    </row>
    <row r="313" spans="1:19" s="236" customFormat="1" ht="24.95" customHeight="1">
      <c r="A313" s="239">
        <v>9</v>
      </c>
      <c r="B313" s="239" t="s">
        <v>392</v>
      </c>
      <c r="C313" s="240">
        <v>10</v>
      </c>
      <c r="D313" s="239">
        <v>1</v>
      </c>
      <c r="E313" s="203">
        <v>2</v>
      </c>
      <c r="F313" s="241">
        <v>100</v>
      </c>
      <c r="G313" s="234"/>
      <c r="H313" s="234">
        <v>1460</v>
      </c>
      <c r="I313" s="234"/>
      <c r="J313" s="241">
        <v>100</v>
      </c>
      <c r="K313" s="234">
        <v>2</v>
      </c>
      <c r="L313" s="235">
        <f t="shared" si="43"/>
        <v>1.62</v>
      </c>
      <c r="M313" s="200">
        <f t="shared" si="44"/>
        <v>0</v>
      </c>
      <c r="N313" s="200">
        <f t="shared" si="45"/>
        <v>3.24</v>
      </c>
      <c r="O313" s="200">
        <f t="shared" si="46"/>
        <v>0</v>
      </c>
      <c r="P313" s="200">
        <f t="shared" si="47"/>
        <v>0</v>
      </c>
      <c r="Q313" s="200">
        <f t="shared" si="48"/>
        <v>0</v>
      </c>
      <c r="R313" s="200">
        <f t="shared" si="49"/>
        <v>0</v>
      </c>
      <c r="S313" s="200">
        <f t="shared" si="50"/>
        <v>0</v>
      </c>
    </row>
    <row r="314" spans="1:19" s="236" customFormat="1" ht="24.95" customHeight="1">
      <c r="A314" s="239"/>
      <c r="B314" s="239" t="s">
        <v>393</v>
      </c>
      <c r="C314" s="240">
        <v>10</v>
      </c>
      <c r="D314" s="239">
        <v>1</v>
      </c>
      <c r="E314" s="203">
        <v>2</v>
      </c>
      <c r="F314" s="241">
        <v>100</v>
      </c>
      <c r="G314" s="234"/>
      <c r="H314" s="234">
        <v>1460</v>
      </c>
      <c r="I314" s="234"/>
      <c r="J314" s="241">
        <v>100</v>
      </c>
      <c r="K314" s="234">
        <v>2</v>
      </c>
      <c r="L314" s="235">
        <f t="shared" si="43"/>
        <v>1.62</v>
      </c>
      <c r="M314" s="200">
        <f t="shared" si="44"/>
        <v>0</v>
      </c>
      <c r="N314" s="200">
        <f t="shared" si="45"/>
        <v>3.24</v>
      </c>
      <c r="O314" s="200">
        <f t="shared" si="46"/>
        <v>0</v>
      </c>
      <c r="P314" s="200">
        <f t="shared" si="47"/>
        <v>0</v>
      </c>
      <c r="Q314" s="200">
        <f t="shared" si="48"/>
        <v>0</v>
      </c>
      <c r="R314" s="200">
        <f t="shared" si="49"/>
        <v>0</v>
      </c>
      <c r="S314" s="200">
        <f t="shared" si="50"/>
        <v>0</v>
      </c>
    </row>
    <row r="315" spans="1:19" s="236" customFormat="1" ht="24.95" customHeight="1">
      <c r="A315" s="239"/>
      <c r="B315" s="239" t="s">
        <v>394</v>
      </c>
      <c r="C315" s="240">
        <v>8</v>
      </c>
      <c r="D315" s="239">
        <v>1</v>
      </c>
      <c r="E315" s="203">
        <f>(H313/200)+1</f>
        <v>8.3000000000000007</v>
      </c>
      <c r="F315" s="234"/>
      <c r="G315" s="234"/>
      <c r="H315" s="234">
        <v>820</v>
      </c>
      <c r="I315" s="234"/>
      <c r="J315" s="234"/>
      <c r="K315" s="241">
        <v>5</v>
      </c>
      <c r="L315" s="235">
        <f t="shared" si="43"/>
        <v>0.74</v>
      </c>
      <c r="M315" s="200">
        <f t="shared" si="44"/>
        <v>6.1420000000000003</v>
      </c>
      <c r="N315" s="200">
        <f t="shared" si="45"/>
        <v>0</v>
      </c>
      <c r="O315" s="200">
        <f t="shared" si="46"/>
        <v>0</v>
      </c>
      <c r="P315" s="200">
        <f t="shared" si="47"/>
        <v>0</v>
      </c>
      <c r="Q315" s="200">
        <f t="shared" si="48"/>
        <v>0</v>
      </c>
      <c r="R315" s="200">
        <f t="shared" si="49"/>
        <v>0</v>
      </c>
      <c r="S315" s="200">
        <f t="shared" si="50"/>
        <v>0</v>
      </c>
    </row>
    <row r="316" spans="1:19" s="236" customFormat="1" ht="24.95" customHeight="1">
      <c r="A316" s="239">
        <v>10</v>
      </c>
      <c r="B316" s="239" t="s">
        <v>392</v>
      </c>
      <c r="C316" s="240">
        <v>10</v>
      </c>
      <c r="D316" s="239">
        <v>1</v>
      </c>
      <c r="E316" s="203">
        <v>2</v>
      </c>
      <c r="F316" s="241">
        <v>100</v>
      </c>
      <c r="G316" s="234"/>
      <c r="H316" s="241">
        <v>4240</v>
      </c>
      <c r="I316" s="234"/>
      <c r="J316" s="241">
        <v>100</v>
      </c>
      <c r="K316" s="234">
        <v>2</v>
      </c>
      <c r="L316" s="235">
        <f t="shared" si="43"/>
        <v>4.4000000000000004</v>
      </c>
      <c r="M316" s="200">
        <f t="shared" si="44"/>
        <v>0</v>
      </c>
      <c r="N316" s="200">
        <f t="shared" si="45"/>
        <v>8.8000000000000007</v>
      </c>
      <c r="O316" s="200">
        <f t="shared" si="46"/>
        <v>0</v>
      </c>
      <c r="P316" s="200">
        <f t="shared" si="47"/>
        <v>0</v>
      </c>
      <c r="Q316" s="200">
        <f t="shared" si="48"/>
        <v>0</v>
      </c>
      <c r="R316" s="200">
        <f t="shared" si="49"/>
        <v>0</v>
      </c>
      <c r="S316" s="200">
        <f t="shared" si="50"/>
        <v>0</v>
      </c>
    </row>
    <row r="317" spans="1:19" s="236" customFormat="1" ht="24.95" customHeight="1">
      <c r="A317" s="239"/>
      <c r="B317" s="239" t="s">
        <v>393</v>
      </c>
      <c r="C317" s="240">
        <v>10</v>
      </c>
      <c r="D317" s="239">
        <v>1</v>
      </c>
      <c r="E317" s="203">
        <v>2</v>
      </c>
      <c r="F317" s="241">
        <v>100</v>
      </c>
      <c r="G317" s="234"/>
      <c r="H317" s="241">
        <v>4240</v>
      </c>
      <c r="I317" s="234"/>
      <c r="J317" s="241">
        <v>100</v>
      </c>
      <c r="K317" s="234">
        <v>2</v>
      </c>
      <c r="L317" s="235">
        <f t="shared" si="43"/>
        <v>4.4000000000000004</v>
      </c>
      <c r="M317" s="200">
        <f t="shared" si="44"/>
        <v>0</v>
      </c>
      <c r="N317" s="200">
        <f t="shared" si="45"/>
        <v>8.8000000000000007</v>
      </c>
      <c r="O317" s="200">
        <f t="shared" si="46"/>
        <v>0</v>
      </c>
      <c r="P317" s="200">
        <f t="shared" si="47"/>
        <v>0</v>
      </c>
      <c r="Q317" s="200">
        <f t="shared" si="48"/>
        <v>0</v>
      </c>
      <c r="R317" s="200">
        <f t="shared" si="49"/>
        <v>0</v>
      </c>
      <c r="S317" s="200">
        <f t="shared" si="50"/>
        <v>0</v>
      </c>
    </row>
    <row r="318" spans="1:19" s="236" customFormat="1" ht="24.95" customHeight="1">
      <c r="A318" s="239"/>
      <c r="B318" s="239" t="s">
        <v>394</v>
      </c>
      <c r="C318" s="240">
        <v>8</v>
      </c>
      <c r="D318" s="239">
        <v>1</v>
      </c>
      <c r="E318" s="249">
        <f>(H316/200)+1</f>
        <v>22.2</v>
      </c>
      <c r="F318" s="234"/>
      <c r="G318" s="234"/>
      <c r="H318" s="234">
        <v>820</v>
      </c>
      <c r="I318" s="234"/>
      <c r="J318" s="234"/>
      <c r="K318" s="241">
        <v>5</v>
      </c>
      <c r="L318" s="235">
        <f t="shared" si="43"/>
        <v>0.74</v>
      </c>
      <c r="M318" s="200">
        <f t="shared" si="44"/>
        <v>16.428000000000001</v>
      </c>
      <c r="N318" s="200">
        <f t="shared" si="45"/>
        <v>0</v>
      </c>
      <c r="O318" s="200">
        <f t="shared" si="46"/>
        <v>0</v>
      </c>
      <c r="P318" s="200">
        <f t="shared" si="47"/>
        <v>0</v>
      </c>
      <c r="Q318" s="200">
        <f t="shared" si="48"/>
        <v>0</v>
      </c>
      <c r="R318" s="200">
        <f t="shared" si="49"/>
        <v>0</v>
      </c>
      <c r="S318" s="200">
        <f t="shared" si="50"/>
        <v>0</v>
      </c>
    </row>
    <row r="319" spans="1:19" s="247" customFormat="1" ht="24.95" customHeight="1">
      <c r="A319" s="242">
        <v>11</v>
      </c>
      <c r="B319" s="242" t="s">
        <v>392</v>
      </c>
      <c r="C319" s="243">
        <v>10</v>
      </c>
      <c r="D319" s="242">
        <f t="shared" ref="D319:D321" si="52">1*0</f>
        <v>0</v>
      </c>
      <c r="E319" s="244">
        <v>2</v>
      </c>
      <c r="F319" s="245">
        <v>100</v>
      </c>
      <c r="G319" s="246"/>
      <c r="H319" s="246">
        <v>3085</v>
      </c>
      <c r="I319" s="246"/>
      <c r="J319" s="245">
        <v>100</v>
      </c>
      <c r="K319" s="246">
        <v>2</v>
      </c>
      <c r="L319" s="235">
        <f t="shared" si="43"/>
        <v>3.2450000000000001</v>
      </c>
      <c r="M319" s="200">
        <f t="shared" si="44"/>
        <v>0</v>
      </c>
      <c r="N319" s="200">
        <f t="shared" si="45"/>
        <v>0</v>
      </c>
      <c r="O319" s="200">
        <f t="shared" si="46"/>
        <v>0</v>
      </c>
      <c r="P319" s="200">
        <f t="shared" si="47"/>
        <v>0</v>
      </c>
      <c r="Q319" s="200">
        <f t="shared" si="48"/>
        <v>0</v>
      </c>
      <c r="R319" s="200">
        <f t="shared" si="49"/>
        <v>0</v>
      </c>
      <c r="S319" s="200">
        <f t="shared" si="50"/>
        <v>0</v>
      </c>
    </row>
    <row r="320" spans="1:19" s="247" customFormat="1" ht="24.95" customHeight="1">
      <c r="A320" s="242"/>
      <c r="B320" s="242" t="s">
        <v>393</v>
      </c>
      <c r="C320" s="243">
        <v>10</v>
      </c>
      <c r="D320" s="242">
        <f t="shared" si="52"/>
        <v>0</v>
      </c>
      <c r="E320" s="244">
        <v>2</v>
      </c>
      <c r="F320" s="245">
        <v>100</v>
      </c>
      <c r="G320" s="246"/>
      <c r="H320" s="246">
        <v>3085</v>
      </c>
      <c r="I320" s="246"/>
      <c r="J320" s="245">
        <v>100</v>
      </c>
      <c r="K320" s="246">
        <v>2</v>
      </c>
      <c r="L320" s="235">
        <f t="shared" si="43"/>
        <v>3.2450000000000001</v>
      </c>
      <c r="M320" s="200">
        <f t="shared" si="44"/>
        <v>0</v>
      </c>
      <c r="N320" s="200">
        <f t="shared" si="45"/>
        <v>0</v>
      </c>
      <c r="O320" s="200">
        <f t="shared" si="46"/>
        <v>0</v>
      </c>
      <c r="P320" s="200">
        <f t="shared" si="47"/>
        <v>0</v>
      </c>
      <c r="Q320" s="200">
        <f t="shared" si="48"/>
        <v>0</v>
      </c>
      <c r="R320" s="200">
        <f t="shared" si="49"/>
        <v>0</v>
      </c>
      <c r="S320" s="200">
        <f t="shared" si="50"/>
        <v>0</v>
      </c>
    </row>
    <row r="321" spans="1:19" s="247" customFormat="1" ht="24.95" customHeight="1">
      <c r="A321" s="242"/>
      <c r="B321" s="242" t="s">
        <v>394</v>
      </c>
      <c r="C321" s="243">
        <v>8</v>
      </c>
      <c r="D321" s="242">
        <f t="shared" si="52"/>
        <v>0</v>
      </c>
      <c r="E321" s="244">
        <f>(H319/200)+1</f>
        <v>16.425000000000001</v>
      </c>
      <c r="F321" s="246"/>
      <c r="G321" s="246"/>
      <c r="H321" s="246">
        <v>820</v>
      </c>
      <c r="I321" s="246"/>
      <c r="J321" s="246"/>
      <c r="K321" s="245">
        <v>5</v>
      </c>
      <c r="L321" s="235">
        <f t="shared" si="43"/>
        <v>0.74</v>
      </c>
      <c r="M321" s="200">
        <f t="shared" si="44"/>
        <v>0</v>
      </c>
      <c r="N321" s="200">
        <f t="shared" si="45"/>
        <v>0</v>
      </c>
      <c r="O321" s="200">
        <f t="shared" si="46"/>
        <v>0</v>
      </c>
      <c r="P321" s="200">
        <f t="shared" si="47"/>
        <v>0</v>
      </c>
      <c r="Q321" s="200">
        <f t="shared" si="48"/>
        <v>0</v>
      </c>
      <c r="R321" s="200">
        <f t="shared" si="49"/>
        <v>0</v>
      </c>
      <c r="S321" s="200">
        <f t="shared" si="50"/>
        <v>0</v>
      </c>
    </row>
    <row r="322" spans="1:19" s="236" customFormat="1" ht="24.95" customHeight="1">
      <c r="A322" s="239">
        <v>12</v>
      </c>
      <c r="B322" s="239" t="s">
        <v>392</v>
      </c>
      <c r="C322" s="240">
        <v>10</v>
      </c>
      <c r="D322" s="239">
        <v>1</v>
      </c>
      <c r="E322" s="203">
        <v>2</v>
      </c>
      <c r="F322" s="241">
        <v>100</v>
      </c>
      <c r="G322" s="234"/>
      <c r="H322" s="234">
        <v>3260</v>
      </c>
      <c r="I322" s="234"/>
      <c r="J322" s="241">
        <v>100</v>
      </c>
      <c r="K322" s="234">
        <v>2</v>
      </c>
      <c r="L322" s="235">
        <f t="shared" si="43"/>
        <v>3.42</v>
      </c>
      <c r="M322" s="200">
        <f t="shared" si="44"/>
        <v>0</v>
      </c>
      <c r="N322" s="200">
        <f t="shared" si="45"/>
        <v>6.84</v>
      </c>
      <c r="O322" s="200">
        <f t="shared" si="46"/>
        <v>0</v>
      </c>
      <c r="P322" s="200">
        <f t="shared" si="47"/>
        <v>0</v>
      </c>
      <c r="Q322" s="200">
        <f t="shared" si="48"/>
        <v>0</v>
      </c>
      <c r="R322" s="200">
        <f t="shared" si="49"/>
        <v>0</v>
      </c>
      <c r="S322" s="200">
        <f t="shared" si="50"/>
        <v>0</v>
      </c>
    </row>
    <row r="323" spans="1:19" s="236" customFormat="1" ht="24.95" customHeight="1">
      <c r="A323" s="239"/>
      <c r="B323" s="239" t="s">
        <v>393</v>
      </c>
      <c r="C323" s="240">
        <v>10</v>
      </c>
      <c r="D323" s="239">
        <v>1</v>
      </c>
      <c r="E323" s="203">
        <v>2</v>
      </c>
      <c r="F323" s="241">
        <v>100</v>
      </c>
      <c r="G323" s="234"/>
      <c r="H323" s="234">
        <v>3260</v>
      </c>
      <c r="I323" s="234"/>
      <c r="J323" s="241">
        <v>100</v>
      </c>
      <c r="K323" s="234">
        <v>2</v>
      </c>
      <c r="L323" s="235">
        <f t="shared" si="43"/>
        <v>3.42</v>
      </c>
      <c r="M323" s="200">
        <f t="shared" si="44"/>
        <v>0</v>
      </c>
      <c r="N323" s="200">
        <f t="shared" si="45"/>
        <v>6.84</v>
      </c>
      <c r="O323" s="200">
        <f t="shared" si="46"/>
        <v>0</v>
      </c>
      <c r="P323" s="200">
        <f t="shared" si="47"/>
        <v>0</v>
      </c>
      <c r="Q323" s="200">
        <f t="shared" si="48"/>
        <v>0</v>
      </c>
      <c r="R323" s="200">
        <f t="shared" si="49"/>
        <v>0</v>
      </c>
      <c r="S323" s="200">
        <f t="shared" si="50"/>
        <v>0</v>
      </c>
    </row>
    <row r="324" spans="1:19" s="236" customFormat="1" ht="24.95" customHeight="1">
      <c r="A324" s="239"/>
      <c r="B324" s="239" t="s">
        <v>394</v>
      </c>
      <c r="C324" s="240">
        <v>8</v>
      </c>
      <c r="D324" s="239">
        <v>1</v>
      </c>
      <c r="E324" s="203">
        <f>(H322/200)+1</f>
        <v>17.3</v>
      </c>
      <c r="F324" s="234"/>
      <c r="G324" s="234"/>
      <c r="H324" s="234">
        <v>820</v>
      </c>
      <c r="I324" s="234"/>
      <c r="J324" s="234"/>
      <c r="K324" s="241">
        <v>5</v>
      </c>
      <c r="L324" s="235">
        <f t="shared" si="43"/>
        <v>0.74</v>
      </c>
      <c r="M324" s="200">
        <f t="shared" si="44"/>
        <v>12.802</v>
      </c>
      <c r="N324" s="200">
        <f t="shared" si="45"/>
        <v>0</v>
      </c>
      <c r="O324" s="200">
        <f t="shared" si="46"/>
        <v>0</v>
      </c>
      <c r="P324" s="200">
        <f t="shared" si="47"/>
        <v>0</v>
      </c>
      <c r="Q324" s="200">
        <f t="shared" si="48"/>
        <v>0</v>
      </c>
      <c r="R324" s="200">
        <f t="shared" si="49"/>
        <v>0</v>
      </c>
      <c r="S324" s="200">
        <f t="shared" si="50"/>
        <v>0</v>
      </c>
    </row>
    <row r="325" spans="1:19" s="236" customFormat="1" ht="24.95" customHeight="1">
      <c r="A325" s="239">
        <v>13</v>
      </c>
      <c r="B325" s="239" t="s">
        <v>392</v>
      </c>
      <c r="C325" s="240">
        <v>10</v>
      </c>
      <c r="D325" s="239">
        <v>1</v>
      </c>
      <c r="E325" s="203">
        <v>2</v>
      </c>
      <c r="F325" s="241">
        <v>100</v>
      </c>
      <c r="G325" s="234"/>
      <c r="H325" s="234">
        <v>780</v>
      </c>
      <c r="I325" s="234"/>
      <c r="J325" s="241">
        <v>100</v>
      </c>
      <c r="K325" s="234">
        <v>2</v>
      </c>
      <c r="L325" s="235">
        <f t="shared" si="43"/>
        <v>0.94</v>
      </c>
      <c r="M325" s="200">
        <f t="shared" si="44"/>
        <v>0</v>
      </c>
      <c r="N325" s="200">
        <f t="shared" si="45"/>
        <v>1.88</v>
      </c>
      <c r="O325" s="200">
        <f t="shared" si="46"/>
        <v>0</v>
      </c>
      <c r="P325" s="200">
        <f t="shared" si="47"/>
        <v>0</v>
      </c>
      <c r="Q325" s="200">
        <f t="shared" si="48"/>
        <v>0</v>
      </c>
      <c r="R325" s="200">
        <f t="shared" si="49"/>
        <v>0</v>
      </c>
      <c r="S325" s="200">
        <f t="shared" si="50"/>
        <v>0</v>
      </c>
    </row>
    <row r="326" spans="1:19" s="236" customFormat="1" ht="24.95" customHeight="1">
      <c r="A326" s="239"/>
      <c r="B326" s="239" t="s">
        <v>393</v>
      </c>
      <c r="C326" s="240">
        <v>10</v>
      </c>
      <c r="D326" s="239">
        <v>1</v>
      </c>
      <c r="E326" s="203">
        <v>2</v>
      </c>
      <c r="F326" s="241">
        <v>100</v>
      </c>
      <c r="G326" s="234"/>
      <c r="H326" s="234">
        <v>780</v>
      </c>
      <c r="I326" s="234"/>
      <c r="J326" s="241">
        <v>100</v>
      </c>
      <c r="K326" s="234">
        <v>2</v>
      </c>
      <c r="L326" s="235">
        <f t="shared" si="43"/>
        <v>0.94</v>
      </c>
      <c r="M326" s="200">
        <f t="shared" si="44"/>
        <v>0</v>
      </c>
      <c r="N326" s="200">
        <f t="shared" si="45"/>
        <v>1.88</v>
      </c>
      <c r="O326" s="200">
        <f t="shared" si="46"/>
        <v>0</v>
      </c>
      <c r="P326" s="200">
        <f t="shared" si="47"/>
        <v>0</v>
      </c>
      <c r="Q326" s="200">
        <f t="shared" si="48"/>
        <v>0</v>
      </c>
      <c r="R326" s="200">
        <f t="shared" si="49"/>
        <v>0</v>
      </c>
      <c r="S326" s="200">
        <f t="shared" si="50"/>
        <v>0</v>
      </c>
    </row>
    <row r="327" spans="1:19" s="236" customFormat="1" ht="24.95" customHeight="1">
      <c r="A327" s="239"/>
      <c r="B327" s="239" t="s">
        <v>394</v>
      </c>
      <c r="C327" s="240">
        <v>8</v>
      </c>
      <c r="D327" s="239">
        <v>1</v>
      </c>
      <c r="E327" s="203">
        <f>(H325/200)+1</f>
        <v>4.9000000000000004</v>
      </c>
      <c r="F327" s="234"/>
      <c r="G327" s="234"/>
      <c r="H327" s="234">
        <v>820</v>
      </c>
      <c r="I327" s="234"/>
      <c r="J327" s="234"/>
      <c r="K327" s="241">
        <v>5</v>
      </c>
      <c r="L327" s="235">
        <f t="shared" si="43"/>
        <v>0.74</v>
      </c>
      <c r="M327" s="200">
        <f t="shared" si="44"/>
        <v>3.6260000000000003</v>
      </c>
      <c r="N327" s="200">
        <f t="shared" si="45"/>
        <v>0</v>
      </c>
      <c r="O327" s="200">
        <f t="shared" si="46"/>
        <v>0</v>
      </c>
      <c r="P327" s="200">
        <f t="shared" si="47"/>
        <v>0</v>
      </c>
      <c r="Q327" s="200">
        <f t="shared" si="48"/>
        <v>0</v>
      </c>
      <c r="R327" s="200">
        <f t="shared" si="49"/>
        <v>0</v>
      </c>
      <c r="S327" s="200">
        <f t="shared" si="50"/>
        <v>0</v>
      </c>
    </row>
    <row r="328" spans="1:19" s="236" customFormat="1" ht="24.95" customHeight="1">
      <c r="A328" s="239">
        <v>14</v>
      </c>
      <c r="B328" s="239" t="s">
        <v>392</v>
      </c>
      <c r="C328" s="240">
        <v>10</v>
      </c>
      <c r="D328" s="239">
        <v>1</v>
      </c>
      <c r="E328" s="203">
        <v>2</v>
      </c>
      <c r="F328" s="241">
        <v>100</v>
      </c>
      <c r="G328" s="234"/>
      <c r="H328" s="234">
        <v>6340</v>
      </c>
      <c r="I328" s="234"/>
      <c r="J328" s="241">
        <v>100</v>
      </c>
      <c r="K328" s="234">
        <v>2</v>
      </c>
      <c r="L328" s="235">
        <f t="shared" si="43"/>
        <v>6.5</v>
      </c>
      <c r="M328" s="200">
        <f t="shared" si="44"/>
        <v>0</v>
      </c>
      <c r="N328" s="200">
        <f t="shared" si="45"/>
        <v>13</v>
      </c>
      <c r="O328" s="200">
        <f t="shared" si="46"/>
        <v>0</v>
      </c>
      <c r="P328" s="200">
        <f t="shared" si="47"/>
        <v>0</v>
      </c>
      <c r="Q328" s="200">
        <f t="shared" si="48"/>
        <v>0</v>
      </c>
      <c r="R328" s="200">
        <f t="shared" si="49"/>
        <v>0</v>
      </c>
      <c r="S328" s="200">
        <f t="shared" si="50"/>
        <v>0</v>
      </c>
    </row>
    <row r="329" spans="1:19" s="236" customFormat="1" ht="24.95" customHeight="1">
      <c r="A329" s="239"/>
      <c r="B329" s="239" t="s">
        <v>393</v>
      </c>
      <c r="C329" s="240">
        <v>10</v>
      </c>
      <c r="D329" s="239">
        <v>1</v>
      </c>
      <c r="E329" s="203">
        <v>2</v>
      </c>
      <c r="F329" s="241">
        <v>100</v>
      </c>
      <c r="G329" s="234"/>
      <c r="H329" s="234">
        <v>6340</v>
      </c>
      <c r="I329" s="234"/>
      <c r="J329" s="241">
        <v>100</v>
      </c>
      <c r="K329" s="234">
        <v>2</v>
      </c>
      <c r="L329" s="235">
        <f t="shared" si="43"/>
        <v>6.5</v>
      </c>
      <c r="M329" s="200">
        <f t="shared" si="44"/>
        <v>0</v>
      </c>
      <c r="N329" s="200">
        <f t="shared" si="45"/>
        <v>13</v>
      </c>
      <c r="O329" s="200">
        <f t="shared" si="46"/>
        <v>0</v>
      </c>
      <c r="P329" s="200">
        <f t="shared" si="47"/>
        <v>0</v>
      </c>
      <c r="Q329" s="200">
        <f t="shared" si="48"/>
        <v>0</v>
      </c>
      <c r="R329" s="200">
        <f t="shared" si="49"/>
        <v>0</v>
      </c>
      <c r="S329" s="200">
        <f t="shared" si="50"/>
        <v>0</v>
      </c>
    </row>
    <row r="330" spans="1:19" s="236" customFormat="1" ht="24.95" customHeight="1">
      <c r="A330" s="239"/>
      <c r="B330" s="239" t="s">
        <v>394</v>
      </c>
      <c r="C330" s="240">
        <v>8</v>
      </c>
      <c r="D330" s="239">
        <v>1</v>
      </c>
      <c r="E330" s="203">
        <f>(H328/200)+1</f>
        <v>32.700000000000003</v>
      </c>
      <c r="F330" s="234"/>
      <c r="G330" s="234"/>
      <c r="H330" s="234">
        <v>820</v>
      </c>
      <c r="I330" s="234"/>
      <c r="J330" s="234"/>
      <c r="K330" s="241">
        <v>5</v>
      </c>
      <c r="L330" s="235">
        <f t="shared" si="43"/>
        <v>0.74</v>
      </c>
      <c r="M330" s="200">
        <f t="shared" si="44"/>
        <v>24.198</v>
      </c>
      <c r="N330" s="200">
        <f t="shared" si="45"/>
        <v>0</v>
      </c>
      <c r="O330" s="200">
        <f t="shared" si="46"/>
        <v>0</v>
      </c>
      <c r="P330" s="200">
        <f t="shared" si="47"/>
        <v>0</v>
      </c>
      <c r="Q330" s="200">
        <f t="shared" si="48"/>
        <v>0</v>
      </c>
      <c r="R330" s="200">
        <f t="shared" si="49"/>
        <v>0</v>
      </c>
      <c r="S330" s="200">
        <f t="shared" si="50"/>
        <v>0</v>
      </c>
    </row>
    <row r="331" spans="1:19" s="236" customFormat="1" ht="24.95" customHeight="1">
      <c r="A331" s="239">
        <v>15</v>
      </c>
      <c r="B331" s="239" t="s">
        <v>392</v>
      </c>
      <c r="C331" s="240">
        <v>10</v>
      </c>
      <c r="D331" s="239">
        <v>1</v>
      </c>
      <c r="E331" s="203">
        <v>2</v>
      </c>
      <c r="F331" s="241">
        <v>100</v>
      </c>
      <c r="G331" s="234"/>
      <c r="H331" s="241">
        <v>3580</v>
      </c>
      <c r="I331" s="234"/>
      <c r="J331" s="241">
        <v>100</v>
      </c>
      <c r="K331" s="234">
        <v>2</v>
      </c>
      <c r="L331" s="235">
        <f t="shared" ref="L331:L394" si="53">(((F331+G331+H331+I331+J331)-C331*K331*2)/1000)</f>
        <v>3.74</v>
      </c>
      <c r="M331" s="200">
        <f t="shared" ref="M331:M394" si="54">+IF(C331=8,D331*E331*L331,0)</f>
        <v>0</v>
      </c>
      <c r="N331" s="200">
        <f t="shared" ref="N331:N394" si="55">+IF(C331=10,D331*E331*L331,0)</f>
        <v>7.48</v>
      </c>
      <c r="O331" s="200">
        <f t="shared" ref="O331:O394" si="56">+IF(C331=12,D331*E331*L331,0)</f>
        <v>0</v>
      </c>
      <c r="P331" s="200">
        <f t="shared" ref="P331:P394" si="57">+IF(C331=16,D331*E331*L331,0)</f>
        <v>0</v>
      </c>
      <c r="Q331" s="200">
        <f t="shared" ref="Q331:Q394" si="58">+IF(C331=20,D331*E331*L331,0)</f>
        <v>0</v>
      </c>
      <c r="R331" s="200">
        <f t="shared" ref="R331:R394" si="59">+IF(C331=25,D331*E331*L331,0)</f>
        <v>0</v>
      </c>
      <c r="S331" s="200">
        <f t="shared" ref="S331:S394" si="60">+IF(C331=32,D331*E331*L331,0)</f>
        <v>0</v>
      </c>
    </row>
    <row r="332" spans="1:19" s="236" customFormat="1" ht="24.95" customHeight="1">
      <c r="A332" s="239"/>
      <c r="B332" s="239" t="s">
        <v>393</v>
      </c>
      <c r="C332" s="240">
        <v>10</v>
      </c>
      <c r="D332" s="239">
        <v>1</v>
      </c>
      <c r="E332" s="203">
        <v>2</v>
      </c>
      <c r="F332" s="241">
        <v>100</v>
      </c>
      <c r="G332" s="234"/>
      <c r="H332" s="241">
        <v>3580</v>
      </c>
      <c r="I332" s="234"/>
      <c r="J332" s="241">
        <v>100</v>
      </c>
      <c r="K332" s="234">
        <v>2</v>
      </c>
      <c r="L332" s="235">
        <f t="shared" si="53"/>
        <v>3.74</v>
      </c>
      <c r="M332" s="200">
        <f t="shared" si="54"/>
        <v>0</v>
      </c>
      <c r="N332" s="200">
        <f t="shared" si="55"/>
        <v>7.48</v>
      </c>
      <c r="O332" s="200">
        <f t="shared" si="56"/>
        <v>0</v>
      </c>
      <c r="P332" s="200">
        <f t="shared" si="57"/>
        <v>0</v>
      </c>
      <c r="Q332" s="200">
        <f t="shared" si="58"/>
        <v>0</v>
      </c>
      <c r="R332" s="200">
        <f t="shared" si="59"/>
        <v>0</v>
      </c>
      <c r="S332" s="200">
        <f t="shared" si="60"/>
        <v>0</v>
      </c>
    </row>
    <row r="333" spans="1:19" s="236" customFormat="1" ht="24.95" customHeight="1">
      <c r="A333" s="239"/>
      <c r="B333" s="239" t="s">
        <v>394</v>
      </c>
      <c r="C333" s="240">
        <v>8</v>
      </c>
      <c r="D333" s="239">
        <v>1</v>
      </c>
      <c r="E333" s="203">
        <f>(H331/200)+1</f>
        <v>18.899999999999999</v>
      </c>
      <c r="F333" s="234"/>
      <c r="G333" s="234"/>
      <c r="H333" s="234">
        <v>820</v>
      </c>
      <c r="I333" s="234"/>
      <c r="J333" s="234"/>
      <c r="K333" s="241">
        <v>5</v>
      </c>
      <c r="L333" s="235">
        <f t="shared" si="53"/>
        <v>0.74</v>
      </c>
      <c r="M333" s="200">
        <f t="shared" si="54"/>
        <v>13.985999999999999</v>
      </c>
      <c r="N333" s="200">
        <f t="shared" si="55"/>
        <v>0</v>
      </c>
      <c r="O333" s="200">
        <f t="shared" si="56"/>
        <v>0</v>
      </c>
      <c r="P333" s="200">
        <f t="shared" si="57"/>
        <v>0</v>
      </c>
      <c r="Q333" s="200">
        <f t="shared" si="58"/>
        <v>0</v>
      </c>
      <c r="R333" s="200">
        <f t="shared" si="59"/>
        <v>0</v>
      </c>
      <c r="S333" s="200">
        <f t="shared" si="60"/>
        <v>0</v>
      </c>
    </row>
    <row r="334" spans="1:19" s="236" customFormat="1" ht="24.95" customHeight="1">
      <c r="A334" s="239">
        <v>16</v>
      </c>
      <c r="B334" s="239" t="s">
        <v>392</v>
      </c>
      <c r="C334" s="240">
        <v>10</v>
      </c>
      <c r="D334" s="239">
        <v>1</v>
      </c>
      <c r="E334" s="203">
        <v>2</v>
      </c>
      <c r="F334" s="241">
        <v>100</v>
      </c>
      <c r="G334" s="234"/>
      <c r="H334" s="234">
        <v>1380</v>
      </c>
      <c r="I334" s="234"/>
      <c r="J334" s="241">
        <v>100</v>
      </c>
      <c r="K334" s="234">
        <v>2</v>
      </c>
      <c r="L334" s="235">
        <f t="shared" si="53"/>
        <v>1.54</v>
      </c>
      <c r="M334" s="200">
        <f t="shared" si="54"/>
        <v>0</v>
      </c>
      <c r="N334" s="200">
        <f t="shared" si="55"/>
        <v>3.08</v>
      </c>
      <c r="O334" s="200">
        <f t="shared" si="56"/>
        <v>0</v>
      </c>
      <c r="P334" s="200">
        <f t="shared" si="57"/>
        <v>0</v>
      </c>
      <c r="Q334" s="200">
        <f t="shared" si="58"/>
        <v>0</v>
      </c>
      <c r="R334" s="200">
        <f t="shared" si="59"/>
        <v>0</v>
      </c>
      <c r="S334" s="200">
        <f t="shared" si="60"/>
        <v>0</v>
      </c>
    </row>
    <row r="335" spans="1:19" s="236" customFormat="1" ht="24.95" customHeight="1">
      <c r="A335" s="239"/>
      <c r="B335" s="239" t="s">
        <v>393</v>
      </c>
      <c r="C335" s="240">
        <v>10</v>
      </c>
      <c r="D335" s="239">
        <v>1</v>
      </c>
      <c r="E335" s="203">
        <v>2</v>
      </c>
      <c r="F335" s="241">
        <v>100</v>
      </c>
      <c r="G335" s="234"/>
      <c r="H335" s="234">
        <v>1380</v>
      </c>
      <c r="I335" s="234"/>
      <c r="J335" s="241">
        <v>100</v>
      </c>
      <c r="K335" s="234">
        <v>2</v>
      </c>
      <c r="L335" s="235">
        <f t="shared" si="53"/>
        <v>1.54</v>
      </c>
      <c r="M335" s="200">
        <f t="shared" si="54"/>
        <v>0</v>
      </c>
      <c r="N335" s="200">
        <f t="shared" si="55"/>
        <v>3.08</v>
      </c>
      <c r="O335" s="200">
        <f t="shared" si="56"/>
        <v>0</v>
      </c>
      <c r="P335" s="200">
        <f t="shared" si="57"/>
        <v>0</v>
      </c>
      <c r="Q335" s="200">
        <f t="shared" si="58"/>
        <v>0</v>
      </c>
      <c r="R335" s="200">
        <f t="shared" si="59"/>
        <v>0</v>
      </c>
      <c r="S335" s="200">
        <f t="shared" si="60"/>
        <v>0</v>
      </c>
    </row>
    <row r="336" spans="1:19" s="236" customFormat="1" ht="24.95" customHeight="1">
      <c r="A336" s="239"/>
      <c r="B336" s="239" t="s">
        <v>394</v>
      </c>
      <c r="C336" s="240">
        <v>8</v>
      </c>
      <c r="D336" s="239">
        <v>1</v>
      </c>
      <c r="E336" s="203">
        <f>(H334/200)+1</f>
        <v>7.9</v>
      </c>
      <c r="F336" s="234"/>
      <c r="G336" s="234"/>
      <c r="H336" s="234">
        <v>820</v>
      </c>
      <c r="I336" s="234"/>
      <c r="J336" s="234"/>
      <c r="K336" s="241">
        <v>5</v>
      </c>
      <c r="L336" s="235">
        <f t="shared" si="53"/>
        <v>0.74</v>
      </c>
      <c r="M336" s="200">
        <f t="shared" si="54"/>
        <v>5.8460000000000001</v>
      </c>
      <c r="N336" s="200">
        <f t="shared" si="55"/>
        <v>0</v>
      </c>
      <c r="O336" s="200">
        <f t="shared" si="56"/>
        <v>0</v>
      </c>
      <c r="P336" s="200">
        <f t="shared" si="57"/>
        <v>0</v>
      </c>
      <c r="Q336" s="200">
        <f t="shared" si="58"/>
        <v>0</v>
      </c>
      <c r="R336" s="200">
        <f t="shared" si="59"/>
        <v>0</v>
      </c>
      <c r="S336" s="200">
        <f t="shared" si="60"/>
        <v>0</v>
      </c>
    </row>
    <row r="337" spans="1:19" s="236" customFormat="1" ht="24.95" customHeight="1">
      <c r="A337" s="239">
        <v>17</v>
      </c>
      <c r="B337" s="239" t="s">
        <v>392</v>
      </c>
      <c r="C337" s="240">
        <v>10</v>
      </c>
      <c r="D337" s="239">
        <v>1</v>
      </c>
      <c r="E337" s="203">
        <v>2</v>
      </c>
      <c r="F337" s="241">
        <v>100</v>
      </c>
      <c r="G337" s="234"/>
      <c r="H337" s="241">
        <v>9770</v>
      </c>
      <c r="I337" s="234"/>
      <c r="J337" s="241">
        <v>100</v>
      </c>
      <c r="K337" s="234">
        <v>2</v>
      </c>
      <c r="L337" s="235">
        <f t="shared" si="53"/>
        <v>9.93</v>
      </c>
      <c r="M337" s="200">
        <f t="shared" si="54"/>
        <v>0</v>
      </c>
      <c r="N337" s="200">
        <f t="shared" si="55"/>
        <v>19.86</v>
      </c>
      <c r="O337" s="200">
        <f t="shared" si="56"/>
        <v>0</v>
      </c>
      <c r="P337" s="200">
        <f t="shared" si="57"/>
        <v>0</v>
      </c>
      <c r="Q337" s="200">
        <f t="shared" si="58"/>
        <v>0</v>
      </c>
      <c r="R337" s="200">
        <f t="shared" si="59"/>
        <v>0</v>
      </c>
      <c r="S337" s="200">
        <f t="shared" si="60"/>
        <v>0</v>
      </c>
    </row>
    <row r="338" spans="1:19" s="236" customFormat="1" ht="24.95" customHeight="1">
      <c r="A338" s="239"/>
      <c r="B338" s="239" t="s">
        <v>393</v>
      </c>
      <c r="C338" s="240">
        <v>10</v>
      </c>
      <c r="D338" s="239">
        <v>1</v>
      </c>
      <c r="E338" s="203">
        <v>2</v>
      </c>
      <c r="F338" s="241">
        <v>100</v>
      </c>
      <c r="G338" s="234"/>
      <c r="H338" s="241">
        <v>9770</v>
      </c>
      <c r="I338" s="234"/>
      <c r="J338" s="241">
        <v>100</v>
      </c>
      <c r="K338" s="234">
        <v>2</v>
      </c>
      <c r="L338" s="235">
        <f t="shared" si="53"/>
        <v>9.93</v>
      </c>
      <c r="M338" s="200">
        <f t="shared" si="54"/>
        <v>0</v>
      </c>
      <c r="N338" s="200">
        <f t="shared" si="55"/>
        <v>19.86</v>
      </c>
      <c r="O338" s="200">
        <f t="shared" si="56"/>
        <v>0</v>
      </c>
      <c r="P338" s="200">
        <f t="shared" si="57"/>
        <v>0</v>
      </c>
      <c r="Q338" s="200">
        <f t="shared" si="58"/>
        <v>0</v>
      </c>
      <c r="R338" s="200">
        <f t="shared" si="59"/>
        <v>0</v>
      </c>
      <c r="S338" s="200">
        <f t="shared" si="60"/>
        <v>0</v>
      </c>
    </row>
    <row r="339" spans="1:19" s="236" customFormat="1" ht="24.95" customHeight="1">
      <c r="A339" s="239"/>
      <c r="B339" s="239" t="s">
        <v>394</v>
      </c>
      <c r="C339" s="240">
        <v>8</v>
      </c>
      <c r="D339" s="239">
        <v>1</v>
      </c>
      <c r="E339" s="203">
        <f>(H337/200)+1</f>
        <v>49.85</v>
      </c>
      <c r="F339" s="234"/>
      <c r="G339" s="234"/>
      <c r="H339" s="234">
        <v>820</v>
      </c>
      <c r="I339" s="234"/>
      <c r="J339" s="234"/>
      <c r="K339" s="241">
        <v>5</v>
      </c>
      <c r="L339" s="235">
        <f t="shared" si="53"/>
        <v>0.74</v>
      </c>
      <c r="M339" s="200">
        <f t="shared" si="54"/>
        <v>36.889000000000003</v>
      </c>
      <c r="N339" s="200">
        <f t="shared" si="55"/>
        <v>0</v>
      </c>
      <c r="O339" s="200">
        <f t="shared" si="56"/>
        <v>0</v>
      </c>
      <c r="P339" s="200">
        <f t="shared" si="57"/>
        <v>0</v>
      </c>
      <c r="Q339" s="200">
        <f t="shared" si="58"/>
        <v>0</v>
      </c>
      <c r="R339" s="200">
        <f t="shared" si="59"/>
        <v>0</v>
      </c>
      <c r="S339" s="200">
        <f t="shared" si="60"/>
        <v>0</v>
      </c>
    </row>
    <row r="340" spans="1:19" s="236" customFormat="1" ht="24.95" customHeight="1">
      <c r="A340" s="207">
        <v>18</v>
      </c>
      <c r="B340" s="208" t="s">
        <v>399</v>
      </c>
      <c r="C340" s="240">
        <v>12</v>
      </c>
      <c r="D340" s="239">
        <v>5</v>
      </c>
      <c r="E340" s="203">
        <v>3</v>
      </c>
      <c r="F340" s="241">
        <v>100</v>
      </c>
      <c r="G340" s="234"/>
      <c r="H340" s="234">
        <v>2950</v>
      </c>
      <c r="I340" s="234"/>
      <c r="J340" s="241">
        <v>100</v>
      </c>
      <c r="K340" s="234">
        <v>2</v>
      </c>
      <c r="L340" s="235">
        <f t="shared" si="53"/>
        <v>3.1019999999999999</v>
      </c>
      <c r="M340" s="200">
        <f t="shared" si="54"/>
        <v>0</v>
      </c>
      <c r="N340" s="200">
        <f t="shared" si="55"/>
        <v>0</v>
      </c>
      <c r="O340" s="200">
        <f t="shared" si="56"/>
        <v>46.53</v>
      </c>
      <c r="P340" s="200">
        <f t="shared" si="57"/>
        <v>0</v>
      </c>
      <c r="Q340" s="200">
        <f t="shared" si="58"/>
        <v>0</v>
      </c>
      <c r="R340" s="200">
        <f t="shared" si="59"/>
        <v>0</v>
      </c>
      <c r="S340" s="200">
        <f t="shared" si="60"/>
        <v>0</v>
      </c>
    </row>
    <row r="341" spans="1:19" s="236" customFormat="1" ht="24.95" customHeight="1">
      <c r="A341" s="239"/>
      <c r="B341" s="239" t="s">
        <v>393</v>
      </c>
      <c r="C341" s="240">
        <v>12</v>
      </c>
      <c r="D341" s="239">
        <v>5</v>
      </c>
      <c r="E341" s="203">
        <v>3</v>
      </c>
      <c r="F341" s="241">
        <v>100</v>
      </c>
      <c r="G341" s="234"/>
      <c r="H341" s="234">
        <v>2950</v>
      </c>
      <c r="I341" s="234"/>
      <c r="J341" s="241">
        <v>100</v>
      </c>
      <c r="K341" s="234">
        <v>2</v>
      </c>
      <c r="L341" s="235">
        <f t="shared" si="53"/>
        <v>3.1019999999999999</v>
      </c>
      <c r="M341" s="200">
        <f t="shared" si="54"/>
        <v>0</v>
      </c>
      <c r="N341" s="200">
        <f t="shared" si="55"/>
        <v>0</v>
      </c>
      <c r="O341" s="200">
        <f t="shared" si="56"/>
        <v>46.53</v>
      </c>
      <c r="P341" s="200">
        <f t="shared" si="57"/>
        <v>0</v>
      </c>
      <c r="Q341" s="200">
        <f t="shared" si="58"/>
        <v>0</v>
      </c>
      <c r="R341" s="200">
        <f t="shared" si="59"/>
        <v>0</v>
      </c>
      <c r="S341" s="200">
        <f t="shared" si="60"/>
        <v>0</v>
      </c>
    </row>
    <row r="342" spans="1:19" s="236" customFormat="1" ht="24.95" customHeight="1">
      <c r="A342" s="239"/>
      <c r="B342" s="239" t="s">
        <v>400</v>
      </c>
      <c r="C342" s="240">
        <v>8</v>
      </c>
      <c r="D342" s="239">
        <v>5</v>
      </c>
      <c r="E342" s="203">
        <f>(H340/200)+1</f>
        <v>15.75</v>
      </c>
      <c r="F342" s="234"/>
      <c r="G342" s="234"/>
      <c r="H342" s="234">
        <v>1280</v>
      </c>
      <c r="I342" s="234"/>
      <c r="J342" s="234"/>
      <c r="K342" s="241">
        <v>5</v>
      </c>
      <c r="L342" s="235">
        <f t="shared" si="53"/>
        <v>1.2</v>
      </c>
      <c r="M342" s="200">
        <f t="shared" si="54"/>
        <v>94.5</v>
      </c>
      <c r="N342" s="200">
        <f t="shared" si="55"/>
        <v>0</v>
      </c>
      <c r="O342" s="200">
        <f t="shared" si="56"/>
        <v>0</v>
      </c>
      <c r="P342" s="200">
        <f t="shared" si="57"/>
        <v>0</v>
      </c>
      <c r="Q342" s="200">
        <f t="shared" si="58"/>
        <v>0</v>
      </c>
      <c r="R342" s="200">
        <f t="shared" si="59"/>
        <v>0</v>
      </c>
      <c r="S342" s="200">
        <f t="shared" si="60"/>
        <v>0</v>
      </c>
    </row>
    <row r="343" spans="1:19" s="236" customFormat="1" ht="24.95" customHeight="1">
      <c r="A343" s="205" t="s">
        <v>415</v>
      </c>
      <c r="B343" s="206" t="s">
        <v>396</v>
      </c>
      <c r="C343" s="240"/>
      <c r="D343" s="239"/>
      <c r="E343" s="203"/>
      <c r="F343" s="234"/>
      <c r="G343" s="234"/>
      <c r="H343" s="234"/>
      <c r="I343" s="234"/>
      <c r="J343" s="234"/>
      <c r="K343" s="234"/>
      <c r="L343" s="235">
        <f t="shared" si="53"/>
        <v>0</v>
      </c>
      <c r="M343" s="200">
        <f t="shared" si="54"/>
        <v>0</v>
      </c>
      <c r="N343" s="200">
        <f t="shared" si="55"/>
        <v>0</v>
      </c>
      <c r="O343" s="200">
        <f t="shared" si="56"/>
        <v>0</v>
      </c>
      <c r="P343" s="200">
        <f t="shared" si="57"/>
        <v>0</v>
      </c>
      <c r="Q343" s="200">
        <f t="shared" si="58"/>
        <v>0</v>
      </c>
      <c r="R343" s="200">
        <f t="shared" si="59"/>
        <v>0</v>
      </c>
      <c r="S343" s="200">
        <f t="shared" si="60"/>
        <v>0</v>
      </c>
    </row>
    <row r="344" spans="1:19" s="236" customFormat="1" ht="24.95" customHeight="1">
      <c r="A344" s="239">
        <v>1</v>
      </c>
      <c r="B344" s="239" t="s">
        <v>392</v>
      </c>
      <c r="C344" s="240">
        <v>10</v>
      </c>
      <c r="D344" s="239">
        <v>7</v>
      </c>
      <c r="E344" s="203">
        <v>2</v>
      </c>
      <c r="F344" s="241">
        <v>100</v>
      </c>
      <c r="G344" s="234"/>
      <c r="H344" s="241">
        <v>1025</v>
      </c>
      <c r="I344" s="234"/>
      <c r="J344" s="241">
        <v>100</v>
      </c>
      <c r="K344" s="234">
        <v>2</v>
      </c>
      <c r="L344" s="235">
        <f t="shared" si="53"/>
        <v>1.1850000000000001</v>
      </c>
      <c r="M344" s="200">
        <f t="shared" si="54"/>
        <v>0</v>
      </c>
      <c r="N344" s="200">
        <f t="shared" si="55"/>
        <v>16.59</v>
      </c>
      <c r="O344" s="200">
        <f t="shared" si="56"/>
        <v>0</v>
      </c>
      <c r="P344" s="200">
        <f t="shared" si="57"/>
        <v>0</v>
      </c>
      <c r="Q344" s="200">
        <f t="shared" si="58"/>
        <v>0</v>
      </c>
      <c r="R344" s="200">
        <f t="shared" si="59"/>
        <v>0</v>
      </c>
      <c r="S344" s="200">
        <f t="shared" si="60"/>
        <v>0</v>
      </c>
    </row>
    <row r="345" spans="1:19" s="236" customFormat="1" ht="24.95" customHeight="1">
      <c r="A345" s="239"/>
      <c r="B345" s="239" t="s">
        <v>393</v>
      </c>
      <c r="C345" s="240">
        <v>10</v>
      </c>
      <c r="D345" s="239">
        <v>7</v>
      </c>
      <c r="E345" s="203">
        <v>2</v>
      </c>
      <c r="F345" s="241">
        <v>100</v>
      </c>
      <c r="G345" s="234"/>
      <c r="H345" s="241">
        <v>1025</v>
      </c>
      <c r="I345" s="234"/>
      <c r="J345" s="241">
        <v>100</v>
      </c>
      <c r="K345" s="234">
        <v>2</v>
      </c>
      <c r="L345" s="235">
        <f t="shared" si="53"/>
        <v>1.1850000000000001</v>
      </c>
      <c r="M345" s="200">
        <f t="shared" si="54"/>
        <v>0</v>
      </c>
      <c r="N345" s="200">
        <f t="shared" si="55"/>
        <v>16.59</v>
      </c>
      <c r="O345" s="200">
        <f t="shared" si="56"/>
        <v>0</v>
      </c>
      <c r="P345" s="200">
        <f t="shared" si="57"/>
        <v>0</v>
      </c>
      <c r="Q345" s="200">
        <f t="shared" si="58"/>
        <v>0</v>
      </c>
      <c r="R345" s="200">
        <f t="shared" si="59"/>
        <v>0</v>
      </c>
      <c r="S345" s="200">
        <f t="shared" si="60"/>
        <v>0</v>
      </c>
    </row>
    <row r="346" spans="1:19" s="236" customFormat="1" ht="24.95" customHeight="1">
      <c r="A346" s="239"/>
      <c r="B346" s="239" t="s">
        <v>394</v>
      </c>
      <c r="C346" s="240">
        <v>8</v>
      </c>
      <c r="D346" s="239">
        <v>7</v>
      </c>
      <c r="E346" s="203">
        <f>(H344/200)+1</f>
        <v>6.125</v>
      </c>
      <c r="F346" s="234"/>
      <c r="G346" s="234"/>
      <c r="H346" s="234">
        <v>820</v>
      </c>
      <c r="I346" s="234"/>
      <c r="J346" s="234"/>
      <c r="K346" s="241">
        <v>5</v>
      </c>
      <c r="L346" s="235">
        <f t="shared" si="53"/>
        <v>0.74</v>
      </c>
      <c r="M346" s="200">
        <f t="shared" si="54"/>
        <v>31.727499999999999</v>
      </c>
      <c r="N346" s="200">
        <f t="shared" si="55"/>
        <v>0</v>
      </c>
      <c r="O346" s="200">
        <f t="shared" si="56"/>
        <v>0</v>
      </c>
      <c r="P346" s="200">
        <f t="shared" si="57"/>
        <v>0</v>
      </c>
      <c r="Q346" s="200">
        <f t="shared" si="58"/>
        <v>0</v>
      </c>
      <c r="R346" s="200">
        <f t="shared" si="59"/>
        <v>0</v>
      </c>
      <c r="S346" s="200">
        <f t="shared" si="60"/>
        <v>0</v>
      </c>
    </row>
    <row r="347" spans="1:19" s="236" customFormat="1" ht="24.95" customHeight="1">
      <c r="A347" s="239">
        <v>2</v>
      </c>
      <c r="B347" s="239" t="s">
        <v>392</v>
      </c>
      <c r="C347" s="240">
        <v>10</v>
      </c>
      <c r="D347" s="239">
        <v>1</v>
      </c>
      <c r="E347" s="203">
        <v>2</v>
      </c>
      <c r="F347" s="241">
        <v>100</v>
      </c>
      <c r="G347" s="234"/>
      <c r="H347" s="234">
        <v>2315</v>
      </c>
      <c r="I347" s="234"/>
      <c r="J347" s="241">
        <v>100</v>
      </c>
      <c r="K347" s="234">
        <v>2</v>
      </c>
      <c r="L347" s="235">
        <f t="shared" si="53"/>
        <v>2.4750000000000001</v>
      </c>
      <c r="M347" s="200">
        <f t="shared" si="54"/>
        <v>0</v>
      </c>
      <c r="N347" s="200">
        <f t="shared" si="55"/>
        <v>4.95</v>
      </c>
      <c r="O347" s="200">
        <f t="shared" si="56"/>
        <v>0</v>
      </c>
      <c r="P347" s="200">
        <f t="shared" si="57"/>
        <v>0</v>
      </c>
      <c r="Q347" s="200">
        <f t="shared" si="58"/>
        <v>0</v>
      </c>
      <c r="R347" s="200">
        <f t="shared" si="59"/>
        <v>0</v>
      </c>
      <c r="S347" s="200">
        <f t="shared" si="60"/>
        <v>0</v>
      </c>
    </row>
    <row r="348" spans="1:19" s="236" customFormat="1" ht="24.95" customHeight="1">
      <c r="A348" s="239"/>
      <c r="B348" s="239" t="s">
        <v>393</v>
      </c>
      <c r="C348" s="240">
        <v>10</v>
      </c>
      <c r="D348" s="239">
        <v>1</v>
      </c>
      <c r="E348" s="203">
        <v>2</v>
      </c>
      <c r="F348" s="241">
        <v>100</v>
      </c>
      <c r="G348" s="234"/>
      <c r="H348" s="234">
        <v>2315</v>
      </c>
      <c r="I348" s="234"/>
      <c r="J348" s="241">
        <v>100</v>
      </c>
      <c r="K348" s="234">
        <v>2</v>
      </c>
      <c r="L348" s="235">
        <f t="shared" si="53"/>
        <v>2.4750000000000001</v>
      </c>
      <c r="M348" s="200">
        <f t="shared" si="54"/>
        <v>0</v>
      </c>
      <c r="N348" s="200">
        <f t="shared" si="55"/>
        <v>4.95</v>
      </c>
      <c r="O348" s="200">
        <f t="shared" si="56"/>
        <v>0</v>
      </c>
      <c r="P348" s="200">
        <f t="shared" si="57"/>
        <v>0</v>
      </c>
      <c r="Q348" s="200">
        <f t="shared" si="58"/>
        <v>0</v>
      </c>
      <c r="R348" s="200">
        <f t="shared" si="59"/>
        <v>0</v>
      </c>
      <c r="S348" s="200">
        <f t="shared" si="60"/>
        <v>0</v>
      </c>
    </row>
    <row r="349" spans="1:19" s="236" customFormat="1" ht="24.95" customHeight="1">
      <c r="A349" s="239"/>
      <c r="B349" s="239" t="s">
        <v>394</v>
      </c>
      <c r="C349" s="240">
        <v>8</v>
      </c>
      <c r="D349" s="239">
        <v>1</v>
      </c>
      <c r="E349" s="203">
        <f>(H347/200)+1</f>
        <v>12.574999999999999</v>
      </c>
      <c r="F349" s="234"/>
      <c r="G349" s="234"/>
      <c r="H349" s="234">
        <v>820</v>
      </c>
      <c r="I349" s="234"/>
      <c r="J349" s="234"/>
      <c r="K349" s="241">
        <v>5</v>
      </c>
      <c r="L349" s="235">
        <f t="shared" si="53"/>
        <v>0.74</v>
      </c>
      <c r="M349" s="200">
        <f t="shared" si="54"/>
        <v>9.3054999999999986</v>
      </c>
      <c r="N349" s="200">
        <f t="shared" si="55"/>
        <v>0</v>
      </c>
      <c r="O349" s="200">
        <f t="shared" si="56"/>
        <v>0</v>
      </c>
      <c r="P349" s="200">
        <f t="shared" si="57"/>
        <v>0</v>
      </c>
      <c r="Q349" s="200">
        <f t="shared" si="58"/>
        <v>0</v>
      </c>
      <c r="R349" s="200">
        <f t="shared" si="59"/>
        <v>0</v>
      </c>
      <c r="S349" s="200">
        <f t="shared" si="60"/>
        <v>0</v>
      </c>
    </row>
    <row r="350" spans="1:19" s="236" customFormat="1" ht="24.95" customHeight="1">
      <c r="A350" s="239">
        <v>3</v>
      </c>
      <c r="B350" s="239" t="s">
        <v>392</v>
      </c>
      <c r="C350" s="240">
        <v>10</v>
      </c>
      <c r="D350" s="239">
        <v>1</v>
      </c>
      <c r="E350" s="203">
        <v>2</v>
      </c>
      <c r="F350" s="241">
        <v>100</v>
      </c>
      <c r="G350" s="234"/>
      <c r="H350" s="234">
        <v>1400</v>
      </c>
      <c r="I350" s="234"/>
      <c r="J350" s="241">
        <v>100</v>
      </c>
      <c r="K350" s="234">
        <v>2</v>
      </c>
      <c r="L350" s="235">
        <f t="shared" si="53"/>
        <v>1.56</v>
      </c>
      <c r="M350" s="200">
        <f t="shared" si="54"/>
        <v>0</v>
      </c>
      <c r="N350" s="200">
        <f t="shared" si="55"/>
        <v>3.12</v>
      </c>
      <c r="O350" s="200">
        <f t="shared" si="56"/>
        <v>0</v>
      </c>
      <c r="P350" s="200">
        <f t="shared" si="57"/>
        <v>0</v>
      </c>
      <c r="Q350" s="200">
        <f t="shared" si="58"/>
        <v>0</v>
      </c>
      <c r="R350" s="200">
        <f t="shared" si="59"/>
        <v>0</v>
      </c>
      <c r="S350" s="200">
        <f t="shared" si="60"/>
        <v>0</v>
      </c>
    </row>
    <row r="351" spans="1:19" s="236" customFormat="1" ht="24.95" customHeight="1">
      <c r="A351" s="239"/>
      <c r="B351" s="239" t="s">
        <v>393</v>
      </c>
      <c r="C351" s="240">
        <v>10</v>
      </c>
      <c r="D351" s="239">
        <v>1</v>
      </c>
      <c r="E351" s="203">
        <v>2</v>
      </c>
      <c r="F351" s="241">
        <v>100</v>
      </c>
      <c r="G351" s="234"/>
      <c r="H351" s="234">
        <v>1400</v>
      </c>
      <c r="I351" s="234"/>
      <c r="J351" s="241">
        <v>100</v>
      </c>
      <c r="K351" s="234">
        <v>2</v>
      </c>
      <c r="L351" s="235">
        <f t="shared" si="53"/>
        <v>1.56</v>
      </c>
      <c r="M351" s="200">
        <f t="shared" si="54"/>
        <v>0</v>
      </c>
      <c r="N351" s="200">
        <f t="shared" si="55"/>
        <v>3.12</v>
      </c>
      <c r="O351" s="200">
        <f t="shared" si="56"/>
        <v>0</v>
      </c>
      <c r="P351" s="200">
        <f t="shared" si="57"/>
        <v>0</v>
      </c>
      <c r="Q351" s="200">
        <f t="shared" si="58"/>
        <v>0</v>
      </c>
      <c r="R351" s="200">
        <f t="shared" si="59"/>
        <v>0</v>
      </c>
      <c r="S351" s="200">
        <f t="shared" si="60"/>
        <v>0</v>
      </c>
    </row>
    <row r="352" spans="1:19" s="236" customFormat="1" ht="24.95" customHeight="1">
      <c r="A352" s="239"/>
      <c r="B352" s="239" t="s">
        <v>394</v>
      </c>
      <c r="C352" s="240">
        <v>8</v>
      </c>
      <c r="D352" s="239">
        <v>1</v>
      </c>
      <c r="E352" s="203">
        <f>(H350/200)+1</f>
        <v>8</v>
      </c>
      <c r="F352" s="234"/>
      <c r="G352" s="234"/>
      <c r="H352" s="234">
        <v>820</v>
      </c>
      <c r="I352" s="234"/>
      <c r="J352" s="234"/>
      <c r="K352" s="241">
        <v>5</v>
      </c>
      <c r="L352" s="235">
        <f t="shared" si="53"/>
        <v>0.74</v>
      </c>
      <c r="M352" s="200">
        <f t="shared" si="54"/>
        <v>5.92</v>
      </c>
      <c r="N352" s="200">
        <f t="shared" si="55"/>
        <v>0</v>
      </c>
      <c r="O352" s="200">
        <f t="shared" si="56"/>
        <v>0</v>
      </c>
      <c r="P352" s="200">
        <f t="shared" si="57"/>
        <v>0</v>
      </c>
      <c r="Q352" s="200">
        <f t="shared" si="58"/>
        <v>0</v>
      </c>
      <c r="R352" s="200">
        <f t="shared" si="59"/>
        <v>0</v>
      </c>
      <c r="S352" s="200">
        <f t="shared" si="60"/>
        <v>0</v>
      </c>
    </row>
    <row r="353" spans="1:19" s="236" customFormat="1" ht="24.95" customHeight="1">
      <c r="A353" s="239">
        <v>4</v>
      </c>
      <c r="B353" s="239" t="s">
        <v>392</v>
      </c>
      <c r="C353" s="240">
        <v>10</v>
      </c>
      <c r="D353" s="239">
        <v>5</v>
      </c>
      <c r="E353" s="203">
        <v>2</v>
      </c>
      <c r="F353" s="241">
        <v>100</v>
      </c>
      <c r="G353" s="234"/>
      <c r="H353" s="241">
        <v>2080</v>
      </c>
      <c r="I353" s="234"/>
      <c r="J353" s="241">
        <v>100</v>
      </c>
      <c r="K353" s="234">
        <v>2</v>
      </c>
      <c r="L353" s="235">
        <f t="shared" si="53"/>
        <v>2.2400000000000002</v>
      </c>
      <c r="M353" s="200">
        <f t="shared" si="54"/>
        <v>0</v>
      </c>
      <c r="N353" s="200">
        <f t="shared" si="55"/>
        <v>22.400000000000002</v>
      </c>
      <c r="O353" s="200">
        <f t="shared" si="56"/>
        <v>0</v>
      </c>
      <c r="P353" s="200">
        <f t="shared" si="57"/>
        <v>0</v>
      </c>
      <c r="Q353" s="200">
        <f t="shared" si="58"/>
        <v>0</v>
      </c>
      <c r="R353" s="200">
        <f t="shared" si="59"/>
        <v>0</v>
      </c>
      <c r="S353" s="200">
        <f t="shared" si="60"/>
        <v>0</v>
      </c>
    </row>
    <row r="354" spans="1:19" s="236" customFormat="1" ht="24.95" customHeight="1">
      <c r="A354" s="239"/>
      <c r="B354" s="239" t="s">
        <v>393</v>
      </c>
      <c r="C354" s="240">
        <v>10</v>
      </c>
      <c r="D354" s="239">
        <v>5</v>
      </c>
      <c r="E354" s="203">
        <v>2</v>
      </c>
      <c r="F354" s="241">
        <v>100</v>
      </c>
      <c r="G354" s="234"/>
      <c r="H354" s="241">
        <v>2080</v>
      </c>
      <c r="I354" s="234"/>
      <c r="J354" s="241">
        <v>100</v>
      </c>
      <c r="K354" s="234">
        <v>2</v>
      </c>
      <c r="L354" s="235">
        <f t="shared" si="53"/>
        <v>2.2400000000000002</v>
      </c>
      <c r="M354" s="200">
        <f t="shared" si="54"/>
        <v>0</v>
      </c>
      <c r="N354" s="200">
        <f t="shared" si="55"/>
        <v>22.400000000000002</v>
      </c>
      <c r="O354" s="200">
        <f t="shared" si="56"/>
        <v>0</v>
      </c>
      <c r="P354" s="200">
        <f t="shared" si="57"/>
        <v>0</v>
      </c>
      <c r="Q354" s="200">
        <f t="shared" si="58"/>
        <v>0</v>
      </c>
      <c r="R354" s="200">
        <f t="shared" si="59"/>
        <v>0</v>
      </c>
      <c r="S354" s="200">
        <f t="shared" si="60"/>
        <v>0</v>
      </c>
    </row>
    <row r="355" spans="1:19" s="236" customFormat="1" ht="24.95" customHeight="1">
      <c r="A355" s="239"/>
      <c r="B355" s="239" t="s">
        <v>394</v>
      </c>
      <c r="C355" s="240">
        <v>8</v>
      </c>
      <c r="D355" s="239">
        <v>5</v>
      </c>
      <c r="E355" s="249">
        <v>16</v>
      </c>
      <c r="F355" s="234"/>
      <c r="G355" s="234"/>
      <c r="H355" s="234">
        <v>820</v>
      </c>
      <c r="I355" s="234"/>
      <c r="J355" s="234"/>
      <c r="K355" s="241">
        <v>5</v>
      </c>
      <c r="L355" s="235">
        <f t="shared" si="53"/>
        <v>0.74</v>
      </c>
      <c r="M355" s="200">
        <f t="shared" si="54"/>
        <v>59.2</v>
      </c>
      <c r="N355" s="200">
        <f t="shared" si="55"/>
        <v>0</v>
      </c>
      <c r="O355" s="200">
        <f t="shared" si="56"/>
        <v>0</v>
      </c>
      <c r="P355" s="200">
        <f t="shared" si="57"/>
        <v>0</v>
      </c>
      <c r="Q355" s="200">
        <f t="shared" si="58"/>
        <v>0</v>
      </c>
      <c r="R355" s="200">
        <f t="shared" si="59"/>
        <v>0</v>
      </c>
      <c r="S355" s="200">
        <f t="shared" si="60"/>
        <v>0</v>
      </c>
    </row>
    <row r="356" spans="1:19" s="236" customFormat="1" ht="24.95" customHeight="1">
      <c r="A356" s="239">
        <v>5</v>
      </c>
      <c r="B356" s="239" t="s">
        <v>392</v>
      </c>
      <c r="C356" s="240">
        <v>10</v>
      </c>
      <c r="D356" s="239">
        <v>5</v>
      </c>
      <c r="E356" s="203">
        <v>2</v>
      </c>
      <c r="F356" s="241">
        <v>100</v>
      </c>
      <c r="G356" s="234"/>
      <c r="H356" s="241">
        <v>2080</v>
      </c>
      <c r="I356" s="234"/>
      <c r="J356" s="241">
        <v>100</v>
      </c>
      <c r="K356" s="234">
        <v>2</v>
      </c>
      <c r="L356" s="235">
        <f t="shared" si="53"/>
        <v>2.2400000000000002</v>
      </c>
      <c r="M356" s="200">
        <f t="shared" si="54"/>
        <v>0</v>
      </c>
      <c r="N356" s="200">
        <f t="shared" si="55"/>
        <v>22.400000000000002</v>
      </c>
      <c r="O356" s="200">
        <f t="shared" si="56"/>
        <v>0</v>
      </c>
      <c r="P356" s="200">
        <f t="shared" si="57"/>
        <v>0</v>
      </c>
      <c r="Q356" s="200">
        <f t="shared" si="58"/>
        <v>0</v>
      </c>
      <c r="R356" s="200">
        <f t="shared" si="59"/>
        <v>0</v>
      </c>
      <c r="S356" s="200">
        <f t="shared" si="60"/>
        <v>0</v>
      </c>
    </row>
    <row r="357" spans="1:19" s="236" customFormat="1" ht="24.95" customHeight="1">
      <c r="A357" s="239"/>
      <c r="B357" s="239" t="s">
        <v>393</v>
      </c>
      <c r="C357" s="240">
        <v>10</v>
      </c>
      <c r="D357" s="239">
        <v>5</v>
      </c>
      <c r="E357" s="203">
        <v>2</v>
      </c>
      <c r="F357" s="241">
        <v>100</v>
      </c>
      <c r="G357" s="234"/>
      <c r="H357" s="241">
        <v>2080</v>
      </c>
      <c r="I357" s="234"/>
      <c r="J357" s="241">
        <v>100</v>
      </c>
      <c r="K357" s="234">
        <v>2</v>
      </c>
      <c r="L357" s="235">
        <f t="shared" si="53"/>
        <v>2.2400000000000002</v>
      </c>
      <c r="M357" s="200">
        <f t="shared" si="54"/>
        <v>0</v>
      </c>
      <c r="N357" s="200">
        <f t="shared" si="55"/>
        <v>22.400000000000002</v>
      </c>
      <c r="O357" s="200">
        <f t="shared" si="56"/>
        <v>0</v>
      </c>
      <c r="P357" s="200">
        <f t="shared" si="57"/>
        <v>0</v>
      </c>
      <c r="Q357" s="200">
        <f t="shared" si="58"/>
        <v>0</v>
      </c>
      <c r="R357" s="200">
        <f t="shared" si="59"/>
        <v>0</v>
      </c>
      <c r="S357" s="200">
        <f t="shared" si="60"/>
        <v>0</v>
      </c>
    </row>
    <row r="358" spans="1:19" s="236" customFormat="1" ht="24.95" customHeight="1">
      <c r="A358" s="239"/>
      <c r="B358" s="239" t="s">
        <v>394</v>
      </c>
      <c r="C358" s="240">
        <v>8</v>
      </c>
      <c r="D358" s="239">
        <v>5</v>
      </c>
      <c r="E358" s="249">
        <f>(H356/200)+1</f>
        <v>11.4</v>
      </c>
      <c r="F358" s="234"/>
      <c r="G358" s="234"/>
      <c r="H358" s="234">
        <v>820</v>
      </c>
      <c r="I358" s="234"/>
      <c r="J358" s="234"/>
      <c r="K358" s="241">
        <v>5</v>
      </c>
      <c r="L358" s="235">
        <f t="shared" si="53"/>
        <v>0.74</v>
      </c>
      <c r="M358" s="200">
        <f t="shared" si="54"/>
        <v>42.18</v>
      </c>
      <c r="N358" s="200">
        <f t="shared" si="55"/>
        <v>0</v>
      </c>
      <c r="O358" s="200">
        <f t="shared" si="56"/>
        <v>0</v>
      </c>
      <c r="P358" s="200">
        <f t="shared" si="57"/>
        <v>0</v>
      </c>
      <c r="Q358" s="200">
        <f t="shared" si="58"/>
        <v>0</v>
      </c>
      <c r="R358" s="200">
        <f t="shared" si="59"/>
        <v>0</v>
      </c>
      <c r="S358" s="200">
        <f t="shared" si="60"/>
        <v>0</v>
      </c>
    </row>
    <row r="359" spans="1:19" s="236" customFormat="1" ht="24.95" customHeight="1">
      <c r="A359" s="239">
        <v>6</v>
      </c>
      <c r="B359" s="239" t="s">
        <v>392</v>
      </c>
      <c r="C359" s="240">
        <v>10</v>
      </c>
      <c r="D359" s="239">
        <v>2</v>
      </c>
      <c r="E359" s="203">
        <v>2</v>
      </c>
      <c r="F359" s="241">
        <v>100</v>
      </c>
      <c r="G359" s="234"/>
      <c r="H359" s="234">
        <v>2925</v>
      </c>
      <c r="I359" s="234"/>
      <c r="J359" s="241">
        <v>100</v>
      </c>
      <c r="K359" s="234">
        <v>2</v>
      </c>
      <c r="L359" s="235">
        <f t="shared" si="53"/>
        <v>3.085</v>
      </c>
      <c r="M359" s="200">
        <f t="shared" si="54"/>
        <v>0</v>
      </c>
      <c r="N359" s="200">
        <f t="shared" si="55"/>
        <v>12.34</v>
      </c>
      <c r="O359" s="200">
        <f t="shared" si="56"/>
        <v>0</v>
      </c>
      <c r="P359" s="200">
        <f t="shared" si="57"/>
        <v>0</v>
      </c>
      <c r="Q359" s="200">
        <f t="shared" si="58"/>
        <v>0</v>
      </c>
      <c r="R359" s="200">
        <f t="shared" si="59"/>
        <v>0</v>
      </c>
      <c r="S359" s="200">
        <f t="shared" si="60"/>
        <v>0</v>
      </c>
    </row>
    <row r="360" spans="1:19" s="236" customFormat="1" ht="24.95" customHeight="1">
      <c r="A360" s="239"/>
      <c r="B360" s="239" t="s">
        <v>393</v>
      </c>
      <c r="C360" s="240">
        <v>10</v>
      </c>
      <c r="D360" s="239">
        <v>2</v>
      </c>
      <c r="E360" s="203">
        <v>2</v>
      </c>
      <c r="F360" s="241">
        <v>100</v>
      </c>
      <c r="G360" s="234"/>
      <c r="H360" s="234">
        <v>2925</v>
      </c>
      <c r="I360" s="234"/>
      <c r="J360" s="241">
        <v>100</v>
      </c>
      <c r="K360" s="234">
        <v>2</v>
      </c>
      <c r="L360" s="235">
        <f t="shared" si="53"/>
        <v>3.085</v>
      </c>
      <c r="M360" s="200">
        <f t="shared" si="54"/>
        <v>0</v>
      </c>
      <c r="N360" s="200">
        <f t="shared" si="55"/>
        <v>12.34</v>
      </c>
      <c r="O360" s="200">
        <f t="shared" si="56"/>
        <v>0</v>
      </c>
      <c r="P360" s="200">
        <f t="shared" si="57"/>
        <v>0</v>
      </c>
      <c r="Q360" s="200">
        <f t="shared" si="58"/>
        <v>0</v>
      </c>
      <c r="R360" s="200">
        <f t="shared" si="59"/>
        <v>0</v>
      </c>
      <c r="S360" s="200">
        <f t="shared" si="60"/>
        <v>0</v>
      </c>
    </row>
    <row r="361" spans="1:19" s="236" customFormat="1" ht="24.95" customHeight="1">
      <c r="A361" s="239"/>
      <c r="B361" s="239" t="s">
        <v>394</v>
      </c>
      <c r="C361" s="240">
        <v>8</v>
      </c>
      <c r="D361" s="239">
        <v>2</v>
      </c>
      <c r="E361" s="203">
        <f>(H359/200)+1</f>
        <v>15.625</v>
      </c>
      <c r="F361" s="234"/>
      <c r="G361" s="234"/>
      <c r="H361" s="234">
        <v>820</v>
      </c>
      <c r="I361" s="234"/>
      <c r="J361" s="234"/>
      <c r="K361" s="241">
        <v>5</v>
      </c>
      <c r="L361" s="235">
        <f t="shared" si="53"/>
        <v>0.74</v>
      </c>
      <c r="M361" s="200">
        <f t="shared" si="54"/>
        <v>23.125</v>
      </c>
      <c r="N361" s="200">
        <f t="shared" si="55"/>
        <v>0</v>
      </c>
      <c r="O361" s="200">
        <f t="shared" si="56"/>
        <v>0</v>
      </c>
      <c r="P361" s="200">
        <f t="shared" si="57"/>
        <v>0</v>
      </c>
      <c r="Q361" s="200">
        <f t="shared" si="58"/>
        <v>0</v>
      </c>
      <c r="R361" s="200">
        <f t="shared" si="59"/>
        <v>0</v>
      </c>
      <c r="S361" s="200">
        <f t="shared" si="60"/>
        <v>0</v>
      </c>
    </row>
    <row r="362" spans="1:19" s="236" customFormat="1" ht="24.95" customHeight="1">
      <c r="A362" s="205" t="s">
        <v>416</v>
      </c>
      <c r="B362" s="205" t="s">
        <v>403</v>
      </c>
      <c r="C362" s="240"/>
      <c r="D362" s="239"/>
      <c r="E362" s="203"/>
      <c r="F362" s="234"/>
      <c r="G362" s="234"/>
      <c r="H362" s="234"/>
      <c r="I362" s="234"/>
      <c r="J362" s="234"/>
      <c r="K362" s="234">
        <v>0</v>
      </c>
      <c r="L362" s="235">
        <f t="shared" si="53"/>
        <v>0</v>
      </c>
      <c r="M362" s="200">
        <f t="shared" si="54"/>
        <v>0</v>
      </c>
      <c r="N362" s="200">
        <f t="shared" si="55"/>
        <v>0</v>
      </c>
      <c r="O362" s="200">
        <f t="shared" si="56"/>
        <v>0</v>
      </c>
      <c r="P362" s="200">
        <f t="shared" si="57"/>
        <v>0</v>
      </c>
      <c r="Q362" s="200">
        <f t="shared" si="58"/>
        <v>0</v>
      </c>
      <c r="R362" s="200">
        <f t="shared" si="59"/>
        <v>0</v>
      </c>
      <c r="S362" s="200">
        <f t="shared" si="60"/>
        <v>0</v>
      </c>
    </row>
    <row r="363" spans="1:19" s="236" customFormat="1" ht="24.95" customHeight="1">
      <c r="A363" s="205" t="s">
        <v>417</v>
      </c>
      <c r="B363" s="206" t="s">
        <v>391</v>
      </c>
      <c r="C363" s="240"/>
      <c r="D363" s="239"/>
      <c r="E363" s="203"/>
      <c r="F363" s="234"/>
      <c r="G363" s="234"/>
      <c r="H363" s="234"/>
      <c r="I363" s="234"/>
      <c r="J363" s="234"/>
      <c r="K363" s="234"/>
      <c r="L363" s="235">
        <f t="shared" si="53"/>
        <v>0</v>
      </c>
      <c r="M363" s="200">
        <f t="shared" si="54"/>
        <v>0</v>
      </c>
      <c r="N363" s="200">
        <f t="shared" si="55"/>
        <v>0</v>
      </c>
      <c r="O363" s="200">
        <f t="shared" si="56"/>
        <v>0</v>
      </c>
      <c r="P363" s="200">
        <f t="shared" si="57"/>
        <v>0</v>
      </c>
      <c r="Q363" s="200">
        <f t="shared" si="58"/>
        <v>0</v>
      </c>
      <c r="R363" s="200">
        <f t="shared" si="59"/>
        <v>0</v>
      </c>
      <c r="S363" s="200">
        <f t="shared" si="60"/>
        <v>0</v>
      </c>
    </row>
    <row r="364" spans="1:19" s="236" customFormat="1" ht="24.95" customHeight="1">
      <c r="A364" s="239">
        <v>1</v>
      </c>
      <c r="B364" s="239" t="s">
        <v>392</v>
      </c>
      <c r="C364" s="240">
        <v>10</v>
      </c>
      <c r="D364" s="239">
        <v>1</v>
      </c>
      <c r="E364" s="203">
        <v>2</v>
      </c>
      <c r="F364" s="241">
        <v>100</v>
      </c>
      <c r="G364" s="234"/>
      <c r="H364" s="241">
        <v>10570</v>
      </c>
      <c r="I364" s="234"/>
      <c r="J364" s="241">
        <v>100</v>
      </c>
      <c r="K364" s="234">
        <v>2</v>
      </c>
      <c r="L364" s="235">
        <f t="shared" si="53"/>
        <v>10.73</v>
      </c>
      <c r="M364" s="200">
        <f t="shared" si="54"/>
        <v>0</v>
      </c>
      <c r="N364" s="200">
        <f t="shared" si="55"/>
        <v>21.46</v>
      </c>
      <c r="O364" s="200">
        <f t="shared" si="56"/>
        <v>0</v>
      </c>
      <c r="P364" s="200">
        <f t="shared" si="57"/>
        <v>0</v>
      </c>
      <c r="Q364" s="200">
        <f t="shared" si="58"/>
        <v>0</v>
      </c>
      <c r="R364" s="200">
        <f t="shared" si="59"/>
        <v>0</v>
      </c>
      <c r="S364" s="200">
        <f t="shared" si="60"/>
        <v>0</v>
      </c>
    </row>
    <row r="365" spans="1:19" s="236" customFormat="1" ht="24.95" customHeight="1">
      <c r="A365" s="239"/>
      <c r="B365" s="239" t="s">
        <v>393</v>
      </c>
      <c r="C365" s="240">
        <v>10</v>
      </c>
      <c r="D365" s="239">
        <v>1</v>
      </c>
      <c r="E365" s="203">
        <v>2</v>
      </c>
      <c r="F365" s="241">
        <v>100</v>
      </c>
      <c r="G365" s="234"/>
      <c r="H365" s="241">
        <v>10570</v>
      </c>
      <c r="I365" s="234"/>
      <c r="J365" s="241">
        <v>100</v>
      </c>
      <c r="K365" s="234">
        <v>2</v>
      </c>
      <c r="L365" s="235">
        <f t="shared" si="53"/>
        <v>10.73</v>
      </c>
      <c r="M365" s="200">
        <f t="shared" si="54"/>
        <v>0</v>
      </c>
      <c r="N365" s="200">
        <f t="shared" si="55"/>
        <v>21.46</v>
      </c>
      <c r="O365" s="200">
        <f t="shared" si="56"/>
        <v>0</v>
      </c>
      <c r="P365" s="200">
        <f t="shared" si="57"/>
        <v>0</v>
      </c>
      <c r="Q365" s="200">
        <f t="shared" si="58"/>
        <v>0</v>
      </c>
      <c r="R365" s="200">
        <f t="shared" si="59"/>
        <v>0</v>
      </c>
      <c r="S365" s="200">
        <f t="shared" si="60"/>
        <v>0</v>
      </c>
    </row>
    <row r="366" spans="1:19" s="236" customFormat="1" ht="24.95" customHeight="1">
      <c r="A366" s="239"/>
      <c r="B366" s="239" t="s">
        <v>394</v>
      </c>
      <c r="C366" s="240">
        <v>8</v>
      </c>
      <c r="D366" s="239">
        <v>1</v>
      </c>
      <c r="E366" s="203">
        <f>(H364/200)+1</f>
        <v>53.85</v>
      </c>
      <c r="F366" s="234"/>
      <c r="G366" s="234"/>
      <c r="H366" s="234">
        <v>820</v>
      </c>
      <c r="I366" s="234"/>
      <c r="J366" s="234"/>
      <c r="K366" s="241">
        <v>5</v>
      </c>
      <c r="L366" s="235">
        <f t="shared" si="53"/>
        <v>0.74</v>
      </c>
      <c r="M366" s="200">
        <f t="shared" si="54"/>
        <v>39.849000000000004</v>
      </c>
      <c r="N366" s="200">
        <f t="shared" si="55"/>
        <v>0</v>
      </c>
      <c r="O366" s="200">
        <f t="shared" si="56"/>
        <v>0</v>
      </c>
      <c r="P366" s="200">
        <f t="shared" si="57"/>
        <v>0</v>
      </c>
      <c r="Q366" s="200">
        <f t="shared" si="58"/>
        <v>0</v>
      </c>
      <c r="R366" s="200">
        <f t="shared" si="59"/>
        <v>0</v>
      </c>
      <c r="S366" s="200">
        <f t="shared" si="60"/>
        <v>0</v>
      </c>
    </row>
    <row r="367" spans="1:19" s="236" customFormat="1" ht="24.95" customHeight="1">
      <c r="A367" s="239">
        <v>2</v>
      </c>
      <c r="B367" s="239" t="s">
        <v>392</v>
      </c>
      <c r="C367" s="240">
        <v>10</v>
      </c>
      <c r="D367" s="239">
        <v>1</v>
      </c>
      <c r="E367" s="203">
        <v>2</v>
      </c>
      <c r="F367" s="241">
        <v>100</v>
      </c>
      <c r="G367" s="234"/>
      <c r="H367" s="234">
        <v>8340</v>
      </c>
      <c r="I367" s="234"/>
      <c r="J367" s="241">
        <v>100</v>
      </c>
      <c r="K367" s="234">
        <v>2</v>
      </c>
      <c r="L367" s="235">
        <f t="shared" si="53"/>
        <v>8.5</v>
      </c>
      <c r="M367" s="200">
        <f t="shared" si="54"/>
        <v>0</v>
      </c>
      <c r="N367" s="200">
        <f t="shared" si="55"/>
        <v>17</v>
      </c>
      <c r="O367" s="200">
        <f t="shared" si="56"/>
        <v>0</v>
      </c>
      <c r="P367" s="200">
        <f t="shared" si="57"/>
        <v>0</v>
      </c>
      <c r="Q367" s="200">
        <f t="shared" si="58"/>
        <v>0</v>
      </c>
      <c r="R367" s="200">
        <f t="shared" si="59"/>
        <v>0</v>
      </c>
      <c r="S367" s="200">
        <f t="shared" si="60"/>
        <v>0</v>
      </c>
    </row>
    <row r="368" spans="1:19" s="236" customFormat="1" ht="24.95" customHeight="1">
      <c r="A368" s="239"/>
      <c r="B368" s="239" t="s">
        <v>393</v>
      </c>
      <c r="C368" s="240">
        <v>10</v>
      </c>
      <c r="D368" s="239">
        <v>1</v>
      </c>
      <c r="E368" s="203">
        <v>2</v>
      </c>
      <c r="F368" s="241">
        <v>100</v>
      </c>
      <c r="G368" s="234"/>
      <c r="H368" s="234">
        <v>8340</v>
      </c>
      <c r="I368" s="234"/>
      <c r="J368" s="241">
        <v>100</v>
      </c>
      <c r="K368" s="234">
        <v>2</v>
      </c>
      <c r="L368" s="235">
        <f t="shared" si="53"/>
        <v>8.5</v>
      </c>
      <c r="M368" s="200">
        <f t="shared" si="54"/>
        <v>0</v>
      </c>
      <c r="N368" s="200">
        <f t="shared" si="55"/>
        <v>17</v>
      </c>
      <c r="O368" s="200">
        <f t="shared" si="56"/>
        <v>0</v>
      </c>
      <c r="P368" s="200">
        <f t="shared" si="57"/>
        <v>0</v>
      </c>
      <c r="Q368" s="200">
        <f t="shared" si="58"/>
        <v>0</v>
      </c>
      <c r="R368" s="200">
        <f t="shared" si="59"/>
        <v>0</v>
      </c>
      <c r="S368" s="200">
        <f t="shared" si="60"/>
        <v>0</v>
      </c>
    </row>
    <row r="369" spans="1:19" s="236" customFormat="1" ht="24.95" customHeight="1">
      <c r="A369" s="239"/>
      <c r="B369" s="239" t="s">
        <v>394</v>
      </c>
      <c r="C369" s="240">
        <v>8</v>
      </c>
      <c r="D369" s="239">
        <v>1</v>
      </c>
      <c r="E369" s="203">
        <f>(H367/200)+1</f>
        <v>42.7</v>
      </c>
      <c r="F369" s="234"/>
      <c r="G369" s="234"/>
      <c r="H369" s="234">
        <v>820</v>
      </c>
      <c r="I369" s="234"/>
      <c r="J369" s="234"/>
      <c r="K369" s="241">
        <v>5</v>
      </c>
      <c r="L369" s="235">
        <f t="shared" si="53"/>
        <v>0.74</v>
      </c>
      <c r="M369" s="200">
        <f t="shared" si="54"/>
        <v>31.598000000000003</v>
      </c>
      <c r="N369" s="200">
        <f t="shared" si="55"/>
        <v>0</v>
      </c>
      <c r="O369" s="200">
        <f t="shared" si="56"/>
        <v>0</v>
      </c>
      <c r="P369" s="200">
        <f t="shared" si="57"/>
        <v>0</v>
      </c>
      <c r="Q369" s="200">
        <f t="shared" si="58"/>
        <v>0</v>
      </c>
      <c r="R369" s="200">
        <f t="shared" si="59"/>
        <v>0</v>
      </c>
      <c r="S369" s="200">
        <f t="shared" si="60"/>
        <v>0</v>
      </c>
    </row>
    <row r="370" spans="1:19" s="247" customFormat="1" ht="24.95" customHeight="1">
      <c r="A370" s="242">
        <v>3</v>
      </c>
      <c r="B370" s="242" t="s">
        <v>392</v>
      </c>
      <c r="C370" s="243">
        <v>10</v>
      </c>
      <c r="D370" s="242">
        <f t="shared" ref="D370:D372" si="61">1*0</f>
        <v>0</v>
      </c>
      <c r="E370" s="244">
        <v>2</v>
      </c>
      <c r="F370" s="245">
        <v>100</v>
      </c>
      <c r="G370" s="246"/>
      <c r="H370" s="246">
        <v>3605</v>
      </c>
      <c r="I370" s="246"/>
      <c r="J370" s="245">
        <v>100</v>
      </c>
      <c r="K370" s="246">
        <v>2</v>
      </c>
      <c r="L370" s="235">
        <f t="shared" si="53"/>
        <v>3.7650000000000001</v>
      </c>
      <c r="M370" s="200">
        <f t="shared" si="54"/>
        <v>0</v>
      </c>
      <c r="N370" s="200">
        <f t="shared" si="55"/>
        <v>0</v>
      </c>
      <c r="O370" s="200">
        <f t="shared" si="56"/>
        <v>0</v>
      </c>
      <c r="P370" s="200">
        <f t="shared" si="57"/>
        <v>0</v>
      </c>
      <c r="Q370" s="200">
        <f t="shared" si="58"/>
        <v>0</v>
      </c>
      <c r="R370" s="200">
        <f t="shared" si="59"/>
        <v>0</v>
      </c>
      <c r="S370" s="200">
        <f t="shared" si="60"/>
        <v>0</v>
      </c>
    </row>
    <row r="371" spans="1:19" s="247" customFormat="1" ht="24.95" customHeight="1">
      <c r="A371" s="242"/>
      <c r="B371" s="242" t="s">
        <v>393</v>
      </c>
      <c r="C371" s="243">
        <v>10</v>
      </c>
      <c r="D371" s="242">
        <f t="shared" si="61"/>
        <v>0</v>
      </c>
      <c r="E371" s="244">
        <v>2</v>
      </c>
      <c r="F371" s="245">
        <v>100</v>
      </c>
      <c r="G371" s="246"/>
      <c r="H371" s="246">
        <v>3605</v>
      </c>
      <c r="I371" s="246"/>
      <c r="J371" s="245">
        <v>100</v>
      </c>
      <c r="K371" s="246">
        <v>2</v>
      </c>
      <c r="L371" s="235">
        <f t="shared" si="53"/>
        <v>3.7650000000000001</v>
      </c>
      <c r="M371" s="200">
        <f t="shared" si="54"/>
        <v>0</v>
      </c>
      <c r="N371" s="200">
        <f t="shared" si="55"/>
        <v>0</v>
      </c>
      <c r="O371" s="200">
        <f t="shared" si="56"/>
        <v>0</v>
      </c>
      <c r="P371" s="200">
        <f t="shared" si="57"/>
        <v>0</v>
      </c>
      <c r="Q371" s="200">
        <f t="shared" si="58"/>
        <v>0</v>
      </c>
      <c r="R371" s="200">
        <f t="shared" si="59"/>
        <v>0</v>
      </c>
      <c r="S371" s="200">
        <f t="shared" si="60"/>
        <v>0</v>
      </c>
    </row>
    <row r="372" spans="1:19" s="247" customFormat="1" ht="24.95" customHeight="1">
      <c r="A372" s="242"/>
      <c r="B372" s="242" t="s">
        <v>394</v>
      </c>
      <c r="C372" s="243">
        <v>8</v>
      </c>
      <c r="D372" s="242">
        <f t="shared" si="61"/>
        <v>0</v>
      </c>
      <c r="E372" s="244">
        <f>(H370/200)+1</f>
        <v>19.024999999999999</v>
      </c>
      <c r="F372" s="246"/>
      <c r="G372" s="246"/>
      <c r="H372" s="246">
        <v>820</v>
      </c>
      <c r="I372" s="246"/>
      <c r="J372" s="246"/>
      <c r="K372" s="245">
        <v>5</v>
      </c>
      <c r="L372" s="235">
        <f t="shared" si="53"/>
        <v>0.74</v>
      </c>
      <c r="M372" s="200">
        <f t="shared" si="54"/>
        <v>0</v>
      </c>
      <c r="N372" s="200">
        <f t="shared" si="55"/>
        <v>0</v>
      </c>
      <c r="O372" s="200">
        <f t="shared" si="56"/>
        <v>0</v>
      </c>
      <c r="P372" s="200">
        <f t="shared" si="57"/>
        <v>0</v>
      </c>
      <c r="Q372" s="200">
        <f t="shared" si="58"/>
        <v>0</v>
      </c>
      <c r="R372" s="200">
        <f t="shared" si="59"/>
        <v>0</v>
      </c>
      <c r="S372" s="200">
        <f t="shared" si="60"/>
        <v>0</v>
      </c>
    </row>
    <row r="373" spans="1:19" s="236" customFormat="1" ht="24.95" customHeight="1">
      <c r="A373" s="239">
        <v>4</v>
      </c>
      <c r="B373" s="239" t="s">
        <v>392</v>
      </c>
      <c r="C373" s="240">
        <v>10</v>
      </c>
      <c r="D373" s="239">
        <v>1</v>
      </c>
      <c r="E373" s="203">
        <v>2</v>
      </c>
      <c r="F373" s="241">
        <v>100</v>
      </c>
      <c r="G373" s="234"/>
      <c r="H373" s="234">
        <v>6340</v>
      </c>
      <c r="I373" s="234"/>
      <c r="J373" s="241">
        <v>100</v>
      </c>
      <c r="K373" s="234">
        <v>2</v>
      </c>
      <c r="L373" s="235">
        <f t="shared" si="53"/>
        <v>6.5</v>
      </c>
      <c r="M373" s="200">
        <f t="shared" si="54"/>
        <v>0</v>
      </c>
      <c r="N373" s="200">
        <f t="shared" si="55"/>
        <v>13</v>
      </c>
      <c r="O373" s="200">
        <f t="shared" si="56"/>
        <v>0</v>
      </c>
      <c r="P373" s="200">
        <f t="shared" si="57"/>
        <v>0</v>
      </c>
      <c r="Q373" s="200">
        <f t="shared" si="58"/>
        <v>0</v>
      </c>
      <c r="R373" s="200">
        <f t="shared" si="59"/>
        <v>0</v>
      </c>
      <c r="S373" s="200">
        <f t="shared" si="60"/>
        <v>0</v>
      </c>
    </row>
    <row r="374" spans="1:19" s="236" customFormat="1" ht="24.95" customHeight="1">
      <c r="A374" s="239"/>
      <c r="B374" s="239" t="s">
        <v>393</v>
      </c>
      <c r="C374" s="240">
        <v>10</v>
      </c>
      <c r="D374" s="239">
        <v>1</v>
      </c>
      <c r="E374" s="203">
        <v>2</v>
      </c>
      <c r="F374" s="241">
        <v>100</v>
      </c>
      <c r="G374" s="234"/>
      <c r="H374" s="234">
        <v>6340</v>
      </c>
      <c r="I374" s="234"/>
      <c r="J374" s="241">
        <v>100</v>
      </c>
      <c r="K374" s="234">
        <v>2</v>
      </c>
      <c r="L374" s="235">
        <f t="shared" si="53"/>
        <v>6.5</v>
      </c>
      <c r="M374" s="200">
        <f t="shared" si="54"/>
        <v>0</v>
      </c>
      <c r="N374" s="200">
        <f t="shared" si="55"/>
        <v>13</v>
      </c>
      <c r="O374" s="200">
        <f t="shared" si="56"/>
        <v>0</v>
      </c>
      <c r="P374" s="200">
        <f t="shared" si="57"/>
        <v>0</v>
      </c>
      <c r="Q374" s="200">
        <f t="shared" si="58"/>
        <v>0</v>
      </c>
      <c r="R374" s="200">
        <f t="shared" si="59"/>
        <v>0</v>
      </c>
      <c r="S374" s="200">
        <f t="shared" si="60"/>
        <v>0</v>
      </c>
    </row>
    <row r="375" spans="1:19" s="236" customFormat="1" ht="24.95" customHeight="1">
      <c r="A375" s="239"/>
      <c r="B375" s="239" t="s">
        <v>394</v>
      </c>
      <c r="C375" s="240">
        <v>8</v>
      </c>
      <c r="D375" s="239">
        <v>1</v>
      </c>
      <c r="E375" s="203">
        <f>(H373/200)+1</f>
        <v>32.700000000000003</v>
      </c>
      <c r="F375" s="234"/>
      <c r="G375" s="234"/>
      <c r="H375" s="234">
        <v>820</v>
      </c>
      <c r="I375" s="234"/>
      <c r="J375" s="234"/>
      <c r="K375" s="241">
        <v>5</v>
      </c>
      <c r="L375" s="235">
        <f t="shared" si="53"/>
        <v>0.74</v>
      </c>
      <c r="M375" s="200">
        <f t="shared" si="54"/>
        <v>24.198</v>
      </c>
      <c r="N375" s="200">
        <f t="shared" si="55"/>
        <v>0</v>
      </c>
      <c r="O375" s="200">
        <f t="shared" si="56"/>
        <v>0</v>
      </c>
      <c r="P375" s="200">
        <f t="shared" si="57"/>
        <v>0</v>
      </c>
      <c r="Q375" s="200">
        <f t="shared" si="58"/>
        <v>0</v>
      </c>
      <c r="R375" s="200">
        <f t="shared" si="59"/>
        <v>0</v>
      </c>
      <c r="S375" s="200">
        <f t="shared" si="60"/>
        <v>0</v>
      </c>
    </row>
    <row r="376" spans="1:19" s="247" customFormat="1" ht="24.95" customHeight="1">
      <c r="A376" s="242">
        <v>5</v>
      </c>
      <c r="B376" s="242" t="s">
        <v>392</v>
      </c>
      <c r="C376" s="243">
        <v>10</v>
      </c>
      <c r="D376" s="242">
        <f t="shared" ref="D376:D378" si="62">2*0</f>
        <v>0</v>
      </c>
      <c r="E376" s="244">
        <v>2</v>
      </c>
      <c r="F376" s="245">
        <v>100</v>
      </c>
      <c r="G376" s="246"/>
      <c r="H376" s="246">
        <v>6005</v>
      </c>
      <c r="I376" s="246"/>
      <c r="J376" s="245">
        <v>100</v>
      </c>
      <c r="K376" s="246">
        <v>2</v>
      </c>
      <c r="L376" s="235">
        <f t="shared" si="53"/>
        <v>6.165</v>
      </c>
      <c r="M376" s="200">
        <f t="shared" si="54"/>
        <v>0</v>
      </c>
      <c r="N376" s="200">
        <f t="shared" si="55"/>
        <v>0</v>
      </c>
      <c r="O376" s="200">
        <f t="shared" si="56"/>
        <v>0</v>
      </c>
      <c r="P376" s="200">
        <f t="shared" si="57"/>
        <v>0</v>
      </c>
      <c r="Q376" s="200">
        <f t="shared" si="58"/>
        <v>0</v>
      </c>
      <c r="R376" s="200">
        <f t="shared" si="59"/>
        <v>0</v>
      </c>
      <c r="S376" s="200">
        <f t="shared" si="60"/>
        <v>0</v>
      </c>
    </row>
    <row r="377" spans="1:19" s="247" customFormat="1" ht="24.95" customHeight="1">
      <c r="A377" s="242"/>
      <c r="B377" s="242" t="s">
        <v>393</v>
      </c>
      <c r="C377" s="243">
        <v>10</v>
      </c>
      <c r="D377" s="242">
        <f t="shared" si="62"/>
        <v>0</v>
      </c>
      <c r="E377" s="244">
        <v>2</v>
      </c>
      <c r="F377" s="245">
        <v>100</v>
      </c>
      <c r="G377" s="246"/>
      <c r="H377" s="246">
        <v>6005</v>
      </c>
      <c r="I377" s="246"/>
      <c r="J377" s="245">
        <v>100</v>
      </c>
      <c r="K377" s="246">
        <v>2</v>
      </c>
      <c r="L377" s="235">
        <f t="shared" si="53"/>
        <v>6.165</v>
      </c>
      <c r="M377" s="200">
        <f t="shared" si="54"/>
        <v>0</v>
      </c>
      <c r="N377" s="200">
        <f t="shared" si="55"/>
        <v>0</v>
      </c>
      <c r="O377" s="200">
        <f t="shared" si="56"/>
        <v>0</v>
      </c>
      <c r="P377" s="200">
        <f t="shared" si="57"/>
        <v>0</v>
      </c>
      <c r="Q377" s="200">
        <f t="shared" si="58"/>
        <v>0</v>
      </c>
      <c r="R377" s="200">
        <f t="shared" si="59"/>
        <v>0</v>
      </c>
      <c r="S377" s="200">
        <f t="shared" si="60"/>
        <v>0</v>
      </c>
    </row>
    <row r="378" spans="1:19" s="247" customFormat="1" ht="24.95" customHeight="1">
      <c r="A378" s="242"/>
      <c r="B378" s="242" t="s">
        <v>394</v>
      </c>
      <c r="C378" s="243">
        <v>8</v>
      </c>
      <c r="D378" s="242">
        <f t="shared" si="62"/>
        <v>0</v>
      </c>
      <c r="E378" s="244">
        <f>(H376/200)+1</f>
        <v>31.024999999999999</v>
      </c>
      <c r="F378" s="246"/>
      <c r="G378" s="246"/>
      <c r="H378" s="246">
        <v>820</v>
      </c>
      <c r="I378" s="246"/>
      <c r="J378" s="246"/>
      <c r="K378" s="245">
        <v>5</v>
      </c>
      <c r="L378" s="235">
        <f t="shared" si="53"/>
        <v>0.74</v>
      </c>
      <c r="M378" s="200">
        <f t="shared" si="54"/>
        <v>0</v>
      </c>
      <c r="N378" s="200">
        <f t="shared" si="55"/>
        <v>0</v>
      </c>
      <c r="O378" s="200">
        <f t="shared" si="56"/>
        <v>0</v>
      </c>
      <c r="P378" s="200">
        <f t="shared" si="57"/>
        <v>0</v>
      </c>
      <c r="Q378" s="200">
        <f t="shared" si="58"/>
        <v>0</v>
      </c>
      <c r="R378" s="200">
        <f t="shared" si="59"/>
        <v>0</v>
      </c>
      <c r="S378" s="200">
        <f t="shared" si="60"/>
        <v>0</v>
      </c>
    </row>
    <row r="379" spans="1:19" s="236" customFormat="1" ht="24.95" customHeight="1">
      <c r="A379" s="239">
        <v>6</v>
      </c>
      <c r="B379" s="239" t="s">
        <v>392</v>
      </c>
      <c r="C379" s="240">
        <v>10</v>
      </c>
      <c r="D379" s="239">
        <v>1</v>
      </c>
      <c r="E379" s="203">
        <v>2</v>
      </c>
      <c r="F379" s="241">
        <v>100</v>
      </c>
      <c r="G379" s="234"/>
      <c r="H379" s="234">
        <v>7840</v>
      </c>
      <c r="I379" s="234"/>
      <c r="J379" s="241">
        <v>100</v>
      </c>
      <c r="K379" s="234">
        <v>2</v>
      </c>
      <c r="L379" s="235">
        <f t="shared" si="53"/>
        <v>8</v>
      </c>
      <c r="M379" s="200">
        <f t="shared" si="54"/>
        <v>0</v>
      </c>
      <c r="N379" s="200">
        <f t="shared" si="55"/>
        <v>16</v>
      </c>
      <c r="O379" s="200">
        <f t="shared" si="56"/>
        <v>0</v>
      </c>
      <c r="P379" s="200">
        <f t="shared" si="57"/>
        <v>0</v>
      </c>
      <c r="Q379" s="200">
        <f t="shared" si="58"/>
        <v>0</v>
      </c>
      <c r="R379" s="200">
        <f t="shared" si="59"/>
        <v>0</v>
      </c>
      <c r="S379" s="200">
        <f t="shared" si="60"/>
        <v>0</v>
      </c>
    </row>
    <row r="380" spans="1:19" s="236" customFormat="1" ht="24.95" customHeight="1">
      <c r="A380" s="239"/>
      <c r="B380" s="239" t="s">
        <v>393</v>
      </c>
      <c r="C380" s="240">
        <v>10</v>
      </c>
      <c r="D380" s="239">
        <v>1</v>
      </c>
      <c r="E380" s="203">
        <v>2</v>
      </c>
      <c r="F380" s="241">
        <v>100</v>
      </c>
      <c r="G380" s="234"/>
      <c r="H380" s="234">
        <v>7840</v>
      </c>
      <c r="I380" s="234"/>
      <c r="J380" s="241">
        <v>100</v>
      </c>
      <c r="K380" s="234">
        <v>2</v>
      </c>
      <c r="L380" s="235">
        <f t="shared" si="53"/>
        <v>8</v>
      </c>
      <c r="M380" s="200">
        <f t="shared" si="54"/>
        <v>0</v>
      </c>
      <c r="N380" s="200">
        <f t="shared" si="55"/>
        <v>16</v>
      </c>
      <c r="O380" s="200">
        <f t="shared" si="56"/>
        <v>0</v>
      </c>
      <c r="P380" s="200">
        <f t="shared" si="57"/>
        <v>0</v>
      </c>
      <c r="Q380" s="200">
        <f t="shared" si="58"/>
        <v>0</v>
      </c>
      <c r="R380" s="200">
        <f t="shared" si="59"/>
        <v>0</v>
      </c>
      <c r="S380" s="200">
        <f t="shared" si="60"/>
        <v>0</v>
      </c>
    </row>
    <row r="381" spans="1:19" s="236" customFormat="1" ht="24.95" customHeight="1">
      <c r="A381" s="239"/>
      <c r="B381" s="239" t="s">
        <v>394</v>
      </c>
      <c r="C381" s="240">
        <v>8</v>
      </c>
      <c r="D381" s="239">
        <v>1</v>
      </c>
      <c r="E381" s="203">
        <f>(H379/200)+1</f>
        <v>40.200000000000003</v>
      </c>
      <c r="F381" s="234"/>
      <c r="G381" s="234"/>
      <c r="H381" s="234">
        <v>820</v>
      </c>
      <c r="I381" s="234"/>
      <c r="J381" s="234"/>
      <c r="K381" s="241">
        <v>5</v>
      </c>
      <c r="L381" s="235">
        <f t="shared" si="53"/>
        <v>0.74</v>
      </c>
      <c r="M381" s="200">
        <f t="shared" si="54"/>
        <v>29.748000000000001</v>
      </c>
      <c r="N381" s="200">
        <f t="shared" si="55"/>
        <v>0</v>
      </c>
      <c r="O381" s="200">
        <f t="shared" si="56"/>
        <v>0</v>
      </c>
      <c r="P381" s="200">
        <f t="shared" si="57"/>
        <v>0</v>
      </c>
      <c r="Q381" s="200">
        <f t="shared" si="58"/>
        <v>0</v>
      </c>
      <c r="R381" s="200">
        <f t="shared" si="59"/>
        <v>0</v>
      </c>
      <c r="S381" s="200">
        <f t="shared" si="60"/>
        <v>0</v>
      </c>
    </row>
    <row r="382" spans="1:19" s="236" customFormat="1" ht="24.95" customHeight="1">
      <c r="A382" s="239">
        <v>7</v>
      </c>
      <c r="B382" s="239" t="s">
        <v>392</v>
      </c>
      <c r="C382" s="240">
        <v>10</v>
      </c>
      <c r="D382" s="239">
        <v>1</v>
      </c>
      <c r="E382" s="203">
        <v>2</v>
      </c>
      <c r="F382" s="241">
        <v>100</v>
      </c>
      <c r="G382" s="234"/>
      <c r="H382" s="241">
        <v>10070</v>
      </c>
      <c r="I382" s="234"/>
      <c r="J382" s="241">
        <v>100</v>
      </c>
      <c r="K382" s="234">
        <v>2</v>
      </c>
      <c r="L382" s="235">
        <f t="shared" si="53"/>
        <v>10.23</v>
      </c>
      <c r="M382" s="200">
        <f t="shared" si="54"/>
        <v>0</v>
      </c>
      <c r="N382" s="200">
        <f t="shared" si="55"/>
        <v>20.46</v>
      </c>
      <c r="O382" s="200">
        <f t="shared" si="56"/>
        <v>0</v>
      </c>
      <c r="P382" s="200">
        <f t="shared" si="57"/>
        <v>0</v>
      </c>
      <c r="Q382" s="200">
        <f t="shared" si="58"/>
        <v>0</v>
      </c>
      <c r="R382" s="200">
        <f t="shared" si="59"/>
        <v>0</v>
      </c>
      <c r="S382" s="200">
        <f t="shared" si="60"/>
        <v>0</v>
      </c>
    </row>
    <row r="383" spans="1:19" s="236" customFormat="1" ht="24.95" customHeight="1">
      <c r="A383" s="239"/>
      <c r="B383" s="239" t="s">
        <v>393</v>
      </c>
      <c r="C383" s="240">
        <v>10</v>
      </c>
      <c r="D383" s="239">
        <v>1</v>
      </c>
      <c r="E383" s="203">
        <v>2</v>
      </c>
      <c r="F383" s="241">
        <v>100</v>
      </c>
      <c r="G383" s="234"/>
      <c r="H383" s="241">
        <v>10070</v>
      </c>
      <c r="I383" s="234"/>
      <c r="J383" s="241">
        <v>100</v>
      </c>
      <c r="K383" s="234">
        <v>2</v>
      </c>
      <c r="L383" s="235">
        <f t="shared" si="53"/>
        <v>10.23</v>
      </c>
      <c r="M383" s="200">
        <f t="shared" si="54"/>
        <v>0</v>
      </c>
      <c r="N383" s="200">
        <f t="shared" si="55"/>
        <v>20.46</v>
      </c>
      <c r="O383" s="200">
        <f t="shared" si="56"/>
        <v>0</v>
      </c>
      <c r="P383" s="200">
        <f t="shared" si="57"/>
        <v>0</v>
      </c>
      <c r="Q383" s="200">
        <f t="shared" si="58"/>
        <v>0</v>
      </c>
      <c r="R383" s="200">
        <f t="shared" si="59"/>
        <v>0</v>
      </c>
      <c r="S383" s="200">
        <f t="shared" si="60"/>
        <v>0</v>
      </c>
    </row>
    <row r="384" spans="1:19" s="236" customFormat="1" ht="24.95" customHeight="1">
      <c r="A384" s="239"/>
      <c r="B384" s="239" t="s">
        <v>394</v>
      </c>
      <c r="C384" s="240">
        <v>8</v>
      </c>
      <c r="D384" s="239">
        <v>1</v>
      </c>
      <c r="E384" s="249">
        <f>(H382/200)+1</f>
        <v>51.35</v>
      </c>
      <c r="F384" s="234"/>
      <c r="G384" s="234"/>
      <c r="H384" s="234">
        <v>820</v>
      </c>
      <c r="I384" s="234"/>
      <c r="J384" s="234"/>
      <c r="K384" s="241">
        <v>5</v>
      </c>
      <c r="L384" s="235">
        <f t="shared" si="53"/>
        <v>0.74</v>
      </c>
      <c r="M384" s="200">
        <f t="shared" si="54"/>
        <v>37.999000000000002</v>
      </c>
      <c r="N384" s="200">
        <f t="shared" si="55"/>
        <v>0</v>
      </c>
      <c r="O384" s="200">
        <f t="shared" si="56"/>
        <v>0</v>
      </c>
      <c r="P384" s="200">
        <f t="shared" si="57"/>
        <v>0</v>
      </c>
      <c r="Q384" s="200">
        <f t="shared" si="58"/>
        <v>0</v>
      </c>
      <c r="R384" s="200">
        <f t="shared" si="59"/>
        <v>0</v>
      </c>
      <c r="S384" s="200">
        <f t="shared" si="60"/>
        <v>0</v>
      </c>
    </row>
    <row r="385" spans="1:19" s="236" customFormat="1" ht="24.95" customHeight="1">
      <c r="A385" s="207">
        <v>8</v>
      </c>
      <c r="B385" s="208" t="s">
        <v>399</v>
      </c>
      <c r="C385" s="240">
        <v>12</v>
      </c>
      <c r="D385" s="239">
        <v>3</v>
      </c>
      <c r="E385" s="203">
        <v>3</v>
      </c>
      <c r="F385" s="241">
        <v>100</v>
      </c>
      <c r="G385" s="234"/>
      <c r="H385" s="234">
        <v>2950</v>
      </c>
      <c r="I385" s="234"/>
      <c r="J385" s="241">
        <v>100</v>
      </c>
      <c r="K385" s="234">
        <v>2</v>
      </c>
      <c r="L385" s="235">
        <f t="shared" si="53"/>
        <v>3.1019999999999999</v>
      </c>
      <c r="M385" s="200">
        <f t="shared" si="54"/>
        <v>0</v>
      </c>
      <c r="N385" s="200">
        <f t="shared" si="55"/>
        <v>0</v>
      </c>
      <c r="O385" s="200">
        <f t="shared" si="56"/>
        <v>27.917999999999999</v>
      </c>
      <c r="P385" s="200">
        <f t="shared" si="57"/>
        <v>0</v>
      </c>
      <c r="Q385" s="200">
        <f t="shared" si="58"/>
        <v>0</v>
      </c>
      <c r="R385" s="200">
        <f t="shared" si="59"/>
        <v>0</v>
      </c>
      <c r="S385" s="200">
        <f t="shared" si="60"/>
        <v>0</v>
      </c>
    </row>
    <row r="386" spans="1:19" s="236" customFormat="1" ht="24.95" customHeight="1">
      <c r="A386" s="239"/>
      <c r="B386" s="239" t="s">
        <v>393</v>
      </c>
      <c r="C386" s="240">
        <v>12</v>
      </c>
      <c r="D386" s="239">
        <v>3</v>
      </c>
      <c r="E386" s="203">
        <v>3</v>
      </c>
      <c r="F386" s="241">
        <v>100</v>
      </c>
      <c r="G386" s="234"/>
      <c r="H386" s="234">
        <v>2950</v>
      </c>
      <c r="I386" s="234"/>
      <c r="J386" s="241">
        <v>100</v>
      </c>
      <c r="K386" s="234">
        <v>2</v>
      </c>
      <c r="L386" s="235">
        <f t="shared" si="53"/>
        <v>3.1019999999999999</v>
      </c>
      <c r="M386" s="200">
        <f t="shared" si="54"/>
        <v>0</v>
      </c>
      <c r="N386" s="200">
        <f t="shared" si="55"/>
        <v>0</v>
      </c>
      <c r="O386" s="200">
        <f t="shared" si="56"/>
        <v>27.917999999999999</v>
      </c>
      <c r="P386" s="200">
        <f t="shared" si="57"/>
        <v>0</v>
      </c>
      <c r="Q386" s="200">
        <f t="shared" si="58"/>
        <v>0</v>
      </c>
      <c r="R386" s="200">
        <f t="shared" si="59"/>
        <v>0</v>
      </c>
      <c r="S386" s="200">
        <f t="shared" si="60"/>
        <v>0</v>
      </c>
    </row>
    <row r="387" spans="1:19" s="236" customFormat="1" ht="24.95" customHeight="1">
      <c r="A387" s="239"/>
      <c r="B387" s="239" t="s">
        <v>400</v>
      </c>
      <c r="C387" s="240">
        <v>8</v>
      </c>
      <c r="D387" s="239">
        <v>3</v>
      </c>
      <c r="E387" s="203">
        <f>(H385/200)+1</f>
        <v>15.75</v>
      </c>
      <c r="F387" s="234"/>
      <c r="G387" s="234"/>
      <c r="H387" s="234">
        <v>1280</v>
      </c>
      <c r="I387" s="234"/>
      <c r="J387" s="234"/>
      <c r="K387" s="241">
        <v>5</v>
      </c>
      <c r="L387" s="235">
        <f t="shared" si="53"/>
        <v>1.2</v>
      </c>
      <c r="M387" s="200">
        <f t="shared" si="54"/>
        <v>56.699999999999996</v>
      </c>
      <c r="N387" s="200">
        <f t="shared" si="55"/>
        <v>0</v>
      </c>
      <c r="O387" s="200">
        <f t="shared" si="56"/>
        <v>0</v>
      </c>
      <c r="P387" s="200">
        <f t="shared" si="57"/>
        <v>0</v>
      </c>
      <c r="Q387" s="200">
        <f t="shared" si="58"/>
        <v>0</v>
      </c>
      <c r="R387" s="200">
        <f t="shared" si="59"/>
        <v>0</v>
      </c>
      <c r="S387" s="200">
        <f t="shared" si="60"/>
        <v>0</v>
      </c>
    </row>
    <row r="388" spans="1:19" s="236" customFormat="1" ht="24.95" customHeight="1">
      <c r="A388" s="205" t="s">
        <v>418</v>
      </c>
      <c r="B388" s="206" t="s">
        <v>396</v>
      </c>
      <c r="C388" s="240"/>
      <c r="D388" s="239"/>
      <c r="E388" s="203"/>
      <c r="F388" s="234"/>
      <c r="G388" s="234"/>
      <c r="H388" s="234"/>
      <c r="I388" s="234"/>
      <c r="J388" s="234"/>
      <c r="K388" s="234"/>
      <c r="L388" s="235">
        <f t="shared" si="53"/>
        <v>0</v>
      </c>
      <c r="M388" s="200">
        <f t="shared" si="54"/>
        <v>0</v>
      </c>
      <c r="N388" s="200">
        <f t="shared" si="55"/>
        <v>0</v>
      </c>
      <c r="O388" s="200">
        <f t="shared" si="56"/>
        <v>0</v>
      </c>
      <c r="P388" s="200">
        <f t="shared" si="57"/>
        <v>0</v>
      </c>
      <c r="Q388" s="200">
        <f t="shared" si="58"/>
        <v>0</v>
      </c>
      <c r="R388" s="200">
        <f t="shared" si="59"/>
        <v>0</v>
      </c>
      <c r="S388" s="200">
        <f t="shared" si="60"/>
        <v>0</v>
      </c>
    </row>
    <row r="389" spans="1:19" s="236" customFormat="1" ht="24.95" customHeight="1">
      <c r="A389" s="239">
        <v>1</v>
      </c>
      <c r="B389" s="239" t="s">
        <v>392</v>
      </c>
      <c r="C389" s="240">
        <v>10</v>
      </c>
      <c r="D389" s="239">
        <v>2</v>
      </c>
      <c r="E389" s="203">
        <v>2</v>
      </c>
      <c r="F389" s="241">
        <v>100</v>
      </c>
      <c r="G389" s="234"/>
      <c r="H389" s="241">
        <v>1025</v>
      </c>
      <c r="I389" s="234"/>
      <c r="J389" s="241">
        <v>100</v>
      </c>
      <c r="K389" s="234">
        <v>2</v>
      </c>
      <c r="L389" s="235">
        <f t="shared" si="53"/>
        <v>1.1850000000000001</v>
      </c>
      <c r="M389" s="200">
        <f t="shared" si="54"/>
        <v>0</v>
      </c>
      <c r="N389" s="200">
        <f t="shared" si="55"/>
        <v>4.74</v>
      </c>
      <c r="O389" s="200">
        <f t="shared" si="56"/>
        <v>0</v>
      </c>
      <c r="P389" s="200">
        <f t="shared" si="57"/>
        <v>0</v>
      </c>
      <c r="Q389" s="200">
        <f t="shared" si="58"/>
        <v>0</v>
      </c>
      <c r="R389" s="200">
        <f t="shared" si="59"/>
        <v>0</v>
      </c>
      <c r="S389" s="200">
        <f t="shared" si="60"/>
        <v>0</v>
      </c>
    </row>
    <row r="390" spans="1:19" s="236" customFormat="1" ht="24.95" customHeight="1">
      <c r="A390" s="239"/>
      <c r="B390" s="239" t="s">
        <v>393</v>
      </c>
      <c r="C390" s="240">
        <v>10</v>
      </c>
      <c r="D390" s="239">
        <v>2</v>
      </c>
      <c r="E390" s="203">
        <v>2</v>
      </c>
      <c r="F390" s="241">
        <v>100</v>
      </c>
      <c r="G390" s="234"/>
      <c r="H390" s="241">
        <v>1025</v>
      </c>
      <c r="I390" s="234"/>
      <c r="J390" s="241">
        <v>100</v>
      </c>
      <c r="K390" s="234">
        <v>2</v>
      </c>
      <c r="L390" s="235">
        <f t="shared" si="53"/>
        <v>1.1850000000000001</v>
      </c>
      <c r="M390" s="200">
        <f t="shared" si="54"/>
        <v>0</v>
      </c>
      <c r="N390" s="200">
        <f t="shared" si="55"/>
        <v>4.74</v>
      </c>
      <c r="O390" s="200">
        <f t="shared" si="56"/>
        <v>0</v>
      </c>
      <c r="P390" s="200">
        <f t="shared" si="57"/>
        <v>0</v>
      </c>
      <c r="Q390" s="200">
        <f t="shared" si="58"/>
        <v>0</v>
      </c>
      <c r="R390" s="200">
        <f t="shared" si="59"/>
        <v>0</v>
      </c>
      <c r="S390" s="200">
        <f t="shared" si="60"/>
        <v>0</v>
      </c>
    </row>
    <row r="391" spans="1:19" s="236" customFormat="1" ht="24.95" customHeight="1">
      <c r="A391" s="239"/>
      <c r="B391" s="239" t="s">
        <v>394</v>
      </c>
      <c r="C391" s="240">
        <v>8</v>
      </c>
      <c r="D391" s="239">
        <v>2</v>
      </c>
      <c r="E391" s="203">
        <f>(H389/200)+1</f>
        <v>6.125</v>
      </c>
      <c r="F391" s="234"/>
      <c r="G391" s="234"/>
      <c r="H391" s="234">
        <v>820</v>
      </c>
      <c r="I391" s="234"/>
      <c r="J391" s="234"/>
      <c r="K391" s="241">
        <v>5</v>
      </c>
      <c r="L391" s="235">
        <f t="shared" si="53"/>
        <v>0.74</v>
      </c>
      <c r="M391" s="200">
        <f t="shared" si="54"/>
        <v>9.0649999999999995</v>
      </c>
      <c r="N391" s="200">
        <f t="shared" si="55"/>
        <v>0</v>
      </c>
      <c r="O391" s="200">
        <f t="shared" si="56"/>
        <v>0</v>
      </c>
      <c r="P391" s="200">
        <f t="shared" si="57"/>
        <v>0</v>
      </c>
      <c r="Q391" s="200">
        <f t="shared" si="58"/>
        <v>0</v>
      </c>
      <c r="R391" s="200">
        <f t="shared" si="59"/>
        <v>0</v>
      </c>
      <c r="S391" s="200">
        <f t="shared" si="60"/>
        <v>0</v>
      </c>
    </row>
    <row r="392" spans="1:19" s="236" customFormat="1" ht="24.95" customHeight="1">
      <c r="A392" s="239">
        <v>2</v>
      </c>
      <c r="B392" s="239" t="s">
        <v>392</v>
      </c>
      <c r="C392" s="240">
        <v>10</v>
      </c>
      <c r="D392" s="239">
        <v>2</v>
      </c>
      <c r="E392" s="203">
        <v>2</v>
      </c>
      <c r="F392" s="241">
        <v>100</v>
      </c>
      <c r="G392" s="234"/>
      <c r="H392" s="234">
        <v>2010</v>
      </c>
      <c r="I392" s="234"/>
      <c r="J392" s="241">
        <v>100</v>
      </c>
      <c r="K392" s="234">
        <v>2</v>
      </c>
      <c r="L392" s="235">
        <f t="shared" si="53"/>
        <v>2.17</v>
      </c>
      <c r="M392" s="200">
        <f t="shared" si="54"/>
        <v>0</v>
      </c>
      <c r="N392" s="200">
        <f t="shared" si="55"/>
        <v>8.68</v>
      </c>
      <c r="O392" s="200">
        <f t="shared" si="56"/>
        <v>0</v>
      </c>
      <c r="P392" s="200">
        <f t="shared" si="57"/>
        <v>0</v>
      </c>
      <c r="Q392" s="200">
        <f t="shared" si="58"/>
        <v>0</v>
      </c>
      <c r="R392" s="200">
        <f t="shared" si="59"/>
        <v>0</v>
      </c>
      <c r="S392" s="200">
        <f t="shared" si="60"/>
        <v>0</v>
      </c>
    </row>
    <row r="393" spans="1:19" s="236" customFormat="1" ht="24.95" customHeight="1">
      <c r="A393" s="239"/>
      <c r="B393" s="239" t="s">
        <v>393</v>
      </c>
      <c r="C393" s="240">
        <v>10</v>
      </c>
      <c r="D393" s="239">
        <v>2</v>
      </c>
      <c r="E393" s="203">
        <v>2</v>
      </c>
      <c r="F393" s="241">
        <v>100</v>
      </c>
      <c r="G393" s="234"/>
      <c r="H393" s="234">
        <v>2010</v>
      </c>
      <c r="I393" s="234"/>
      <c r="J393" s="241">
        <v>100</v>
      </c>
      <c r="K393" s="234">
        <v>2</v>
      </c>
      <c r="L393" s="235">
        <f t="shared" si="53"/>
        <v>2.17</v>
      </c>
      <c r="M393" s="200">
        <f t="shared" si="54"/>
        <v>0</v>
      </c>
      <c r="N393" s="200">
        <f t="shared" si="55"/>
        <v>8.68</v>
      </c>
      <c r="O393" s="200">
        <f t="shared" si="56"/>
        <v>0</v>
      </c>
      <c r="P393" s="200">
        <f t="shared" si="57"/>
        <v>0</v>
      </c>
      <c r="Q393" s="200">
        <f t="shared" si="58"/>
        <v>0</v>
      </c>
      <c r="R393" s="200">
        <f t="shared" si="59"/>
        <v>0</v>
      </c>
      <c r="S393" s="200">
        <f t="shared" si="60"/>
        <v>0</v>
      </c>
    </row>
    <row r="394" spans="1:19" s="236" customFormat="1" ht="24.95" customHeight="1">
      <c r="A394" s="239"/>
      <c r="B394" s="239" t="s">
        <v>394</v>
      </c>
      <c r="C394" s="240">
        <v>8</v>
      </c>
      <c r="D394" s="239">
        <v>2</v>
      </c>
      <c r="E394" s="203">
        <f>(H392/200)+1</f>
        <v>11.05</v>
      </c>
      <c r="F394" s="234"/>
      <c r="G394" s="234"/>
      <c r="H394" s="234">
        <v>820</v>
      </c>
      <c r="I394" s="234"/>
      <c r="J394" s="234"/>
      <c r="K394" s="241">
        <v>5</v>
      </c>
      <c r="L394" s="235">
        <f t="shared" si="53"/>
        <v>0.74</v>
      </c>
      <c r="M394" s="200">
        <f t="shared" si="54"/>
        <v>16.353999999999999</v>
      </c>
      <c r="N394" s="200">
        <f t="shared" si="55"/>
        <v>0</v>
      </c>
      <c r="O394" s="200">
        <f t="shared" si="56"/>
        <v>0</v>
      </c>
      <c r="P394" s="200">
        <f t="shared" si="57"/>
        <v>0</v>
      </c>
      <c r="Q394" s="200">
        <f t="shared" si="58"/>
        <v>0</v>
      </c>
      <c r="R394" s="200">
        <f t="shared" si="59"/>
        <v>0</v>
      </c>
      <c r="S394" s="200">
        <f t="shared" si="60"/>
        <v>0</v>
      </c>
    </row>
    <row r="395" spans="1:19" s="236" customFormat="1" ht="24.95" customHeight="1">
      <c r="A395" s="239">
        <v>3</v>
      </c>
      <c r="B395" s="239" t="s">
        <v>392</v>
      </c>
      <c r="C395" s="240">
        <v>10</v>
      </c>
      <c r="D395" s="239">
        <v>2</v>
      </c>
      <c r="E395" s="203">
        <v>2</v>
      </c>
      <c r="F395" s="241">
        <v>100</v>
      </c>
      <c r="G395" s="234"/>
      <c r="H395" s="241">
        <v>3770</v>
      </c>
      <c r="I395" s="234"/>
      <c r="J395" s="241">
        <v>100</v>
      </c>
      <c r="K395" s="234">
        <v>2</v>
      </c>
      <c r="L395" s="235">
        <f t="shared" ref="L395:L458" si="63">(((F395+G395+H395+I395+J395)-C395*K395*2)/1000)</f>
        <v>3.93</v>
      </c>
      <c r="M395" s="200">
        <f t="shared" ref="M395:M458" si="64">+IF(C395=8,D395*E395*L395,0)</f>
        <v>0</v>
      </c>
      <c r="N395" s="200">
        <f t="shared" ref="N395:N458" si="65">+IF(C395=10,D395*E395*L395,0)</f>
        <v>15.72</v>
      </c>
      <c r="O395" s="200">
        <f t="shared" ref="O395:O458" si="66">+IF(C395=12,D395*E395*L395,0)</f>
        <v>0</v>
      </c>
      <c r="P395" s="200">
        <f t="shared" ref="P395:P458" si="67">+IF(C395=16,D395*E395*L395,0)</f>
        <v>0</v>
      </c>
      <c r="Q395" s="200">
        <f t="shared" ref="Q395:Q458" si="68">+IF(C395=20,D395*E395*L395,0)</f>
        <v>0</v>
      </c>
      <c r="R395" s="200">
        <f t="shared" ref="R395:R458" si="69">+IF(C395=25,D395*E395*L395,0)</f>
        <v>0</v>
      </c>
      <c r="S395" s="200">
        <f t="shared" ref="S395:S458" si="70">+IF(C395=32,D395*E395*L395,0)</f>
        <v>0</v>
      </c>
    </row>
    <row r="396" spans="1:19" s="236" customFormat="1" ht="24.95" customHeight="1">
      <c r="A396" s="239"/>
      <c r="B396" s="239" t="s">
        <v>393</v>
      </c>
      <c r="C396" s="240">
        <v>10</v>
      </c>
      <c r="D396" s="239">
        <v>2</v>
      </c>
      <c r="E396" s="203">
        <v>2</v>
      </c>
      <c r="F396" s="241">
        <v>100</v>
      </c>
      <c r="G396" s="234"/>
      <c r="H396" s="241">
        <v>3770</v>
      </c>
      <c r="I396" s="234"/>
      <c r="J396" s="241">
        <v>100</v>
      </c>
      <c r="K396" s="234">
        <v>2</v>
      </c>
      <c r="L396" s="235">
        <f t="shared" si="63"/>
        <v>3.93</v>
      </c>
      <c r="M396" s="200">
        <f t="shared" si="64"/>
        <v>0</v>
      </c>
      <c r="N396" s="200">
        <f t="shared" si="65"/>
        <v>15.72</v>
      </c>
      <c r="O396" s="200">
        <f t="shared" si="66"/>
        <v>0</v>
      </c>
      <c r="P396" s="200">
        <f t="shared" si="67"/>
        <v>0</v>
      </c>
      <c r="Q396" s="200">
        <f t="shared" si="68"/>
        <v>0</v>
      </c>
      <c r="R396" s="200">
        <f t="shared" si="69"/>
        <v>0</v>
      </c>
      <c r="S396" s="200">
        <f t="shared" si="70"/>
        <v>0</v>
      </c>
    </row>
    <row r="397" spans="1:19" s="236" customFormat="1" ht="24.95" customHeight="1">
      <c r="A397" s="239"/>
      <c r="B397" s="239" t="s">
        <v>394</v>
      </c>
      <c r="C397" s="240">
        <v>8</v>
      </c>
      <c r="D397" s="239">
        <v>2</v>
      </c>
      <c r="E397" s="203">
        <f>(H395/200)+1</f>
        <v>19.850000000000001</v>
      </c>
      <c r="F397" s="234"/>
      <c r="G397" s="234"/>
      <c r="H397" s="234">
        <v>820</v>
      </c>
      <c r="I397" s="234"/>
      <c r="J397" s="234"/>
      <c r="K397" s="241">
        <v>5</v>
      </c>
      <c r="L397" s="235">
        <f t="shared" si="63"/>
        <v>0.74</v>
      </c>
      <c r="M397" s="200">
        <f t="shared" si="64"/>
        <v>29.378</v>
      </c>
      <c r="N397" s="200">
        <f t="shared" si="65"/>
        <v>0</v>
      </c>
      <c r="O397" s="200">
        <f t="shared" si="66"/>
        <v>0</v>
      </c>
      <c r="P397" s="200">
        <f t="shared" si="67"/>
        <v>0</v>
      </c>
      <c r="Q397" s="200">
        <f t="shared" si="68"/>
        <v>0</v>
      </c>
      <c r="R397" s="200">
        <f t="shared" si="69"/>
        <v>0</v>
      </c>
      <c r="S397" s="200">
        <f t="shared" si="70"/>
        <v>0</v>
      </c>
    </row>
    <row r="398" spans="1:19" s="236" customFormat="1" ht="24.95" customHeight="1">
      <c r="A398" s="237">
        <v>4</v>
      </c>
      <c r="B398" s="238" t="s">
        <v>419</v>
      </c>
      <c r="C398" s="240"/>
      <c r="D398" s="239"/>
      <c r="E398" s="203"/>
      <c r="F398" s="234"/>
      <c r="G398" s="234"/>
      <c r="H398" s="234"/>
      <c r="I398" s="234"/>
      <c r="J398" s="234"/>
      <c r="K398" s="234"/>
      <c r="L398" s="235">
        <f t="shared" si="63"/>
        <v>0</v>
      </c>
      <c r="M398" s="200">
        <f t="shared" si="64"/>
        <v>0</v>
      </c>
      <c r="N398" s="200">
        <f t="shared" si="65"/>
        <v>0</v>
      </c>
      <c r="O398" s="200">
        <f t="shared" si="66"/>
        <v>0</v>
      </c>
      <c r="P398" s="200">
        <f t="shared" si="67"/>
        <v>0</v>
      </c>
      <c r="Q398" s="200">
        <f t="shared" si="68"/>
        <v>0</v>
      </c>
      <c r="R398" s="200">
        <f t="shared" si="69"/>
        <v>0</v>
      </c>
      <c r="S398" s="200">
        <f t="shared" si="70"/>
        <v>0</v>
      </c>
    </row>
    <row r="399" spans="1:19" s="236" customFormat="1" ht="24.95" customHeight="1">
      <c r="A399" s="205" t="s">
        <v>420</v>
      </c>
      <c r="B399" s="205" t="s">
        <v>403</v>
      </c>
      <c r="C399" s="240"/>
      <c r="D399" s="239"/>
      <c r="E399" s="203"/>
      <c r="F399" s="234"/>
      <c r="G399" s="234"/>
      <c r="H399" s="234"/>
      <c r="I399" s="234"/>
      <c r="J399" s="234"/>
      <c r="K399" s="234">
        <v>0</v>
      </c>
      <c r="L399" s="235">
        <f t="shared" si="63"/>
        <v>0</v>
      </c>
      <c r="M399" s="200">
        <f t="shared" si="64"/>
        <v>0</v>
      </c>
      <c r="N399" s="200">
        <f t="shared" si="65"/>
        <v>0</v>
      </c>
      <c r="O399" s="200">
        <f t="shared" si="66"/>
        <v>0</v>
      </c>
      <c r="P399" s="200">
        <f t="shared" si="67"/>
        <v>0</v>
      </c>
      <c r="Q399" s="200">
        <f t="shared" si="68"/>
        <v>0</v>
      </c>
      <c r="R399" s="200">
        <f t="shared" si="69"/>
        <v>0</v>
      </c>
      <c r="S399" s="200">
        <f t="shared" si="70"/>
        <v>0</v>
      </c>
    </row>
    <row r="400" spans="1:19" s="236" customFormat="1" ht="24.95" customHeight="1">
      <c r="A400" s="205" t="s">
        <v>421</v>
      </c>
      <c r="B400" s="206" t="s">
        <v>391</v>
      </c>
      <c r="C400" s="240"/>
      <c r="D400" s="239"/>
      <c r="E400" s="203"/>
      <c r="F400" s="234"/>
      <c r="G400" s="234"/>
      <c r="H400" s="234"/>
      <c r="I400" s="234"/>
      <c r="J400" s="234"/>
      <c r="K400" s="234"/>
      <c r="L400" s="235">
        <f t="shared" si="63"/>
        <v>0</v>
      </c>
      <c r="M400" s="200">
        <f t="shared" si="64"/>
        <v>0</v>
      </c>
      <c r="N400" s="200">
        <f t="shared" si="65"/>
        <v>0</v>
      </c>
      <c r="O400" s="200">
        <f t="shared" si="66"/>
        <v>0</v>
      </c>
      <c r="P400" s="200">
        <f t="shared" si="67"/>
        <v>0</v>
      </c>
      <c r="Q400" s="200">
        <f t="shared" si="68"/>
        <v>0</v>
      </c>
      <c r="R400" s="200">
        <f t="shared" si="69"/>
        <v>0</v>
      </c>
      <c r="S400" s="200">
        <f t="shared" si="70"/>
        <v>0</v>
      </c>
    </row>
    <row r="401" spans="1:19" s="236" customFormat="1" ht="24.95" customHeight="1">
      <c r="A401" s="239">
        <v>1</v>
      </c>
      <c r="B401" s="239" t="s">
        <v>392</v>
      </c>
      <c r="C401" s="240">
        <v>10</v>
      </c>
      <c r="D401" s="239">
        <v>1</v>
      </c>
      <c r="E401" s="203">
        <v>2</v>
      </c>
      <c r="F401" s="241">
        <v>100</v>
      </c>
      <c r="G401" s="234"/>
      <c r="H401" s="234">
        <v>3080</v>
      </c>
      <c r="I401" s="234"/>
      <c r="J401" s="241">
        <v>100</v>
      </c>
      <c r="K401" s="234">
        <v>2</v>
      </c>
      <c r="L401" s="235">
        <f t="shared" si="63"/>
        <v>3.24</v>
      </c>
      <c r="M401" s="200">
        <f t="shared" si="64"/>
        <v>0</v>
      </c>
      <c r="N401" s="200">
        <f t="shared" si="65"/>
        <v>6.48</v>
      </c>
      <c r="O401" s="200">
        <f t="shared" si="66"/>
        <v>0</v>
      </c>
      <c r="P401" s="200">
        <f t="shared" si="67"/>
        <v>0</v>
      </c>
      <c r="Q401" s="200">
        <f t="shared" si="68"/>
        <v>0</v>
      </c>
      <c r="R401" s="200">
        <f t="shared" si="69"/>
        <v>0</v>
      </c>
      <c r="S401" s="200">
        <f t="shared" si="70"/>
        <v>0</v>
      </c>
    </row>
    <row r="402" spans="1:19" s="236" customFormat="1" ht="24.95" customHeight="1">
      <c r="A402" s="239"/>
      <c r="B402" s="239" t="s">
        <v>393</v>
      </c>
      <c r="C402" s="240">
        <v>10</v>
      </c>
      <c r="D402" s="239">
        <v>1</v>
      </c>
      <c r="E402" s="203">
        <v>2</v>
      </c>
      <c r="F402" s="241">
        <v>100</v>
      </c>
      <c r="G402" s="234"/>
      <c r="H402" s="234">
        <v>3080</v>
      </c>
      <c r="I402" s="234"/>
      <c r="J402" s="241">
        <v>100</v>
      </c>
      <c r="K402" s="234">
        <v>2</v>
      </c>
      <c r="L402" s="235">
        <f t="shared" si="63"/>
        <v>3.24</v>
      </c>
      <c r="M402" s="200">
        <f t="shared" si="64"/>
        <v>0</v>
      </c>
      <c r="N402" s="200">
        <f t="shared" si="65"/>
        <v>6.48</v>
      </c>
      <c r="O402" s="200">
        <f t="shared" si="66"/>
        <v>0</v>
      </c>
      <c r="P402" s="200">
        <f t="shared" si="67"/>
        <v>0</v>
      </c>
      <c r="Q402" s="200">
        <f t="shared" si="68"/>
        <v>0</v>
      </c>
      <c r="R402" s="200">
        <f t="shared" si="69"/>
        <v>0</v>
      </c>
      <c r="S402" s="200">
        <f t="shared" si="70"/>
        <v>0</v>
      </c>
    </row>
    <row r="403" spans="1:19" s="236" customFormat="1" ht="24.95" customHeight="1">
      <c r="A403" s="239"/>
      <c r="B403" s="239" t="s">
        <v>394</v>
      </c>
      <c r="C403" s="240">
        <v>8</v>
      </c>
      <c r="D403" s="239">
        <v>1</v>
      </c>
      <c r="E403" s="203">
        <f>(H401/200)+1</f>
        <v>16.399999999999999</v>
      </c>
      <c r="F403" s="234"/>
      <c r="G403" s="234"/>
      <c r="H403" s="234">
        <v>820</v>
      </c>
      <c r="I403" s="234"/>
      <c r="J403" s="234"/>
      <c r="K403" s="241">
        <v>5</v>
      </c>
      <c r="L403" s="235">
        <f t="shared" si="63"/>
        <v>0.74</v>
      </c>
      <c r="M403" s="200">
        <f t="shared" si="64"/>
        <v>12.135999999999999</v>
      </c>
      <c r="N403" s="200">
        <f t="shared" si="65"/>
        <v>0</v>
      </c>
      <c r="O403" s="200">
        <f t="shared" si="66"/>
        <v>0</v>
      </c>
      <c r="P403" s="200">
        <f t="shared" si="67"/>
        <v>0</v>
      </c>
      <c r="Q403" s="200">
        <f t="shared" si="68"/>
        <v>0</v>
      </c>
      <c r="R403" s="200">
        <f t="shared" si="69"/>
        <v>0</v>
      </c>
      <c r="S403" s="200">
        <f t="shared" si="70"/>
        <v>0</v>
      </c>
    </row>
    <row r="404" spans="1:19" s="236" customFormat="1" ht="24.95" customHeight="1">
      <c r="A404" s="239">
        <v>2</v>
      </c>
      <c r="B404" s="239" t="s">
        <v>392</v>
      </c>
      <c r="C404" s="240">
        <v>10</v>
      </c>
      <c r="D404" s="239">
        <v>6</v>
      </c>
      <c r="E404" s="203">
        <v>2</v>
      </c>
      <c r="F404" s="241">
        <v>100</v>
      </c>
      <c r="G404" s="234"/>
      <c r="H404" s="234">
        <v>1880</v>
      </c>
      <c r="I404" s="234"/>
      <c r="J404" s="241">
        <v>100</v>
      </c>
      <c r="K404" s="234">
        <v>2</v>
      </c>
      <c r="L404" s="235">
        <f t="shared" si="63"/>
        <v>2.04</v>
      </c>
      <c r="M404" s="200">
        <f t="shared" si="64"/>
        <v>0</v>
      </c>
      <c r="N404" s="200">
        <f t="shared" si="65"/>
        <v>24.48</v>
      </c>
      <c r="O404" s="200">
        <f t="shared" si="66"/>
        <v>0</v>
      </c>
      <c r="P404" s="200">
        <f t="shared" si="67"/>
        <v>0</v>
      </c>
      <c r="Q404" s="200">
        <f t="shared" si="68"/>
        <v>0</v>
      </c>
      <c r="R404" s="200">
        <f t="shared" si="69"/>
        <v>0</v>
      </c>
      <c r="S404" s="200">
        <f t="shared" si="70"/>
        <v>0</v>
      </c>
    </row>
    <row r="405" spans="1:19" s="236" customFormat="1" ht="24.95" customHeight="1">
      <c r="A405" s="239"/>
      <c r="B405" s="239" t="s">
        <v>393</v>
      </c>
      <c r="C405" s="240">
        <v>10</v>
      </c>
      <c r="D405" s="239">
        <v>6</v>
      </c>
      <c r="E405" s="203">
        <v>2</v>
      </c>
      <c r="F405" s="241">
        <v>100</v>
      </c>
      <c r="G405" s="234"/>
      <c r="H405" s="234">
        <v>1880</v>
      </c>
      <c r="I405" s="234"/>
      <c r="J405" s="241">
        <v>100</v>
      </c>
      <c r="K405" s="234">
        <v>2</v>
      </c>
      <c r="L405" s="235">
        <f t="shared" si="63"/>
        <v>2.04</v>
      </c>
      <c r="M405" s="200">
        <f t="shared" si="64"/>
        <v>0</v>
      </c>
      <c r="N405" s="200">
        <f t="shared" si="65"/>
        <v>24.48</v>
      </c>
      <c r="O405" s="200">
        <f t="shared" si="66"/>
        <v>0</v>
      </c>
      <c r="P405" s="200">
        <f t="shared" si="67"/>
        <v>0</v>
      </c>
      <c r="Q405" s="200">
        <f t="shared" si="68"/>
        <v>0</v>
      </c>
      <c r="R405" s="200">
        <f t="shared" si="69"/>
        <v>0</v>
      </c>
      <c r="S405" s="200">
        <f t="shared" si="70"/>
        <v>0</v>
      </c>
    </row>
    <row r="406" spans="1:19" s="236" customFormat="1" ht="24.95" customHeight="1">
      <c r="A406" s="239"/>
      <c r="B406" s="239" t="s">
        <v>394</v>
      </c>
      <c r="C406" s="240">
        <v>8</v>
      </c>
      <c r="D406" s="239">
        <v>6</v>
      </c>
      <c r="E406" s="203">
        <f>(H404/200)+1</f>
        <v>10.4</v>
      </c>
      <c r="F406" s="234"/>
      <c r="G406" s="234"/>
      <c r="H406" s="234">
        <v>820</v>
      </c>
      <c r="I406" s="234"/>
      <c r="J406" s="234"/>
      <c r="K406" s="241">
        <v>5</v>
      </c>
      <c r="L406" s="235">
        <f t="shared" si="63"/>
        <v>0.74</v>
      </c>
      <c r="M406" s="200">
        <f t="shared" si="64"/>
        <v>46.176000000000002</v>
      </c>
      <c r="N406" s="200">
        <f t="shared" si="65"/>
        <v>0</v>
      </c>
      <c r="O406" s="200">
        <f t="shared" si="66"/>
        <v>0</v>
      </c>
      <c r="P406" s="200">
        <f t="shared" si="67"/>
        <v>0</v>
      </c>
      <c r="Q406" s="200">
        <f t="shared" si="68"/>
        <v>0</v>
      </c>
      <c r="R406" s="200">
        <f t="shared" si="69"/>
        <v>0</v>
      </c>
      <c r="S406" s="200">
        <f t="shared" si="70"/>
        <v>0</v>
      </c>
    </row>
    <row r="407" spans="1:19" s="236" customFormat="1" ht="24.95" customHeight="1">
      <c r="A407" s="239">
        <v>3</v>
      </c>
      <c r="B407" s="239" t="s">
        <v>392</v>
      </c>
      <c r="C407" s="240">
        <v>10</v>
      </c>
      <c r="D407" s="239">
        <v>5</v>
      </c>
      <c r="E407" s="203">
        <v>2</v>
      </c>
      <c r="F407" s="241">
        <v>100</v>
      </c>
      <c r="G407" s="234"/>
      <c r="H407" s="234">
        <v>1080</v>
      </c>
      <c r="I407" s="234"/>
      <c r="J407" s="241">
        <v>100</v>
      </c>
      <c r="K407" s="234">
        <v>2</v>
      </c>
      <c r="L407" s="235">
        <f t="shared" si="63"/>
        <v>1.24</v>
      </c>
      <c r="M407" s="200">
        <f t="shared" si="64"/>
        <v>0</v>
      </c>
      <c r="N407" s="200">
        <f t="shared" si="65"/>
        <v>12.4</v>
      </c>
      <c r="O407" s="200">
        <f t="shared" si="66"/>
        <v>0</v>
      </c>
      <c r="P407" s="200">
        <f t="shared" si="67"/>
        <v>0</v>
      </c>
      <c r="Q407" s="200">
        <f t="shared" si="68"/>
        <v>0</v>
      </c>
      <c r="R407" s="200">
        <f t="shared" si="69"/>
        <v>0</v>
      </c>
      <c r="S407" s="200">
        <f t="shared" si="70"/>
        <v>0</v>
      </c>
    </row>
    <row r="408" spans="1:19" s="236" customFormat="1" ht="24.95" customHeight="1">
      <c r="A408" s="239"/>
      <c r="B408" s="239" t="s">
        <v>393</v>
      </c>
      <c r="C408" s="240">
        <v>10</v>
      </c>
      <c r="D408" s="239">
        <v>5</v>
      </c>
      <c r="E408" s="203">
        <v>2</v>
      </c>
      <c r="F408" s="241">
        <v>100</v>
      </c>
      <c r="G408" s="234"/>
      <c r="H408" s="234">
        <v>1080</v>
      </c>
      <c r="I408" s="234"/>
      <c r="J408" s="241">
        <v>100</v>
      </c>
      <c r="K408" s="234">
        <v>2</v>
      </c>
      <c r="L408" s="235">
        <f t="shared" si="63"/>
        <v>1.24</v>
      </c>
      <c r="M408" s="200">
        <f t="shared" si="64"/>
        <v>0</v>
      </c>
      <c r="N408" s="200">
        <f t="shared" si="65"/>
        <v>12.4</v>
      </c>
      <c r="O408" s="200">
        <f t="shared" si="66"/>
        <v>0</v>
      </c>
      <c r="P408" s="200">
        <f t="shared" si="67"/>
        <v>0</v>
      </c>
      <c r="Q408" s="200">
        <f t="shared" si="68"/>
        <v>0</v>
      </c>
      <c r="R408" s="200">
        <f t="shared" si="69"/>
        <v>0</v>
      </c>
      <c r="S408" s="200">
        <f t="shared" si="70"/>
        <v>0</v>
      </c>
    </row>
    <row r="409" spans="1:19" s="236" customFormat="1" ht="24.95" customHeight="1">
      <c r="A409" s="239"/>
      <c r="B409" s="239" t="s">
        <v>394</v>
      </c>
      <c r="C409" s="240">
        <v>8</v>
      </c>
      <c r="D409" s="239">
        <v>5</v>
      </c>
      <c r="E409" s="203">
        <f>(H407/200)+1</f>
        <v>6.4</v>
      </c>
      <c r="F409" s="234"/>
      <c r="G409" s="234"/>
      <c r="H409" s="234">
        <v>820</v>
      </c>
      <c r="I409" s="234"/>
      <c r="J409" s="234"/>
      <c r="K409" s="241">
        <v>5</v>
      </c>
      <c r="L409" s="235">
        <f t="shared" si="63"/>
        <v>0.74</v>
      </c>
      <c r="M409" s="200">
        <f t="shared" si="64"/>
        <v>23.68</v>
      </c>
      <c r="N409" s="200">
        <f t="shared" si="65"/>
        <v>0</v>
      </c>
      <c r="O409" s="200">
        <f t="shared" si="66"/>
        <v>0</v>
      </c>
      <c r="P409" s="200">
        <f t="shared" si="67"/>
        <v>0</v>
      </c>
      <c r="Q409" s="200">
        <f t="shared" si="68"/>
        <v>0</v>
      </c>
      <c r="R409" s="200">
        <f t="shared" si="69"/>
        <v>0</v>
      </c>
      <c r="S409" s="200">
        <f t="shared" si="70"/>
        <v>0</v>
      </c>
    </row>
    <row r="410" spans="1:19" s="236" customFormat="1" ht="24.95" customHeight="1">
      <c r="A410" s="239">
        <v>4</v>
      </c>
      <c r="B410" s="239" t="s">
        <v>392</v>
      </c>
      <c r="C410" s="240">
        <v>10</v>
      </c>
      <c r="D410" s="239">
        <v>1</v>
      </c>
      <c r="E410" s="203">
        <v>2</v>
      </c>
      <c r="F410" s="241">
        <v>100</v>
      </c>
      <c r="G410" s="234"/>
      <c r="H410" s="234">
        <v>3680</v>
      </c>
      <c r="I410" s="234"/>
      <c r="J410" s="241">
        <v>100</v>
      </c>
      <c r="K410" s="234">
        <v>2</v>
      </c>
      <c r="L410" s="235">
        <f t="shared" si="63"/>
        <v>3.84</v>
      </c>
      <c r="M410" s="200">
        <f t="shared" si="64"/>
        <v>0</v>
      </c>
      <c r="N410" s="200">
        <f t="shared" si="65"/>
        <v>7.68</v>
      </c>
      <c r="O410" s="200">
        <f t="shared" si="66"/>
        <v>0</v>
      </c>
      <c r="P410" s="200">
        <f t="shared" si="67"/>
        <v>0</v>
      </c>
      <c r="Q410" s="200">
        <f t="shared" si="68"/>
        <v>0</v>
      </c>
      <c r="R410" s="200">
        <f t="shared" si="69"/>
        <v>0</v>
      </c>
      <c r="S410" s="200">
        <f t="shared" si="70"/>
        <v>0</v>
      </c>
    </row>
    <row r="411" spans="1:19" s="236" customFormat="1" ht="24.95" customHeight="1">
      <c r="A411" s="239"/>
      <c r="B411" s="239" t="s">
        <v>393</v>
      </c>
      <c r="C411" s="240">
        <v>10</v>
      </c>
      <c r="D411" s="239">
        <v>1</v>
      </c>
      <c r="E411" s="203">
        <v>2</v>
      </c>
      <c r="F411" s="241">
        <v>100</v>
      </c>
      <c r="G411" s="234"/>
      <c r="H411" s="234">
        <v>3680</v>
      </c>
      <c r="I411" s="234"/>
      <c r="J411" s="241">
        <v>100</v>
      </c>
      <c r="K411" s="234">
        <v>2</v>
      </c>
      <c r="L411" s="235">
        <f t="shared" si="63"/>
        <v>3.84</v>
      </c>
      <c r="M411" s="200">
        <f t="shared" si="64"/>
        <v>0</v>
      </c>
      <c r="N411" s="200">
        <f t="shared" si="65"/>
        <v>7.68</v>
      </c>
      <c r="O411" s="200">
        <f t="shared" si="66"/>
        <v>0</v>
      </c>
      <c r="P411" s="200">
        <f t="shared" si="67"/>
        <v>0</v>
      </c>
      <c r="Q411" s="200">
        <f t="shared" si="68"/>
        <v>0</v>
      </c>
      <c r="R411" s="200">
        <f t="shared" si="69"/>
        <v>0</v>
      </c>
      <c r="S411" s="200">
        <f t="shared" si="70"/>
        <v>0</v>
      </c>
    </row>
    <row r="412" spans="1:19" s="236" customFormat="1" ht="24.95" customHeight="1">
      <c r="A412" s="239"/>
      <c r="B412" s="239" t="s">
        <v>394</v>
      </c>
      <c r="C412" s="240">
        <v>8</v>
      </c>
      <c r="D412" s="239">
        <v>1</v>
      </c>
      <c r="E412" s="203">
        <f>(H410/200)+1</f>
        <v>19.399999999999999</v>
      </c>
      <c r="F412" s="234"/>
      <c r="G412" s="234"/>
      <c r="H412" s="234">
        <v>820</v>
      </c>
      <c r="I412" s="234"/>
      <c r="J412" s="234"/>
      <c r="K412" s="241">
        <v>5</v>
      </c>
      <c r="L412" s="235">
        <f t="shared" si="63"/>
        <v>0.74</v>
      </c>
      <c r="M412" s="200">
        <f t="shared" si="64"/>
        <v>14.355999999999998</v>
      </c>
      <c r="N412" s="200">
        <f t="shared" si="65"/>
        <v>0</v>
      </c>
      <c r="O412" s="200">
        <f t="shared" si="66"/>
        <v>0</v>
      </c>
      <c r="P412" s="200">
        <f t="shared" si="67"/>
        <v>0</v>
      </c>
      <c r="Q412" s="200">
        <f t="shared" si="68"/>
        <v>0</v>
      </c>
      <c r="R412" s="200">
        <f t="shared" si="69"/>
        <v>0</v>
      </c>
      <c r="S412" s="200">
        <f t="shared" si="70"/>
        <v>0</v>
      </c>
    </row>
    <row r="413" spans="1:19" s="236" customFormat="1" ht="24.95" customHeight="1">
      <c r="A413" s="239">
        <v>5</v>
      </c>
      <c r="B413" s="239" t="s">
        <v>392</v>
      </c>
      <c r="C413" s="240">
        <v>10</v>
      </c>
      <c r="D413" s="239">
        <v>1</v>
      </c>
      <c r="E413" s="203">
        <v>2</v>
      </c>
      <c r="F413" s="241">
        <v>100</v>
      </c>
      <c r="G413" s="234"/>
      <c r="H413" s="234">
        <v>2780</v>
      </c>
      <c r="I413" s="234"/>
      <c r="J413" s="241">
        <v>100</v>
      </c>
      <c r="K413" s="234">
        <v>2</v>
      </c>
      <c r="L413" s="235">
        <f t="shared" si="63"/>
        <v>2.94</v>
      </c>
      <c r="M413" s="200">
        <f t="shared" si="64"/>
        <v>0</v>
      </c>
      <c r="N413" s="200">
        <f t="shared" si="65"/>
        <v>5.88</v>
      </c>
      <c r="O413" s="200">
        <f t="shared" si="66"/>
        <v>0</v>
      </c>
      <c r="P413" s="200">
        <f t="shared" si="67"/>
        <v>0</v>
      </c>
      <c r="Q413" s="200">
        <f t="shared" si="68"/>
        <v>0</v>
      </c>
      <c r="R413" s="200">
        <f t="shared" si="69"/>
        <v>0</v>
      </c>
      <c r="S413" s="200">
        <f t="shared" si="70"/>
        <v>0</v>
      </c>
    </row>
    <row r="414" spans="1:19" s="236" customFormat="1" ht="24.95" customHeight="1">
      <c r="A414" s="239"/>
      <c r="B414" s="239" t="s">
        <v>393</v>
      </c>
      <c r="C414" s="240">
        <v>10</v>
      </c>
      <c r="D414" s="239">
        <v>1</v>
      </c>
      <c r="E414" s="203">
        <v>2</v>
      </c>
      <c r="F414" s="241">
        <v>100</v>
      </c>
      <c r="G414" s="234"/>
      <c r="H414" s="234">
        <v>2780</v>
      </c>
      <c r="I414" s="234"/>
      <c r="J414" s="241">
        <v>100</v>
      </c>
      <c r="K414" s="234">
        <v>2</v>
      </c>
      <c r="L414" s="235">
        <f t="shared" si="63"/>
        <v>2.94</v>
      </c>
      <c r="M414" s="200">
        <f t="shared" si="64"/>
        <v>0</v>
      </c>
      <c r="N414" s="200">
        <f t="shared" si="65"/>
        <v>5.88</v>
      </c>
      <c r="O414" s="200">
        <f t="shared" si="66"/>
        <v>0</v>
      </c>
      <c r="P414" s="200">
        <f t="shared" si="67"/>
        <v>0</v>
      </c>
      <c r="Q414" s="200">
        <f t="shared" si="68"/>
        <v>0</v>
      </c>
      <c r="R414" s="200">
        <f t="shared" si="69"/>
        <v>0</v>
      </c>
      <c r="S414" s="200">
        <f t="shared" si="70"/>
        <v>0</v>
      </c>
    </row>
    <row r="415" spans="1:19" s="236" customFormat="1" ht="24.95" customHeight="1">
      <c r="A415" s="239"/>
      <c r="B415" s="239" t="s">
        <v>394</v>
      </c>
      <c r="C415" s="240">
        <v>8</v>
      </c>
      <c r="D415" s="239">
        <v>1</v>
      </c>
      <c r="E415" s="203">
        <f>(H413/200)+1</f>
        <v>14.9</v>
      </c>
      <c r="F415" s="234"/>
      <c r="G415" s="234"/>
      <c r="H415" s="234">
        <v>820</v>
      </c>
      <c r="I415" s="234"/>
      <c r="J415" s="234"/>
      <c r="K415" s="241">
        <v>5</v>
      </c>
      <c r="L415" s="235">
        <f t="shared" si="63"/>
        <v>0.74</v>
      </c>
      <c r="M415" s="200">
        <f t="shared" si="64"/>
        <v>11.026</v>
      </c>
      <c r="N415" s="200">
        <f t="shared" si="65"/>
        <v>0</v>
      </c>
      <c r="O415" s="200">
        <f t="shared" si="66"/>
        <v>0</v>
      </c>
      <c r="P415" s="200">
        <f t="shared" si="67"/>
        <v>0</v>
      </c>
      <c r="Q415" s="200">
        <f t="shared" si="68"/>
        <v>0</v>
      </c>
      <c r="R415" s="200">
        <f t="shared" si="69"/>
        <v>0</v>
      </c>
      <c r="S415" s="200">
        <f t="shared" si="70"/>
        <v>0</v>
      </c>
    </row>
    <row r="416" spans="1:19" s="236" customFormat="1" ht="24.95" customHeight="1">
      <c r="A416" s="239">
        <v>6</v>
      </c>
      <c r="B416" s="239" t="s">
        <v>392</v>
      </c>
      <c r="C416" s="240">
        <v>10</v>
      </c>
      <c r="D416" s="239">
        <v>1</v>
      </c>
      <c r="E416" s="203">
        <v>2</v>
      </c>
      <c r="F416" s="241">
        <v>100</v>
      </c>
      <c r="G416" s="234"/>
      <c r="H416" s="234">
        <v>2180</v>
      </c>
      <c r="I416" s="234"/>
      <c r="J416" s="241">
        <v>100</v>
      </c>
      <c r="K416" s="234">
        <v>2</v>
      </c>
      <c r="L416" s="235">
        <f t="shared" si="63"/>
        <v>2.34</v>
      </c>
      <c r="M416" s="200">
        <f t="shared" si="64"/>
        <v>0</v>
      </c>
      <c r="N416" s="200">
        <f t="shared" si="65"/>
        <v>4.68</v>
      </c>
      <c r="O416" s="200">
        <f t="shared" si="66"/>
        <v>0</v>
      </c>
      <c r="P416" s="200">
        <f t="shared" si="67"/>
        <v>0</v>
      </c>
      <c r="Q416" s="200">
        <f t="shared" si="68"/>
        <v>0</v>
      </c>
      <c r="R416" s="200">
        <f t="shared" si="69"/>
        <v>0</v>
      </c>
      <c r="S416" s="200">
        <f t="shared" si="70"/>
        <v>0</v>
      </c>
    </row>
    <row r="417" spans="1:19" s="236" customFormat="1" ht="24.95" customHeight="1">
      <c r="A417" s="239"/>
      <c r="B417" s="239" t="s">
        <v>393</v>
      </c>
      <c r="C417" s="240">
        <v>10</v>
      </c>
      <c r="D417" s="239">
        <v>1</v>
      </c>
      <c r="E417" s="203">
        <v>2</v>
      </c>
      <c r="F417" s="241">
        <v>100</v>
      </c>
      <c r="G417" s="234"/>
      <c r="H417" s="234">
        <v>2180</v>
      </c>
      <c r="I417" s="234"/>
      <c r="J417" s="241">
        <v>100</v>
      </c>
      <c r="K417" s="234">
        <v>2</v>
      </c>
      <c r="L417" s="235">
        <f t="shared" si="63"/>
        <v>2.34</v>
      </c>
      <c r="M417" s="200">
        <f t="shared" si="64"/>
        <v>0</v>
      </c>
      <c r="N417" s="200">
        <f t="shared" si="65"/>
        <v>4.68</v>
      </c>
      <c r="O417" s="200">
        <f t="shared" si="66"/>
        <v>0</v>
      </c>
      <c r="P417" s="200">
        <f t="shared" si="67"/>
        <v>0</v>
      </c>
      <c r="Q417" s="200">
        <f t="shared" si="68"/>
        <v>0</v>
      </c>
      <c r="R417" s="200">
        <f t="shared" si="69"/>
        <v>0</v>
      </c>
      <c r="S417" s="200">
        <f t="shared" si="70"/>
        <v>0</v>
      </c>
    </row>
    <row r="418" spans="1:19" s="236" customFormat="1" ht="24.95" customHeight="1">
      <c r="A418" s="239"/>
      <c r="B418" s="239" t="s">
        <v>394</v>
      </c>
      <c r="C418" s="240">
        <v>8</v>
      </c>
      <c r="D418" s="239">
        <v>1</v>
      </c>
      <c r="E418" s="203">
        <f>(H416/200)+1</f>
        <v>11.9</v>
      </c>
      <c r="F418" s="234"/>
      <c r="G418" s="234"/>
      <c r="H418" s="234">
        <v>820</v>
      </c>
      <c r="I418" s="234"/>
      <c r="J418" s="234"/>
      <c r="K418" s="241">
        <v>5</v>
      </c>
      <c r="L418" s="235">
        <f t="shared" si="63"/>
        <v>0.74</v>
      </c>
      <c r="M418" s="200">
        <f t="shared" si="64"/>
        <v>8.8060000000000009</v>
      </c>
      <c r="N418" s="200">
        <f t="shared" si="65"/>
        <v>0</v>
      </c>
      <c r="O418" s="200">
        <f t="shared" si="66"/>
        <v>0</v>
      </c>
      <c r="P418" s="200">
        <f t="shared" si="67"/>
        <v>0</v>
      </c>
      <c r="Q418" s="200">
        <f t="shared" si="68"/>
        <v>0</v>
      </c>
      <c r="R418" s="200">
        <f t="shared" si="69"/>
        <v>0</v>
      </c>
      <c r="S418" s="200">
        <f t="shared" si="70"/>
        <v>0</v>
      </c>
    </row>
    <row r="419" spans="1:19" s="236" customFormat="1" ht="24.95" customHeight="1">
      <c r="A419" s="239">
        <v>7</v>
      </c>
      <c r="B419" s="239" t="s">
        <v>392</v>
      </c>
      <c r="C419" s="240">
        <v>10</v>
      </c>
      <c r="D419" s="239">
        <v>3</v>
      </c>
      <c r="E419" s="203">
        <v>2</v>
      </c>
      <c r="F419" s="241">
        <v>100</v>
      </c>
      <c r="G419" s="234"/>
      <c r="H419" s="234">
        <v>2780</v>
      </c>
      <c r="I419" s="234"/>
      <c r="J419" s="241">
        <v>100</v>
      </c>
      <c r="K419" s="234">
        <v>2</v>
      </c>
      <c r="L419" s="235">
        <f t="shared" si="63"/>
        <v>2.94</v>
      </c>
      <c r="M419" s="200">
        <f t="shared" si="64"/>
        <v>0</v>
      </c>
      <c r="N419" s="200">
        <f t="shared" si="65"/>
        <v>17.64</v>
      </c>
      <c r="O419" s="200">
        <f t="shared" si="66"/>
        <v>0</v>
      </c>
      <c r="P419" s="200">
        <f t="shared" si="67"/>
        <v>0</v>
      </c>
      <c r="Q419" s="200">
        <f t="shared" si="68"/>
        <v>0</v>
      </c>
      <c r="R419" s="200">
        <f t="shared" si="69"/>
        <v>0</v>
      </c>
      <c r="S419" s="200">
        <f t="shared" si="70"/>
        <v>0</v>
      </c>
    </row>
    <row r="420" spans="1:19" s="236" customFormat="1" ht="24.95" customHeight="1">
      <c r="A420" s="239"/>
      <c r="B420" s="239" t="s">
        <v>393</v>
      </c>
      <c r="C420" s="240">
        <v>10</v>
      </c>
      <c r="D420" s="239">
        <v>3</v>
      </c>
      <c r="E420" s="203">
        <v>2</v>
      </c>
      <c r="F420" s="241">
        <v>100</v>
      </c>
      <c r="G420" s="234"/>
      <c r="H420" s="234">
        <v>2780</v>
      </c>
      <c r="I420" s="234"/>
      <c r="J420" s="241">
        <v>100</v>
      </c>
      <c r="K420" s="234">
        <v>2</v>
      </c>
      <c r="L420" s="235">
        <f t="shared" si="63"/>
        <v>2.94</v>
      </c>
      <c r="M420" s="200">
        <f t="shared" si="64"/>
        <v>0</v>
      </c>
      <c r="N420" s="200">
        <f t="shared" si="65"/>
        <v>17.64</v>
      </c>
      <c r="O420" s="200">
        <f t="shared" si="66"/>
        <v>0</v>
      </c>
      <c r="P420" s="200">
        <f t="shared" si="67"/>
        <v>0</v>
      </c>
      <c r="Q420" s="200">
        <f t="shared" si="68"/>
        <v>0</v>
      </c>
      <c r="R420" s="200">
        <f t="shared" si="69"/>
        <v>0</v>
      </c>
      <c r="S420" s="200">
        <f t="shared" si="70"/>
        <v>0</v>
      </c>
    </row>
    <row r="421" spans="1:19" s="236" customFormat="1" ht="24.95" customHeight="1">
      <c r="A421" s="239"/>
      <c r="B421" s="239" t="s">
        <v>394</v>
      </c>
      <c r="C421" s="240">
        <v>8</v>
      </c>
      <c r="D421" s="239">
        <v>3</v>
      </c>
      <c r="E421" s="203">
        <f>(H419/200)+1</f>
        <v>14.9</v>
      </c>
      <c r="F421" s="234"/>
      <c r="G421" s="234"/>
      <c r="H421" s="234">
        <v>820</v>
      </c>
      <c r="I421" s="234"/>
      <c r="J421" s="234"/>
      <c r="K421" s="241">
        <v>5</v>
      </c>
      <c r="L421" s="235">
        <f t="shared" si="63"/>
        <v>0.74</v>
      </c>
      <c r="M421" s="200">
        <f t="shared" si="64"/>
        <v>33.078000000000003</v>
      </c>
      <c r="N421" s="200">
        <f t="shared" si="65"/>
        <v>0</v>
      </c>
      <c r="O421" s="200">
        <f t="shared" si="66"/>
        <v>0</v>
      </c>
      <c r="P421" s="200">
        <f t="shared" si="67"/>
        <v>0</v>
      </c>
      <c r="Q421" s="200">
        <f t="shared" si="68"/>
        <v>0</v>
      </c>
      <c r="R421" s="200">
        <f t="shared" si="69"/>
        <v>0</v>
      </c>
      <c r="S421" s="200">
        <f t="shared" si="70"/>
        <v>0</v>
      </c>
    </row>
    <row r="422" spans="1:19" s="236" customFormat="1" ht="24.95" customHeight="1">
      <c r="A422" s="239">
        <v>8</v>
      </c>
      <c r="B422" s="239" t="s">
        <v>392</v>
      </c>
      <c r="C422" s="240">
        <v>10</v>
      </c>
      <c r="D422" s="239">
        <v>3</v>
      </c>
      <c r="E422" s="203">
        <v>2</v>
      </c>
      <c r="F422" s="241">
        <v>100</v>
      </c>
      <c r="G422" s="234"/>
      <c r="H422" s="234">
        <v>3685</v>
      </c>
      <c r="I422" s="234"/>
      <c r="J422" s="241">
        <v>100</v>
      </c>
      <c r="K422" s="234">
        <v>2</v>
      </c>
      <c r="L422" s="235">
        <f t="shared" si="63"/>
        <v>3.8450000000000002</v>
      </c>
      <c r="M422" s="200">
        <f t="shared" si="64"/>
        <v>0</v>
      </c>
      <c r="N422" s="200">
        <f t="shared" si="65"/>
        <v>23.07</v>
      </c>
      <c r="O422" s="200">
        <f t="shared" si="66"/>
        <v>0</v>
      </c>
      <c r="P422" s="200">
        <f t="shared" si="67"/>
        <v>0</v>
      </c>
      <c r="Q422" s="200">
        <f t="shared" si="68"/>
        <v>0</v>
      </c>
      <c r="R422" s="200">
        <f t="shared" si="69"/>
        <v>0</v>
      </c>
      <c r="S422" s="200">
        <f t="shared" si="70"/>
        <v>0</v>
      </c>
    </row>
    <row r="423" spans="1:19" s="236" customFormat="1" ht="24.95" customHeight="1">
      <c r="A423" s="239"/>
      <c r="B423" s="239" t="s">
        <v>393</v>
      </c>
      <c r="C423" s="240">
        <v>10</v>
      </c>
      <c r="D423" s="239">
        <v>3</v>
      </c>
      <c r="E423" s="203">
        <v>2</v>
      </c>
      <c r="F423" s="241">
        <v>100</v>
      </c>
      <c r="G423" s="234"/>
      <c r="H423" s="234">
        <v>3685</v>
      </c>
      <c r="I423" s="234"/>
      <c r="J423" s="241">
        <v>100</v>
      </c>
      <c r="K423" s="234">
        <v>2</v>
      </c>
      <c r="L423" s="235">
        <f t="shared" si="63"/>
        <v>3.8450000000000002</v>
      </c>
      <c r="M423" s="200">
        <f t="shared" si="64"/>
        <v>0</v>
      </c>
      <c r="N423" s="200">
        <f t="shared" si="65"/>
        <v>23.07</v>
      </c>
      <c r="O423" s="200">
        <f t="shared" si="66"/>
        <v>0</v>
      </c>
      <c r="P423" s="200">
        <f t="shared" si="67"/>
        <v>0</v>
      </c>
      <c r="Q423" s="200">
        <f t="shared" si="68"/>
        <v>0</v>
      </c>
      <c r="R423" s="200">
        <f t="shared" si="69"/>
        <v>0</v>
      </c>
      <c r="S423" s="200">
        <f t="shared" si="70"/>
        <v>0</v>
      </c>
    </row>
    <row r="424" spans="1:19" s="236" customFormat="1" ht="24.95" customHeight="1">
      <c r="A424" s="239"/>
      <c r="B424" s="239" t="s">
        <v>394</v>
      </c>
      <c r="C424" s="240">
        <v>8</v>
      </c>
      <c r="D424" s="239">
        <v>3</v>
      </c>
      <c r="E424" s="203">
        <f>(H422/200)+1</f>
        <v>19.425000000000001</v>
      </c>
      <c r="F424" s="234"/>
      <c r="G424" s="234"/>
      <c r="H424" s="234">
        <v>820</v>
      </c>
      <c r="I424" s="234"/>
      <c r="J424" s="234"/>
      <c r="K424" s="241">
        <v>5</v>
      </c>
      <c r="L424" s="235">
        <f t="shared" si="63"/>
        <v>0.74</v>
      </c>
      <c r="M424" s="200">
        <f t="shared" si="64"/>
        <v>43.123500000000007</v>
      </c>
      <c r="N424" s="200">
        <f t="shared" si="65"/>
        <v>0</v>
      </c>
      <c r="O424" s="200">
        <f t="shared" si="66"/>
        <v>0</v>
      </c>
      <c r="P424" s="200">
        <f t="shared" si="67"/>
        <v>0</v>
      </c>
      <c r="Q424" s="200">
        <f t="shared" si="68"/>
        <v>0</v>
      </c>
      <c r="R424" s="200">
        <f t="shared" si="69"/>
        <v>0</v>
      </c>
      <c r="S424" s="200">
        <f t="shared" si="70"/>
        <v>0</v>
      </c>
    </row>
    <row r="425" spans="1:19" s="236" customFormat="1" ht="24.95" customHeight="1">
      <c r="A425" s="205" t="s">
        <v>422</v>
      </c>
      <c r="B425" s="206" t="s">
        <v>396</v>
      </c>
      <c r="C425" s="240"/>
      <c r="D425" s="239"/>
      <c r="E425" s="203"/>
      <c r="F425" s="234"/>
      <c r="G425" s="234"/>
      <c r="H425" s="234"/>
      <c r="I425" s="234"/>
      <c r="J425" s="234"/>
      <c r="K425" s="234"/>
      <c r="L425" s="235">
        <f t="shared" si="63"/>
        <v>0</v>
      </c>
      <c r="M425" s="200">
        <f t="shared" si="64"/>
        <v>0</v>
      </c>
      <c r="N425" s="200">
        <f t="shared" si="65"/>
        <v>0</v>
      </c>
      <c r="O425" s="200">
        <f t="shared" si="66"/>
        <v>0</v>
      </c>
      <c r="P425" s="200">
        <f t="shared" si="67"/>
        <v>0</v>
      </c>
      <c r="Q425" s="200">
        <f t="shared" si="68"/>
        <v>0</v>
      </c>
      <c r="R425" s="200">
        <f t="shared" si="69"/>
        <v>0</v>
      </c>
      <c r="S425" s="200">
        <f t="shared" si="70"/>
        <v>0</v>
      </c>
    </row>
    <row r="426" spans="1:19" s="236" customFormat="1" ht="24.95" customHeight="1">
      <c r="A426" s="239">
        <v>1</v>
      </c>
      <c r="B426" s="239" t="s">
        <v>392</v>
      </c>
      <c r="C426" s="240">
        <v>10</v>
      </c>
      <c r="D426" s="239">
        <v>1</v>
      </c>
      <c r="E426" s="203">
        <v>2</v>
      </c>
      <c r="F426" s="241">
        <v>100</v>
      </c>
      <c r="G426" s="234"/>
      <c r="H426" s="234">
        <v>2620</v>
      </c>
      <c r="I426" s="234"/>
      <c r="J426" s="241">
        <v>100</v>
      </c>
      <c r="K426" s="234">
        <v>2</v>
      </c>
      <c r="L426" s="235">
        <f t="shared" si="63"/>
        <v>2.78</v>
      </c>
      <c r="M426" s="200">
        <f t="shared" si="64"/>
        <v>0</v>
      </c>
      <c r="N426" s="200">
        <f t="shared" si="65"/>
        <v>5.56</v>
      </c>
      <c r="O426" s="200">
        <f t="shared" si="66"/>
        <v>0</v>
      </c>
      <c r="P426" s="200">
        <f t="shared" si="67"/>
        <v>0</v>
      </c>
      <c r="Q426" s="200">
        <f t="shared" si="68"/>
        <v>0</v>
      </c>
      <c r="R426" s="200">
        <f t="shared" si="69"/>
        <v>0</v>
      </c>
      <c r="S426" s="200">
        <f t="shared" si="70"/>
        <v>0</v>
      </c>
    </row>
    <row r="427" spans="1:19" s="236" customFormat="1" ht="24.95" customHeight="1">
      <c r="A427" s="239"/>
      <c r="B427" s="239" t="s">
        <v>393</v>
      </c>
      <c r="C427" s="240">
        <v>10</v>
      </c>
      <c r="D427" s="239">
        <v>1</v>
      </c>
      <c r="E427" s="203">
        <v>2</v>
      </c>
      <c r="F427" s="241">
        <v>100</v>
      </c>
      <c r="G427" s="234"/>
      <c r="H427" s="234">
        <v>2620</v>
      </c>
      <c r="I427" s="234"/>
      <c r="J427" s="241">
        <v>100</v>
      </c>
      <c r="K427" s="234">
        <v>2</v>
      </c>
      <c r="L427" s="235">
        <f t="shared" si="63"/>
        <v>2.78</v>
      </c>
      <c r="M427" s="200">
        <f t="shared" si="64"/>
        <v>0</v>
      </c>
      <c r="N427" s="200">
        <f t="shared" si="65"/>
        <v>5.56</v>
      </c>
      <c r="O427" s="200">
        <f t="shared" si="66"/>
        <v>0</v>
      </c>
      <c r="P427" s="200">
        <f t="shared" si="67"/>
        <v>0</v>
      </c>
      <c r="Q427" s="200">
        <f t="shared" si="68"/>
        <v>0</v>
      </c>
      <c r="R427" s="200">
        <f t="shared" si="69"/>
        <v>0</v>
      </c>
      <c r="S427" s="200">
        <f t="shared" si="70"/>
        <v>0</v>
      </c>
    </row>
    <row r="428" spans="1:19" s="236" customFormat="1" ht="24.95" customHeight="1">
      <c r="A428" s="239"/>
      <c r="B428" s="239" t="s">
        <v>394</v>
      </c>
      <c r="C428" s="240">
        <v>8</v>
      </c>
      <c r="D428" s="239">
        <v>1</v>
      </c>
      <c r="E428" s="203">
        <f>(H426/200)+1</f>
        <v>14.1</v>
      </c>
      <c r="F428" s="234"/>
      <c r="G428" s="234"/>
      <c r="H428" s="234">
        <v>820</v>
      </c>
      <c r="I428" s="234"/>
      <c r="J428" s="234"/>
      <c r="K428" s="241">
        <v>5</v>
      </c>
      <c r="L428" s="235">
        <f t="shared" si="63"/>
        <v>0.74</v>
      </c>
      <c r="M428" s="200">
        <f t="shared" si="64"/>
        <v>10.433999999999999</v>
      </c>
      <c r="N428" s="200">
        <f t="shared" si="65"/>
        <v>0</v>
      </c>
      <c r="O428" s="200">
        <f t="shared" si="66"/>
        <v>0</v>
      </c>
      <c r="P428" s="200">
        <f t="shared" si="67"/>
        <v>0</v>
      </c>
      <c r="Q428" s="200">
        <f t="shared" si="68"/>
        <v>0</v>
      </c>
      <c r="R428" s="200">
        <f t="shared" si="69"/>
        <v>0</v>
      </c>
      <c r="S428" s="200">
        <f t="shared" si="70"/>
        <v>0</v>
      </c>
    </row>
    <row r="429" spans="1:19" s="236" customFormat="1" ht="24.95" customHeight="1">
      <c r="A429" s="239">
        <v>2</v>
      </c>
      <c r="B429" s="239" t="s">
        <v>392</v>
      </c>
      <c r="C429" s="240">
        <v>10</v>
      </c>
      <c r="D429" s="239">
        <v>4</v>
      </c>
      <c r="E429" s="203">
        <v>2</v>
      </c>
      <c r="F429" s="241">
        <v>100</v>
      </c>
      <c r="G429" s="234"/>
      <c r="H429" s="234">
        <v>1095</v>
      </c>
      <c r="I429" s="234"/>
      <c r="J429" s="241">
        <v>100</v>
      </c>
      <c r="K429" s="234">
        <v>2</v>
      </c>
      <c r="L429" s="235">
        <f t="shared" si="63"/>
        <v>1.2549999999999999</v>
      </c>
      <c r="M429" s="200">
        <f t="shared" si="64"/>
        <v>0</v>
      </c>
      <c r="N429" s="200">
        <f t="shared" si="65"/>
        <v>10.039999999999999</v>
      </c>
      <c r="O429" s="200">
        <f t="shared" si="66"/>
        <v>0</v>
      </c>
      <c r="P429" s="200">
        <f t="shared" si="67"/>
        <v>0</v>
      </c>
      <c r="Q429" s="200">
        <f t="shared" si="68"/>
        <v>0</v>
      </c>
      <c r="R429" s="200">
        <f t="shared" si="69"/>
        <v>0</v>
      </c>
      <c r="S429" s="200">
        <f t="shared" si="70"/>
        <v>0</v>
      </c>
    </row>
    <row r="430" spans="1:19" s="236" customFormat="1" ht="24.95" customHeight="1">
      <c r="A430" s="239"/>
      <c r="B430" s="239" t="s">
        <v>393</v>
      </c>
      <c r="C430" s="240">
        <v>10</v>
      </c>
      <c r="D430" s="239">
        <v>4</v>
      </c>
      <c r="E430" s="203">
        <v>2</v>
      </c>
      <c r="F430" s="241">
        <v>100</v>
      </c>
      <c r="G430" s="234"/>
      <c r="H430" s="234">
        <v>1095</v>
      </c>
      <c r="I430" s="234"/>
      <c r="J430" s="241">
        <v>100</v>
      </c>
      <c r="K430" s="234">
        <v>2</v>
      </c>
      <c r="L430" s="235">
        <f t="shared" si="63"/>
        <v>1.2549999999999999</v>
      </c>
      <c r="M430" s="200">
        <f t="shared" si="64"/>
        <v>0</v>
      </c>
      <c r="N430" s="200">
        <f t="shared" si="65"/>
        <v>10.039999999999999</v>
      </c>
      <c r="O430" s="200">
        <f t="shared" si="66"/>
        <v>0</v>
      </c>
      <c r="P430" s="200">
        <f t="shared" si="67"/>
        <v>0</v>
      </c>
      <c r="Q430" s="200">
        <f t="shared" si="68"/>
        <v>0</v>
      </c>
      <c r="R430" s="200">
        <f t="shared" si="69"/>
        <v>0</v>
      </c>
      <c r="S430" s="200">
        <f t="shared" si="70"/>
        <v>0</v>
      </c>
    </row>
    <row r="431" spans="1:19" s="236" customFormat="1" ht="24.95" customHeight="1">
      <c r="A431" s="239"/>
      <c r="B431" s="239" t="s">
        <v>394</v>
      </c>
      <c r="C431" s="240">
        <v>8</v>
      </c>
      <c r="D431" s="239">
        <v>4</v>
      </c>
      <c r="E431" s="203">
        <f>(H429/200)+1</f>
        <v>6.4749999999999996</v>
      </c>
      <c r="F431" s="234"/>
      <c r="G431" s="234"/>
      <c r="H431" s="234">
        <v>820</v>
      </c>
      <c r="I431" s="234"/>
      <c r="J431" s="234"/>
      <c r="K431" s="241">
        <v>5</v>
      </c>
      <c r="L431" s="235">
        <f t="shared" si="63"/>
        <v>0.74</v>
      </c>
      <c r="M431" s="200">
        <f t="shared" si="64"/>
        <v>19.166</v>
      </c>
      <c r="N431" s="200">
        <f t="shared" si="65"/>
        <v>0</v>
      </c>
      <c r="O431" s="200">
        <f t="shared" si="66"/>
        <v>0</v>
      </c>
      <c r="P431" s="200">
        <f t="shared" si="67"/>
        <v>0</v>
      </c>
      <c r="Q431" s="200">
        <f t="shared" si="68"/>
        <v>0</v>
      </c>
      <c r="R431" s="200">
        <f t="shared" si="69"/>
        <v>0</v>
      </c>
      <c r="S431" s="200">
        <f t="shared" si="70"/>
        <v>0</v>
      </c>
    </row>
    <row r="432" spans="1:19" s="236" customFormat="1" ht="24.95" customHeight="1">
      <c r="A432" s="239">
        <v>3</v>
      </c>
      <c r="B432" s="239" t="s">
        <v>392</v>
      </c>
      <c r="C432" s="240">
        <v>10</v>
      </c>
      <c r="D432" s="239">
        <v>1</v>
      </c>
      <c r="E432" s="203">
        <v>2</v>
      </c>
      <c r="F432" s="241">
        <v>100</v>
      </c>
      <c r="G432" s="234"/>
      <c r="H432" s="234">
        <v>1705</v>
      </c>
      <c r="I432" s="234"/>
      <c r="J432" s="241">
        <v>100</v>
      </c>
      <c r="K432" s="234">
        <v>2</v>
      </c>
      <c r="L432" s="235">
        <f t="shared" si="63"/>
        <v>1.865</v>
      </c>
      <c r="M432" s="200">
        <f t="shared" si="64"/>
        <v>0</v>
      </c>
      <c r="N432" s="200">
        <f t="shared" si="65"/>
        <v>3.73</v>
      </c>
      <c r="O432" s="200">
        <f t="shared" si="66"/>
        <v>0</v>
      </c>
      <c r="P432" s="200">
        <f t="shared" si="67"/>
        <v>0</v>
      </c>
      <c r="Q432" s="200">
        <f t="shared" si="68"/>
        <v>0</v>
      </c>
      <c r="R432" s="200">
        <f t="shared" si="69"/>
        <v>0</v>
      </c>
      <c r="S432" s="200">
        <f t="shared" si="70"/>
        <v>0</v>
      </c>
    </row>
    <row r="433" spans="1:19" s="236" customFormat="1" ht="24.95" customHeight="1">
      <c r="A433" s="239"/>
      <c r="B433" s="239" t="s">
        <v>393</v>
      </c>
      <c r="C433" s="240">
        <v>10</v>
      </c>
      <c r="D433" s="239">
        <v>1</v>
      </c>
      <c r="E433" s="203">
        <v>2</v>
      </c>
      <c r="F433" s="241">
        <v>100</v>
      </c>
      <c r="G433" s="234"/>
      <c r="H433" s="234">
        <v>1705</v>
      </c>
      <c r="I433" s="234"/>
      <c r="J433" s="241">
        <v>100</v>
      </c>
      <c r="K433" s="234">
        <v>2</v>
      </c>
      <c r="L433" s="235">
        <f t="shared" si="63"/>
        <v>1.865</v>
      </c>
      <c r="M433" s="200">
        <f t="shared" si="64"/>
        <v>0</v>
      </c>
      <c r="N433" s="200">
        <f t="shared" si="65"/>
        <v>3.73</v>
      </c>
      <c r="O433" s="200">
        <f t="shared" si="66"/>
        <v>0</v>
      </c>
      <c r="P433" s="200">
        <f t="shared" si="67"/>
        <v>0</v>
      </c>
      <c r="Q433" s="200">
        <f t="shared" si="68"/>
        <v>0</v>
      </c>
      <c r="R433" s="200">
        <f t="shared" si="69"/>
        <v>0</v>
      </c>
      <c r="S433" s="200">
        <f t="shared" si="70"/>
        <v>0</v>
      </c>
    </row>
    <row r="434" spans="1:19" s="236" customFormat="1" ht="24.95" customHeight="1">
      <c r="A434" s="239"/>
      <c r="B434" s="239" t="s">
        <v>394</v>
      </c>
      <c r="C434" s="240">
        <v>8</v>
      </c>
      <c r="D434" s="239">
        <v>1</v>
      </c>
      <c r="E434" s="203">
        <f>(H432/200)+1</f>
        <v>9.5250000000000004</v>
      </c>
      <c r="F434" s="234"/>
      <c r="G434" s="234"/>
      <c r="H434" s="234">
        <v>820</v>
      </c>
      <c r="I434" s="234"/>
      <c r="J434" s="234"/>
      <c r="K434" s="241">
        <v>5</v>
      </c>
      <c r="L434" s="235">
        <f t="shared" si="63"/>
        <v>0.74</v>
      </c>
      <c r="M434" s="200">
        <f t="shared" si="64"/>
        <v>7.0484999999999998</v>
      </c>
      <c r="N434" s="200">
        <f t="shared" si="65"/>
        <v>0</v>
      </c>
      <c r="O434" s="200">
        <f t="shared" si="66"/>
        <v>0</v>
      </c>
      <c r="P434" s="200">
        <f t="shared" si="67"/>
        <v>0</v>
      </c>
      <c r="Q434" s="200">
        <f t="shared" si="68"/>
        <v>0</v>
      </c>
      <c r="R434" s="200">
        <f t="shared" si="69"/>
        <v>0</v>
      </c>
      <c r="S434" s="200">
        <f t="shared" si="70"/>
        <v>0</v>
      </c>
    </row>
    <row r="435" spans="1:19" s="236" customFormat="1" ht="24.95" customHeight="1">
      <c r="A435" s="239">
        <v>4</v>
      </c>
      <c r="B435" s="239" t="s">
        <v>392</v>
      </c>
      <c r="C435" s="240">
        <v>10</v>
      </c>
      <c r="D435" s="239">
        <v>2</v>
      </c>
      <c r="E435" s="203">
        <v>2</v>
      </c>
      <c r="F435" s="241">
        <v>100</v>
      </c>
      <c r="G435" s="234"/>
      <c r="H435" s="234">
        <v>2620</v>
      </c>
      <c r="I435" s="234"/>
      <c r="J435" s="241">
        <v>100</v>
      </c>
      <c r="K435" s="234">
        <v>2</v>
      </c>
      <c r="L435" s="235">
        <f t="shared" si="63"/>
        <v>2.78</v>
      </c>
      <c r="M435" s="200">
        <f t="shared" si="64"/>
        <v>0</v>
      </c>
      <c r="N435" s="200">
        <f t="shared" si="65"/>
        <v>11.12</v>
      </c>
      <c r="O435" s="200">
        <f t="shared" si="66"/>
        <v>0</v>
      </c>
      <c r="P435" s="200">
        <f t="shared" si="67"/>
        <v>0</v>
      </c>
      <c r="Q435" s="200">
        <f t="shared" si="68"/>
        <v>0</v>
      </c>
      <c r="R435" s="200">
        <f t="shared" si="69"/>
        <v>0</v>
      </c>
      <c r="S435" s="200">
        <f t="shared" si="70"/>
        <v>0</v>
      </c>
    </row>
    <row r="436" spans="1:19" s="236" customFormat="1" ht="24.95" customHeight="1">
      <c r="A436" s="239"/>
      <c r="B436" s="239" t="s">
        <v>393</v>
      </c>
      <c r="C436" s="240">
        <v>10</v>
      </c>
      <c r="D436" s="239">
        <v>2</v>
      </c>
      <c r="E436" s="203">
        <v>2</v>
      </c>
      <c r="F436" s="241">
        <v>100</v>
      </c>
      <c r="G436" s="234"/>
      <c r="H436" s="234">
        <v>2620</v>
      </c>
      <c r="I436" s="234"/>
      <c r="J436" s="241">
        <v>100</v>
      </c>
      <c r="K436" s="234">
        <v>2</v>
      </c>
      <c r="L436" s="235">
        <f t="shared" si="63"/>
        <v>2.78</v>
      </c>
      <c r="M436" s="200">
        <f t="shared" si="64"/>
        <v>0</v>
      </c>
      <c r="N436" s="200">
        <f t="shared" si="65"/>
        <v>11.12</v>
      </c>
      <c r="O436" s="200">
        <f t="shared" si="66"/>
        <v>0</v>
      </c>
      <c r="P436" s="200">
        <f t="shared" si="67"/>
        <v>0</v>
      </c>
      <c r="Q436" s="200">
        <f t="shared" si="68"/>
        <v>0</v>
      </c>
      <c r="R436" s="200">
        <f t="shared" si="69"/>
        <v>0</v>
      </c>
      <c r="S436" s="200">
        <f t="shared" si="70"/>
        <v>0</v>
      </c>
    </row>
    <row r="437" spans="1:19" s="236" customFormat="1" ht="24.95" customHeight="1">
      <c r="A437" s="239"/>
      <c r="B437" s="239" t="s">
        <v>394</v>
      </c>
      <c r="C437" s="240">
        <v>8</v>
      </c>
      <c r="D437" s="239">
        <v>2</v>
      </c>
      <c r="E437" s="203">
        <f>(H435/200)+1</f>
        <v>14.1</v>
      </c>
      <c r="F437" s="234"/>
      <c r="G437" s="234"/>
      <c r="H437" s="234">
        <v>820</v>
      </c>
      <c r="I437" s="234"/>
      <c r="J437" s="234"/>
      <c r="K437" s="241">
        <v>5</v>
      </c>
      <c r="L437" s="235">
        <f t="shared" si="63"/>
        <v>0.74</v>
      </c>
      <c r="M437" s="200">
        <f t="shared" si="64"/>
        <v>20.867999999999999</v>
      </c>
      <c r="N437" s="200">
        <f t="shared" si="65"/>
        <v>0</v>
      </c>
      <c r="O437" s="200">
        <f t="shared" si="66"/>
        <v>0</v>
      </c>
      <c r="P437" s="200">
        <f t="shared" si="67"/>
        <v>0</v>
      </c>
      <c r="Q437" s="200">
        <f t="shared" si="68"/>
        <v>0</v>
      </c>
      <c r="R437" s="200">
        <f t="shared" si="69"/>
        <v>0</v>
      </c>
      <c r="S437" s="200">
        <f t="shared" si="70"/>
        <v>0</v>
      </c>
    </row>
    <row r="438" spans="1:19" s="236" customFormat="1" ht="24.95" customHeight="1">
      <c r="A438" s="239">
        <v>5</v>
      </c>
      <c r="B438" s="239" t="s">
        <v>392</v>
      </c>
      <c r="C438" s="240">
        <v>10</v>
      </c>
      <c r="D438" s="239">
        <v>1</v>
      </c>
      <c r="E438" s="203">
        <v>2</v>
      </c>
      <c r="F438" s="241">
        <v>100</v>
      </c>
      <c r="G438" s="234"/>
      <c r="H438" s="234">
        <v>650</v>
      </c>
      <c r="I438" s="234"/>
      <c r="J438" s="241">
        <v>100</v>
      </c>
      <c r="K438" s="234">
        <v>2</v>
      </c>
      <c r="L438" s="235">
        <f t="shared" si="63"/>
        <v>0.81</v>
      </c>
      <c r="M438" s="200">
        <f t="shared" si="64"/>
        <v>0</v>
      </c>
      <c r="N438" s="200">
        <f t="shared" si="65"/>
        <v>1.62</v>
      </c>
      <c r="O438" s="200">
        <f t="shared" si="66"/>
        <v>0</v>
      </c>
      <c r="P438" s="200">
        <f t="shared" si="67"/>
        <v>0</v>
      </c>
      <c r="Q438" s="200">
        <f t="shared" si="68"/>
        <v>0</v>
      </c>
      <c r="R438" s="200">
        <f t="shared" si="69"/>
        <v>0</v>
      </c>
      <c r="S438" s="200">
        <f t="shared" si="70"/>
        <v>0</v>
      </c>
    </row>
    <row r="439" spans="1:19" s="236" customFormat="1" ht="24.95" customHeight="1">
      <c r="A439" s="239"/>
      <c r="B439" s="239" t="s">
        <v>393</v>
      </c>
      <c r="C439" s="240">
        <v>10</v>
      </c>
      <c r="D439" s="239">
        <v>1</v>
      </c>
      <c r="E439" s="203">
        <v>2</v>
      </c>
      <c r="F439" s="241">
        <v>100</v>
      </c>
      <c r="G439" s="234"/>
      <c r="H439" s="234">
        <v>650</v>
      </c>
      <c r="I439" s="234"/>
      <c r="J439" s="241">
        <v>100</v>
      </c>
      <c r="K439" s="234">
        <v>2</v>
      </c>
      <c r="L439" s="235">
        <f t="shared" si="63"/>
        <v>0.81</v>
      </c>
      <c r="M439" s="200">
        <f t="shared" si="64"/>
        <v>0</v>
      </c>
      <c r="N439" s="200">
        <f t="shared" si="65"/>
        <v>1.62</v>
      </c>
      <c r="O439" s="200">
        <f t="shared" si="66"/>
        <v>0</v>
      </c>
      <c r="P439" s="200">
        <f t="shared" si="67"/>
        <v>0</v>
      </c>
      <c r="Q439" s="200">
        <f t="shared" si="68"/>
        <v>0</v>
      </c>
      <c r="R439" s="200">
        <f t="shared" si="69"/>
        <v>0</v>
      </c>
      <c r="S439" s="200">
        <f t="shared" si="70"/>
        <v>0</v>
      </c>
    </row>
    <row r="440" spans="1:19" s="236" customFormat="1" ht="24.95" customHeight="1">
      <c r="A440" s="239"/>
      <c r="B440" s="239" t="s">
        <v>394</v>
      </c>
      <c r="C440" s="240">
        <v>8</v>
      </c>
      <c r="D440" s="239">
        <v>1</v>
      </c>
      <c r="E440" s="203">
        <f>(H438/200)+1</f>
        <v>4.25</v>
      </c>
      <c r="F440" s="234"/>
      <c r="G440" s="234"/>
      <c r="H440" s="234">
        <v>820</v>
      </c>
      <c r="I440" s="234"/>
      <c r="J440" s="234"/>
      <c r="K440" s="241">
        <v>5</v>
      </c>
      <c r="L440" s="235">
        <f t="shared" si="63"/>
        <v>0.74</v>
      </c>
      <c r="M440" s="200">
        <f t="shared" si="64"/>
        <v>3.145</v>
      </c>
      <c r="N440" s="200">
        <f t="shared" si="65"/>
        <v>0</v>
      </c>
      <c r="O440" s="200">
        <f t="shared" si="66"/>
        <v>0</v>
      </c>
      <c r="P440" s="200">
        <f t="shared" si="67"/>
        <v>0</v>
      </c>
      <c r="Q440" s="200">
        <f t="shared" si="68"/>
        <v>0</v>
      </c>
      <c r="R440" s="200">
        <f t="shared" si="69"/>
        <v>0</v>
      </c>
      <c r="S440" s="200">
        <f t="shared" si="70"/>
        <v>0</v>
      </c>
    </row>
    <row r="441" spans="1:19" s="236" customFormat="1" ht="24.95" customHeight="1">
      <c r="A441" s="239">
        <v>6</v>
      </c>
      <c r="B441" s="239" t="s">
        <v>392</v>
      </c>
      <c r="C441" s="240">
        <v>10</v>
      </c>
      <c r="D441" s="239">
        <v>1</v>
      </c>
      <c r="E441" s="203">
        <v>2</v>
      </c>
      <c r="F441" s="241">
        <v>100</v>
      </c>
      <c r="G441" s="234"/>
      <c r="H441" s="234">
        <v>4145</v>
      </c>
      <c r="I441" s="234"/>
      <c r="J441" s="241">
        <v>100</v>
      </c>
      <c r="K441" s="234">
        <v>2</v>
      </c>
      <c r="L441" s="235">
        <f t="shared" si="63"/>
        <v>4.3049999999999997</v>
      </c>
      <c r="M441" s="200">
        <f t="shared" si="64"/>
        <v>0</v>
      </c>
      <c r="N441" s="200">
        <f t="shared" si="65"/>
        <v>8.61</v>
      </c>
      <c r="O441" s="200">
        <f t="shared" si="66"/>
        <v>0</v>
      </c>
      <c r="P441" s="200">
        <f t="shared" si="67"/>
        <v>0</v>
      </c>
      <c r="Q441" s="200">
        <f t="shared" si="68"/>
        <v>0</v>
      </c>
      <c r="R441" s="200">
        <f t="shared" si="69"/>
        <v>0</v>
      </c>
      <c r="S441" s="200">
        <f t="shared" si="70"/>
        <v>0</v>
      </c>
    </row>
    <row r="442" spans="1:19" s="236" customFormat="1" ht="24.95" customHeight="1">
      <c r="A442" s="239"/>
      <c r="B442" s="239" t="s">
        <v>393</v>
      </c>
      <c r="C442" s="240">
        <v>10</v>
      </c>
      <c r="D442" s="239">
        <v>1</v>
      </c>
      <c r="E442" s="203">
        <v>2</v>
      </c>
      <c r="F442" s="241">
        <v>100</v>
      </c>
      <c r="G442" s="234"/>
      <c r="H442" s="234">
        <v>4145</v>
      </c>
      <c r="I442" s="234"/>
      <c r="J442" s="241">
        <v>100</v>
      </c>
      <c r="K442" s="234">
        <v>2</v>
      </c>
      <c r="L442" s="235">
        <f t="shared" si="63"/>
        <v>4.3049999999999997</v>
      </c>
      <c r="M442" s="200">
        <f t="shared" si="64"/>
        <v>0</v>
      </c>
      <c r="N442" s="200">
        <f t="shared" si="65"/>
        <v>8.61</v>
      </c>
      <c r="O442" s="200">
        <f t="shared" si="66"/>
        <v>0</v>
      </c>
      <c r="P442" s="200">
        <f t="shared" si="67"/>
        <v>0</v>
      </c>
      <c r="Q442" s="200">
        <f t="shared" si="68"/>
        <v>0</v>
      </c>
      <c r="R442" s="200">
        <f t="shared" si="69"/>
        <v>0</v>
      </c>
      <c r="S442" s="200">
        <f t="shared" si="70"/>
        <v>0</v>
      </c>
    </row>
    <row r="443" spans="1:19" s="236" customFormat="1" ht="24.95" customHeight="1">
      <c r="A443" s="239"/>
      <c r="B443" s="239" t="s">
        <v>394</v>
      </c>
      <c r="C443" s="240">
        <v>8</v>
      </c>
      <c r="D443" s="239">
        <v>1</v>
      </c>
      <c r="E443" s="203">
        <f>(H441/200)+1</f>
        <v>21.725000000000001</v>
      </c>
      <c r="F443" s="234"/>
      <c r="G443" s="234"/>
      <c r="H443" s="234">
        <v>820</v>
      </c>
      <c r="I443" s="234"/>
      <c r="J443" s="234"/>
      <c r="K443" s="241">
        <v>5</v>
      </c>
      <c r="L443" s="235">
        <f t="shared" si="63"/>
        <v>0.74</v>
      </c>
      <c r="M443" s="200">
        <f t="shared" si="64"/>
        <v>16.076499999999999</v>
      </c>
      <c r="N443" s="200">
        <f t="shared" si="65"/>
        <v>0</v>
      </c>
      <c r="O443" s="200">
        <f t="shared" si="66"/>
        <v>0</v>
      </c>
      <c r="P443" s="200">
        <f t="shared" si="67"/>
        <v>0</v>
      </c>
      <c r="Q443" s="200">
        <f t="shared" si="68"/>
        <v>0</v>
      </c>
      <c r="R443" s="200">
        <f t="shared" si="69"/>
        <v>0</v>
      </c>
      <c r="S443" s="200">
        <f t="shared" si="70"/>
        <v>0</v>
      </c>
    </row>
    <row r="444" spans="1:19" s="236" customFormat="1" ht="24.95" customHeight="1">
      <c r="A444" s="239">
        <v>7</v>
      </c>
      <c r="B444" s="239" t="s">
        <v>392</v>
      </c>
      <c r="C444" s="240">
        <v>10</v>
      </c>
      <c r="D444" s="239">
        <v>1</v>
      </c>
      <c r="E444" s="203">
        <v>2</v>
      </c>
      <c r="F444" s="241">
        <v>100</v>
      </c>
      <c r="G444" s="234"/>
      <c r="H444" s="234">
        <v>1180</v>
      </c>
      <c r="I444" s="234"/>
      <c r="J444" s="241">
        <v>100</v>
      </c>
      <c r="K444" s="234">
        <v>2</v>
      </c>
      <c r="L444" s="235">
        <f t="shared" si="63"/>
        <v>1.34</v>
      </c>
      <c r="M444" s="200">
        <f t="shared" si="64"/>
        <v>0</v>
      </c>
      <c r="N444" s="200">
        <f t="shared" si="65"/>
        <v>2.68</v>
      </c>
      <c r="O444" s="200">
        <f t="shared" si="66"/>
        <v>0</v>
      </c>
      <c r="P444" s="200">
        <f t="shared" si="67"/>
        <v>0</v>
      </c>
      <c r="Q444" s="200">
        <f t="shared" si="68"/>
        <v>0</v>
      </c>
      <c r="R444" s="200">
        <f t="shared" si="69"/>
        <v>0</v>
      </c>
      <c r="S444" s="200">
        <f t="shared" si="70"/>
        <v>0</v>
      </c>
    </row>
    <row r="445" spans="1:19" s="236" customFormat="1" ht="24.95" customHeight="1">
      <c r="A445" s="239"/>
      <c r="B445" s="239" t="s">
        <v>393</v>
      </c>
      <c r="C445" s="240">
        <v>10</v>
      </c>
      <c r="D445" s="239">
        <v>1</v>
      </c>
      <c r="E445" s="203">
        <v>2</v>
      </c>
      <c r="F445" s="241">
        <v>100</v>
      </c>
      <c r="G445" s="234"/>
      <c r="H445" s="234">
        <v>1180</v>
      </c>
      <c r="I445" s="234"/>
      <c r="J445" s="241">
        <v>100</v>
      </c>
      <c r="K445" s="234">
        <v>2</v>
      </c>
      <c r="L445" s="235">
        <f t="shared" si="63"/>
        <v>1.34</v>
      </c>
      <c r="M445" s="200">
        <f t="shared" si="64"/>
        <v>0</v>
      </c>
      <c r="N445" s="200">
        <f t="shared" si="65"/>
        <v>2.68</v>
      </c>
      <c r="O445" s="200">
        <f t="shared" si="66"/>
        <v>0</v>
      </c>
      <c r="P445" s="200">
        <f t="shared" si="67"/>
        <v>0</v>
      </c>
      <c r="Q445" s="200">
        <f t="shared" si="68"/>
        <v>0</v>
      </c>
      <c r="R445" s="200">
        <f t="shared" si="69"/>
        <v>0</v>
      </c>
      <c r="S445" s="200">
        <f t="shared" si="70"/>
        <v>0</v>
      </c>
    </row>
    <row r="446" spans="1:19" s="236" customFormat="1" ht="24.95" customHeight="1">
      <c r="A446" s="239"/>
      <c r="B446" s="239" t="s">
        <v>394</v>
      </c>
      <c r="C446" s="240">
        <v>8</v>
      </c>
      <c r="D446" s="239">
        <v>1</v>
      </c>
      <c r="E446" s="203">
        <f>(H444/200)+1</f>
        <v>6.9</v>
      </c>
      <c r="F446" s="234"/>
      <c r="G446" s="234"/>
      <c r="H446" s="234">
        <v>820</v>
      </c>
      <c r="I446" s="234"/>
      <c r="J446" s="234"/>
      <c r="K446" s="241">
        <v>5</v>
      </c>
      <c r="L446" s="235">
        <f t="shared" si="63"/>
        <v>0.74</v>
      </c>
      <c r="M446" s="200">
        <f t="shared" si="64"/>
        <v>5.1059999999999999</v>
      </c>
      <c r="N446" s="200">
        <f t="shared" si="65"/>
        <v>0</v>
      </c>
      <c r="O446" s="200">
        <f t="shared" si="66"/>
        <v>0</v>
      </c>
      <c r="P446" s="200">
        <f t="shared" si="67"/>
        <v>0</v>
      </c>
      <c r="Q446" s="200">
        <f t="shared" si="68"/>
        <v>0</v>
      </c>
      <c r="R446" s="200">
        <f t="shared" si="69"/>
        <v>0</v>
      </c>
      <c r="S446" s="200">
        <f t="shared" si="70"/>
        <v>0</v>
      </c>
    </row>
    <row r="447" spans="1:19" s="236" customFormat="1" ht="24.95" customHeight="1">
      <c r="A447" s="239">
        <v>8</v>
      </c>
      <c r="B447" s="239" t="s">
        <v>392</v>
      </c>
      <c r="C447" s="240">
        <v>10</v>
      </c>
      <c r="D447" s="239">
        <v>1</v>
      </c>
      <c r="E447" s="203">
        <v>2</v>
      </c>
      <c r="F447" s="241">
        <v>100</v>
      </c>
      <c r="G447" s="234"/>
      <c r="H447" s="234">
        <v>2620</v>
      </c>
      <c r="I447" s="234"/>
      <c r="J447" s="241">
        <v>100</v>
      </c>
      <c r="K447" s="234">
        <v>2</v>
      </c>
      <c r="L447" s="235">
        <f t="shared" si="63"/>
        <v>2.78</v>
      </c>
      <c r="M447" s="200">
        <f t="shared" si="64"/>
        <v>0</v>
      </c>
      <c r="N447" s="200">
        <f t="shared" si="65"/>
        <v>5.56</v>
      </c>
      <c r="O447" s="200">
        <f t="shared" si="66"/>
        <v>0</v>
      </c>
      <c r="P447" s="200">
        <f t="shared" si="67"/>
        <v>0</v>
      </c>
      <c r="Q447" s="200">
        <f t="shared" si="68"/>
        <v>0</v>
      </c>
      <c r="R447" s="200">
        <f t="shared" si="69"/>
        <v>0</v>
      </c>
      <c r="S447" s="200">
        <f t="shared" si="70"/>
        <v>0</v>
      </c>
    </row>
    <row r="448" spans="1:19" s="236" customFormat="1" ht="24.95" customHeight="1">
      <c r="A448" s="239"/>
      <c r="B448" s="239" t="s">
        <v>393</v>
      </c>
      <c r="C448" s="240">
        <v>10</v>
      </c>
      <c r="D448" s="239">
        <v>1</v>
      </c>
      <c r="E448" s="203">
        <v>2</v>
      </c>
      <c r="F448" s="241">
        <v>100</v>
      </c>
      <c r="G448" s="234"/>
      <c r="H448" s="234">
        <v>2620</v>
      </c>
      <c r="I448" s="234"/>
      <c r="J448" s="241">
        <v>100</v>
      </c>
      <c r="K448" s="234">
        <v>2</v>
      </c>
      <c r="L448" s="235">
        <f t="shared" si="63"/>
        <v>2.78</v>
      </c>
      <c r="M448" s="200">
        <f t="shared" si="64"/>
        <v>0</v>
      </c>
      <c r="N448" s="200">
        <f t="shared" si="65"/>
        <v>5.56</v>
      </c>
      <c r="O448" s="200">
        <f t="shared" si="66"/>
        <v>0</v>
      </c>
      <c r="P448" s="200">
        <f t="shared" si="67"/>
        <v>0</v>
      </c>
      <c r="Q448" s="200">
        <f t="shared" si="68"/>
        <v>0</v>
      </c>
      <c r="R448" s="200">
        <f t="shared" si="69"/>
        <v>0</v>
      </c>
      <c r="S448" s="200">
        <f t="shared" si="70"/>
        <v>0</v>
      </c>
    </row>
    <row r="449" spans="1:19" s="236" customFormat="1" ht="24.95" customHeight="1">
      <c r="A449" s="239"/>
      <c r="B449" s="239" t="s">
        <v>394</v>
      </c>
      <c r="C449" s="240">
        <v>8</v>
      </c>
      <c r="D449" s="239">
        <v>1</v>
      </c>
      <c r="E449" s="203">
        <f>(H447/200)+1</f>
        <v>14.1</v>
      </c>
      <c r="F449" s="234"/>
      <c r="G449" s="234"/>
      <c r="H449" s="234">
        <v>820</v>
      </c>
      <c r="I449" s="234"/>
      <c r="J449" s="234"/>
      <c r="K449" s="241">
        <v>5</v>
      </c>
      <c r="L449" s="235">
        <f t="shared" si="63"/>
        <v>0.74</v>
      </c>
      <c r="M449" s="200">
        <f t="shared" si="64"/>
        <v>10.433999999999999</v>
      </c>
      <c r="N449" s="200">
        <f t="shared" si="65"/>
        <v>0</v>
      </c>
      <c r="O449" s="200">
        <f t="shared" si="66"/>
        <v>0</v>
      </c>
      <c r="P449" s="200">
        <f t="shared" si="67"/>
        <v>0</v>
      </c>
      <c r="Q449" s="200">
        <f t="shared" si="68"/>
        <v>0</v>
      </c>
      <c r="R449" s="200">
        <f t="shared" si="69"/>
        <v>0</v>
      </c>
      <c r="S449" s="200">
        <f t="shared" si="70"/>
        <v>0</v>
      </c>
    </row>
    <row r="450" spans="1:19" s="236" customFormat="1" ht="24.95" customHeight="1">
      <c r="A450" s="239">
        <v>9</v>
      </c>
      <c r="B450" s="239" t="s">
        <v>392</v>
      </c>
      <c r="C450" s="240">
        <v>10</v>
      </c>
      <c r="D450" s="239">
        <v>1</v>
      </c>
      <c r="E450" s="203">
        <v>2</v>
      </c>
      <c r="F450" s="241">
        <v>100</v>
      </c>
      <c r="G450" s="234"/>
      <c r="H450" s="234">
        <v>3840</v>
      </c>
      <c r="I450" s="234"/>
      <c r="J450" s="241">
        <v>100</v>
      </c>
      <c r="K450" s="234">
        <v>2</v>
      </c>
      <c r="L450" s="235">
        <f t="shared" si="63"/>
        <v>4</v>
      </c>
      <c r="M450" s="200">
        <f t="shared" si="64"/>
        <v>0</v>
      </c>
      <c r="N450" s="200">
        <f t="shared" si="65"/>
        <v>8</v>
      </c>
      <c r="O450" s="200">
        <f t="shared" si="66"/>
        <v>0</v>
      </c>
      <c r="P450" s="200">
        <f t="shared" si="67"/>
        <v>0</v>
      </c>
      <c r="Q450" s="200">
        <f t="shared" si="68"/>
        <v>0</v>
      </c>
      <c r="R450" s="200">
        <f t="shared" si="69"/>
        <v>0</v>
      </c>
      <c r="S450" s="200">
        <f t="shared" si="70"/>
        <v>0</v>
      </c>
    </row>
    <row r="451" spans="1:19" s="236" customFormat="1" ht="24.95" customHeight="1">
      <c r="A451" s="239"/>
      <c r="B451" s="239" t="s">
        <v>393</v>
      </c>
      <c r="C451" s="240">
        <v>10</v>
      </c>
      <c r="D451" s="239">
        <v>1</v>
      </c>
      <c r="E451" s="203">
        <v>2</v>
      </c>
      <c r="F451" s="241">
        <v>100</v>
      </c>
      <c r="G451" s="234"/>
      <c r="H451" s="234">
        <v>3840</v>
      </c>
      <c r="I451" s="234"/>
      <c r="J451" s="241">
        <v>100</v>
      </c>
      <c r="K451" s="234">
        <v>2</v>
      </c>
      <c r="L451" s="235">
        <f t="shared" si="63"/>
        <v>4</v>
      </c>
      <c r="M451" s="200">
        <f t="shared" si="64"/>
        <v>0</v>
      </c>
      <c r="N451" s="200">
        <f t="shared" si="65"/>
        <v>8</v>
      </c>
      <c r="O451" s="200">
        <f t="shared" si="66"/>
        <v>0</v>
      </c>
      <c r="P451" s="200">
        <f t="shared" si="67"/>
        <v>0</v>
      </c>
      <c r="Q451" s="200">
        <f t="shared" si="68"/>
        <v>0</v>
      </c>
      <c r="R451" s="200">
        <f t="shared" si="69"/>
        <v>0</v>
      </c>
      <c r="S451" s="200">
        <f t="shared" si="70"/>
        <v>0</v>
      </c>
    </row>
    <row r="452" spans="1:19" s="236" customFormat="1" ht="24.95" customHeight="1">
      <c r="A452" s="239"/>
      <c r="B452" s="239" t="s">
        <v>394</v>
      </c>
      <c r="C452" s="240">
        <v>8</v>
      </c>
      <c r="D452" s="239">
        <v>1</v>
      </c>
      <c r="E452" s="203">
        <f>(H450/200)+1</f>
        <v>20.2</v>
      </c>
      <c r="F452" s="234"/>
      <c r="G452" s="234"/>
      <c r="H452" s="234">
        <v>820</v>
      </c>
      <c r="I452" s="234"/>
      <c r="J452" s="234"/>
      <c r="K452" s="241">
        <v>5</v>
      </c>
      <c r="L452" s="235">
        <f t="shared" si="63"/>
        <v>0.74</v>
      </c>
      <c r="M452" s="200">
        <f t="shared" si="64"/>
        <v>14.947999999999999</v>
      </c>
      <c r="N452" s="200">
        <f t="shared" si="65"/>
        <v>0</v>
      </c>
      <c r="O452" s="200">
        <f t="shared" si="66"/>
        <v>0</v>
      </c>
      <c r="P452" s="200">
        <f t="shared" si="67"/>
        <v>0</v>
      </c>
      <c r="Q452" s="200">
        <f t="shared" si="68"/>
        <v>0</v>
      </c>
      <c r="R452" s="200">
        <f t="shared" si="69"/>
        <v>0</v>
      </c>
      <c r="S452" s="200">
        <f t="shared" si="70"/>
        <v>0</v>
      </c>
    </row>
    <row r="453" spans="1:19" s="236" customFormat="1" ht="24.95" customHeight="1">
      <c r="A453" s="239">
        <v>10</v>
      </c>
      <c r="B453" s="239" t="s">
        <v>392</v>
      </c>
      <c r="C453" s="240">
        <v>10</v>
      </c>
      <c r="D453" s="239">
        <v>1</v>
      </c>
      <c r="E453" s="203">
        <v>2</v>
      </c>
      <c r="F453" s="241">
        <v>100</v>
      </c>
      <c r="G453" s="234"/>
      <c r="H453" s="234">
        <v>2705</v>
      </c>
      <c r="I453" s="234"/>
      <c r="J453" s="241">
        <v>100</v>
      </c>
      <c r="K453" s="234">
        <v>2</v>
      </c>
      <c r="L453" s="235">
        <f t="shared" si="63"/>
        <v>2.8650000000000002</v>
      </c>
      <c r="M453" s="200">
        <f t="shared" si="64"/>
        <v>0</v>
      </c>
      <c r="N453" s="200">
        <f t="shared" si="65"/>
        <v>5.73</v>
      </c>
      <c r="O453" s="200">
        <f t="shared" si="66"/>
        <v>0</v>
      </c>
      <c r="P453" s="200">
        <f t="shared" si="67"/>
        <v>0</v>
      </c>
      <c r="Q453" s="200">
        <f t="shared" si="68"/>
        <v>0</v>
      </c>
      <c r="R453" s="200">
        <f t="shared" si="69"/>
        <v>0</v>
      </c>
      <c r="S453" s="200">
        <f t="shared" si="70"/>
        <v>0</v>
      </c>
    </row>
    <row r="454" spans="1:19" s="236" customFormat="1" ht="24.95" customHeight="1">
      <c r="A454" s="239"/>
      <c r="B454" s="239" t="s">
        <v>393</v>
      </c>
      <c r="C454" s="240">
        <v>10</v>
      </c>
      <c r="D454" s="239">
        <v>1</v>
      </c>
      <c r="E454" s="203">
        <v>2</v>
      </c>
      <c r="F454" s="241">
        <v>100</v>
      </c>
      <c r="G454" s="234"/>
      <c r="H454" s="234">
        <v>2705</v>
      </c>
      <c r="I454" s="234"/>
      <c r="J454" s="241">
        <v>100</v>
      </c>
      <c r="K454" s="234">
        <v>2</v>
      </c>
      <c r="L454" s="235">
        <f t="shared" si="63"/>
        <v>2.8650000000000002</v>
      </c>
      <c r="M454" s="200">
        <f t="shared" si="64"/>
        <v>0</v>
      </c>
      <c r="N454" s="200">
        <f t="shared" si="65"/>
        <v>5.73</v>
      </c>
      <c r="O454" s="200">
        <f t="shared" si="66"/>
        <v>0</v>
      </c>
      <c r="P454" s="200">
        <f t="shared" si="67"/>
        <v>0</v>
      </c>
      <c r="Q454" s="200">
        <f t="shared" si="68"/>
        <v>0</v>
      </c>
      <c r="R454" s="200">
        <f t="shared" si="69"/>
        <v>0</v>
      </c>
      <c r="S454" s="200">
        <f t="shared" si="70"/>
        <v>0</v>
      </c>
    </row>
    <row r="455" spans="1:19" s="236" customFormat="1" ht="24.95" customHeight="1">
      <c r="A455" s="239"/>
      <c r="B455" s="239" t="s">
        <v>394</v>
      </c>
      <c r="C455" s="240">
        <v>8</v>
      </c>
      <c r="D455" s="239">
        <v>1</v>
      </c>
      <c r="E455" s="203">
        <f>(H453/200)+1</f>
        <v>14.525</v>
      </c>
      <c r="F455" s="234"/>
      <c r="G455" s="234"/>
      <c r="H455" s="234">
        <v>820</v>
      </c>
      <c r="I455" s="234"/>
      <c r="J455" s="234"/>
      <c r="K455" s="241">
        <v>5</v>
      </c>
      <c r="L455" s="235">
        <f t="shared" si="63"/>
        <v>0.74</v>
      </c>
      <c r="M455" s="200">
        <f t="shared" si="64"/>
        <v>10.7485</v>
      </c>
      <c r="N455" s="200">
        <f t="shared" si="65"/>
        <v>0</v>
      </c>
      <c r="O455" s="200">
        <f t="shared" si="66"/>
        <v>0</v>
      </c>
      <c r="P455" s="200">
        <f t="shared" si="67"/>
        <v>0</v>
      </c>
      <c r="Q455" s="200">
        <f t="shared" si="68"/>
        <v>0</v>
      </c>
      <c r="R455" s="200">
        <f t="shared" si="69"/>
        <v>0</v>
      </c>
      <c r="S455" s="200">
        <f t="shared" si="70"/>
        <v>0</v>
      </c>
    </row>
    <row r="456" spans="1:19" s="236" customFormat="1" ht="24.95" customHeight="1">
      <c r="A456" s="239">
        <v>11</v>
      </c>
      <c r="B456" s="239" t="s">
        <v>392</v>
      </c>
      <c r="C456" s="240">
        <v>10</v>
      </c>
      <c r="D456" s="239">
        <v>1</v>
      </c>
      <c r="E456" s="203">
        <v>2</v>
      </c>
      <c r="F456" s="241">
        <v>100</v>
      </c>
      <c r="G456" s="234"/>
      <c r="H456" s="234">
        <v>7195</v>
      </c>
      <c r="I456" s="234"/>
      <c r="J456" s="241">
        <v>100</v>
      </c>
      <c r="K456" s="234">
        <v>2</v>
      </c>
      <c r="L456" s="235">
        <f t="shared" si="63"/>
        <v>7.3550000000000004</v>
      </c>
      <c r="M456" s="200">
        <f t="shared" si="64"/>
        <v>0</v>
      </c>
      <c r="N456" s="200">
        <f t="shared" si="65"/>
        <v>14.71</v>
      </c>
      <c r="O456" s="200">
        <f t="shared" si="66"/>
        <v>0</v>
      </c>
      <c r="P456" s="200">
        <f t="shared" si="67"/>
        <v>0</v>
      </c>
      <c r="Q456" s="200">
        <f t="shared" si="68"/>
        <v>0</v>
      </c>
      <c r="R456" s="200">
        <f t="shared" si="69"/>
        <v>0</v>
      </c>
      <c r="S456" s="200">
        <f t="shared" si="70"/>
        <v>0</v>
      </c>
    </row>
    <row r="457" spans="1:19" s="236" customFormat="1" ht="24.95" customHeight="1">
      <c r="A457" s="239"/>
      <c r="B457" s="239" t="s">
        <v>393</v>
      </c>
      <c r="C457" s="240">
        <v>10</v>
      </c>
      <c r="D457" s="239">
        <v>1</v>
      </c>
      <c r="E457" s="203">
        <v>2</v>
      </c>
      <c r="F457" s="241">
        <v>100</v>
      </c>
      <c r="G457" s="234"/>
      <c r="H457" s="234">
        <v>7195</v>
      </c>
      <c r="I457" s="234"/>
      <c r="J457" s="241">
        <v>100</v>
      </c>
      <c r="K457" s="234">
        <v>2</v>
      </c>
      <c r="L457" s="235">
        <f t="shared" si="63"/>
        <v>7.3550000000000004</v>
      </c>
      <c r="M457" s="200">
        <f t="shared" si="64"/>
        <v>0</v>
      </c>
      <c r="N457" s="200">
        <f t="shared" si="65"/>
        <v>14.71</v>
      </c>
      <c r="O457" s="200">
        <f t="shared" si="66"/>
        <v>0</v>
      </c>
      <c r="P457" s="200">
        <f t="shared" si="67"/>
        <v>0</v>
      </c>
      <c r="Q457" s="200">
        <f t="shared" si="68"/>
        <v>0</v>
      </c>
      <c r="R457" s="200">
        <f t="shared" si="69"/>
        <v>0</v>
      </c>
      <c r="S457" s="200">
        <f t="shared" si="70"/>
        <v>0</v>
      </c>
    </row>
    <row r="458" spans="1:19" s="236" customFormat="1" ht="24.95" customHeight="1">
      <c r="A458" s="239"/>
      <c r="B458" s="239" t="s">
        <v>394</v>
      </c>
      <c r="C458" s="240">
        <v>8</v>
      </c>
      <c r="D458" s="239">
        <v>1</v>
      </c>
      <c r="E458" s="203">
        <f>(H456/200)+1</f>
        <v>36.975000000000001</v>
      </c>
      <c r="F458" s="234"/>
      <c r="G458" s="234"/>
      <c r="H458" s="234">
        <v>820</v>
      </c>
      <c r="I458" s="234"/>
      <c r="J458" s="234"/>
      <c r="K458" s="241">
        <v>5</v>
      </c>
      <c r="L458" s="235">
        <f t="shared" si="63"/>
        <v>0.74</v>
      </c>
      <c r="M458" s="200">
        <f t="shared" si="64"/>
        <v>27.361499999999999</v>
      </c>
      <c r="N458" s="200">
        <f t="shared" si="65"/>
        <v>0</v>
      </c>
      <c r="O458" s="200">
        <f t="shared" si="66"/>
        <v>0</v>
      </c>
      <c r="P458" s="200">
        <f t="shared" si="67"/>
        <v>0</v>
      </c>
      <c r="Q458" s="200">
        <f t="shared" si="68"/>
        <v>0</v>
      </c>
      <c r="R458" s="200">
        <f t="shared" si="69"/>
        <v>0</v>
      </c>
      <c r="S458" s="200">
        <f t="shared" si="70"/>
        <v>0</v>
      </c>
    </row>
    <row r="459" spans="1:19" s="236" customFormat="1" ht="24.95" customHeight="1">
      <c r="A459" s="239">
        <v>12</v>
      </c>
      <c r="B459" s="239" t="s">
        <v>392</v>
      </c>
      <c r="C459" s="240">
        <v>10</v>
      </c>
      <c r="D459" s="239">
        <v>1</v>
      </c>
      <c r="E459" s="203">
        <v>2</v>
      </c>
      <c r="F459" s="241">
        <v>100</v>
      </c>
      <c r="G459" s="234"/>
      <c r="H459" s="234">
        <v>4230</v>
      </c>
      <c r="I459" s="234"/>
      <c r="J459" s="241">
        <v>100</v>
      </c>
      <c r="K459" s="234">
        <v>2</v>
      </c>
      <c r="L459" s="235">
        <f t="shared" ref="L459:L522" si="71">(((F459+G459+H459+I459+J459)-C459*K459*2)/1000)</f>
        <v>4.3899999999999997</v>
      </c>
      <c r="M459" s="200">
        <f t="shared" ref="M459:M522" si="72">+IF(C459=8,D459*E459*L459,0)</f>
        <v>0</v>
      </c>
      <c r="N459" s="200">
        <f t="shared" ref="N459:N522" si="73">+IF(C459=10,D459*E459*L459,0)</f>
        <v>8.7799999999999994</v>
      </c>
      <c r="O459" s="200">
        <f t="shared" ref="O459:O522" si="74">+IF(C459=12,D459*E459*L459,0)</f>
        <v>0</v>
      </c>
      <c r="P459" s="200">
        <f t="shared" ref="P459:P522" si="75">+IF(C459=16,D459*E459*L459,0)</f>
        <v>0</v>
      </c>
      <c r="Q459" s="200">
        <f t="shared" ref="Q459:Q522" si="76">+IF(C459=20,D459*E459*L459,0)</f>
        <v>0</v>
      </c>
      <c r="R459" s="200">
        <f t="shared" ref="R459:R522" si="77">+IF(C459=25,D459*E459*L459,0)</f>
        <v>0</v>
      </c>
      <c r="S459" s="200">
        <f t="shared" ref="S459:S522" si="78">+IF(C459=32,D459*E459*L459,0)</f>
        <v>0</v>
      </c>
    </row>
    <row r="460" spans="1:19" s="236" customFormat="1" ht="24.95" customHeight="1">
      <c r="A460" s="239"/>
      <c r="B460" s="239" t="s">
        <v>393</v>
      </c>
      <c r="C460" s="240">
        <v>10</v>
      </c>
      <c r="D460" s="239">
        <v>1</v>
      </c>
      <c r="E460" s="203">
        <v>2</v>
      </c>
      <c r="F460" s="241">
        <v>100</v>
      </c>
      <c r="G460" s="234"/>
      <c r="H460" s="234">
        <v>4230</v>
      </c>
      <c r="I460" s="234"/>
      <c r="J460" s="241">
        <v>100</v>
      </c>
      <c r="K460" s="234">
        <v>2</v>
      </c>
      <c r="L460" s="235">
        <f t="shared" si="71"/>
        <v>4.3899999999999997</v>
      </c>
      <c r="M460" s="200">
        <f t="shared" si="72"/>
        <v>0</v>
      </c>
      <c r="N460" s="200">
        <f t="shared" si="73"/>
        <v>8.7799999999999994</v>
      </c>
      <c r="O460" s="200">
        <f t="shared" si="74"/>
        <v>0</v>
      </c>
      <c r="P460" s="200">
        <f t="shared" si="75"/>
        <v>0</v>
      </c>
      <c r="Q460" s="200">
        <f t="shared" si="76"/>
        <v>0</v>
      </c>
      <c r="R460" s="200">
        <f t="shared" si="77"/>
        <v>0</v>
      </c>
      <c r="S460" s="200">
        <f t="shared" si="78"/>
        <v>0</v>
      </c>
    </row>
    <row r="461" spans="1:19" s="236" customFormat="1" ht="24.95" customHeight="1">
      <c r="A461" s="239"/>
      <c r="B461" s="239" t="s">
        <v>394</v>
      </c>
      <c r="C461" s="240">
        <v>8</v>
      </c>
      <c r="D461" s="239">
        <v>1</v>
      </c>
      <c r="E461" s="203">
        <f>(H459/200)+1</f>
        <v>22.15</v>
      </c>
      <c r="F461" s="234"/>
      <c r="G461" s="234"/>
      <c r="H461" s="234">
        <v>820</v>
      </c>
      <c r="I461" s="234"/>
      <c r="J461" s="234"/>
      <c r="K461" s="241">
        <v>5</v>
      </c>
      <c r="L461" s="235">
        <f t="shared" si="71"/>
        <v>0.74</v>
      </c>
      <c r="M461" s="200">
        <f t="shared" si="72"/>
        <v>16.390999999999998</v>
      </c>
      <c r="N461" s="200">
        <f t="shared" si="73"/>
        <v>0</v>
      </c>
      <c r="O461" s="200">
        <f t="shared" si="74"/>
        <v>0</v>
      </c>
      <c r="P461" s="200">
        <f t="shared" si="75"/>
        <v>0</v>
      </c>
      <c r="Q461" s="200">
        <f t="shared" si="76"/>
        <v>0</v>
      </c>
      <c r="R461" s="200">
        <f t="shared" si="77"/>
        <v>0</v>
      </c>
      <c r="S461" s="200">
        <f t="shared" si="78"/>
        <v>0</v>
      </c>
    </row>
    <row r="462" spans="1:19" s="236" customFormat="1" ht="24.95" customHeight="1">
      <c r="A462" s="239">
        <v>13</v>
      </c>
      <c r="B462" s="239" t="s">
        <v>392</v>
      </c>
      <c r="C462" s="240">
        <v>10</v>
      </c>
      <c r="D462" s="239">
        <v>1</v>
      </c>
      <c r="E462" s="203">
        <v>2</v>
      </c>
      <c r="F462" s="241">
        <v>100</v>
      </c>
      <c r="G462" s="234"/>
      <c r="H462" s="234">
        <v>9635</v>
      </c>
      <c r="I462" s="234"/>
      <c r="J462" s="241">
        <v>100</v>
      </c>
      <c r="K462" s="234">
        <v>2</v>
      </c>
      <c r="L462" s="235">
        <f t="shared" si="71"/>
        <v>9.7949999999999999</v>
      </c>
      <c r="M462" s="200">
        <f t="shared" si="72"/>
        <v>0</v>
      </c>
      <c r="N462" s="200">
        <f t="shared" si="73"/>
        <v>19.59</v>
      </c>
      <c r="O462" s="200">
        <f t="shared" si="74"/>
        <v>0</v>
      </c>
      <c r="P462" s="200">
        <f t="shared" si="75"/>
        <v>0</v>
      </c>
      <c r="Q462" s="200">
        <f t="shared" si="76"/>
        <v>0</v>
      </c>
      <c r="R462" s="200">
        <f t="shared" si="77"/>
        <v>0</v>
      </c>
      <c r="S462" s="200">
        <f t="shared" si="78"/>
        <v>0</v>
      </c>
    </row>
    <row r="463" spans="1:19" s="236" customFormat="1" ht="24.95" customHeight="1">
      <c r="A463" s="239"/>
      <c r="B463" s="239" t="s">
        <v>393</v>
      </c>
      <c r="C463" s="240">
        <v>10</v>
      </c>
      <c r="D463" s="239">
        <v>1</v>
      </c>
      <c r="E463" s="203">
        <v>2</v>
      </c>
      <c r="F463" s="241">
        <v>100</v>
      </c>
      <c r="G463" s="234"/>
      <c r="H463" s="234">
        <v>9635</v>
      </c>
      <c r="I463" s="234"/>
      <c r="J463" s="241">
        <v>100</v>
      </c>
      <c r="K463" s="234">
        <v>2</v>
      </c>
      <c r="L463" s="235">
        <f t="shared" si="71"/>
        <v>9.7949999999999999</v>
      </c>
      <c r="M463" s="200">
        <f t="shared" si="72"/>
        <v>0</v>
      </c>
      <c r="N463" s="200">
        <f t="shared" si="73"/>
        <v>19.59</v>
      </c>
      <c r="O463" s="200">
        <f t="shared" si="74"/>
        <v>0</v>
      </c>
      <c r="P463" s="200">
        <f t="shared" si="75"/>
        <v>0</v>
      </c>
      <c r="Q463" s="200">
        <f t="shared" si="76"/>
        <v>0</v>
      </c>
      <c r="R463" s="200">
        <f t="shared" si="77"/>
        <v>0</v>
      </c>
      <c r="S463" s="200">
        <f t="shared" si="78"/>
        <v>0</v>
      </c>
    </row>
    <row r="464" spans="1:19" s="236" customFormat="1" ht="24.95" customHeight="1">
      <c r="A464" s="239"/>
      <c r="B464" s="239" t="s">
        <v>394</v>
      </c>
      <c r="C464" s="240">
        <v>8</v>
      </c>
      <c r="D464" s="239">
        <v>1</v>
      </c>
      <c r="E464" s="203">
        <f>(H462/200)+1</f>
        <v>49.174999999999997</v>
      </c>
      <c r="F464" s="234"/>
      <c r="G464" s="234"/>
      <c r="H464" s="234">
        <v>820</v>
      </c>
      <c r="I464" s="234"/>
      <c r="J464" s="234"/>
      <c r="K464" s="241">
        <v>5</v>
      </c>
      <c r="L464" s="235">
        <f t="shared" si="71"/>
        <v>0.74</v>
      </c>
      <c r="M464" s="200">
        <f t="shared" si="72"/>
        <v>36.389499999999998</v>
      </c>
      <c r="N464" s="200">
        <f t="shared" si="73"/>
        <v>0</v>
      </c>
      <c r="O464" s="200">
        <f t="shared" si="74"/>
        <v>0</v>
      </c>
      <c r="P464" s="200">
        <f t="shared" si="75"/>
        <v>0</v>
      </c>
      <c r="Q464" s="200">
        <f t="shared" si="76"/>
        <v>0</v>
      </c>
      <c r="R464" s="200">
        <f t="shared" si="77"/>
        <v>0</v>
      </c>
      <c r="S464" s="200">
        <f t="shared" si="78"/>
        <v>0</v>
      </c>
    </row>
    <row r="465" spans="1:19" s="236" customFormat="1" ht="24.95" customHeight="1">
      <c r="A465" s="207">
        <v>14</v>
      </c>
      <c r="B465" s="208" t="s">
        <v>399</v>
      </c>
      <c r="C465" s="240">
        <v>12</v>
      </c>
      <c r="D465" s="239">
        <v>4</v>
      </c>
      <c r="E465" s="203">
        <v>3</v>
      </c>
      <c r="F465" s="241">
        <v>100</v>
      </c>
      <c r="G465" s="234"/>
      <c r="H465" s="234">
        <v>2950</v>
      </c>
      <c r="I465" s="234"/>
      <c r="J465" s="241">
        <v>100</v>
      </c>
      <c r="K465" s="234">
        <v>2</v>
      </c>
      <c r="L465" s="235">
        <f t="shared" si="71"/>
        <v>3.1019999999999999</v>
      </c>
      <c r="M465" s="200">
        <f t="shared" si="72"/>
        <v>0</v>
      </c>
      <c r="N465" s="200">
        <f t="shared" si="73"/>
        <v>0</v>
      </c>
      <c r="O465" s="200">
        <f t="shared" si="74"/>
        <v>37.223999999999997</v>
      </c>
      <c r="P465" s="200">
        <f t="shared" si="75"/>
        <v>0</v>
      </c>
      <c r="Q465" s="200">
        <f t="shared" si="76"/>
        <v>0</v>
      </c>
      <c r="R465" s="200">
        <f t="shared" si="77"/>
        <v>0</v>
      </c>
      <c r="S465" s="200">
        <f t="shared" si="78"/>
        <v>0</v>
      </c>
    </row>
    <row r="466" spans="1:19" s="236" customFormat="1" ht="24.95" customHeight="1">
      <c r="A466" s="239"/>
      <c r="B466" s="239" t="s">
        <v>393</v>
      </c>
      <c r="C466" s="240">
        <v>12</v>
      </c>
      <c r="D466" s="239">
        <v>4</v>
      </c>
      <c r="E466" s="203">
        <v>3</v>
      </c>
      <c r="F466" s="241">
        <v>100</v>
      </c>
      <c r="G466" s="234"/>
      <c r="H466" s="234">
        <v>2950</v>
      </c>
      <c r="I466" s="234"/>
      <c r="J466" s="241">
        <v>100</v>
      </c>
      <c r="K466" s="234">
        <v>2</v>
      </c>
      <c r="L466" s="235">
        <f t="shared" si="71"/>
        <v>3.1019999999999999</v>
      </c>
      <c r="M466" s="200">
        <f t="shared" si="72"/>
        <v>0</v>
      </c>
      <c r="N466" s="200">
        <f t="shared" si="73"/>
        <v>0</v>
      </c>
      <c r="O466" s="200">
        <f t="shared" si="74"/>
        <v>37.223999999999997</v>
      </c>
      <c r="P466" s="200">
        <f t="shared" si="75"/>
        <v>0</v>
      </c>
      <c r="Q466" s="200">
        <f t="shared" si="76"/>
        <v>0</v>
      </c>
      <c r="R466" s="200">
        <f t="shared" si="77"/>
        <v>0</v>
      </c>
      <c r="S466" s="200">
        <f t="shared" si="78"/>
        <v>0</v>
      </c>
    </row>
    <row r="467" spans="1:19" s="236" customFormat="1" ht="24.95" customHeight="1">
      <c r="A467" s="239"/>
      <c r="B467" s="239" t="s">
        <v>400</v>
      </c>
      <c r="C467" s="240">
        <v>8</v>
      </c>
      <c r="D467" s="239">
        <v>4</v>
      </c>
      <c r="E467" s="203">
        <f>(H465/200)+1</f>
        <v>15.75</v>
      </c>
      <c r="F467" s="234"/>
      <c r="G467" s="234"/>
      <c r="H467" s="234">
        <v>1280</v>
      </c>
      <c r="I467" s="234"/>
      <c r="J467" s="234"/>
      <c r="K467" s="241">
        <v>5</v>
      </c>
      <c r="L467" s="235">
        <f t="shared" si="71"/>
        <v>1.2</v>
      </c>
      <c r="M467" s="200">
        <f t="shared" si="72"/>
        <v>75.599999999999994</v>
      </c>
      <c r="N467" s="200">
        <f t="shared" si="73"/>
        <v>0</v>
      </c>
      <c r="O467" s="200">
        <f t="shared" si="74"/>
        <v>0</v>
      </c>
      <c r="P467" s="200">
        <f t="shared" si="75"/>
        <v>0</v>
      </c>
      <c r="Q467" s="200">
        <f t="shared" si="76"/>
        <v>0</v>
      </c>
      <c r="R467" s="200">
        <f t="shared" si="77"/>
        <v>0</v>
      </c>
      <c r="S467" s="200">
        <f t="shared" si="78"/>
        <v>0</v>
      </c>
    </row>
    <row r="468" spans="1:19" s="236" customFormat="1" ht="24.95" customHeight="1">
      <c r="A468" s="237">
        <v>5</v>
      </c>
      <c r="B468" s="238" t="s">
        <v>423</v>
      </c>
      <c r="C468" s="240"/>
      <c r="D468" s="239"/>
      <c r="E468" s="203"/>
      <c r="F468" s="234"/>
      <c r="G468" s="234"/>
      <c r="H468" s="234"/>
      <c r="I468" s="234"/>
      <c r="J468" s="234"/>
      <c r="K468" s="234"/>
      <c r="L468" s="235">
        <f t="shared" si="71"/>
        <v>0</v>
      </c>
      <c r="M468" s="200">
        <f t="shared" si="72"/>
        <v>0</v>
      </c>
      <c r="N468" s="200">
        <f t="shared" si="73"/>
        <v>0</v>
      </c>
      <c r="O468" s="200">
        <f t="shared" si="74"/>
        <v>0</v>
      </c>
      <c r="P468" s="200">
        <f t="shared" si="75"/>
        <v>0</v>
      </c>
      <c r="Q468" s="200">
        <f t="shared" si="76"/>
        <v>0</v>
      </c>
      <c r="R468" s="200">
        <f t="shared" si="77"/>
        <v>0</v>
      </c>
      <c r="S468" s="200">
        <f t="shared" si="78"/>
        <v>0</v>
      </c>
    </row>
    <row r="469" spans="1:19" s="236" customFormat="1" ht="24.95" customHeight="1">
      <c r="A469" s="209" t="s">
        <v>424</v>
      </c>
      <c r="B469" s="209" t="s">
        <v>403</v>
      </c>
      <c r="C469" s="240"/>
      <c r="D469" s="239"/>
      <c r="E469" s="203"/>
      <c r="F469" s="234"/>
      <c r="G469" s="234"/>
      <c r="H469" s="234"/>
      <c r="I469" s="234"/>
      <c r="J469" s="234"/>
      <c r="K469" s="234">
        <v>0</v>
      </c>
      <c r="L469" s="235">
        <f t="shared" si="71"/>
        <v>0</v>
      </c>
      <c r="M469" s="200">
        <f t="shared" si="72"/>
        <v>0</v>
      </c>
      <c r="N469" s="200">
        <f t="shared" si="73"/>
        <v>0</v>
      </c>
      <c r="O469" s="200">
        <f t="shared" si="74"/>
        <v>0</v>
      </c>
      <c r="P469" s="200">
        <f t="shared" si="75"/>
        <v>0</v>
      </c>
      <c r="Q469" s="200">
        <f t="shared" si="76"/>
        <v>0</v>
      </c>
      <c r="R469" s="200">
        <f t="shared" si="77"/>
        <v>0</v>
      </c>
      <c r="S469" s="200">
        <f t="shared" si="78"/>
        <v>0</v>
      </c>
    </row>
    <row r="470" spans="1:19" s="236" customFormat="1" ht="24.95" customHeight="1">
      <c r="A470" s="205" t="s">
        <v>425</v>
      </c>
      <c r="B470" s="206" t="s">
        <v>391</v>
      </c>
      <c r="C470" s="240"/>
      <c r="D470" s="239"/>
      <c r="E470" s="203"/>
      <c r="F470" s="234"/>
      <c r="G470" s="234"/>
      <c r="H470" s="234"/>
      <c r="I470" s="234"/>
      <c r="J470" s="234"/>
      <c r="K470" s="234"/>
      <c r="L470" s="235">
        <f t="shared" si="71"/>
        <v>0</v>
      </c>
      <c r="M470" s="200">
        <f t="shared" si="72"/>
        <v>0</v>
      </c>
      <c r="N470" s="200">
        <f t="shared" si="73"/>
        <v>0</v>
      </c>
      <c r="O470" s="200">
        <f t="shared" si="74"/>
        <v>0</v>
      </c>
      <c r="P470" s="200">
        <f t="shared" si="75"/>
        <v>0</v>
      </c>
      <c r="Q470" s="200">
        <f t="shared" si="76"/>
        <v>0</v>
      </c>
      <c r="R470" s="200">
        <f t="shared" si="77"/>
        <v>0</v>
      </c>
      <c r="S470" s="200">
        <f t="shared" si="78"/>
        <v>0</v>
      </c>
    </row>
    <row r="471" spans="1:19" s="236" customFormat="1" ht="24.95" customHeight="1">
      <c r="A471" s="239">
        <v>1</v>
      </c>
      <c r="B471" s="239" t="s">
        <v>392</v>
      </c>
      <c r="C471" s="240">
        <v>10</v>
      </c>
      <c r="D471" s="239">
        <v>1</v>
      </c>
      <c r="E471" s="203">
        <v>2</v>
      </c>
      <c r="F471" s="241">
        <v>100</v>
      </c>
      <c r="G471" s="234"/>
      <c r="H471" s="241">
        <v>3890</v>
      </c>
      <c r="I471" s="234"/>
      <c r="J471" s="241">
        <v>100</v>
      </c>
      <c r="K471" s="234">
        <v>2</v>
      </c>
      <c r="L471" s="235">
        <f t="shared" si="71"/>
        <v>4.05</v>
      </c>
      <c r="M471" s="200">
        <f t="shared" si="72"/>
        <v>0</v>
      </c>
      <c r="N471" s="200">
        <f t="shared" si="73"/>
        <v>8.1</v>
      </c>
      <c r="O471" s="200">
        <f t="shared" si="74"/>
        <v>0</v>
      </c>
      <c r="P471" s="200">
        <f t="shared" si="75"/>
        <v>0</v>
      </c>
      <c r="Q471" s="200">
        <f t="shared" si="76"/>
        <v>0</v>
      </c>
      <c r="R471" s="200">
        <f t="shared" si="77"/>
        <v>0</v>
      </c>
      <c r="S471" s="200">
        <f t="shared" si="78"/>
        <v>0</v>
      </c>
    </row>
    <row r="472" spans="1:19" s="236" customFormat="1" ht="24.95" customHeight="1">
      <c r="A472" s="239"/>
      <c r="B472" s="239" t="s">
        <v>393</v>
      </c>
      <c r="C472" s="240">
        <v>10</v>
      </c>
      <c r="D472" s="239">
        <v>1</v>
      </c>
      <c r="E472" s="203">
        <v>2</v>
      </c>
      <c r="F472" s="241">
        <v>100</v>
      </c>
      <c r="G472" s="234"/>
      <c r="H472" s="241">
        <v>3890</v>
      </c>
      <c r="I472" s="234"/>
      <c r="J472" s="241">
        <v>100</v>
      </c>
      <c r="K472" s="234">
        <v>2</v>
      </c>
      <c r="L472" s="235">
        <f t="shared" si="71"/>
        <v>4.05</v>
      </c>
      <c r="M472" s="200">
        <f t="shared" si="72"/>
        <v>0</v>
      </c>
      <c r="N472" s="200">
        <f t="shared" si="73"/>
        <v>8.1</v>
      </c>
      <c r="O472" s="200">
        <f t="shared" si="74"/>
        <v>0</v>
      </c>
      <c r="P472" s="200">
        <f t="shared" si="75"/>
        <v>0</v>
      </c>
      <c r="Q472" s="200">
        <f t="shared" si="76"/>
        <v>0</v>
      </c>
      <c r="R472" s="200">
        <f t="shared" si="77"/>
        <v>0</v>
      </c>
      <c r="S472" s="200">
        <f t="shared" si="78"/>
        <v>0</v>
      </c>
    </row>
    <row r="473" spans="1:19" s="236" customFormat="1" ht="24.95" customHeight="1">
      <c r="A473" s="239"/>
      <c r="B473" s="239" t="s">
        <v>394</v>
      </c>
      <c r="C473" s="240">
        <v>8</v>
      </c>
      <c r="D473" s="239">
        <v>1</v>
      </c>
      <c r="E473" s="203">
        <f>(H471/200)+1</f>
        <v>20.45</v>
      </c>
      <c r="F473" s="234"/>
      <c r="G473" s="234"/>
      <c r="H473" s="234">
        <v>820</v>
      </c>
      <c r="I473" s="234"/>
      <c r="J473" s="234"/>
      <c r="K473" s="241">
        <v>5</v>
      </c>
      <c r="L473" s="235">
        <f t="shared" si="71"/>
        <v>0.74</v>
      </c>
      <c r="M473" s="200">
        <f t="shared" si="72"/>
        <v>15.132999999999999</v>
      </c>
      <c r="N473" s="200">
        <f t="shared" si="73"/>
        <v>0</v>
      </c>
      <c r="O473" s="200">
        <f t="shared" si="74"/>
        <v>0</v>
      </c>
      <c r="P473" s="200">
        <f t="shared" si="75"/>
        <v>0</v>
      </c>
      <c r="Q473" s="200">
        <f t="shared" si="76"/>
        <v>0</v>
      </c>
      <c r="R473" s="200">
        <f t="shared" si="77"/>
        <v>0</v>
      </c>
      <c r="S473" s="200">
        <f t="shared" si="78"/>
        <v>0</v>
      </c>
    </row>
    <row r="474" spans="1:19" s="236" customFormat="1" ht="24.95" customHeight="1">
      <c r="A474" s="239">
        <v>2</v>
      </c>
      <c r="B474" s="239" t="s">
        <v>392</v>
      </c>
      <c r="C474" s="240">
        <v>10</v>
      </c>
      <c r="D474" s="239">
        <v>1</v>
      </c>
      <c r="E474" s="203">
        <v>2</v>
      </c>
      <c r="F474" s="241">
        <v>100</v>
      </c>
      <c r="G474" s="234"/>
      <c r="H474" s="234">
        <v>1660</v>
      </c>
      <c r="I474" s="234"/>
      <c r="J474" s="241">
        <v>100</v>
      </c>
      <c r="K474" s="234">
        <v>2</v>
      </c>
      <c r="L474" s="235">
        <f t="shared" si="71"/>
        <v>1.82</v>
      </c>
      <c r="M474" s="200">
        <f t="shared" si="72"/>
        <v>0</v>
      </c>
      <c r="N474" s="200">
        <f t="shared" si="73"/>
        <v>3.64</v>
      </c>
      <c r="O474" s="200">
        <f t="shared" si="74"/>
        <v>0</v>
      </c>
      <c r="P474" s="200">
        <f t="shared" si="75"/>
        <v>0</v>
      </c>
      <c r="Q474" s="200">
        <f t="shared" si="76"/>
        <v>0</v>
      </c>
      <c r="R474" s="200">
        <f t="shared" si="77"/>
        <v>0</v>
      </c>
      <c r="S474" s="200">
        <f t="shared" si="78"/>
        <v>0</v>
      </c>
    </row>
    <row r="475" spans="1:19" s="236" customFormat="1" ht="24.95" customHeight="1">
      <c r="A475" s="239"/>
      <c r="B475" s="239" t="s">
        <v>393</v>
      </c>
      <c r="C475" s="240">
        <v>10</v>
      </c>
      <c r="D475" s="239">
        <v>1</v>
      </c>
      <c r="E475" s="203">
        <v>2</v>
      </c>
      <c r="F475" s="241">
        <v>100</v>
      </c>
      <c r="G475" s="234"/>
      <c r="H475" s="234">
        <v>1660</v>
      </c>
      <c r="I475" s="234"/>
      <c r="J475" s="241">
        <v>100</v>
      </c>
      <c r="K475" s="234">
        <v>2</v>
      </c>
      <c r="L475" s="235">
        <f t="shared" si="71"/>
        <v>1.82</v>
      </c>
      <c r="M475" s="200">
        <f t="shared" si="72"/>
        <v>0</v>
      </c>
      <c r="N475" s="200">
        <f t="shared" si="73"/>
        <v>3.64</v>
      </c>
      <c r="O475" s="200">
        <f t="shared" si="74"/>
        <v>0</v>
      </c>
      <c r="P475" s="200">
        <f t="shared" si="75"/>
        <v>0</v>
      </c>
      <c r="Q475" s="200">
        <f t="shared" si="76"/>
        <v>0</v>
      </c>
      <c r="R475" s="200">
        <f t="shared" si="77"/>
        <v>0</v>
      </c>
      <c r="S475" s="200">
        <f t="shared" si="78"/>
        <v>0</v>
      </c>
    </row>
    <row r="476" spans="1:19" s="236" customFormat="1" ht="24.95" customHeight="1">
      <c r="A476" s="239"/>
      <c r="B476" s="239" t="s">
        <v>394</v>
      </c>
      <c r="C476" s="240">
        <v>8</v>
      </c>
      <c r="D476" s="239">
        <v>1</v>
      </c>
      <c r="E476" s="203">
        <f>(H474/200)+1</f>
        <v>9.3000000000000007</v>
      </c>
      <c r="F476" s="234"/>
      <c r="G476" s="234"/>
      <c r="H476" s="234">
        <v>820</v>
      </c>
      <c r="I476" s="234"/>
      <c r="J476" s="234"/>
      <c r="K476" s="241">
        <v>5</v>
      </c>
      <c r="L476" s="235">
        <f t="shared" si="71"/>
        <v>0.74</v>
      </c>
      <c r="M476" s="200">
        <f t="shared" si="72"/>
        <v>6.8820000000000006</v>
      </c>
      <c r="N476" s="200">
        <f t="shared" si="73"/>
        <v>0</v>
      </c>
      <c r="O476" s="200">
        <f t="shared" si="74"/>
        <v>0</v>
      </c>
      <c r="P476" s="200">
        <f t="shared" si="75"/>
        <v>0</v>
      </c>
      <c r="Q476" s="200">
        <f t="shared" si="76"/>
        <v>0</v>
      </c>
      <c r="R476" s="200">
        <f t="shared" si="77"/>
        <v>0</v>
      </c>
      <c r="S476" s="200">
        <f t="shared" si="78"/>
        <v>0</v>
      </c>
    </row>
    <row r="477" spans="1:19" s="236" customFormat="1" ht="24.95" customHeight="1">
      <c r="A477" s="239">
        <v>3</v>
      </c>
      <c r="B477" s="239" t="s">
        <v>392</v>
      </c>
      <c r="C477" s="240">
        <v>10</v>
      </c>
      <c r="D477" s="239">
        <v>4</v>
      </c>
      <c r="E477" s="203">
        <v>2</v>
      </c>
      <c r="F477" s="241">
        <v>100</v>
      </c>
      <c r="G477" s="234"/>
      <c r="H477" s="234">
        <v>2560</v>
      </c>
      <c r="I477" s="234"/>
      <c r="J477" s="241">
        <v>100</v>
      </c>
      <c r="K477" s="234">
        <v>2</v>
      </c>
      <c r="L477" s="235">
        <f t="shared" si="71"/>
        <v>2.72</v>
      </c>
      <c r="M477" s="200">
        <f t="shared" si="72"/>
        <v>0</v>
      </c>
      <c r="N477" s="200">
        <f t="shared" si="73"/>
        <v>21.76</v>
      </c>
      <c r="O477" s="200">
        <f t="shared" si="74"/>
        <v>0</v>
      </c>
      <c r="P477" s="200">
        <f t="shared" si="75"/>
        <v>0</v>
      </c>
      <c r="Q477" s="200">
        <f t="shared" si="76"/>
        <v>0</v>
      </c>
      <c r="R477" s="200">
        <f t="shared" si="77"/>
        <v>0</v>
      </c>
      <c r="S477" s="200">
        <f t="shared" si="78"/>
        <v>0</v>
      </c>
    </row>
    <row r="478" spans="1:19" s="236" customFormat="1" ht="24.95" customHeight="1">
      <c r="A478" s="239"/>
      <c r="B478" s="239" t="s">
        <v>393</v>
      </c>
      <c r="C478" s="240">
        <v>10</v>
      </c>
      <c r="D478" s="239">
        <v>4</v>
      </c>
      <c r="E478" s="203">
        <v>2</v>
      </c>
      <c r="F478" s="241">
        <v>100</v>
      </c>
      <c r="G478" s="234"/>
      <c r="H478" s="234">
        <v>2560</v>
      </c>
      <c r="I478" s="234"/>
      <c r="J478" s="241">
        <v>100</v>
      </c>
      <c r="K478" s="234">
        <v>2</v>
      </c>
      <c r="L478" s="235">
        <f t="shared" si="71"/>
        <v>2.72</v>
      </c>
      <c r="M478" s="200">
        <f t="shared" si="72"/>
        <v>0</v>
      </c>
      <c r="N478" s="200">
        <f t="shared" si="73"/>
        <v>21.76</v>
      </c>
      <c r="O478" s="200">
        <f t="shared" si="74"/>
        <v>0</v>
      </c>
      <c r="P478" s="200">
        <f t="shared" si="75"/>
        <v>0</v>
      </c>
      <c r="Q478" s="200">
        <f t="shared" si="76"/>
        <v>0</v>
      </c>
      <c r="R478" s="200">
        <f t="shared" si="77"/>
        <v>0</v>
      </c>
      <c r="S478" s="200">
        <f t="shared" si="78"/>
        <v>0</v>
      </c>
    </row>
    <row r="479" spans="1:19" s="236" customFormat="1" ht="24.95" customHeight="1">
      <c r="A479" s="239"/>
      <c r="B479" s="239" t="s">
        <v>394</v>
      </c>
      <c r="C479" s="240">
        <v>8</v>
      </c>
      <c r="D479" s="239">
        <v>4</v>
      </c>
      <c r="E479" s="203">
        <f>(H477/200)+1</f>
        <v>13.8</v>
      </c>
      <c r="F479" s="234"/>
      <c r="G479" s="234"/>
      <c r="H479" s="234">
        <v>820</v>
      </c>
      <c r="I479" s="234"/>
      <c r="J479" s="234"/>
      <c r="K479" s="241">
        <v>5</v>
      </c>
      <c r="L479" s="235">
        <f t="shared" si="71"/>
        <v>0.74</v>
      </c>
      <c r="M479" s="200">
        <f t="shared" si="72"/>
        <v>40.847999999999999</v>
      </c>
      <c r="N479" s="200">
        <f t="shared" si="73"/>
        <v>0</v>
      </c>
      <c r="O479" s="200">
        <f t="shared" si="74"/>
        <v>0</v>
      </c>
      <c r="P479" s="200">
        <f t="shared" si="75"/>
        <v>0</v>
      </c>
      <c r="Q479" s="200">
        <f t="shared" si="76"/>
        <v>0</v>
      </c>
      <c r="R479" s="200">
        <f t="shared" si="77"/>
        <v>0</v>
      </c>
      <c r="S479" s="200">
        <f t="shared" si="78"/>
        <v>0</v>
      </c>
    </row>
    <row r="480" spans="1:19" s="236" customFormat="1" ht="24.95" customHeight="1">
      <c r="A480" s="239">
        <v>4</v>
      </c>
      <c r="B480" s="239" t="s">
        <v>392</v>
      </c>
      <c r="C480" s="240">
        <v>10</v>
      </c>
      <c r="D480" s="239">
        <v>1</v>
      </c>
      <c r="E480" s="203">
        <v>2</v>
      </c>
      <c r="F480" s="241">
        <v>100</v>
      </c>
      <c r="G480" s="234"/>
      <c r="H480" s="234">
        <v>4660</v>
      </c>
      <c r="I480" s="234"/>
      <c r="J480" s="241">
        <v>100</v>
      </c>
      <c r="K480" s="234">
        <v>2</v>
      </c>
      <c r="L480" s="235">
        <f t="shared" si="71"/>
        <v>4.82</v>
      </c>
      <c r="M480" s="200">
        <f t="shared" si="72"/>
        <v>0</v>
      </c>
      <c r="N480" s="200">
        <f t="shared" si="73"/>
        <v>9.64</v>
      </c>
      <c r="O480" s="200">
        <f t="shared" si="74"/>
        <v>0</v>
      </c>
      <c r="P480" s="200">
        <f t="shared" si="75"/>
        <v>0</v>
      </c>
      <c r="Q480" s="200">
        <f t="shared" si="76"/>
        <v>0</v>
      </c>
      <c r="R480" s="200">
        <f t="shared" si="77"/>
        <v>0</v>
      </c>
      <c r="S480" s="200">
        <f t="shared" si="78"/>
        <v>0</v>
      </c>
    </row>
    <row r="481" spans="1:19" s="236" customFormat="1" ht="24.95" customHeight="1">
      <c r="A481" s="239"/>
      <c r="B481" s="239" t="s">
        <v>393</v>
      </c>
      <c r="C481" s="240">
        <v>10</v>
      </c>
      <c r="D481" s="239">
        <v>1</v>
      </c>
      <c r="E481" s="203">
        <v>2</v>
      </c>
      <c r="F481" s="241">
        <v>100</v>
      </c>
      <c r="G481" s="234"/>
      <c r="H481" s="234">
        <v>4660</v>
      </c>
      <c r="I481" s="234"/>
      <c r="J481" s="241">
        <v>100</v>
      </c>
      <c r="K481" s="234">
        <v>2</v>
      </c>
      <c r="L481" s="235">
        <f t="shared" si="71"/>
        <v>4.82</v>
      </c>
      <c r="M481" s="200">
        <f t="shared" si="72"/>
        <v>0</v>
      </c>
      <c r="N481" s="200">
        <f t="shared" si="73"/>
        <v>9.64</v>
      </c>
      <c r="O481" s="200">
        <f t="shared" si="74"/>
        <v>0</v>
      </c>
      <c r="P481" s="200">
        <f t="shared" si="75"/>
        <v>0</v>
      </c>
      <c r="Q481" s="200">
        <f t="shared" si="76"/>
        <v>0</v>
      </c>
      <c r="R481" s="200">
        <f t="shared" si="77"/>
        <v>0</v>
      </c>
      <c r="S481" s="200">
        <f t="shared" si="78"/>
        <v>0</v>
      </c>
    </row>
    <row r="482" spans="1:19" s="236" customFormat="1" ht="24.95" customHeight="1">
      <c r="A482" s="239"/>
      <c r="B482" s="239" t="s">
        <v>394</v>
      </c>
      <c r="C482" s="240">
        <v>8</v>
      </c>
      <c r="D482" s="239">
        <v>1</v>
      </c>
      <c r="E482" s="203">
        <f>(H480/200)+1</f>
        <v>24.3</v>
      </c>
      <c r="F482" s="234"/>
      <c r="G482" s="234"/>
      <c r="H482" s="234">
        <v>820</v>
      </c>
      <c r="I482" s="234"/>
      <c r="J482" s="234"/>
      <c r="K482" s="241">
        <v>5</v>
      </c>
      <c r="L482" s="235">
        <f t="shared" si="71"/>
        <v>0.74</v>
      </c>
      <c r="M482" s="200">
        <f t="shared" si="72"/>
        <v>17.981999999999999</v>
      </c>
      <c r="N482" s="200">
        <f t="shared" si="73"/>
        <v>0</v>
      </c>
      <c r="O482" s="200">
        <f t="shared" si="74"/>
        <v>0</v>
      </c>
      <c r="P482" s="200">
        <f t="shared" si="75"/>
        <v>0</v>
      </c>
      <c r="Q482" s="200">
        <f t="shared" si="76"/>
        <v>0</v>
      </c>
      <c r="R482" s="200">
        <f t="shared" si="77"/>
        <v>0</v>
      </c>
      <c r="S482" s="200">
        <f t="shared" si="78"/>
        <v>0</v>
      </c>
    </row>
    <row r="483" spans="1:19" s="247" customFormat="1" ht="24.95" customHeight="1">
      <c r="A483" s="242">
        <v>5</v>
      </c>
      <c r="B483" s="242" t="s">
        <v>392</v>
      </c>
      <c r="C483" s="243">
        <v>10</v>
      </c>
      <c r="D483" s="242">
        <f t="shared" ref="D483:D485" si="79">1*0</f>
        <v>0</v>
      </c>
      <c r="E483" s="244">
        <v>2</v>
      </c>
      <c r="F483" s="245">
        <v>100</v>
      </c>
      <c r="G483" s="246"/>
      <c r="H483" s="246">
        <v>1925</v>
      </c>
      <c r="I483" s="246"/>
      <c r="J483" s="245">
        <v>100</v>
      </c>
      <c r="K483" s="246">
        <v>2</v>
      </c>
      <c r="L483" s="235">
        <f t="shared" si="71"/>
        <v>2.085</v>
      </c>
      <c r="M483" s="200">
        <f t="shared" si="72"/>
        <v>0</v>
      </c>
      <c r="N483" s="200">
        <f t="shared" si="73"/>
        <v>0</v>
      </c>
      <c r="O483" s="200">
        <f t="shared" si="74"/>
        <v>0</v>
      </c>
      <c r="P483" s="200">
        <f t="shared" si="75"/>
        <v>0</v>
      </c>
      <c r="Q483" s="200">
        <f t="shared" si="76"/>
        <v>0</v>
      </c>
      <c r="R483" s="200">
        <f t="shared" si="77"/>
        <v>0</v>
      </c>
      <c r="S483" s="200">
        <f t="shared" si="78"/>
        <v>0</v>
      </c>
    </row>
    <row r="484" spans="1:19" s="247" customFormat="1" ht="24.95" customHeight="1">
      <c r="A484" s="242"/>
      <c r="B484" s="242" t="s">
        <v>393</v>
      </c>
      <c r="C484" s="243">
        <v>10</v>
      </c>
      <c r="D484" s="242">
        <f t="shared" si="79"/>
        <v>0</v>
      </c>
      <c r="E484" s="244">
        <v>2</v>
      </c>
      <c r="F484" s="245">
        <v>100</v>
      </c>
      <c r="G484" s="246"/>
      <c r="H484" s="246">
        <v>1925</v>
      </c>
      <c r="I484" s="246"/>
      <c r="J484" s="245">
        <v>100</v>
      </c>
      <c r="K484" s="246">
        <v>2</v>
      </c>
      <c r="L484" s="235">
        <f t="shared" si="71"/>
        <v>2.085</v>
      </c>
      <c r="M484" s="200">
        <f t="shared" si="72"/>
        <v>0</v>
      </c>
      <c r="N484" s="200">
        <f t="shared" si="73"/>
        <v>0</v>
      </c>
      <c r="O484" s="200">
        <f t="shared" si="74"/>
        <v>0</v>
      </c>
      <c r="P484" s="200">
        <f t="shared" si="75"/>
        <v>0</v>
      </c>
      <c r="Q484" s="200">
        <f t="shared" si="76"/>
        <v>0</v>
      </c>
      <c r="R484" s="200">
        <f t="shared" si="77"/>
        <v>0</v>
      </c>
      <c r="S484" s="200">
        <f t="shared" si="78"/>
        <v>0</v>
      </c>
    </row>
    <row r="485" spans="1:19" s="247" customFormat="1" ht="24.95" customHeight="1">
      <c r="A485" s="242"/>
      <c r="B485" s="242" t="s">
        <v>394</v>
      </c>
      <c r="C485" s="243">
        <v>8</v>
      </c>
      <c r="D485" s="242">
        <f t="shared" si="79"/>
        <v>0</v>
      </c>
      <c r="E485" s="244">
        <f>(H483/200)+1</f>
        <v>10.625</v>
      </c>
      <c r="F485" s="246"/>
      <c r="G485" s="246"/>
      <c r="H485" s="246">
        <v>820</v>
      </c>
      <c r="I485" s="246"/>
      <c r="J485" s="246"/>
      <c r="K485" s="245">
        <v>5</v>
      </c>
      <c r="L485" s="235">
        <f t="shared" si="71"/>
        <v>0.74</v>
      </c>
      <c r="M485" s="200">
        <f t="shared" si="72"/>
        <v>0</v>
      </c>
      <c r="N485" s="200">
        <f t="shared" si="73"/>
        <v>0</v>
      </c>
      <c r="O485" s="200">
        <f t="shared" si="74"/>
        <v>0</v>
      </c>
      <c r="P485" s="200">
        <f t="shared" si="75"/>
        <v>0</v>
      </c>
      <c r="Q485" s="200">
        <f t="shared" si="76"/>
        <v>0</v>
      </c>
      <c r="R485" s="200">
        <f t="shared" si="77"/>
        <v>0</v>
      </c>
      <c r="S485" s="200">
        <f t="shared" si="78"/>
        <v>0</v>
      </c>
    </row>
    <row r="486" spans="1:19" s="236" customFormat="1" ht="24.95" customHeight="1">
      <c r="A486" s="239">
        <v>6</v>
      </c>
      <c r="B486" s="239" t="s">
        <v>392</v>
      </c>
      <c r="C486" s="240">
        <v>10</v>
      </c>
      <c r="D486" s="239">
        <v>2</v>
      </c>
      <c r="E486" s="203">
        <v>2</v>
      </c>
      <c r="F486" s="241">
        <v>100</v>
      </c>
      <c r="G486" s="234"/>
      <c r="H486" s="234">
        <v>4360</v>
      </c>
      <c r="I486" s="234"/>
      <c r="J486" s="241">
        <v>100</v>
      </c>
      <c r="K486" s="234">
        <v>2</v>
      </c>
      <c r="L486" s="235">
        <f t="shared" si="71"/>
        <v>4.5199999999999996</v>
      </c>
      <c r="M486" s="200">
        <f t="shared" si="72"/>
        <v>0</v>
      </c>
      <c r="N486" s="200">
        <f t="shared" si="73"/>
        <v>18.079999999999998</v>
      </c>
      <c r="O486" s="200">
        <f t="shared" si="74"/>
        <v>0</v>
      </c>
      <c r="P486" s="200">
        <f t="shared" si="75"/>
        <v>0</v>
      </c>
      <c r="Q486" s="200">
        <f t="shared" si="76"/>
        <v>0</v>
      </c>
      <c r="R486" s="200">
        <f t="shared" si="77"/>
        <v>0</v>
      </c>
      <c r="S486" s="200">
        <f t="shared" si="78"/>
        <v>0</v>
      </c>
    </row>
    <row r="487" spans="1:19" s="236" customFormat="1" ht="24.95" customHeight="1">
      <c r="A487" s="239"/>
      <c r="B487" s="239" t="s">
        <v>393</v>
      </c>
      <c r="C487" s="240">
        <v>10</v>
      </c>
      <c r="D487" s="239">
        <v>2</v>
      </c>
      <c r="E487" s="203">
        <v>2</v>
      </c>
      <c r="F487" s="241">
        <v>100</v>
      </c>
      <c r="G487" s="234"/>
      <c r="H487" s="234">
        <v>4360</v>
      </c>
      <c r="I487" s="234"/>
      <c r="J487" s="241">
        <v>100</v>
      </c>
      <c r="K487" s="234">
        <v>2</v>
      </c>
      <c r="L487" s="235">
        <f t="shared" si="71"/>
        <v>4.5199999999999996</v>
      </c>
      <c r="M487" s="200">
        <f t="shared" si="72"/>
        <v>0</v>
      </c>
      <c r="N487" s="200">
        <f t="shared" si="73"/>
        <v>18.079999999999998</v>
      </c>
      <c r="O487" s="200">
        <f t="shared" si="74"/>
        <v>0</v>
      </c>
      <c r="P487" s="200">
        <f t="shared" si="75"/>
        <v>0</v>
      </c>
      <c r="Q487" s="200">
        <f t="shared" si="76"/>
        <v>0</v>
      </c>
      <c r="R487" s="200">
        <f t="shared" si="77"/>
        <v>0</v>
      </c>
      <c r="S487" s="200">
        <f t="shared" si="78"/>
        <v>0</v>
      </c>
    </row>
    <row r="488" spans="1:19" s="236" customFormat="1" ht="24.95" customHeight="1">
      <c r="A488" s="239"/>
      <c r="B488" s="239" t="s">
        <v>394</v>
      </c>
      <c r="C488" s="240">
        <v>8</v>
      </c>
      <c r="D488" s="239">
        <v>2</v>
      </c>
      <c r="E488" s="203">
        <f>(H486/200)+1</f>
        <v>22.8</v>
      </c>
      <c r="F488" s="234"/>
      <c r="G488" s="234"/>
      <c r="H488" s="234">
        <v>820</v>
      </c>
      <c r="I488" s="234"/>
      <c r="J488" s="234"/>
      <c r="K488" s="241">
        <v>5</v>
      </c>
      <c r="L488" s="235">
        <f t="shared" si="71"/>
        <v>0.74</v>
      </c>
      <c r="M488" s="200">
        <f t="shared" si="72"/>
        <v>33.744</v>
      </c>
      <c r="N488" s="200">
        <f t="shared" si="73"/>
        <v>0</v>
      </c>
      <c r="O488" s="200">
        <f t="shared" si="74"/>
        <v>0</v>
      </c>
      <c r="P488" s="200">
        <f t="shared" si="75"/>
        <v>0</v>
      </c>
      <c r="Q488" s="200">
        <f t="shared" si="76"/>
        <v>0</v>
      </c>
      <c r="R488" s="200">
        <f t="shared" si="77"/>
        <v>0</v>
      </c>
      <c r="S488" s="200">
        <f t="shared" si="78"/>
        <v>0</v>
      </c>
    </row>
    <row r="489" spans="1:19" s="247" customFormat="1" ht="24.95" customHeight="1">
      <c r="A489" s="242">
        <v>7</v>
      </c>
      <c r="B489" s="242" t="s">
        <v>392</v>
      </c>
      <c r="C489" s="243">
        <v>10</v>
      </c>
      <c r="D489" s="242">
        <f t="shared" ref="D489:D491" si="80">2*0</f>
        <v>0</v>
      </c>
      <c r="E489" s="244">
        <v>2</v>
      </c>
      <c r="F489" s="245">
        <v>100</v>
      </c>
      <c r="G489" s="246"/>
      <c r="H489" s="246">
        <v>2525</v>
      </c>
      <c r="I489" s="246"/>
      <c r="J489" s="245">
        <v>100</v>
      </c>
      <c r="K489" s="246">
        <v>2</v>
      </c>
      <c r="L489" s="235">
        <f t="shared" si="71"/>
        <v>2.6850000000000001</v>
      </c>
      <c r="M489" s="200">
        <f t="shared" si="72"/>
        <v>0</v>
      </c>
      <c r="N489" s="200">
        <f t="shared" si="73"/>
        <v>0</v>
      </c>
      <c r="O489" s="200">
        <f t="shared" si="74"/>
        <v>0</v>
      </c>
      <c r="P489" s="200">
        <f t="shared" si="75"/>
        <v>0</v>
      </c>
      <c r="Q489" s="200">
        <f t="shared" si="76"/>
        <v>0</v>
      </c>
      <c r="R489" s="200">
        <f t="shared" si="77"/>
        <v>0</v>
      </c>
      <c r="S489" s="200">
        <f t="shared" si="78"/>
        <v>0</v>
      </c>
    </row>
    <row r="490" spans="1:19" s="247" customFormat="1" ht="24.95" customHeight="1">
      <c r="A490" s="242"/>
      <c r="B490" s="242" t="s">
        <v>393</v>
      </c>
      <c r="C490" s="243">
        <v>10</v>
      </c>
      <c r="D490" s="242">
        <f t="shared" si="80"/>
        <v>0</v>
      </c>
      <c r="E490" s="244">
        <v>2</v>
      </c>
      <c r="F490" s="245">
        <v>100</v>
      </c>
      <c r="G490" s="246"/>
      <c r="H490" s="246">
        <v>2525</v>
      </c>
      <c r="I490" s="246"/>
      <c r="J490" s="245">
        <v>100</v>
      </c>
      <c r="K490" s="246">
        <v>2</v>
      </c>
      <c r="L490" s="235">
        <f t="shared" si="71"/>
        <v>2.6850000000000001</v>
      </c>
      <c r="M490" s="200">
        <f t="shared" si="72"/>
        <v>0</v>
      </c>
      <c r="N490" s="200">
        <f t="shared" si="73"/>
        <v>0</v>
      </c>
      <c r="O490" s="200">
        <f t="shared" si="74"/>
        <v>0</v>
      </c>
      <c r="P490" s="200">
        <f t="shared" si="75"/>
        <v>0</v>
      </c>
      <c r="Q490" s="200">
        <f t="shared" si="76"/>
        <v>0</v>
      </c>
      <c r="R490" s="200">
        <f t="shared" si="77"/>
        <v>0</v>
      </c>
      <c r="S490" s="200">
        <f t="shared" si="78"/>
        <v>0</v>
      </c>
    </row>
    <row r="491" spans="1:19" s="247" customFormat="1" ht="24.95" customHeight="1">
      <c r="A491" s="242"/>
      <c r="B491" s="242" t="s">
        <v>394</v>
      </c>
      <c r="C491" s="243">
        <v>8</v>
      </c>
      <c r="D491" s="242">
        <f t="shared" si="80"/>
        <v>0</v>
      </c>
      <c r="E491" s="244">
        <f>(H489/200)+1</f>
        <v>13.625</v>
      </c>
      <c r="F491" s="246"/>
      <c r="G491" s="246"/>
      <c r="H491" s="246">
        <v>820</v>
      </c>
      <c r="I491" s="246"/>
      <c r="J491" s="246"/>
      <c r="K491" s="245">
        <v>5</v>
      </c>
      <c r="L491" s="235">
        <f t="shared" si="71"/>
        <v>0.74</v>
      </c>
      <c r="M491" s="200">
        <f t="shared" si="72"/>
        <v>0</v>
      </c>
      <c r="N491" s="200">
        <f t="shared" si="73"/>
        <v>0</v>
      </c>
      <c r="O491" s="200">
        <f t="shared" si="74"/>
        <v>0</v>
      </c>
      <c r="P491" s="200">
        <f t="shared" si="75"/>
        <v>0</v>
      </c>
      <c r="Q491" s="200">
        <f t="shared" si="76"/>
        <v>0</v>
      </c>
      <c r="R491" s="200">
        <f t="shared" si="77"/>
        <v>0</v>
      </c>
      <c r="S491" s="200">
        <f t="shared" si="78"/>
        <v>0</v>
      </c>
    </row>
    <row r="492" spans="1:19" s="236" customFormat="1" ht="24.95" customHeight="1">
      <c r="A492" s="239">
        <v>8</v>
      </c>
      <c r="B492" s="239" t="s">
        <v>392</v>
      </c>
      <c r="C492" s="240">
        <v>10</v>
      </c>
      <c r="D492" s="239">
        <v>1</v>
      </c>
      <c r="E492" s="203">
        <v>2</v>
      </c>
      <c r="F492" s="241">
        <v>100</v>
      </c>
      <c r="G492" s="234"/>
      <c r="H492" s="234">
        <v>6160</v>
      </c>
      <c r="I492" s="234"/>
      <c r="J492" s="241">
        <v>100</v>
      </c>
      <c r="K492" s="234">
        <v>2</v>
      </c>
      <c r="L492" s="235">
        <f t="shared" si="71"/>
        <v>6.32</v>
      </c>
      <c r="M492" s="200">
        <f t="shared" si="72"/>
        <v>0</v>
      </c>
      <c r="N492" s="200">
        <f t="shared" si="73"/>
        <v>12.64</v>
      </c>
      <c r="O492" s="200">
        <f t="shared" si="74"/>
        <v>0</v>
      </c>
      <c r="P492" s="200">
        <f t="shared" si="75"/>
        <v>0</v>
      </c>
      <c r="Q492" s="200">
        <f t="shared" si="76"/>
        <v>0</v>
      </c>
      <c r="R492" s="200">
        <f t="shared" si="77"/>
        <v>0</v>
      </c>
      <c r="S492" s="200">
        <f t="shared" si="78"/>
        <v>0</v>
      </c>
    </row>
    <row r="493" spans="1:19" s="236" customFormat="1" ht="24.95" customHeight="1">
      <c r="A493" s="239"/>
      <c r="B493" s="239" t="s">
        <v>393</v>
      </c>
      <c r="C493" s="240">
        <v>10</v>
      </c>
      <c r="D493" s="239">
        <v>1</v>
      </c>
      <c r="E493" s="203">
        <v>2</v>
      </c>
      <c r="F493" s="241">
        <v>100</v>
      </c>
      <c r="G493" s="234"/>
      <c r="H493" s="234">
        <v>6160</v>
      </c>
      <c r="I493" s="234"/>
      <c r="J493" s="241">
        <v>100</v>
      </c>
      <c r="K493" s="234">
        <v>2</v>
      </c>
      <c r="L493" s="235">
        <f t="shared" si="71"/>
        <v>6.32</v>
      </c>
      <c r="M493" s="200">
        <f t="shared" si="72"/>
        <v>0</v>
      </c>
      <c r="N493" s="200">
        <f t="shared" si="73"/>
        <v>12.64</v>
      </c>
      <c r="O493" s="200">
        <f t="shared" si="74"/>
        <v>0</v>
      </c>
      <c r="P493" s="200">
        <f t="shared" si="75"/>
        <v>0</v>
      </c>
      <c r="Q493" s="200">
        <f t="shared" si="76"/>
        <v>0</v>
      </c>
      <c r="R493" s="200">
        <f t="shared" si="77"/>
        <v>0</v>
      </c>
      <c r="S493" s="200">
        <f t="shared" si="78"/>
        <v>0</v>
      </c>
    </row>
    <row r="494" spans="1:19" s="236" customFormat="1" ht="24.95" customHeight="1">
      <c r="A494" s="239"/>
      <c r="B494" s="239" t="s">
        <v>394</v>
      </c>
      <c r="C494" s="240">
        <v>8</v>
      </c>
      <c r="D494" s="239">
        <v>1</v>
      </c>
      <c r="E494" s="203">
        <f>(H492/200)+1</f>
        <v>31.8</v>
      </c>
      <c r="F494" s="234"/>
      <c r="G494" s="234"/>
      <c r="H494" s="234">
        <v>820</v>
      </c>
      <c r="I494" s="234"/>
      <c r="J494" s="234"/>
      <c r="K494" s="241">
        <v>5</v>
      </c>
      <c r="L494" s="235">
        <f t="shared" si="71"/>
        <v>0.74</v>
      </c>
      <c r="M494" s="200">
        <f t="shared" si="72"/>
        <v>23.532</v>
      </c>
      <c r="N494" s="200">
        <f t="shared" si="73"/>
        <v>0</v>
      </c>
      <c r="O494" s="200">
        <f t="shared" si="74"/>
        <v>0</v>
      </c>
      <c r="P494" s="200">
        <f t="shared" si="75"/>
        <v>0</v>
      </c>
      <c r="Q494" s="200">
        <f t="shared" si="76"/>
        <v>0</v>
      </c>
      <c r="R494" s="200">
        <f t="shared" si="77"/>
        <v>0</v>
      </c>
      <c r="S494" s="200">
        <f t="shared" si="78"/>
        <v>0</v>
      </c>
    </row>
    <row r="495" spans="1:19" s="236" customFormat="1" ht="24.95" customHeight="1">
      <c r="A495" s="239">
        <v>9</v>
      </c>
      <c r="B495" s="239" t="s">
        <v>392</v>
      </c>
      <c r="C495" s="240">
        <v>10</v>
      </c>
      <c r="D495" s="239">
        <v>1</v>
      </c>
      <c r="E495" s="203">
        <v>2</v>
      </c>
      <c r="F495" s="241">
        <v>100</v>
      </c>
      <c r="G495" s="234"/>
      <c r="H495" s="234">
        <v>1680</v>
      </c>
      <c r="I495" s="234"/>
      <c r="J495" s="241">
        <v>100</v>
      </c>
      <c r="K495" s="234">
        <v>2</v>
      </c>
      <c r="L495" s="235">
        <f t="shared" si="71"/>
        <v>1.84</v>
      </c>
      <c r="M495" s="200">
        <f t="shared" si="72"/>
        <v>0</v>
      </c>
      <c r="N495" s="200">
        <f t="shared" si="73"/>
        <v>3.68</v>
      </c>
      <c r="O495" s="200">
        <f t="shared" si="74"/>
        <v>0</v>
      </c>
      <c r="P495" s="200">
        <f t="shared" si="75"/>
        <v>0</v>
      </c>
      <c r="Q495" s="200">
        <f t="shared" si="76"/>
        <v>0</v>
      </c>
      <c r="R495" s="200">
        <f t="shared" si="77"/>
        <v>0</v>
      </c>
      <c r="S495" s="200">
        <f t="shared" si="78"/>
        <v>0</v>
      </c>
    </row>
    <row r="496" spans="1:19" s="236" customFormat="1" ht="24.95" customHeight="1">
      <c r="A496" s="239"/>
      <c r="B496" s="239" t="s">
        <v>393</v>
      </c>
      <c r="C496" s="240">
        <v>10</v>
      </c>
      <c r="D496" s="239">
        <v>1</v>
      </c>
      <c r="E496" s="203">
        <v>2</v>
      </c>
      <c r="F496" s="241">
        <v>100</v>
      </c>
      <c r="G496" s="234"/>
      <c r="H496" s="234">
        <v>1680</v>
      </c>
      <c r="I496" s="234"/>
      <c r="J496" s="241">
        <v>100</v>
      </c>
      <c r="K496" s="234">
        <v>2</v>
      </c>
      <c r="L496" s="235">
        <f t="shared" si="71"/>
        <v>1.84</v>
      </c>
      <c r="M496" s="200">
        <f t="shared" si="72"/>
        <v>0</v>
      </c>
      <c r="N496" s="200">
        <f t="shared" si="73"/>
        <v>3.68</v>
      </c>
      <c r="O496" s="200">
        <f t="shared" si="74"/>
        <v>0</v>
      </c>
      <c r="P496" s="200">
        <f t="shared" si="75"/>
        <v>0</v>
      </c>
      <c r="Q496" s="200">
        <f t="shared" si="76"/>
        <v>0</v>
      </c>
      <c r="R496" s="200">
        <f t="shared" si="77"/>
        <v>0</v>
      </c>
      <c r="S496" s="200">
        <f t="shared" si="78"/>
        <v>0</v>
      </c>
    </row>
    <row r="497" spans="1:19" s="236" customFormat="1" ht="24.95" customHeight="1">
      <c r="A497" s="239"/>
      <c r="B497" s="239" t="s">
        <v>394</v>
      </c>
      <c r="C497" s="240">
        <v>8</v>
      </c>
      <c r="D497" s="239">
        <v>1</v>
      </c>
      <c r="E497" s="203">
        <f>(H495/200)+1</f>
        <v>9.4</v>
      </c>
      <c r="F497" s="234"/>
      <c r="G497" s="234"/>
      <c r="H497" s="234">
        <v>820</v>
      </c>
      <c r="I497" s="234"/>
      <c r="J497" s="234"/>
      <c r="K497" s="241">
        <v>5</v>
      </c>
      <c r="L497" s="235">
        <f t="shared" si="71"/>
        <v>0.74</v>
      </c>
      <c r="M497" s="200">
        <f t="shared" si="72"/>
        <v>6.9560000000000004</v>
      </c>
      <c r="N497" s="200">
        <f t="shared" si="73"/>
        <v>0</v>
      </c>
      <c r="O497" s="200">
        <f t="shared" si="74"/>
        <v>0</v>
      </c>
      <c r="P497" s="200">
        <f t="shared" si="75"/>
        <v>0</v>
      </c>
      <c r="Q497" s="200">
        <f t="shared" si="76"/>
        <v>0</v>
      </c>
      <c r="R497" s="200">
        <f t="shared" si="77"/>
        <v>0</v>
      </c>
      <c r="S497" s="200">
        <f t="shared" si="78"/>
        <v>0</v>
      </c>
    </row>
    <row r="498" spans="1:19" s="236" customFormat="1" ht="24.95" customHeight="1">
      <c r="A498" s="239">
        <v>10</v>
      </c>
      <c r="B498" s="239" t="s">
        <v>392</v>
      </c>
      <c r="C498" s="240">
        <v>10</v>
      </c>
      <c r="D498" s="239">
        <v>1</v>
      </c>
      <c r="E498" s="203">
        <v>2</v>
      </c>
      <c r="F498" s="241">
        <v>100</v>
      </c>
      <c r="G498" s="234"/>
      <c r="H498" s="234">
        <v>4625</v>
      </c>
      <c r="I498" s="234"/>
      <c r="J498" s="241">
        <v>100</v>
      </c>
      <c r="K498" s="234">
        <v>2</v>
      </c>
      <c r="L498" s="235">
        <f t="shared" si="71"/>
        <v>4.7850000000000001</v>
      </c>
      <c r="M498" s="200">
        <f t="shared" si="72"/>
        <v>0</v>
      </c>
      <c r="N498" s="200">
        <f t="shared" si="73"/>
        <v>9.57</v>
      </c>
      <c r="O498" s="200">
        <f t="shared" si="74"/>
        <v>0</v>
      </c>
      <c r="P498" s="200">
        <f t="shared" si="75"/>
        <v>0</v>
      </c>
      <c r="Q498" s="200">
        <f t="shared" si="76"/>
        <v>0</v>
      </c>
      <c r="R498" s="200">
        <f t="shared" si="77"/>
        <v>0</v>
      </c>
      <c r="S498" s="200">
        <f t="shared" si="78"/>
        <v>0</v>
      </c>
    </row>
    <row r="499" spans="1:19" s="236" customFormat="1" ht="24.95" customHeight="1">
      <c r="A499" s="239"/>
      <c r="B499" s="239" t="s">
        <v>393</v>
      </c>
      <c r="C499" s="240">
        <v>10</v>
      </c>
      <c r="D499" s="239">
        <v>1</v>
      </c>
      <c r="E499" s="203">
        <v>2</v>
      </c>
      <c r="F499" s="241">
        <v>100</v>
      </c>
      <c r="G499" s="234"/>
      <c r="H499" s="234">
        <v>4625</v>
      </c>
      <c r="I499" s="234"/>
      <c r="J499" s="241">
        <v>100</v>
      </c>
      <c r="K499" s="234">
        <v>2</v>
      </c>
      <c r="L499" s="235">
        <f t="shared" si="71"/>
        <v>4.7850000000000001</v>
      </c>
      <c r="M499" s="200">
        <f t="shared" si="72"/>
        <v>0</v>
      </c>
      <c r="N499" s="200">
        <f t="shared" si="73"/>
        <v>9.57</v>
      </c>
      <c r="O499" s="200">
        <f t="shared" si="74"/>
        <v>0</v>
      </c>
      <c r="P499" s="200">
        <f t="shared" si="75"/>
        <v>0</v>
      </c>
      <c r="Q499" s="200">
        <f t="shared" si="76"/>
        <v>0</v>
      </c>
      <c r="R499" s="200">
        <f t="shared" si="77"/>
        <v>0</v>
      </c>
      <c r="S499" s="200">
        <f t="shared" si="78"/>
        <v>0</v>
      </c>
    </row>
    <row r="500" spans="1:19" s="236" customFormat="1" ht="24.95" customHeight="1">
      <c r="A500" s="239"/>
      <c r="B500" s="239" t="s">
        <v>394</v>
      </c>
      <c r="C500" s="240">
        <v>8</v>
      </c>
      <c r="D500" s="239">
        <v>1</v>
      </c>
      <c r="E500" s="203">
        <f>(H498/200)+1</f>
        <v>24.125</v>
      </c>
      <c r="F500" s="234"/>
      <c r="G500" s="234"/>
      <c r="H500" s="234">
        <v>820</v>
      </c>
      <c r="I500" s="234"/>
      <c r="J500" s="234"/>
      <c r="K500" s="241">
        <v>5</v>
      </c>
      <c r="L500" s="235">
        <f t="shared" si="71"/>
        <v>0.74</v>
      </c>
      <c r="M500" s="200">
        <f t="shared" si="72"/>
        <v>17.852499999999999</v>
      </c>
      <c r="N500" s="200">
        <f t="shared" si="73"/>
        <v>0</v>
      </c>
      <c r="O500" s="200">
        <f t="shared" si="74"/>
        <v>0</v>
      </c>
      <c r="P500" s="200">
        <f t="shared" si="75"/>
        <v>0</v>
      </c>
      <c r="Q500" s="200">
        <f t="shared" si="76"/>
        <v>0</v>
      </c>
      <c r="R500" s="200">
        <f t="shared" si="77"/>
        <v>0</v>
      </c>
      <c r="S500" s="200">
        <f t="shared" si="78"/>
        <v>0</v>
      </c>
    </row>
    <row r="501" spans="1:19" s="236" customFormat="1" ht="24.95" customHeight="1">
      <c r="A501" s="239">
        <v>11</v>
      </c>
      <c r="B501" s="239" t="s">
        <v>392</v>
      </c>
      <c r="C501" s="240">
        <v>10</v>
      </c>
      <c r="D501" s="239">
        <v>1</v>
      </c>
      <c r="E501" s="203">
        <v>2</v>
      </c>
      <c r="F501" s="241">
        <v>100</v>
      </c>
      <c r="G501" s="234"/>
      <c r="H501" s="241">
        <v>11090</v>
      </c>
      <c r="I501" s="234"/>
      <c r="J501" s="241">
        <v>100</v>
      </c>
      <c r="K501" s="234">
        <v>2</v>
      </c>
      <c r="L501" s="235">
        <f t="shared" si="71"/>
        <v>11.25</v>
      </c>
      <c r="M501" s="200">
        <f t="shared" si="72"/>
        <v>0</v>
      </c>
      <c r="N501" s="200">
        <f t="shared" si="73"/>
        <v>22.5</v>
      </c>
      <c r="O501" s="200">
        <f t="shared" si="74"/>
        <v>0</v>
      </c>
      <c r="P501" s="200">
        <f t="shared" si="75"/>
        <v>0</v>
      </c>
      <c r="Q501" s="200">
        <f t="shared" si="76"/>
        <v>0</v>
      </c>
      <c r="R501" s="200">
        <f t="shared" si="77"/>
        <v>0</v>
      </c>
      <c r="S501" s="200">
        <f t="shared" si="78"/>
        <v>0</v>
      </c>
    </row>
    <row r="502" spans="1:19" s="236" customFormat="1" ht="24.95" customHeight="1">
      <c r="A502" s="239"/>
      <c r="B502" s="239" t="s">
        <v>393</v>
      </c>
      <c r="C502" s="240">
        <v>10</v>
      </c>
      <c r="D502" s="239">
        <v>1</v>
      </c>
      <c r="E502" s="203">
        <v>2</v>
      </c>
      <c r="F502" s="241">
        <v>100</v>
      </c>
      <c r="G502" s="234"/>
      <c r="H502" s="241">
        <v>11090</v>
      </c>
      <c r="I502" s="234"/>
      <c r="J502" s="241">
        <v>100</v>
      </c>
      <c r="K502" s="234">
        <v>2</v>
      </c>
      <c r="L502" s="235">
        <f t="shared" si="71"/>
        <v>11.25</v>
      </c>
      <c r="M502" s="200">
        <f t="shared" si="72"/>
        <v>0</v>
      </c>
      <c r="N502" s="200">
        <f t="shared" si="73"/>
        <v>22.5</v>
      </c>
      <c r="O502" s="200">
        <f t="shared" si="74"/>
        <v>0</v>
      </c>
      <c r="P502" s="200">
        <f t="shared" si="75"/>
        <v>0</v>
      </c>
      <c r="Q502" s="200">
        <f t="shared" si="76"/>
        <v>0</v>
      </c>
      <c r="R502" s="200">
        <f t="shared" si="77"/>
        <v>0</v>
      </c>
      <c r="S502" s="200">
        <f t="shared" si="78"/>
        <v>0</v>
      </c>
    </row>
    <row r="503" spans="1:19" s="236" customFormat="1" ht="24.95" customHeight="1">
      <c r="A503" s="239"/>
      <c r="B503" s="239" t="s">
        <v>394</v>
      </c>
      <c r="C503" s="240">
        <v>8</v>
      </c>
      <c r="D503" s="239">
        <v>1</v>
      </c>
      <c r="E503" s="249">
        <f>(H501/200)+1</f>
        <v>56.45</v>
      </c>
      <c r="F503" s="234"/>
      <c r="G503" s="234"/>
      <c r="H503" s="234">
        <v>820</v>
      </c>
      <c r="I503" s="234"/>
      <c r="J503" s="234"/>
      <c r="K503" s="241">
        <v>5</v>
      </c>
      <c r="L503" s="235">
        <f t="shared" si="71"/>
        <v>0.74</v>
      </c>
      <c r="M503" s="200">
        <f t="shared" si="72"/>
        <v>41.773000000000003</v>
      </c>
      <c r="N503" s="200">
        <f t="shared" si="73"/>
        <v>0</v>
      </c>
      <c r="O503" s="200">
        <f t="shared" si="74"/>
        <v>0</v>
      </c>
      <c r="P503" s="200">
        <f t="shared" si="75"/>
        <v>0</v>
      </c>
      <c r="Q503" s="200">
        <f t="shared" si="76"/>
        <v>0</v>
      </c>
      <c r="R503" s="200">
        <f t="shared" si="77"/>
        <v>0</v>
      </c>
      <c r="S503" s="200">
        <f t="shared" si="78"/>
        <v>0</v>
      </c>
    </row>
    <row r="504" spans="1:19" s="236" customFormat="1" ht="24.95" customHeight="1">
      <c r="A504" s="207">
        <v>12</v>
      </c>
      <c r="B504" s="208" t="s">
        <v>399</v>
      </c>
      <c r="C504" s="240">
        <v>12</v>
      </c>
      <c r="D504" s="239">
        <v>4</v>
      </c>
      <c r="E504" s="203">
        <v>3</v>
      </c>
      <c r="F504" s="241">
        <v>100</v>
      </c>
      <c r="G504" s="234"/>
      <c r="H504" s="234">
        <v>2950</v>
      </c>
      <c r="I504" s="234"/>
      <c r="J504" s="241">
        <v>100</v>
      </c>
      <c r="K504" s="234">
        <v>2</v>
      </c>
      <c r="L504" s="235">
        <f t="shared" si="71"/>
        <v>3.1019999999999999</v>
      </c>
      <c r="M504" s="200">
        <f t="shared" si="72"/>
        <v>0</v>
      </c>
      <c r="N504" s="200">
        <f t="shared" si="73"/>
        <v>0</v>
      </c>
      <c r="O504" s="200">
        <f t="shared" si="74"/>
        <v>37.223999999999997</v>
      </c>
      <c r="P504" s="200">
        <f t="shared" si="75"/>
        <v>0</v>
      </c>
      <c r="Q504" s="200">
        <f t="shared" si="76"/>
        <v>0</v>
      </c>
      <c r="R504" s="200">
        <f t="shared" si="77"/>
        <v>0</v>
      </c>
      <c r="S504" s="200">
        <f t="shared" si="78"/>
        <v>0</v>
      </c>
    </row>
    <row r="505" spans="1:19" s="236" customFormat="1" ht="24.95" customHeight="1">
      <c r="A505" s="239"/>
      <c r="B505" s="239" t="s">
        <v>393</v>
      </c>
      <c r="C505" s="240">
        <v>12</v>
      </c>
      <c r="D505" s="239">
        <v>4</v>
      </c>
      <c r="E505" s="203">
        <v>3</v>
      </c>
      <c r="F505" s="241">
        <v>100</v>
      </c>
      <c r="G505" s="234"/>
      <c r="H505" s="234">
        <v>2950</v>
      </c>
      <c r="I505" s="234"/>
      <c r="J505" s="241">
        <v>100</v>
      </c>
      <c r="K505" s="234">
        <v>2</v>
      </c>
      <c r="L505" s="235">
        <f t="shared" si="71"/>
        <v>3.1019999999999999</v>
      </c>
      <c r="M505" s="200">
        <f t="shared" si="72"/>
        <v>0</v>
      </c>
      <c r="N505" s="200">
        <f t="shared" si="73"/>
        <v>0</v>
      </c>
      <c r="O505" s="200">
        <f t="shared" si="74"/>
        <v>37.223999999999997</v>
      </c>
      <c r="P505" s="200">
        <f t="shared" si="75"/>
        <v>0</v>
      </c>
      <c r="Q505" s="200">
        <f t="shared" si="76"/>
        <v>0</v>
      </c>
      <c r="R505" s="200">
        <f t="shared" si="77"/>
        <v>0</v>
      </c>
      <c r="S505" s="200">
        <f t="shared" si="78"/>
        <v>0</v>
      </c>
    </row>
    <row r="506" spans="1:19" s="236" customFormat="1" ht="24.95" customHeight="1">
      <c r="A506" s="239"/>
      <c r="B506" s="239" t="s">
        <v>400</v>
      </c>
      <c r="C506" s="240">
        <v>8</v>
      </c>
      <c r="D506" s="239">
        <v>4</v>
      </c>
      <c r="E506" s="203">
        <f>(H504/200)+1</f>
        <v>15.75</v>
      </c>
      <c r="F506" s="234"/>
      <c r="G506" s="234"/>
      <c r="H506" s="234">
        <v>1280</v>
      </c>
      <c r="I506" s="234"/>
      <c r="J506" s="234"/>
      <c r="K506" s="241">
        <v>5</v>
      </c>
      <c r="L506" s="235">
        <f t="shared" si="71"/>
        <v>1.2</v>
      </c>
      <c r="M506" s="200">
        <f t="shared" si="72"/>
        <v>75.599999999999994</v>
      </c>
      <c r="N506" s="200">
        <f t="shared" si="73"/>
        <v>0</v>
      </c>
      <c r="O506" s="200">
        <f t="shared" si="74"/>
        <v>0</v>
      </c>
      <c r="P506" s="200">
        <f t="shared" si="75"/>
        <v>0</v>
      </c>
      <c r="Q506" s="200">
        <f t="shared" si="76"/>
        <v>0</v>
      </c>
      <c r="R506" s="200">
        <f t="shared" si="77"/>
        <v>0</v>
      </c>
      <c r="S506" s="200">
        <f t="shared" si="78"/>
        <v>0</v>
      </c>
    </row>
    <row r="507" spans="1:19" s="236" customFormat="1" ht="24.95" customHeight="1">
      <c r="A507" s="205" t="s">
        <v>426</v>
      </c>
      <c r="B507" s="206" t="s">
        <v>396</v>
      </c>
      <c r="C507" s="240"/>
      <c r="D507" s="239"/>
      <c r="E507" s="203"/>
      <c r="F507" s="234"/>
      <c r="G507" s="234"/>
      <c r="H507" s="234"/>
      <c r="I507" s="234"/>
      <c r="J507" s="234"/>
      <c r="K507" s="234"/>
      <c r="L507" s="235">
        <f t="shared" si="71"/>
        <v>0</v>
      </c>
      <c r="M507" s="200">
        <f t="shared" si="72"/>
        <v>0</v>
      </c>
      <c r="N507" s="200">
        <f t="shared" si="73"/>
        <v>0</v>
      </c>
      <c r="O507" s="200">
        <f t="shared" si="74"/>
        <v>0</v>
      </c>
      <c r="P507" s="200">
        <f t="shared" si="75"/>
        <v>0</v>
      </c>
      <c r="Q507" s="200">
        <f t="shared" si="76"/>
        <v>0</v>
      </c>
      <c r="R507" s="200">
        <f t="shared" si="77"/>
        <v>0</v>
      </c>
      <c r="S507" s="200">
        <f t="shared" si="78"/>
        <v>0</v>
      </c>
    </row>
    <row r="508" spans="1:19" s="236" customFormat="1" ht="24.95" customHeight="1">
      <c r="A508" s="239">
        <v>1</v>
      </c>
      <c r="B508" s="239" t="s">
        <v>392</v>
      </c>
      <c r="C508" s="240">
        <v>10</v>
      </c>
      <c r="D508" s="239">
        <v>2</v>
      </c>
      <c r="E508" s="203">
        <v>2</v>
      </c>
      <c r="F508" s="241">
        <v>100</v>
      </c>
      <c r="G508" s="234"/>
      <c r="H508" s="241">
        <v>1025</v>
      </c>
      <c r="I508" s="234"/>
      <c r="J508" s="241">
        <v>100</v>
      </c>
      <c r="K508" s="234">
        <v>2</v>
      </c>
      <c r="L508" s="235">
        <f t="shared" si="71"/>
        <v>1.1850000000000001</v>
      </c>
      <c r="M508" s="200">
        <f t="shared" si="72"/>
        <v>0</v>
      </c>
      <c r="N508" s="200">
        <f t="shared" si="73"/>
        <v>4.74</v>
      </c>
      <c r="O508" s="200">
        <f t="shared" si="74"/>
        <v>0</v>
      </c>
      <c r="P508" s="200">
        <f t="shared" si="75"/>
        <v>0</v>
      </c>
      <c r="Q508" s="200">
        <f t="shared" si="76"/>
        <v>0</v>
      </c>
      <c r="R508" s="200">
        <f t="shared" si="77"/>
        <v>0</v>
      </c>
      <c r="S508" s="200">
        <f t="shared" si="78"/>
        <v>0</v>
      </c>
    </row>
    <row r="509" spans="1:19" s="236" customFormat="1" ht="24.95" customHeight="1">
      <c r="A509" s="239"/>
      <c r="B509" s="239" t="s">
        <v>393</v>
      </c>
      <c r="C509" s="240">
        <v>10</v>
      </c>
      <c r="D509" s="239">
        <v>2</v>
      </c>
      <c r="E509" s="203">
        <v>2</v>
      </c>
      <c r="F509" s="241">
        <v>100</v>
      </c>
      <c r="G509" s="234"/>
      <c r="H509" s="241">
        <v>1025</v>
      </c>
      <c r="I509" s="234"/>
      <c r="J509" s="241">
        <v>100</v>
      </c>
      <c r="K509" s="234">
        <v>2</v>
      </c>
      <c r="L509" s="235">
        <f t="shared" si="71"/>
        <v>1.1850000000000001</v>
      </c>
      <c r="M509" s="200">
        <f t="shared" si="72"/>
        <v>0</v>
      </c>
      <c r="N509" s="200">
        <f t="shared" si="73"/>
        <v>4.74</v>
      </c>
      <c r="O509" s="200">
        <f t="shared" si="74"/>
        <v>0</v>
      </c>
      <c r="P509" s="200">
        <f t="shared" si="75"/>
        <v>0</v>
      </c>
      <c r="Q509" s="200">
        <f t="shared" si="76"/>
        <v>0</v>
      </c>
      <c r="R509" s="200">
        <f t="shared" si="77"/>
        <v>0</v>
      </c>
      <c r="S509" s="200">
        <f t="shared" si="78"/>
        <v>0</v>
      </c>
    </row>
    <row r="510" spans="1:19" s="236" customFormat="1" ht="24.95" customHeight="1">
      <c r="A510" s="239"/>
      <c r="B510" s="239" t="s">
        <v>394</v>
      </c>
      <c r="C510" s="240">
        <v>8</v>
      </c>
      <c r="D510" s="239">
        <v>2</v>
      </c>
      <c r="E510" s="203">
        <f>(H508/200)+1</f>
        <v>6.125</v>
      </c>
      <c r="F510" s="234"/>
      <c r="G510" s="234"/>
      <c r="H510" s="234">
        <v>820</v>
      </c>
      <c r="I510" s="234"/>
      <c r="J510" s="234"/>
      <c r="K510" s="241">
        <v>5</v>
      </c>
      <c r="L510" s="235">
        <f t="shared" si="71"/>
        <v>0.74</v>
      </c>
      <c r="M510" s="200">
        <f t="shared" si="72"/>
        <v>9.0649999999999995</v>
      </c>
      <c r="N510" s="200">
        <f t="shared" si="73"/>
        <v>0</v>
      </c>
      <c r="O510" s="200">
        <f t="shared" si="74"/>
        <v>0</v>
      </c>
      <c r="P510" s="200">
        <f t="shared" si="75"/>
        <v>0</v>
      </c>
      <c r="Q510" s="200">
        <f t="shared" si="76"/>
        <v>0</v>
      </c>
      <c r="R510" s="200">
        <f t="shared" si="77"/>
        <v>0</v>
      </c>
      <c r="S510" s="200">
        <f t="shared" si="78"/>
        <v>0</v>
      </c>
    </row>
    <row r="511" spans="1:19" s="236" customFormat="1" ht="24.95" customHeight="1">
      <c r="A511" s="239">
        <v>2</v>
      </c>
      <c r="B511" s="239" t="s">
        <v>392</v>
      </c>
      <c r="C511" s="240">
        <v>10</v>
      </c>
      <c r="D511" s="239">
        <v>6</v>
      </c>
      <c r="E511" s="203">
        <v>2</v>
      </c>
      <c r="F511" s="241">
        <v>100</v>
      </c>
      <c r="G511" s="234"/>
      <c r="H511" s="241">
        <v>3770</v>
      </c>
      <c r="I511" s="234"/>
      <c r="J511" s="241">
        <v>100</v>
      </c>
      <c r="K511" s="234">
        <v>2</v>
      </c>
      <c r="L511" s="235">
        <f t="shared" si="71"/>
        <v>3.93</v>
      </c>
      <c r="M511" s="200">
        <f t="shared" si="72"/>
        <v>0</v>
      </c>
      <c r="N511" s="200">
        <f t="shared" si="73"/>
        <v>47.160000000000004</v>
      </c>
      <c r="O511" s="200">
        <f t="shared" si="74"/>
        <v>0</v>
      </c>
      <c r="P511" s="200">
        <f t="shared" si="75"/>
        <v>0</v>
      </c>
      <c r="Q511" s="200">
        <f t="shared" si="76"/>
        <v>0</v>
      </c>
      <c r="R511" s="200">
        <f t="shared" si="77"/>
        <v>0</v>
      </c>
      <c r="S511" s="200">
        <f t="shared" si="78"/>
        <v>0</v>
      </c>
    </row>
    <row r="512" spans="1:19" s="236" customFormat="1" ht="24.95" customHeight="1">
      <c r="A512" s="239"/>
      <c r="B512" s="239" t="s">
        <v>393</v>
      </c>
      <c r="C512" s="240">
        <v>10</v>
      </c>
      <c r="D512" s="239">
        <v>6</v>
      </c>
      <c r="E512" s="203">
        <v>2</v>
      </c>
      <c r="F512" s="241">
        <v>100</v>
      </c>
      <c r="G512" s="234"/>
      <c r="H512" s="241">
        <v>3770</v>
      </c>
      <c r="I512" s="234"/>
      <c r="J512" s="241">
        <v>100</v>
      </c>
      <c r="K512" s="234">
        <v>2</v>
      </c>
      <c r="L512" s="235">
        <f t="shared" si="71"/>
        <v>3.93</v>
      </c>
      <c r="M512" s="200">
        <f t="shared" si="72"/>
        <v>0</v>
      </c>
      <c r="N512" s="200">
        <f t="shared" si="73"/>
        <v>47.160000000000004</v>
      </c>
      <c r="O512" s="200">
        <f t="shared" si="74"/>
        <v>0</v>
      </c>
      <c r="P512" s="200">
        <f t="shared" si="75"/>
        <v>0</v>
      </c>
      <c r="Q512" s="200">
        <f t="shared" si="76"/>
        <v>0</v>
      </c>
      <c r="R512" s="200">
        <f t="shared" si="77"/>
        <v>0</v>
      </c>
      <c r="S512" s="200">
        <f t="shared" si="78"/>
        <v>0</v>
      </c>
    </row>
    <row r="513" spans="1:19" s="236" customFormat="1" ht="24.95" customHeight="1">
      <c r="A513" s="239"/>
      <c r="B513" s="239" t="s">
        <v>394</v>
      </c>
      <c r="C513" s="240">
        <v>8</v>
      </c>
      <c r="D513" s="239">
        <v>6</v>
      </c>
      <c r="E513" s="203">
        <f>(H511/200)+1</f>
        <v>19.850000000000001</v>
      </c>
      <c r="F513" s="234"/>
      <c r="G513" s="234"/>
      <c r="H513" s="234">
        <v>820</v>
      </c>
      <c r="I513" s="234"/>
      <c r="J513" s="234"/>
      <c r="K513" s="241">
        <v>5</v>
      </c>
      <c r="L513" s="235">
        <f t="shared" si="71"/>
        <v>0.74</v>
      </c>
      <c r="M513" s="200">
        <f t="shared" si="72"/>
        <v>88.134</v>
      </c>
      <c r="N513" s="200">
        <f t="shared" si="73"/>
        <v>0</v>
      </c>
      <c r="O513" s="200">
        <f t="shared" si="74"/>
        <v>0</v>
      </c>
      <c r="P513" s="200">
        <f t="shared" si="75"/>
        <v>0</v>
      </c>
      <c r="Q513" s="200">
        <f t="shared" si="76"/>
        <v>0</v>
      </c>
      <c r="R513" s="200">
        <f t="shared" si="77"/>
        <v>0</v>
      </c>
      <c r="S513" s="200">
        <f t="shared" si="78"/>
        <v>0</v>
      </c>
    </row>
    <row r="514" spans="1:19" s="236" customFormat="1" ht="24.95" customHeight="1">
      <c r="A514" s="239">
        <v>3</v>
      </c>
      <c r="B514" s="239" t="s">
        <v>392</v>
      </c>
      <c r="C514" s="240">
        <v>10</v>
      </c>
      <c r="D514" s="239">
        <v>7</v>
      </c>
      <c r="E514" s="203">
        <v>2</v>
      </c>
      <c r="F514" s="241">
        <v>100</v>
      </c>
      <c r="G514" s="234"/>
      <c r="H514" s="234">
        <v>2010</v>
      </c>
      <c r="I514" s="234"/>
      <c r="J514" s="241">
        <v>100</v>
      </c>
      <c r="K514" s="234">
        <v>2</v>
      </c>
      <c r="L514" s="235">
        <f t="shared" si="71"/>
        <v>2.17</v>
      </c>
      <c r="M514" s="200">
        <f t="shared" si="72"/>
        <v>0</v>
      </c>
      <c r="N514" s="200">
        <f t="shared" si="73"/>
        <v>30.38</v>
      </c>
      <c r="O514" s="200">
        <f t="shared" si="74"/>
        <v>0</v>
      </c>
      <c r="P514" s="200">
        <f t="shared" si="75"/>
        <v>0</v>
      </c>
      <c r="Q514" s="200">
        <f t="shared" si="76"/>
        <v>0</v>
      </c>
      <c r="R514" s="200">
        <f t="shared" si="77"/>
        <v>0</v>
      </c>
      <c r="S514" s="200">
        <f t="shared" si="78"/>
        <v>0</v>
      </c>
    </row>
    <row r="515" spans="1:19" s="236" customFormat="1" ht="24.95" customHeight="1">
      <c r="A515" s="239"/>
      <c r="B515" s="239" t="s">
        <v>393</v>
      </c>
      <c r="C515" s="240">
        <v>10</v>
      </c>
      <c r="D515" s="239">
        <v>7</v>
      </c>
      <c r="E515" s="203">
        <v>2</v>
      </c>
      <c r="F515" s="241">
        <v>100</v>
      </c>
      <c r="G515" s="234"/>
      <c r="H515" s="234">
        <v>2010</v>
      </c>
      <c r="I515" s="234"/>
      <c r="J515" s="241">
        <v>100</v>
      </c>
      <c r="K515" s="234">
        <v>2</v>
      </c>
      <c r="L515" s="235">
        <f t="shared" si="71"/>
        <v>2.17</v>
      </c>
      <c r="M515" s="200">
        <f t="shared" si="72"/>
        <v>0</v>
      </c>
      <c r="N515" s="200">
        <f t="shared" si="73"/>
        <v>30.38</v>
      </c>
      <c r="O515" s="200">
        <f t="shared" si="74"/>
        <v>0</v>
      </c>
      <c r="P515" s="200">
        <f t="shared" si="75"/>
        <v>0</v>
      </c>
      <c r="Q515" s="200">
        <f t="shared" si="76"/>
        <v>0</v>
      </c>
      <c r="R515" s="200">
        <f t="shared" si="77"/>
        <v>0</v>
      </c>
      <c r="S515" s="200">
        <f t="shared" si="78"/>
        <v>0</v>
      </c>
    </row>
    <row r="516" spans="1:19" s="236" customFormat="1" ht="24.95" customHeight="1">
      <c r="A516" s="239"/>
      <c r="B516" s="239" t="s">
        <v>394</v>
      </c>
      <c r="C516" s="240">
        <v>8</v>
      </c>
      <c r="D516" s="239">
        <v>7</v>
      </c>
      <c r="E516" s="203">
        <f>(H514/200)+1</f>
        <v>11.05</v>
      </c>
      <c r="F516" s="234"/>
      <c r="G516" s="234"/>
      <c r="H516" s="234">
        <v>820</v>
      </c>
      <c r="I516" s="234"/>
      <c r="J516" s="234"/>
      <c r="K516" s="241">
        <v>5</v>
      </c>
      <c r="L516" s="235">
        <f t="shared" si="71"/>
        <v>0.74</v>
      </c>
      <c r="M516" s="200">
        <f t="shared" si="72"/>
        <v>57.239000000000004</v>
      </c>
      <c r="N516" s="200">
        <f t="shared" si="73"/>
        <v>0</v>
      </c>
      <c r="O516" s="200">
        <f t="shared" si="74"/>
        <v>0</v>
      </c>
      <c r="P516" s="200">
        <f t="shared" si="75"/>
        <v>0</v>
      </c>
      <c r="Q516" s="200">
        <f t="shared" si="76"/>
        <v>0</v>
      </c>
      <c r="R516" s="200">
        <f t="shared" si="77"/>
        <v>0</v>
      </c>
      <c r="S516" s="200">
        <f t="shared" si="78"/>
        <v>0</v>
      </c>
    </row>
    <row r="517" spans="1:19" s="236" customFormat="1" ht="24.95" customHeight="1">
      <c r="A517" s="239">
        <v>4</v>
      </c>
      <c r="B517" s="239" t="s">
        <v>392</v>
      </c>
      <c r="C517" s="240">
        <v>10</v>
      </c>
      <c r="D517" s="239">
        <v>1</v>
      </c>
      <c r="E517" s="203">
        <v>2</v>
      </c>
      <c r="F517" s="241">
        <v>100</v>
      </c>
      <c r="G517" s="234"/>
      <c r="H517" s="234">
        <v>2925</v>
      </c>
      <c r="I517" s="234"/>
      <c r="J517" s="241">
        <v>100</v>
      </c>
      <c r="K517" s="234">
        <v>2</v>
      </c>
      <c r="L517" s="235">
        <f t="shared" si="71"/>
        <v>3.085</v>
      </c>
      <c r="M517" s="200">
        <f t="shared" si="72"/>
        <v>0</v>
      </c>
      <c r="N517" s="200">
        <f t="shared" si="73"/>
        <v>6.17</v>
      </c>
      <c r="O517" s="200">
        <f t="shared" si="74"/>
        <v>0</v>
      </c>
      <c r="P517" s="200">
        <f t="shared" si="75"/>
        <v>0</v>
      </c>
      <c r="Q517" s="200">
        <f t="shared" si="76"/>
        <v>0</v>
      </c>
      <c r="R517" s="200">
        <f t="shared" si="77"/>
        <v>0</v>
      </c>
      <c r="S517" s="200">
        <f t="shared" si="78"/>
        <v>0</v>
      </c>
    </row>
    <row r="518" spans="1:19" s="236" customFormat="1" ht="24.95" customHeight="1">
      <c r="A518" s="239"/>
      <c r="B518" s="239" t="s">
        <v>393</v>
      </c>
      <c r="C518" s="240">
        <v>10</v>
      </c>
      <c r="D518" s="239">
        <v>1</v>
      </c>
      <c r="E518" s="203">
        <v>2</v>
      </c>
      <c r="F518" s="241">
        <v>100</v>
      </c>
      <c r="G518" s="234"/>
      <c r="H518" s="234">
        <v>2925</v>
      </c>
      <c r="I518" s="234"/>
      <c r="J518" s="241">
        <v>100</v>
      </c>
      <c r="K518" s="234">
        <v>2</v>
      </c>
      <c r="L518" s="235">
        <f t="shared" si="71"/>
        <v>3.085</v>
      </c>
      <c r="M518" s="200">
        <f t="shared" si="72"/>
        <v>0</v>
      </c>
      <c r="N518" s="200">
        <f t="shared" si="73"/>
        <v>6.17</v>
      </c>
      <c r="O518" s="200">
        <f t="shared" si="74"/>
        <v>0</v>
      </c>
      <c r="P518" s="200">
        <f t="shared" si="75"/>
        <v>0</v>
      </c>
      <c r="Q518" s="200">
        <f t="shared" si="76"/>
        <v>0</v>
      </c>
      <c r="R518" s="200">
        <f t="shared" si="77"/>
        <v>0</v>
      </c>
      <c r="S518" s="200">
        <f t="shared" si="78"/>
        <v>0</v>
      </c>
    </row>
    <row r="519" spans="1:19" s="236" customFormat="1" ht="24.95" customHeight="1">
      <c r="A519" s="239"/>
      <c r="B519" s="239" t="s">
        <v>394</v>
      </c>
      <c r="C519" s="240">
        <v>8</v>
      </c>
      <c r="D519" s="239">
        <v>1</v>
      </c>
      <c r="E519" s="203">
        <f>(H517/200)+1</f>
        <v>15.625</v>
      </c>
      <c r="F519" s="234"/>
      <c r="G519" s="234"/>
      <c r="H519" s="234">
        <v>820</v>
      </c>
      <c r="I519" s="234"/>
      <c r="J519" s="234"/>
      <c r="K519" s="241">
        <v>5</v>
      </c>
      <c r="L519" s="235">
        <f t="shared" si="71"/>
        <v>0.74</v>
      </c>
      <c r="M519" s="200">
        <f t="shared" si="72"/>
        <v>11.5625</v>
      </c>
      <c r="N519" s="200">
        <f t="shared" si="73"/>
        <v>0</v>
      </c>
      <c r="O519" s="200">
        <f t="shared" si="74"/>
        <v>0</v>
      </c>
      <c r="P519" s="200">
        <f t="shared" si="75"/>
        <v>0</v>
      </c>
      <c r="Q519" s="200">
        <f t="shared" si="76"/>
        <v>0</v>
      </c>
      <c r="R519" s="200">
        <f t="shared" si="77"/>
        <v>0</v>
      </c>
      <c r="S519" s="200">
        <f t="shared" si="78"/>
        <v>0</v>
      </c>
    </row>
    <row r="520" spans="1:19" s="236" customFormat="1" ht="24.95" customHeight="1">
      <c r="A520" s="237">
        <v>6</v>
      </c>
      <c r="B520" s="238" t="s">
        <v>423</v>
      </c>
      <c r="C520" s="240"/>
      <c r="D520" s="239"/>
      <c r="E520" s="203"/>
      <c r="F520" s="234"/>
      <c r="G520" s="234"/>
      <c r="H520" s="234"/>
      <c r="I520" s="234"/>
      <c r="J520" s="234"/>
      <c r="K520" s="234"/>
      <c r="L520" s="235">
        <f t="shared" si="71"/>
        <v>0</v>
      </c>
      <c r="M520" s="200">
        <f t="shared" si="72"/>
        <v>0</v>
      </c>
      <c r="N520" s="200">
        <f t="shared" si="73"/>
        <v>0</v>
      </c>
      <c r="O520" s="200">
        <f t="shared" si="74"/>
        <v>0</v>
      </c>
      <c r="P520" s="200">
        <f t="shared" si="75"/>
        <v>0</v>
      </c>
      <c r="Q520" s="200">
        <f t="shared" si="76"/>
        <v>0</v>
      </c>
      <c r="R520" s="200">
        <f t="shared" si="77"/>
        <v>0</v>
      </c>
      <c r="S520" s="200">
        <f t="shared" si="78"/>
        <v>0</v>
      </c>
    </row>
    <row r="521" spans="1:19" s="236" customFormat="1" ht="24.95" customHeight="1">
      <c r="A521" s="209" t="s">
        <v>427</v>
      </c>
      <c r="B521" s="209" t="s">
        <v>403</v>
      </c>
      <c r="C521" s="240"/>
      <c r="D521" s="239"/>
      <c r="E521" s="203"/>
      <c r="F521" s="234"/>
      <c r="G521" s="234"/>
      <c r="H521" s="234"/>
      <c r="I521" s="234"/>
      <c r="J521" s="234"/>
      <c r="K521" s="234">
        <v>0</v>
      </c>
      <c r="L521" s="235">
        <f t="shared" si="71"/>
        <v>0</v>
      </c>
      <c r="M521" s="200">
        <f t="shared" si="72"/>
        <v>0</v>
      </c>
      <c r="N521" s="200">
        <f t="shared" si="73"/>
        <v>0</v>
      </c>
      <c r="O521" s="200">
        <f t="shared" si="74"/>
        <v>0</v>
      </c>
      <c r="P521" s="200">
        <f t="shared" si="75"/>
        <v>0</v>
      </c>
      <c r="Q521" s="200">
        <f t="shared" si="76"/>
        <v>0</v>
      </c>
      <c r="R521" s="200">
        <f t="shared" si="77"/>
        <v>0</v>
      </c>
      <c r="S521" s="200">
        <f t="shared" si="78"/>
        <v>0</v>
      </c>
    </row>
    <row r="522" spans="1:19" s="236" customFormat="1" ht="24.95" customHeight="1">
      <c r="A522" s="205" t="s">
        <v>428</v>
      </c>
      <c r="B522" s="206" t="s">
        <v>391</v>
      </c>
      <c r="C522" s="240"/>
      <c r="D522" s="239"/>
      <c r="E522" s="203"/>
      <c r="F522" s="234"/>
      <c r="G522" s="234"/>
      <c r="H522" s="234"/>
      <c r="I522" s="234"/>
      <c r="J522" s="234"/>
      <c r="K522" s="234"/>
      <c r="L522" s="235">
        <f t="shared" si="71"/>
        <v>0</v>
      </c>
      <c r="M522" s="200">
        <f t="shared" si="72"/>
        <v>0</v>
      </c>
      <c r="N522" s="200">
        <f t="shared" si="73"/>
        <v>0</v>
      </c>
      <c r="O522" s="200">
        <f t="shared" si="74"/>
        <v>0</v>
      </c>
      <c r="P522" s="200">
        <f t="shared" si="75"/>
        <v>0</v>
      </c>
      <c r="Q522" s="200">
        <f t="shared" si="76"/>
        <v>0</v>
      </c>
      <c r="R522" s="200">
        <f t="shared" si="77"/>
        <v>0</v>
      </c>
      <c r="S522" s="200">
        <f t="shared" si="78"/>
        <v>0</v>
      </c>
    </row>
    <row r="523" spans="1:19" s="236" customFormat="1" ht="24.95" customHeight="1">
      <c r="A523" s="239">
        <v>1</v>
      </c>
      <c r="B523" s="239" t="s">
        <v>392</v>
      </c>
      <c r="C523" s="240">
        <v>10</v>
      </c>
      <c r="D523" s="239">
        <v>1</v>
      </c>
      <c r="E523" s="203">
        <v>2</v>
      </c>
      <c r="F523" s="241">
        <v>100</v>
      </c>
      <c r="G523" s="234"/>
      <c r="H523" s="234">
        <v>970</v>
      </c>
      <c r="I523" s="234"/>
      <c r="J523" s="241">
        <v>100</v>
      </c>
      <c r="K523" s="234">
        <v>2</v>
      </c>
      <c r="L523" s="235">
        <f t="shared" ref="L523:L586" si="81">(((F523+G523+H523+I523+J523)-C523*K523*2)/1000)</f>
        <v>1.1299999999999999</v>
      </c>
      <c r="M523" s="200">
        <f t="shared" ref="M523:M586" si="82">+IF(C523=8,D523*E523*L523,0)</f>
        <v>0</v>
      </c>
      <c r="N523" s="200">
        <f t="shared" ref="N523:N586" si="83">+IF(C523=10,D523*E523*L523,0)</f>
        <v>2.2599999999999998</v>
      </c>
      <c r="O523" s="200">
        <f t="shared" ref="O523:O586" si="84">+IF(C523=12,D523*E523*L523,0)</f>
        <v>0</v>
      </c>
      <c r="P523" s="200">
        <f t="shared" ref="P523:P586" si="85">+IF(C523=16,D523*E523*L523,0)</f>
        <v>0</v>
      </c>
      <c r="Q523" s="200">
        <f t="shared" ref="Q523:Q586" si="86">+IF(C523=20,D523*E523*L523,0)</f>
        <v>0</v>
      </c>
      <c r="R523" s="200">
        <f t="shared" ref="R523:R586" si="87">+IF(C523=25,D523*E523*L523,0)</f>
        <v>0</v>
      </c>
      <c r="S523" s="200">
        <f t="shared" ref="S523:S586" si="88">+IF(C523=32,D523*E523*L523,0)</f>
        <v>0</v>
      </c>
    </row>
    <row r="524" spans="1:19" s="236" customFormat="1" ht="24.95" customHeight="1">
      <c r="A524" s="239"/>
      <c r="B524" s="239" t="s">
        <v>393</v>
      </c>
      <c r="C524" s="240">
        <v>10</v>
      </c>
      <c r="D524" s="239">
        <f>D523</f>
        <v>1</v>
      </c>
      <c r="E524" s="203">
        <v>2</v>
      </c>
      <c r="F524" s="241">
        <v>100</v>
      </c>
      <c r="G524" s="234"/>
      <c r="H524" s="234">
        <v>970</v>
      </c>
      <c r="I524" s="234"/>
      <c r="J524" s="241">
        <v>100</v>
      </c>
      <c r="K524" s="234">
        <v>2</v>
      </c>
      <c r="L524" s="235">
        <f t="shared" si="81"/>
        <v>1.1299999999999999</v>
      </c>
      <c r="M524" s="200">
        <f t="shared" si="82"/>
        <v>0</v>
      </c>
      <c r="N524" s="200">
        <f t="shared" si="83"/>
        <v>2.2599999999999998</v>
      </c>
      <c r="O524" s="200">
        <f t="shared" si="84"/>
        <v>0</v>
      </c>
      <c r="P524" s="200">
        <f t="shared" si="85"/>
        <v>0</v>
      </c>
      <c r="Q524" s="200">
        <f t="shared" si="86"/>
        <v>0</v>
      </c>
      <c r="R524" s="200">
        <f t="shared" si="87"/>
        <v>0</v>
      </c>
      <c r="S524" s="200">
        <f t="shared" si="88"/>
        <v>0</v>
      </c>
    </row>
    <row r="525" spans="1:19" s="236" customFormat="1" ht="24.95" customHeight="1">
      <c r="A525" s="239"/>
      <c r="B525" s="239" t="s">
        <v>394</v>
      </c>
      <c r="C525" s="240">
        <v>8</v>
      </c>
      <c r="D525" s="239">
        <f>D523</f>
        <v>1</v>
      </c>
      <c r="E525" s="203">
        <f>(H523/200)+1</f>
        <v>5.85</v>
      </c>
      <c r="F525" s="234"/>
      <c r="G525" s="234"/>
      <c r="H525" s="234">
        <v>820</v>
      </c>
      <c r="I525" s="234"/>
      <c r="J525" s="234"/>
      <c r="K525" s="241">
        <v>5</v>
      </c>
      <c r="L525" s="235">
        <f t="shared" si="81"/>
        <v>0.74</v>
      </c>
      <c r="M525" s="200">
        <f t="shared" si="82"/>
        <v>4.3289999999999997</v>
      </c>
      <c r="N525" s="200">
        <f t="shared" si="83"/>
        <v>0</v>
      </c>
      <c r="O525" s="200">
        <f t="shared" si="84"/>
        <v>0</v>
      </c>
      <c r="P525" s="200">
        <f t="shared" si="85"/>
        <v>0</v>
      </c>
      <c r="Q525" s="200">
        <f t="shared" si="86"/>
        <v>0</v>
      </c>
      <c r="R525" s="200">
        <f t="shared" si="87"/>
        <v>0</v>
      </c>
      <c r="S525" s="200">
        <f t="shared" si="88"/>
        <v>0</v>
      </c>
    </row>
    <row r="526" spans="1:19" s="236" customFormat="1" ht="24.95" customHeight="1">
      <c r="A526" s="239">
        <v>2</v>
      </c>
      <c r="B526" s="239" t="s">
        <v>392</v>
      </c>
      <c r="C526" s="240">
        <v>10</v>
      </c>
      <c r="D526" s="239">
        <v>2</v>
      </c>
      <c r="E526" s="203">
        <v>2</v>
      </c>
      <c r="F526" s="241">
        <v>100</v>
      </c>
      <c r="G526" s="234"/>
      <c r="H526" s="234">
        <v>1345</v>
      </c>
      <c r="I526" s="234"/>
      <c r="J526" s="241">
        <v>100</v>
      </c>
      <c r="K526" s="234">
        <v>2</v>
      </c>
      <c r="L526" s="235">
        <f t="shared" si="81"/>
        <v>1.5049999999999999</v>
      </c>
      <c r="M526" s="200">
        <f t="shared" si="82"/>
        <v>0</v>
      </c>
      <c r="N526" s="200">
        <f t="shared" si="83"/>
        <v>6.02</v>
      </c>
      <c r="O526" s="200">
        <f t="shared" si="84"/>
        <v>0</v>
      </c>
      <c r="P526" s="200">
        <f t="shared" si="85"/>
        <v>0</v>
      </c>
      <c r="Q526" s="200">
        <f t="shared" si="86"/>
        <v>0</v>
      </c>
      <c r="R526" s="200">
        <f t="shared" si="87"/>
        <v>0</v>
      </c>
      <c r="S526" s="200">
        <f t="shared" si="88"/>
        <v>0</v>
      </c>
    </row>
    <row r="527" spans="1:19" s="236" customFormat="1" ht="24.95" customHeight="1">
      <c r="A527" s="239"/>
      <c r="B527" s="239" t="s">
        <v>393</v>
      </c>
      <c r="C527" s="240">
        <v>10</v>
      </c>
      <c r="D527" s="239">
        <f>D526</f>
        <v>2</v>
      </c>
      <c r="E527" s="203">
        <v>2</v>
      </c>
      <c r="F527" s="241">
        <v>100</v>
      </c>
      <c r="G527" s="234"/>
      <c r="H527" s="234">
        <v>1345</v>
      </c>
      <c r="I527" s="234"/>
      <c r="J527" s="241">
        <v>100</v>
      </c>
      <c r="K527" s="234">
        <v>2</v>
      </c>
      <c r="L527" s="235">
        <f t="shared" si="81"/>
        <v>1.5049999999999999</v>
      </c>
      <c r="M527" s="200">
        <f t="shared" si="82"/>
        <v>0</v>
      </c>
      <c r="N527" s="200">
        <f t="shared" si="83"/>
        <v>6.02</v>
      </c>
      <c r="O527" s="200">
        <f t="shared" si="84"/>
        <v>0</v>
      </c>
      <c r="P527" s="200">
        <f t="shared" si="85"/>
        <v>0</v>
      </c>
      <c r="Q527" s="200">
        <f t="shared" si="86"/>
        <v>0</v>
      </c>
      <c r="R527" s="200">
        <f t="shared" si="87"/>
        <v>0</v>
      </c>
      <c r="S527" s="200">
        <f t="shared" si="88"/>
        <v>0</v>
      </c>
    </row>
    <row r="528" spans="1:19" s="236" customFormat="1" ht="24.95" customHeight="1">
      <c r="A528" s="239"/>
      <c r="B528" s="239" t="s">
        <v>394</v>
      </c>
      <c r="C528" s="240">
        <v>8</v>
      </c>
      <c r="D528" s="239">
        <f>D526</f>
        <v>2</v>
      </c>
      <c r="E528" s="203">
        <f>(H526/200)+1</f>
        <v>7.7249999999999996</v>
      </c>
      <c r="F528" s="234"/>
      <c r="G528" s="234"/>
      <c r="H528" s="234">
        <v>820</v>
      </c>
      <c r="I528" s="234"/>
      <c r="J528" s="234"/>
      <c r="K528" s="241">
        <v>5</v>
      </c>
      <c r="L528" s="235">
        <f t="shared" si="81"/>
        <v>0.74</v>
      </c>
      <c r="M528" s="200">
        <f t="shared" si="82"/>
        <v>11.433</v>
      </c>
      <c r="N528" s="200">
        <f t="shared" si="83"/>
        <v>0</v>
      </c>
      <c r="O528" s="200">
        <f t="shared" si="84"/>
        <v>0</v>
      </c>
      <c r="P528" s="200">
        <f t="shared" si="85"/>
        <v>0</v>
      </c>
      <c r="Q528" s="200">
        <f t="shared" si="86"/>
        <v>0</v>
      </c>
      <c r="R528" s="200">
        <f t="shared" si="87"/>
        <v>0</v>
      </c>
      <c r="S528" s="200">
        <f t="shared" si="88"/>
        <v>0</v>
      </c>
    </row>
    <row r="529" spans="1:19" s="236" customFormat="1" ht="24.95" customHeight="1">
      <c r="A529" s="239">
        <v>3</v>
      </c>
      <c r="B529" s="239" t="s">
        <v>392</v>
      </c>
      <c r="C529" s="240">
        <v>10</v>
      </c>
      <c r="D529" s="239">
        <v>1</v>
      </c>
      <c r="E529" s="203">
        <v>2</v>
      </c>
      <c r="F529" s="241">
        <v>100</v>
      </c>
      <c r="G529" s="234"/>
      <c r="H529" s="234">
        <v>5935</v>
      </c>
      <c r="I529" s="234"/>
      <c r="J529" s="241">
        <v>100</v>
      </c>
      <c r="K529" s="234">
        <v>2</v>
      </c>
      <c r="L529" s="235">
        <f t="shared" si="81"/>
        <v>6.0949999999999998</v>
      </c>
      <c r="M529" s="200">
        <f t="shared" si="82"/>
        <v>0</v>
      </c>
      <c r="N529" s="200">
        <f t="shared" si="83"/>
        <v>12.19</v>
      </c>
      <c r="O529" s="200">
        <f t="shared" si="84"/>
        <v>0</v>
      </c>
      <c r="P529" s="200">
        <f t="shared" si="85"/>
        <v>0</v>
      </c>
      <c r="Q529" s="200">
        <f t="shared" si="86"/>
        <v>0</v>
      </c>
      <c r="R529" s="200">
        <f t="shared" si="87"/>
        <v>0</v>
      </c>
      <c r="S529" s="200">
        <f t="shared" si="88"/>
        <v>0</v>
      </c>
    </row>
    <row r="530" spans="1:19" s="236" customFormat="1" ht="24.95" customHeight="1">
      <c r="A530" s="239"/>
      <c r="B530" s="239" t="s">
        <v>393</v>
      </c>
      <c r="C530" s="240">
        <v>10</v>
      </c>
      <c r="D530" s="239">
        <f>D529</f>
        <v>1</v>
      </c>
      <c r="E530" s="203">
        <v>2</v>
      </c>
      <c r="F530" s="241">
        <v>100</v>
      </c>
      <c r="G530" s="234"/>
      <c r="H530" s="234">
        <v>5935</v>
      </c>
      <c r="I530" s="234"/>
      <c r="J530" s="241">
        <v>100</v>
      </c>
      <c r="K530" s="234">
        <v>2</v>
      </c>
      <c r="L530" s="235">
        <f t="shared" si="81"/>
        <v>6.0949999999999998</v>
      </c>
      <c r="M530" s="200">
        <f t="shared" si="82"/>
        <v>0</v>
      </c>
      <c r="N530" s="200">
        <f t="shared" si="83"/>
        <v>12.19</v>
      </c>
      <c r="O530" s="200">
        <f t="shared" si="84"/>
        <v>0</v>
      </c>
      <c r="P530" s="200">
        <f t="shared" si="85"/>
        <v>0</v>
      </c>
      <c r="Q530" s="200">
        <f t="shared" si="86"/>
        <v>0</v>
      </c>
      <c r="R530" s="200">
        <f t="shared" si="87"/>
        <v>0</v>
      </c>
      <c r="S530" s="200">
        <f t="shared" si="88"/>
        <v>0</v>
      </c>
    </row>
    <row r="531" spans="1:19" s="236" customFormat="1" ht="24.95" customHeight="1">
      <c r="A531" s="239"/>
      <c r="B531" s="239" t="s">
        <v>394</v>
      </c>
      <c r="C531" s="240">
        <v>8</v>
      </c>
      <c r="D531" s="239">
        <f>D529</f>
        <v>1</v>
      </c>
      <c r="E531" s="203">
        <f>(H529/200)+1</f>
        <v>30.675000000000001</v>
      </c>
      <c r="F531" s="234"/>
      <c r="G531" s="234"/>
      <c r="H531" s="234">
        <v>820</v>
      </c>
      <c r="I531" s="234"/>
      <c r="J531" s="234"/>
      <c r="K531" s="241">
        <v>5</v>
      </c>
      <c r="L531" s="235">
        <f t="shared" si="81"/>
        <v>0.74</v>
      </c>
      <c r="M531" s="200">
        <f t="shared" si="82"/>
        <v>22.6995</v>
      </c>
      <c r="N531" s="200">
        <f t="shared" si="83"/>
        <v>0</v>
      </c>
      <c r="O531" s="200">
        <f t="shared" si="84"/>
        <v>0</v>
      </c>
      <c r="P531" s="200">
        <f t="shared" si="85"/>
        <v>0</v>
      </c>
      <c r="Q531" s="200">
        <f t="shared" si="86"/>
        <v>0</v>
      </c>
      <c r="R531" s="200">
        <f t="shared" si="87"/>
        <v>0</v>
      </c>
      <c r="S531" s="200">
        <f t="shared" si="88"/>
        <v>0</v>
      </c>
    </row>
    <row r="532" spans="1:19" s="236" customFormat="1" ht="24.95" customHeight="1">
      <c r="A532" s="239">
        <v>4</v>
      </c>
      <c r="B532" s="239" t="s">
        <v>392</v>
      </c>
      <c r="C532" s="240">
        <v>10</v>
      </c>
      <c r="D532" s="239">
        <v>1</v>
      </c>
      <c r="E532" s="203">
        <v>2</v>
      </c>
      <c r="F532" s="241">
        <v>100</v>
      </c>
      <c r="G532" s="234"/>
      <c r="H532" s="234">
        <v>1705</v>
      </c>
      <c r="I532" s="234"/>
      <c r="J532" s="241">
        <v>100</v>
      </c>
      <c r="K532" s="234">
        <v>2</v>
      </c>
      <c r="L532" s="235">
        <f t="shared" si="81"/>
        <v>1.865</v>
      </c>
      <c r="M532" s="200">
        <f t="shared" si="82"/>
        <v>0</v>
      </c>
      <c r="N532" s="200">
        <f t="shared" si="83"/>
        <v>3.73</v>
      </c>
      <c r="O532" s="200">
        <f t="shared" si="84"/>
        <v>0</v>
      </c>
      <c r="P532" s="200">
        <f t="shared" si="85"/>
        <v>0</v>
      </c>
      <c r="Q532" s="200">
        <f t="shared" si="86"/>
        <v>0</v>
      </c>
      <c r="R532" s="200">
        <f t="shared" si="87"/>
        <v>0</v>
      </c>
      <c r="S532" s="200">
        <f t="shared" si="88"/>
        <v>0</v>
      </c>
    </row>
    <row r="533" spans="1:19" s="236" customFormat="1" ht="24.95" customHeight="1">
      <c r="A533" s="239"/>
      <c r="B533" s="239" t="s">
        <v>393</v>
      </c>
      <c r="C533" s="240">
        <v>10</v>
      </c>
      <c r="D533" s="239">
        <f>D532</f>
        <v>1</v>
      </c>
      <c r="E533" s="203">
        <v>2</v>
      </c>
      <c r="F533" s="241">
        <v>100</v>
      </c>
      <c r="G533" s="234"/>
      <c r="H533" s="234">
        <v>1705</v>
      </c>
      <c r="I533" s="234"/>
      <c r="J533" s="241">
        <v>100</v>
      </c>
      <c r="K533" s="234">
        <v>2</v>
      </c>
      <c r="L533" s="235">
        <f t="shared" si="81"/>
        <v>1.865</v>
      </c>
      <c r="M533" s="200">
        <f t="shared" si="82"/>
        <v>0</v>
      </c>
      <c r="N533" s="200">
        <f t="shared" si="83"/>
        <v>3.73</v>
      </c>
      <c r="O533" s="200">
        <f t="shared" si="84"/>
        <v>0</v>
      </c>
      <c r="P533" s="200">
        <f t="shared" si="85"/>
        <v>0</v>
      </c>
      <c r="Q533" s="200">
        <f t="shared" si="86"/>
        <v>0</v>
      </c>
      <c r="R533" s="200">
        <f t="shared" si="87"/>
        <v>0</v>
      </c>
      <c r="S533" s="200">
        <f t="shared" si="88"/>
        <v>0</v>
      </c>
    </row>
    <row r="534" spans="1:19" s="236" customFormat="1" ht="24.95" customHeight="1">
      <c r="A534" s="239"/>
      <c r="B534" s="239" t="s">
        <v>394</v>
      </c>
      <c r="C534" s="240">
        <v>8</v>
      </c>
      <c r="D534" s="239">
        <f>D532</f>
        <v>1</v>
      </c>
      <c r="E534" s="203">
        <f>(H532/200)+1</f>
        <v>9.5250000000000004</v>
      </c>
      <c r="F534" s="234"/>
      <c r="G534" s="234"/>
      <c r="H534" s="234">
        <v>820</v>
      </c>
      <c r="I534" s="234"/>
      <c r="J534" s="234"/>
      <c r="K534" s="241">
        <v>5</v>
      </c>
      <c r="L534" s="235">
        <f t="shared" si="81"/>
        <v>0.74</v>
      </c>
      <c r="M534" s="200">
        <f t="shared" si="82"/>
        <v>7.0484999999999998</v>
      </c>
      <c r="N534" s="200">
        <f t="shared" si="83"/>
        <v>0</v>
      </c>
      <c r="O534" s="200">
        <f t="shared" si="84"/>
        <v>0</v>
      </c>
      <c r="P534" s="200">
        <f t="shared" si="85"/>
        <v>0</v>
      </c>
      <c r="Q534" s="200">
        <f t="shared" si="86"/>
        <v>0</v>
      </c>
      <c r="R534" s="200">
        <f t="shared" si="87"/>
        <v>0</v>
      </c>
      <c r="S534" s="200">
        <f t="shared" si="88"/>
        <v>0</v>
      </c>
    </row>
    <row r="535" spans="1:19" s="236" customFormat="1" ht="24.95" customHeight="1">
      <c r="A535" s="239">
        <v>5</v>
      </c>
      <c r="B535" s="239" t="s">
        <v>392</v>
      </c>
      <c r="C535" s="240">
        <v>10</v>
      </c>
      <c r="D535" s="239">
        <v>1</v>
      </c>
      <c r="E535" s="203">
        <v>2</v>
      </c>
      <c r="F535" s="241">
        <v>100</v>
      </c>
      <c r="G535" s="234"/>
      <c r="H535" s="234">
        <v>2315</v>
      </c>
      <c r="I535" s="234"/>
      <c r="J535" s="241">
        <v>100</v>
      </c>
      <c r="K535" s="234">
        <v>2</v>
      </c>
      <c r="L535" s="235">
        <f t="shared" si="81"/>
        <v>2.4750000000000001</v>
      </c>
      <c r="M535" s="200">
        <f t="shared" si="82"/>
        <v>0</v>
      </c>
      <c r="N535" s="200">
        <f t="shared" si="83"/>
        <v>4.95</v>
      </c>
      <c r="O535" s="200">
        <f t="shared" si="84"/>
        <v>0</v>
      </c>
      <c r="P535" s="200">
        <f t="shared" si="85"/>
        <v>0</v>
      </c>
      <c r="Q535" s="200">
        <f t="shared" si="86"/>
        <v>0</v>
      </c>
      <c r="R535" s="200">
        <f t="shared" si="87"/>
        <v>0</v>
      </c>
      <c r="S535" s="200">
        <f t="shared" si="88"/>
        <v>0</v>
      </c>
    </row>
    <row r="536" spans="1:19" s="236" customFormat="1" ht="24.95" customHeight="1">
      <c r="A536" s="239"/>
      <c r="B536" s="239" t="s">
        <v>393</v>
      </c>
      <c r="C536" s="240">
        <v>10</v>
      </c>
      <c r="D536" s="239">
        <f>D535</f>
        <v>1</v>
      </c>
      <c r="E536" s="203">
        <v>2</v>
      </c>
      <c r="F536" s="241">
        <v>100</v>
      </c>
      <c r="G536" s="234"/>
      <c r="H536" s="234">
        <v>2315</v>
      </c>
      <c r="I536" s="234"/>
      <c r="J536" s="241">
        <v>100</v>
      </c>
      <c r="K536" s="234">
        <v>2</v>
      </c>
      <c r="L536" s="235">
        <f t="shared" si="81"/>
        <v>2.4750000000000001</v>
      </c>
      <c r="M536" s="200">
        <f t="shared" si="82"/>
        <v>0</v>
      </c>
      <c r="N536" s="200">
        <f t="shared" si="83"/>
        <v>4.95</v>
      </c>
      <c r="O536" s="200">
        <f t="shared" si="84"/>
        <v>0</v>
      </c>
      <c r="P536" s="200">
        <f t="shared" si="85"/>
        <v>0</v>
      </c>
      <c r="Q536" s="200">
        <f t="shared" si="86"/>
        <v>0</v>
      </c>
      <c r="R536" s="200">
        <f t="shared" si="87"/>
        <v>0</v>
      </c>
      <c r="S536" s="200">
        <f t="shared" si="88"/>
        <v>0</v>
      </c>
    </row>
    <row r="537" spans="1:19" s="236" customFormat="1" ht="24.95" customHeight="1">
      <c r="A537" s="239"/>
      <c r="B537" s="239" t="s">
        <v>394</v>
      </c>
      <c r="C537" s="240">
        <v>8</v>
      </c>
      <c r="D537" s="239">
        <f>D535</f>
        <v>1</v>
      </c>
      <c r="E537" s="203">
        <f>(H535/200)+1</f>
        <v>12.574999999999999</v>
      </c>
      <c r="F537" s="234"/>
      <c r="G537" s="234"/>
      <c r="H537" s="234">
        <v>820</v>
      </c>
      <c r="I537" s="234"/>
      <c r="J537" s="234"/>
      <c r="K537" s="241">
        <v>5</v>
      </c>
      <c r="L537" s="235">
        <f t="shared" si="81"/>
        <v>0.74</v>
      </c>
      <c r="M537" s="200">
        <f t="shared" si="82"/>
        <v>9.3054999999999986</v>
      </c>
      <c r="N537" s="200">
        <f t="shared" si="83"/>
        <v>0</v>
      </c>
      <c r="O537" s="200">
        <f t="shared" si="84"/>
        <v>0</v>
      </c>
      <c r="P537" s="200">
        <f t="shared" si="85"/>
        <v>0</v>
      </c>
      <c r="Q537" s="200">
        <f t="shared" si="86"/>
        <v>0</v>
      </c>
      <c r="R537" s="200">
        <f t="shared" si="87"/>
        <v>0</v>
      </c>
      <c r="S537" s="200">
        <f t="shared" si="88"/>
        <v>0</v>
      </c>
    </row>
    <row r="538" spans="1:19" s="236" customFormat="1" ht="24.95" customHeight="1">
      <c r="A538" s="239">
        <v>6</v>
      </c>
      <c r="B538" s="239" t="s">
        <v>392</v>
      </c>
      <c r="C538" s="240">
        <v>10</v>
      </c>
      <c r="D538" s="239">
        <v>1</v>
      </c>
      <c r="E538" s="203">
        <v>2</v>
      </c>
      <c r="F538" s="241">
        <v>100</v>
      </c>
      <c r="G538" s="234"/>
      <c r="H538" s="234">
        <v>2015</v>
      </c>
      <c r="I538" s="234"/>
      <c r="J538" s="241">
        <v>100</v>
      </c>
      <c r="K538" s="234">
        <v>2</v>
      </c>
      <c r="L538" s="235">
        <f t="shared" si="81"/>
        <v>2.1749999999999998</v>
      </c>
      <c r="M538" s="200">
        <f t="shared" si="82"/>
        <v>0</v>
      </c>
      <c r="N538" s="200">
        <f t="shared" si="83"/>
        <v>4.3499999999999996</v>
      </c>
      <c r="O538" s="200">
        <f t="shared" si="84"/>
        <v>0</v>
      </c>
      <c r="P538" s="200">
        <f t="shared" si="85"/>
        <v>0</v>
      </c>
      <c r="Q538" s="200">
        <f t="shared" si="86"/>
        <v>0</v>
      </c>
      <c r="R538" s="200">
        <f t="shared" si="87"/>
        <v>0</v>
      </c>
      <c r="S538" s="200">
        <f t="shared" si="88"/>
        <v>0</v>
      </c>
    </row>
    <row r="539" spans="1:19" s="236" customFormat="1" ht="24.95" customHeight="1">
      <c r="A539" s="239"/>
      <c r="B539" s="239" t="s">
        <v>393</v>
      </c>
      <c r="C539" s="240">
        <v>10</v>
      </c>
      <c r="D539" s="239">
        <f>D538</f>
        <v>1</v>
      </c>
      <c r="E539" s="203">
        <v>2</v>
      </c>
      <c r="F539" s="241">
        <v>100</v>
      </c>
      <c r="G539" s="234"/>
      <c r="H539" s="234">
        <v>2015</v>
      </c>
      <c r="I539" s="234"/>
      <c r="J539" s="241">
        <v>100</v>
      </c>
      <c r="K539" s="234">
        <v>2</v>
      </c>
      <c r="L539" s="235">
        <f t="shared" si="81"/>
        <v>2.1749999999999998</v>
      </c>
      <c r="M539" s="200">
        <f t="shared" si="82"/>
        <v>0</v>
      </c>
      <c r="N539" s="200">
        <f t="shared" si="83"/>
        <v>4.3499999999999996</v>
      </c>
      <c r="O539" s="200">
        <f t="shared" si="84"/>
        <v>0</v>
      </c>
      <c r="P539" s="200">
        <f t="shared" si="85"/>
        <v>0</v>
      </c>
      <c r="Q539" s="200">
        <f t="shared" si="86"/>
        <v>0</v>
      </c>
      <c r="R539" s="200">
        <f t="shared" si="87"/>
        <v>0</v>
      </c>
      <c r="S539" s="200">
        <f t="shared" si="88"/>
        <v>0</v>
      </c>
    </row>
    <row r="540" spans="1:19" s="236" customFormat="1" ht="24.95" customHeight="1">
      <c r="A540" s="239"/>
      <c r="B540" s="239" t="s">
        <v>394</v>
      </c>
      <c r="C540" s="240">
        <v>8</v>
      </c>
      <c r="D540" s="239">
        <f>D538</f>
        <v>1</v>
      </c>
      <c r="E540" s="203">
        <f>(H538/200)+1</f>
        <v>11.074999999999999</v>
      </c>
      <c r="F540" s="234"/>
      <c r="G540" s="234"/>
      <c r="H540" s="234">
        <v>820</v>
      </c>
      <c r="I540" s="234"/>
      <c r="J540" s="234"/>
      <c r="K540" s="241">
        <v>5</v>
      </c>
      <c r="L540" s="235">
        <f t="shared" si="81"/>
        <v>0.74</v>
      </c>
      <c r="M540" s="200">
        <f t="shared" si="82"/>
        <v>8.1954999999999991</v>
      </c>
      <c r="N540" s="200">
        <f t="shared" si="83"/>
        <v>0</v>
      </c>
      <c r="O540" s="200">
        <f t="shared" si="84"/>
        <v>0</v>
      </c>
      <c r="P540" s="200">
        <f t="shared" si="85"/>
        <v>0</v>
      </c>
      <c r="Q540" s="200">
        <f t="shared" si="86"/>
        <v>0</v>
      </c>
      <c r="R540" s="200">
        <f t="shared" si="87"/>
        <v>0</v>
      </c>
      <c r="S540" s="200">
        <f t="shared" si="88"/>
        <v>0</v>
      </c>
    </row>
    <row r="541" spans="1:19" s="236" customFormat="1" ht="24.95" customHeight="1">
      <c r="A541" s="239">
        <v>7</v>
      </c>
      <c r="B541" s="239" t="s">
        <v>392</v>
      </c>
      <c r="C541" s="240">
        <v>10</v>
      </c>
      <c r="D541" s="239">
        <v>1</v>
      </c>
      <c r="E541" s="203">
        <v>2</v>
      </c>
      <c r="F541" s="241">
        <v>100</v>
      </c>
      <c r="G541" s="234"/>
      <c r="H541" s="234">
        <v>2320</v>
      </c>
      <c r="I541" s="234"/>
      <c r="J541" s="241">
        <v>100</v>
      </c>
      <c r="K541" s="234">
        <v>2</v>
      </c>
      <c r="L541" s="235">
        <f t="shared" si="81"/>
        <v>2.48</v>
      </c>
      <c r="M541" s="200">
        <f t="shared" si="82"/>
        <v>0</v>
      </c>
      <c r="N541" s="200">
        <f t="shared" si="83"/>
        <v>4.96</v>
      </c>
      <c r="O541" s="200">
        <f t="shared" si="84"/>
        <v>0</v>
      </c>
      <c r="P541" s="200">
        <f t="shared" si="85"/>
        <v>0</v>
      </c>
      <c r="Q541" s="200">
        <f t="shared" si="86"/>
        <v>0</v>
      </c>
      <c r="R541" s="200">
        <f t="shared" si="87"/>
        <v>0</v>
      </c>
      <c r="S541" s="200">
        <f t="shared" si="88"/>
        <v>0</v>
      </c>
    </row>
    <row r="542" spans="1:19" s="236" customFormat="1" ht="24.95" customHeight="1">
      <c r="A542" s="239"/>
      <c r="B542" s="239" t="s">
        <v>393</v>
      </c>
      <c r="C542" s="240">
        <v>10</v>
      </c>
      <c r="D542" s="239">
        <f>D541</f>
        <v>1</v>
      </c>
      <c r="E542" s="203">
        <v>2</v>
      </c>
      <c r="F542" s="241">
        <v>100</v>
      </c>
      <c r="G542" s="234"/>
      <c r="H542" s="234">
        <v>2320</v>
      </c>
      <c r="I542" s="234"/>
      <c r="J542" s="241">
        <v>100</v>
      </c>
      <c r="K542" s="234">
        <v>2</v>
      </c>
      <c r="L542" s="235">
        <f t="shared" si="81"/>
        <v>2.48</v>
      </c>
      <c r="M542" s="200">
        <f t="shared" si="82"/>
        <v>0</v>
      </c>
      <c r="N542" s="200">
        <f t="shared" si="83"/>
        <v>4.96</v>
      </c>
      <c r="O542" s="200">
        <f t="shared" si="84"/>
        <v>0</v>
      </c>
      <c r="P542" s="200">
        <f t="shared" si="85"/>
        <v>0</v>
      </c>
      <c r="Q542" s="200">
        <f t="shared" si="86"/>
        <v>0</v>
      </c>
      <c r="R542" s="200">
        <f t="shared" si="87"/>
        <v>0</v>
      </c>
      <c r="S542" s="200">
        <f t="shared" si="88"/>
        <v>0</v>
      </c>
    </row>
    <row r="543" spans="1:19" s="236" customFormat="1" ht="24.95" customHeight="1">
      <c r="A543" s="239"/>
      <c r="B543" s="239" t="s">
        <v>394</v>
      </c>
      <c r="C543" s="240">
        <v>8</v>
      </c>
      <c r="D543" s="239">
        <f>D541</f>
        <v>1</v>
      </c>
      <c r="E543" s="203">
        <f>(H541/200)+1</f>
        <v>12.6</v>
      </c>
      <c r="F543" s="234"/>
      <c r="G543" s="234"/>
      <c r="H543" s="234">
        <v>820</v>
      </c>
      <c r="I543" s="234"/>
      <c r="J543" s="234"/>
      <c r="K543" s="241">
        <v>5</v>
      </c>
      <c r="L543" s="235">
        <f t="shared" si="81"/>
        <v>0.74</v>
      </c>
      <c r="M543" s="200">
        <f t="shared" si="82"/>
        <v>9.3239999999999998</v>
      </c>
      <c r="N543" s="200">
        <f t="shared" si="83"/>
        <v>0</v>
      </c>
      <c r="O543" s="200">
        <f t="shared" si="84"/>
        <v>0</v>
      </c>
      <c r="P543" s="200">
        <f t="shared" si="85"/>
        <v>0</v>
      </c>
      <c r="Q543" s="200">
        <f t="shared" si="86"/>
        <v>0</v>
      </c>
      <c r="R543" s="200">
        <f t="shared" si="87"/>
        <v>0</v>
      </c>
      <c r="S543" s="200">
        <f t="shared" si="88"/>
        <v>0</v>
      </c>
    </row>
    <row r="544" spans="1:19" s="236" customFormat="1" ht="24.95" customHeight="1">
      <c r="A544" s="239">
        <v>8</v>
      </c>
      <c r="B544" s="239" t="s">
        <v>392</v>
      </c>
      <c r="C544" s="240">
        <v>10</v>
      </c>
      <c r="D544" s="239">
        <v>1</v>
      </c>
      <c r="E544" s="203">
        <v>2</v>
      </c>
      <c r="F544" s="241">
        <v>100</v>
      </c>
      <c r="G544" s="234"/>
      <c r="H544" s="234">
        <v>2010</v>
      </c>
      <c r="I544" s="234"/>
      <c r="J544" s="241">
        <v>100</v>
      </c>
      <c r="K544" s="234">
        <v>2</v>
      </c>
      <c r="L544" s="235">
        <f t="shared" si="81"/>
        <v>2.17</v>
      </c>
      <c r="M544" s="200">
        <f t="shared" si="82"/>
        <v>0</v>
      </c>
      <c r="N544" s="200">
        <f t="shared" si="83"/>
        <v>4.34</v>
      </c>
      <c r="O544" s="200">
        <f t="shared" si="84"/>
        <v>0</v>
      </c>
      <c r="P544" s="200">
        <f t="shared" si="85"/>
        <v>0</v>
      </c>
      <c r="Q544" s="200">
        <f t="shared" si="86"/>
        <v>0</v>
      </c>
      <c r="R544" s="200">
        <f t="shared" si="87"/>
        <v>0</v>
      </c>
      <c r="S544" s="200">
        <f t="shared" si="88"/>
        <v>0</v>
      </c>
    </row>
    <row r="545" spans="1:19" s="236" customFormat="1" ht="24.95" customHeight="1">
      <c r="A545" s="239"/>
      <c r="B545" s="239" t="s">
        <v>393</v>
      </c>
      <c r="C545" s="240">
        <v>10</v>
      </c>
      <c r="D545" s="239">
        <f>D544</f>
        <v>1</v>
      </c>
      <c r="E545" s="203">
        <v>2</v>
      </c>
      <c r="F545" s="241">
        <v>100</v>
      </c>
      <c r="G545" s="234"/>
      <c r="H545" s="234">
        <v>2010</v>
      </c>
      <c r="I545" s="234"/>
      <c r="J545" s="241">
        <v>100</v>
      </c>
      <c r="K545" s="234">
        <v>2</v>
      </c>
      <c r="L545" s="235">
        <f t="shared" si="81"/>
        <v>2.17</v>
      </c>
      <c r="M545" s="200">
        <f t="shared" si="82"/>
        <v>0</v>
      </c>
      <c r="N545" s="200">
        <f t="shared" si="83"/>
        <v>4.34</v>
      </c>
      <c r="O545" s="200">
        <f t="shared" si="84"/>
        <v>0</v>
      </c>
      <c r="P545" s="200">
        <f t="shared" si="85"/>
        <v>0</v>
      </c>
      <c r="Q545" s="200">
        <f t="shared" si="86"/>
        <v>0</v>
      </c>
      <c r="R545" s="200">
        <f t="shared" si="87"/>
        <v>0</v>
      </c>
      <c r="S545" s="200">
        <f t="shared" si="88"/>
        <v>0</v>
      </c>
    </row>
    <row r="546" spans="1:19" s="236" customFormat="1" ht="24.95" customHeight="1">
      <c r="A546" s="239"/>
      <c r="B546" s="239" t="s">
        <v>394</v>
      </c>
      <c r="C546" s="240">
        <v>8</v>
      </c>
      <c r="D546" s="239">
        <f>D544</f>
        <v>1</v>
      </c>
      <c r="E546" s="203">
        <f>(H544/200)+1</f>
        <v>11.05</v>
      </c>
      <c r="F546" s="234"/>
      <c r="G546" s="234"/>
      <c r="H546" s="234">
        <v>820</v>
      </c>
      <c r="I546" s="234"/>
      <c r="J546" s="234"/>
      <c r="K546" s="241">
        <v>5</v>
      </c>
      <c r="L546" s="235">
        <f t="shared" si="81"/>
        <v>0.74</v>
      </c>
      <c r="M546" s="200">
        <f t="shared" si="82"/>
        <v>8.1769999999999996</v>
      </c>
      <c r="N546" s="200">
        <f t="shared" si="83"/>
        <v>0</v>
      </c>
      <c r="O546" s="200">
        <f t="shared" si="84"/>
        <v>0</v>
      </c>
      <c r="P546" s="200">
        <f t="shared" si="85"/>
        <v>0</v>
      </c>
      <c r="Q546" s="200">
        <f t="shared" si="86"/>
        <v>0</v>
      </c>
      <c r="R546" s="200">
        <f t="shared" si="87"/>
        <v>0</v>
      </c>
      <c r="S546" s="200">
        <f t="shared" si="88"/>
        <v>0</v>
      </c>
    </row>
    <row r="547" spans="1:19" s="236" customFormat="1" ht="24.95" customHeight="1">
      <c r="A547" s="239">
        <v>9</v>
      </c>
      <c r="B547" s="239" t="s">
        <v>392</v>
      </c>
      <c r="C547" s="240">
        <v>10</v>
      </c>
      <c r="D547" s="239">
        <v>1</v>
      </c>
      <c r="E547" s="203">
        <v>2</v>
      </c>
      <c r="F547" s="241">
        <v>100</v>
      </c>
      <c r="G547" s="234"/>
      <c r="H547" s="234">
        <v>2315</v>
      </c>
      <c r="I547" s="234"/>
      <c r="J547" s="241">
        <v>100</v>
      </c>
      <c r="K547" s="234">
        <v>2</v>
      </c>
      <c r="L547" s="235">
        <f t="shared" si="81"/>
        <v>2.4750000000000001</v>
      </c>
      <c r="M547" s="200">
        <f t="shared" si="82"/>
        <v>0</v>
      </c>
      <c r="N547" s="200">
        <f t="shared" si="83"/>
        <v>4.95</v>
      </c>
      <c r="O547" s="200">
        <f t="shared" si="84"/>
        <v>0</v>
      </c>
      <c r="P547" s="200">
        <f t="shared" si="85"/>
        <v>0</v>
      </c>
      <c r="Q547" s="200">
        <f t="shared" si="86"/>
        <v>0</v>
      </c>
      <c r="R547" s="200">
        <f t="shared" si="87"/>
        <v>0</v>
      </c>
      <c r="S547" s="200">
        <f t="shared" si="88"/>
        <v>0</v>
      </c>
    </row>
    <row r="548" spans="1:19" s="236" customFormat="1" ht="24.95" customHeight="1">
      <c r="A548" s="239"/>
      <c r="B548" s="239" t="s">
        <v>393</v>
      </c>
      <c r="C548" s="240">
        <v>10</v>
      </c>
      <c r="D548" s="239">
        <f>D547</f>
        <v>1</v>
      </c>
      <c r="E548" s="203">
        <v>2</v>
      </c>
      <c r="F548" s="241">
        <v>100</v>
      </c>
      <c r="G548" s="234"/>
      <c r="H548" s="234">
        <v>2315</v>
      </c>
      <c r="I548" s="234"/>
      <c r="J548" s="241">
        <v>100</v>
      </c>
      <c r="K548" s="234">
        <v>2</v>
      </c>
      <c r="L548" s="235">
        <f t="shared" si="81"/>
        <v>2.4750000000000001</v>
      </c>
      <c r="M548" s="200">
        <f t="shared" si="82"/>
        <v>0</v>
      </c>
      <c r="N548" s="200">
        <f t="shared" si="83"/>
        <v>4.95</v>
      </c>
      <c r="O548" s="200">
        <f t="shared" si="84"/>
        <v>0</v>
      </c>
      <c r="P548" s="200">
        <f t="shared" si="85"/>
        <v>0</v>
      </c>
      <c r="Q548" s="200">
        <f t="shared" si="86"/>
        <v>0</v>
      </c>
      <c r="R548" s="200">
        <f t="shared" si="87"/>
        <v>0</v>
      </c>
      <c r="S548" s="200">
        <f t="shared" si="88"/>
        <v>0</v>
      </c>
    </row>
    <row r="549" spans="1:19" s="236" customFormat="1" ht="24.95" customHeight="1">
      <c r="A549" s="239"/>
      <c r="B549" s="239" t="s">
        <v>394</v>
      </c>
      <c r="C549" s="240">
        <v>8</v>
      </c>
      <c r="D549" s="239">
        <f>D547</f>
        <v>1</v>
      </c>
      <c r="E549" s="203">
        <f>(H547/200)+1</f>
        <v>12.574999999999999</v>
      </c>
      <c r="F549" s="234"/>
      <c r="G549" s="234"/>
      <c r="H549" s="234">
        <v>820</v>
      </c>
      <c r="I549" s="234"/>
      <c r="J549" s="234"/>
      <c r="K549" s="241">
        <v>5</v>
      </c>
      <c r="L549" s="235">
        <f t="shared" si="81"/>
        <v>0.74</v>
      </c>
      <c r="M549" s="200">
        <f t="shared" si="82"/>
        <v>9.3054999999999986</v>
      </c>
      <c r="N549" s="200">
        <f t="shared" si="83"/>
        <v>0</v>
      </c>
      <c r="O549" s="200">
        <f t="shared" si="84"/>
        <v>0</v>
      </c>
      <c r="P549" s="200">
        <f t="shared" si="85"/>
        <v>0</v>
      </c>
      <c r="Q549" s="200">
        <f t="shared" si="86"/>
        <v>0</v>
      </c>
      <c r="R549" s="200">
        <f t="shared" si="87"/>
        <v>0</v>
      </c>
      <c r="S549" s="200">
        <f t="shared" si="88"/>
        <v>0</v>
      </c>
    </row>
    <row r="550" spans="1:19" s="236" customFormat="1" ht="24.95" customHeight="1">
      <c r="A550" s="239">
        <v>10</v>
      </c>
      <c r="B550" s="239" t="s">
        <v>392</v>
      </c>
      <c r="C550" s="240">
        <v>10</v>
      </c>
      <c r="D550" s="239">
        <v>1</v>
      </c>
      <c r="E550" s="203">
        <v>2</v>
      </c>
      <c r="F550" s="241">
        <v>100</v>
      </c>
      <c r="G550" s="234"/>
      <c r="H550" s="234">
        <v>1660</v>
      </c>
      <c r="I550" s="234"/>
      <c r="J550" s="241">
        <v>100</v>
      </c>
      <c r="K550" s="234">
        <v>2</v>
      </c>
      <c r="L550" s="235">
        <f t="shared" si="81"/>
        <v>1.82</v>
      </c>
      <c r="M550" s="200">
        <f t="shared" si="82"/>
        <v>0</v>
      </c>
      <c r="N550" s="200">
        <f t="shared" si="83"/>
        <v>3.64</v>
      </c>
      <c r="O550" s="200">
        <f t="shared" si="84"/>
        <v>0</v>
      </c>
      <c r="P550" s="200">
        <f t="shared" si="85"/>
        <v>0</v>
      </c>
      <c r="Q550" s="200">
        <f t="shared" si="86"/>
        <v>0</v>
      </c>
      <c r="R550" s="200">
        <f t="shared" si="87"/>
        <v>0</v>
      </c>
      <c r="S550" s="200">
        <f t="shared" si="88"/>
        <v>0</v>
      </c>
    </row>
    <row r="551" spans="1:19" s="236" customFormat="1" ht="24.95" customHeight="1">
      <c r="A551" s="239"/>
      <c r="B551" s="239" t="s">
        <v>393</v>
      </c>
      <c r="C551" s="240">
        <v>10</v>
      </c>
      <c r="D551" s="239">
        <f>D550</f>
        <v>1</v>
      </c>
      <c r="E551" s="203">
        <v>2</v>
      </c>
      <c r="F551" s="241">
        <v>100</v>
      </c>
      <c r="G551" s="234"/>
      <c r="H551" s="234">
        <v>1660</v>
      </c>
      <c r="I551" s="234"/>
      <c r="J551" s="241">
        <v>100</v>
      </c>
      <c r="K551" s="234">
        <v>2</v>
      </c>
      <c r="L551" s="235">
        <f t="shared" si="81"/>
        <v>1.82</v>
      </c>
      <c r="M551" s="200">
        <f t="shared" si="82"/>
        <v>0</v>
      </c>
      <c r="N551" s="200">
        <f t="shared" si="83"/>
        <v>3.64</v>
      </c>
      <c r="O551" s="200">
        <f t="shared" si="84"/>
        <v>0</v>
      </c>
      <c r="P551" s="200">
        <f t="shared" si="85"/>
        <v>0</v>
      </c>
      <c r="Q551" s="200">
        <f t="shared" si="86"/>
        <v>0</v>
      </c>
      <c r="R551" s="200">
        <f t="shared" si="87"/>
        <v>0</v>
      </c>
      <c r="S551" s="200">
        <f t="shared" si="88"/>
        <v>0</v>
      </c>
    </row>
    <row r="552" spans="1:19" s="236" customFormat="1" ht="24.95" customHeight="1">
      <c r="A552" s="239"/>
      <c r="B552" s="239" t="s">
        <v>394</v>
      </c>
      <c r="C552" s="240">
        <v>8</v>
      </c>
      <c r="D552" s="239">
        <f>D550</f>
        <v>1</v>
      </c>
      <c r="E552" s="203">
        <f>(H550/200)+1</f>
        <v>9.3000000000000007</v>
      </c>
      <c r="F552" s="234"/>
      <c r="G552" s="234"/>
      <c r="H552" s="234">
        <v>820</v>
      </c>
      <c r="I552" s="234"/>
      <c r="J552" s="234"/>
      <c r="K552" s="241">
        <v>5</v>
      </c>
      <c r="L552" s="235">
        <f t="shared" si="81"/>
        <v>0.74</v>
      </c>
      <c r="M552" s="200">
        <f t="shared" si="82"/>
        <v>6.8820000000000006</v>
      </c>
      <c r="N552" s="200">
        <f t="shared" si="83"/>
        <v>0</v>
      </c>
      <c r="O552" s="200">
        <f t="shared" si="84"/>
        <v>0</v>
      </c>
      <c r="P552" s="200">
        <f t="shared" si="85"/>
        <v>0</v>
      </c>
      <c r="Q552" s="200">
        <f t="shared" si="86"/>
        <v>0</v>
      </c>
      <c r="R552" s="200">
        <f t="shared" si="87"/>
        <v>0</v>
      </c>
      <c r="S552" s="200">
        <f t="shared" si="88"/>
        <v>0</v>
      </c>
    </row>
    <row r="553" spans="1:19" s="236" customFormat="1" ht="24.95" customHeight="1">
      <c r="A553" s="239">
        <v>11</v>
      </c>
      <c r="B553" s="239" t="s">
        <v>392</v>
      </c>
      <c r="C553" s="240">
        <v>10</v>
      </c>
      <c r="D553" s="239">
        <v>6</v>
      </c>
      <c r="E553" s="203">
        <v>2</v>
      </c>
      <c r="F553" s="241">
        <v>100</v>
      </c>
      <c r="G553" s="234"/>
      <c r="H553" s="241">
        <v>1025</v>
      </c>
      <c r="I553" s="234"/>
      <c r="J553" s="241">
        <v>100</v>
      </c>
      <c r="K553" s="234">
        <v>2</v>
      </c>
      <c r="L553" s="235">
        <f t="shared" si="81"/>
        <v>1.1850000000000001</v>
      </c>
      <c r="M553" s="200">
        <f t="shared" si="82"/>
        <v>0</v>
      </c>
      <c r="N553" s="200">
        <f t="shared" si="83"/>
        <v>14.22</v>
      </c>
      <c r="O553" s="200">
        <f t="shared" si="84"/>
        <v>0</v>
      </c>
      <c r="P553" s="200">
        <f t="shared" si="85"/>
        <v>0</v>
      </c>
      <c r="Q553" s="200">
        <f t="shared" si="86"/>
        <v>0</v>
      </c>
      <c r="R553" s="200">
        <f t="shared" si="87"/>
        <v>0</v>
      </c>
      <c r="S553" s="200">
        <f t="shared" si="88"/>
        <v>0</v>
      </c>
    </row>
    <row r="554" spans="1:19" s="236" customFormat="1" ht="24.95" customHeight="1">
      <c r="A554" s="239"/>
      <c r="B554" s="239" t="s">
        <v>393</v>
      </c>
      <c r="C554" s="240">
        <v>10</v>
      </c>
      <c r="D554" s="239">
        <f>D553</f>
        <v>6</v>
      </c>
      <c r="E554" s="203">
        <v>2</v>
      </c>
      <c r="F554" s="241">
        <v>100</v>
      </c>
      <c r="G554" s="234"/>
      <c r="H554" s="241">
        <v>1025</v>
      </c>
      <c r="I554" s="234"/>
      <c r="J554" s="241">
        <v>100</v>
      </c>
      <c r="K554" s="234">
        <v>2</v>
      </c>
      <c r="L554" s="235">
        <f t="shared" si="81"/>
        <v>1.1850000000000001</v>
      </c>
      <c r="M554" s="200">
        <f t="shared" si="82"/>
        <v>0</v>
      </c>
      <c r="N554" s="200">
        <f t="shared" si="83"/>
        <v>14.22</v>
      </c>
      <c r="O554" s="200">
        <f t="shared" si="84"/>
        <v>0</v>
      </c>
      <c r="P554" s="200">
        <f t="shared" si="85"/>
        <v>0</v>
      </c>
      <c r="Q554" s="200">
        <f t="shared" si="86"/>
        <v>0</v>
      </c>
      <c r="R554" s="200">
        <f t="shared" si="87"/>
        <v>0</v>
      </c>
      <c r="S554" s="200">
        <f t="shared" si="88"/>
        <v>0</v>
      </c>
    </row>
    <row r="555" spans="1:19" s="236" customFormat="1" ht="24.95" customHeight="1">
      <c r="A555" s="239"/>
      <c r="B555" s="239" t="s">
        <v>394</v>
      </c>
      <c r="C555" s="240">
        <v>8</v>
      </c>
      <c r="D555" s="239">
        <f>D553</f>
        <v>6</v>
      </c>
      <c r="E555" s="203">
        <f>(H553/200)+1</f>
        <v>6.125</v>
      </c>
      <c r="F555" s="234"/>
      <c r="G555" s="234"/>
      <c r="H555" s="234">
        <v>820</v>
      </c>
      <c r="I555" s="234"/>
      <c r="J555" s="234"/>
      <c r="K555" s="241">
        <v>5</v>
      </c>
      <c r="L555" s="235">
        <f t="shared" si="81"/>
        <v>0.74</v>
      </c>
      <c r="M555" s="200">
        <f t="shared" si="82"/>
        <v>27.195</v>
      </c>
      <c r="N555" s="200">
        <f t="shared" si="83"/>
        <v>0</v>
      </c>
      <c r="O555" s="200">
        <f t="shared" si="84"/>
        <v>0</v>
      </c>
      <c r="P555" s="200">
        <f t="shared" si="85"/>
        <v>0</v>
      </c>
      <c r="Q555" s="200">
        <f t="shared" si="86"/>
        <v>0</v>
      </c>
      <c r="R555" s="200">
        <f t="shared" si="87"/>
        <v>0</v>
      </c>
      <c r="S555" s="200">
        <f t="shared" si="88"/>
        <v>0</v>
      </c>
    </row>
    <row r="556" spans="1:19" s="236" customFormat="1" ht="24.95" customHeight="1">
      <c r="A556" s="207">
        <v>12</v>
      </c>
      <c r="B556" s="208" t="s">
        <v>399</v>
      </c>
      <c r="C556" s="240">
        <v>12</v>
      </c>
      <c r="D556" s="239">
        <v>3</v>
      </c>
      <c r="E556" s="203">
        <v>3</v>
      </c>
      <c r="F556" s="241">
        <v>100</v>
      </c>
      <c r="G556" s="234"/>
      <c r="H556" s="234">
        <v>2950</v>
      </c>
      <c r="I556" s="234"/>
      <c r="J556" s="241">
        <v>100</v>
      </c>
      <c r="K556" s="234">
        <v>2</v>
      </c>
      <c r="L556" s="235">
        <f t="shared" si="81"/>
        <v>3.1019999999999999</v>
      </c>
      <c r="M556" s="200">
        <f t="shared" si="82"/>
        <v>0</v>
      </c>
      <c r="N556" s="200">
        <f t="shared" si="83"/>
        <v>0</v>
      </c>
      <c r="O556" s="200">
        <f t="shared" si="84"/>
        <v>27.917999999999999</v>
      </c>
      <c r="P556" s="200">
        <f t="shared" si="85"/>
        <v>0</v>
      </c>
      <c r="Q556" s="200">
        <f t="shared" si="86"/>
        <v>0</v>
      </c>
      <c r="R556" s="200">
        <f t="shared" si="87"/>
        <v>0</v>
      </c>
      <c r="S556" s="200">
        <f t="shared" si="88"/>
        <v>0</v>
      </c>
    </row>
    <row r="557" spans="1:19" s="236" customFormat="1" ht="24.95" customHeight="1">
      <c r="A557" s="239"/>
      <c r="B557" s="239" t="s">
        <v>393</v>
      </c>
      <c r="C557" s="240">
        <v>12</v>
      </c>
      <c r="D557" s="239">
        <f>D556</f>
        <v>3</v>
      </c>
      <c r="E557" s="203">
        <v>3</v>
      </c>
      <c r="F557" s="241">
        <v>100</v>
      </c>
      <c r="G557" s="234"/>
      <c r="H557" s="234">
        <v>2950</v>
      </c>
      <c r="I557" s="234"/>
      <c r="J557" s="241">
        <v>100</v>
      </c>
      <c r="K557" s="234">
        <v>2</v>
      </c>
      <c r="L557" s="235">
        <f t="shared" si="81"/>
        <v>3.1019999999999999</v>
      </c>
      <c r="M557" s="200">
        <f t="shared" si="82"/>
        <v>0</v>
      </c>
      <c r="N557" s="200">
        <f t="shared" si="83"/>
        <v>0</v>
      </c>
      <c r="O557" s="200">
        <f t="shared" si="84"/>
        <v>27.917999999999999</v>
      </c>
      <c r="P557" s="200">
        <f t="shared" si="85"/>
        <v>0</v>
      </c>
      <c r="Q557" s="200">
        <f t="shared" si="86"/>
        <v>0</v>
      </c>
      <c r="R557" s="200">
        <f t="shared" si="87"/>
        <v>0</v>
      </c>
      <c r="S557" s="200">
        <f t="shared" si="88"/>
        <v>0</v>
      </c>
    </row>
    <row r="558" spans="1:19" s="236" customFormat="1" ht="24.95" customHeight="1">
      <c r="A558" s="239"/>
      <c r="B558" s="239" t="s">
        <v>400</v>
      </c>
      <c r="C558" s="240">
        <v>8</v>
      </c>
      <c r="D558" s="239">
        <f>D556</f>
        <v>3</v>
      </c>
      <c r="E558" s="203">
        <f>(H556/200)+1</f>
        <v>15.75</v>
      </c>
      <c r="F558" s="234"/>
      <c r="G558" s="234"/>
      <c r="H558" s="234">
        <v>1280</v>
      </c>
      <c r="I558" s="234"/>
      <c r="J558" s="234"/>
      <c r="K558" s="241">
        <v>5</v>
      </c>
      <c r="L558" s="235">
        <f t="shared" si="81"/>
        <v>1.2</v>
      </c>
      <c r="M558" s="200">
        <f t="shared" si="82"/>
        <v>56.699999999999996</v>
      </c>
      <c r="N558" s="200">
        <f t="shared" si="83"/>
        <v>0</v>
      </c>
      <c r="O558" s="200">
        <f t="shared" si="84"/>
        <v>0</v>
      </c>
      <c r="P558" s="200">
        <f t="shared" si="85"/>
        <v>0</v>
      </c>
      <c r="Q558" s="200">
        <f t="shared" si="86"/>
        <v>0</v>
      </c>
      <c r="R558" s="200">
        <f t="shared" si="87"/>
        <v>0</v>
      </c>
      <c r="S558" s="200">
        <f t="shared" si="88"/>
        <v>0</v>
      </c>
    </row>
    <row r="559" spans="1:19" s="236" customFormat="1" ht="24.95" customHeight="1">
      <c r="A559" s="205" t="s">
        <v>429</v>
      </c>
      <c r="B559" s="206" t="s">
        <v>396</v>
      </c>
      <c r="C559" s="240"/>
      <c r="D559" s="239"/>
      <c r="E559" s="203"/>
      <c r="F559" s="234"/>
      <c r="G559" s="234"/>
      <c r="H559" s="234"/>
      <c r="I559" s="234"/>
      <c r="J559" s="234"/>
      <c r="K559" s="234"/>
      <c r="L559" s="235">
        <f t="shared" si="81"/>
        <v>0</v>
      </c>
      <c r="M559" s="200">
        <f t="shared" si="82"/>
        <v>0</v>
      </c>
      <c r="N559" s="200">
        <f t="shared" si="83"/>
        <v>0</v>
      </c>
      <c r="O559" s="200">
        <f t="shared" si="84"/>
        <v>0</v>
      </c>
      <c r="P559" s="200">
        <f t="shared" si="85"/>
        <v>0</v>
      </c>
      <c r="Q559" s="200">
        <f t="shared" si="86"/>
        <v>0</v>
      </c>
      <c r="R559" s="200">
        <f t="shared" si="87"/>
        <v>0</v>
      </c>
      <c r="S559" s="200">
        <f t="shared" si="88"/>
        <v>0</v>
      </c>
    </row>
    <row r="560" spans="1:19" s="236" customFormat="1" ht="24.95" customHeight="1">
      <c r="A560" s="239">
        <v>1</v>
      </c>
      <c r="B560" s="239" t="s">
        <v>392</v>
      </c>
      <c r="C560" s="240">
        <v>10</v>
      </c>
      <c r="D560" s="239">
        <v>2</v>
      </c>
      <c r="E560" s="203">
        <v>2</v>
      </c>
      <c r="F560" s="241">
        <v>100</v>
      </c>
      <c r="G560" s="234"/>
      <c r="H560" s="234">
        <v>2505</v>
      </c>
      <c r="I560" s="234"/>
      <c r="J560" s="241">
        <v>100</v>
      </c>
      <c r="K560" s="234">
        <v>2</v>
      </c>
      <c r="L560" s="235">
        <f t="shared" si="81"/>
        <v>2.665</v>
      </c>
      <c r="M560" s="200">
        <f t="shared" si="82"/>
        <v>0</v>
      </c>
      <c r="N560" s="200">
        <f t="shared" si="83"/>
        <v>10.66</v>
      </c>
      <c r="O560" s="200">
        <f t="shared" si="84"/>
        <v>0</v>
      </c>
      <c r="P560" s="200">
        <f t="shared" si="85"/>
        <v>0</v>
      </c>
      <c r="Q560" s="200">
        <f t="shared" si="86"/>
        <v>0</v>
      </c>
      <c r="R560" s="200">
        <f t="shared" si="87"/>
        <v>0</v>
      </c>
      <c r="S560" s="200">
        <f t="shared" si="88"/>
        <v>0</v>
      </c>
    </row>
    <row r="561" spans="1:19" s="236" customFormat="1" ht="24.95" customHeight="1">
      <c r="A561" s="239"/>
      <c r="B561" s="239" t="s">
        <v>393</v>
      </c>
      <c r="C561" s="240">
        <v>10</v>
      </c>
      <c r="D561" s="239">
        <v>2</v>
      </c>
      <c r="E561" s="203">
        <v>2</v>
      </c>
      <c r="F561" s="241">
        <v>100</v>
      </c>
      <c r="G561" s="234"/>
      <c r="H561" s="234">
        <v>2505</v>
      </c>
      <c r="I561" s="234"/>
      <c r="J561" s="241">
        <v>100</v>
      </c>
      <c r="K561" s="234">
        <v>2</v>
      </c>
      <c r="L561" s="235">
        <f t="shared" si="81"/>
        <v>2.665</v>
      </c>
      <c r="M561" s="200">
        <f t="shared" si="82"/>
        <v>0</v>
      </c>
      <c r="N561" s="200">
        <f t="shared" si="83"/>
        <v>10.66</v>
      </c>
      <c r="O561" s="200">
        <f t="shared" si="84"/>
        <v>0</v>
      </c>
      <c r="P561" s="200">
        <f t="shared" si="85"/>
        <v>0</v>
      </c>
      <c r="Q561" s="200">
        <f t="shared" si="86"/>
        <v>0</v>
      </c>
      <c r="R561" s="200">
        <f t="shared" si="87"/>
        <v>0</v>
      </c>
      <c r="S561" s="200">
        <f t="shared" si="88"/>
        <v>0</v>
      </c>
    </row>
    <row r="562" spans="1:19" s="236" customFormat="1" ht="24.95" customHeight="1">
      <c r="A562" s="239"/>
      <c r="B562" s="239" t="s">
        <v>394</v>
      </c>
      <c r="C562" s="240">
        <v>8</v>
      </c>
      <c r="D562" s="239">
        <v>2</v>
      </c>
      <c r="E562" s="203">
        <f>(H560/200)+1</f>
        <v>13.525</v>
      </c>
      <c r="F562" s="234"/>
      <c r="G562" s="234"/>
      <c r="H562" s="234">
        <v>820</v>
      </c>
      <c r="I562" s="234"/>
      <c r="J562" s="234"/>
      <c r="K562" s="241">
        <v>5</v>
      </c>
      <c r="L562" s="235">
        <f t="shared" si="81"/>
        <v>0.74</v>
      </c>
      <c r="M562" s="200">
        <f t="shared" si="82"/>
        <v>20.016999999999999</v>
      </c>
      <c r="N562" s="200">
        <f t="shared" si="83"/>
        <v>0</v>
      </c>
      <c r="O562" s="200">
        <f t="shared" si="84"/>
        <v>0</v>
      </c>
      <c r="P562" s="200">
        <f t="shared" si="85"/>
        <v>0</v>
      </c>
      <c r="Q562" s="200">
        <f t="shared" si="86"/>
        <v>0</v>
      </c>
      <c r="R562" s="200">
        <f t="shared" si="87"/>
        <v>0</v>
      </c>
      <c r="S562" s="200">
        <f t="shared" si="88"/>
        <v>0</v>
      </c>
    </row>
    <row r="563" spans="1:19" s="236" customFormat="1" ht="24.95" customHeight="1">
      <c r="A563" s="239">
        <v>2</v>
      </c>
      <c r="B563" s="239" t="s">
        <v>392</v>
      </c>
      <c r="C563" s="240">
        <v>10</v>
      </c>
      <c r="D563" s="239">
        <v>2</v>
      </c>
      <c r="E563" s="203">
        <v>2</v>
      </c>
      <c r="F563" s="241">
        <v>100</v>
      </c>
      <c r="G563" s="234"/>
      <c r="H563" s="234">
        <v>5525</v>
      </c>
      <c r="I563" s="234"/>
      <c r="J563" s="241">
        <v>100</v>
      </c>
      <c r="K563" s="234">
        <v>2</v>
      </c>
      <c r="L563" s="235">
        <f t="shared" si="81"/>
        <v>5.6849999999999996</v>
      </c>
      <c r="M563" s="200">
        <f t="shared" si="82"/>
        <v>0</v>
      </c>
      <c r="N563" s="200">
        <f t="shared" si="83"/>
        <v>22.74</v>
      </c>
      <c r="O563" s="200">
        <f t="shared" si="84"/>
        <v>0</v>
      </c>
      <c r="P563" s="200">
        <f t="shared" si="85"/>
        <v>0</v>
      </c>
      <c r="Q563" s="200">
        <f t="shared" si="86"/>
        <v>0</v>
      </c>
      <c r="R563" s="200">
        <f t="shared" si="87"/>
        <v>0</v>
      </c>
      <c r="S563" s="200">
        <f t="shared" si="88"/>
        <v>0</v>
      </c>
    </row>
    <row r="564" spans="1:19" s="236" customFormat="1" ht="24.95" customHeight="1">
      <c r="A564" s="239"/>
      <c r="B564" s="239" t="s">
        <v>393</v>
      </c>
      <c r="C564" s="240">
        <v>10</v>
      </c>
      <c r="D564" s="239">
        <v>2</v>
      </c>
      <c r="E564" s="203">
        <v>2</v>
      </c>
      <c r="F564" s="241">
        <v>100</v>
      </c>
      <c r="G564" s="234"/>
      <c r="H564" s="234">
        <v>5525</v>
      </c>
      <c r="I564" s="234"/>
      <c r="J564" s="241">
        <v>100</v>
      </c>
      <c r="K564" s="234">
        <v>2</v>
      </c>
      <c r="L564" s="235">
        <f t="shared" si="81"/>
        <v>5.6849999999999996</v>
      </c>
      <c r="M564" s="200">
        <f t="shared" si="82"/>
        <v>0</v>
      </c>
      <c r="N564" s="200">
        <f t="shared" si="83"/>
        <v>22.74</v>
      </c>
      <c r="O564" s="200">
        <f t="shared" si="84"/>
        <v>0</v>
      </c>
      <c r="P564" s="200">
        <f t="shared" si="85"/>
        <v>0</v>
      </c>
      <c r="Q564" s="200">
        <f t="shared" si="86"/>
        <v>0</v>
      </c>
      <c r="R564" s="200">
        <f t="shared" si="87"/>
        <v>0</v>
      </c>
      <c r="S564" s="200">
        <f t="shared" si="88"/>
        <v>0</v>
      </c>
    </row>
    <row r="565" spans="1:19" s="236" customFormat="1" ht="24.95" customHeight="1">
      <c r="A565" s="239"/>
      <c r="B565" s="239" t="s">
        <v>394</v>
      </c>
      <c r="C565" s="240">
        <v>8</v>
      </c>
      <c r="D565" s="239">
        <v>2</v>
      </c>
      <c r="E565" s="203">
        <f>(H563/200)+1</f>
        <v>28.625</v>
      </c>
      <c r="F565" s="234"/>
      <c r="G565" s="234"/>
      <c r="H565" s="234">
        <v>820</v>
      </c>
      <c r="I565" s="234"/>
      <c r="J565" s="234"/>
      <c r="K565" s="241">
        <v>5</v>
      </c>
      <c r="L565" s="235">
        <f t="shared" si="81"/>
        <v>0.74</v>
      </c>
      <c r="M565" s="200">
        <f t="shared" si="82"/>
        <v>42.365000000000002</v>
      </c>
      <c r="N565" s="200">
        <f t="shared" si="83"/>
        <v>0</v>
      </c>
      <c r="O565" s="200">
        <f t="shared" si="84"/>
        <v>0</v>
      </c>
      <c r="P565" s="200">
        <f t="shared" si="85"/>
        <v>0</v>
      </c>
      <c r="Q565" s="200">
        <f t="shared" si="86"/>
        <v>0</v>
      </c>
      <c r="R565" s="200">
        <f t="shared" si="87"/>
        <v>0</v>
      </c>
      <c r="S565" s="200">
        <f t="shared" si="88"/>
        <v>0</v>
      </c>
    </row>
    <row r="566" spans="1:19" s="236" customFormat="1" ht="24.95" customHeight="1">
      <c r="A566" s="239">
        <v>3</v>
      </c>
      <c r="B566" s="239" t="s">
        <v>392</v>
      </c>
      <c r="C566" s="240">
        <v>10</v>
      </c>
      <c r="D566" s="239">
        <v>2</v>
      </c>
      <c r="E566" s="203">
        <v>2</v>
      </c>
      <c r="F566" s="241">
        <v>100</v>
      </c>
      <c r="G566" s="234"/>
      <c r="H566" s="234">
        <v>6560</v>
      </c>
      <c r="I566" s="234"/>
      <c r="J566" s="241">
        <v>100</v>
      </c>
      <c r="K566" s="234">
        <v>2</v>
      </c>
      <c r="L566" s="235">
        <f t="shared" si="81"/>
        <v>6.72</v>
      </c>
      <c r="M566" s="200">
        <f t="shared" si="82"/>
        <v>0</v>
      </c>
      <c r="N566" s="200">
        <f t="shared" si="83"/>
        <v>26.88</v>
      </c>
      <c r="O566" s="200">
        <f t="shared" si="84"/>
        <v>0</v>
      </c>
      <c r="P566" s="200">
        <f t="shared" si="85"/>
        <v>0</v>
      </c>
      <c r="Q566" s="200">
        <f t="shared" si="86"/>
        <v>0</v>
      </c>
      <c r="R566" s="200">
        <f t="shared" si="87"/>
        <v>0</v>
      </c>
      <c r="S566" s="200">
        <f t="shared" si="88"/>
        <v>0</v>
      </c>
    </row>
    <row r="567" spans="1:19" s="236" customFormat="1" ht="24.95" customHeight="1">
      <c r="A567" s="239"/>
      <c r="B567" s="239" t="s">
        <v>393</v>
      </c>
      <c r="C567" s="240">
        <v>10</v>
      </c>
      <c r="D567" s="239">
        <v>2</v>
      </c>
      <c r="E567" s="203">
        <v>2</v>
      </c>
      <c r="F567" s="241">
        <v>100</v>
      </c>
      <c r="G567" s="234"/>
      <c r="H567" s="234">
        <v>6560</v>
      </c>
      <c r="I567" s="234"/>
      <c r="J567" s="241">
        <v>100</v>
      </c>
      <c r="K567" s="234">
        <v>2</v>
      </c>
      <c r="L567" s="235">
        <f t="shared" si="81"/>
        <v>6.72</v>
      </c>
      <c r="M567" s="200">
        <f t="shared" si="82"/>
        <v>0</v>
      </c>
      <c r="N567" s="200">
        <f t="shared" si="83"/>
        <v>26.88</v>
      </c>
      <c r="O567" s="200">
        <f t="shared" si="84"/>
        <v>0</v>
      </c>
      <c r="P567" s="200">
        <f t="shared" si="85"/>
        <v>0</v>
      </c>
      <c r="Q567" s="200">
        <f t="shared" si="86"/>
        <v>0</v>
      </c>
      <c r="R567" s="200">
        <f t="shared" si="87"/>
        <v>0</v>
      </c>
      <c r="S567" s="200">
        <f t="shared" si="88"/>
        <v>0</v>
      </c>
    </row>
    <row r="568" spans="1:19" s="236" customFormat="1" ht="24.95" customHeight="1">
      <c r="A568" s="239"/>
      <c r="B568" s="239" t="s">
        <v>394</v>
      </c>
      <c r="C568" s="240">
        <v>8</v>
      </c>
      <c r="D568" s="239">
        <v>2</v>
      </c>
      <c r="E568" s="203">
        <f>(H566/200)+1</f>
        <v>33.799999999999997</v>
      </c>
      <c r="F568" s="234"/>
      <c r="G568" s="234"/>
      <c r="H568" s="234">
        <v>820</v>
      </c>
      <c r="I568" s="234"/>
      <c r="J568" s="234"/>
      <c r="K568" s="241">
        <v>5</v>
      </c>
      <c r="L568" s="235">
        <f t="shared" si="81"/>
        <v>0.74</v>
      </c>
      <c r="M568" s="200">
        <f t="shared" si="82"/>
        <v>50.023999999999994</v>
      </c>
      <c r="N568" s="200">
        <f t="shared" si="83"/>
        <v>0</v>
      </c>
      <c r="O568" s="200">
        <f t="shared" si="84"/>
        <v>0</v>
      </c>
      <c r="P568" s="200">
        <f t="shared" si="85"/>
        <v>0</v>
      </c>
      <c r="Q568" s="200">
        <f t="shared" si="86"/>
        <v>0</v>
      </c>
      <c r="R568" s="200">
        <f t="shared" si="87"/>
        <v>0</v>
      </c>
      <c r="S568" s="200">
        <f t="shared" si="88"/>
        <v>0</v>
      </c>
    </row>
    <row r="569" spans="1:19" s="236" customFormat="1" ht="24.95" customHeight="1">
      <c r="A569" s="239">
        <v>4</v>
      </c>
      <c r="B569" s="239" t="s">
        <v>392</v>
      </c>
      <c r="C569" s="240">
        <v>10</v>
      </c>
      <c r="D569" s="239">
        <v>2</v>
      </c>
      <c r="E569" s="203">
        <v>2</v>
      </c>
      <c r="F569" s="241">
        <v>100</v>
      </c>
      <c r="G569" s="234"/>
      <c r="H569" s="234">
        <v>7130</v>
      </c>
      <c r="I569" s="234"/>
      <c r="J569" s="241">
        <v>100</v>
      </c>
      <c r="K569" s="234">
        <v>2</v>
      </c>
      <c r="L569" s="235">
        <f t="shared" si="81"/>
        <v>7.29</v>
      </c>
      <c r="M569" s="200">
        <f t="shared" si="82"/>
        <v>0</v>
      </c>
      <c r="N569" s="200">
        <f t="shared" si="83"/>
        <v>29.16</v>
      </c>
      <c r="O569" s="200">
        <f t="shared" si="84"/>
        <v>0</v>
      </c>
      <c r="P569" s="200">
        <f t="shared" si="85"/>
        <v>0</v>
      </c>
      <c r="Q569" s="200">
        <f t="shared" si="86"/>
        <v>0</v>
      </c>
      <c r="R569" s="200">
        <f t="shared" si="87"/>
        <v>0</v>
      </c>
      <c r="S569" s="200">
        <f t="shared" si="88"/>
        <v>0</v>
      </c>
    </row>
    <row r="570" spans="1:19" s="236" customFormat="1" ht="24.95" customHeight="1">
      <c r="A570" s="239"/>
      <c r="B570" s="239" t="s">
        <v>393</v>
      </c>
      <c r="C570" s="240">
        <v>10</v>
      </c>
      <c r="D570" s="239">
        <v>2</v>
      </c>
      <c r="E570" s="203">
        <v>2</v>
      </c>
      <c r="F570" s="241">
        <v>100</v>
      </c>
      <c r="G570" s="234"/>
      <c r="H570" s="234">
        <v>7130</v>
      </c>
      <c r="I570" s="234"/>
      <c r="J570" s="241">
        <v>100</v>
      </c>
      <c r="K570" s="234">
        <v>2</v>
      </c>
      <c r="L570" s="235">
        <f t="shared" si="81"/>
        <v>7.29</v>
      </c>
      <c r="M570" s="200">
        <f t="shared" si="82"/>
        <v>0</v>
      </c>
      <c r="N570" s="200">
        <f t="shared" si="83"/>
        <v>29.16</v>
      </c>
      <c r="O570" s="200">
        <f t="shared" si="84"/>
        <v>0</v>
      </c>
      <c r="P570" s="200">
        <f t="shared" si="85"/>
        <v>0</v>
      </c>
      <c r="Q570" s="200">
        <f t="shared" si="86"/>
        <v>0</v>
      </c>
      <c r="R570" s="200">
        <f t="shared" si="87"/>
        <v>0</v>
      </c>
      <c r="S570" s="200">
        <f t="shared" si="88"/>
        <v>0</v>
      </c>
    </row>
    <row r="571" spans="1:19" s="236" customFormat="1" ht="24.95" customHeight="1">
      <c r="A571" s="239"/>
      <c r="B571" s="239" t="s">
        <v>394</v>
      </c>
      <c r="C571" s="240">
        <v>8</v>
      </c>
      <c r="D571" s="239">
        <v>2</v>
      </c>
      <c r="E571" s="203">
        <f>(H569/200)+1</f>
        <v>36.65</v>
      </c>
      <c r="F571" s="234"/>
      <c r="G571" s="234"/>
      <c r="H571" s="234">
        <v>820</v>
      </c>
      <c r="I571" s="234"/>
      <c r="J571" s="234"/>
      <c r="K571" s="241">
        <v>5</v>
      </c>
      <c r="L571" s="235">
        <f t="shared" si="81"/>
        <v>0.74</v>
      </c>
      <c r="M571" s="200">
        <f t="shared" si="82"/>
        <v>54.241999999999997</v>
      </c>
      <c r="N571" s="200">
        <f t="shared" si="83"/>
        <v>0</v>
      </c>
      <c r="O571" s="200">
        <f t="shared" si="84"/>
        <v>0</v>
      </c>
      <c r="P571" s="200">
        <f t="shared" si="85"/>
        <v>0</v>
      </c>
      <c r="Q571" s="200">
        <f t="shared" si="86"/>
        <v>0</v>
      </c>
      <c r="R571" s="200">
        <f t="shared" si="87"/>
        <v>0</v>
      </c>
      <c r="S571" s="200">
        <f t="shared" si="88"/>
        <v>0</v>
      </c>
    </row>
    <row r="572" spans="1:19" s="236" customFormat="1" ht="24.95" customHeight="1">
      <c r="A572" s="239">
        <v>5</v>
      </c>
      <c r="B572" s="239" t="s">
        <v>392</v>
      </c>
      <c r="C572" s="240">
        <v>10</v>
      </c>
      <c r="D572" s="239">
        <v>2</v>
      </c>
      <c r="E572" s="203">
        <v>2</v>
      </c>
      <c r="F572" s="241">
        <v>100</v>
      </c>
      <c r="G572" s="234"/>
      <c r="H572" s="234">
        <v>6300</v>
      </c>
      <c r="I572" s="234"/>
      <c r="J572" s="241">
        <v>100</v>
      </c>
      <c r="K572" s="234">
        <v>2</v>
      </c>
      <c r="L572" s="235">
        <f t="shared" si="81"/>
        <v>6.46</v>
      </c>
      <c r="M572" s="200">
        <f t="shared" si="82"/>
        <v>0</v>
      </c>
      <c r="N572" s="200">
        <f t="shared" si="83"/>
        <v>25.84</v>
      </c>
      <c r="O572" s="200">
        <f t="shared" si="84"/>
        <v>0</v>
      </c>
      <c r="P572" s="200">
        <f t="shared" si="85"/>
        <v>0</v>
      </c>
      <c r="Q572" s="200">
        <f t="shared" si="86"/>
        <v>0</v>
      </c>
      <c r="R572" s="200">
        <f t="shared" si="87"/>
        <v>0</v>
      </c>
      <c r="S572" s="200">
        <f t="shared" si="88"/>
        <v>0</v>
      </c>
    </row>
    <row r="573" spans="1:19" s="236" customFormat="1" ht="24.95" customHeight="1">
      <c r="A573" s="239"/>
      <c r="B573" s="239" t="s">
        <v>393</v>
      </c>
      <c r="C573" s="240">
        <v>10</v>
      </c>
      <c r="D573" s="239">
        <v>2</v>
      </c>
      <c r="E573" s="203">
        <v>2</v>
      </c>
      <c r="F573" s="241">
        <v>100</v>
      </c>
      <c r="G573" s="234"/>
      <c r="H573" s="234">
        <v>6300</v>
      </c>
      <c r="I573" s="234"/>
      <c r="J573" s="241">
        <v>100</v>
      </c>
      <c r="K573" s="234">
        <v>2</v>
      </c>
      <c r="L573" s="235">
        <f t="shared" si="81"/>
        <v>6.46</v>
      </c>
      <c r="M573" s="200">
        <f t="shared" si="82"/>
        <v>0</v>
      </c>
      <c r="N573" s="200">
        <f t="shared" si="83"/>
        <v>25.84</v>
      </c>
      <c r="O573" s="200">
        <f t="shared" si="84"/>
        <v>0</v>
      </c>
      <c r="P573" s="200">
        <f t="shared" si="85"/>
        <v>0</v>
      </c>
      <c r="Q573" s="200">
        <f t="shared" si="86"/>
        <v>0</v>
      </c>
      <c r="R573" s="200">
        <f t="shared" si="87"/>
        <v>0</v>
      </c>
      <c r="S573" s="200">
        <f t="shared" si="88"/>
        <v>0</v>
      </c>
    </row>
    <row r="574" spans="1:19" s="236" customFormat="1" ht="24.95" customHeight="1">
      <c r="A574" s="239"/>
      <c r="B574" s="239" t="s">
        <v>394</v>
      </c>
      <c r="C574" s="240">
        <v>8</v>
      </c>
      <c r="D574" s="239">
        <v>2</v>
      </c>
      <c r="E574" s="203">
        <f>(H572/200)+1</f>
        <v>32.5</v>
      </c>
      <c r="F574" s="234"/>
      <c r="G574" s="234"/>
      <c r="H574" s="234">
        <v>820</v>
      </c>
      <c r="I574" s="234"/>
      <c r="J574" s="234"/>
      <c r="K574" s="241">
        <v>5</v>
      </c>
      <c r="L574" s="235">
        <f t="shared" si="81"/>
        <v>0.74</v>
      </c>
      <c r="M574" s="200">
        <f t="shared" si="82"/>
        <v>48.1</v>
      </c>
      <c r="N574" s="200">
        <f t="shared" si="83"/>
        <v>0</v>
      </c>
      <c r="O574" s="200">
        <f t="shared" si="84"/>
        <v>0</v>
      </c>
      <c r="P574" s="200">
        <f t="shared" si="85"/>
        <v>0</v>
      </c>
      <c r="Q574" s="200">
        <f t="shared" si="86"/>
        <v>0</v>
      </c>
      <c r="R574" s="200">
        <f t="shared" si="87"/>
        <v>0</v>
      </c>
      <c r="S574" s="200">
        <f t="shared" si="88"/>
        <v>0</v>
      </c>
    </row>
    <row r="575" spans="1:19" s="236" customFormat="1" ht="24.95" customHeight="1">
      <c r="A575" s="239">
        <v>6</v>
      </c>
      <c r="B575" s="239" t="s">
        <v>392</v>
      </c>
      <c r="C575" s="240">
        <v>10</v>
      </c>
      <c r="D575" s="239">
        <v>2</v>
      </c>
      <c r="E575" s="203">
        <v>2</v>
      </c>
      <c r="F575" s="241">
        <v>100</v>
      </c>
      <c r="G575" s="234"/>
      <c r="H575" s="234">
        <v>4825</v>
      </c>
      <c r="I575" s="234"/>
      <c r="J575" s="241">
        <v>100</v>
      </c>
      <c r="K575" s="234">
        <v>2</v>
      </c>
      <c r="L575" s="235">
        <f t="shared" si="81"/>
        <v>4.9850000000000003</v>
      </c>
      <c r="M575" s="200">
        <f t="shared" si="82"/>
        <v>0</v>
      </c>
      <c r="N575" s="200">
        <f t="shared" si="83"/>
        <v>19.940000000000001</v>
      </c>
      <c r="O575" s="200">
        <f t="shared" si="84"/>
        <v>0</v>
      </c>
      <c r="P575" s="200">
        <f t="shared" si="85"/>
        <v>0</v>
      </c>
      <c r="Q575" s="200">
        <f t="shared" si="86"/>
        <v>0</v>
      </c>
      <c r="R575" s="200">
        <f t="shared" si="87"/>
        <v>0</v>
      </c>
      <c r="S575" s="200">
        <f t="shared" si="88"/>
        <v>0</v>
      </c>
    </row>
    <row r="576" spans="1:19" s="236" customFormat="1" ht="24.95" customHeight="1">
      <c r="A576" s="239"/>
      <c r="B576" s="239" t="s">
        <v>393</v>
      </c>
      <c r="C576" s="240">
        <v>10</v>
      </c>
      <c r="D576" s="239">
        <v>2</v>
      </c>
      <c r="E576" s="203">
        <v>2</v>
      </c>
      <c r="F576" s="241">
        <v>100</v>
      </c>
      <c r="G576" s="234"/>
      <c r="H576" s="234">
        <v>4825</v>
      </c>
      <c r="I576" s="234"/>
      <c r="J576" s="241">
        <v>100</v>
      </c>
      <c r="K576" s="234">
        <v>2</v>
      </c>
      <c r="L576" s="235">
        <f t="shared" si="81"/>
        <v>4.9850000000000003</v>
      </c>
      <c r="M576" s="200">
        <f t="shared" si="82"/>
        <v>0</v>
      </c>
      <c r="N576" s="200">
        <f t="shared" si="83"/>
        <v>19.940000000000001</v>
      </c>
      <c r="O576" s="200">
        <f t="shared" si="84"/>
        <v>0</v>
      </c>
      <c r="P576" s="200">
        <f t="shared" si="85"/>
        <v>0</v>
      </c>
      <c r="Q576" s="200">
        <f t="shared" si="86"/>
        <v>0</v>
      </c>
      <c r="R576" s="200">
        <f t="shared" si="87"/>
        <v>0</v>
      </c>
      <c r="S576" s="200">
        <f t="shared" si="88"/>
        <v>0</v>
      </c>
    </row>
    <row r="577" spans="1:19" s="236" customFormat="1" ht="24.95" customHeight="1">
      <c r="A577" s="239"/>
      <c r="B577" s="239" t="s">
        <v>394</v>
      </c>
      <c r="C577" s="240">
        <v>8</v>
      </c>
      <c r="D577" s="239">
        <v>2</v>
      </c>
      <c r="E577" s="203">
        <f>(H575/200)+1</f>
        <v>25.125</v>
      </c>
      <c r="F577" s="234"/>
      <c r="G577" s="234"/>
      <c r="H577" s="234">
        <v>820</v>
      </c>
      <c r="I577" s="234"/>
      <c r="J577" s="234"/>
      <c r="K577" s="241">
        <v>5</v>
      </c>
      <c r="L577" s="235">
        <f t="shared" si="81"/>
        <v>0.74</v>
      </c>
      <c r="M577" s="200">
        <f t="shared" si="82"/>
        <v>37.185000000000002</v>
      </c>
      <c r="N577" s="200">
        <f t="shared" si="83"/>
        <v>0</v>
      </c>
      <c r="O577" s="200">
        <f t="shared" si="84"/>
        <v>0</v>
      </c>
      <c r="P577" s="200">
        <f t="shared" si="85"/>
        <v>0</v>
      </c>
      <c r="Q577" s="200">
        <f t="shared" si="86"/>
        <v>0</v>
      </c>
      <c r="R577" s="200">
        <f t="shared" si="87"/>
        <v>0</v>
      </c>
      <c r="S577" s="200">
        <f t="shared" si="88"/>
        <v>0</v>
      </c>
    </row>
    <row r="578" spans="1:19" s="236" customFormat="1" ht="24.95" customHeight="1">
      <c r="A578" s="239">
        <v>7</v>
      </c>
      <c r="B578" s="239" t="s">
        <v>392</v>
      </c>
      <c r="C578" s="240">
        <v>10</v>
      </c>
      <c r="D578" s="239">
        <v>2</v>
      </c>
      <c r="E578" s="203">
        <v>2</v>
      </c>
      <c r="F578" s="241">
        <v>100</v>
      </c>
      <c r="G578" s="234"/>
      <c r="H578" s="234">
        <v>3180</v>
      </c>
      <c r="I578" s="234"/>
      <c r="J578" s="241">
        <v>100</v>
      </c>
      <c r="K578" s="234">
        <v>2</v>
      </c>
      <c r="L578" s="235">
        <f t="shared" si="81"/>
        <v>3.34</v>
      </c>
      <c r="M578" s="200">
        <f t="shared" si="82"/>
        <v>0</v>
      </c>
      <c r="N578" s="200">
        <f t="shared" si="83"/>
        <v>13.36</v>
      </c>
      <c r="O578" s="200">
        <f t="shared" si="84"/>
        <v>0</v>
      </c>
      <c r="P578" s="200">
        <f t="shared" si="85"/>
        <v>0</v>
      </c>
      <c r="Q578" s="200">
        <f t="shared" si="86"/>
        <v>0</v>
      </c>
      <c r="R578" s="200">
        <f t="shared" si="87"/>
        <v>0</v>
      </c>
      <c r="S578" s="200">
        <f t="shared" si="88"/>
        <v>0</v>
      </c>
    </row>
    <row r="579" spans="1:19" s="236" customFormat="1" ht="24.95" customHeight="1">
      <c r="A579" s="239"/>
      <c r="B579" s="239" t="s">
        <v>393</v>
      </c>
      <c r="C579" s="240">
        <v>10</v>
      </c>
      <c r="D579" s="239">
        <v>2</v>
      </c>
      <c r="E579" s="203">
        <v>2</v>
      </c>
      <c r="F579" s="241">
        <v>100</v>
      </c>
      <c r="G579" s="234"/>
      <c r="H579" s="234">
        <v>3180</v>
      </c>
      <c r="I579" s="234"/>
      <c r="J579" s="241">
        <v>100</v>
      </c>
      <c r="K579" s="234">
        <v>2</v>
      </c>
      <c r="L579" s="235">
        <f t="shared" si="81"/>
        <v>3.34</v>
      </c>
      <c r="M579" s="200">
        <f t="shared" si="82"/>
        <v>0</v>
      </c>
      <c r="N579" s="200">
        <f t="shared" si="83"/>
        <v>13.36</v>
      </c>
      <c r="O579" s="200">
        <f t="shared" si="84"/>
        <v>0</v>
      </c>
      <c r="P579" s="200">
        <f t="shared" si="85"/>
        <v>0</v>
      </c>
      <c r="Q579" s="200">
        <f t="shared" si="86"/>
        <v>0</v>
      </c>
      <c r="R579" s="200">
        <f t="shared" si="87"/>
        <v>0</v>
      </c>
      <c r="S579" s="200">
        <f t="shared" si="88"/>
        <v>0</v>
      </c>
    </row>
    <row r="580" spans="1:19" s="236" customFormat="1" ht="24.95" customHeight="1">
      <c r="A580" s="239"/>
      <c r="B580" s="239" t="s">
        <v>394</v>
      </c>
      <c r="C580" s="240">
        <v>8</v>
      </c>
      <c r="D580" s="239">
        <v>2</v>
      </c>
      <c r="E580" s="203">
        <f>(H578/200)+1</f>
        <v>16.899999999999999</v>
      </c>
      <c r="F580" s="234"/>
      <c r="G580" s="234"/>
      <c r="H580" s="234">
        <v>820</v>
      </c>
      <c r="I580" s="234"/>
      <c r="J580" s="234"/>
      <c r="K580" s="241">
        <v>5</v>
      </c>
      <c r="L580" s="235">
        <f t="shared" si="81"/>
        <v>0.74</v>
      </c>
      <c r="M580" s="200">
        <f t="shared" si="82"/>
        <v>25.011999999999997</v>
      </c>
      <c r="N580" s="200">
        <f t="shared" si="83"/>
        <v>0</v>
      </c>
      <c r="O580" s="200">
        <f t="shared" si="84"/>
        <v>0</v>
      </c>
      <c r="P580" s="200">
        <f t="shared" si="85"/>
        <v>0</v>
      </c>
      <c r="Q580" s="200">
        <f t="shared" si="86"/>
        <v>0</v>
      </c>
      <c r="R580" s="200">
        <f t="shared" si="87"/>
        <v>0</v>
      </c>
      <c r="S580" s="200">
        <f t="shared" si="88"/>
        <v>0</v>
      </c>
    </row>
    <row r="581" spans="1:19" s="236" customFormat="1" ht="24.95" customHeight="1">
      <c r="A581" s="237">
        <v>7</v>
      </c>
      <c r="B581" s="238" t="s">
        <v>430</v>
      </c>
      <c r="C581" s="240"/>
      <c r="D581" s="239"/>
      <c r="E581" s="203"/>
      <c r="F581" s="234"/>
      <c r="G581" s="234"/>
      <c r="H581" s="234"/>
      <c r="I581" s="234"/>
      <c r="J581" s="234"/>
      <c r="K581" s="234"/>
      <c r="L581" s="235">
        <f t="shared" si="81"/>
        <v>0</v>
      </c>
      <c r="M581" s="200">
        <f t="shared" si="82"/>
        <v>0</v>
      </c>
      <c r="N581" s="200">
        <f t="shared" si="83"/>
        <v>0</v>
      </c>
      <c r="O581" s="200">
        <f t="shared" si="84"/>
        <v>0</v>
      </c>
      <c r="P581" s="200">
        <f t="shared" si="85"/>
        <v>0</v>
      </c>
      <c r="Q581" s="200">
        <f t="shared" si="86"/>
        <v>0</v>
      </c>
      <c r="R581" s="200">
        <f t="shared" si="87"/>
        <v>0</v>
      </c>
      <c r="S581" s="200">
        <f t="shared" si="88"/>
        <v>0</v>
      </c>
    </row>
    <row r="582" spans="1:19" s="236" customFormat="1" ht="24.95" customHeight="1">
      <c r="A582" s="209" t="s">
        <v>431</v>
      </c>
      <c r="B582" s="209" t="s">
        <v>403</v>
      </c>
      <c r="C582" s="240"/>
      <c r="D582" s="239"/>
      <c r="E582" s="203"/>
      <c r="F582" s="234"/>
      <c r="G582" s="234"/>
      <c r="H582" s="234"/>
      <c r="I582" s="234"/>
      <c r="J582" s="234"/>
      <c r="K582" s="234">
        <v>0</v>
      </c>
      <c r="L582" s="235">
        <f t="shared" si="81"/>
        <v>0</v>
      </c>
      <c r="M582" s="200">
        <f t="shared" si="82"/>
        <v>0</v>
      </c>
      <c r="N582" s="200">
        <f t="shared" si="83"/>
        <v>0</v>
      </c>
      <c r="O582" s="200">
        <f t="shared" si="84"/>
        <v>0</v>
      </c>
      <c r="P582" s="200">
        <f t="shared" si="85"/>
        <v>0</v>
      </c>
      <c r="Q582" s="200">
        <f t="shared" si="86"/>
        <v>0</v>
      </c>
      <c r="R582" s="200">
        <f t="shared" si="87"/>
        <v>0</v>
      </c>
      <c r="S582" s="200">
        <f t="shared" si="88"/>
        <v>0</v>
      </c>
    </row>
    <row r="583" spans="1:19" s="236" customFormat="1" ht="24.95" customHeight="1">
      <c r="A583" s="205" t="s">
        <v>432</v>
      </c>
      <c r="B583" s="206" t="s">
        <v>391</v>
      </c>
      <c r="C583" s="240"/>
      <c r="D583" s="239"/>
      <c r="E583" s="203"/>
      <c r="F583" s="234"/>
      <c r="G583" s="234"/>
      <c r="H583" s="234"/>
      <c r="I583" s="234"/>
      <c r="J583" s="234"/>
      <c r="K583" s="234"/>
      <c r="L583" s="235">
        <f t="shared" si="81"/>
        <v>0</v>
      </c>
      <c r="M583" s="200">
        <f t="shared" si="82"/>
        <v>0</v>
      </c>
      <c r="N583" s="200">
        <f t="shared" si="83"/>
        <v>0</v>
      </c>
      <c r="O583" s="200">
        <f t="shared" si="84"/>
        <v>0</v>
      </c>
      <c r="P583" s="200">
        <f t="shared" si="85"/>
        <v>0</v>
      </c>
      <c r="Q583" s="200">
        <f t="shared" si="86"/>
        <v>0</v>
      </c>
      <c r="R583" s="200">
        <f t="shared" si="87"/>
        <v>0</v>
      </c>
      <c r="S583" s="200">
        <f t="shared" si="88"/>
        <v>0</v>
      </c>
    </row>
    <row r="584" spans="1:19" s="236" customFormat="1" ht="24.95" customHeight="1">
      <c r="A584" s="239">
        <v>1</v>
      </c>
      <c r="B584" s="239" t="s">
        <v>392</v>
      </c>
      <c r="C584" s="240">
        <v>10</v>
      </c>
      <c r="D584" s="239">
        <v>2</v>
      </c>
      <c r="E584" s="203">
        <v>2</v>
      </c>
      <c r="F584" s="241">
        <v>100</v>
      </c>
      <c r="G584" s="234"/>
      <c r="H584" s="234">
        <v>29730</v>
      </c>
      <c r="I584" s="234"/>
      <c r="J584" s="241">
        <v>100</v>
      </c>
      <c r="K584" s="234">
        <v>2</v>
      </c>
      <c r="L584" s="235">
        <f t="shared" si="81"/>
        <v>29.89</v>
      </c>
      <c r="M584" s="200">
        <f t="shared" si="82"/>
        <v>0</v>
      </c>
      <c r="N584" s="200">
        <f t="shared" si="83"/>
        <v>119.56</v>
      </c>
      <c r="O584" s="200">
        <f t="shared" si="84"/>
        <v>0</v>
      </c>
      <c r="P584" s="200">
        <f t="shared" si="85"/>
        <v>0</v>
      </c>
      <c r="Q584" s="200">
        <f t="shared" si="86"/>
        <v>0</v>
      </c>
      <c r="R584" s="200">
        <f t="shared" si="87"/>
        <v>0</v>
      </c>
      <c r="S584" s="200">
        <f t="shared" si="88"/>
        <v>0</v>
      </c>
    </row>
    <row r="585" spans="1:19" s="236" customFormat="1" ht="24.95" customHeight="1">
      <c r="A585" s="239"/>
      <c r="B585" s="239" t="s">
        <v>393</v>
      </c>
      <c r="C585" s="240">
        <v>10</v>
      </c>
      <c r="D585" s="239">
        <v>2</v>
      </c>
      <c r="E585" s="203">
        <v>2</v>
      </c>
      <c r="F585" s="241">
        <v>100</v>
      </c>
      <c r="G585" s="234"/>
      <c r="H585" s="234">
        <v>29730</v>
      </c>
      <c r="I585" s="234"/>
      <c r="J585" s="241">
        <v>100</v>
      </c>
      <c r="K585" s="234">
        <v>2</v>
      </c>
      <c r="L585" s="235">
        <f t="shared" si="81"/>
        <v>29.89</v>
      </c>
      <c r="M585" s="200">
        <f t="shared" si="82"/>
        <v>0</v>
      </c>
      <c r="N585" s="200">
        <f t="shared" si="83"/>
        <v>119.56</v>
      </c>
      <c r="O585" s="200">
        <f t="shared" si="84"/>
        <v>0</v>
      </c>
      <c r="P585" s="200">
        <f t="shared" si="85"/>
        <v>0</v>
      </c>
      <c r="Q585" s="200">
        <f t="shared" si="86"/>
        <v>0</v>
      </c>
      <c r="R585" s="200">
        <f t="shared" si="87"/>
        <v>0</v>
      </c>
      <c r="S585" s="200">
        <f t="shared" si="88"/>
        <v>0</v>
      </c>
    </row>
    <row r="586" spans="1:19" s="236" customFormat="1" ht="24.95" customHeight="1">
      <c r="A586" s="239"/>
      <c r="B586" s="239" t="s">
        <v>433</v>
      </c>
      <c r="C586" s="240">
        <v>10</v>
      </c>
      <c r="D586" s="250">
        <v>2</v>
      </c>
      <c r="E586" s="203">
        <v>4</v>
      </c>
      <c r="F586" s="234"/>
      <c r="G586" s="234"/>
      <c r="H586" s="234">
        <v>500</v>
      </c>
      <c r="I586" s="234"/>
      <c r="J586" s="234"/>
      <c r="K586" s="234"/>
      <c r="L586" s="235">
        <f t="shared" si="81"/>
        <v>0.5</v>
      </c>
      <c r="M586" s="200">
        <f t="shared" si="82"/>
        <v>0</v>
      </c>
      <c r="N586" s="200">
        <f t="shared" si="83"/>
        <v>4</v>
      </c>
      <c r="O586" s="200">
        <f t="shared" si="84"/>
        <v>0</v>
      </c>
      <c r="P586" s="200">
        <f t="shared" si="85"/>
        <v>0</v>
      </c>
      <c r="Q586" s="200">
        <f t="shared" si="86"/>
        <v>0</v>
      </c>
      <c r="R586" s="200">
        <f t="shared" si="87"/>
        <v>0</v>
      </c>
      <c r="S586" s="200">
        <f t="shared" si="88"/>
        <v>0</v>
      </c>
    </row>
    <row r="587" spans="1:19" s="236" customFormat="1" ht="24.95" customHeight="1">
      <c r="A587" s="239"/>
      <c r="B587" s="239" t="s">
        <v>394</v>
      </c>
      <c r="C587" s="240">
        <v>8</v>
      </c>
      <c r="D587" s="239">
        <v>2</v>
      </c>
      <c r="E587" s="203">
        <f>(H584/200)+1</f>
        <v>149.65</v>
      </c>
      <c r="F587" s="234"/>
      <c r="G587" s="234"/>
      <c r="H587" s="234">
        <v>820</v>
      </c>
      <c r="I587" s="234"/>
      <c r="J587" s="234"/>
      <c r="K587" s="241">
        <v>5</v>
      </c>
      <c r="L587" s="235">
        <f t="shared" ref="L587:L650" si="89">(((F587+G587+H587+I587+J587)-C587*K587*2)/1000)</f>
        <v>0.74</v>
      </c>
      <c r="M587" s="200">
        <f t="shared" ref="M587:M650" si="90">+IF(C587=8,D587*E587*L587,0)</f>
        <v>221.482</v>
      </c>
      <c r="N587" s="200">
        <f t="shared" ref="N587:N650" si="91">+IF(C587=10,D587*E587*L587,0)</f>
        <v>0</v>
      </c>
      <c r="O587" s="200">
        <f t="shared" ref="O587:O650" si="92">+IF(C587=12,D587*E587*L587,0)</f>
        <v>0</v>
      </c>
      <c r="P587" s="200">
        <f t="shared" ref="P587:P650" si="93">+IF(C587=16,D587*E587*L587,0)</f>
        <v>0</v>
      </c>
      <c r="Q587" s="200">
        <f t="shared" ref="Q587:Q650" si="94">+IF(C587=20,D587*E587*L587,0)</f>
        <v>0</v>
      </c>
      <c r="R587" s="200">
        <f t="shared" ref="R587:R650" si="95">+IF(C587=25,D587*E587*L587,0)</f>
        <v>0</v>
      </c>
      <c r="S587" s="200">
        <f t="shared" ref="S587:S650" si="96">+IF(C587=32,D587*E587*L587,0)</f>
        <v>0</v>
      </c>
    </row>
    <row r="588" spans="1:19" s="236" customFormat="1" ht="24.95" customHeight="1">
      <c r="A588" s="205" t="s">
        <v>434</v>
      </c>
      <c r="B588" s="206" t="s">
        <v>396</v>
      </c>
      <c r="C588" s="240"/>
      <c r="D588" s="239"/>
      <c r="E588" s="203"/>
      <c r="F588" s="234"/>
      <c r="G588" s="234"/>
      <c r="H588" s="234"/>
      <c r="I588" s="234"/>
      <c r="J588" s="234"/>
      <c r="K588" s="234"/>
      <c r="L588" s="235">
        <f t="shared" si="89"/>
        <v>0</v>
      </c>
      <c r="M588" s="200">
        <f t="shared" si="90"/>
        <v>0</v>
      </c>
      <c r="N588" s="200">
        <f t="shared" si="91"/>
        <v>0</v>
      </c>
      <c r="O588" s="200">
        <f t="shared" si="92"/>
        <v>0</v>
      </c>
      <c r="P588" s="200">
        <f t="shared" si="93"/>
        <v>0</v>
      </c>
      <c r="Q588" s="200">
        <f t="shared" si="94"/>
        <v>0</v>
      </c>
      <c r="R588" s="200">
        <f t="shared" si="95"/>
        <v>0</v>
      </c>
      <c r="S588" s="200">
        <f t="shared" si="96"/>
        <v>0</v>
      </c>
    </row>
    <row r="589" spans="1:19" s="236" customFormat="1" ht="24.95" customHeight="1">
      <c r="A589" s="239">
        <v>1</v>
      </c>
      <c r="B589" s="239" t="s">
        <v>392</v>
      </c>
      <c r="C589" s="240">
        <v>10</v>
      </c>
      <c r="D589" s="239">
        <v>2</v>
      </c>
      <c r="E589" s="203">
        <v>2</v>
      </c>
      <c r="F589" s="241">
        <v>100</v>
      </c>
      <c r="G589" s="234"/>
      <c r="H589" s="234">
        <v>1080</v>
      </c>
      <c r="I589" s="234"/>
      <c r="J589" s="241">
        <v>100</v>
      </c>
      <c r="K589" s="234">
        <v>2</v>
      </c>
      <c r="L589" s="235">
        <f t="shared" si="89"/>
        <v>1.24</v>
      </c>
      <c r="M589" s="200">
        <f t="shared" si="90"/>
        <v>0</v>
      </c>
      <c r="N589" s="200">
        <f t="shared" si="91"/>
        <v>4.96</v>
      </c>
      <c r="O589" s="200">
        <f t="shared" si="92"/>
        <v>0</v>
      </c>
      <c r="P589" s="200">
        <f t="shared" si="93"/>
        <v>0</v>
      </c>
      <c r="Q589" s="200">
        <f t="shared" si="94"/>
        <v>0</v>
      </c>
      <c r="R589" s="200">
        <f t="shared" si="95"/>
        <v>0</v>
      </c>
      <c r="S589" s="200">
        <f t="shared" si="96"/>
        <v>0</v>
      </c>
    </row>
    <row r="590" spans="1:19" s="236" customFormat="1" ht="24.95" customHeight="1">
      <c r="A590" s="239"/>
      <c r="B590" s="239" t="s">
        <v>393</v>
      </c>
      <c r="C590" s="240">
        <v>10</v>
      </c>
      <c r="D590" s="239">
        <v>2</v>
      </c>
      <c r="E590" s="203">
        <v>2</v>
      </c>
      <c r="F590" s="241">
        <v>100</v>
      </c>
      <c r="G590" s="234"/>
      <c r="H590" s="234">
        <v>1080</v>
      </c>
      <c r="I590" s="234"/>
      <c r="J590" s="241">
        <v>100</v>
      </c>
      <c r="K590" s="234">
        <v>2</v>
      </c>
      <c r="L590" s="235">
        <f t="shared" si="89"/>
        <v>1.24</v>
      </c>
      <c r="M590" s="200">
        <f t="shared" si="90"/>
        <v>0</v>
      </c>
      <c r="N590" s="200">
        <f t="shared" si="91"/>
        <v>4.96</v>
      </c>
      <c r="O590" s="200">
        <f t="shared" si="92"/>
        <v>0</v>
      </c>
      <c r="P590" s="200">
        <f t="shared" si="93"/>
        <v>0</v>
      </c>
      <c r="Q590" s="200">
        <f t="shared" si="94"/>
        <v>0</v>
      </c>
      <c r="R590" s="200">
        <f t="shared" si="95"/>
        <v>0</v>
      </c>
      <c r="S590" s="200">
        <f t="shared" si="96"/>
        <v>0</v>
      </c>
    </row>
    <row r="591" spans="1:19" s="236" customFormat="1" ht="24.95" customHeight="1">
      <c r="A591" s="239"/>
      <c r="B591" s="239" t="s">
        <v>394</v>
      </c>
      <c r="C591" s="240">
        <v>8</v>
      </c>
      <c r="D591" s="239">
        <v>2</v>
      </c>
      <c r="E591" s="203">
        <f>(H589/200)+1</f>
        <v>6.4</v>
      </c>
      <c r="F591" s="234"/>
      <c r="G591" s="234"/>
      <c r="H591" s="234">
        <v>820</v>
      </c>
      <c r="I591" s="234"/>
      <c r="J591" s="234"/>
      <c r="K591" s="241">
        <v>5</v>
      </c>
      <c r="L591" s="235">
        <f t="shared" si="89"/>
        <v>0.74</v>
      </c>
      <c r="M591" s="200">
        <f t="shared" si="90"/>
        <v>9.4719999999999995</v>
      </c>
      <c r="N591" s="200">
        <f t="shared" si="91"/>
        <v>0</v>
      </c>
      <c r="O591" s="200">
        <f t="shared" si="92"/>
        <v>0</v>
      </c>
      <c r="P591" s="200">
        <f t="shared" si="93"/>
        <v>0</v>
      </c>
      <c r="Q591" s="200">
        <f t="shared" si="94"/>
        <v>0</v>
      </c>
      <c r="R591" s="200">
        <f t="shared" si="95"/>
        <v>0</v>
      </c>
      <c r="S591" s="200">
        <f t="shared" si="96"/>
        <v>0</v>
      </c>
    </row>
    <row r="592" spans="1:19" s="236" customFormat="1" ht="24.95" customHeight="1">
      <c r="A592" s="237">
        <v>8</v>
      </c>
      <c r="B592" s="238" t="s">
        <v>435</v>
      </c>
      <c r="C592" s="240"/>
      <c r="D592" s="239"/>
      <c r="E592" s="203"/>
      <c r="F592" s="234"/>
      <c r="G592" s="234"/>
      <c r="H592" s="234"/>
      <c r="I592" s="234"/>
      <c r="J592" s="234"/>
      <c r="K592" s="234"/>
      <c r="L592" s="235">
        <f t="shared" si="89"/>
        <v>0</v>
      </c>
      <c r="M592" s="200">
        <f t="shared" si="90"/>
        <v>0</v>
      </c>
      <c r="N592" s="200">
        <f t="shared" si="91"/>
        <v>0</v>
      </c>
      <c r="O592" s="200">
        <f t="shared" si="92"/>
        <v>0</v>
      </c>
      <c r="P592" s="200">
        <f t="shared" si="93"/>
        <v>0</v>
      </c>
      <c r="Q592" s="200">
        <f t="shared" si="94"/>
        <v>0</v>
      </c>
      <c r="R592" s="200">
        <f t="shared" si="95"/>
        <v>0</v>
      </c>
      <c r="S592" s="200">
        <f t="shared" si="96"/>
        <v>0</v>
      </c>
    </row>
    <row r="593" spans="1:19" s="236" customFormat="1" ht="24.95" customHeight="1">
      <c r="A593" s="209" t="s">
        <v>436</v>
      </c>
      <c r="B593" s="209" t="s">
        <v>403</v>
      </c>
      <c r="C593" s="240"/>
      <c r="D593" s="239"/>
      <c r="E593" s="203"/>
      <c r="F593" s="234"/>
      <c r="G593" s="234"/>
      <c r="H593" s="234"/>
      <c r="I593" s="234"/>
      <c r="J593" s="234"/>
      <c r="K593" s="234">
        <v>0</v>
      </c>
      <c r="L593" s="235">
        <f t="shared" si="89"/>
        <v>0</v>
      </c>
      <c r="M593" s="200">
        <f t="shared" si="90"/>
        <v>0</v>
      </c>
      <c r="N593" s="200">
        <f t="shared" si="91"/>
        <v>0</v>
      </c>
      <c r="O593" s="200">
        <f t="shared" si="92"/>
        <v>0</v>
      </c>
      <c r="P593" s="200">
        <f t="shared" si="93"/>
        <v>0</v>
      </c>
      <c r="Q593" s="200">
        <f t="shared" si="94"/>
        <v>0</v>
      </c>
      <c r="R593" s="200">
        <f t="shared" si="95"/>
        <v>0</v>
      </c>
      <c r="S593" s="200">
        <f t="shared" si="96"/>
        <v>0</v>
      </c>
    </row>
    <row r="594" spans="1:19" s="236" customFormat="1" ht="24.95" customHeight="1">
      <c r="A594" s="205" t="s">
        <v>437</v>
      </c>
      <c r="B594" s="206" t="s">
        <v>391</v>
      </c>
      <c r="C594" s="240"/>
      <c r="D594" s="239"/>
      <c r="E594" s="203"/>
      <c r="F594" s="234"/>
      <c r="G594" s="234"/>
      <c r="H594" s="234"/>
      <c r="I594" s="234"/>
      <c r="J594" s="234"/>
      <c r="K594" s="234"/>
      <c r="L594" s="235">
        <f t="shared" si="89"/>
        <v>0</v>
      </c>
      <c r="M594" s="200">
        <f t="shared" si="90"/>
        <v>0</v>
      </c>
      <c r="N594" s="200">
        <f t="shared" si="91"/>
        <v>0</v>
      </c>
      <c r="O594" s="200">
        <f t="shared" si="92"/>
        <v>0</v>
      </c>
      <c r="P594" s="200">
        <f t="shared" si="93"/>
        <v>0</v>
      </c>
      <c r="Q594" s="200">
        <f t="shared" si="94"/>
        <v>0</v>
      </c>
      <c r="R594" s="200">
        <f t="shared" si="95"/>
        <v>0</v>
      </c>
      <c r="S594" s="200">
        <f t="shared" si="96"/>
        <v>0</v>
      </c>
    </row>
    <row r="595" spans="1:19" s="236" customFormat="1" ht="24.95" customHeight="1">
      <c r="A595" s="239">
        <v>1</v>
      </c>
      <c r="B595" s="239" t="s">
        <v>392</v>
      </c>
      <c r="C595" s="240">
        <v>10</v>
      </c>
      <c r="D595" s="239">
        <v>1</v>
      </c>
      <c r="E595" s="203">
        <v>2</v>
      </c>
      <c r="F595" s="241">
        <v>100</v>
      </c>
      <c r="G595" s="234"/>
      <c r="H595" s="234">
        <v>33180</v>
      </c>
      <c r="I595" s="234"/>
      <c r="J595" s="241">
        <v>100</v>
      </c>
      <c r="K595" s="234">
        <v>2</v>
      </c>
      <c r="L595" s="235">
        <f t="shared" si="89"/>
        <v>33.340000000000003</v>
      </c>
      <c r="M595" s="200">
        <f t="shared" si="90"/>
        <v>0</v>
      </c>
      <c r="N595" s="200">
        <f t="shared" si="91"/>
        <v>66.680000000000007</v>
      </c>
      <c r="O595" s="200">
        <f t="shared" si="92"/>
        <v>0</v>
      </c>
      <c r="P595" s="200">
        <f t="shared" si="93"/>
        <v>0</v>
      </c>
      <c r="Q595" s="200">
        <f t="shared" si="94"/>
        <v>0</v>
      </c>
      <c r="R595" s="200">
        <f t="shared" si="95"/>
        <v>0</v>
      </c>
      <c r="S595" s="200">
        <f t="shared" si="96"/>
        <v>0</v>
      </c>
    </row>
    <row r="596" spans="1:19" s="236" customFormat="1" ht="24.95" customHeight="1">
      <c r="A596" s="239"/>
      <c r="B596" s="239" t="s">
        <v>393</v>
      </c>
      <c r="C596" s="240">
        <v>10</v>
      </c>
      <c r="D596" s="239">
        <v>1</v>
      </c>
      <c r="E596" s="203">
        <v>2</v>
      </c>
      <c r="F596" s="241">
        <v>100</v>
      </c>
      <c r="G596" s="234"/>
      <c r="H596" s="234">
        <v>33180</v>
      </c>
      <c r="I596" s="234"/>
      <c r="J596" s="241">
        <v>100</v>
      </c>
      <c r="K596" s="234">
        <v>2</v>
      </c>
      <c r="L596" s="235">
        <f t="shared" si="89"/>
        <v>33.340000000000003</v>
      </c>
      <c r="M596" s="200">
        <f t="shared" si="90"/>
        <v>0</v>
      </c>
      <c r="N596" s="200">
        <f t="shared" si="91"/>
        <v>66.680000000000007</v>
      </c>
      <c r="O596" s="200">
        <f t="shared" si="92"/>
        <v>0</v>
      </c>
      <c r="P596" s="200">
        <f t="shared" si="93"/>
        <v>0</v>
      </c>
      <c r="Q596" s="200">
        <f t="shared" si="94"/>
        <v>0</v>
      </c>
      <c r="R596" s="200">
        <f t="shared" si="95"/>
        <v>0</v>
      </c>
      <c r="S596" s="200">
        <f t="shared" si="96"/>
        <v>0</v>
      </c>
    </row>
    <row r="597" spans="1:19" s="236" customFormat="1" ht="24.95" customHeight="1">
      <c r="A597" s="239"/>
      <c r="B597" s="239" t="s">
        <v>433</v>
      </c>
      <c r="C597" s="240">
        <v>10</v>
      </c>
      <c r="D597" s="239">
        <v>2</v>
      </c>
      <c r="E597" s="203">
        <v>4</v>
      </c>
      <c r="F597" s="234"/>
      <c r="G597" s="234"/>
      <c r="H597" s="234">
        <v>500</v>
      </c>
      <c r="I597" s="234"/>
      <c r="J597" s="234"/>
      <c r="K597" s="234"/>
      <c r="L597" s="235">
        <f t="shared" si="89"/>
        <v>0.5</v>
      </c>
      <c r="M597" s="200">
        <f t="shared" si="90"/>
        <v>0</v>
      </c>
      <c r="N597" s="200">
        <f t="shared" si="91"/>
        <v>4</v>
      </c>
      <c r="O597" s="200">
        <f t="shared" si="92"/>
        <v>0</v>
      </c>
      <c r="P597" s="200">
        <f t="shared" si="93"/>
        <v>0</v>
      </c>
      <c r="Q597" s="200">
        <f t="shared" si="94"/>
        <v>0</v>
      </c>
      <c r="R597" s="200">
        <f t="shared" si="95"/>
        <v>0</v>
      </c>
      <c r="S597" s="200">
        <f t="shared" si="96"/>
        <v>0</v>
      </c>
    </row>
    <row r="598" spans="1:19" s="236" customFormat="1" ht="24.95" customHeight="1">
      <c r="A598" s="239"/>
      <c r="B598" s="239" t="s">
        <v>394</v>
      </c>
      <c r="C598" s="240">
        <v>8</v>
      </c>
      <c r="D598" s="239">
        <v>1</v>
      </c>
      <c r="E598" s="203">
        <f>(H595/200)+1</f>
        <v>166.9</v>
      </c>
      <c r="F598" s="234"/>
      <c r="G598" s="234"/>
      <c r="H598" s="234">
        <v>820</v>
      </c>
      <c r="I598" s="234"/>
      <c r="J598" s="234"/>
      <c r="K598" s="241">
        <v>5</v>
      </c>
      <c r="L598" s="235">
        <f t="shared" si="89"/>
        <v>0.74</v>
      </c>
      <c r="M598" s="200">
        <f t="shared" si="90"/>
        <v>123.506</v>
      </c>
      <c r="N598" s="200">
        <f t="shared" si="91"/>
        <v>0</v>
      </c>
      <c r="O598" s="200">
        <f t="shared" si="92"/>
        <v>0</v>
      </c>
      <c r="P598" s="200">
        <f t="shared" si="93"/>
        <v>0</v>
      </c>
      <c r="Q598" s="200">
        <f t="shared" si="94"/>
        <v>0</v>
      </c>
      <c r="R598" s="200">
        <f t="shared" si="95"/>
        <v>0</v>
      </c>
      <c r="S598" s="200">
        <f t="shared" si="96"/>
        <v>0</v>
      </c>
    </row>
    <row r="599" spans="1:19" s="236" customFormat="1" ht="24.95" customHeight="1">
      <c r="A599" s="239">
        <v>2</v>
      </c>
      <c r="B599" s="239" t="s">
        <v>392</v>
      </c>
      <c r="C599" s="240">
        <v>10</v>
      </c>
      <c r="D599" s="239">
        <v>1</v>
      </c>
      <c r="E599" s="203">
        <v>2</v>
      </c>
      <c r="F599" s="241">
        <v>100</v>
      </c>
      <c r="G599" s="234"/>
      <c r="H599" s="234">
        <v>30045</v>
      </c>
      <c r="I599" s="234"/>
      <c r="J599" s="241">
        <v>100</v>
      </c>
      <c r="K599" s="234">
        <v>2</v>
      </c>
      <c r="L599" s="235">
        <f t="shared" si="89"/>
        <v>30.204999999999998</v>
      </c>
      <c r="M599" s="200">
        <f t="shared" si="90"/>
        <v>0</v>
      </c>
      <c r="N599" s="200">
        <f t="shared" si="91"/>
        <v>60.41</v>
      </c>
      <c r="O599" s="200">
        <f t="shared" si="92"/>
        <v>0</v>
      </c>
      <c r="P599" s="200">
        <f t="shared" si="93"/>
        <v>0</v>
      </c>
      <c r="Q599" s="200">
        <f t="shared" si="94"/>
        <v>0</v>
      </c>
      <c r="R599" s="200">
        <f t="shared" si="95"/>
        <v>0</v>
      </c>
      <c r="S599" s="200">
        <f t="shared" si="96"/>
        <v>0</v>
      </c>
    </row>
    <row r="600" spans="1:19" s="236" customFormat="1" ht="24.95" customHeight="1">
      <c r="A600" s="239"/>
      <c r="B600" s="239" t="s">
        <v>393</v>
      </c>
      <c r="C600" s="240">
        <v>10</v>
      </c>
      <c r="D600" s="239">
        <v>1</v>
      </c>
      <c r="E600" s="203">
        <v>2</v>
      </c>
      <c r="F600" s="241">
        <v>100</v>
      </c>
      <c r="G600" s="234"/>
      <c r="H600" s="234">
        <v>30045</v>
      </c>
      <c r="I600" s="234"/>
      <c r="J600" s="241">
        <v>100</v>
      </c>
      <c r="K600" s="234">
        <v>2</v>
      </c>
      <c r="L600" s="235">
        <f t="shared" si="89"/>
        <v>30.204999999999998</v>
      </c>
      <c r="M600" s="200">
        <f t="shared" si="90"/>
        <v>0</v>
      </c>
      <c r="N600" s="200">
        <f t="shared" si="91"/>
        <v>60.41</v>
      </c>
      <c r="O600" s="200">
        <f t="shared" si="92"/>
        <v>0</v>
      </c>
      <c r="P600" s="200">
        <f t="shared" si="93"/>
        <v>0</v>
      </c>
      <c r="Q600" s="200">
        <f t="shared" si="94"/>
        <v>0</v>
      </c>
      <c r="R600" s="200">
        <f t="shared" si="95"/>
        <v>0</v>
      </c>
      <c r="S600" s="200">
        <f t="shared" si="96"/>
        <v>0</v>
      </c>
    </row>
    <row r="601" spans="1:19" s="236" customFormat="1" ht="24.95" customHeight="1">
      <c r="A601" s="239"/>
      <c r="B601" s="239" t="s">
        <v>433</v>
      </c>
      <c r="C601" s="240">
        <v>10</v>
      </c>
      <c r="D601" s="239">
        <v>2</v>
      </c>
      <c r="E601" s="203">
        <v>4</v>
      </c>
      <c r="F601" s="234"/>
      <c r="G601" s="234"/>
      <c r="H601" s="234">
        <v>500</v>
      </c>
      <c r="I601" s="234"/>
      <c r="J601" s="234"/>
      <c r="K601" s="234"/>
      <c r="L601" s="235">
        <f t="shared" si="89"/>
        <v>0.5</v>
      </c>
      <c r="M601" s="200">
        <f t="shared" si="90"/>
        <v>0</v>
      </c>
      <c r="N601" s="200">
        <f t="shared" si="91"/>
        <v>4</v>
      </c>
      <c r="O601" s="200">
        <f t="shared" si="92"/>
        <v>0</v>
      </c>
      <c r="P601" s="200">
        <f t="shared" si="93"/>
        <v>0</v>
      </c>
      <c r="Q601" s="200">
        <f t="shared" si="94"/>
        <v>0</v>
      </c>
      <c r="R601" s="200">
        <f t="shared" si="95"/>
        <v>0</v>
      </c>
      <c r="S601" s="200">
        <f t="shared" si="96"/>
        <v>0</v>
      </c>
    </row>
    <row r="602" spans="1:19" s="236" customFormat="1" ht="24.95" customHeight="1">
      <c r="A602" s="239"/>
      <c r="B602" s="239" t="s">
        <v>394</v>
      </c>
      <c r="C602" s="240">
        <v>8</v>
      </c>
      <c r="D602" s="239">
        <v>1</v>
      </c>
      <c r="E602" s="203">
        <f>(H599/200)+1</f>
        <v>151.22499999999999</v>
      </c>
      <c r="F602" s="234"/>
      <c r="G602" s="234"/>
      <c r="H602" s="234">
        <v>820</v>
      </c>
      <c r="I602" s="234"/>
      <c r="J602" s="234"/>
      <c r="K602" s="241">
        <v>5</v>
      </c>
      <c r="L602" s="235">
        <f t="shared" si="89"/>
        <v>0.74</v>
      </c>
      <c r="M602" s="200">
        <f t="shared" si="90"/>
        <v>111.90649999999999</v>
      </c>
      <c r="N602" s="200">
        <f t="shared" si="91"/>
        <v>0</v>
      </c>
      <c r="O602" s="200">
        <f t="shared" si="92"/>
        <v>0</v>
      </c>
      <c r="P602" s="200">
        <f t="shared" si="93"/>
        <v>0</v>
      </c>
      <c r="Q602" s="200">
        <f t="shared" si="94"/>
        <v>0</v>
      </c>
      <c r="R602" s="200">
        <f t="shared" si="95"/>
        <v>0</v>
      </c>
      <c r="S602" s="200">
        <f t="shared" si="96"/>
        <v>0</v>
      </c>
    </row>
    <row r="603" spans="1:19" s="236" customFormat="1" ht="24.95" customHeight="1">
      <c r="A603" s="239">
        <v>3</v>
      </c>
      <c r="B603" s="239" t="s">
        <v>392</v>
      </c>
      <c r="C603" s="240">
        <v>10</v>
      </c>
      <c r="D603" s="239">
        <v>1</v>
      </c>
      <c r="E603" s="203">
        <v>2</v>
      </c>
      <c r="F603" s="241">
        <v>100</v>
      </c>
      <c r="G603" s="234"/>
      <c r="H603" s="234">
        <v>2280</v>
      </c>
      <c r="I603" s="234"/>
      <c r="J603" s="241">
        <v>100</v>
      </c>
      <c r="K603" s="234">
        <v>2</v>
      </c>
      <c r="L603" s="235">
        <f t="shared" si="89"/>
        <v>2.44</v>
      </c>
      <c r="M603" s="200">
        <f t="shared" si="90"/>
        <v>0</v>
      </c>
      <c r="N603" s="200">
        <f t="shared" si="91"/>
        <v>4.88</v>
      </c>
      <c r="O603" s="200">
        <f t="shared" si="92"/>
        <v>0</v>
      </c>
      <c r="P603" s="200">
        <f t="shared" si="93"/>
        <v>0</v>
      </c>
      <c r="Q603" s="200">
        <f t="shared" si="94"/>
        <v>0</v>
      </c>
      <c r="R603" s="200">
        <f t="shared" si="95"/>
        <v>0</v>
      </c>
      <c r="S603" s="200">
        <f t="shared" si="96"/>
        <v>0</v>
      </c>
    </row>
    <row r="604" spans="1:19" s="236" customFormat="1" ht="24.95" customHeight="1">
      <c r="A604" s="239"/>
      <c r="B604" s="239" t="s">
        <v>393</v>
      </c>
      <c r="C604" s="240">
        <v>10</v>
      </c>
      <c r="D604" s="239">
        <v>1</v>
      </c>
      <c r="E604" s="203">
        <v>2</v>
      </c>
      <c r="F604" s="241">
        <v>100</v>
      </c>
      <c r="G604" s="234"/>
      <c r="H604" s="234">
        <v>2280</v>
      </c>
      <c r="I604" s="234"/>
      <c r="J604" s="241">
        <v>100</v>
      </c>
      <c r="K604" s="234">
        <v>2</v>
      </c>
      <c r="L604" s="235">
        <f t="shared" si="89"/>
        <v>2.44</v>
      </c>
      <c r="M604" s="200">
        <f t="shared" si="90"/>
        <v>0</v>
      </c>
      <c r="N604" s="200">
        <f t="shared" si="91"/>
        <v>4.88</v>
      </c>
      <c r="O604" s="200">
        <f t="shared" si="92"/>
        <v>0</v>
      </c>
      <c r="P604" s="200">
        <f t="shared" si="93"/>
        <v>0</v>
      </c>
      <c r="Q604" s="200">
        <f t="shared" si="94"/>
        <v>0</v>
      </c>
      <c r="R604" s="200">
        <f t="shared" si="95"/>
        <v>0</v>
      </c>
      <c r="S604" s="200">
        <f t="shared" si="96"/>
        <v>0</v>
      </c>
    </row>
    <row r="605" spans="1:19" s="236" customFormat="1" ht="24.95" customHeight="1">
      <c r="A605" s="239"/>
      <c r="B605" s="239" t="s">
        <v>394</v>
      </c>
      <c r="C605" s="240">
        <v>8</v>
      </c>
      <c r="D605" s="239">
        <v>1</v>
      </c>
      <c r="E605" s="203">
        <f>(H603/200)+1</f>
        <v>12.4</v>
      </c>
      <c r="F605" s="234"/>
      <c r="G605" s="234"/>
      <c r="H605" s="234">
        <v>820</v>
      </c>
      <c r="I605" s="234"/>
      <c r="J605" s="234"/>
      <c r="K605" s="241">
        <v>5</v>
      </c>
      <c r="L605" s="235">
        <f t="shared" si="89"/>
        <v>0.74</v>
      </c>
      <c r="M605" s="200">
        <f t="shared" si="90"/>
        <v>9.1760000000000002</v>
      </c>
      <c r="N605" s="200">
        <f t="shared" si="91"/>
        <v>0</v>
      </c>
      <c r="O605" s="200">
        <f t="shared" si="92"/>
        <v>0</v>
      </c>
      <c r="P605" s="200">
        <f t="shared" si="93"/>
        <v>0</v>
      </c>
      <c r="Q605" s="200">
        <f t="shared" si="94"/>
        <v>0</v>
      </c>
      <c r="R605" s="200">
        <f t="shared" si="95"/>
        <v>0</v>
      </c>
      <c r="S605" s="200">
        <f t="shared" si="96"/>
        <v>0</v>
      </c>
    </row>
    <row r="606" spans="1:19" s="236" customFormat="1" ht="24.95" customHeight="1">
      <c r="A606" s="239">
        <v>4</v>
      </c>
      <c r="B606" s="239" t="s">
        <v>392</v>
      </c>
      <c r="C606" s="240">
        <v>10</v>
      </c>
      <c r="D606" s="239">
        <v>1</v>
      </c>
      <c r="E606" s="203">
        <v>2</v>
      </c>
      <c r="F606" s="241">
        <v>100</v>
      </c>
      <c r="G606" s="234"/>
      <c r="H606" s="234">
        <v>1095</v>
      </c>
      <c r="I606" s="234"/>
      <c r="J606" s="241">
        <v>100</v>
      </c>
      <c r="K606" s="234">
        <v>2</v>
      </c>
      <c r="L606" s="235">
        <f t="shared" si="89"/>
        <v>1.2549999999999999</v>
      </c>
      <c r="M606" s="200">
        <f t="shared" si="90"/>
        <v>0</v>
      </c>
      <c r="N606" s="200">
        <f t="shared" si="91"/>
        <v>2.5099999999999998</v>
      </c>
      <c r="O606" s="200">
        <f t="shared" si="92"/>
        <v>0</v>
      </c>
      <c r="P606" s="200">
        <f t="shared" si="93"/>
        <v>0</v>
      </c>
      <c r="Q606" s="200">
        <f t="shared" si="94"/>
        <v>0</v>
      </c>
      <c r="R606" s="200">
        <f t="shared" si="95"/>
        <v>0</v>
      </c>
      <c r="S606" s="200">
        <f t="shared" si="96"/>
        <v>0</v>
      </c>
    </row>
    <row r="607" spans="1:19" s="236" customFormat="1" ht="24.95" customHeight="1">
      <c r="A607" s="239"/>
      <c r="B607" s="239" t="s">
        <v>393</v>
      </c>
      <c r="C607" s="240">
        <v>10</v>
      </c>
      <c r="D607" s="239">
        <v>1</v>
      </c>
      <c r="E607" s="203">
        <v>2</v>
      </c>
      <c r="F607" s="241">
        <v>100</v>
      </c>
      <c r="G607" s="234"/>
      <c r="H607" s="234">
        <v>1095</v>
      </c>
      <c r="I607" s="234"/>
      <c r="J607" s="241">
        <v>100</v>
      </c>
      <c r="K607" s="234">
        <v>2</v>
      </c>
      <c r="L607" s="235">
        <f t="shared" si="89"/>
        <v>1.2549999999999999</v>
      </c>
      <c r="M607" s="200">
        <f t="shared" si="90"/>
        <v>0</v>
      </c>
      <c r="N607" s="200">
        <f t="shared" si="91"/>
        <v>2.5099999999999998</v>
      </c>
      <c r="O607" s="200">
        <f t="shared" si="92"/>
        <v>0</v>
      </c>
      <c r="P607" s="200">
        <f t="shared" si="93"/>
        <v>0</v>
      </c>
      <c r="Q607" s="200">
        <f t="shared" si="94"/>
        <v>0</v>
      </c>
      <c r="R607" s="200">
        <f t="shared" si="95"/>
        <v>0</v>
      </c>
      <c r="S607" s="200">
        <f t="shared" si="96"/>
        <v>0</v>
      </c>
    </row>
    <row r="608" spans="1:19" s="236" customFormat="1" ht="24.95" customHeight="1">
      <c r="A608" s="239"/>
      <c r="B608" s="239" t="s">
        <v>394</v>
      </c>
      <c r="C608" s="240">
        <v>8</v>
      </c>
      <c r="D608" s="239">
        <v>1</v>
      </c>
      <c r="E608" s="203">
        <f>(H606/200)+1</f>
        <v>6.4749999999999996</v>
      </c>
      <c r="F608" s="234"/>
      <c r="G608" s="234"/>
      <c r="H608" s="234">
        <v>820</v>
      </c>
      <c r="I608" s="234"/>
      <c r="J608" s="234"/>
      <c r="K608" s="241">
        <v>5</v>
      </c>
      <c r="L608" s="235">
        <f t="shared" si="89"/>
        <v>0.74</v>
      </c>
      <c r="M608" s="200">
        <f t="shared" si="90"/>
        <v>4.7915000000000001</v>
      </c>
      <c r="N608" s="200">
        <f t="shared" si="91"/>
        <v>0</v>
      </c>
      <c r="O608" s="200">
        <f t="shared" si="92"/>
        <v>0</v>
      </c>
      <c r="P608" s="200">
        <f t="shared" si="93"/>
        <v>0</v>
      </c>
      <c r="Q608" s="200">
        <f t="shared" si="94"/>
        <v>0</v>
      </c>
      <c r="R608" s="200">
        <f t="shared" si="95"/>
        <v>0</v>
      </c>
      <c r="S608" s="200">
        <f t="shared" si="96"/>
        <v>0</v>
      </c>
    </row>
    <row r="609" spans="1:19" s="236" customFormat="1" ht="24.95" customHeight="1">
      <c r="A609" s="239">
        <v>5</v>
      </c>
      <c r="B609" s="239" t="s">
        <v>392</v>
      </c>
      <c r="C609" s="240">
        <v>10</v>
      </c>
      <c r="D609" s="239">
        <v>1</v>
      </c>
      <c r="E609" s="203">
        <v>2</v>
      </c>
      <c r="F609" s="241">
        <v>100</v>
      </c>
      <c r="G609" s="234"/>
      <c r="H609" s="234">
        <v>645</v>
      </c>
      <c r="I609" s="234"/>
      <c r="J609" s="241">
        <v>100</v>
      </c>
      <c r="K609" s="234">
        <v>2</v>
      </c>
      <c r="L609" s="235">
        <f t="shared" si="89"/>
        <v>0.80500000000000005</v>
      </c>
      <c r="M609" s="200">
        <f t="shared" si="90"/>
        <v>0</v>
      </c>
      <c r="N609" s="200">
        <f t="shared" si="91"/>
        <v>1.61</v>
      </c>
      <c r="O609" s="200">
        <f t="shared" si="92"/>
        <v>0</v>
      </c>
      <c r="P609" s="200">
        <f t="shared" si="93"/>
        <v>0</v>
      </c>
      <c r="Q609" s="200">
        <f t="shared" si="94"/>
        <v>0</v>
      </c>
      <c r="R609" s="200">
        <f t="shared" si="95"/>
        <v>0</v>
      </c>
      <c r="S609" s="200">
        <f t="shared" si="96"/>
        <v>0</v>
      </c>
    </row>
    <row r="610" spans="1:19" s="236" customFormat="1" ht="24.95" customHeight="1">
      <c r="A610" s="239"/>
      <c r="B610" s="239" t="s">
        <v>393</v>
      </c>
      <c r="C610" s="240">
        <v>10</v>
      </c>
      <c r="D610" s="239">
        <v>1</v>
      </c>
      <c r="E610" s="203">
        <v>2</v>
      </c>
      <c r="F610" s="241">
        <v>100</v>
      </c>
      <c r="G610" s="234"/>
      <c r="H610" s="234">
        <v>645</v>
      </c>
      <c r="I610" s="234"/>
      <c r="J610" s="241">
        <v>100</v>
      </c>
      <c r="K610" s="234">
        <v>2</v>
      </c>
      <c r="L610" s="235">
        <f t="shared" si="89"/>
        <v>0.80500000000000005</v>
      </c>
      <c r="M610" s="200">
        <f t="shared" si="90"/>
        <v>0</v>
      </c>
      <c r="N610" s="200">
        <f t="shared" si="91"/>
        <v>1.61</v>
      </c>
      <c r="O610" s="200">
        <f t="shared" si="92"/>
        <v>0</v>
      </c>
      <c r="P610" s="200">
        <f t="shared" si="93"/>
        <v>0</v>
      </c>
      <c r="Q610" s="200">
        <f t="shared" si="94"/>
        <v>0</v>
      </c>
      <c r="R610" s="200">
        <f t="shared" si="95"/>
        <v>0</v>
      </c>
      <c r="S610" s="200">
        <f t="shared" si="96"/>
        <v>0</v>
      </c>
    </row>
    <row r="611" spans="1:19" s="236" customFormat="1" ht="24.95" customHeight="1">
      <c r="A611" s="239"/>
      <c r="B611" s="239" t="s">
        <v>394</v>
      </c>
      <c r="C611" s="240">
        <v>8</v>
      </c>
      <c r="D611" s="239">
        <v>1</v>
      </c>
      <c r="E611" s="203">
        <f>(H609/200)+1</f>
        <v>4.2249999999999996</v>
      </c>
      <c r="F611" s="234"/>
      <c r="G611" s="234"/>
      <c r="H611" s="234">
        <v>820</v>
      </c>
      <c r="I611" s="234"/>
      <c r="J611" s="234"/>
      <c r="K611" s="241">
        <v>5</v>
      </c>
      <c r="L611" s="235">
        <f t="shared" si="89"/>
        <v>0.74</v>
      </c>
      <c r="M611" s="200">
        <f t="shared" si="90"/>
        <v>3.1264999999999996</v>
      </c>
      <c r="N611" s="200">
        <f t="shared" si="91"/>
        <v>0</v>
      </c>
      <c r="O611" s="200">
        <f t="shared" si="92"/>
        <v>0</v>
      </c>
      <c r="P611" s="200">
        <f t="shared" si="93"/>
        <v>0</v>
      </c>
      <c r="Q611" s="200">
        <f t="shared" si="94"/>
        <v>0</v>
      </c>
      <c r="R611" s="200">
        <f t="shared" si="95"/>
        <v>0</v>
      </c>
      <c r="S611" s="200">
        <f t="shared" si="96"/>
        <v>0</v>
      </c>
    </row>
    <row r="612" spans="1:19" s="236" customFormat="1" ht="24.95" customHeight="1">
      <c r="A612" s="239">
        <v>6</v>
      </c>
      <c r="B612" s="239" t="s">
        <v>392</v>
      </c>
      <c r="C612" s="240">
        <v>10</v>
      </c>
      <c r="D612" s="239">
        <v>1</v>
      </c>
      <c r="E612" s="203">
        <v>2</v>
      </c>
      <c r="F612" s="241">
        <v>100</v>
      </c>
      <c r="G612" s="234"/>
      <c r="H612" s="234">
        <v>2170</v>
      </c>
      <c r="I612" s="234"/>
      <c r="J612" s="241">
        <v>100</v>
      </c>
      <c r="K612" s="234">
        <v>2</v>
      </c>
      <c r="L612" s="235">
        <f t="shared" si="89"/>
        <v>2.33</v>
      </c>
      <c r="M612" s="200">
        <f t="shared" si="90"/>
        <v>0</v>
      </c>
      <c r="N612" s="200">
        <f t="shared" si="91"/>
        <v>4.66</v>
      </c>
      <c r="O612" s="200">
        <f t="shared" si="92"/>
        <v>0</v>
      </c>
      <c r="P612" s="200">
        <f t="shared" si="93"/>
        <v>0</v>
      </c>
      <c r="Q612" s="200">
        <f t="shared" si="94"/>
        <v>0</v>
      </c>
      <c r="R612" s="200">
        <f t="shared" si="95"/>
        <v>0</v>
      </c>
      <c r="S612" s="200">
        <f t="shared" si="96"/>
        <v>0</v>
      </c>
    </row>
    <row r="613" spans="1:19" s="236" customFormat="1" ht="24.95" customHeight="1">
      <c r="A613" s="239"/>
      <c r="B613" s="239" t="s">
        <v>393</v>
      </c>
      <c r="C613" s="240">
        <v>10</v>
      </c>
      <c r="D613" s="239">
        <v>1</v>
      </c>
      <c r="E613" s="203">
        <v>2</v>
      </c>
      <c r="F613" s="241">
        <v>100</v>
      </c>
      <c r="G613" s="234"/>
      <c r="H613" s="234">
        <v>2170</v>
      </c>
      <c r="I613" s="234"/>
      <c r="J613" s="241">
        <v>100</v>
      </c>
      <c r="K613" s="234">
        <v>2</v>
      </c>
      <c r="L613" s="235">
        <f t="shared" si="89"/>
        <v>2.33</v>
      </c>
      <c r="M613" s="200">
        <f t="shared" si="90"/>
        <v>0</v>
      </c>
      <c r="N613" s="200">
        <f t="shared" si="91"/>
        <v>4.66</v>
      </c>
      <c r="O613" s="200">
        <f t="shared" si="92"/>
        <v>0</v>
      </c>
      <c r="P613" s="200">
        <f t="shared" si="93"/>
        <v>0</v>
      </c>
      <c r="Q613" s="200">
        <f t="shared" si="94"/>
        <v>0</v>
      </c>
      <c r="R613" s="200">
        <f t="shared" si="95"/>
        <v>0</v>
      </c>
      <c r="S613" s="200">
        <f t="shared" si="96"/>
        <v>0</v>
      </c>
    </row>
    <row r="614" spans="1:19" s="236" customFormat="1" ht="24.95" customHeight="1">
      <c r="A614" s="239"/>
      <c r="B614" s="239" t="s">
        <v>394</v>
      </c>
      <c r="C614" s="240">
        <v>8</v>
      </c>
      <c r="D614" s="239">
        <v>1</v>
      </c>
      <c r="E614" s="203">
        <f>(H612/200)+1</f>
        <v>11.85</v>
      </c>
      <c r="F614" s="234"/>
      <c r="G614" s="234"/>
      <c r="H614" s="234">
        <v>820</v>
      </c>
      <c r="I614" s="234"/>
      <c r="J614" s="234"/>
      <c r="K614" s="241">
        <v>5</v>
      </c>
      <c r="L614" s="235">
        <f t="shared" si="89"/>
        <v>0.74</v>
      </c>
      <c r="M614" s="200">
        <f t="shared" si="90"/>
        <v>8.7690000000000001</v>
      </c>
      <c r="N614" s="200">
        <f t="shared" si="91"/>
        <v>0</v>
      </c>
      <c r="O614" s="200">
        <f t="shared" si="92"/>
        <v>0</v>
      </c>
      <c r="P614" s="200">
        <f t="shared" si="93"/>
        <v>0</v>
      </c>
      <c r="Q614" s="200">
        <f t="shared" si="94"/>
        <v>0</v>
      </c>
      <c r="R614" s="200">
        <f t="shared" si="95"/>
        <v>0</v>
      </c>
      <c r="S614" s="200">
        <f t="shared" si="96"/>
        <v>0</v>
      </c>
    </row>
    <row r="615" spans="1:19" s="236" customFormat="1" ht="24.95" customHeight="1">
      <c r="A615" s="239">
        <v>7</v>
      </c>
      <c r="B615" s="239" t="s">
        <v>392</v>
      </c>
      <c r="C615" s="240">
        <v>10</v>
      </c>
      <c r="D615" s="239">
        <v>1</v>
      </c>
      <c r="E615" s="203">
        <v>2</v>
      </c>
      <c r="F615" s="241">
        <v>100</v>
      </c>
      <c r="G615" s="234"/>
      <c r="H615" s="234">
        <v>670</v>
      </c>
      <c r="I615" s="234"/>
      <c r="J615" s="241">
        <v>100</v>
      </c>
      <c r="K615" s="234">
        <v>2</v>
      </c>
      <c r="L615" s="235">
        <f t="shared" si="89"/>
        <v>0.83</v>
      </c>
      <c r="M615" s="200">
        <f t="shared" si="90"/>
        <v>0</v>
      </c>
      <c r="N615" s="200">
        <f t="shared" si="91"/>
        <v>1.66</v>
      </c>
      <c r="O615" s="200">
        <f t="shared" si="92"/>
        <v>0</v>
      </c>
      <c r="P615" s="200">
        <f t="shared" si="93"/>
        <v>0</v>
      </c>
      <c r="Q615" s="200">
        <f t="shared" si="94"/>
        <v>0</v>
      </c>
      <c r="R615" s="200">
        <f t="shared" si="95"/>
        <v>0</v>
      </c>
      <c r="S615" s="200">
        <f t="shared" si="96"/>
        <v>0</v>
      </c>
    </row>
    <row r="616" spans="1:19" s="236" customFormat="1" ht="24.95" customHeight="1">
      <c r="A616" s="239"/>
      <c r="B616" s="239" t="s">
        <v>393</v>
      </c>
      <c r="C616" s="240">
        <v>10</v>
      </c>
      <c r="D616" s="239">
        <v>1</v>
      </c>
      <c r="E616" s="203">
        <v>2</v>
      </c>
      <c r="F616" s="241">
        <v>100</v>
      </c>
      <c r="G616" s="234"/>
      <c r="H616" s="234">
        <v>670</v>
      </c>
      <c r="I616" s="234"/>
      <c r="J616" s="241">
        <v>100</v>
      </c>
      <c r="K616" s="234">
        <v>2</v>
      </c>
      <c r="L616" s="235">
        <f t="shared" si="89"/>
        <v>0.83</v>
      </c>
      <c r="M616" s="200">
        <f t="shared" si="90"/>
        <v>0</v>
      </c>
      <c r="N616" s="200">
        <f t="shared" si="91"/>
        <v>1.66</v>
      </c>
      <c r="O616" s="200">
        <f t="shared" si="92"/>
        <v>0</v>
      </c>
      <c r="P616" s="200">
        <f t="shared" si="93"/>
        <v>0</v>
      </c>
      <c r="Q616" s="200">
        <f t="shared" si="94"/>
        <v>0</v>
      </c>
      <c r="R616" s="200">
        <f t="shared" si="95"/>
        <v>0</v>
      </c>
      <c r="S616" s="200">
        <f t="shared" si="96"/>
        <v>0</v>
      </c>
    </row>
    <row r="617" spans="1:19" s="236" customFormat="1" ht="24.95" customHeight="1">
      <c r="A617" s="239"/>
      <c r="B617" s="239" t="s">
        <v>394</v>
      </c>
      <c r="C617" s="240">
        <v>8</v>
      </c>
      <c r="D617" s="239">
        <v>1</v>
      </c>
      <c r="E617" s="203">
        <f>(H615/200)+1</f>
        <v>4.3499999999999996</v>
      </c>
      <c r="F617" s="234"/>
      <c r="G617" s="234"/>
      <c r="H617" s="234">
        <v>820</v>
      </c>
      <c r="I617" s="234"/>
      <c r="J617" s="234"/>
      <c r="K617" s="241">
        <v>5</v>
      </c>
      <c r="L617" s="235">
        <f t="shared" si="89"/>
        <v>0.74</v>
      </c>
      <c r="M617" s="200">
        <f t="shared" si="90"/>
        <v>3.2189999999999999</v>
      </c>
      <c r="N617" s="200">
        <f t="shared" si="91"/>
        <v>0</v>
      </c>
      <c r="O617" s="200">
        <f t="shared" si="92"/>
        <v>0</v>
      </c>
      <c r="P617" s="200">
        <f t="shared" si="93"/>
        <v>0</v>
      </c>
      <c r="Q617" s="200">
        <f t="shared" si="94"/>
        <v>0</v>
      </c>
      <c r="R617" s="200">
        <f t="shared" si="95"/>
        <v>0</v>
      </c>
      <c r="S617" s="200">
        <f t="shared" si="96"/>
        <v>0</v>
      </c>
    </row>
    <row r="618" spans="1:19" s="236" customFormat="1" ht="24.95" customHeight="1">
      <c r="A618" s="239">
        <v>8</v>
      </c>
      <c r="B618" s="239" t="s">
        <v>392</v>
      </c>
      <c r="C618" s="240">
        <v>10</v>
      </c>
      <c r="D618" s="239">
        <v>1</v>
      </c>
      <c r="E618" s="203">
        <v>2</v>
      </c>
      <c r="F618" s="241">
        <v>100</v>
      </c>
      <c r="G618" s="234"/>
      <c r="H618" s="234">
        <v>3215</v>
      </c>
      <c r="I618" s="234"/>
      <c r="J618" s="241">
        <v>100</v>
      </c>
      <c r="K618" s="234">
        <v>2</v>
      </c>
      <c r="L618" s="235">
        <f t="shared" si="89"/>
        <v>3.375</v>
      </c>
      <c r="M618" s="200">
        <f t="shared" si="90"/>
        <v>0</v>
      </c>
      <c r="N618" s="200">
        <f t="shared" si="91"/>
        <v>6.75</v>
      </c>
      <c r="O618" s="200">
        <f t="shared" si="92"/>
        <v>0</v>
      </c>
      <c r="P618" s="200">
        <f t="shared" si="93"/>
        <v>0</v>
      </c>
      <c r="Q618" s="200">
        <f t="shared" si="94"/>
        <v>0</v>
      </c>
      <c r="R618" s="200">
        <f t="shared" si="95"/>
        <v>0</v>
      </c>
      <c r="S618" s="200">
        <f t="shared" si="96"/>
        <v>0</v>
      </c>
    </row>
    <row r="619" spans="1:19" s="236" customFormat="1" ht="24.95" customHeight="1">
      <c r="A619" s="239"/>
      <c r="B619" s="239" t="s">
        <v>393</v>
      </c>
      <c r="C619" s="240">
        <v>10</v>
      </c>
      <c r="D619" s="239">
        <v>1</v>
      </c>
      <c r="E619" s="203">
        <v>2</v>
      </c>
      <c r="F619" s="241">
        <v>100</v>
      </c>
      <c r="G619" s="234"/>
      <c r="H619" s="234">
        <v>3215</v>
      </c>
      <c r="I619" s="234"/>
      <c r="J619" s="241">
        <v>100</v>
      </c>
      <c r="K619" s="234">
        <v>2</v>
      </c>
      <c r="L619" s="235">
        <f t="shared" si="89"/>
        <v>3.375</v>
      </c>
      <c r="M619" s="200">
        <f t="shared" si="90"/>
        <v>0</v>
      </c>
      <c r="N619" s="200">
        <f t="shared" si="91"/>
        <v>6.75</v>
      </c>
      <c r="O619" s="200">
        <f t="shared" si="92"/>
        <v>0</v>
      </c>
      <c r="P619" s="200">
        <f t="shared" si="93"/>
        <v>0</v>
      </c>
      <c r="Q619" s="200">
        <f t="shared" si="94"/>
        <v>0</v>
      </c>
      <c r="R619" s="200">
        <f t="shared" si="95"/>
        <v>0</v>
      </c>
      <c r="S619" s="200">
        <f t="shared" si="96"/>
        <v>0</v>
      </c>
    </row>
    <row r="620" spans="1:19" s="236" customFormat="1" ht="24.95" customHeight="1">
      <c r="A620" s="239"/>
      <c r="B620" s="239" t="s">
        <v>394</v>
      </c>
      <c r="C620" s="240">
        <v>8</v>
      </c>
      <c r="D620" s="239">
        <v>1</v>
      </c>
      <c r="E620" s="203">
        <f>(H618/200)+1</f>
        <v>17.074999999999999</v>
      </c>
      <c r="F620" s="234"/>
      <c r="G620" s="234"/>
      <c r="H620" s="234">
        <v>820</v>
      </c>
      <c r="I620" s="234"/>
      <c r="J620" s="234"/>
      <c r="K620" s="241">
        <v>5</v>
      </c>
      <c r="L620" s="235">
        <f t="shared" si="89"/>
        <v>0.74</v>
      </c>
      <c r="M620" s="200">
        <f t="shared" si="90"/>
        <v>12.635499999999999</v>
      </c>
      <c r="N620" s="200">
        <f t="shared" si="91"/>
        <v>0</v>
      </c>
      <c r="O620" s="200">
        <f t="shared" si="92"/>
        <v>0</v>
      </c>
      <c r="P620" s="200">
        <f t="shared" si="93"/>
        <v>0</v>
      </c>
      <c r="Q620" s="200">
        <f t="shared" si="94"/>
        <v>0</v>
      </c>
      <c r="R620" s="200">
        <f t="shared" si="95"/>
        <v>0</v>
      </c>
      <c r="S620" s="200">
        <f t="shared" si="96"/>
        <v>0</v>
      </c>
    </row>
    <row r="621" spans="1:19" s="236" customFormat="1" ht="24.95" customHeight="1">
      <c r="A621" s="205" t="s">
        <v>438</v>
      </c>
      <c r="B621" s="206" t="s">
        <v>396</v>
      </c>
      <c r="C621" s="240"/>
      <c r="D621" s="239"/>
      <c r="E621" s="203"/>
      <c r="F621" s="234"/>
      <c r="G621" s="234"/>
      <c r="H621" s="234"/>
      <c r="I621" s="234"/>
      <c r="J621" s="234"/>
      <c r="K621" s="234"/>
      <c r="L621" s="235">
        <f t="shared" si="89"/>
        <v>0</v>
      </c>
      <c r="M621" s="200">
        <f t="shared" si="90"/>
        <v>0</v>
      </c>
      <c r="N621" s="200">
        <f t="shared" si="91"/>
        <v>0</v>
      </c>
      <c r="O621" s="200">
        <f t="shared" si="92"/>
        <v>0</v>
      </c>
      <c r="P621" s="200">
        <f t="shared" si="93"/>
        <v>0</v>
      </c>
      <c r="Q621" s="200">
        <f t="shared" si="94"/>
        <v>0</v>
      </c>
      <c r="R621" s="200">
        <f t="shared" si="95"/>
        <v>0</v>
      </c>
      <c r="S621" s="200">
        <f t="shared" si="96"/>
        <v>0</v>
      </c>
    </row>
    <row r="622" spans="1:19" s="236" customFormat="1" ht="24.95" customHeight="1">
      <c r="A622" s="239">
        <v>1</v>
      </c>
      <c r="B622" s="239" t="s">
        <v>392</v>
      </c>
      <c r="C622" s="240">
        <v>10</v>
      </c>
      <c r="D622" s="239">
        <v>1</v>
      </c>
      <c r="E622" s="203">
        <v>2</v>
      </c>
      <c r="F622" s="241">
        <v>100</v>
      </c>
      <c r="G622" s="234"/>
      <c r="H622" s="234">
        <v>4975</v>
      </c>
      <c r="I622" s="234"/>
      <c r="J622" s="241">
        <v>100</v>
      </c>
      <c r="K622" s="234">
        <v>2</v>
      </c>
      <c r="L622" s="235">
        <f t="shared" si="89"/>
        <v>5.1349999999999998</v>
      </c>
      <c r="M622" s="200">
        <f t="shared" si="90"/>
        <v>0</v>
      </c>
      <c r="N622" s="200">
        <f t="shared" si="91"/>
        <v>10.27</v>
      </c>
      <c r="O622" s="200">
        <f t="shared" si="92"/>
        <v>0</v>
      </c>
      <c r="P622" s="200">
        <f t="shared" si="93"/>
        <v>0</v>
      </c>
      <c r="Q622" s="200">
        <f t="shared" si="94"/>
        <v>0</v>
      </c>
      <c r="R622" s="200">
        <f t="shared" si="95"/>
        <v>0</v>
      </c>
      <c r="S622" s="200">
        <f t="shared" si="96"/>
        <v>0</v>
      </c>
    </row>
    <row r="623" spans="1:19" s="236" customFormat="1" ht="24.95" customHeight="1">
      <c r="A623" s="239"/>
      <c r="B623" s="239" t="s">
        <v>393</v>
      </c>
      <c r="C623" s="240">
        <v>10</v>
      </c>
      <c r="D623" s="239">
        <v>1</v>
      </c>
      <c r="E623" s="203">
        <v>2</v>
      </c>
      <c r="F623" s="241">
        <v>100</v>
      </c>
      <c r="G623" s="234"/>
      <c r="H623" s="234">
        <v>4975</v>
      </c>
      <c r="I623" s="234"/>
      <c r="J623" s="241">
        <v>100</v>
      </c>
      <c r="K623" s="234">
        <v>2</v>
      </c>
      <c r="L623" s="235">
        <f t="shared" si="89"/>
        <v>5.1349999999999998</v>
      </c>
      <c r="M623" s="200">
        <f t="shared" si="90"/>
        <v>0</v>
      </c>
      <c r="N623" s="200">
        <f t="shared" si="91"/>
        <v>10.27</v>
      </c>
      <c r="O623" s="200">
        <f t="shared" si="92"/>
        <v>0</v>
      </c>
      <c r="P623" s="200">
        <f t="shared" si="93"/>
        <v>0</v>
      </c>
      <c r="Q623" s="200">
        <f t="shared" si="94"/>
        <v>0</v>
      </c>
      <c r="R623" s="200">
        <f t="shared" si="95"/>
        <v>0</v>
      </c>
      <c r="S623" s="200">
        <f t="shared" si="96"/>
        <v>0</v>
      </c>
    </row>
    <row r="624" spans="1:19" s="236" customFormat="1" ht="24.95" customHeight="1">
      <c r="A624" s="239"/>
      <c r="B624" s="239" t="s">
        <v>394</v>
      </c>
      <c r="C624" s="240">
        <v>8</v>
      </c>
      <c r="D624" s="239">
        <v>1</v>
      </c>
      <c r="E624" s="203">
        <f>(H622/200)+1</f>
        <v>25.875</v>
      </c>
      <c r="F624" s="234"/>
      <c r="G624" s="234"/>
      <c r="H624" s="234">
        <v>820</v>
      </c>
      <c r="I624" s="234"/>
      <c r="J624" s="234"/>
      <c r="K624" s="241">
        <v>5</v>
      </c>
      <c r="L624" s="235">
        <f t="shared" si="89"/>
        <v>0.74</v>
      </c>
      <c r="M624" s="200">
        <f t="shared" si="90"/>
        <v>19.147500000000001</v>
      </c>
      <c r="N624" s="200">
        <f t="shared" si="91"/>
        <v>0</v>
      </c>
      <c r="O624" s="200">
        <f t="shared" si="92"/>
        <v>0</v>
      </c>
      <c r="P624" s="200">
        <f t="shared" si="93"/>
        <v>0</v>
      </c>
      <c r="Q624" s="200">
        <f t="shared" si="94"/>
        <v>0</v>
      </c>
      <c r="R624" s="200">
        <f t="shared" si="95"/>
        <v>0</v>
      </c>
      <c r="S624" s="200">
        <f t="shared" si="96"/>
        <v>0</v>
      </c>
    </row>
    <row r="625" spans="1:19" s="236" customFormat="1" ht="24.95" customHeight="1">
      <c r="A625" s="239">
        <v>2</v>
      </c>
      <c r="B625" s="239" t="s">
        <v>392</v>
      </c>
      <c r="C625" s="240">
        <v>10</v>
      </c>
      <c r="D625" s="239">
        <v>1</v>
      </c>
      <c r="E625" s="203">
        <v>2</v>
      </c>
      <c r="F625" s="241">
        <v>100</v>
      </c>
      <c r="G625" s="234"/>
      <c r="H625" s="234">
        <v>3140</v>
      </c>
      <c r="I625" s="234"/>
      <c r="J625" s="241">
        <v>100</v>
      </c>
      <c r="K625" s="234">
        <v>2</v>
      </c>
      <c r="L625" s="235">
        <f t="shared" si="89"/>
        <v>3.3</v>
      </c>
      <c r="M625" s="200">
        <f t="shared" si="90"/>
        <v>0</v>
      </c>
      <c r="N625" s="200">
        <f t="shared" si="91"/>
        <v>6.6</v>
      </c>
      <c r="O625" s="200">
        <f t="shared" si="92"/>
        <v>0</v>
      </c>
      <c r="P625" s="200">
        <f t="shared" si="93"/>
        <v>0</v>
      </c>
      <c r="Q625" s="200">
        <f t="shared" si="94"/>
        <v>0</v>
      </c>
      <c r="R625" s="200">
        <f t="shared" si="95"/>
        <v>0</v>
      </c>
      <c r="S625" s="200">
        <f t="shared" si="96"/>
        <v>0</v>
      </c>
    </row>
    <row r="626" spans="1:19" s="236" customFormat="1" ht="24.95" customHeight="1">
      <c r="A626" s="239"/>
      <c r="B626" s="239" t="s">
        <v>393</v>
      </c>
      <c r="C626" s="240">
        <v>10</v>
      </c>
      <c r="D626" s="239">
        <v>1</v>
      </c>
      <c r="E626" s="203">
        <v>2</v>
      </c>
      <c r="F626" s="241">
        <v>100</v>
      </c>
      <c r="G626" s="234"/>
      <c r="H626" s="234">
        <v>3140</v>
      </c>
      <c r="I626" s="234"/>
      <c r="J626" s="241">
        <v>100</v>
      </c>
      <c r="K626" s="234">
        <v>2</v>
      </c>
      <c r="L626" s="235">
        <f t="shared" si="89"/>
        <v>3.3</v>
      </c>
      <c r="M626" s="200">
        <f t="shared" si="90"/>
        <v>0</v>
      </c>
      <c r="N626" s="200">
        <f t="shared" si="91"/>
        <v>6.6</v>
      </c>
      <c r="O626" s="200">
        <f t="shared" si="92"/>
        <v>0</v>
      </c>
      <c r="P626" s="200">
        <f t="shared" si="93"/>
        <v>0</v>
      </c>
      <c r="Q626" s="200">
        <f t="shared" si="94"/>
        <v>0</v>
      </c>
      <c r="R626" s="200">
        <f t="shared" si="95"/>
        <v>0</v>
      </c>
      <c r="S626" s="200">
        <f t="shared" si="96"/>
        <v>0</v>
      </c>
    </row>
    <row r="627" spans="1:19" s="236" customFormat="1" ht="24.95" customHeight="1">
      <c r="A627" s="239"/>
      <c r="B627" s="239" t="s">
        <v>394</v>
      </c>
      <c r="C627" s="240">
        <v>8</v>
      </c>
      <c r="D627" s="239">
        <v>1</v>
      </c>
      <c r="E627" s="203">
        <f>(H625/200)+1</f>
        <v>16.7</v>
      </c>
      <c r="F627" s="234"/>
      <c r="G627" s="234"/>
      <c r="H627" s="234">
        <v>820</v>
      </c>
      <c r="I627" s="234"/>
      <c r="J627" s="234"/>
      <c r="K627" s="241">
        <v>5</v>
      </c>
      <c r="L627" s="235">
        <f t="shared" si="89"/>
        <v>0.74</v>
      </c>
      <c r="M627" s="200">
        <f t="shared" si="90"/>
        <v>12.357999999999999</v>
      </c>
      <c r="N627" s="200">
        <f t="shared" si="91"/>
        <v>0</v>
      </c>
      <c r="O627" s="200">
        <f t="shared" si="92"/>
        <v>0</v>
      </c>
      <c r="P627" s="200">
        <f t="shared" si="93"/>
        <v>0</v>
      </c>
      <c r="Q627" s="200">
        <f t="shared" si="94"/>
        <v>0</v>
      </c>
      <c r="R627" s="200">
        <f t="shared" si="95"/>
        <v>0</v>
      </c>
      <c r="S627" s="200">
        <f t="shared" si="96"/>
        <v>0</v>
      </c>
    </row>
    <row r="628" spans="1:19" s="236" customFormat="1" ht="24.95" customHeight="1">
      <c r="A628" s="239">
        <v>3</v>
      </c>
      <c r="B628" s="239" t="s">
        <v>392</v>
      </c>
      <c r="C628" s="240">
        <v>10</v>
      </c>
      <c r="D628" s="239">
        <v>1</v>
      </c>
      <c r="E628" s="203">
        <v>2</v>
      </c>
      <c r="F628" s="241">
        <v>100</v>
      </c>
      <c r="G628" s="234"/>
      <c r="H628" s="234">
        <v>6615</v>
      </c>
      <c r="I628" s="234"/>
      <c r="J628" s="241">
        <v>100</v>
      </c>
      <c r="K628" s="234">
        <v>2</v>
      </c>
      <c r="L628" s="235">
        <f t="shared" si="89"/>
        <v>6.7750000000000004</v>
      </c>
      <c r="M628" s="200">
        <f t="shared" si="90"/>
        <v>0</v>
      </c>
      <c r="N628" s="200">
        <f t="shared" si="91"/>
        <v>13.55</v>
      </c>
      <c r="O628" s="200">
        <f t="shared" si="92"/>
        <v>0</v>
      </c>
      <c r="P628" s="200">
        <f t="shared" si="93"/>
        <v>0</v>
      </c>
      <c r="Q628" s="200">
        <f t="shared" si="94"/>
        <v>0</v>
      </c>
      <c r="R628" s="200">
        <f t="shared" si="95"/>
        <v>0</v>
      </c>
      <c r="S628" s="200">
        <f t="shared" si="96"/>
        <v>0</v>
      </c>
    </row>
    <row r="629" spans="1:19" s="236" customFormat="1" ht="24.95" customHeight="1">
      <c r="A629" s="239"/>
      <c r="B629" s="239" t="s">
        <v>393</v>
      </c>
      <c r="C629" s="240">
        <v>10</v>
      </c>
      <c r="D629" s="239">
        <v>1</v>
      </c>
      <c r="E629" s="203">
        <v>2</v>
      </c>
      <c r="F629" s="241">
        <v>100</v>
      </c>
      <c r="G629" s="234"/>
      <c r="H629" s="234">
        <v>6615</v>
      </c>
      <c r="I629" s="234"/>
      <c r="J629" s="241">
        <v>100</v>
      </c>
      <c r="K629" s="234">
        <v>2</v>
      </c>
      <c r="L629" s="235">
        <f t="shared" si="89"/>
        <v>6.7750000000000004</v>
      </c>
      <c r="M629" s="200">
        <f t="shared" si="90"/>
        <v>0</v>
      </c>
      <c r="N629" s="200">
        <f t="shared" si="91"/>
        <v>13.55</v>
      </c>
      <c r="O629" s="200">
        <f t="shared" si="92"/>
        <v>0</v>
      </c>
      <c r="P629" s="200">
        <f t="shared" si="93"/>
        <v>0</v>
      </c>
      <c r="Q629" s="200">
        <f t="shared" si="94"/>
        <v>0</v>
      </c>
      <c r="R629" s="200">
        <f t="shared" si="95"/>
        <v>0</v>
      </c>
      <c r="S629" s="200">
        <f t="shared" si="96"/>
        <v>0</v>
      </c>
    </row>
    <row r="630" spans="1:19" s="236" customFormat="1" ht="24.95" customHeight="1">
      <c r="A630" s="239"/>
      <c r="B630" s="239" t="s">
        <v>394</v>
      </c>
      <c r="C630" s="240">
        <v>8</v>
      </c>
      <c r="D630" s="239">
        <v>1</v>
      </c>
      <c r="E630" s="203">
        <f>(H628/200)+1</f>
        <v>34.075000000000003</v>
      </c>
      <c r="F630" s="234"/>
      <c r="G630" s="234"/>
      <c r="H630" s="234">
        <v>820</v>
      </c>
      <c r="I630" s="234"/>
      <c r="J630" s="234"/>
      <c r="K630" s="241">
        <v>5</v>
      </c>
      <c r="L630" s="235">
        <f t="shared" si="89"/>
        <v>0.74</v>
      </c>
      <c r="M630" s="200">
        <f t="shared" si="90"/>
        <v>25.215500000000002</v>
      </c>
      <c r="N630" s="200">
        <f t="shared" si="91"/>
        <v>0</v>
      </c>
      <c r="O630" s="200">
        <f t="shared" si="92"/>
        <v>0</v>
      </c>
      <c r="P630" s="200">
        <f t="shared" si="93"/>
        <v>0</v>
      </c>
      <c r="Q630" s="200">
        <f t="shared" si="94"/>
        <v>0</v>
      </c>
      <c r="R630" s="200">
        <f t="shared" si="95"/>
        <v>0</v>
      </c>
      <c r="S630" s="200">
        <f t="shared" si="96"/>
        <v>0</v>
      </c>
    </row>
    <row r="631" spans="1:19" s="236" customFormat="1" ht="24.95" customHeight="1">
      <c r="A631" s="239">
        <v>4</v>
      </c>
      <c r="B631" s="239" t="s">
        <v>392</v>
      </c>
      <c r="C631" s="240">
        <v>10</v>
      </c>
      <c r="D631" s="239">
        <v>1</v>
      </c>
      <c r="E631" s="203">
        <v>2</v>
      </c>
      <c r="F631" s="241">
        <v>100</v>
      </c>
      <c r="G631" s="234"/>
      <c r="H631" s="234">
        <v>2180</v>
      </c>
      <c r="I631" s="234"/>
      <c r="J631" s="241">
        <v>100</v>
      </c>
      <c r="K631" s="234">
        <v>2</v>
      </c>
      <c r="L631" s="235">
        <f t="shared" si="89"/>
        <v>2.34</v>
      </c>
      <c r="M631" s="200">
        <f t="shared" si="90"/>
        <v>0</v>
      </c>
      <c r="N631" s="200">
        <f t="shared" si="91"/>
        <v>4.68</v>
      </c>
      <c r="O631" s="200">
        <f t="shared" si="92"/>
        <v>0</v>
      </c>
      <c r="P631" s="200">
        <f t="shared" si="93"/>
        <v>0</v>
      </c>
      <c r="Q631" s="200">
        <f t="shared" si="94"/>
        <v>0</v>
      </c>
      <c r="R631" s="200">
        <f t="shared" si="95"/>
        <v>0</v>
      </c>
      <c r="S631" s="200">
        <f t="shared" si="96"/>
        <v>0</v>
      </c>
    </row>
    <row r="632" spans="1:19" s="236" customFormat="1" ht="24.95" customHeight="1">
      <c r="A632" s="239"/>
      <c r="B632" s="239" t="s">
        <v>393</v>
      </c>
      <c r="C632" s="240">
        <v>10</v>
      </c>
      <c r="D632" s="239">
        <v>1</v>
      </c>
      <c r="E632" s="203">
        <v>2</v>
      </c>
      <c r="F632" s="241">
        <v>100</v>
      </c>
      <c r="G632" s="234"/>
      <c r="H632" s="234">
        <v>2180</v>
      </c>
      <c r="I632" s="234"/>
      <c r="J632" s="241">
        <v>100</v>
      </c>
      <c r="K632" s="234">
        <v>2</v>
      </c>
      <c r="L632" s="235">
        <f t="shared" si="89"/>
        <v>2.34</v>
      </c>
      <c r="M632" s="200">
        <f t="shared" si="90"/>
        <v>0</v>
      </c>
      <c r="N632" s="200">
        <f t="shared" si="91"/>
        <v>4.68</v>
      </c>
      <c r="O632" s="200">
        <f t="shared" si="92"/>
        <v>0</v>
      </c>
      <c r="P632" s="200">
        <f t="shared" si="93"/>
        <v>0</v>
      </c>
      <c r="Q632" s="200">
        <f t="shared" si="94"/>
        <v>0</v>
      </c>
      <c r="R632" s="200">
        <f t="shared" si="95"/>
        <v>0</v>
      </c>
      <c r="S632" s="200">
        <f t="shared" si="96"/>
        <v>0</v>
      </c>
    </row>
    <row r="633" spans="1:19" s="236" customFormat="1" ht="24.95" customHeight="1">
      <c r="A633" s="239"/>
      <c r="B633" s="239" t="s">
        <v>394</v>
      </c>
      <c r="C633" s="240">
        <v>8</v>
      </c>
      <c r="D633" s="239">
        <v>1</v>
      </c>
      <c r="E633" s="203">
        <f>(H631/200)+1</f>
        <v>11.9</v>
      </c>
      <c r="F633" s="234"/>
      <c r="G633" s="234"/>
      <c r="H633" s="234">
        <v>820</v>
      </c>
      <c r="I633" s="234"/>
      <c r="J633" s="234"/>
      <c r="K633" s="241">
        <v>5</v>
      </c>
      <c r="L633" s="235">
        <f t="shared" si="89"/>
        <v>0.74</v>
      </c>
      <c r="M633" s="200">
        <f t="shared" si="90"/>
        <v>8.8060000000000009</v>
      </c>
      <c r="N633" s="200">
        <f t="shared" si="91"/>
        <v>0</v>
      </c>
      <c r="O633" s="200">
        <f t="shared" si="92"/>
        <v>0</v>
      </c>
      <c r="P633" s="200">
        <f t="shared" si="93"/>
        <v>0</v>
      </c>
      <c r="Q633" s="200">
        <f t="shared" si="94"/>
        <v>0</v>
      </c>
      <c r="R633" s="200">
        <f t="shared" si="95"/>
        <v>0</v>
      </c>
      <c r="S633" s="200">
        <f t="shared" si="96"/>
        <v>0</v>
      </c>
    </row>
    <row r="634" spans="1:19" s="236" customFormat="1" ht="24.95" customHeight="1">
      <c r="A634" s="239">
        <v>5</v>
      </c>
      <c r="B634" s="239" t="s">
        <v>392</v>
      </c>
      <c r="C634" s="240">
        <v>10</v>
      </c>
      <c r="D634" s="239">
        <v>1</v>
      </c>
      <c r="E634" s="203">
        <v>2</v>
      </c>
      <c r="F634" s="241">
        <v>100</v>
      </c>
      <c r="G634" s="234"/>
      <c r="H634" s="241">
        <v>2410</v>
      </c>
      <c r="I634" s="234"/>
      <c r="J634" s="241">
        <v>100</v>
      </c>
      <c r="K634" s="234">
        <v>2</v>
      </c>
      <c r="L634" s="235">
        <f t="shared" si="89"/>
        <v>2.57</v>
      </c>
      <c r="M634" s="200">
        <f t="shared" si="90"/>
        <v>0</v>
      </c>
      <c r="N634" s="200">
        <f t="shared" si="91"/>
        <v>5.14</v>
      </c>
      <c r="O634" s="200">
        <f t="shared" si="92"/>
        <v>0</v>
      </c>
      <c r="P634" s="200">
        <f t="shared" si="93"/>
        <v>0</v>
      </c>
      <c r="Q634" s="200">
        <f t="shared" si="94"/>
        <v>0</v>
      </c>
      <c r="R634" s="200">
        <f t="shared" si="95"/>
        <v>0</v>
      </c>
      <c r="S634" s="200">
        <f t="shared" si="96"/>
        <v>0</v>
      </c>
    </row>
    <row r="635" spans="1:19" s="236" customFormat="1" ht="24.95" customHeight="1">
      <c r="A635" s="239"/>
      <c r="B635" s="239" t="s">
        <v>393</v>
      </c>
      <c r="C635" s="240">
        <v>10</v>
      </c>
      <c r="D635" s="239">
        <v>1</v>
      </c>
      <c r="E635" s="203">
        <v>2</v>
      </c>
      <c r="F635" s="241">
        <v>100</v>
      </c>
      <c r="G635" s="234"/>
      <c r="H635" s="241">
        <v>2410</v>
      </c>
      <c r="I635" s="234"/>
      <c r="J635" s="241">
        <v>100</v>
      </c>
      <c r="K635" s="234">
        <v>2</v>
      </c>
      <c r="L635" s="235">
        <f t="shared" si="89"/>
        <v>2.57</v>
      </c>
      <c r="M635" s="200">
        <f t="shared" si="90"/>
        <v>0</v>
      </c>
      <c r="N635" s="200">
        <f t="shared" si="91"/>
        <v>5.14</v>
      </c>
      <c r="O635" s="200">
        <f t="shared" si="92"/>
        <v>0</v>
      </c>
      <c r="P635" s="200">
        <f t="shared" si="93"/>
        <v>0</v>
      </c>
      <c r="Q635" s="200">
        <f t="shared" si="94"/>
        <v>0</v>
      </c>
      <c r="R635" s="200">
        <f t="shared" si="95"/>
        <v>0</v>
      </c>
      <c r="S635" s="200">
        <f t="shared" si="96"/>
        <v>0</v>
      </c>
    </row>
    <row r="636" spans="1:19" s="236" customFormat="1" ht="24.95" customHeight="1">
      <c r="A636" s="239"/>
      <c r="B636" s="239" t="s">
        <v>394</v>
      </c>
      <c r="C636" s="240">
        <v>8</v>
      </c>
      <c r="D636" s="239">
        <v>1</v>
      </c>
      <c r="E636" s="203">
        <f>(H634/200)+1</f>
        <v>13.05</v>
      </c>
      <c r="F636" s="234"/>
      <c r="G636" s="234"/>
      <c r="H636" s="234">
        <v>820</v>
      </c>
      <c r="I636" s="234"/>
      <c r="J636" s="234"/>
      <c r="K636" s="241">
        <v>5</v>
      </c>
      <c r="L636" s="235">
        <f t="shared" si="89"/>
        <v>0.74</v>
      </c>
      <c r="M636" s="200">
        <f t="shared" si="90"/>
        <v>9.657</v>
      </c>
      <c r="N636" s="200">
        <f t="shared" si="91"/>
        <v>0</v>
      </c>
      <c r="O636" s="200">
        <f t="shared" si="92"/>
        <v>0</v>
      </c>
      <c r="P636" s="200">
        <f t="shared" si="93"/>
        <v>0</v>
      </c>
      <c r="Q636" s="200">
        <f t="shared" si="94"/>
        <v>0</v>
      </c>
      <c r="R636" s="200">
        <f t="shared" si="95"/>
        <v>0</v>
      </c>
      <c r="S636" s="200">
        <f t="shared" si="96"/>
        <v>0</v>
      </c>
    </row>
    <row r="637" spans="1:19" s="247" customFormat="1" ht="24.95" customHeight="1">
      <c r="A637" s="242">
        <v>6</v>
      </c>
      <c r="B637" s="242" t="s">
        <v>392</v>
      </c>
      <c r="C637" s="243">
        <v>10</v>
      </c>
      <c r="D637" s="242">
        <f t="shared" ref="D637:D639" si="97">1*0</f>
        <v>0</v>
      </c>
      <c r="E637" s="244">
        <v>2</v>
      </c>
      <c r="F637" s="245">
        <v>100</v>
      </c>
      <c r="G637" s="246"/>
      <c r="H637" s="246">
        <v>880</v>
      </c>
      <c r="I637" s="246"/>
      <c r="J637" s="245">
        <v>100</v>
      </c>
      <c r="K637" s="246">
        <v>2</v>
      </c>
      <c r="L637" s="235">
        <f t="shared" si="89"/>
        <v>1.04</v>
      </c>
      <c r="M637" s="200">
        <f t="shared" si="90"/>
        <v>0</v>
      </c>
      <c r="N637" s="200">
        <f t="shared" si="91"/>
        <v>0</v>
      </c>
      <c r="O637" s="200">
        <f t="shared" si="92"/>
        <v>0</v>
      </c>
      <c r="P637" s="200">
        <f t="shared" si="93"/>
        <v>0</v>
      </c>
      <c r="Q637" s="200">
        <f t="shared" si="94"/>
        <v>0</v>
      </c>
      <c r="R637" s="200">
        <f t="shared" si="95"/>
        <v>0</v>
      </c>
      <c r="S637" s="200">
        <f t="shared" si="96"/>
        <v>0</v>
      </c>
    </row>
    <row r="638" spans="1:19" s="247" customFormat="1" ht="24.95" customHeight="1">
      <c r="A638" s="242"/>
      <c r="B638" s="242" t="s">
        <v>393</v>
      </c>
      <c r="C638" s="243">
        <v>10</v>
      </c>
      <c r="D638" s="242">
        <f t="shared" si="97"/>
        <v>0</v>
      </c>
      <c r="E638" s="244">
        <v>2</v>
      </c>
      <c r="F638" s="245">
        <v>100</v>
      </c>
      <c r="G638" s="246"/>
      <c r="H638" s="246">
        <v>880</v>
      </c>
      <c r="I638" s="246"/>
      <c r="J638" s="245">
        <v>100</v>
      </c>
      <c r="K638" s="246">
        <v>2</v>
      </c>
      <c r="L638" s="235">
        <f t="shared" si="89"/>
        <v>1.04</v>
      </c>
      <c r="M638" s="200">
        <f t="shared" si="90"/>
        <v>0</v>
      </c>
      <c r="N638" s="200">
        <f t="shared" si="91"/>
        <v>0</v>
      </c>
      <c r="O638" s="200">
        <f t="shared" si="92"/>
        <v>0</v>
      </c>
      <c r="P638" s="200">
        <f t="shared" si="93"/>
        <v>0</v>
      </c>
      <c r="Q638" s="200">
        <f t="shared" si="94"/>
        <v>0</v>
      </c>
      <c r="R638" s="200">
        <f t="shared" si="95"/>
        <v>0</v>
      </c>
      <c r="S638" s="200">
        <f t="shared" si="96"/>
        <v>0</v>
      </c>
    </row>
    <row r="639" spans="1:19" s="247" customFormat="1" ht="24.95" customHeight="1">
      <c r="A639" s="242"/>
      <c r="B639" s="242" t="s">
        <v>394</v>
      </c>
      <c r="C639" s="243">
        <v>8</v>
      </c>
      <c r="D639" s="242">
        <f t="shared" si="97"/>
        <v>0</v>
      </c>
      <c r="E639" s="244">
        <f>(H637/200)+1</f>
        <v>5.4</v>
      </c>
      <c r="F639" s="246"/>
      <c r="G639" s="246"/>
      <c r="H639" s="246">
        <v>820</v>
      </c>
      <c r="I639" s="246"/>
      <c r="J639" s="246"/>
      <c r="K639" s="245">
        <v>5</v>
      </c>
      <c r="L639" s="235">
        <f t="shared" si="89"/>
        <v>0.74</v>
      </c>
      <c r="M639" s="200">
        <f t="shared" si="90"/>
        <v>0</v>
      </c>
      <c r="N639" s="200">
        <f t="shared" si="91"/>
        <v>0</v>
      </c>
      <c r="O639" s="200">
        <f t="shared" si="92"/>
        <v>0</v>
      </c>
      <c r="P639" s="200">
        <f t="shared" si="93"/>
        <v>0</v>
      </c>
      <c r="Q639" s="200">
        <f t="shared" si="94"/>
        <v>0</v>
      </c>
      <c r="R639" s="200">
        <f t="shared" si="95"/>
        <v>0</v>
      </c>
      <c r="S639" s="200">
        <f t="shared" si="96"/>
        <v>0</v>
      </c>
    </row>
    <row r="640" spans="1:19" s="236" customFormat="1" ht="24.95" customHeight="1">
      <c r="A640" s="239">
        <v>7</v>
      </c>
      <c r="B640" s="239" t="s">
        <v>392</v>
      </c>
      <c r="C640" s="240">
        <v>10</v>
      </c>
      <c r="D640" s="239">
        <v>1</v>
      </c>
      <c r="E640" s="203">
        <v>2</v>
      </c>
      <c r="F640" s="241">
        <v>100</v>
      </c>
      <c r="G640" s="234"/>
      <c r="H640" s="241">
        <v>1410</v>
      </c>
      <c r="I640" s="234"/>
      <c r="J640" s="241">
        <v>100</v>
      </c>
      <c r="K640" s="234">
        <v>2</v>
      </c>
      <c r="L640" s="235">
        <f t="shared" si="89"/>
        <v>1.57</v>
      </c>
      <c r="M640" s="200">
        <f t="shared" si="90"/>
        <v>0</v>
      </c>
      <c r="N640" s="200">
        <f t="shared" si="91"/>
        <v>3.14</v>
      </c>
      <c r="O640" s="200">
        <f t="shared" si="92"/>
        <v>0</v>
      </c>
      <c r="P640" s="200">
        <f t="shared" si="93"/>
        <v>0</v>
      </c>
      <c r="Q640" s="200">
        <f t="shared" si="94"/>
        <v>0</v>
      </c>
      <c r="R640" s="200">
        <f t="shared" si="95"/>
        <v>0</v>
      </c>
      <c r="S640" s="200">
        <f t="shared" si="96"/>
        <v>0</v>
      </c>
    </row>
    <row r="641" spans="1:19" s="236" customFormat="1" ht="24.95" customHeight="1">
      <c r="A641" s="239"/>
      <c r="B641" s="239" t="s">
        <v>393</v>
      </c>
      <c r="C641" s="240">
        <v>10</v>
      </c>
      <c r="D641" s="239">
        <v>1</v>
      </c>
      <c r="E641" s="203">
        <v>2</v>
      </c>
      <c r="F641" s="241">
        <v>100</v>
      </c>
      <c r="G641" s="234"/>
      <c r="H641" s="241">
        <v>1410</v>
      </c>
      <c r="I641" s="234"/>
      <c r="J641" s="241">
        <v>100</v>
      </c>
      <c r="K641" s="234">
        <v>2</v>
      </c>
      <c r="L641" s="235">
        <f t="shared" si="89"/>
        <v>1.57</v>
      </c>
      <c r="M641" s="200">
        <f t="shared" si="90"/>
        <v>0</v>
      </c>
      <c r="N641" s="200">
        <f t="shared" si="91"/>
        <v>3.14</v>
      </c>
      <c r="O641" s="200">
        <f t="shared" si="92"/>
        <v>0</v>
      </c>
      <c r="P641" s="200">
        <f t="shared" si="93"/>
        <v>0</v>
      </c>
      <c r="Q641" s="200">
        <f t="shared" si="94"/>
        <v>0</v>
      </c>
      <c r="R641" s="200">
        <f t="shared" si="95"/>
        <v>0</v>
      </c>
      <c r="S641" s="200">
        <f t="shared" si="96"/>
        <v>0</v>
      </c>
    </row>
    <row r="642" spans="1:19" s="236" customFormat="1" ht="24.95" customHeight="1">
      <c r="A642" s="239"/>
      <c r="B642" s="239" t="s">
        <v>394</v>
      </c>
      <c r="C642" s="240">
        <v>8</v>
      </c>
      <c r="D642" s="239">
        <v>1</v>
      </c>
      <c r="E642" s="203">
        <f>(H640/200)+1</f>
        <v>8.0500000000000007</v>
      </c>
      <c r="F642" s="234"/>
      <c r="G642" s="234"/>
      <c r="H642" s="234">
        <v>820</v>
      </c>
      <c r="I642" s="234"/>
      <c r="J642" s="234"/>
      <c r="K642" s="241">
        <v>5</v>
      </c>
      <c r="L642" s="235">
        <f t="shared" si="89"/>
        <v>0.74</v>
      </c>
      <c r="M642" s="200">
        <f t="shared" si="90"/>
        <v>5.9570000000000007</v>
      </c>
      <c r="N642" s="200">
        <f t="shared" si="91"/>
        <v>0</v>
      </c>
      <c r="O642" s="200">
        <f t="shared" si="92"/>
        <v>0</v>
      </c>
      <c r="P642" s="200">
        <f t="shared" si="93"/>
        <v>0</v>
      </c>
      <c r="Q642" s="200">
        <f t="shared" si="94"/>
        <v>0</v>
      </c>
      <c r="R642" s="200">
        <f t="shared" si="95"/>
        <v>0</v>
      </c>
      <c r="S642" s="200">
        <f t="shared" si="96"/>
        <v>0</v>
      </c>
    </row>
    <row r="643" spans="1:19" s="236" customFormat="1" ht="24.95" customHeight="1">
      <c r="A643" s="239">
        <v>8</v>
      </c>
      <c r="B643" s="239" t="s">
        <v>392</v>
      </c>
      <c r="C643" s="240">
        <v>10</v>
      </c>
      <c r="D643" s="239">
        <v>1</v>
      </c>
      <c r="E643" s="203">
        <v>2</v>
      </c>
      <c r="F643" s="241">
        <v>100</v>
      </c>
      <c r="G643" s="234"/>
      <c r="H643" s="234">
        <v>2150</v>
      </c>
      <c r="I643" s="234"/>
      <c r="J643" s="241">
        <v>100</v>
      </c>
      <c r="K643" s="234">
        <v>2</v>
      </c>
      <c r="L643" s="235">
        <f t="shared" si="89"/>
        <v>2.31</v>
      </c>
      <c r="M643" s="200">
        <f t="shared" si="90"/>
        <v>0</v>
      </c>
      <c r="N643" s="200">
        <f t="shared" si="91"/>
        <v>4.62</v>
      </c>
      <c r="O643" s="200">
        <f t="shared" si="92"/>
        <v>0</v>
      </c>
      <c r="P643" s="200">
        <f t="shared" si="93"/>
        <v>0</v>
      </c>
      <c r="Q643" s="200">
        <f t="shared" si="94"/>
        <v>0</v>
      </c>
      <c r="R643" s="200">
        <f t="shared" si="95"/>
        <v>0</v>
      </c>
      <c r="S643" s="200">
        <f t="shared" si="96"/>
        <v>0</v>
      </c>
    </row>
    <row r="644" spans="1:19" s="236" customFormat="1" ht="24.95" customHeight="1">
      <c r="A644" s="239"/>
      <c r="B644" s="239" t="s">
        <v>393</v>
      </c>
      <c r="C644" s="240">
        <v>10</v>
      </c>
      <c r="D644" s="239">
        <v>1</v>
      </c>
      <c r="E644" s="203">
        <v>2</v>
      </c>
      <c r="F644" s="241">
        <v>100</v>
      </c>
      <c r="G644" s="234"/>
      <c r="H644" s="234">
        <v>2150</v>
      </c>
      <c r="I644" s="234"/>
      <c r="J644" s="241">
        <v>100</v>
      </c>
      <c r="K644" s="234">
        <v>2</v>
      </c>
      <c r="L644" s="235">
        <f t="shared" si="89"/>
        <v>2.31</v>
      </c>
      <c r="M644" s="200">
        <f t="shared" si="90"/>
        <v>0</v>
      </c>
      <c r="N644" s="200">
        <f t="shared" si="91"/>
        <v>4.62</v>
      </c>
      <c r="O644" s="200">
        <f t="shared" si="92"/>
        <v>0</v>
      </c>
      <c r="P644" s="200">
        <f t="shared" si="93"/>
        <v>0</v>
      </c>
      <c r="Q644" s="200">
        <f t="shared" si="94"/>
        <v>0</v>
      </c>
      <c r="R644" s="200">
        <f t="shared" si="95"/>
        <v>0</v>
      </c>
      <c r="S644" s="200">
        <f t="shared" si="96"/>
        <v>0</v>
      </c>
    </row>
    <row r="645" spans="1:19" s="236" customFormat="1" ht="24.95" customHeight="1">
      <c r="A645" s="239"/>
      <c r="B645" s="239" t="s">
        <v>394</v>
      </c>
      <c r="C645" s="240">
        <v>8</v>
      </c>
      <c r="D645" s="239">
        <v>1</v>
      </c>
      <c r="E645" s="203">
        <f>(H643/200)+1</f>
        <v>11.75</v>
      </c>
      <c r="F645" s="234"/>
      <c r="G645" s="234"/>
      <c r="H645" s="234">
        <v>820</v>
      </c>
      <c r="I645" s="234"/>
      <c r="J645" s="234"/>
      <c r="K645" s="241">
        <v>5</v>
      </c>
      <c r="L645" s="235">
        <f t="shared" si="89"/>
        <v>0.74</v>
      </c>
      <c r="M645" s="200">
        <f t="shared" si="90"/>
        <v>8.6950000000000003</v>
      </c>
      <c r="N645" s="200">
        <f t="shared" si="91"/>
        <v>0</v>
      </c>
      <c r="O645" s="200">
        <f t="shared" si="92"/>
        <v>0</v>
      </c>
      <c r="P645" s="200">
        <f t="shared" si="93"/>
        <v>0</v>
      </c>
      <c r="Q645" s="200">
        <f t="shared" si="94"/>
        <v>0</v>
      </c>
      <c r="R645" s="200">
        <f t="shared" si="95"/>
        <v>0</v>
      </c>
      <c r="S645" s="200">
        <f t="shared" si="96"/>
        <v>0</v>
      </c>
    </row>
    <row r="646" spans="1:19" s="236" customFormat="1" ht="24.95" customHeight="1">
      <c r="A646" s="237">
        <v>9</v>
      </c>
      <c r="B646" s="238" t="s">
        <v>439</v>
      </c>
      <c r="C646" s="240"/>
      <c r="D646" s="239"/>
      <c r="E646" s="203"/>
      <c r="F646" s="234"/>
      <c r="G646" s="234"/>
      <c r="H646" s="234"/>
      <c r="I646" s="234"/>
      <c r="J646" s="234"/>
      <c r="K646" s="234"/>
      <c r="L646" s="235">
        <f t="shared" si="89"/>
        <v>0</v>
      </c>
      <c r="M646" s="200">
        <f t="shared" si="90"/>
        <v>0</v>
      </c>
      <c r="N646" s="200">
        <f t="shared" si="91"/>
        <v>0</v>
      </c>
      <c r="O646" s="200">
        <f t="shared" si="92"/>
        <v>0</v>
      </c>
      <c r="P646" s="200">
        <f t="shared" si="93"/>
        <v>0</v>
      </c>
      <c r="Q646" s="200">
        <f t="shared" si="94"/>
        <v>0</v>
      </c>
      <c r="R646" s="200">
        <f t="shared" si="95"/>
        <v>0</v>
      </c>
      <c r="S646" s="200">
        <f t="shared" si="96"/>
        <v>0</v>
      </c>
    </row>
    <row r="647" spans="1:19" s="236" customFormat="1" ht="24.95" customHeight="1">
      <c r="A647" s="209" t="s">
        <v>440</v>
      </c>
      <c r="B647" s="209" t="s">
        <v>441</v>
      </c>
      <c r="C647" s="240"/>
      <c r="D647" s="239"/>
      <c r="E647" s="203"/>
      <c r="F647" s="234"/>
      <c r="G647" s="234"/>
      <c r="H647" s="234"/>
      <c r="I647" s="234"/>
      <c r="J647" s="234"/>
      <c r="K647" s="234">
        <v>0</v>
      </c>
      <c r="L647" s="235">
        <f t="shared" si="89"/>
        <v>0</v>
      </c>
      <c r="M647" s="200">
        <f t="shared" si="90"/>
        <v>0</v>
      </c>
      <c r="N647" s="200">
        <f t="shared" si="91"/>
        <v>0</v>
      </c>
      <c r="O647" s="200">
        <f t="shared" si="92"/>
        <v>0</v>
      </c>
      <c r="P647" s="200">
        <f t="shared" si="93"/>
        <v>0</v>
      </c>
      <c r="Q647" s="200">
        <f t="shared" si="94"/>
        <v>0</v>
      </c>
      <c r="R647" s="200">
        <f t="shared" si="95"/>
        <v>0</v>
      </c>
      <c r="S647" s="200">
        <f t="shared" si="96"/>
        <v>0</v>
      </c>
    </row>
    <row r="648" spans="1:19" s="236" customFormat="1" ht="24.95" customHeight="1">
      <c r="A648" s="205" t="s">
        <v>442</v>
      </c>
      <c r="B648" s="206" t="s">
        <v>443</v>
      </c>
      <c r="C648" s="240"/>
      <c r="D648" s="239"/>
      <c r="E648" s="203"/>
      <c r="F648" s="234"/>
      <c r="G648" s="234"/>
      <c r="H648" s="234"/>
      <c r="I648" s="234"/>
      <c r="J648" s="234"/>
      <c r="K648" s="234"/>
      <c r="L648" s="235">
        <f t="shared" si="89"/>
        <v>0</v>
      </c>
      <c r="M648" s="200">
        <f t="shared" si="90"/>
        <v>0</v>
      </c>
      <c r="N648" s="200">
        <f t="shared" si="91"/>
        <v>0</v>
      </c>
      <c r="O648" s="200">
        <f t="shared" si="92"/>
        <v>0</v>
      </c>
      <c r="P648" s="200">
        <f t="shared" si="93"/>
        <v>0</v>
      </c>
      <c r="Q648" s="200">
        <f t="shared" si="94"/>
        <v>0</v>
      </c>
      <c r="R648" s="200">
        <f t="shared" si="95"/>
        <v>0</v>
      </c>
      <c r="S648" s="200">
        <f t="shared" si="96"/>
        <v>0</v>
      </c>
    </row>
    <row r="649" spans="1:19" s="236" customFormat="1" ht="24.95" customHeight="1">
      <c r="A649" s="239"/>
      <c r="B649" s="239" t="s">
        <v>444</v>
      </c>
      <c r="C649" s="240"/>
      <c r="D649" s="239"/>
      <c r="E649" s="203"/>
      <c r="F649" s="234"/>
      <c r="G649" s="234"/>
      <c r="H649" s="234"/>
      <c r="I649" s="234"/>
      <c r="J649" s="234"/>
      <c r="K649" s="234"/>
      <c r="L649" s="235">
        <f t="shared" si="89"/>
        <v>0</v>
      </c>
      <c r="M649" s="200">
        <f t="shared" si="90"/>
        <v>0</v>
      </c>
      <c r="N649" s="200">
        <f t="shared" si="91"/>
        <v>0</v>
      </c>
      <c r="O649" s="200">
        <f t="shared" si="92"/>
        <v>0</v>
      </c>
      <c r="P649" s="200">
        <f t="shared" si="93"/>
        <v>0</v>
      </c>
      <c r="Q649" s="200">
        <f t="shared" si="94"/>
        <v>0</v>
      </c>
      <c r="R649" s="200">
        <f t="shared" si="95"/>
        <v>0</v>
      </c>
      <c r="S649" s="200">
        <f t="shared" si="96"/>
        <v>0</v>
      </c>
    </row>
    <row r="650" spans="1:19" s="236" customFormat="1" ht="24.95" customHeight="1">
      <c r="A650" s="239">
        <v>1</v>
      </c>
      <c r="B650" s="239" t="s">
        <v>392</v>
      </c>
      <c r="C650" s="240">
        <v>10</v>
      </c>
      <c r="D650" s="239">
        <v>2</v>
      </c>
      <c r="E650" s="203">
        <v>2</v>
      </c>
      <c r="F650" s="241">
        <v>100</v>
      </c>
      <c r="G650" s="234"/>
      <c r="H650" s="234">
        <v>14600</v>
      </c>
      <c r="I650" s="234"/>
      <c r="J650" s="241">
        <v>100</v>
      </c>
      <c r="K650" s="234">
        <v>2</v>
      </c>
      <c r="L650" s="235">
        <f t="shared" si="89"/>
        <v>14.76</v>
      </c>
      <c r="M650" s="200">
        <f t="shared" si="90"/>
        <v>0</v>
      </c>
      <c r="N650" s="200">
        <f t="shared" si="91"/>
        <v>59.04</v>
      </c>
      <c r="O650" s="200">
        <f t="shared" si="92"/>
        <v>0</v>
      </c>
      <c r="P650" s="200">
        <f t="shared" si="93"/>
        <v>0</v>
      </c>
      <c r="Q650" s="200">
        <f t="shared" si="94"/>
        <v>0</v>
      </c>
      <c r="R650" s="200">
        <f t="shared" si="95"/>
        <v>0</v>
      </c>
      <c r="S650" s="200">
        <f t="shared" si="96"/>
        <v>0</v>
      </c>
    </row>
    <row r="651" spans="1:19" s="236" customFormat="1" ht="24.95" customHeight="1">
      <c r="A651" s="239"/>
      <c r="B651" s="239" t="s">
        <v>393</v>
      </c>
      <c r="C651" s="240">
        <v>10</v>
      </c>
      <c r="D651" s="239">
        <v>2</v>
      </c>
      <c r="E651" s="203">
        <v>2</v>
      </c>
      <c r="F651" s="241">
        <v>100</v>
      </c>
      <c r="G651" s="234"/>
      <c r="H651" s="234">
        <v>14600</v>
      </c>
      <c r="I651" s="234"/>
      <c r="J651" s="241">
        <v>100</v>
      </c>
      <c r="K651" s="234">
        <v>2</v>
      </c>
      <c r="L651" s="235">
        <f t="shared" ref="L651:L714" si="98">(((F651+G651+H651+I651+J651)-C651*K651*2)/1000)</f>
        <v>14.76</v>
      </c>
      <c r="M651" s="200">
        <f t="shared" ref="M651:M714" si="99">+IF(C651=8,D651*E651*L651,0)</f>
        <v>0</v>
      </c>
      <c r="N651" s="200">
        <f t="shared" ref="N651:N714" si="100">+IF(C651=10,D651*E651*L651,0)</f>
        <v>59.04</v>
      </c>
      <c r="O651" s="200">
        <f t="shared" ref="O651:O714" si="101">+IF(C651=12,D651*E651*L651,0)</f>
        <v>0</v>
      </c>
      <c r="P651" s="200">
        <f t="shared" ref="P651:P714" si="102">+IF(C651=16,D651*E651*L651,0)</f>
        <v>0</v>
      </c>
      <c r="Q651" s="200">
        <f t="shared" ref="Q651:Q714" si="103">+IF(C651=20,D651*E651*L651,0)</f>
        <v>0</v>
      </c>
      <c r="R651" s="200">
        <f t="shared" ref="R651:R714" si="104">+IF(C651=25,D651*E651*L651,0)</f>
        <v>0</v>
      </c>
      <c r="S651" s="200">
        <f t="shared" ref="S651:S714" si="105">+IF(C651=32,D651*E651*L651,0)</f>
        <v>0</v>
      </c>
    </row>
    <row r="652" spans="1:19" s="236" customFormat="1" ht="24.95" customHeight="1">
      <c r="A652" s="239"/>
      <c r="B652" s="239" t="s">
        <v>433</v>
      </c>
      <c r="C652" s="240">
        <v>10</v>
      </c>
      <c r="D652" s="239">
        <v>2</v>
      </c>
      <c r="E652" s="203">
        <v>4</v>
      </c>
      <c r="F652" s="234"/>
      <c r="G652" s="234"/>
      <c r="H652" s="234">
        <v>500</v>
      </c>
      <c r="I652" s="234"/>
      <c r="J652" s="234"/>
      <c r="K652" s="234"/>
      <c r="L652" s="235">
        <f t="shared" si="98"/>
        <v>0.5</v>
      </c>
      <c r="M652" s="200">
        <f t="shared" si="99"/>
        <v>0</v>
      </c>
      <c r="N652" s="200">
        <f t="shared" si="100"/>
        <v>4</v>
      </c>
      <c r="O652" s="200">
        <f t="shared" si="101"/>
        <v>0</v>
      </c>
      <c r="P652" s="200">
        <f t="shared" si="102"/>
        <v>0</v>
      </c>
      <c r="Q652" s="200">
        <f t="shared" si="103"/>
        <v>0</v>
      </c>
      <c r="R652" s="200">
        <f t="shared" si="104"/>
        <v>0</v>
      </c>
      <c r="S652" s="200">
        <f t="shared" si="105"/>
        <v>0</v>
      </c>
    </row>
    <row r="653" spans="1:19" s="236" customFormat="1" ht="24.95" customHeight="1">
      <c r="A653" s="239"/>
      <c r="B653" s="239" t="s">
        <v>394</v>
      </c>
      <c r="C653" s="240">
        <v>8</v>
      </c>
      <c r="D653" s="239">
        <v>2</v>
      </c>
      <c r="E653" s="203">
        <f>(H650/200)+1</f>
        <v>74</v>
      </c>
      <c r="F653" s="234"/>
      <c r="G653" s="234"/>
      <c r="H653" s="234">
        <v>820</v>
      </c>
      <c r="I653" s="234"/>
      <c r="J653" s="234"/>
      <c r="K653" s="241">
        <v>5</v>
      </c>
      <c r="L653" s="235">
        <f t="shared" si="98"/>
        <v>0.74</v>
      </c>
      <c r="M653" s="200">
        <f t="shared" si="99"/>
        <v>109.52</v>
      </c>
      <c r="N653" s="200">
        <f t="shared" si="100"/>
        <v>0</v>
      </c>
      <c r="O653" s="200">
        <f t="shared" si="101"/>
        <v>0</v>
      </c>
      <c r="P653" s="200">
        <f t="shared" si="102"/>
        <v>0</v>
      </c>
      <c r="Q653" s="200">
        <f t="shared" si="103"/>
        <v>0</v>
      </c>
      <c r="R653" s="200">
        <f t="shared" si="104"/>
        <v>0</v>
      </c>
      <c r="S653" s="200">
        <f t="shared" si="105"/>
        <v>0</v>
      </c>
    </row>
    <row r="654" spans="1:19" s="236" customFormat="1" ht="24.95" customHeight="1">
      <c r="A654" s="239">
        <v>2</v>
      </c>
      <c r="B654" s="239" t="s">
        <v>392</v>
      </c>
      <c r="C654" s="240">
        <v>10</v>
      </c>
      <c r="D654" s="239">
        <v>2</v>
      </c>
      <c r="E654" s="203">
        <v>2</v>
      </c>
      <c r="F654" s="241">
        <v>100</v>
      </c>
      <c r="G654" s="234"/>
      <c r="H654" s="234">
        <v>27950</v>
      </c>
      <c r="I654" s="234"/>
      <c r="J654" s="241">
        <v>100</v>
      </c>
      <c r="K654" s="234">
        <v>2</v>
      </c>
      <c r="L654" s="235">
        <f t="shared" si="98"/>
        <v>28.11</v>
      </c>
      <c r="M654" s="200">
        <f t="shared" si="99"/>
        <v>0</v>
      </c>
      <c r="N654" s="200">
        <f t="shared" si="100"/>
        <v>112.44</v>
      </c>
      <c r="O654" s="200">
        <f t="shared" si="101"/>
        <v>0</v>
      </c>
      <c r="P654" s="200">
        <f t="shared" si="102"/>
        <v>0</v>
      </c>
      <c r="Q654" s="200">
        <f t="shared" si="103"/>
        <v>0</v>
      </c>
      <c r="R654" s="200">
        <f t="shared" si="104"/>
        <v>0</v>
      </c>
      <c r="S654" s="200">
        <f t="shared" si="105"/>
        <v>0</v>
      </c>
    </row>
    <row r="655" spans="1:19" s="236" customFormat="1" ht="24.95" customHeight="1">
      <c r="A655" s="239"/>
      <c r="B655" s="239" t="s">
        <v>393</v>
      </c>
      <c r="C655" s="240">
        <v>10</v>
      </c>
      <c r="D655" s="239">
        <v>2</v>
      </c>
      <c r="E655" s="203">
        <v>2</v>
      </c>
      <c r="F655" s="241">
        <v>100</v>
      </c>
      <c r="G655" s="234"/>
      <c r="H655" s="234">
        <v>27950</v>
      </c>
      <c r="I655" s="234"/>
      <c r="J655" s="241">
        <v>100</v>
      </c>
      <c r="K655" s="234">
        <v>2</v>
      </c>
      <c r="L655" s="235">
        <f t="shared" si="98"/>
        <v>28.11</v>
      </c>
      <c r="M655" s="200">
        <f t="shared" si="99"/>
        <v>0</v>
      </c>
      <c r="N655" s="200">
        <f t="shared" si="100"/>
        <v>112.44</v>
      </c>
      <c r="O655" s="200">
        <f t="shared" si="101"/>
        <v>0</v>
      </c>
      <c r="P655" s="200">
        <f t="shared" si="102"/>
        <v>0</v>
      </c>
      <c r="Q655" s="200">
        <f t="shared" si="103"/>
        <v>0</v>
      </c>
      <c r="R655" s="200">
        <f t="shared" si="104"/>
        <v>0</v>
      </c>
      <c r="S655" s="200">
        <f t="shared" si="105"/>
        <v>0</v>
      </c>
    </row>
    <row r="656" spans="1:19" s="236" customFormat="1" ht="24.95" customHeight="1">
      <c r="A656" s="239"/>
      <c r="B656" s="239" t="s">
        <v>433</v>
      </c>
      <c r="C656" s="240">
        <v>10</v>
      </c>
      <c r="D656" s="239">
        <v>4</v>
      </c>
      <c r="E656" s="203">
        <v>4</v>
      </c>
      <c r="F656" s="234"/>
      <c r="G656" s="234"/>
      <c r="H656" s="234">
        <v>500</v>
      </c>
      <c r="I656" s="234"/>
      <c r="J656" s="234"/>
      <c r="K656" s="234"/>
      <c r="L656" s="235">
        <f t="shared" si="98"/>
        <v>0.5</v>
      </c>
      <c r="M656" s="200">
        <f t="shared" si="99"/>
        <v>0</v>
      </c>
      <c r="N656" s="200">
        <f t="shared" si="100"/>
        <v>8</v>
      </c>
      <c r="O656" s="200">
        <f t="shared" si="101"/>
        <v>0</v>
      </c>
      <c r="P656" s="200">
        <f t="shared" si="102"/>
        <v>0</v>
      </c>
      <c r="Q656" s="200">
        <f t="shared" si="103"/>
        <v>0</v>
      </c>
      <c r="R656" s="200">
        <f t="shared" si="104"/>
        <v>0</v>
      </c>
      <c r="S656" s="200">
        <f t="shared" si="105"/>
        <v>0</v>
      </c>
    </row>
    <row r="657" spans="1:19" s="236" customFormat="1" ht="24.95" customHeight="1">
      <c r="A657" s="239"/>
      <c r="B657" s="239" t="s">
        <v>394</v>
      </c>
      <c r="C657" s="240">
        <v>8</v>
      </c>
      <c r="D657" s="239">
        <v>2</v>
      </c>
      <c r="E657" s="203">
        <f>(H654/200)+1</f>
        <v>140.75</v>
      </c>
      <c r="F657" s="234"/>
      <c r="G657" s="234"/>
      <c r="H657" s="234">
        <v>820</v>
      </c>
      <c r="I657" s="234"/>
      <c r="J657" s="234"/>
      <c r="K657" s="241">
        <v>5</v>
      </c>
      <c r="L657" s="235">
        <f t="shared" si="98"/>
        <v>0.74</v>
      </c>
      <c r="M657" s="200">
        <f t="shared" si="99"/>
        <v>208.31</v>
      </c>
      <c r="N657" s="200">
        <f t="shared" si="100"/>
        <v>0</v>
      </c>
      <c r="O657" s="200">
        <f t="shared" si="101"/>
        <v>0</v>
      </c>
      <c r="P657" s="200">
        <f t="shared" si="102"/>
        <v>0</v>
      </c>
      <c r="Q657" s="200">
        <f t="shared" si="103"/>
        <v>0</v>
      </c>
      <c r="R657" s="200">
        <f t="shared" si="104"/>
        <v>0</v>
      </c>
      <c r="S657" s="200">
        <f t="shared" si="105"/>
        <v>0</v>
      </c>
    </row>
    <row r="658" spans="1:19" s="236" customFormat="1" ht="24.95" customHeight="1">
      <c r="A658" s="205" t="s">
        <v>445</v>
      </c>
      <c r="B658" s="208" t="s">
        <v>446</v>
      </c>
      <c r="C658" s="240"/>
      <c r="D658" s="239"/>
      <c r="E658" s="203"/>
      <c r="F658" s="234"/>
      <c r="G658" s="234"/>
      <c r="H658" s="234"/>
      <c r="I658" s="234"/>
      <c r="J658" s="234"/>
      <c r="K658" s="234"/>
      <c r="L658" s="235">
        <f t="shared" si="98"/>
        <v>0</v>
      </c>
      <c r="M658" s="200">
        <f t="shared" si="99"/>
        <v>0</v>
      </c>
      <c r="N658" s="200">
        <f t="shared" si="100"/>
        <v>0</v>
      </c>
      <c r="O658" s="200">
        <f t="shared" si="101"/>
        <v>0</v>
      </c>
      <c r="P658" s="200">
        <f t="shared" si="102"/>
        <v>0</v>
      </c>
      <c r="Q658" s="200">
        <f t="shared" si="103"/>
        <v>0</v>
      </c>
      <c r="R658" s="200">
        <f t="shared" si="104"/>
        <v>0</v>
      </c>
      <c r="S658" s="200">
        <f t="shared" si="105"/>
        <v>0</v>
      </c>
    </row>
    <row r="659" spans="1:19" s="236" customFormat="1" ht="24.95" customHeight="1">
      <c r="A659" s="239">
        <v>1</v>
      </c>
      <c r="B659" s="239" t="s">
        <v>392</v>
      </c>
      <c r="C659" s="240">
        <v>10</v>
      </c>
      <c r="D659" s="239">
        <v>3</v>
      </c>
      <c r="E659" s="203">
        <v>2</v>
      </c>
      <c r="F659" s="241">
        <v>100</v>
      </c>
      <c r="G659" s="234"/>
      <c r="H659" s="234">
        <v>7575</v>
      </c>
      <c r="I659" s="234"/>
      <c r="J659" s="241">
        <v>100</v>
      </c>
      <c r="K659" s="234">
        <v>2</v>
      </c>
      <c r="L659" s="235">
        <f t="shared" si="98"/>
        <v>7.7350000000000003</v>
      </c>
      <c r="M659" s="200">
        <f t="shared" si="99"/>
        <v>0</v>
      </c>
      <c r="N659" s="200">
        <f t="shared" si="100"/>
        <v>46.410000000000004</v>
      </c>
      <c r="O659" s="200">
        <f t="shared" si="101"/>
        <v>0</v>
      </c>
      <c r="P659" s="200">
        <f t="shared" si="102"/>
        <v>0</v>
      </c>
      <c r="Q659" s="200">
        <f t="shared" si="103"/>
        <v>0</v>
      </c>
      <c r="R659" s="200">
        <f t="shared" si="104"/>
        <v>0</v>
      </c>
      <c r="S659" s="200">
        <f t="shared" si="105"/>
        <v>0</v>
      </c>
    </row>
    <row r="660" spans="1:19" s="236" customFormat="1" ht="24.95" customHeight="1">
      <c r="A660" s="239"/>
      <c r="B660" s="239" t="s">
        <v>393</v>
      </c>
      <c r="C660" s="240">
        <v>10</v>
      </c>
      <c r="D660" s="239">
        <v>3</v>
      </c>
      <c r="E660" s="203">
        <v>2</v>
      </c>
      <c r="F660" s="241">
        <v>100</v>
      </c>
      <c r="G660" s="234"/>
      <c r="H660" s="234">
        <v>7575</v>
      </c>
      <c r="I660" s="234"/>
      <c r="J660" s="241">
        <v>100</v>
      </c>
      <c r="K660" s="234">
        <v>2</v>
      </c>
      <c r="L660" s="235">
        <f t="shared" si="98"/>
        <v>7.7350000000000003</v>
      </c>
      <c r="M660" s="200">
        <f t="shared" si="99"/>
        <v>0</v>
      </c>
      <c r="N660" s="200">
        <f t="shared" si="100"/>
        <v>46.410000000000004</v>
      </c>
      <c r="O660" s="200">
        <f t="shared" si="101"/>
        <v>0</v>
      </c>
      <c r="P660" s="200">
        <f t="shared" si="102"/>
        <v>0</v>
      </c>
      <c r="Q660" s="200">
        <f t="shared" si="103"/>
        <v>0</v>
      </c>
      <c r="R660" s="200">
        <f t="shared" si="104"/>
        <v>0</v>
      </c>
      <c r="S660" s="200">
        <f t="shared" si="105"/>
        <v>0</v>
      </c>
    </row>
    <row r="661" spans="1:19" s="236" customFormat="1" ht="24.95" customHeight="1">
      <c r="A661" s="239"/>
      <c r="B661" s="239" t="s">
        <v>394</v>
      </c>
      <c r="C661" s="240">
        <v>8</v>
      </c>
      <c r="D661" s="239">
        <v>3</v>
      </c>
      <c r="E661" s="203">
        <f>(H659/200)+1</f>
        <v>38.875</v>
      </c>
      <c r="F661" s="234"/>
      <c r="G661" s="234"/>
      <c r="H661" s="234">
        <v>820</v>
      </c>
      <c r="I661" s="234"/>
      <c r="J661" s="234"/>
      <c r="K661" s="241">
        <v>5</v>
      </c>
      <c r="L661" s="235">
        <f t="shared" si="98"/>
        <v>0.74</v>
      </c>
      <c r="M661" s="200">
        <f t="shared" si="99"/>
        <v>86.302499999999995</v>
      </c>
      <c r="N661" s="200">
        <f t="shared" si="100"/>
        <v>0</v>
      </c>
      <c r="O661" s="200">
        <f t="shared" si="101"/>
        <v>0</v>
      </c>
      <c r="P661" s="200">
        <f t="shared" si="102"/>
        <v>0</v>
      </c>
      <c r="Q661" s="200">
        <f t="shared" si="103"/>
        <v>0</v>
      </c>
      <c r="R661" s="200">
        <f t="shared" si="104"/>
        <v>0</v>
      </c>
      <c r="S661" s="200">
        <f t="shared" si="105"/>
        <v>0</v>
      </c>
    </row>
    <row r="662" spans="1:19" s="236" customFormat="1" ht="24.95" customHeight="1">
      <c r="A662" s="209" t="s">
        <v>447</v>
      </c>
      <c r="B662" s="209" t="s">
        <v>441</v>
      </c>
      <c r="C662" s="240"/>
      <c r="D662" s="239"/>
      <c r="E662" s="203"/>
      <c r="F662" s="234"/>
      <c r="G662" s="234"/>
      <c r="H662" s="234"/>
      <c r="I662" s="234"/>
      <c r="J662" s="234"/>
      <c r="K662" s="234">
        <v>0</v>
      </c>
      <c r="L662" s="235">
        <f t="shared" si="98"/>
        <v>0</v>
      </c>
      <c r="M662" s="200">
        <f t="shared" si="99"/>
        <v>0</v>
      </c>
      <c r="N662" s="200">
        <f t="shared" si="100"/>
        <v>0</v>
      </c>
      <c r="O662" s="200">
        <f t="shared" si="101"/>
        <v>0</v>
      </c>
      <c r="P662" s="200">
        <f t="shared" si="102"/>
        <v>0</v>
      </c>
      <c r="Q662" s="200">
        <f t="shared" si="103"/>
        <v>0</v>
      </c>
      <c r="R662" s="200">
        <f t="shared" si="104"/>
        <v>0</v>
      </c>
      <c r="S662" s="200">
        <f t="shared" si="105"/>
        <v>0</v>
      </c>
    </row>
    <row r="663" spans="1:19" s="236" customFormat="1" ht="24.95" customHeight="1">
      <c r="A663" s="205" t="s">
        <v>448</v>
      </c>
      <c r="B663" s="206" t="s">
        <v>443</v>
      </c>
      <c r="C663" s="240"/>
      <c r="D663" s="239"/>
      <c r="E663" s="203"/>
      <c r="F663" s="234"/>
      <c r="G663" s="234"/>
      <c r="H663" s="234"/>
      <c r="I663" s="234"/>
      <c r="J663" s="234"/>
      <c r="K663" s="234"/>
      <c r="L663" s="235">
        <f t="shared" si="98"/>
        <v>0</v>
      </c>
      <c r="M663" s="200">
        <f t="shared" si="99"/>
        <v>0</v>
      </c>
      <c r="N663" s="200">
        <f t="shared" si="100"/>
        <v>0</v>
      </c>
      <c r="O663" s="200">
        <f t="shared" si="101"/>
        <v>0</v>
      </c>
      <c r="P663" s="200">
        <f t="shared" si="102"/>
        <v>0</v>
      </c>
      <c r="Q663" s="200">
        <f t="shared" si="103"/>
        <v>0</v>
      </c>
      <c r="R663" s="200">
        <f t="shared" si="104"/>
        <v>0</v>
      </c>
      <c r="S663" s="200">
        <f t="shared" si="105"/>
        <v>0</v>
      </c>
    </row>
    <row r="664" spans="1:19" s="236" customFormat="1" ht="24.95" customHeight="1">
      <c r="A664" s="207">
        <v>1</v>
      </c>
      <c r="B664" s="208" t="s">
        <v>399</v>
      </c>
      <c r="C664" s="240">
        <v>12</v>
      </c>
      <c r="D664" s="239">
        <v>2</v>
      </c>
      <c r="E664" s="203">
        <v>3</v>
      </c>
      <c r="F664" s="241">
        <v>100</v>
      </c>
      <c r="G664" s="234"/>
      <c r="H664" s="234">
        <v>2950</v>
      </c>
      <c r="I664" s="234"/>
      <c r="J664" s="241">
        <v>100</v>
      </c>
      <c r="K664" s="234">
        <v>2</v>
      </c>
      <c r="L664" s="235">
        <f t="shared" si="98"/>
        <v>3.1019999999999999</v>
      </c>
      <c r="M664" s="200">
        <f t="shared" si="99"/>
        <v>0</v>
      </c>
      <c r="N664" s="200">
        <f t="shared" si="100"/>
        <v>0</v>
      </c>
      <c r="O664" s="200">
        <f t="shared" si="101"/>
        <v>18.611999999999998</v>
      </c>
      <c r="P664" s="200">
        <f t="shared" si="102"/>
        <v>0</v>
      </c>
      <c r="Q664" s="200">
        <f t="shared" si="103"/>
        <v>0</v>
      </c>
      <c r="R664" s="200">
        <f t="shared" si="104"/>
        <v>0</v>
      </c>
      <c r="S664" s="200">
        <f t="shared" si="105"/>
        <v>0</v>
      </c>
    </row>
    <row r="665" spans="1:19" s="236" customFormat="1" ht="24.95" customHeight="1">
      <c r="A665" s="239"/>
      <c r="B665" s="239" t="s">
        <v>393</v>
      </c>
      <c r="C665" s="240">
        <v>12</v>
      </c>
      <c r="D665" s="239">
        <f>D664</f>
        <v>2</v>
      </c>
      <c r="E665" s="203">
        <v>3</v>
      </c>
      <c r="F665" s="241">
        <v>100</v>
      </c>
      <c r="G665" s="234"/>
      <c r="H665" s="234">
        <v>2950</v>
      </c>
      <c r="I665" s="234"/>
      <c r="J665" s="241">
        <v>100</v>
      </c>
      <c r="K665" s="234">
        <v>2</v>
      </c>
      <c r="L665" s="235">
        <f t="shared" si="98"/>
        <v>3.1019999999999999</v>
      </c>
      <c r="M665" s="200">
        <f t="shared" si="99"/>
        <v>0</v>
      </c>
      <c r="N665" s="200">
        <f t="shared" si="100"/>
        <v>0</v>
      </c>
      <c r="O665" s="200">
        <f t="shared" si="101"/>
        <v>18.611999999999998</v>
      </c>
      <c r="P665" s="200">
        <f t="shared" si="102"/>
        <v>0</v>
      </c>
      <c r="Q665" s="200">
        <f t="shared" si="103"/>
        <v>0</v>
      </c>
      <c r="R665" s="200">
        <f t="shared" si="104"/>
        <v>0</v>
      </c>
      <c r="S665" s="200">
        <f t="shared" si="105"/>
        <v>0</v>
      </c>
    </row>
    <row r="666" spans="1:19" s="236" customFormat="1" ht="24.95" customHeight="1">
      <c r="A666" s="239"/>
      <c r="B666" s="239" t="s">
        <v>400</v>
      </c>
      <c r="C666" s="240">
        <v>8</v>
      </c>
      <c r="D666" s="239">
        <v>2</v>
      </c>
      <c r="E666" s="203">
        <f>(H664/200)+1</f>
        <v>15.75</v>
      </c>
      <c r="F666" s="234"/>
      <c r="G666" s="234"/>
      <c r="H666" s="234">
        <v>1280</v>
      </c>
      <c r="I666" s="234"/>
      <c r="J666" s="234"/>
      <c r="K666" s="241">
        <v>5</v>
      </c>
      <c r="L666" s="235">
        <f t="shared" si="98"/>
        <v>1.2</v>
      </c>
      <c r="M666" s="200">
        <f t="shared" si="99"/>
        <v>37.799999999999997</v>
      </c>
      <c r="N666" s="200">
        <f t="shared" si="100"/>
        <v>0</v>
      </c>
      <c r="O666" s="200">
        <f t="shared" si="101"/>
        <v>0</v>
      </c>
      <c r="P666" s="200">
        <f t="shared" si="102"/>
        <v>0</v>
      </c>
      <c r="Q666" s="200">
        <f t="shared" si="103"/>
        <v>0</v>
      </c>
      <c r="R666" s="200">
        <f t="shared" si="104"/>
        <v>0</v>
      </c>
      <c r="S666" s="200">
        <f t="shared" si="105"/>
        <v>0</v>
      </c>
    </row>
    <row r="667" spans="1:19" s="236" customFormat="1" ht="24.95" customHeight="1">
      <c r="A667" s="237">
        <v>10</v>
      </c>
      <c r="B667" s="238" t="s">
        <v>439</v>
      </c>
      <c r="C667" s="240"/>
      <c r="D667" s="239"/>
      <c r="E667" s="203"/>
      <c r="F667" s="234"/>
      <c r="G667" s="234"/>
      <c r="H667" s="234"/>
      <c r="I667" s="234"/>
      <c r="J667" s="234"/>
      <c r="K667" s="234"/>
      <c r="L667" s="235">
        <f t="shared" si="98"/>
        <v>0</v>
      </c>
      <c r="M667" s="200">
        <f t="shared" si="99"/>
        <v>0</v>
      </c>
      <c r="N667" s="200">
        <f t="shared" si="100"/>
        <v>0</v>
      </c>
      <c r="O667" s="200">
        <f t="shared" si="101"/>
        <v>0</v>
      </c>
      <c r="P667" s="200">
        <f t="shared" si="102"/>
        <v>0</v>
      </c>
      <c r="Q667" s="200">
        <f t="shared" si="103"/>
        <v>0</v>
      </c>
      <c r="R667" s="200">
        <f t="shared" si="104"/>
        <v>0</v>
      </c>
      <c r="S667" s="200">
        <f t="shared" si="105"/>
        <v>0</v>
      </c>
    </row>
    <row r="668" spans="1:19" s="236" customFormat="1" ht="24.95" customHeight="1">
      <c r="A668" s="209" t="s">
        <v>449</v>
      </c>
      <c r="B668" s="209" t="s">
        <v>441</v>
      </c>
      <c r="C668" s="240"/>
      <c r="D668" s="239"/>
      <c r="E668" s="203"/>
      <c r="F668" s="234"/>
      <c r="G668" s="234"/>
      <c r="H668" s="234"/>
      <c r="I668" s="234"/>
      <c r="J668" s="234"/>
      <c r="K668" s="234">
        <v>0</v>
      </c>
      <c r="L668" s="235">
        <f t="shared" si="98"/>
        <v>0</v>
      </c>
      <c r="M668" s="200">
        <f t="shared" si="99"/>
        <v>0</v>
      </c>
      <c r="N668" s="200">
        <f t="shared" si="100"/>
        <v>0</v>
      </c>
      <c r="O668" s="200">
        <f t="shared" si="101"/>
        <v>0</v>
      </c>
      <c r="P668" s="200">
        <f t="shared" si="102"/>
        <v>0</v>
      </c>
      <c r="Q668" s="200">
        <f t="shared" si="103"/>
        <v>0</v>
      </c>
      <c r="R668" s="200">
        <f t="shared" si="104"/>
        <v>0</v>
      </c>
      <c r="S668" s="200">
        <f t="shared" si="105"/>
        <v>0</v>
      </c>
    </row>
    <row r="669" spans="1:19" s="236" customFormat="1" ht="24.95" customHeight="1">
      <c r="A669" s="205" t="s">
        <v>450</v>
      </c>
      <c r="B669" s="206" t="s">
        <v>443</v>
      </c>
      <c r="C669" s="240"/>
      <c r="D669" s="239"/>
      <c r="E669" s="203"/>
      <c r="F669" s="234"/>
      <c r="G669" s="234"/>
      <c r="H669" s="234"/>
      <c r="I669" s="234"/>
      <c r="J669" s="234"/>
      <c r="K669" s="234"/>
      <c r="L669" s="235">
        <f t="shared" si="98"/>
        <v>0</v>
      </c>
      <c r="M669" s="200">
        <f t="shared" si="99"/>
        <v>0</v>
      </c>
      <c r="N669" s="200">
        <f t="shared" si="100"/>
        <v>0</v>
      </c>
      <c r="O669" s="200">
        <f t="shared" si="101"/>
        <v>0</v>
      </c>
      <c r="P669" s="200">
        <f t="shared" si="102"/>
        <v>0</v>
      </c>
      <c r="Q669" s="200">
        <f t="shared" si="103"/>
        <v>0</v>
      </c>
      <c r="R669" s="200">
        <f t="shared" si="104"/>
        <v>0</v>
      </c>
      <c r="S669" s="200">
        <f t="shared" si="105"/>
        <v>0</v>
      </c>
    </row>
    <row r="670" spans="1:19" s="236" customFormat="1" ht="24.95" customHeight="1">
      <c r="A670" s="239"/>
      <c r="B670" s="239" t="s">
        <v>444</v>
      </c>
      <c r="C670" s="240"/>
      <c r="D670" s="239"/>
      <c r="E670" s="203"/>
      <c r="F670" s="234"/>
      <c r="G670" s="234"/>
      <c r="H670" s="234"/>
      <c r="I670" s="234"/>
      <c r="J670" s="234"/>
      <c r="K670" s="234"/>
      <c r="L670" s="235">
        <f t="shared" si="98"/>
        <v>0</v>
      </c>
      <c r="M670" s="200">
        <f t="shared" si="99"/>
        <v>0</v>
      </c>
      <c r="N670" s="200">
        <f t="shared" si="100"/>
        <v>0</v>
      </c>
      <c r="O670" s="200">
        <f t="shared" si="101"/>
        <v>0</v>
      </c>
      <c r="P670" s="200">
        <f t="shared" si="102"/>
        <v>0</v>
      </c>
      <c r="Q670" s="200">
        <f t="shared" si="103"/>
        <v>0</v>
      </c>
      <c r="R670" s="200">
        <f t="shared" si="104"/>
        <v>0</v>
      </c>
      <c r="S670" s="200">
        <f t="shared" si="105"/>
        <v>0</v>
      </c>
    </row>
    <row r="671" spans="1:19" s="236" customFormat="1" ht="24.95" customHeight="1">
      <c r="A671" s="239">
        <v>1</v>
      </c>
      <c r="B671" s="239" t="s">
        <v>392</v>
      </c>
      <c r="C671" s="240">
        <v>10</v>
      </c>
      <c r="D671" s="239">
        <v>1</v>
      </c>
      <c r="E671" s="203">
        <v>2</v>
      </c>
      <c r="F671" s="241">
        <v>100</v>
      </c>
      <c r="G671" s="234"/>
      <c r="H671" s="234">
        <v>34885</v>
      </c>
      <c r="I671" s="234"/>
      <c r="J671" s="241">
        <v>100</v>
      </c>
      <c r="K671" s="234">
        <v>2</v>
      </c>
      <c r="L671" s="235">
        <f t="shared" si="98"/>
        <v>35.045000000000002</v>
      </c>
      <c r="M671" s="200">
        <f t="shared" si="99"/>
        <v>0</v>
      </c>
      <c r="N671" s="200">
        <f t="shared" si="100"/>
        <v>70.09</v>
      </c>
      <c r="O671" s="200">
        <f t="shared" si="101"/>
        <v>0</v>
      </c>
      <c r="P671" s="200">
        <f t="shared" si="102"/>
        <v>0</v>
      </c>
      <c r="Q671" s="200">
        <f t="shared" si="103"/>
        <v>0</v>
      </c>
      <c r="R671" s="200">
        <f t="shared" si="104"/>
        <v>0</v>
      </c>
      <c r="S671" s="200">
        <f t="shared" si="105"/>
        <v>0</v>
      </c>
    </row>
    <row r="672" spans="1:19" s="236" customFormat="1" ht="24.95" customHeight="1">
      <c r="A672" s="239"/>
      <c r="B672" s="239" t="s">
        <v>393</v>
      </c>
      <c r="C672" s="240">
        <v>10</v>
      </c>
      <c r="D672" s="239">
        <v>1</v>
      </c>
      <c r="E672" s="203">
        <v>2</v>
      </c>
      <c r="F672" s="241">
        <v>100</v>
      </c>
      <c r="G672" s="234"/>
      <c r="H672" s="234">
        <v>34885</v>
      </c>
      <c r="I672" s="234"/>
      <c r="J672" s="241">
        <v>100</v>
      </c>
      <c r="K672" s="234">
        <v>2</v>
      </c>
      <c r="L672" s="235">
        <f t="shared" si="98"/>
        <v>35.045000000000002</v>
      </c>
      <c r="M672" s="200">
        <f t="shared" si="99"/>
        <v>0</v>
      </c>
      <c r="N672" s="200">
        <f t="shared" si="100"/>
        <v>70.09</v>
      </c>
      <c r="O672" s="200">
        <f t="shared" si="101"/>
        <v>0</v>
      </c>
      <c r="P672" s="200">
        <f t="shared" si="102"/>
        <v>0</v>
      </c>
      <c r="Q672" s="200">
        <f t="shared" si="103"/>
        <v>0</v>
      </c>
      <c r="R672" s="200">
        <f t="shared" si="104"/>
        <v>0</v>
      </c>
      <c r="S672" s="200">
        <f t="shared" si="105"/>
        <v>0</v>
      </c>
    </row>
    <row r="673" spans="1:19" s="236" customFormat="1" ht="24.95" customHeight="1">
      <c r="A673" s="239"/>
      <c r="B673" s="239" t="s">
        <v>433</v>
      </c>
      <c r="C673" s="240">
        <v>10</v>
      </c>
      <c r="D673" s="239">
        <v>2</v>
      </c>
      <c r="E673" s="203">
        <v>4</v>
      </c>
      <c r="F673" s="234"/>
      <c r="G673" s="234"/>
      <c r="H673" s="234">
        <v>500</v>
      </c>
      <c r="I673" s="234"/>
      <c r="J673" s="234"/>
      <c r="K673" s="234"/>
      <c r="L673" s="235">
        <f t="shared" si="98"/>
        <v>0.5</v>
      </c>
      <c r="M673" s="200">
        <f t="shared" si="99"/>
        <v>0</v>
      </c>
      <c r="N673" s="200">
        <f t="shared" si="100"/>
        <v>4</v>
      </c>
      <c r="O673" s="200">
        <f t="shared" si="101"/>
        <v>0</v>
      </c>
      <c r="P673" s="200">
        <f t="shared" si="102"/>
        <v>0</v>
      </c>
      <c r="Q673" s="200">
        <f t="shared" si="103"/>
        <v>0</v>
      </c>
      <c r="R673" s="200">
        <f t="shared" si="104"/>
        <v>0</v>
      </c>
      <c r="S673" s="200">
        <f t="shared" si="105"/>
        <v>0</v>
      </c>
    </row>
    <row r="674" spans="1:19" s="236" customFormat="1" ht="24.95" customHeight="1">
      <c r="A674" s="239"/>
      <c r="B674" s="239" t="s">
        <v>394</v>
      </c>
      <c r="C674" s="240">
        <v>8</v>
      </c>
      <c r="D674" s="239">
        <v>1</v>
      </c>
      <c r="E674" s="203">
        <f>(H671/200)+1</f>
        <v>175.42500000000001</v>
      </c>
      <c r="F674" s="234"/>
      <c r="G674" s="234"/>
      <c r="H674" s="234">
        <v>820</v>
      </c>
      <c r="I674" s="234"/>
      <c r="J674" s="234"/>
      <c r="K674" s="241">
        <v>5</v>
      </c>
      <c r="L674" s="235">
        <f t="shared" si="98"/>
        <v>0.74</v>
      </c>
      <c r="M674" s="200">
        <f t="shared" si="99"/>
        <v>129.81450000000001</v>
      </c>
      <c r="N674" s="200">
        <f t="shared" si="100"/>
        <v>0</v>
      </c>
      <c r="O674" s="200">
        <f t="shared" si="101"/>
        <v>0</v>
      </c>
      <c r="P674" s="200">
        <f t="shared" si="102"/>
        <v>0</v>
      </c>
      <c r="Q674" s="200">
        <f t="shared" si="103"/>
        <v>0</v>
      </c>
      <c r="R674" s="200">
        <f t="shared" si="104"/>
        <v>0</v>
      </c>
      <c r="S674" s="200">
        <f t="shared" si="105"/>
        <v>0</v>
      </c>
    </row>
    <row r="675" spans="1:19" s="236" customFormat="1" ht="24.95" customHeight="1">
      <c r="A675" s="239">
        <v>2</v>
      </c>
      <c r="B675" s="239" t="s">
        <v>392</v>
      </c>
      <c r="C675" s="240">
        <v>10</v>
      </c>
      <c r="D675" s="239">
        <v>1</v>
      </c>
      <c r="E675" s="203">
        <v>2</v>
      </c>
      <c r="F675" s="241">
        <v>100</v>
      </c>
      <c r="G675" s="234"/>
      <c r="H675" s="234">
        <v>14950</v>
      </c>
      <c r="I675" s="234"/>
      <c r="J675" s="241">
        <v>100</v>
      </c>
      <c r="K675" s="234">
        <v>2</v>
      </c>
      <c r="L675" s="235">
        <f t="shared" si="98"/>
        <v>15.11</v>
      </c>
      <c r="M675" s="200">
        <f t="shared" si="99"/>
        <v>0</v>
      </c>
      <c r="N675" s="200">
        <f t="shared" si="100"/>
        <v>30.22</v>
      </c>
      <c r="O675" s="200">
        <f t="shared" si="101"/>
        <v>0</v>
      </c>
      <c r="P675" s="200">
        <f t="shared" si="102"/>
        <v>0</v>
      </c>
      <c r="Q675" s="200">
        <f t="shared" si="103"/>
        <v>0</v>
      </c>
      <c r="R675" s="200">
        <f t="shared" si="104"/>
        <v>0</v>
      </c>
      <c r="S675" s="200">
        <f t="shared" si="105"/>
        <v>0</v>
      </c>
    </row>
    <row r="676" spans="1:19" s="236" customFormat="1" ht="24.95" customHeight="1">
      <c r="A676" s="239"/>
      <c r="B676" s="239" t="s">
        <v>393</v>
      </c>
      <c r="C676" s="240">
        <v>10</v>
      </c>
      <c r="D676" s="239">
        <v>1</v>
      </c>
      <c r="E676" s="203">
        <v>2</v>
      </c>
      <c r="F676" s="241">
        <v>100</v>
      </c>
      <c r="G676" s="234"/>
      <c r="H676" s="234">
        <v>14950</v>
      </c>
      <c r="I676" s="234"/>
      <c r="J676" s="241">
        <v>100</v>
      </c>
      <c r="K676" s="234">
        <v>2</v>
      </c>
      <c r="L676" s="235">
        <f t="shared" si="98"/>
        <v>15.11</v>
      </c>
      <c r="M676" s="200">
        <f t="shared" si="99"/>
        <v>0</v>
      </c>
      <c r="N676" s="200">
        <f t="shared" si="100"/>
        <v>30.22</v>
      </c>
      <c r="O676" s="200">
        <f t="shared" si="101"/>
        <v>0</v>
      </c>
      <c r="P676" s="200">
        <f t="shared" si="102"/>
        <v>0</v>
      </c>
      <c r="Q676" s="200">
        <f t="shared" si="103"/>
        <v>0</v>
      </c>
      <c r="R676" s="200">
        <f t="shared" si="104"/>
        <v>0</v>
      </c>
      <c r="S676" s="200">
        <f t="shared" si="105"/>
        <v>0</v>
      </c>
    </row>
    <row r="677" spans="1:19" s="236" customFormat="1" ht="24.95" customHeight="1">
      <c r="A677" s="239"/>
      <c r="B677" s="239" t="s">
        <v>433</v>
      </c>
      <c r="C677" s="240">
        <v>10</v>
      </c>
      <c r="D677" s="239">
        <v>1</v>
      </c>
      <c r="E677" s="203">
        <v>4</v>
      </c>
      <c r="F677" s="234"/>
      <c r="G677" s="234"/>
      <c r="H677" s="234">
        <v>500</v>
      </c>
      <c r="I677" s="234"/>
      <c r="J677" s="234"/>
      <c r="K677" s="234"/>
      <c r="L677" s="235">
        <f t="shared" si="98"/>
        <v>0.5</v>
      </c>
      <c r="M677" s="200">
        <f t="shared" si="99"/>
        <v>0</v>
      </c>
      <c r="N677" s="200">
        <f t="shared" si="100"/>
        <v>2</v>
      </c>
      <c r="O677" s="200">
        <f t="shared" si="101"/>
        <v>0</v>
      </c>
      <c r="P677" s="200">
        <f t="shared" si="102"/>
        <v>0</v>
      </c>
      <c r="Q677" s="200">
        <f t="shared" si="103"/>
        <v>0</v>
      </c>
      <c r="R677" s="200">
        <f t="shared" si="104"/>
        <v>0</v>
      </c>
      <c r="S677" s="200">
        <f t="shared" si="105"/>
        <v>0</v>
      </c>
    </row>
    <row r="678" spans="1:19" s="236" customFormat="1" ht="24.95" customHeight="1">
      <c r="A678" s="239"/>
      <c r="B678" s="239" t="s">
        <v>394</v>
      </c>
      <c r="C678" s="240">
        <v>8</v>
      </c>
      <c r="D678" s="239">
        <v>1</v>
      </c>
      <c r="E678" s="203">
        <f>(H675/200)+1</f>
        <v>75.75</v>
      </c>
      <c r="F678" s="234"/>
      <c r="G678" s="234"/>
      <c r="H678" s="234">
        <v>820</v>
      </c>
      <c r="I678" s="234"/>
      <c r="J678" s="234"/>
      <c r="K678" s="241">
        <v>5</v>
      </c>
      <c r="L678" s="235">
        <f t="shared" si="98"/>
        <v>0.74</v>
      </c>
      <c r="M678" s="200">
        <f t="shared" si="99"/>
        <v>56.055</v>
      </c>
      <c r="N678" s="200">
        <f t="shared" si="100"/>
        <v>0</v>
      </c>
      <c r="O678" s="200">
        <f t="shared" si="101"/>
        <v>0</v>
      </c>
      <c r="P678" s="200">
        <f t="shared" si="102"/>
        <v>0</v>
      </c>
      <c r="Q678" s="200">
        <f t="shared" si="103"/>
        <v>0</v>
      </c>
      <c r="R678" s="200">
        <f t="shared" si="104"/>
        <v>0</v>
      </c>
      <c r="S678" s="200">
        <f t="shared" si="105"/>
        <v>0</v>
      </c>
    </row>
    <row r="679" spans="1:19" s="236" customFormat="1" ht="24.95" customHeight="1">
      <c r="A679" s="239"/>
      <c r="B679" s="210" t="s">
        <v>451</v>
      </c>
      <c r="C679" s="240"/>
      <c r="D679" s="239"/>
      <c r="E679" s="203"/>
      <c r="F679" s="234"/>
      <c r="G679" s="234"/>
      <c r="H679" s="234"/>
      <c r="I679" s="234"/>
      <c r="J679" s="234"/>
      <c r="K679" s="234"/>
      <c r="L679" s="235">
        <f t="shared" si="98"/>
        <v>0</v>
      </c>
      <c r="M679" s="200">
        <f t="shared" si="99"/>
        <v>0</v>
      </c>
      <c r="N679" s="200">
        <f t="shared" si="100"/>
        <v>0</v>
      </c>
      <c r="O679" s="200">
        <f t="shared" si="101"/>
        <v>0</v>
      </c>
      <c r="P679" s="200">
        <f t="shared" si="102"/>
        <v>0</v>
      </c>
      <c r="Q679" s="200">
        <f t="shared" si="103"/>
        <v>0</v>
      </c>
      <c r="R679" s="200">
        <f t="shared" si="104"/>
        <v>0</v>
      </c>
      <c r="S679" s="200">
        <f t="shared" si="105"/>
        <v>0</v>
      </c>
    </row>
    <row r="680" spans="1:19" s="236" customFormat="1" ht="24.95" customHeight="1">
      <c r="A680" s="239"/>
      <c r="B680" s="239"/>
      <c r="C680" s="240"/>
      <c r="D680" s="239"/>
      <c r="E680" s="203"/>
      <c r="F680" s="234"/>
      <c r="G680" s="234"/>
      <c r="H680" s="234"/>
      <c r="I680" s="234"/>
      <c r="J680" s="234"/>
      <c r="K680" s="234"/>
      <c r="L680" s="235">
        <f t="shared" si="98"/>
        <v>0</v>
      </c>
      <c r="M680" s="200">
        <f t="shared" si="99"/>
        <v>0</v>
      </c>
      <c r="N680" s="200">
        <f t="shared" si="100"/>
        <v>0</v>
      </c>
      <c r="O680" s="200">
        <f t="shared" si="101"/>
        <v>0</v>
      </c>
      <c r="P680" s="200">
        <f t="shared" si="102"/>
        <v>0</v>
      </c>
      <c r="Q680" s="200">
        <f t="shared" si="103"/>
        <v>0</v>
      </c>
      <c r="R680" s="200">
        <f t="shared" si="104"/>
        <v>0</v>
      </c>
      <c r="S680" s="200">
        <f t="shared" si="105"/>
        <v>0</v>
      </c>
    </row>
    <row r="681" spans="1:19" s="236" customFormat="1" ht="24.95" customHeight="1">
      <c r="A681" s="239">
        <v>3</v>
      </c>
      <c r="B681" s="239" t="s">
        <v>392</v>
      </c>
      <c r="C681" s="240">
        <v>10</v>
      </c>
      <c r="D681" s="239">
        <v>4</v>
      </c>
      <c r="E681" s="203">
        <v>2</v>
      </c>
      <c r="F681" s="241">
        <v>100</v>
      </c>
      <c r="G681" s="234"/>
      <c r="H681" s="234">
        <v>7575</v>
      </c>
      <c r="I681" s="234"/>
      <c r="J681" s="241">
        <v>100</v>
      </c>
      <c r="K681" s="234">
        <v>2</v>
      </c>
      <c r="L681" s="235">
        <f t="shared" si="98"/>
        <v>7.7350000000000003</v>
      </c>
      <c r="M681" s="200">
        <f t="shared" si="99"/>
        <v>0</v>
      </c>
      <c r="N681" s="200">
        <f t="shared" si="100"/>
        <v>61.88</v>
      </c>
      <c r="O681" s="200">
        <f t="shared" si="101"/>
        <v>0</v>
      </c>
      <c r="P681" s="200">
        <f t="shared" si="102"/>
        <v>0</v>
      </c>
      <c r="Q681" s="200">
        <f t="shared" si="103"/>
        <v>0</v>
      </c>
      <c r="R681" s="200">
        <f t="shared" si="104"/>
        <v>0</v>
      </c>
      <c r="S681" s="200">
        <f t="shared" si="105"/>
        <v>0</v>
      </c>
    </row>
    <row r="682" spans="1:19" s="236" customFormat="1" ht="24.95" customHeight="1">
      <c r="A682" s="239"/>
      <c r="B682" s="239" t="s">
        <v>393</v>
      </c>
      <c r="C682" s="240">
        <v>10</v>
      </c>
      <c r="D682" s="239">
        <v>4</v>
      </c>
      <c r="E682" s="203">
        <v>2</v>
      </c>
      <c r="F682" s="241">
        <v>100</v>
      </c>
      <c r="G682" s="234"/>
      <c r="H682" s="234">
        <v>7575</v>
      </c>
      <c r="I682" s="234"/>
      <c r="J682" s="241">
        <v>100</v>
      </c>
      <c r="K682" s="234">
        <v>2</v>
      </c>
      <c r="L682" s="235">
        <f t="shared" si="98"/>
        <v>7.7350000000000003</v>
      </c>
      <c r="M682" s="200">
        <f t="shared" si="99"/>
        <v>0</v>
      </c>
      <c r="N682" s="200">
        <f t="shared" si="100"/>
        <v>61.88</v>
      </c>
      <c r="O682" s="200">
        <f t="shared" si="101"/>
        <v>0</v>
      </c>
      <c r="P682" s="200">
        <f t="shared" si="102"/>
        <v>0</v>
      </c>
      <c r="Q682" s="200">
        <f t="shared" si="103"/>
        <v>0</v>
      </c>
      <c r="R682" s="200">
        <f t="shared" si="104"/>
        <v>0</v>
      </c>
      <c r="S682" s="200">
        <f t="shared" si="105"/>
        <v>0</v>
      </c>
    </row>
    <row r="683" spans="1:19" s="236" customFormat="1" ht="24.95" customHeight="1">
      <c r="A683" s="239"/>
      <c r="B683" s="239" t="s">
        <v>394</v>
      </c>
      <c r="C683" s="240">
        <v>8</v>
      </c>
      <c r="D683" s="239">
        <v>4</v>
      </c>
      <c r="E683" s="203">
        <f>(H681/200)+1</f>
        <v>38.875</v>
      </c>
      <c r="F683" s="234"/>
      <c r="G683" s="234"/>
      <c r="H683" s="234">
        <v>820</v>
      </c>
      <c r="I683" s="234"/>
      <c r="J683" s="234"/>
      <c r="K683" s="241">
        <v>5</v>
      </c>
      <c r="L683" s="235">
        <f t="shared" si="98"/>
        <v>0.74</v>
      </c>
      <c r="M683" s="200">
        <f t="shared" si="99"/>
        <v>115.07</v>
      </c>
      <c r="N683" s="200">
        <f t="shared" si="100"/>
        <v>0</v>
      </c>
      <c r="O683" s="200">
        <f t="shared" si="101"/>
        <v>0</v>
      </c>
      <c r="P683" s="200">
        <f t="shared" si="102"/>
        <v>0</v>
      </c>
      <c r="Q683" s="200">
        <f t="shared" si="103"/>
        <v>0</v>
      </c>
      <c r="R683" s="200">
        <f t="shared" si="104"/>
        <v>0</v>
      </c>
      <c r="S683" s="200">
        <f t="shared" si="105"/>
        <v>0</v>
      </c>
    </row>
    <row r="684" spans="1:19" s="236" customFormat="1" ht="24.95" customHeight="1">
      <c r="A684" s="237">
        <v>10.1</v>
      </c>
      <c r="B684" s="238" t="s">
        <v>452</v>
      </c>
      <c r="C684" s="240"/>
      <c r="D684" s="239"/>
      <c r="E684" s="203"/>
      <c r="F684" s="234"/>
      <c r="G684" s="234"/>
      <c r="H684" s="234"/>
      <c r="I684" s="234"/>
      <c r="J684" s="234"/>
      <c r="K684" s="234"/>
      <c r="L684" s="235">
        <f t="shared" si="98"/>
        <v>0</v>
      </c>
      <c r="M684" s="200">
        <f t="shared" si="99"/>
        <v>0</v>
      </c>
      <c r="N684" s="200">
        <f t="shared" si="100"/>
        <v>0</v>
      </c>
      <c r="O684" s="200">
        <f t="shared" si="101"/>
        <v>0</v>
      </c>
      <c r="P684" s="200">
        <f t="shared" si="102"/>
        <v>0</v>
      </c>
      <c r="Q684" s="200">
        <f t="shared" si="103"/>
        <v>0</v>
      </c>
      <c r="R684" s="200">
        <f t="shared" si="104"/>
        <v>0</v>
      </c>
      <c r="S684" s="200">
        <f t="shared" si="105"/>
        <v>0</v>
      </c>
    </row>
    <row r="685" spans="1:19" s="236" customFormat="1" ht="24.95" customHeight="1">
      <c r="A685" s="209" t="s">
        <v>453</v>
      </c>
      <c r="B685" s="209" t="s">
        <v>441</v>
      </c>
      <c r="C685" s="240"/>
      <c r="D685" s="239"/>
      <c r="E685" s="203"/>
      <c r="F685" s="234"/>
      <c r="G685" s="234"/>
      <c r="H685" s="234"/>
      <c r="I685" s="234"/>
      <c r="J685" s="234"/>
      <c r="K685" s="234">
        <v>0</v>
      </c>
      <c r="L685" s="235">
        <f t="shared" si="98"/>
        <v>0</v>
      </c>
      <c r="M685" s="200">
        <f t="shared" si="99"/>
        <v>0</v>
      </c>
      <c r="N685" s="200">
        <f t="shared" si="100"/>
        <v>0</v>
      </c>
      <c r="O685" s="200">
        <f t="shared" si="101"/>
        <v>0</v>
      </c>
      <c r="P685" s="200">
        <f t="shared" si="102"/>
        <v>0</v>
      </c>
      <c r="Q685" s="200">
        <f t="shared" si="103"/>
        <v>0</v>
      </c>
      <c r="R685" s="200">
        <f t="shared" si="104"/>
        <v>0</v>
      </c>
      <c r="S685" s="200">
        <f t="shared" si="105"/>
        <v>0</v>
      </c>
    </row>
    <row r="686" spans="1:19" s="236" customFormat="1" ht="24.95" customHeight="1">
      <c r="A686" s="205"/>
      <c r="B686" s="206" t="s">
        <v>443</v>
      </c>
      <c r="C686" s="240"/>
      <c r="D686" s="239"/>
      <c r="E686" s="203"/>
      <c r="F686" s="234"/>
      <c r="G686" s="234"/>
      <c r="H686" s="234"/>
      <c r="I686" s="234"/>
      <c r="J686" s="234"/>
      <c r="K686" s="234"/>
      <c r="L686" s="235">
        <f t="shared" si="98"/>
        <v>0</v>
      </c>
      <c r="M686" s="200">
        <f t="shared" si="99"/>
        <v>0</v>
      </c>
      <c r="N686" s="200">
        <f t="shared" si="100"/>
        <v>0</v>
      </c>
      <c r="O686" s="200">
        <f t="shared" si="101"/>
        <v>0</v>
      </c>
      <c r="P686" s="200">
        <f t="shared" si="102"/>
        <v>0</v>
      </c>
      <c r="Q686" s="200">
        <f t="shared" si="103"/>
        <v>0</v>
      </c>
      <c r="R686" s="200">
        <f t="shared" si="104"/>
        <v>0</v>
      </c>
      <c r="S686" s="200">
        <f t="shared" si="105"/>
        <v>0</v>
      </c>
    </row>
    <row r="687" spans="1:19" s="236" customFormat="1" ht="24.95" customHeight="1">
      <c r="A687" s="239">
        <v>1</v>
      </c>
      <c r="B687" s="239" t="s">
        <v>392</v>
      </c>
      <c r="C687" s="240">
        <v>10</v>
      </c>
      <c r="D687" s="239">
        <v>8</v>
      </c>
      <c r="E687" s="203">
        <v>2</v>
      </c>
      <c r="F687" s="241">
        <v>100</v>
      </c>
      <c r="G687" s="234"/>
      <c r="H687" s="234">
        <v>7575</v>
      </c>
      <c r="I687" s="234"/>
      <c r="J687" s="241">
        <v>100</v>
      </c>
      <c r="K687" s="234">
        <v>2</v>
      </c>
      <c r="L687" s="235">
        <f t="shared" si="98"/>
        <v>7.7350000000000003</v>
      </c>
      <c r="M687" s="200">
        <f t="shared" si="99"/>
        <v>0</v>
      </c>
      <c r="N687" s="200">
        <f t="shared" si="100"/>
        <v>123.76</v>
      </c>
      <c r="O687" s="200">
        <f t="shared" si="101"/>
        <v>0</v>
      </c>
      <c r="P687" s="200">
        <f t="shared" si="102"/>
        <v>0</v>
      </c>
      <c r="Q687" s="200">
        <f t="shared" si="103"/>
        <v>0</v>
      </c>
      <c r="R687" s="200">
        <f t="shared" si="104"/>
        <v>0</v>
      </c>
      <c r="S687" s="200">
        <f t="shared" si="105"/>
        <v>0</v>
      </c>
    </row>
    <row r="688" spans="1:19" s="236" customFormat="1" ht="24.95" customHeight="1">
      <c r="A688" s="239"/>
      <c r="B688" s="239" t="s">
        <v>393</v>
      </c>
      <c r="C688" s="240">
        <v>10</v>
      </c>
      <c r="D688" s="239">
        <v>8</v>
      </c>
      <c r="E688" s="203">
        <v>2</v>
      </c>
      <c r="F688" s="241">
        <v>100</v>
      </c>
      <c r="G688" s="234"/>
      <c r="H688" s="234">
        <v>7575</v>
      </c>
      <c r="I688" s="234"/>
      <c r="J688" s="241">
        <v>100</v>
      </c>
      <c r="K688" s="234">
        <v>2</v>
      </c>
      <c r="L688" s="235">
        <f t="shared" si="98"/>
        <v>7.7350000000000003</v>
      </c>
      <c r="M688" s="200">
        <f t="shared" si="99"/>
        <v>0</v>
      </c>
      <c r="N688" s="200">
        <f t="shared" si="100"/>
        <v>123.76</v>
      </c>
      <c r="O688" s="200">
        <f t="shared" si="101"/>
        <v>0</v>
      </c>
      <c r="P688" s="200">
        <f t="shared" si="102"/>
        <v>0</v>
      </c>
      <c r="Q688" s="200">
        <f t="shared" si="103"/>
        <v>0</v>
      </c>
      <c r="R688" s="200">
        <f t="shared" si="104"/>
        <v>0</v>
      </c>
      <c r="S688" s="200">
        <f t="shared" si="105"/>
        <v>0</v>
      </c>
    </row>
    <row r="689" spans="1:19" s="236" customFormat="1" ht="24.95" customHeight="1">
      <c r="A689" s="239"/>
      <c r="B689" s="239" t="s">
        <v>394</v>
      </c>
      <c r="C689" s="240">
        <v>8</v>
      </c>
      <c r="D689" s="239">
        <v>8</v>
      </c>
      <c r="E689" s="203">
        <f>(H687/200)+1</f>
        <v>38.875</v>
      </c>
      <c r="F689" s="234"/>
      <c r="G689" s="234"/>
      <c r="H689" s="234">
        <v>820</v>
      </c>
      <c r="I689" s="234"/>
      <c r="J689" s="234"/>
      <c r="K689" s="241">
        <v>5</v>
      </c>
      <c r="L689" s="235">
        <f t="shared" si="98"/>
        <v>0.74</v>
      </c>
      <c r="M689" s="200">
        <f t="shared" si="99"/>
        <v>230.14</v>
      </c>
      <c r="N689" s="200">
        <f t="shared" si="100"/>
        <v>0</v>
      </c>
      <c r="O689" s="200">
        <f t="shared" si="101"/>
        <v>0</v>
      </c>
      <c r="P689" s="200">
        <f t="shared" si="102"/>
        <v>0</v>
      </c>
      <c r="Q689" s="200">
        <f t="shared" si="103"/>
        <v>0</v>
      </c>
      <c r="R689" s="200">
        <f t="shared" si="104"/>
        <v>0</v>
      </c>
      <c r="S689" s="200">
        <f t="shared" si="105"/>
        <v>0</v>
      </c>
    </row>
    <row r="690" spans="1:19" s="236" customFormat="1" ht="24.95" customHeight="1">
      <c r="A690" s="239">
        <v>2</v>
      </c>
      <c r="B690" s="239" t="s">
        <v>392</v>
      </c>
      <c r="C690" s="240">
        <v>10</v>
      </c>
      <c r="D690" s="239">
        <v>1</v>
      </c>
      <c r="E690" s="203">
        <v>2</v>
      </c>
      <c r="F690" s="241">
        <v>100</v>
      </c>
      <c r="G690" s="234"/>
      <c r="H690" s="234">
        <v>9900</v>
      </c>
      <c r="I690" s="234"/>
      <c r="J690" s="241">
        <v>100</v>
      </c>
      <c r="K690" s="234">
        <v>2</v>
      </c>
      <c r="L690" s="235">
        <f t="shared" si="98"/>
        <v>10.06</v>
      </c>
      <c r="M690" s="200">
        <f t="shared" si="99"/>
        <v>0</v>
      </c>
      <c r="N690" s="200">
        <f t="shared" si="100"/>
        <v>20.12</v>
      </c>
      <c r="O690" s="200">
        <f t="shared" si="101"/>
        <v>0</v>
      </c>
      <c r="P690" s="200">
        <f t="shared" si="102"/>
        <v>0</v>
      </c>
      <c r="Q690" s="200">
        <f t="shared" si="103"/>
        <v>0</v>
      </c>
      <c r="R690" s="200">
        <f t="shared" si="104"/>
        <v>0</v>
      </c>
      <c r="S690" s="200">
        <f t="shared" si="105"/>
        <v>0</v>
      </c>
    </row>
    <row r="691" spans="1:19" s="236" customFormat="1" ht="24.95" customHeight="1">
      <c r="A691" s="239"/>
      <c r="B691" s="239" t="s">
        <v>393</v>
      </c>
      <c r="C691" s="240">
        <v>10</v>
      </c>
      <c r="D691" s="239">
        <v>1</v>
      </c>
      <c r="E691" s="203">
        <v>2</v>
      </c>
      <c r="F691" s="241">
        <v>100</v>
      </c>
      <c r="G691" s="234"/>
      <c r="H691" s="234">
        <v>9900</v>
      </c>
      <c r="I691" s="234"/>
      <c r="J691" s="241">
        <v>100</v>
      </c>
      <c r="K691" s="234">
        <v>2</v>
      </c>
      <c r="L691" s="235">
        <f t="shared" si="98"/>
        <v>10.06</v>
      </c>
      <c r="M691" s="200">
        <f t="shared" si="99"/>
        <v>0</v>
      </c>
      <c r="N691" s="200">
        <f t="shared" si="100"/>
        <v>20.12</v>
      </c>
      <c r="O691" s="200">
        <f t="shared" si="101"/>
        <v>0</v>
      </c>
      <c r="P691" s="200">
        <f t="shared" si="102"/>
        <v>0</v>
      </c>
      <c r="Q691" s="200">
        <f t="shared" si="103"/>
        <v>0</v>
      </c>
      <c r="R691" s="200">
        <f t="shared" si="104"/>
        <v>0</v>
      </c>
      <c r="S691" s="200">
        <f t="shared" si="105"/>
        <v>0</v>
      </c>
    </row>
    <row r="692" spans="1:19" s="236" customFormat="1" ht="24.95" customHeight="1">
      <c r="A692" s="239"/>
      <c r="B692" s="239" t="s">
        <v>394</v>
      </c>
      <c r="C692" s="240">
        <v>8</v>
      </c>
      <c r="D692" s="239">
        <v>1</v>
      </c>
      <c r="E692" s="203">
        <f>(H690/200)+1</f>
        <v>50.5</v>
      </c>
      <c r="F692" s="234"/>
      <c r="G692" s="234"/>
      <c r="H692" s="234">
        <v>820</v>
      </c>
      <c r="I692" s="234"/>
      <c r="J692" s="234"/>
      <c r="K692" s="241">
        <v>5</v>
      </c>
      <c r="L692" s="235">
        <f t="shared" si="98"/>
        <v>0.74</v>
      </c>
      <c r="M692" s="200">
        <f t="shared" si="99"/>
        <v>37.369999999999997</v>
      </c>
      <c r="N692" s="200">
        <f t="shared" si="100"/>
        <v>0</v>
      </c>
      <c r="O692" s="200">
        <f t="shared" si="101"/>
        <v>0</v>
      </c>
      <c r="P692" s="200">
        <f t="shared" si="102"/>
        <v>0</v>
      </c>
      <c r="Q692" s="200">
        <f t="shared" si="103"/>
        <v>0</v>
      </c>
      <c r="R692" s="200">
        <f t="shared" si="104"/>
        <v>0</v>
      </c>
      <c r="S692" s="200">
        <f t="shared" si="105"/>
        <v>0</v>
      </c>
    </row>
    <row r="693" spans="1:19" s="236" customFormat="1" ht="24.95" customHeight="1">
      <c r="A693" s="237">
        <v>11</v>
      </c>
      <c r="B693" s="238" t="s">
        <v>454</v>
      </c>
      <c r="C693" s="240"/>
      <c r="D693" s="239"/>
      <c r="E693" s="203"/>
      <c r="F693" s="234"/>
      <c r="G693" s="234"/>
      <c r="H693" s="234"/>
      <c r="I693" s="234"/>
      <c r="J693" s="234"/>
      <c r="K693" s="234"/>
      <c r="L693" s="235">
        <f t="shared" si="98"/>
        <v>0</v>
      </c>
      <c r="M693" s="200">
        <f t="shared" si="99"/>
        <v>0</v>
      </c>
      <c r="N693" s="200">
        <f t="shared" si="100"/>
        <v>0</v>
      </c>
      <c r="O693" s="200">
        <f t="shared" si="101"/>
        <v>0</v>
      </c>
      <c r="P693" s="200">
        <f t="shared" si="102"/>
        <v>0</v>
      </c>
      <c r="Q693" s="200">
        <f t="shared" si="103"/>
        <v>0</v>
      </c>
      <c r="R693" s="200">
        <f t="shared" si="104"/>
        <v>0</v>
      </c>
      <c r="S693" s="200">
        <f t="shared" si="105"/>
        <v>0</v>
      </c>
    </row>
    <row r="694" spans="1:19" s="236" customFormat="1" ht="24.95" customHeight="1">
      <c r="A694" s="209" t="s">
        <v>455</v>
      </c>
      <c r="B694" s="209" t="s">
        <v>441</v>
      </c>
      <c r="C694" s="240"/>
      <c r="D694" s="239"/>
      <c r="E694" s="203"/>
      <c r="F694" s="234"/>
      <c r="G694" s="234"/>
      <c r="H694" s="234"/>
      <c r="I694" s="234"/>
      <c r="J694" s="234"/>
      <c r="K694" s="234">
        <v>0</v>
      </c>
      <c r="L694" s="235">
        <f t="shared" si="98"/>
        <v>0</v>
      </c>
      <c r="M694" s="200">
        <f t="shared" si="99"/>
        <v>0</v>
      </c>
      <c r="N694" s="200">
        <f t="shared" si="100"/>
        <v>0</v>
      </c>
      <c r="O694" s="200">
        <f t="shared" si="101"/>
        <v>0</v>
      </c>
      <c r="P694" s="200">
        <f t="shared" si="102"/>
        <v>0</v>
      </c>
      <c r="Q694" s="200">
        <f t="shared" si="103"/>
        <v>0</v>
      </c>
      <c r="R694" s="200">
        <f t="shared" si="104"/>
        <v>0</v>
      </c>
      <c r="S694" s="200">
        <f t="shared" si="105"/>
        <v>0</v>
      </c>
    </row>
    <row r="695" spans="1:19" s="236" customFormat="1" ht="24.95" customHeight="1">
      <c r="A695" s="239"/>
      <c r="B695" s="211" t="s">
        <v>306</v>
      </c>
      <c r="C695" s="240"/>
      <c r="D695" s="239"/>
      <c r="E695" s="203"/>
      <c r="F695" s="234"/>
      <c r="G695" s="234"/>
      <c r="H695" s="234"/>
      <c r="I695" s="234"/>
      <c r="J695" s="234"/>
      <c r="K695" s="234"/>
      <c r="L695" s="235">
        <f t="shared" si="98"/>
        <v>0</v>
      </c>
      <c r="M695" s="200">
        <f t="shared" si="99"/>
        <v>0</v>
      </c>
      <c r="N695" s="200">
        <f t="shared" si="100"/>
        <v>0</v>
      </c>
      <c r="O695" s="200">
        <f t="shared" si="101"/>
        <v>0</v>
      </c>
      <c r="P695" s="200">
        <f t="shared" si="102"/>
        <v>0</v>
      </c>
      <c r="Q695" s="200">
        <f t="shared" si="103"/>
        <v>0</v>
      </c>
      <c r="R695" s="200">
        <f t="shared" si="104"/>
        <v>0</v>
      </c>
      <c r="S695" s="200">
        <f t="shared" si="105"/>
        <v>0</v>
      </c>
    </row>
    <row r="696" spans="1:19" s="236" customFormat="1" ht="24.95" customHeight="1">
      <c r="A696" s="239">
        <v>1</v>
      </c>
      <c r="B696" s="239" t="s">
        <v>392</v>
      </c>
      <c r="C696" s="240">
        <v>10</v>
      </c>
      <c r="D696" s="239">
        <v>1</v>
      </c>
      <c r="E696" s="203">
        <v>2</v>
      </c>
      <c r="F696" s="241">
        <v>100</v>
      </c>
      <c r="G696" s="234"/>
      <c r="H696" s="234">
        <v>31350</v>
      </c>
      <c r="I696" s="234"/>
      <c r="J696" s="241">
        <v>100</v>
      </c>
      <c r="K696" s="234">
        <v>2</v>
      </c>
      <c r="L696" s="235">
        <f t="shared" si="98"/>
        <v>31.51</v>
      </c>
      <c r="M696" s="200">
        <f t="shared" si="99"/>
        <v>0</v>
      </c>
      <c r="N696" s="200">
        <f t="shared" si="100"/>
        <v>63.02</v>
      </c>
      <c r="O696" s="200">
        <f t="shared" si="101"/>
        <v>0</v>
      </c>
      <c r="P696" s="200">
        <f t="shared" si="102"/>
        <v>0</v>
      </c>
      <c r="Q696" s="200">
        <f t="shared" si="103"/>
        <v>0</v>
      </c>
      <c r="R696" s="200">
        <f t="shared" si="104"/>
        <v>0</v>
      </c>
      <c r="S696" s="200">
        <f t="shared" si="105"/>
        <v>0</v>
      </c>
    </row>
    <row r="697" spans="1:19" s="236" customFormat="1" ht="24.95" customHeight="1">
      <c r="A697" s="239"/>
      <c r="B697" s="239" t="s">
        <v>393</v>
      </c>
      <c r="C697" s="240">
        <v>10</v>
      </c>
      <c r="D697" s="239">
        <v>1</v>
      </c>
      <c r="E697" s="203">
        <v>2</v>
      </c>
      <c r="F697" s="241">
        <v>100</v>
      </c>
      <c r="G697" s="234"/>
      <c r="H697" s="234">
        <v>31350</v>
      </c>
      <c r="I697" s="234"/>
      <c r="J697" s="241">
        <v>100</v>
      </c>
      <c r="K697" s="234">
        <v>2</v>
      </c>
      <c r="L697" s="235">
        <f t="shared" si="98"/>
        <v>31.51</v>
      </c>
      <c r="M697" s="200">
        <f t="shared" si="99"/>
        <v>0</v>
      </c>
      <c r="N697" s="200">
        <f t="shared" si="100"/>
        <v>63.02</v>
      </c>
      <c r="O697" s="200">
        <f t="shared" si="101"/>
        <v>0</v>
      </c>
      <c r="P697" s="200">
        <f t="shared" si="102"/>
        <v>0</v>
      </c>
      <c r="Q697" s="200">
        <f t="shared" si="103"/>
        <v>0</v>
      </c>
      <c r="R697" s="200">
        <f t="shared" si="104"/>
        <v>0</v>
      </c>
      <c r="S697" s="200">
        <f t="shared" si="105"/>
        <v>0</v>
      </c>
    </row>
    <row r="698" spans="1:19" s="236" customFormat="1" ht="24.95" customHeight="1">
      <c r="A698" s="239"/>
      <c r="B698" s="239" t="s">
        <v>433</v>
      </c>
      <c r="C698" s="240">
        <v>10</v>
      </c>
      <c r="D698" s="239">
        <v>2</v>
      </c>
      <c r="E698" s="203">
        <v>4</v>
      </c>
      <c r="F698" s="234"/>
      <c r="G698" s="234"/>
      <c r="H698" s="234">
        <v>500</v>
      </c>
      <c r="I698" s="234"/>
      <c r="J698" s="234"/>
      <c r="K698" s="234"/>
      <c r="L698" s="235">
        <f t="shared" si="98"/>
        <v>0.5</v>
      </c>
      <c r="M698" s="200">
        <f t="shared" si="99"/>
        <v>0</v>
      </c>
      <c r="N698" s="200">
        <f t="shared" si="100"/>
        <v>4</v>
      </c>
      <c r="O698" s="200">
        <f t="shared" si="101"/>
        <v>0</v>
      </c>
      <c r="P698" s="200">
        <f t="shared" si="102"/>
        <v>0</v>
      </c>
      <c r="Q698" s="200">
        <f t="shared" si="103"/>
        <v>0</v>
      </c>
      <c r="R698" s="200">
        <f t="shared" si="104"/>
        <v>0</v>
      </c>
      <c r="S698" s="200">
        <f t="shared" si="105"/>
        <v>0</v>
      </c>
    </row>
    <row r="699" spans="1:19" s="236" customFormat="1" ht="24.95" customHeight="1">
      <c r="A699" s="239"/>
      <c r="B699" s="239" t="s">
        <v>394</v>
      </c>
      <c r="C699" s="240">
        <v>8</v>
      </c>
      <c r="D699" s="239">
        <v>1</v>
      </c>
      <c r="E699" s="203">
        <f>(H696/200)+1</f>
        <v>157.75</v>
      </c>
      <c r="F699" s="234"/>
      <c r="G699" s="234"/>
      <c r="H699" s="234">
        <v>820</v>
      </c>
      <c r="I699" s="234"/>
      <c r="J699" s="234"/>
      <c r="K699" s="241">
        <v>5</v>
      </c>
      <c r="L699" s="235">
        <f t="shared" si="98"/>
        <v>0.74</v>
      </c>
      <c r="M699" s="200">
        <f t="shared" si="99"/>
        <v>116.735</v>
      </c>
      <c r="N699" s="200">
        <f t="shared" si="100"/>
        <v>0</v>
      </c>
      <c r="O699" s="200">
        <f t="shared" si="101"/>
        <v>0</v>
      </c>
      <c r="P699" s="200">
        <f t="shared" si="102"/>
        <v>0</v>
      </c>
      <c r="Q699" s="200">
        <f t="shared" si="103"/>
        <v>0</v>
      </c>
      <c r="R699" s="200">
        <f t="shared" si="104"/>
        <v>0</v>
      </c>
      <c r="S699" s="200">
        <f t="shared" si="105"/>
        <v>0</v>
      </c>
    </row>
    <row r="700" spans="1:19" s="236" customFormat="1" ht="24.95" customHeight="1">
      <c r="A700" s="239"/>
      <c r="B700" s="211" t="s">
        <v>147</v>
      </c>
      <c r="C700" s="240"/>
      <c r="D700" s="239"/>
      <c r="E700" s="203"/>
      <c r="F700" s="234"/>
      <c r="G700" s="234"/>
      <c r="H700" s="234"/>
      <c r="I700" s="234"/>
      <c r="J700" s="234"/>
      <c r="K700" s="234"/>
      <c r="L700" s="235">
        <f t="shared" si="98"/>
        <v>0</v>
      </c>
      <c r="M700" s="200">
        <f t="shared" si="99"/>
        <v>0</v>
      </c>
      <c r="N700" s="200">
        <f t="shared" si="100"/>
        <v>0</v>
      </c>
      <c r="O700" s="200">
        <f t="shared" si="101"/>
        <v>0</v>
      </c>
      <c r="P700" s="200">
        <f t="shared" si="102"/>
        <v>0</v>
      </c>
      <c r="Q700" s="200">
        <f t="shared" si="103"/>
        <v>0</v>
      </c>
      <c r="R700" s="200">
        <f t="shared" si="104"/>
        <v>0</v>
      </c>
      <c r="S700" s="200">
        <f t="shared" si="105"/>
        <v>0</v>
      </c>
    </row>
    <row r="701" spans="1:19" s="236" customFormat="1" ht="24.95" customHeight="1">
      <c r="A701" s="239">
        <v>1</v>
      </c>
      <c r="B701" s="239" t="s">
        <v>392</v>
      </c>
      <c r="C701" s="240">
        <v>10</v>
      </c>
      <c r="D701" s="239">
        <v>1</v>
      </c>
      <c r="E701" s="203">
        <v>2</v>
      </c>
      <c r="F701" s="241">
        <v>100</v>
      </c>
      <c r="G701" s="234"/>
      <c r="H701" s="234">
        <v>42500</v>
      </c>
      <c r="I701" s="234"/>
      <c r="J701" s="241">
        <v>100</v>
      </c>
      <c r="K701" s="234">
        <v>2</v>
      </c>
      <c r="L701" s="235">
        <f t="shared" si="98"/>
        <v>42.66</v>
      </c>
      <c r="M701" s="200">
        <f t="shared" si="99"/>
        <v>0</v>
      </c>
      <c r="N701" s="200">
        <f t="shared" si="100"/>
        <v>85.32</v>
      </c>
      <c r="O701" s="200">
        <f t="shared" si="101"/>
        <v>0</v>
      </c>
      <c r="P701" s="200">
        <f t="shared" si="102"/>
        <v>0</v>
      </c>
      <c r="Q701" s="200">
        <f t="shared" si="103"/>
        <v>0</v>
      </c>
      <c r="R701" s="200">
        <f t="shared" si="104"/>
        <v>0</v>
      </c>
      <c r="S701" s="200">
        <f t="shared" si="105"/>
        <v>0</v>
      </c>
    </row>
    <row r="702" spans="1:19" s="236" customFormat="1" ht="24.95" customHeight="1">
      <c r="A702" s="239"/>
      <c r="B702" s="239" t="s">
        <v>393</v>
      </c>
      <c r="C702" s="240">
        <v>10</v>
      </c>
      <c r="D702" s="239">
        <v>1</v>
      </c>
      <c r="E702" s="203">
        <v>2</v>
      </c>
      <c r="F702" s="241">
        <v>100</v>
      </c>
      <c r="G702" s="234"/>
      <c r="H702" s="234">
        <v>42500</v>
      </c>
      <c r="I702" s="234"/>
      <c r="J702" s="241">
        <v>100</v>
      </c>
      <c r="K702" s="234">
        <v>2</v>
      </c>
      <c r="L702" s="235">
        <f t="shared" si="98"/>
        <v>42.66</v>
      </c>
      <c r="M702" s="200">
        <f t="shared" si="99"/>
        <v>0</v>
      </c>
      <c r="N702" s="200">
        <f t="shared" si="100"/>
        <v>85.32</v>
      </c>
      <c r="O702" s="200">
        <f t="shared" si="101"/>
        <v>0</v>
      </c>
      <c r="P702" s="200">
        <f t="shared" si="102"/>
        <v>0</v>
      </c>
      <c r="Q702" s="200">
        <f t="shared" si="103"/>
        <v>0</v>
      </c>
      <c r="R702" s="200">
        <f t="shared" si="104"/>
        <v>0</v>
      </c>
      <c r="S702" s="200">
        <f t="shared" si="105"/>
        <v>0</v>
      </c>
    </row>
    <row r="703" spans="1:19" s="236" customFormat="1" ht="24.95" customHeight="1">
      <c r="A703" s="239"/>
      <c r="B703" s="239" t="s">
        <v>433</v>
      </c>
      <c r="C703" s="240">
        <v>10</v>
      </c>
      <c r="D703" s="239">
        <v>3</v>
      </c>
      <c r="E703" s="203">
        <v>4</v>
      </c>
      <c r="F703" s="234"/>
      <c r="G703" s="234"/>
      <c r="H703" s="234">
        <v>500</v>
      </c>
      <c r="I703" s="234"/>
      <c r="J703" s="234"/>
      <c r="K703" s="234"/>
      <c r="L703" s="235">
        <f t="shared" si="98"/>
        <v>0.5</v>
      </c>
      <c r="M703" s="200">
        <f t="shared" si="99"/>
        <v>0</v>
      </c>
      <c r="N703" s="200">
        <f t="shared" si="100"/>
        <v>6</v>
      </c>
      <c r="O703" s="200">
        <f t="shared" si="101"/>
        <v>0</v>
      </c>
      <c r="P703" s="200">
        <f t="shared" si="102"/>
        <v>0</v>
      </c>
      <c r="Q703" s="200">
        <f t="shared" si="103"/>
        <v>0</v>
      </c>
      <c r="R703" s="200">
        <f t="shared" si="104"/>
        <v>0</v>
      </c>
      <c r="S703" s="200">
        <f t="shared" si="105"/>
        <v>0</v>
      </c>
    </row>
    <row r="704" spans="1:19" s="236" customFormat="1" ht="24.95" customHeight="1">
      <c r="A704" s="239"/>
      <c r="B704" s="239" t="s">
        <v>394</v>
      </c>
      <c r="C704" s="240">
        <v>8</v>
      </c>
      <c r="D704" s="239">
        <v>1</v>
      </c>
      <c r="E704" s="203">
        <f>(H701/200)+1</f>
        <v>213.5</v>
      </c>
      <c r="F704" s="234"/>
      <c r="G704" s="234"/>
      <c r="H704" s="234">
        <v>820</v>
      </c>
      <c r="I704" s="234"/>
      <c r="J704" s="234"/>
      <c r="K704" s="241">
        <v>5</v>
      </c>
      <c r="L704" s="235">
        <f t="shared" si="98"/>
        <v>0.74</v>
      </c>
      <c r="M704" s="200">
        <f t="shared" si="99"/>
        <v>157.99</v>
      </c>
      <c r="N704" s="200">
        <f t="shared" si="100"/>
        <v>0</v>
      </c>
      <c r="O704" s="200">
        <f t="shared" si="101"/>
        <v>0</v>
      </c>
      <c r="P704" s="200">
        <f t="shared" si="102"/>
        <v>0</v>
      </c>
      <c r="Q704" s="200">
        <f t="shared" si="103"/>
        <v>0</v>
      </c>
      <c r="R704" s="200">
        <f t="shared" si="104"/>
        <v>0</v>
      </c>
      <c r="S704" s="200">
        <f t="shared" si="105"/>
        <v>0</v>
      </c>
    </row>
    <row r="705" spans="1:21" s="236" customFormat="1" ht="24.95" customHeight="1">
      <c r="A705" s="237">
        <v>12</v>
      </c>
      <c r="B705" s="238" t="s">
        <v>454</v>
      </c>
      <c r="C705" s="240"/>
      <c r="D705" s="239"/>
      <c r="E705" s="203"/>
      <c r="F705" s="234"/>
      <c r="G705" s="234"/>
      <c r="H705" s="234"/>
      <c r="I705" s="234"/>
      <c r="J705" s="234"/>
      <c r="K705" s="234"/>
      <c r="L705" s="235">
        <f t="shared" si="98"/>
        <v>0</v>
      </c>
      <c r="M705" s="200">
        <f t="shared" si="99"/>
        <v>0</v>
      </c>
      <c r="N705" s="200">
        <f t="shared" si="100"/>
        <v>0</v>
      </c>
      <c r="O705" s="200">
        <f t="shared" si="101"/>
        <v>0</v>
      </c>
      <c r="P705" s="200">
        <f t="shared" si="102"/>
        <v>0</v>
      </c>
      <c r="Q705" s="200">
        <f t="shared" si="103"/>
        <v>0</v>
      </c>
      <c r="R705" s="200">
        <f t="shared" si="104"/>
        <v>0</v>
      </c>
      <c r="S705" s="200">
        <f t="shared" si="105"/>
        <v>0</v>
      </c>
    </row>
    <row r="706" spans="1:21" s="236" customFormat="1" ht="24.95" customHeight="1">
      <c r="A706" s="209" t="s">
        <v>456</v>
      </c>
      <c r="B706" s="209" t="s">
        <v>441</v>
      </c>
      <c r="C706" s="240"/>
      <c r="D706" s="239"/>
      <c r="E706" s="203"/>
      <c r="F706" s="234"/>
      <c r="G706" s="234"/>
      <c r="H706" s="234"/>
      <c r="I706" s="234"/>
      <c r="J706" s="234"/>
      <c r="K706" s="234">
        <v>0</v>
      </c>
      <c r="L706" s="235">
        <f t="shared" si="98"/>
        <v>0</v>
      </c>
      <c r="M706" s="200">
        <f t="shared" si="99"/>
        <v>0</v>
      </c>
      <c r="N706" s="200">
        <f t="shared" si="100"/>
        <v>0</v>
      </c>
      <c r="O706" s="200">
        <f t="shared" si="101"/>
        <v>0</v>
      </c>
      <c r="P706" s="200">
        <f t="shared" si="102"/>
        <v>0</v>
      </c>
      <c r="Q706" s="200">
        <f t="shared" si="103"/>
        <v>0</v>
      </c>
      <c r="R706" s="200">
        <f t="shared" si="104"/>
        <v>0</v>
      </c>
      <c r="S706" s="200">
        <f t="shared" si="105"/>
        <v>0</v>
      </c>
    </row>
    <row r="707" spans="1:21" s="236" customFormat="1" ht="24.95" customHeight="1">
      <c r="A707" s="239" t="s">
        <v>457</v>
      </c>
      <c r="B707" s="211" t="s">
        <v>458</v>
      </c>
      <c r="C707" s="240"/>
      <c r="D707" s="239"/>
      <c r="E707" s="203"/>
      <c r="F707" s="234"/>
      <c r="G707" s="234"/>
      <c r="H707" s="234"/>
      <c r="I707" s="234"/>
      <c r="J707" s="234"/>
      <c r="K707" s="234"/>
      <c r="L707" s="235">
        <f t="shared" si="98"/>
        <v>0</v>
      </c>
      <c r="M707" s="200">
        <f t="shared" si="99"/>
        <v>0</v>
      </c>
      <c r="N707" s="200">
        <f t="shared" si="100"/>
        <v>0</v>
      </c>
      <c r="O707" s="200">
        <f t="shared" si="101"/>
        <v>0</v>
      </c>
      <c r="P707" s="200">
        <f t="shared" si="102"/>
        <v>0</v>
      </c>
      <c r="Q707" s="200">
        <f t="shared" si="103"/>
        <v>0</v>
      </c>
      <c r="R707" s="200">
        <f t="shared" si="104"/>
        <v>0</v>
      </c>
      <c r="S707" s="200">
        <f t="shared" si="105"/>
        <v>0</v>
      </c>
    </row>
    <row r="708" spans="1:21" s="236" customFormat="1" ht="24.95" customHeight="1">
      <c r="A708" s="239">
        <v>1</v>
      </c>
      <c r="B708" s="239" t="s">
        <v>392</v>
      </c>
      <c r="C708" s="240">
        <v>10</v>
      </c>
      <c r="D708" s="239">
        <v>2</v>
      </c>
      <c r="E708" s="203">
        <v>2</v>
      </c>
      <c r="F708" s="241">
        <v>100</v>
      </c>
      <c r="G708" s="234"/>
      <c r="H708" s="234">
        <v>29730</v>
      </c>
      <c r="I708" s="234"/>
      <c r="J708" s="241">
        <v>100</v>
      </c>
      <c r="K708" s="234">
        <v>2</v>
      </c>
      <c r="L708" s="235">
        <f t="shared" si="98"/>
        <v>29.89</v>
      </c>
      <c r="M708" s="200">
        <f t="shared" si="99"/>
        <v>0</v>
      </c>
      <c r="N708" s="200">
        <f t="shared" si="100"/>
        <v>119.56</v>
      </c>
      <c r="O708" s="200">
        <f t="shared" si="101"/>
        <v>0</v>
      </c>
      <c r="P708" s="200">
        <f t="shared" si="102"/>
        <v>0</v>
      </c>
      <c r="Q708" s="200">
        <f t="shared" si="103"/>
        <v>0</v>
      </c>
      <c r="R708" s="200">
        <f t="shared" si="104"/>
        <v>0</v>
      </c>
      <c r="S708" s="200">
        <f t="shared" si="105"/>
        <v>0</v>
      </c>
    </row>
    <row r="709" spans="1:21" s="236" customFormat="1" ht="24.95" customHeight="1">
      <c r="A709" s="239"/>
      <c r="B709" s="239" t="s">
        <v>393</v>
      </c>
      <c r="C709" s="240">
        <v>10</v>
      </c>
      <c r="D709" s="239">
        <v>2</v>
      </c>
      <c r="E709" s="203">
        <v>2</v>
      </c>
      <c r="F709" s="241">
        <v>100</v>
      </c>
      <c r="G709" s="234"/>
      <c r="H709" s="234">
        <v>29730</v>
      </c>
      <c r="I709" s="234"/>
      <c r="J709" s="241">
        <v>100</v>
      </c>
      <c r="K709" s="234">
        <v>2</v>
      </c>
      <c r="L709" s="235">
        <f t="shared" si="98"/>
        <v>29.89</v>
      </c>
      <c r="M709" s="200">
        <f t="shared" si="99"/>
        <v>0</v>
      </c>
      <c r="N709" s="200">
        <f t="shared" si="100"/>
        <v>119.56</v>
      </c>
      <c r="O709" s="200">
        <f t="shared" si="101"/>
        <v>0</v>
      </c>
      <c r="P709" s="200">
        <f t="shared" si="102"/>
        <v>0</v>
      </c>
      <c r="Q709" s="200">
        <f t="shared" si="103"/>
        <v>0</v>
      </c>
      <c r="R709" s="200">
        <f t="shared" si="104"/>
        <v>0</v>
      </c>
      <c r="S709" s="200">
        <f t="shared" si="105"/>
        <v>0</v>
      </c>
    </row>
    <row r="710" spans="1:21" s="236" customFormat="1" ht="24.95" customHeight="1">
      <c r="A710" s="239"/>
      <c r="B710" s="239" t="s">
        <v>433</v>
      </c>
      <c r="C710" s="240">
        <v>10</v>
      </c>
      <c r="D710" s="239">
        <v>4</v>
      </c>
      <c r="E710" s="203">
        <v>4</v>
      </c>
      <c r="F710" s="234"/>
      <c r="G710" s="234"/>
      <c r="H710" s="234">
        <v>500</v>
      </c>
      <c r="I710" s="234"/>
      <c r="J710" s="234"/>
      <c r="K710" s="234"/>
      <c r="L710" s="235">
        <f t="shared" si="98"/>
        <v>0.5</v>
      </c>
      <c r="M710" s="200">
        <f t="shared" si="99"/>
        <v>0</v>
      </c>
      <c r="N710" s="200">
        <f t="shared" si="100"/>
        <v>8</v>
      </c>
      <c r="O710" s="200">
        <f t="shared" si="101"/>
        <v>0</v>
      </c>
      <c r="P710" s="200">
        <f t="shared" si="102"/>
        <v>0</v>
      </c>
      <c r="Q710" s="200">
        <f t="shared" si="103"/>
        <v>0</v>
      </c>
      <c r="R710" s="200">
        <f t="shared" si="104"/>
        <v>0</v>
      </c>
      <c r="S710" s="200">
        <f t="shared" si="105"/>
        <v>0</v>
      </c>
    </row>
    <row r="711" spans="1:21" s="236" customFormat="1" ht="24.95" customHeight="1">
      <c r="A711" s="239"/>
      <c r="B711" s="239" t="s">
        <v>394</v>
      </c>
      <c r="C711" s="240">
        <v>8</v>
      </c>
      <c r="D711" s="239">
        <v>2</v>
      </c>
      <c r="E711" s="203">
        <f>(H708/200)+1</f>
        <v>149.65</v>
      </c>
      <c r="F711" s="234"/>
      <c r="G711" s="234"/>
      <c r="H711" s="234">
        <v>820</v>
      </c>
      <c r="I711" s="234"/>
      <c r="J711" s="234"/>
      <c r="K711" s="241">
        <v>5</v>
      </c>
      <c r="L711" s="235">
        <f t="shared" si="98"/>
        <v>0.74</v>
      </c>
      <c r="M711" s="200">
        <f t="shared" si="99"/>
        <v>221.482</v>
      </c>
      <c r="N711" s="200">
        <f t="shared" si="100"/>
        <v>0</v>
      </c>
      <c r="O711" s="200">
        <f t="shared" si="101"/>
        <v>0</v>
      </c>
      <c r="P711" s="200">
        <f t="shared" si="102"/>
        <v>0</v>
      </c>
      <c r="Q711" s="200">
        <f t="shared" si="103"/>
        <v>0</v>
      </c>
      <c r="R711" s="200">
        <f t="shared" si="104"/>
        <v>0</v>
      </c>
      <c r="S711" s="200">
        <f t="shared" si="105"/>
        <v>0</v>
      </c>
    </row>
    <row r="712" spans="1:21" s="236" customFormat="1" ht="24.95" customHeight="1">
      <c r="A712" s="239">
        <v>2</v>
      </c>
      <c r="B712" s="239" t="s">
        <v>392</v>
      </c>
      <c r="C712" s="240">
        <v>10</v>
      </c>
      <c r="D712" s="239">
        <v>2</v>
      </c>
      <c r="E712" s="203">
        <v>2</v>
      </c>
      <c r="F712" s="241">
        <v>100</v>
      </c>
      <c r="G712" s="234"/>
      <c r="H712" s="234">
        <v>1080</v>
      </c>
      <c r="I712" s="234"/>
      <c r="J712" s="241">
        <v>100</v>
      </c>
      <c r="K712" s="234">
        <v>2</v>
      </c>
      <c r="L712" s="235">
        <f t="shared" si="98"/>
        <v>1.24</v>
      </c>
      <c r="M712" s="200">
        <f t="shared" si="99"/>
        <v>0</v>
      </c>
      <c r="N712" s="200">
        <f t="shared" si="100"/>
        <v>4.96</v>
      </c>
      <c r="O712" s="200">
        <f t="shared" si="101"/>
        <v>0</v>
      </c>
      <c r="P712" s="200">
        <f t="shared" si="102"/>
        <v>0</v>
      </c>
      <c r="Q712" s="200">
        <f t="shared" si="103"/>
        <v>0</v>
      </c>
      <c r="R712" s="200">
        <f t="shared" si="104"/>
        <v>0</v>
      </c>
      <c r="S712" s="200">
        <f t="shared" si="105"/>
        <v>0</v>
      </c>
    </row>
    <row r="713" spans="1:21" s="236" customFormat="1" ht="24.95" customHeight="1">
      <c r="A713" s="239"/>
      <c r="B713" s="239" t="s">
        <v>393</v>
      </c>
      <c r="C713" s="240">
        <v>10</v>
      </c>
      <c r="D713" s="239">
        <v>2</v>
      </c>
      <c r="E713" s="203">
        <v>2</v>
      </c>
      <c r="F713" s="241">
        <v>100</v>
      </c>
      <c r="G713" s="234"/>
      <c r="H713" s="234">
        <v>1080</v>
      </c>
      <c r="I713" s="234"/>
      <c r="J713" s="241">
        <v>100</v>
      </c>
      <c r="K713" s="234">
        <v>2</v>
      </c>
      <c r="L713" s="235">
        <f t="shared" si="98"/>
        <v>1.24</v>
      </c>
      <c r="M713" s="200">
        <f t="shared" si="99"/>
        <v>0</v>
      </c>
      <c r="N713" s="200">
        <f t="shared" si="100"/>
        <v>4.96</v>
      </c>
      <c r="O713" s="200">
        <f t="shared" si="101"/>
        <v>0</v>
      </c>
      <c r="P713" s="200">
        <f t="shared" si="102"/>
        <v>0</v>
      </c>
      <c r="Q713" s="200">
        <f t="shared" si="103"/>
        <v>0</v>
      </c>
      <c r="R713" s="200">
        <f t="shared" si="104"/>
        <v>0</v>
      </c>
      <c r="S713" s="200">
        <f t="shared" si="105"/>
        <v>0</v>
      </c>
    </row>
    <row r="714" spans="1:21" s="236" customFormat="1" ht="24.95" customHeight="1">
      <c r="A714" s="239"/>
      <c r="B714" s="239" t="s">
        <v>394</v>
      </c>
      <c r="C714" s="240">
        <v>8</v>
      </c>
      <c r="D714" s="239">
        <v>2</v>
      </c>
      <c r="E714" s="203">
        <f>(H712/200)+1</f>
        <v>6.4</v>
      </c>
      <c r="F714" s="234"/>
      <c r="G714" s="234"/>
      <c r="H714" s="234">
        <v>820</v>
      </c>
      <c r="I714" s="234"/>
      <c r="J714" s="234"/>
      <c r="K714" s="241">
        <v>5</v>
      </c>
      <c r="L714" s="235">
        <f t="shared" si="98"/>
        <v>0.74</v>
      </c>
      <c r="M714" s="200">
        <f t="shared" si="99"/>
        <v>9.4719999999999995</v>
      </c>
      <c r="N714" s="200">
        <f t="shared" si="100"/>
        <v>0</v>
      </c>
      <c r="O714" s="200">
        <f t="shared" si="101"/>
        <v>0</v>
      </c>
      <c r="P714" s="200">
        <f t="shared" si="102"/>
        <v>0</v>
      </c>
      <c r="Q714" s="200">
        <f t="shared" si="103"/>
        <v>0</v>
      </c>
      <c r="R714" s="200">
        <f t="shared" si="104"/>
        <v>0</v>
      </c>
      <c r="S714" s="200">
        <f t="shared" si="105"/>
        <v>0</v>
      </c>
      <c r="U714" s="236">
        <v>12</v>
      </c>
    </row>
    <row r="715" spans="1:21" s="236" customFormat="1" ht="24.95" customHeight="1">
      <c r="A715" s="239" t="s">
        <v>459</v>
      </c>
      <c r="B715" s="211" t="s">
        <v>460</v>
      </c>
      <c r="C715" s="240"/>
      <c r="D715" s="239"/>
      <c r="E715" s="203"/>
      <c r="F715" s="234"/>
      <c r="G715" s="234"/>
      <c r="H715" s="234"/>
      <c r="I715" s="234"/>
      <c r="J715" s="234"/>
      <c r="K715" s="234"/>
      <c r="L715" s="235">
        <f t="shared" ref="L715:L778" si="106">(((F715+G715+H715+I715+J715)-C715*K715*2)/1000)</f>
        <v>0</v>
      </c>
      <c r="M715" s="200">
        <f t="shared" ref="M715:M778" si="107">+IF(C715=8,D715*E715*L715,0)</f>
        <v>0</v>
      </c>
      <c r="N715" s="200">
        <f t="shared" ref="N715:N781" si="108">+IF(C715=10,D715*E715*L715,0)</f>
        <v>0</v>
      </c>
      <c r="O715" s="200">
        <f t="shared" ref="O715:O781" si="109">+IF(C715=12,D715*E715*L715,0)</f>
        <v>0</v>
      </c>
      <c r="P715" s="200">
        <f t="shared" ref="P715:P781" si="110">+IF(C715=16,D715*E715*L715,0)</f>
        <v>0</v>
      </c>
      <c r="Q715" s="200">
        <f t="shared" ref="Q715:Q781" si="111">+IF(C715=20,D715*E715*L715,0)</f>
        <v>0</v>
      </c>
      <c r="R715" s="200">
        <f t="shared" ref="R715:R781" si="112">+IF(C715=25,D715*E715*L715,0)</f>
        <v>0</v>
      </c>
      <c r="S715" s="200">
        <f t="shared" ref="S715:S781" si="113">+IF(C715=32,D715*E715*L715,0)</f>
        <v>0</v>
      </c>
    </row>
    <row r="716" spans="1:21" s="236" customFormat="1" ht="24.95" customHeight="1">
      <c r="A716" s="239">
        <v>1</v>
      </c>
      <c r="B716" s="239" t="s">
        <v>392</v>
      </c>
      <c r="C716" s="240">
        <v>10</v>
      </c>
      <c r="D716" s="239">
        <v>2</v>
      </c>
      <c r="E716" s="203">
        <v>2</v>
      </c>
      <c r="F716" s="241">
        <v>100</v>
      </c>
      <c r="G716" s="234"/>
      <c r="H716" s="234">
        <v>5505</v>
      </c>
      <c r="I716" s="234"/>
      <c r="J716" s="241">
        <v>100</v>
      </c>
      <c r="K716" s="234">
        <v>2</v>
      </c>
      <c r="L716" s="235">
        <f t="shared" si="106"/>
        <v>5.665</v>
      </c>
      <c r="M716" s="200">
        <f t="shared" si="107"/>
        <v>0</v>
      </c>
      <c r="N716" s="200">
        <f t="shared" si="108"/>
        <v>22.66</v>
      </c>
      <c r="O716" s="200">
        <f t="shared" si="109"/>
        <v>0</v>
      </c>
      <c r="P716" s="200">
        <f t="shared" si="110"/>
        <v>0</v>
      </c>
      <c r="Q716" s="200">
        <f t="shared" si="111"/>
        <v>0</v>
      </c>
      <c r="R716" s="200">
        <f t="shared" si="112"/>
        <v>0</v>
      </c>
      <c r="S716" s="200">
        <f t="shared" si="113"/>
        <v>0</v>
      </c>
    </row>
    <row r="717" spans="1:21" s="236" customFormat="1" ht="24.95" customHeight="1">
      <c r="A717" s="239"/>
      <c r="B717" s="239" t="s">
        <v>393</v>
      </c>
      <c r="C717" s="240">
        <v>10</v>
      </c>
      <c r="D717" s="239">
        <v>2</v>
      </c>
      <c r="E717" s="203">
        <v>2</v>
      </c>
      <c r="F717" s="241">
        <v>100</v>
      </c>
      <c r="G717" s="234"/>
      <c r="H717" s="234">
        <v>5505</v>
      </c>
      <c r="I717" s="234"/>
      <c r="J717" s="241">
        <v>100</v>
      </c>
      <c r="K717" s="234">
        <v>2</v>
      </c>
      <c r="L717" s="235">
        <f t="shared" si="106"/>
        <v>5.665</v>
      </c>
      <c r="M717" s="200">
        <f t="shared" si="107"/>
        <v>0</v>
      </c>
      <c r="N717" s="200">
        <f t="shared" si="108"/>
        <v>22.66</v>
      </c>
      <c r="O717" s="200">
        <f t="shared" si="109"/>
        <v>0</v>
      </c>
      <c r="P717" s="200">
        <f t="shared" si="110"/>
        <v>0</v>
      </c>
      <c r="Q717" s="200">
        <f t="shared" si="111"/>
        <v>0</v>
      </c>
      <c r="R717" s="200">
        <f t="shared" si="112"/>
        <v>0</v>
      </c>
      <c r="S717" s="200">
        <f t="shared" si="113"/>
        <v>0</v>
      </c>
    </row>
    <row r="718" spans="1:21" s="236" customFormat="1" ht="24.95" customHeight="1">
      <c r="A718" s="239"/>
      <c r="B718" s="239" t="s">
        <v>394</v>
      </c>
      <c r="C718" s="240">
        <v>8</v>
      </c>
      <c r="D718" s="239">
        <v>2</v>
      </c>
      <c r="E718" s="203">
        <f>(H716/200)+1</f>
        <v>28.524999999999999</v>
      </c>
      <c r="F718" s="234"/>
      <c r="G718" s="234"/>
      <c r="H718" s="234">
        <v>820</v>
      </c>
      <c r="I718" s="234"/>
      <c r="J718" s="234"/>
      <c r="K718" s="241">
        <v>5</v>
      </c>
      <c r="L718" s="235">
        <f t="shared" si="106"/>
        <v>0.74</v>
      </c>
      <c r="M718" s="200">
        <f t="shared" si="107"/>
        <v>42.216999999999999</v>
      </c>
      <c r="N718" s="200">
        <f t="shared" si="108"/>
        <v>0</v>
      </c>
      <c r="O718" s="200">
        <f t="shared" si="109"/>
        <v>0</v>
      </c>
      <c r="P718" s="200">
        <f t="shared" si="110"/>
        <v>0</v>
      </c>
      <c r="Q718" s="200">
        <f t="shared" si="111"/>
        <v>0</v>
      </c>
      <c r="R718" s="200">
        <f t="shared" si="112"/>
        <v>0</v>
      </c>
      <c r="S718" s="200">
        <f t="shared" si="113"/>
        <v>0</v>
      </c>
    </row>
    <row r="719" spans="1:21" s="236" customFormat="1" ht="24.95" customHeight="1">
      <c r="A719" s="239">
        <v>2</v>
      </c>
      <c r="B719" s="239" t="s">
        <v>392</v>
      </c>
      <c r="C719" s="240">
        <v>10</v>
      </c>
      <c r="D719" s="239">
        <v>2</v>
      </c>
      <c r="E719" s="203">
        <v>2</v>
      </c>
      <c r="F719" s="241">
        <v>100</v>
      </c>
      <c r="G719" s="234"/>
      <c r="H719" s="234">
        <v>1675</v>
      </c>
      <c r="I719" s="234"/>
      <c r="J719" s="241">
        <v>100</v>
      </c>
      <c r="K719" s="234">
        <v>2</v>
      </c>
      <c r="L719" s="235">
        <f t="shared" si="106"/>
        <v>1.835</v>
      </c>
      <c r="M719" s="200">
        <f t="shared" si="107"/>
        <v>0</v>
      </c>
      <c r="N719" s="200">
        <f t="shared" si="108"/>
        <v>7.34</v>
      </c>
      <c r="O719" s="200">
        <f t="shared" si="109"/>
        <v>0</v>
      </c>
      <c r="P719" s="200">
        <f t="shared" si="110"/>
        <v>0</v>
      </c>
      <c r="Q719" s="200">
        <f t="shared" si="111"/>
        <v>0</v>
      </c>
      <c r="R719" s="200">
        <f t="shared" si="112"/>
        <v>0</v>
      </c>
      <c r="S719" s="200">
        <f t="shared" si="113"/>
        <v>0</v>
      </c>
    </row>
    <row r="720" spans="1:21" s="236" customFormat="1" ht="24.95" customHeight="1">
      <c r="A720" s="239"/>
      <c r="B720" s="239" t="s">
        <v>393</v>
      </c>
      <c r="C720" s="240">
        <v>10</v>
      </c>
      <c r="D720" s="239">
        <v>2</v>
      </c>
      <c r="E720" s="203">
        <v>2</v>
      </c>
      <c r="F720" s="241">
        <v>100</v>
      </c>
      <c r="G720" s="234"/>
      <c r="H720" s="234">
        <v>1675</v>
      </c>
      <c r="I720" s="234"/>
      <c r="J720" s="241">
        <v>100</v>
      </c>
      <c r="K720" s="234">
        <v>2</v>
      </c>
      <c r="L720" s="235">
        <f t="shared" si="106"/>
        <v>1.835</v>
      </c>
      <c r="M720" s="200">
        <f t="shared" si="107"/>
        <v>0</v>
      </c>
      <c r="N720" s="200">
        <f t="shared" si="108"/>
        <v>7.34</v>
      </c>
      <c r="O720" s="200">
        <f t="shared" si="109"/>
        <v>0</v>
      </c>
      <c r="P720" s="200">
        <f t="shared" si="110"/>
        <v>0</v>
      </c>
      <c r="Q720" s="200">
        <f t="shared" si="111"/>
        <v>0</v>
      </c>
      <c r="R720" s="200">
        <f t="shared" si="112"/>
        <v>0</v>
      </c>
      <c r="S720" s="200">
        <f t="shared" si="113"/>
        <v>0</v>
      </c>
    </row>
    <row r="721" spans="1:19" s="236" customFormat="1" ht="24.95" customHeight="1">
      <c r="A721" s="239"/>
      <c r="B721" s="239" t="s">
        <v>394</v>
      </c>
      <c r="C721" s="240">
        <v>8</v>
      </c>
      <c r="D721" s="239">
        <v>2</v>
      </c>
      <c r="E721" s="203">
        <f>(H719/200)+1</f>
        <v>9.375</v>
      </c>
      <c r="F721" s="234"/>
      <c r="G721" s="234"/>
      <c r="H721" s="234">
        <v>820</v>
      </c>
      <c r="I721" s="234"/>
      <c r="J721" s="234"/>
      <c r="K721" s="241">
        <v>5</v>
      </c>
      <c r="L721" s="235">
        <f t="shared" si="106"/>
        <v>0.74</v>
      </c>
      <c r="M721" s="200">
        <f t="shared" si="107"/>
        <v>13.875</v>
      </c>
      <c r="N721" s="200">
        <f t="shared" si="108"/>
        <v>0</v>
      </c>
      <c r="O721" s="200">
        <f t="shared" si="109"/>
        <v>0</v>
      </c>
      <c r="P721" s="200">
        <f t="shared" si="110"/>
        <v>0</v>
      </c>
      <c r="Q721" s="200">
        <f t="shared" si="111"/>
        <v>0</v>
      </c>
      <c r="R721" s="200">
        <f t="shared" si="112"/>
        <v>0</v>
      </c>
      <c r="S721" s="200">
        <f t="shared" si="113"/>
        <v>0</v>
      </c>
    </row>
    <row r="722" spans="1:19" s="236" customFormat="1" ht="24.95" customHeight="1">
      <c r="A722" s="239">
        <v>3</v>
      </c>
      <c r="B722" s="239" t="s">
        <v>392</v>
      </c>
      <c r="C722" s="240">
        <v>10</v>
      </c>
      <c r="D722" s="239">
        <v>2</v>
      </c>
      <c r="E722" s="203">
        <v>2</v>
      </c>
      <c r="F722" s="241">
        <v>100</v>
      </c>
      <c r="G722" s="234"/>
      <c r="H722" s="234">
        <v>6330</v>
      </c>
      <c r="I722" s="234"/>
      <c r="J722" s="241">
        <v>100</v>
      </c>
      <c r="K722" s="234">
        <v>2</v>
      </c>
      <c r="L722" s="235">
        <f t="shared" si="106"/>
        <v>6.49</v>
      </c>
      <c r="M722" s="200">
        <f t="shared" si="107"/>
        <v>0</v>
      </c>
      <c r="N722" s="200">
        <f t="shared" si="108"/>
        <v>25.96</v>
      </c>
      <c r="O722" s="200">
        <f t="shared" si="109"/>
        <v>0</v>
      </c>
      <c r="P722" s="200">
        <f t="shared" si="110"/>
        <v>0</v>
      </c>
      <c r="Q722" s="200">
        <f t="shared" si="111"/>
        <v>0</v>
      </c>
      <c r="R722" s="200">
        <f t="shared" si="112"/>
        <v>0</v>
      </c>
      <c r="S722" s="200">
        <f t="shared" si="113"/>
        <v>0</v>
      </c>
    </row>
    <row r="723" spans="1:19" s="236" customFormat="1" ht="24.95" customHeight="1">
      <c r="A723" s="239"/>
      <c r="B723" s="239" t="s">
        <v>393</v>
      </c>
      <c r="C723" s="240">
        <v>10</v>
      </c>
      <c r="D723" s="239">
        <v>2</v>
      </c>
      <c r="E723" s="203">
        <v>2</v>
      </c>
      <c r="F723" s="241">
        <v>100</v>
      </c>
      <c r="G723" s="234"/>
      <c r="H723" s="234">
        <v>6330</v>
      </c>
      <c r="I723" s="234"/>
      <c r="J723" s="241">
        <v>100</v>
      </c>
      <c r="K723" s="234">
        <v>2</v>
      </c>
      <c r="L723" s="235">
        <f t="shared" si="106"/>
        <v>6.49</v>
      </c>
      <c r="M723" s="200">
        <f t="shared" si="107"/>
        <v>0</v>
      </c>
      <c r="N723" s="200">
        <f t="shared" si="108"/>
        <v>25.96</v>
      </c>
      <c r="O723" s="200">
        <f t="shared" si="109"/>
        <v>0</v>
      </c>
      <c r="P723" s="200">
        <f t="shared" si="110"/>
        <v>0</v>
      </c>
      <c r="Q723" s="200">
        <f t="shared" si="111"/>
        <v>0</v>
      </c>
      <c r="R723" s="200">
        <f t="shared" si="112"/>
        <v>0</v>
      </c>
      <c r="S723" s="200">
        <f t="shared" si="113"/>
        <v>0</v>
      </c>
    </row>
    <row r="724" spans="1:19" s="236" customFormat="1" ht="24.95" customHeight="1">
      <c r="A724" s="239"/>
      <c r="B724" s="239" t="s">
        <v>394</v>
      </c>
      <c r="C724" s="240">
        <v>8</v>
      </c>
      <c r="D724" s="239">
        <v>2</v>
      </c>
      <c r="E724" s="203">
        <f>(H722/200)+1</f>
        <v>32.65</v>
      </c>
      <c r="F724" s="234"/>
      <c r="G724" s="234"/>
      <c r="H724" s="234">
        <v>820</v>
      </c>
      <c r="I724" s="234"/>
      <c r="J724" s="234"/>
      <c r="K724" s="241">
        <v>5</v>
      </c>
      <c r="L724" s="235">
        <f t="shared" si="106"/>
        <v>0.74</v>
      </c>
      <c r="M724" s="200">
        <f t="shared" si="107"/>
        <v>48.321999999999996</v>
      </c>
      <c r="N724" s="200">
        <f t="shared" si="108"/>
        <v>0</v>
      </c>
      <c r="O724" s="200">
        <f t="shared" si="109"/>
        <v>0</v>
      </c>
      <c r="P724" s="200">
        <f t="shared" si="110"/>
        <v>0</v>
      </c>
      <c r="Q724" s="200">
        <f t="shared" si="111"/>
        <v>0</v>
      </c>
      <c r="R724" s="200">
        <f t="shared" si="112"/>
        <v>0</v>
      </c>
      <c r="S724" s="200">
        <f t="shared" si="113"/>
        <v>0</v>
      </c>
    </row>
    <row r="725" spans="1:19" s="236" customFormat="1" ht="24.95" customHeight="1">
      <c r="A725" s="239">
        <v>4</v>
      </c>
      <c r="B725" s="239" t="s">
        <v>392</v>
      </c>
      <c r="C725" s="240">
        <v>10</v>
      </c>
      <c r="D725" s="239">
        <v>2</v>
      </c>
      <c r="E725" s="203">
        <v>2</v>
      </c>
      <c r="F725" s="241">
        <v>100</v>
      </c>
      <c r="G725" s="234"/>
      <c r="H725" s="234">
        <v>1675</v>
      </c>
      <c r="I725" s="234"/>
      <c r="J725" s="241">
        <v>100</v>
      </c>
      <c r="K725" s="234">
        <v>2</v>
      </c>
      <c r="L725" s="235">
        <f t="shared" si="106"/>
        <v>1.835</v>
      </c>
      <c r="M725" s="200">
        <f t="shared" si="107"/>
        <v>0</v>
      </c>
      <c r="N725" s="200">
        <f t="shared" si="108"/>
        <v>7.34</v>
      </c>
      <c r="O725" s="200">
        <f t="shared" si="109"/>
        <v>0</v>
      </c>
      <c r="P725" s="200">
        <f t="shared" si="110"/>
        <v>0</v>
      </c>
      <c r="Q725" s="200">
        <f t="shared" si="111"/>
        <v>0</v>
      </c>
      <c r="R725" s="200">
        <f t="shared" si="112"/>
        <v>0</v>
      </c>
      <c r="S725" s="200">
        <f t="shared" si="113"/>
        <v>0</v>
      </c>
    </row>
    <row r="726" spans="1:19" s="236" customFormat="1" ht="24.95" customHeight="1">
      <c r="A726" s="239"/>
      <c r="B726" s="239" t="s">
        <v>393</v>
      </c>
      <c r="C726" s="240">
        <v>10</v>
      </c>
      <c r="D726" s="239">
        <v>2</v>
      </c>
      <c r="E726" s="203">
        <v>2</v>
      </c>
      <c r="F726" s="241">
        <v>100</v>
      </c>
      <c r="G726" s="234"/>
      <c r="H726" s="234">
        <v>1675</v>
      </c>
      <c r="I726" s="234"/>
      <c r="J726" s="241">
        <v>100</v>
      </c>
      <c r="K726" s="234">
        <v>2</v>
      </c>
      <c r="L726" s="235">
        <f t="shared" si="106"/>
        <v>1.835</v>
      </c>
      <c r="M726" s="200">
        <f t="shared" si="107"/>
        <v>0</v>
      </c>
      <c r="N726" s="200">
        <f t="shared" si="108"/>
        <v>7.34</v>
      </c>
      <c r="O726" s="200">
        <f t="shared" si="109"/>
        <v>0</v>
      </c>
      <c r="P726" s="200">
        <f t="shared" si="110"/>
        <v>0</v>
      </c>
      <c r="Q726" s="200">
        <f t="shared" si="111"/>
        <v>0</v>
      </c>
      <c r="R726" s="200">
        <f t="shared" si="112"/>
        <v>0</v>
      </c>
      <c r="S726" s="200">
        <f t="shared" si="113"/>
        <v>0</v>
      </c>
    </row>
    <row r="727" spans="1:19" s="236" customFormat="1" ht="24.95" customHeight="1">
      <c r="A727" s="239"/>
      <c r="B727" s="239" t="s">
        <v>394</v>
      </c>
      <c r="C727" s="240">
        <v>8</v>
      </c>
      <c r="D727" s="239">
        <v>2</v>
      </c>
      <c r="E727" s="203">
        <f>(H725/200)+1</f>
        <v>9.375</v>
      </c>
      <c r="F727" s="234"/>
      <c r="G727" s="234"/>
      <c r="H727" s="234">
        <v>820</v>
      </c>
      <c r="I727" s="234"/>
      <c r="J727" s="234"/>
      <c r="K727" s="241">
        <v>5</v>
      </c>
      <c r="L727" s="235">
        <f t="shared" si="106"/>
        <v>0.74</v>
      </c>
      <c r="M727" s="200">
        <f t="shared" si="107"/>
        <v>13.875</v>
      </c>
      <c r="N727" s="200">
        <f t="shared" si="108"/>
        <v>0</v>
      </c>
      <c r="O727" s="200">
        <f t="shared" si="109"/>
        <v>0</v>
      </c>
      <c r="P727" s="200">
        <f t="shared" si="110"/>
        <v>0</v>
      </c>
      <c r="Q727" s="200">
        <f t="shared" si="111"/>
        <v>0</v>
      </c>
      <c r="R727" s="200">
        <f t="shared" si="112"/>
        <v>0</v>
      </c>
      <c r="S727" s="200">
        <f t="shared" si="113"/>
        <v>0</v>
      </c>
    </row>
    <row r="728" spans="1:19" s="236" customFormat="1" ht="24.95" customHeight="1">
      <c r="A728" s="237">
        <v>13</v>
      </c>
      <c r="B728" s="238" t="s">
        <v>461</v>
      </c>
      <c r="C728" s="240"/>
      <c r="D728" s="239"/>
      <c r="E728" s="203"/>
      <c r="F728" s="234"/>
      <c r="G728" s="234"/>
      <c r="H728" s="234"/>
      <c r="I728" s="234"/>
      <c r="J728" s="234"/>
      <c r="K728" s="234"/>
      <c r="L728" s="235">
        <f t="shared" si="106"/>
        <v>0</v>
      </c>
      <c r="M728" s="200">
        <f t="shared" si="107"/>
        <v>0</v>
      </c>
      <c r="N728" s="200">
        <f t="shared" si="108"/>
        <v>0</v>
      </c>
      <c r="O728" s="200">
        <f t="shared" si="109"/>
        <v>0</v>
      </c>
      <c r="P728" s="200">
        <f t="shared" si="110"/>
        <v>0</v>
      </c>
      <c r="Q728" s="200">
        <f t="shared" si="111"/>
        <v>0</v>
      </c>
      <c r="R728" s="200">
        <f t="shared" si="112"/>
        <v>0</v>
      </c>
      <c r="S728" s="200">
        <f t="shared" si="113"/>
        <v>0</v>
      </c>
    </row>
    <row r="729" spans="1:19" s="236" customFormat="1" ht="24.95" customHeight="1">
      <c r="A729" s="209" t="s">
        <v>462</v>
      </c>
      <c r="B729" s="209" t="s">
        <v>463</v>
      </c>
      <c r="C729" s="240"/>
      <c r="D729" s="239">
        <v>2</v>
      </c>
      <c r="E729" s="203"/>
      <c r="F729" s="234"/>
      <c r="G729" s="234"/>
      <c r="H729" s="234"/>
      <c r="I729" s="234"/>
      <c r="J729" s="234"/>
      <c r="K729" s="234">
        <v>0</v>
      </c>
      <c r="L729" s="235">
        <f t="shared" si="106"/>
        <v>0</v>
      </c>
      <c r="M729" s="200">
        <f t="shared" si="107"/>
        <v>0</v>
      </c>
      <c r="N729" s="200">
        <f t="shared" si="108"/>
        <v>0</v>
      </c>
      <c r="O729" s="200">
        <f t="shared" si="109"/>
        <v>0</v>
      </c>
      <c r="P729" s="200">
        <f t="shared" si="110"/>
        <v>0</v>
      </c>
      <c r="Q729" s="200">
        <f t="shared" si="111"/>
        <v>0</v>
      </c>
      <c r="R729" s="200">
        <f t="shared" si="112"/>
        <v>0</v>
      </c>
      <c r="S729" s="200">
        <f t="shared" si="113"/>
        <v>0</v>
      </c>
    </row>
    <row r="730" spans="1:19" s="236" customFormat="1" ht="24.95" customHeight="1">
      <c r="A730" s="239"/>
      <c r="B730" s="239" t="s">
        <v>464</v>
      </c>
      <c r="C730" s="240"/>
      <c r="D730" s="239"/>
      <c r="E730" s="203"/>
      <c r="F730" s="234"/>
      <c r="G730" s="234"/>
      <c r="H730" s="234"/>
      <c r="I730" s="234"/>
      <c r="J730" s="234"/>
      <c r="K730" s="234">
        <v>0</v>
      </c>
      <c r="L730" s="235">
        <f t="shared" si="106"/>
        <v>0</v>
      </c>
      <c r="M730" s="200">
        <f t="shared" si="107"/>
        <v>0</v>
      </c>
      <c r="N730" s="200">
        <f t="shared" si="108"/>
        <v>0</v>
      </c>
      <c r="O730" s="200">
        <f t="shared" si="109"/>
        <v>0</v>
      </c>
      <c r="P730" s="200">
        <f t="shared" si="110"/>
        <v>0</v>
      </c>
      <c r="Q730" s="200">
        <f t="shared" si="111"/>
        <v>0</v>
      </c>
      <c r="R730" s="200">
        <f t="shared" si="112"/>
        <v>0</v>
      </c>
      <c r="S730" s="200">
        <f t="shared" si="113"/>
        <v>0</v>
      </c>
    </row>
    <row r="731" spans="1:19" s="236" customFormat="1" ht="24.95" customHeight="1">
      <c r="A731" s="239"/>
      <c r="B731" s="239" t="s">
        <v>465</v>
      </c>
      <c r="C731" s="240">
        <v>8</v>
      </c>
      <c r="D731" s="239">
        <v>2</v>
      </c>
      <c r="E731" s="203">
        <f>(4700/150)+1</f>
        <v>32.333333333333329</v>
      </c>
      <c r="F731" s="234">
        <v>200</v>
      </c>
      <c r="G731" s="234"/>
      <c r="H731" s="234">
        <v>1200</v>
      </c>
      <c r="I731" s="234"/>
      <c r="J731" s="234">
        <v>200</v>
      </c>
      <c r="K731" s="234">
        <v>2</v>
      </c>
      <c r="L731" s="235">
        <f t="shared" si="106"/>
        <v>1.5680000000000001</v>
      </c>
      <c r="M731" s="200">
        <f t="shared" si="107"/>
        <v>101.39733333333332</v>
      </c>
      <c r="N731" s="200">
        <f t="shared" si="108"/>
        <v>0</v>
      </c>
      <c r="O731" s="200">
        <f t="shared" si="109"/>
        <v>0</v>
      </c>
      <c r="P731" s="200">
        <f t="shared" si="110"/>
        <v>0</v>
      </c>
      <c r="Q731" s="200">
        <f t="shared" si="111"/>
        <v>0</v>
      </c>
      <c r="R731" s="200">
        <f t="shared" si="112"/>
        <v>0</v>
      </c>
      <c r="S731" s="200">
        <f t="shared" si="113"/>
        <v>0</v>
      </c>
    </row>
    <row r="732" spans="1:19" s="236" customFormat="1" ht="24.95" customHeight="1">
      <c r="A732" s="239"/>
      <c r="B732" s="239" t="s">
        <v>466</v>
      </c>
      <c r="C732" s="240">
        <v>8</v>
      </c>
      <c r="D732" s="239">
        <v>2</v>
      </c>
      <c r="E732" s="203">
        <f>(1200/200)+1</f>
        <v>7</v>
      </c>
      <c r="F732" s="234">
        <v>200</v>
      </c>
      <c r="G732" s="234"/>
      <c r="H732" s="234">
        <v>4700</v>
      </c>
      <c r="I732" s="234"/>
      <c r="J732" s="234">
        <v>200</v>
      </c>
      <c r="K732" s="234">
        <v>2</v>
      </c>
      <c r="L732" s="235">
        <f t="shared" si="106"/>
        <v>5.0679999999999996</v>
      </c>
      <c r="M732" s="200">
        <f t="shared" si="107"/>
        <v>70.951999999999998</v>
      </c>
      <c r="N732" s="200">
        <f t="shared" si="108"/>
        <v>0</v>
      </c>
      <c r="O732" s="200">
        <f t="shared" si="109"/>
        <v>0</v>
      </c>
      <c r="P732" s="200">
        <f t="shared" si="110"/>
        <v>0</v>
      </c>
      <c r="Q732" s="200">
        <f t="shared" si="111"/>
        <v>0</v>
      </c>
      <c r="R732" s="200">
        <f t="shared" si="112"/>
        <v>0</v>
      </c>
      <c r="S732" s="200">
        <f t="shared" si="113"/>
        <v>0</v>
      </c>
    </row>
    <row r="733" spans="1:19" s="236" customFormat="1" ht="24.95" customHeight="1">
      <c r="A733" s="239"/>
      <c r="B733" s="239" t="s">
        <v>467</v>
      </c>
      <c r="C733" s="240"/>
      <c r="D733" s="239"/>
      <c r="E733" s="203"/>
      <c r="F733" s="234"/>
      <c r="G733" s="234"/>
      <c r="H733" s="234"/>
      <c r="I733" s="234"/>
      <c r="J733" s="234"/>
      <c r="K733" s="234">
        <v>0</v>
      </c>
      <c r="L733" s="235">
        <f t="shared" si="106"/>
        <v>0</v>
      </c>
      <c r="M733" s="200">
        <f t="shared" si="107"/>
        <v>0</v>
      </c>
      <c r="N733" s="200">
        <f t="shared" si="108"/>
        <v>0</v>
      </c>
      <c r="O733" s="200">
        <f t="shared" si="109"/>
        <v>0</v>
      </c>
      <c r="P733" s="200">
        <f t="shared" si="110"/>
        <v>0</v>
      </c>
      <c r="Q733" s="200">
        <f t="shared" si="111"/>
        <v>0</v>
      </c>
      <c r="R733" s="200">
        <f t="shared" si="112"/>
        <v>0</v>
      </c>
      <c r="S733" s="200">
        <f t="shared" si="113"/>
        <v>0</v>
      </c>
    </row>
    <row r="734" spans="1:19" s="236" customFormat="1" ht="24.95" customHeight="1">
      <c r="A734" s="239"/>
      <c r="B734" s="239" t="s">
        <v>465</v>
      </c>
      <c r="C734" s="240">
        <v>8</v>
      </c>
      <c r="D734" s="239">
        <v>2</v>
      </c>
      <c r="E734" s="203">
        <f>(4700/150)+1</f>
        <v>32.333333333333329</v>
      </c>
      <c r="F734" s="234">
        <v>200</v>
      </c>
      <c r="G734" s="234"/>
      <c r="H734" s="234">
        <v>1200</v>
      </c>
      <c r="I734" s="234"/>
      <c r="J734" s="234">
        <v>200</v>
      </c>
      <c r="K734" s="234">
        <v>2</v>
      </c>
      <c r="L734" s="235">
        <f t="shared" si="106"/>
        <v>1.5680000000000001</v>
      </c>
      <c r="M734" s="200">
        <f t="shared" si="107"/>
        <v>101.39733333333332</v>
      </c>
      <c r="N734" s="200">
        <f t="shared" si="108"/>
        <v>0</v>
      </c>
      <c r="O734" s="200">
        <f t="shared" si="109"/>
        <v>0</v>
      </c>
      <c r="P734" s="200">
        <f t="shared" si="110"/>
        <v>0</v>
      </c>
      <c r="Q734" s="200">
        <f t="shared" si="111"/>
        <v>0</v>
      </c>
      <c r="R734" s="200">
        <f t="shared" si="112"/>
        <v>0</v>
      </c>
      <c r="S734" s="200">
        <f t="shared" si="113"/>
        <v>0</v>
      </c>
    </row>
    <row r="735" spans="1:19" s="236" customFormat="1" ht="24.95" customHeight="1">
      <c r="A735" s="239"/>
      <c r="B735" s="239" t="s">
        <v>466</v>
      </c>
      <c r="C735" s="240">
        <v>8</v>
      </c>
      <c r="D735" s="239">
        <v>2</v>
      </c>
      <c r="E735" s="203">
        <f>(1200/200)+1</f>
        <v>7</v>
      </c>
      <c r="F735" s="234">
        <v>200</v>
      </c>
      <c r="G735" s="234"/>
      <c r="H735" s="234">
        <v>4700</v>
      </c>
      <c r="I735" s="234"/>
      <c r="J735" s="234">
        <v>200</v>
      </c>
      <c r="K735" s="234">
        <v>2</v>
      </c>
      <c r="L735" s="235">
        <f t="shared" si="106"/>
        <v>5.0679999999999996</v>
      </c>
      <c r="M735" s="200">
        <f t="shared" si="107"/>
        <v>70.951999999999998</v>
      </c>
      <c r="N735" s="200">
        <f t="shared" si="108"/>
        <v>0</v>
      </c>
      <c r="O735" s="200">
        <f t="shared" si="109"/>
        <v>0</v>
      </c>
      <c r="P735" s="200">
        <f t="shared" si="110"/>
        <v>0</v>
      </c>
      <c r="Q735" s="200">
        <f t="shared" si="111"/>
        <v>0</v>
      </c>
      <c r="R735" s="200">
        <f t="shared" si="112"/>
        <v>0</v>
      </c>
      <c r="S735" s="200">
        <f t="shared" si="113"/>
        <v>0</v>
      </c>
    </row>
    <row r="736" spans="1:19" s="236" customFormat="1" ht="24.95" customHeight="1">
      <c r="A736" s="239"/>
      <c r="B736" s="239" t="s">
        <v>468</v>
      </c>
      <c r="C736" s="240">
        <v>10</v>
      </c>
      <c r="D736" s="239">
        <v>2</v>
      </c>
      <c r="E736" s="203">
        <v>10</v>
      </c>
      <c r="F736" s="234">
        <v>300</v>
      </c>
      <c r="G736" s="234">
        <f>300-100-32</f>
        <v>168</v>
      </c>
      <c r="H736" s="234">
        <v>500</v>
      </c>
      <c r="I736" s="234">
        <f>300-100-32</f>
        <v>168</v>
      </c>
      <c r="J736" s="234">
        <v>300</v>
      </c>
      <c r="K736" s="241">
        <v>5</v>
      </c>
      <c r="L736" s="235">
        <f t="shared" si="106"/>
        <v>1.3360000000000001</v>
      </c>
      <c r="M736" s="200">
        <f t="shared" si="107"/>
        <v>0</v>
      </c>
      <c r="N736" s="200">
        <f t="shared" si="108"/>
        <v>26.720000000000002</v>
      </c>
      <c r="O736" s="200">
        <f t="shared" si="109"/>
        <v>0</v>
      </c>
      <c r="P736" s="200">
        <f t="shared" si="110"/>
        <v>0</v>
      </c>
      <c r="Q736" s="200">
        <f t="shared" si="111"/>
        <v>0</v>
      </c>
      <c r="R736" s="200">
        <f t="shared" si="112"/>
        <v>0</v>
      </c>
      <c r="S736" s="200">
        <f t="shared" si="113"/>
        <v>0</v>
      </c>
    </row>
    <row r="737" spans="1:19" s="236" customFormat="1" ht="24.95" customHeight="1">
      <c r="A737" s="209" t="s">
        <v>469</v>
      </c>
      <c r="B737" s="209" t="s">
        <v>470</v>
      </c>
      <c r="C737" s="240"/>
      <c r="D737" s="239"/>
      <c r="E737" s="203"/>
      <c r="F737" s="234"/>
      <c r="G737" s="234"/>
      <c r="H737" s="234"/>
      <c r="I737" s="234"/>
      <c r="J737" s="234"/>
      <c r="K737" s="234">
        <v>0</v>
      </c>
      <c r="L737" s="235">
        <f t="shared" si="106"/>
        <v>0</v>
      </c>
      <c r="M737" s="200">
        <f t="shared" si="107"/>
        <v>0</v>
      </c>
      <c r="N737" s="200">
        <f t="shared" si="108"/>
        <v>0</v>
      </c>
      <c r="O737" s="200">
        <f t="shared" si="109"/>
        <v>0</v>
      </c>
      <c r="P737" s="200">
        <f t="shared" si="110"/>
        <v>0</v>
      </c>
      <c r="Q737" s="200">
        <f t="shared" si="111"/>
        <v>0</v>
      </c>
      <c r="R737" s="200">
        <f t="shared" si="112"/>
        <v>0</v>
      </c>
      <c r="S737" s="200">
        <f t="shared" si="113"/>
        <v>0</v>
      </c>
    </row>
    <row r="738" spans="1:19" s="236" customFormat="1" ht="24.95" customHeight="1">
      <c r="A738" s="239"/>
      <c r="B738" s="239" t="s">
        <v>471</v>
      </c>
      <c r="C738" s="240">
        <v>8</v>
      </c>
      <c r="D738" s="239">
        <f>2*2*2</f>
        <v>8</v>
      </c>
      <c r="E738" s="203">
        <f>(4700/150)+1</f>
        <v>32.333333333333329</v>
      </c>
      <c r="F738" s="234">
        <v>300</v>
      </c>
      <c r="G738" s="234"/>
      <c r="H738" s="234">
        <v>1400</v>
      </c>
      <c r="I738" s="234"/>
      <c r="J738" s="234"/>
      <c r="K738" s="234">
        <v>1</v>
      </c>
      <c r="L738" s="235">
        <f t="shared" si="106"/>
        <v>1.6839999999999999</v>
      </c>
      <c r="M738" s="200">
        <f t="shared" si="107"/>
        <v>435.59466666666657</v>
      </c>
      <c r="N738" s="200">
        <f t="shared" si="108"/>
        <v>0</v>
      </c>
      <c r="O738" s="200">
        <f t="shared" si="109"/>
        <v>0</v>
      </c>
      <c r="P738" s="200">
        <f t="shared" si="110"/>
        <v>0</v>
      </c>
      <c r="Q738" s="200">
        <f t="shared" si="111"/>
        <v>0</v>
      </c>
      <c r="R738" s="200">
        <f t="shared" si="112"/>
        <v>0</v>
      </c>
      <c r="S738" s="200">
        <f t="shared" si="113"/>
        <v>0</v>
      </c>
    </row>
    <row r="739" spans="1:19" s="236" customFormat="1" ht="24.95" customHeight="1">
      <c r="A739" s="239"/>
      <c r="B739" s="239" t="s">
        <v>472</v>
      </c>
      <c r="C739" s="240">
        <v>8</v>
      </c>
      <c r="D739" s="239">
        <f>2*2*2</f>
        <v>8</v>
      </c>
      <c r="E739" s="203">
        <f>(1050/200)+1</f>
        <v>6.25</v>
      </c>
      <c r="F739" s="234">
        <v>400</v>
      </c>
      <c r="G739" s="234"/>
      <c r="H739" s="234">
        <v>4450</v>
      </c>
      <c r="I739" s="234"/>
      <c r="J739" s="234">
        <v>400</v>
      </c>
      <c r="K739" s="234">
        <v>2</v>
      </c>
      <c r="L739" s="235">
        <f t="shared" si="106"/>
        <v>5.218</v>
      </c>
      <c r="M739" s="200">
        <f t="shared" si="107"/>
        <v>260.89999999999998</v>
      </c>
      <c r="N739" s="200">
        <f t="shared" si="108"/>
        <v>0</v>
      </c>
      <c r="O739" s="200">
        <f t="shared" si="109"/>
        <v>0</v>
      </c>
      <c r="P739" s="200">
        <f t="shared" si="110"/>
        <v>0</v>
      </c>
      <c r="Q739" s="200">
        <f t="shared" si="111"/>
        <v>0</v>
      </c>
      <c r="R739" s="200">
        <f t="shared" si="112"/>
        <v>0</v>
      </c>
      <c r="S739" s="200">
        <f t="shared" si="113"/>
        <v>0</v>
      </c>
    </row>
    <row r="740" spans="1:19" s="236" customFormat="1" ht="24.95" customHeight="1">
      <c r="A740" s="239"/>
      <c r="B740" s="239"/>
      <c r="C740" s="240">
        <v>8</v>
      </c>
      <c r="D740" s="239">
        <f>2*2*2</f>
        <v>8</v>
      </c>
      <c r="E740" s="203">
        <f>(1050/200)+1</f>
        <v>6.25</v>
      </c>
      <c r="F740" s="234">
        <v>400</v>
      </c>
      <c r="G740" s="234"/>
      <c r="H740" s="234">
        <v>950</v>
      </c>
      <c r="I740" s="234"/>
      <c r="J740" s="234">
        <v>400</v>
      </c>
      <c r="K740" s="234">
        <v>2</v>
      </c>
      <c r="L740" s="235">
        <f t="shared" si="106"/>
        <v>1.718</v>
      </c>
      <c r="M740" s="200">
        <f t="shared" si="107"/>
        <v>85.9</v>
      </c>
      <c r="N740" s="200">
        <f t="shared" si="108"/>
        <v>0</v>
      </c>
      <c r="O740" s="200">
        <f t="shared" si="109"/>
        <v>0</v>
      </c>
      <c r="P740" s="200">
        <f t="shared" si="110"/>
        <v>0</v>
      </c>
      <c r="Q740" s="200">
        <f t="shared" si="111"/>
        <v>0</v>
      </c>
      <c r="R740" s="200">
        <f t="shared" si="112"/>
        <v>0</v>
      </c>
      <c r="S740" s="200">
        <f t="shared" si="113"/>
        <v>0</v>
      </c>
    </row>
    <row r="741" spans="1:19" s="236" customFormat="1" ht="24.95" customHeight="1">
      <c r="A741" s="239"/>
      <c r="B741" s="239" t="s">
        <v>473</v>
      </c>
      <c r="C741" s="240">
        <v>8</v>
      </c>
      <c r="D741" s="239">
        <f>2*2</f>
        <v>4</v>
      </c>
      <c r="E741" s="203">
        <v>20</v>
      </c>
      <c r="F741" s="234">
        <v>300</v>
      </c>
      <c r="G741" s="234"/>
      <c r="H741" s="234">
        <v>118</v>
      </c>
      <c r="I741" s="234"/>
      <c r="J741" s="234">
        <v>300</v>
      </c>
      <c r="K741" s="234">
        <v>2</v>
      </c>
      <c r="L741" s="235">
        <f t="shared" si="106"/>
        <v>0.68600000000000005</v>
      </c>
      <c r="M741" s="200">
        <f t="shared" si="107"/>
        <v>54.88</v>
      </c>
      <c r="N741" s="200">
        <f t="shared" si="108"/>
        <v>0</v>
      </c>
      <c r="O741" s="200">
        <f t="shared" si="109"/>
        <v>0</v>
      </c>
      <c r="P741" s="200">
        <f t="shared" si="110"/>
        <v>0</v>
      </c>
      <c r="Q741" s="200">
        <f t="shared" si="111"/>
        <v>0</v>
      </c>
      <c r="R741" s="200">
        <f t="shared" si="112"/>
        <v>0</v>
      </c>
      <c r="S741" s="200">
        <f t="shared" si="113"/>
        <v>0</v>
      </c>
    </row>
    <row r="742" spans="1:19" s="236" customFormat="1" ht="24.95" customHeight="1">
      <c r="A742" s="209" t="s">
        <v>474</v>
      </c>
      <c r="B742" s="209" t="s">
        <v>475</v>
      </c>
      <c r="C742" s="240"/>
      <c r="D742" s="239">
        <v>6</v>
      </c>
      <c r="E742" s="203"/>
      <c r="F742" s="234"/>
      <c r="G742" s="234"/>
      <c r="H742" s="234"/>
      <c r="I742" s="234"/>
      <c r="J742" s="234"/>
      <c r="K742" s="234">
        <v>0</v>
      </c>
      <c r="L742" s="235">
        <f t="shared" si="106"/>
        <v>0</v>
      </c>
      <c r="M742" s="200">
        <f t="shared" si="107"/>
        <v>0</v>
      </c>
      <c r="N742" s="200">
        <f t="shared" si="108"/>
        <v>0</v>
      </c>
      <c r="O742" s="200">
        <f t="shared" si="109"/>
        <v>0</v>
      </c>
      <c r="P742" s="200">
        <f t="shared" si="110"/>
        <v>0</v>
      </c>
      <c r="Q742" s="200">
        <f t="shared" si="111"/>
        <v>0</v>
      </c>
      <c r="R742" s="200">
        <f t="shared" si="112"/>
        <v>0</v>
      </c>
      <c r="S742" s="200">
        <f t="shared" si="113"/>
        <v>0</v>
      </c>
    </row>
    <row r="743" spans="1:19" s="236" customFormat="1" ht="24.95" customHeight="1">
      <c r="A743" s="239"/>
      <c r="B743" s="239" t="s">
        <v>464</v>
      </c>
      <c r="C743" s="240"/>
      <c r="D743" s="239"/>
      <c r="E743" s="203"/>
      <c r="F743" s="234"/>
      <c r="G743" s="234"/>
      <c r="H743" s="234"/>
      <c r="I743" s="234"/>
      <c r="J743" s="234"/>
      <c r="K743" s="234">
        <v>0</v>
      </c>
      <c r="L743" s="235">
        <f t="shared" si="106"/>
        <v>0</v>
      </c>
      <c r="M743" s="200">
        <f t="shared" si="107"/>
        <v>0</v>
      </c>
      <c r="N743" s="200">
        <f t="shared" si="108"/>
        <v>0</v>
      </c>
      <c r="O743" s="200">
        <f t="shared" si="109"/>
        <v>0</v>
      </c>
      <c r="P743" s="200">
        <f t="shared" si="110"/>
        <v>0</v>
      </c>
      <c r="Q743" s="200">
        <f t="shared" si="111"/>
        <v>0</v>
      </c>
      <c r="R743" s="200">
        <f t="shared" si="112"/>
        <v>0</v>
      </c>
      <c r="S743" s="200">
        <f t="shared" si="113"/>
        <v>0</v>
      </c>
    </row>
    <row r="744" spans="1:19" s="236" customFormat="1" ht="24.95" customHeight="1">
      <c r="A744" s="239"/>
      <c r="B744" s="239" t="s">
        <v>465</v>
      </c>
      <c r="C744" s="240">
        <v>8</v>
      </c>
      <c r="D744" s="239">
        <v>6</v>
      </c>
      <c r="E744" s="203">
        <f>(4700/150)+1</f>
        <v>32.333333333333329</v>
      </c>
      <c r="F744" s="241">
        <v>150</v>
      </c>
      <c r="G744" s="234"/>
      <c r="H744" s="234">
        <v>1050</v>
      </c>
      <c r="I744" s="234"/>
      <c r="J744" s="241">
        <v>150</v>
      </c>
      <c r="K744" s="234">
        <v>2</v>
      </c>
      <c r="L744" s="235">
        <f t="shared" si="106"/>
        <v>1.3180000000000001</v>
      </c>
      <c r="M744" s="200">
        <f t="shared" si="107"/>
        <v>255.69199999999998</v>
      </c>
      <c r="N744" s="200">
        <f t="shared" si="108"/>
        <v>0</v>
      </c>
      <c r="O744" s="200">
        <f t="shared" si="109"/>
        <v>0</v>
      </c>
      <c r="P744" s="200">
        <f t="shared" si="110"/>
        <v>0</v>
      </c>
      <c r="Q744" s="200">
        <f t="shared" si="111"/>
        <v>0</v>
      </c>
      <c r="R744" s="200">
        <f t="shared" si="112"/>
        <v>0</v>
      </c>
      <c r="S744" s="200">
        <f t="shared" si="113"/>
        <v>0</v>
      </c>
    </row>
    <row r="745" spans="1:19" s="236" customFormat="1" ht="24.95" customHeight="1">
      <c r="A745" s="239"/>
      <c r="B745" s="239" t="s">
        <v>466</v>
      </c>
      <c r="C745" s="240">
        <v>8</v>
      </c>
      <c r="D745" s="239">
        <v>6</v>
      </c>
      <c r="E745" s="203">
        <f>(1150/200)+1</f>
        <v>6.75</v>
      </c>
      <c r="F745" s="241">
        <v>150</v>
      </c>
      <c r="G745" s="234"/>
      <c r="H745" s="234">
        <v>4700</v>
      </c>
      <c r="I745" s="234"/>
      <c r="J745" s="241">
        <v>150</v>
      </c>
      <c r="K745" s="234">
        <v>2</v>
      </c>
      <c r="L745" s="235">
        <f t="shared" si="106"/>
        <v>4.968</v>
      </c>
      <c r="M745" s="200">
        <f t="shared" si="107"/>
        <v>201.20400000000001</v>
      </c>
      <c r="N745" s="200">
        <f t="shared" si="108"/>
        <v>0</v>
      </c>
      <c r="O745" s="200">
        <f t="shared" si="109"/>
        <v>0</v>
      </c>
      <c r="P745" s="200">
        <f t="shared" si="110"/>
        <v>0</v>
      </c>
      <c r="Q745" s="200">
        <f t="shared" si="111"/>
        <v>0</v>
      </c>
      <c r="R745" s="200">
        <f t="shared" si="112"/>
        <v>0</v>
      </c>
      <c r="S745" s="200">
        <f t="shared" si="113"/>
        <v>0</v>
      </c>
    </row>
    <row r="746" spans="1:19" s="236" customFormat="1" ht="24.95" customHeight="1">
      <c r="A746" s="239"/>
      <c r="B746" s="239" t="s">
        <v>467</v>
      </c>
      <c r="C746" s="240"/>
      <c r="D746" s="239"/>
      <c r="E746" s="203"/>
      <c r="F746" s="234"/>
      <c r="G746" s="234"/>
      <c r="H746" s="234"/>
      <c r="I746" s="234"/>
      <c r="J746" s="234"/>
      <c r="K746" s="234">
        <v>0</v>
      </c>
      <c r="L746" s="235">
        <f t="shared" si="106"/>
        <v>0</v>
      </c>
      <c r="M746" s="200">
        <f t="shared" si="107"/>
        <v>0</v>
      </c>
      <c r="N746" s="200">
        <f t="shared" si="108"/>
        <v>0</v>
      </c>
      <c r="O746" s="200">
        <f t="shared" si="109"/>
        <v>0</v>
      </c>
      <c r="P746" s="200">
        <f t="shared" si="110"/>
        <v>0</v>
      </c>
      <c r="Q746" s="200">
        <f t="shared" si="111"/>
        <v>0</v>
      </c>
      <c r="R746" s="200">
        <f t="shared" si="112"/>
        <v>0</v>
      </c>
      <c r="S746" s="200">
        <f t="shared" si="113"/>
        <v>0</v>
      </c>
    </row>
    <row r="747" spans="1:19" s="236" customFormat="1" ht="24.95" customHeight="1">
      <c r="A747" s="239"/>
      <c r="B747" s="239" t="s">
        <v>465</v>
      </c>
      <c r="C747" s="240">
        <v>8</v>
      </c>
      <c r="D747" s="239">
        <v>6</v>
      </c>
      <c r="E747" s="203">
        <f>(4700/150)+1</f>
        <v>32.333333333333329</v>
      </c>
      <c r="F747" s="241">
        <v>150</v>
      </c>
      <c r="G747" s="234"/>
      <c r="H747" s="234">
        <v>1050</v>
      </c>
      <c r="I747" s="234"/>
      <c r="J747" s="241">
        <v>150</v>
      </c>
      <c r="K747" s="234">
        <v>2</v>
      </c>
      <c r="L747" s="235">
        <f t="shared" si="106"/>
        <v>1.3180000000000001</v>
      </c>
      <c r="M747" s="200">
        <f t="shared" si="107"/>
        <v>255.69199999999998</v>
      </c>
      <c r="N747" s="200">
        <f t="shared" si="108"/>
        <v>0</v>
      </c>
      <c r="O747" s="200">
        <f t="shared" si="109"/>
        <v>0</v>
      </c>
      <c r="P747" s="200">
        <f t="shared" si="110"/>
        <v>0</v>
      </c>
      <c r="Q747" s="200">
        <f t="shared" si="111"/>
        <v>0</v>
      </c>
      <c r="R747" s="200">
        <f t="shared" si="112"/>
        <v>0</v>
      </c>
      <c r="S747" s="200">
        <f t="shared" si="113"/>
        <v>0</v>
      </c>
    </row>
    <row r="748" spans="1:19" s="236" customFormat="1" ht="24.95" customHeight="1">
      <c r="A748" s="239"/>
      <c r="B748" s="239" t="s">
        <v>466</v>
      </c>
      <c r="C748" s="240">
        <v>8</v>
      </c>
      <c r="D748" s="239">
        <v>6</v>
      </c>
      <c r="E748" s="203">
        <f>(1150/200)+1</f>
        <v>6.75</v>
      </c>
      <c r="F748" s="241">
        <v>150</v>
      </c>
      <c r="G748" s="234"/>
      <c r="H748" s="234">
        <v>4700</v>
      </c>
      <c r="I748" s="234"/>
      <c r="J748" s="241">
        <v>150</v>
      </c>
      <c r="K748" s="234">
        <v>2</v>
      </c>
      <c r="L748" s="235">
        <f t="shared" si="106"/>
        <v>4.968</v>
      </c>
      <c r="M748" s="200">
        <f t="shared" si="107"/>
        <v>201.20400000000001</v>
      </c>
      <c r="N748" s="200">
        <f t="shared" si="108"/>
        <v>0</v>
      </c>
      <c r="O748" s="200">
        <f t="shared" si="109"/>
        <v>0</v>
      </c>
      <c r="P748" s="200">
        <f t="shared" si="110"/>
        <v>0</v>
      </c>
      <c r="Q748" s="200">
        <f t="shared" si="111"/>
        <v>0</v>
      </c>
      <c r="R748" s="200">
        <f t="shared" si="112"/>
        <v>0</v>
      </c>
      <c r="S748" s="200">
        <f t="shared" si="113"/>
        <v>0</v>
      </c>
    </row>
    <row r="749" spans="1:19" s="236" customFormat="1" ht="24.95" customHeight="1">
      <c r="A749" s="239"/>
      <c r="B749" s="239" t="s">
        <v>468</v>
      </c>
      <c r="C749" s="240">
        <v>10</v>
      </c>
      <c r="D749" s="239">
        <v>6</v>
      </c>
      <c r="E749" s="203">
        <v>10</v>
      </c>
      <c r="F749" s="234">
        <v>300</v>
      </c>
      <c r="G749" s="234">
        <f>300-100-32</f>
        <v>168</v>
      </c>
      <c r="H749" s="234">
        <v>500</v>
      </c>
      <c r="I749" s="234">
        <f>300-100-32</f>
        <v>168</v>
      </c>
      <c r="J749" s="234">
        <v>300</v>
      </c>
      <c r="K749" s="241">
        <v>5</v>
      </c>
      <c r="L749" s="235">
        <f t="shared" si="106"/>
        <v>1.3360000000000001</v>
      </c>
      <c r="M749" s="200">
        <f t="shared" si="107"/>
        <v>0</v>
      </c>
      <c r="N749" s="200">
        <f t="shared" si="108"/>
        <v>80.160000000000011</v>
      </c>
      <c r="O749" s="200">
        <f t="shared" si="109"/>
        <v>0</v>
      </c>
      <c r="P749" s="200">
        <f t="shared" si="110"/>
        <v>0</v>
      </c>
      <c r="Q749" s="200">
        <f t="shared" si="111"/>
        <v>0</v>
      </c>
      <c r="R749" s="200">
        <f t="shared" si="112"/>
        <v>0</v>
      </c>
      <c r="S749" s="200">
        <f t="shared" si="113"/>
        <v>0</v>
      </c>
    </row>
    <row r="750" spans="1:19" s="236" customFormat="1" ht="24.95" customHeight="1">
      <c r="A750" s="209" t="s">
        <v>476</v>
      </c>
      <c r="B750" s="209" t="s">
        <v>470</v>
      </c>
      <c r="C750" s="240"/>
      <c r="D750" s="239"/>
      <c r="E750" s="203"/>
      <c r="F750" s="234"/>
      <c r="G750" s="234"/>
      <c r="H750" s="234"/>
      <c r="I750" s="234"/>
      <c r="J750" s="234"/>
      <c r="K750" s="234">
        <v>0</v>
      </c>
      <c r="L750" s="235">
        <f t="shared" si="106"/>
        <v>0</v>
      </c>
      <c r="M750" s="200">
        <f t="shared" si="107"/>
        <v>0</v>
      </c>
      <c r="N750" s="200">
        <f t="shared" si="108"/>
        <v>0</v>
      </c>
      <c r="O750" s="200">
        <f t="shared" si="109"/>
        <v>0</v>
      </c>
      <c r="P750" s="200">
        <f t="shared" si="110"/>
        <v>0</v>
      </c>
      <c r="Q750" s="200">
        <f t="shared" si="111"/>
        <v>0</v>
      </c>
      <c r="R750" s="200">
        <f t="shared" si="112"/>
        <v>0</v>
      </c>
      <c r="S750" s="200">
        <f t="shared" si="113"/>
        <v>0</v>
      </c>
    </row>
    <row r="751" spans="1:19" s="236" customFormat="1" ht="24.95" customHeight="1">
      <c r="A751" s="239"/>
      <c r="B751" s="239" t="s">
        <v>471</v>
      </c>
      <c r="C751" s="240">
        <v>8</v>
      </c>
      <c r="D751" s="239">
        <f>2*2*6</f>
        <v>24</v>
      </c>
      <c r="E751" s="203">
        <f>(4700/150)+1</f>
        <v>32.333333333333329</v>
      </c>
      <c r="F751" s="234">
        <v>300</v>
      </c>
      <c r="G751" s="234"/>
      <c r="H751" s="234">
        <v>1400</v>
      </c>
      <c r="I751" s="234"/>
      <c r="J751" s="234"/>
      <c r="K751" s="234">
        <v>1</v>
      </c>
      <c r="L751" s="235">
        <f t="shared" si="106"/>
        <v>1.6839999999999999</v>
      </c>
      <c r="M751" s="200">
        <f t="shared" si="107"/>
        <v>1306.7839999999997</v>
      </c>
      <c r="N751" s="200">
        <f t="shared" si="108"/>
        <v>0</v>
      </c>
      <c r="O751" s="200">
        <f t="shared" si="109"/>
        <v>0</v>
      </c>
      <c r="P751" s="200">
        <f t="shared" si="110"/>
        <v>0</v>
      </c>
      <c r="Q751" s="200">
        <f t="shared" si="111"/>
        <v>0</v>
      </c>
      <c r="R751" s="200">
        <f t="shared" si="112"/>
        <v>0</v>
      </c>
      <c r="S751" s="200">
        <f t="shared" si="113"/>
        <v>0</v>
      </c>
    </row>
    <row r="752" spans="1:19" s="236" customFormat="1" ht="24.95" customHeight="1">
      <c r="A752" s="239"/>
      <c r="B752" s="239" t="s">
        <v>472</v>
      </c>
      <c r="C752" s="240">
        <v>8</v>
      </c>
      <c r="D752" s="239">
        <f>2*2*6</f>
        <v>24</v>
      </c>
      <c r="E752" s="203">
        <f>(1050/200)+1</f>
        <v>6.25</v>
      </c>
      <c r="F752" s="234">
        <v>400</v>
      </c>
      <c r="G752" s="234"/>
      <c r="H752" s="234">
        <v>4450</v>
      </c>
      <c r="I752" s="234"/>
      <c r="J752" s="234">
        <v>400</v>
      </c>
      <c r="K752" s="234">
        <v>2</v>
      </c>
      <c r="L752" s="235">
        <f t="shared" si="106"/>
        <v>5.218</v>
      </c>
      <c r="M752" s="200">
        <f t="shared" si="107"/>
        <v>782.7</v>
      </c>
      <c r="N752" s="200">
        <f t="shared" si="108"/>
        <v>0</v>
      </c>
      <c r="O752" s="200">
        <f t="shared" si="109"/>
        <v>0</v>
      </c>
      <c r="P752" s="200">
        <f t="shared" si="110"/>
        <v>0</v>
      </c>
      <c r="Q752" s="200">
        <f t="shared" si="111"/>
        <v>0</v>
      </c>
      <c r="R752" s="200">
        <f t="shared" si="112"/>
        <v>0</v>
      </c>
      <c r="S752" s="200">
        <f t="shared" si="113"/>
        <v>0</v>
      </c>
    </row>
    <row r="753" spans="1:19" s="236" customFormat="1" ht="24.95" customHeight="1">
      <c r="A753" s="239"/>
      <c r="B753" s="239"/>
      <c r="C753" s="240">
        <v>8</v>
      </c>
      <c r="D753" s="239">
        <f>2*2*6</f>
        <v>24</v>
      </c>
      <c r="E753" s="203">
        <f>(1050/200)+1</f>
        <v>6.25</v>
      </c>
      <c r="F753" s="234">
        <v>400</v>
      </c>
      <c r="G753" s="234"/>
      <c r="H753" s="234">
        <v>950</v>
      </c>
      <c r="I753" s="234"/>
      <c r="J753" s="234">
        <v>400</v>
      </c>
      <c r="K753" s="234">
        <v>2</v>
      </c>
      <c r="L753" s="235">
        <f t="shared" si="106"/>
        <v>1.718</v>
      </c>
      <c r="M753" s="200">
        <f t="shared" si="107"/>
        <v>257.7</v>
      </c>
      <c r="N753" s="200">
        <f t="shared" si="108"/>
        <v>0</v>
      </c>
      <c r="O753" s="200">
        <f t="shared" si="109"/>
        <v>0</v>
      </c>
      <c r="P753" s="200">
        <f t="shared" si="110"/>
        <v>0</v>
      </c>
      <c r="Q753" s="200">
        <f t="shared" si="111"/>
        <v>0</v>
      </c>
      <c r="R753" s="200">
        <f t="shared" si="112"/>
        <v>0</v>
      </c>
      <c r="S753" s="200">
        <f t="shared" si="113"/>
        <v>0</v>
      </c>
    </row>
    <row r="754" spans="1:19" s="236" customFormat="1" ht="24.95" customHeight="1">
      <c r="A754" s="239"/>
      <c r="B754" s="239" t="s">
        <v>473</v>
      </c>
      <c r="C754" s="240">
        <v>8</v>
      </c>
      <c r="D754" s="239">
        <f>2*6</f>
        <v>12</v>
      </c>
      <c r="E754" s="203">
        <v>20</v>
      </c>
      <c r="F754" s="234">
        <v>300</v>
      </c>
      <c r="G754" s="234"/>
      <c r="H754" s="234">
        <v>118</v>
      </c>
      <c r="I754" s="234"/>
      <c r="J754" s="234">
        <v>300</v>
      </c>
      <c r="K754" s="234">
        <v>2</v>
      </c>
      <c r="L754" s="235">
        <f t="shared" si="106"/>
        <v>0.68600000000000005</v>
      </c>
      <c r="M754" s="200">
        <f t="shared" si="107"/>
        <v>164.64000000000001</v>
      </c>
      <c r="N754" s="200">
        <f t="shared" si="108"/>
        <v>0</v>
      </c>
      <c r="O754" s="200">
        <f t="shared" si="109"/>
        <v>0</v>
      </c>
      <c r="P754" s="200">
        <f t="shared" si="110"/>
        <v>0</v>
      </c>
      <c r="Q754" s="200">
        <f t="shared" si="111"/>
        <v>0</v>
      </c>
      <c r="R754" s="200">
        <f t="shared" si="112"/>
        <v>0</v>
      </c>
      <c r="S754" s="200">
        <f t="shared" si="113"/>
        <v>0</v>
      </c>
    </row>
    <row r="755" spans="1:19" s="236" customFormat="1" ht="24.95" customHeight="1">
      <c r="A755" s="237">
        <v>14</v>
      </c>
      <c r="B755" s="238" t="s">
        <v>477</v>
      </c>
      <c r="C755" s="240"/>
      <c r="D755" s="239"/>
      <c r="E755" s="203"/>
      <c r="F755" s="234"/>
      <c r="G755" s="234"/>
      <c r="H755" s="234"/>
      <c r="I755" s="234"/>
      <c r="J755" s="234"/>
      <c r="K755" s="234"/>
      <c r="L755" s="235">
        <f t="shared" si="106"/>
        <v>0</v>
      </c>
      <c r="M755" s="200">
        <f t="shared" si="107"/>
        <v>0</v>
      </c>
      <c r="N755" s="200">
        <f t="shared" si="108"/>
        <v>0</v>
      </c>
      <c r="O755" s="200">
        <f t="shared" si="109"/>
        <v>0</v>
      </c>
      <c r="P755" s="200">
        <f t="shared" si="110"/>
        <v>0</v>
      </c>
      <c r="Q755" s="200">
        <f t="shared" si="111"/>
        <v>0</v>
      </c>
      <c r="R755" s="200">
        <f t="shared" si="112"/>
        <v>0</v>
      </c>
      <c r="S755" s="200">
        <f t="shared" si="113"/>
        <v>0</v>
      </c>
    </row>
    <row r="756" spans="1:19" s="236" customFormat="1" ht="24.95" customHeight="1">
      <c r="A756" s="209" t="s">
        <v>478</v>
      </c>
      <c r="B756" s="209" t="s">
        <v>463</v>
      </c>
      <c r="C756" s="240"/>
      <c r="D756" s="239">
        <v>2</v>
      </c>
      <c r="E756" s="203"/>
      <c r="F756" s="234"/>
      <c r="G756" s="234"/>
      <c r="H756" s="234"/>
      <c r="I756" s="234"/>
      <c r="J756" s="234"/>
      <c r="K756" s="234">
        <v>0</v>
      </c>
      <c r="L756" s="235">
        <f t="shared" si="106"/>
        <v>0</v>
      </c>
      <c r="M756" s="200">
        <f t="shared" si="107"/>
        <v>0</v>
      </c>
      <c r="N756" s="200">
        <f t="shared" si="108"/>
        <v>0</v>
      </c>
      <c r="O756" s="200">
        <f t="shared" si="109"/>
        <v>0</v>
      </c>
      <c r="P756" s="200">
        <f t="shared" si="110"/>
        <v>0</v>
      </c>
      <c r="Q756" s="200">
        <f t="shared" si="111"/>
        <v>0</v>
      </c>
      <c r="R756" s="200">
        <f t="shared" si="112"/>
        <v>0</v>
      </c>
      <c r="S756" s="200">
        <f t="shared" si="113"/>
        <v>0</v>
      </c>
    </row>
    <row r="757" spans="1:19" s="236" customFormat="1" ht="24.95" customHeight="1">
      <c r="A757" s="239"/>
      <c r="B757" s="239" t="s">
        <v>464</v>
      </c>
      <c r="C757" s="240"/>
      <c r="D757" s="239"/>
      <c r="E757" s="203"/>
      <c r="F757" s="234"/>
      <c r="G757" s="234"/>
      <c r="H757" s="234"/>
      <c r="I757" s="234"/>
      <c r="J757" s="234"/>
      <c r="K757" s="234">
        <v>0</v>
      </c>
      <c r="L757" s="235">
        <f t="shared" si="106"/>
        <v>0</v>
      </c>
      <c r="M757" s="200">
        <f t="shared" si="107"/>
        <v>0</v>
      </c>
      <c r="N757" s="200">
        <f t="shared" si="108"/>
        <v>0</v>
      </c>
      <c r="O757" s="200">
        <f t="shared" si="109"/>
        <v>0</v>
      </c>
      <c r="P757" s="200">
        <f t="shared" si="110"/>
        <v>0</v>
      </c>
      <c r="Q757" s="200">
        <f t="shared" si="111"/>
        <v>0</v>
      </c>
      <c r="R757" s="200">
        <f t="shared" si="112"/>
        <v>0</v>
      </c>
      <c r="S757" s="200">
        <f t="shared" si="113"/>
        <v>0</v>
      </c>
    </row>
    <row r="758" spans="1:19" s="236" customFormat="1" ht="24.95" customHeight="1">
      <c r="A758" s="239"/>
      <c r="B758" s="239" t="s">
        <v>465</v>
      </c>
      <c r="C758" s="240">
        <v>8</v>
      </c>
      <c r="D758" s="239">
        <v>2</v>
      </c>
      <c r="E758" s="203">
        <f>(4700/150)+1</f>
        <v>32.333333333333329</v>
      </c>
      <c r="F758" s="241">
        <v>150</v>
      </c>
      <c r="G758" s="234"/>
      <c r="H758" s="234">
        <v>1200</v>
      </c>
      <c r="I758" s="234"/>
      <c r="J758" s="241">
        <v>150</v>
      </c>
      <c r="K758" s="234">
        <v>2</v>
      </c>
      <c r="L758" s="235">
        <f t="shared" si="106"/>
        <v>1.468</v>
      </c>
      <c r="M758" s="200">
        <f t="shared" si="107"/>
        <v>94.930666666666653</v>
      </c>
      <c r="N758" s="200">
        <f t="shared" si="108"/>
        <v>0</v>
      </c>
      <c r="O758" s="200">
        <f t="shared" si="109"/>
        <v>0</v>
      </c>
      <c r="P758" s="200">
        <f t="shared" si="110"/>
        <v>0</v>
      </c>
      <c r="Q758" s="200">
        <f t="shared" si="111"/>
        <v>0</v>
      </c>
      <c r="R758" s="200">
        <f t="shared" si="112"/>
        <v>0</v>
      </c>
      <c r="S758" s="200">
        <f t="shared" si="113"/>
        <v>0</v>
      </c>
    </row>
    <row r="759" spans="1:19" s="236" customFormat="1" ht="24.95" customHeight="1">
      <c r="A759" s="239"/>
      <c r="B759" s="239" t="s">
        <v>466</v>
      </c>
      <c r="C759" s="240">
        <v>8</v>
      </c>
      <c r="D759" s="239">
        <v>2</v>
      </c>
      <c r="E759" s="203">
        <f>(1200/200)+1</f>
        <v>7</v>
      </c>
      <c r="F759" s="241">
        <v>150</v>
      </c>
      <c r="G759" s="234"/>
      <c r="H759" s="234">
        <v>4700</v>
      </c>
      <c r="I759" s="234"/>
      <c r="J759" s="241">
        <v>150</v>
      </c>
      <c r="K759" s="234">
        <v>2</v>
      </c>
      <c r="L759" s="235">
        <f t="shared" si="106"/>
        <v>4.968</v>
      </c>
      <c r="M759" s="200">
        <f t="shared" si="107"/>
        <v>69.551999999999992</v>
      </c>
      <c r="N759" s="200">
        <f t="shared" si="108"/>
        <v>0</v>
      </c>
      <c r="O759" s="200">
        <f t="shared" si="109"/>
        <v>0</v>
      </c>
      <c r="P759" s="200">
        <f t="shared" si="110"/>
        <v>0</v>
      </c>
      <c r="Q759" s="200">
        <f t="shared" si="111"/>
        <v>0</v>
      </c>
      <c r="R759" s="200">
        <f t="shared" si="112"/>
        <v>0</v>
      </c>
      <c r="S759" s="200">
        <f t="shared" si="113"/>
        <v>0</v>
      </c>
    </row>
    <row r="760" spans="1:19" s="236" customFormat="1" ht="24.95" customHeight="1">
      <c r="A760" s="239"/>
      <c r="B760" s="239" t="s">
        <v>467</v>
      </c>
      <c r="C760" s="240"/>
      <c r="D760" s="239"/>
      <c r="E760" s="203"/>
      <c r="F760" s="234"/>
      <c r="G760" s="234"/>
      <c r="H760" s="234"/>
      <c r="I760" s="234"/>
      <c r="J760" s="234"/>
      <c r="K760" s="234">
        <v>0</v>
      </c>
      <c r="L760" s="235">
        <f t="shared" si="106"/>
        <v>0</v>
      </c>
      <c r="M760" s="200">
        <f t="shared" si="107"/>
        <v>0</v>
      </c>
      <c r="N760" s="200">
        <f t="shared" si="108"/>
        <v>0</v>
      </c>
      <c r="O760" s="200">
        <f t="shared" si="109"/>
        <v>0</v>
      </c>
      <c r="P760" s="200">
        <f t="shared" si="110"/>
        <v>0</v>
      </c>
      <c r="Q760" s="200">
        <f t="shared" si="111"/>
        <v>0</v>
      </c>
      <c r="R760" s="200">
        <f t="shared" si="112"/>
        <v>0</v>
      </c>
      <c r="S760" s="200">
        <f t="shared" si="113"/>
        <v>0</v>
      </c>
    </row>
    <row r="761" spans="1:19" s="236" customFormat="1" ht="24.95" customHeight="1">
      <c r="A761" s="239"/>
      <c r="B761" s="239" t="s">
        <v>465</v>
      </c>
      <c r="C761" s="240">
        <v>8</v>
      </c>
      <c r="D761" s="239">
        <v>2</v>
      </c>
      <c r="E761" s="203">
        <f>(4700/150)+1</f>
        <v>32.333333333333329</v>
      </c>
      <c r="F761" s="241">
        <v>150</v>
      </c>
      <c r="G761" s="234"/>
      <c r="H761" s="234">
        <v>1200</v>
      </c>
      <c r="I761" s="234"/>
      <c r="J761" s="241">
        <v>150</v>
      </c>
      <c r="K761" s="234">
        <v>2</v>
      </c>
      <c r="L761" s="235">
        <f t="shared" si="106"/>
        <v>1.468</v>
      </c>
      <c r="M761" s="200">
        <f t="shared" si="107"/>
        <v>94.930666666666653</v>
      </c>
      <c r="N761" s="200">
        <f t="shared" si="108"/>
        <v>0</v>
      </c>
      <c r="O761" s="200">
        <f t="shared" si="109"/>
        <v>0</v>
      </c>
      <c r="P761" s="200">
        <f t="shared" si="110"/>
        <v>0</v>
      </c>
      <c r="Q761" s="200">
        <f t="shared" si="111"/>
        <v>0</v>
      </c>
      <c r="R761" s="200">
        <f t="shared" si="112"/>
        <v>0</v>
      </c>
      <c r="S761" s="200">
        <f t="shared" si="113"/>
        <v>0</v>
      </c>
    </row>
    <row r="762" spans="1:19" s="236" customFormat="1" ht="24.95" customHeight="1">
      <c r="A762" s="239"/>
      <c r="B762" s="239" t="s">
        <v>466</v>
      </c>
      <c r="C762" s="240">
        <v>8</v>
      </c>
      <c r="D762" s="239">
        <v>2</v>
      </c>
      <c r="E762" s="203">
        <f>(1200/200)+1</f>
        <v>7</v>
      </c>
      <c r="F762" s="241">
        <v>150</v>
      </c>
      <c r="G762" s="234"/>
      <c r="H762" s="234">
        <v>4700</v>
      </c>
      <c r="I762" s="234"/>
      <c r="J762" s="241">
        <v>150</v>
      </c>
      <c r="K762" s="234">
        <v>2</v>
      </c>
      <c r="L762" s="235">
        <f t="shared" si="106"/>
        <v>4.968</v>
      </c>
      <c r="M762" s="200">
        <f t="shared" si="107"/>
        <v>69.551999999999992</v>
      </c>
      <c r="N762" s="200">
        <f t="shared" si="108"/>
        <v>0</v>
      </c>
      <c r="O762" s="200">
        <f t="shared" si="109"/>
        <v>0</v>
      </c>
      <c r="P762" s="200">
        <f t="shared" si="110"/>
        <v>0</v>
      </c>
      <c r="Q762" s="200">
        <f t="shared" si="111"/>
        <v>0</v>
      </c>
      <c r="R762" s="200">
        <f t="shared" si="112"/>
        <v>0</v>
      </c>
      <c r="S762" s="200">
        <f t="shared" si="113"/>
        <v>0</v>
      </c>
    </row>
    <row r="763" spans="1:19" s="236" customFormat="1" ht="24.95" customHeight="1">
      <c r="A763" s="239"/>
      <c r="B763" s="239" t="s">
        <v>468</v>
      </c>
      <c r="C763" s="240">
        <v>10</v>
      </c>
      <c r="D763" s="239">
        <v>2</v>
      </c>
      <c r="E763" s="203">
        <v>10</v>
      </c>
      <c r="F763" s="234">
        <v>300</v>
      </c>
      <c r="G763" s="234">
        <f>300-100-32</f>
        <v>168</v>
      </c>
      <c r="H763" s="234">
        <v>500</v>
      </c>
      <c r="I763" s="234">
        <f>300-100-32</f>
        <v>168</v>
      </c>
      <c r="J763" s="234">
        <v>300</v>
      </c>
      <c r="K763" s="241">
        <v>5</v>
      </c>
      <c r="L763" s="235">
        <f t="shared" si="106"/>
        <v>1.3360000000000001</v>
      </c>
      <c r="M763" s="200">
        <f t="shared" si="107"/>
        <v>0</v>
      </c>
      <c r="N763" s="200">
        <f t="shared" si="108"/>
        <v>26.720000000000002</v>
      </c>
      <c r="O763" s="200">
        <f t="shared" si="109"/>
        <v>0</v>
      </c>
      <c r="P763" s="200">
        <f t="shared" si="110"/>
        <v>0</v>
      </c>
      <c r="Q763" s="200">
        <f t="shared" si="111"/>
        <v>0</v>
      </c>
      <c r="R763" s="200">
        <f t="shared" si="112"/>
        <v>0</v>
      </c>
      <c r="S763" s="200">
        <f t="shared" si="113"/>
        <v>0</v>
      </c>
    </row>
    <row r="764" spans="1:19" s="236" customFormat="1" ht="24.95" customHeight="1">
      <c r="A764" s="209" t="s">
        <v>479</v>
      </c>
      <c r="B764" s="209" t="s">
        <v>470</v>
      </c>
      <c r="C764" s="240"/>
      <c r="D764" s="239"/>
      <c r="E764" s="203"/>
      <c r="F764" s="234"/>
      <c r="G764" s="234"/>
      <c r="H764" s="234"/>
      <c r="I764" s="234"/>
      <c r="J764" s="234"/>
      <c r="K764" s="234">
        <v>0</v>
      </c>
      <c r="L764" s="235">
        <f t="shared" si="106"/>
        <v>0</v>
      </c>
      <c r="M764" s="200">
        <f t="shared" si="107"/>
        <v>0</v>
      </c>
      <c r="N764" s="200">
        <f t="shared" si="108"/>
        <v>0</v>
      </c>
      <c r="O764" s="200">
        <f t="shared" si="109"/>
        <v>0</v>
      </c>
      <c r="P764" s="200">
        <f t="shared" si="110"/>
        <v>0</v>
      </c>
      <c r="Q764" s="200">
        <f t="shared" si="111"/>
        <v>0</v>
      </c>
      <c r="R764" s="200">
        <f t="shared" si="112"/>
        <v>0</v>
      </c>
      <c r="S764" s="200">
        <f t="shared" si="113"/>
        <v>0</v>
      </c>
    </row>
    <row r="765" spans="1:19" s="236" customFormat="1" ht="24.95" customHeight="1">
      <c r="A765" s="239"/>
      <c r="B765" s="239" t="s">
        <v>471</v>
      </c>
      <c r="C765" s="240">
        <v>8</v>
      </c>
      <c r="D765" s="239">
        <f>2*2*2</f>
        <v>8</v>
      </c>
      <c r="E765" s="203">
        <f>(4700/150)+1</f>
        <v>32.333333333333329</v>
      </c>
      <c r="F765" s="234">
        <v>300</v>
      </c>
      <c r="G765" s="234"/>
      <c r="H765" s="234">
        <v>1400</v>
      </c>
      <c r="I765" s="234"/>
      <c r="J765" s="234"/>
      <c r="K765" s="234">
        <v>1</v>
      </c>
      <c r="L765" s="235">
        <f t="shared" si="106"/>
        <v>1.6839999999999999</v>
      </c>
      <c r="M765" s="200">
        <f t="shared" si="107"/>
        <v>435.59466666666657</v>
      </c>
      <c r="N765" s="200">
        <f t="shared" si="108"/>
        <v>0</v>
      </c>
      <c r="O765" s="200">
        <f t="shared" si="109"/>
        <v>0</v>
      </c>
      <c r="P765" s="200">
        <f t="shared" si="110"/>
        <v>0</v>
      </c>
      <c r="Q765" s="200">
        <f t="shared" si="111"/>
        <v>0</v>
      </c>
      <c r="R765" s="200">
        <f t="shared" si="112"/>
        <v>0</v>
      </c>
      <c r="S765" s="200">
        <f t="shared" si="113"/>
        <v>0</v>
      </c>
    </row>
    <row r="766" spans="1:19" s="236" customFormat="1" ht="24.95" customHeight="1">
      <c r="A766" s="239"/>
      <c r="B766" s="239" t="s">
        <v>472</v>
      </c>
      <c r="C766" s="240">
        <v>8</v>
      </c>
      <c r="D766" s="239">
        <f>2*2*2</f>
        <v>8</v>
      </c>
      <c r="E766" s="203">
        <f>(1050/200)+1</f>
        <v>6.25</v>
      </c>
      <c r="F766" s="234">
        <v>400</v>
      </c>
      <c r="G766" s="234"/>
      <c r="H766" s="234">
        <v>4450</v>
      </c>
      <c r="I766" s="234"/>
      <c r="J766" s="234">
        <v>400</v>
      </c>
      <c r="K766" s="234">
        <v>2</v>
      </c>
      <c r="L766" s="235">
        <f t="shared" si="106"/>
        <v>5.218</v>
      </c>
      <c r="M766" s="200">
        <f t="shared" si="107"/>
        <v>260.89999999999998</v>
      </c>
      <c r="N766" s="200">
        <f t="shared" si="108"/>
        <v>0</v>
      </c>
      <c r="O766" s="200">
        <f t="shared" si="109"/>
        <v>0</v>
      </c>
      <c r="P766" s="200">
        <f t="shared" si="110"/>
        <v>0</v>
      </c>
      <c r="Q766" s="200">
        <f t="shared" si="111"/>
        <v>0</v>
      </c>
      <c r="R766" s="200">
        <f t="shared" si="112"/>
        <v>0</v>
      </c>
      <c r="S766" s="200">
        <f t="shared" si="113"/>
        <v>0</v>
      </c>
    </row>
    <row r="767" spans="1:19" s="236" customFormat="1" ht="24.95" customHeight="1">
      <c r="A767" s="239"/>
      <c r="B767" s="239"/>
      <c r="C767" s="240">
        <v>8</v>
      </c>
      <c r="D767" s="239">
        <f>2*2*2</f>
        <v>8</v>
      </c>
      <c r="E767" s="203">
        <f>(1050/200)+1</f>
        <v>6.25</v>
      </c>
      <c r="F767" s="234">
        <v>400</v>
      </c>
      <c r="G767" s="234"/>
      <c r="H767" s="234">
        <v>950</v>
      </c>
      <c r="I767" s="234"/>
      <c r="J767" s="234">
        <v>400</v>
      </c>
      <c r="K767" s="234">
        <v>2</v>
      </c>
      <c r="L767" s="235">
        <f t="shared" si="106"/>
        <v>1.718</v>
      </c>
      <c r="M767" s="200">
        <f t="shared" si="107"/>
        <v>85.9</v>
      </c>
      <c r="N767" s="200">
        <f t="shared" si="108"/>
        <v>0</v>
      </c>
      <c r="O767" s="200">
        <f t="shared" si="109"/>
        <v>0</v>
      </c>
      <c r="P767" s="200">
        <f t="shared" si="110"/>
        <v>0</v>
      </c>
      <c r="Q767" s="200">
        <f t="shared" si="111"/>
        <v>0</v>
      </c>
      <c r="R767" s="200">
        <f t="shared" si="112"/>
        <v>0</v>
      </c>
      <c r="S767" s="200">
        <f t="shared" si="113"/>
        <v>0</v>
      </c>
    </row>
    <row r="768" spans="1:19" s="236" customFormat="1" ht="24.95" customHeight="1">
      <c r="A768" s="239"/>
      <c r="B768" s="239" t="s">
        <v>473</v>
      </c>
      <c r="C768" s="240">
        <v>8</v>
      </c>
      <c r="D768" s="239">
        <f>2*2</f>
        <v>4</v>
      </c>
      <c r="E768" s="203">
        <v>20</v>
      </c>
      <c r="F768" s="234">
        <v>300</v>
      </c>
      <c r="G768" s="234"/>
      <c r="H768" s="234">
        <v>118</v>
      </c>
      <c r="I768" s="234"/>
      <c r="J768" s="234">
        <v>300</v>
      </c>
      <c r="K768" s="234">
        <v>2</v>
      </c>
      <c r="L768" s="235">
        <f t="shared" si="106"/>
        <v>0.68600000000000005</v>
      </c>
      <c r="M768" s="200">
        <f t="shared" si="107"/>
        <v>54.88</v>
      </c>
      <c r="N768" s="200">
        <f t="shared" si="108"/>
        <v>0</v>
      </c>
      <c r="O768" s="200">
        <f t="shared" si="109"/>
        <v>0</v>
      </c>
      <c r="P768" s="200">
        <f t="shared" si="110"/>
        <v>0</v>
      </c>
      <c r="Q768" s="200">
        <f t="shared" si="111"/>
        <v>0</v>
      </c>
      <c r="R768" s="200">
        <f t="shared" si="112"/>
        <v>0</v>
      </c>
      <c r="S768" s="200">
        <f t="shared" si="113"/>
        <v>0</v>
      </c>
    </row>
    <row r="769" spans="1:19" s="236" customFormat="1" ht="24.95" customHeight="1">
      <c r="A769" s="209" t="s">
        <v>480</v>
      </c>
      <c r="B769" s="209" t="s">
        <v>475</v>
      </c>
      <c r="C769" s="240"/>
      <c r="D769" s="239">
        <v>6</v>
      </c>
      <c r="E769" s="203"/>
      <c r="F769" s="234"/>
      <c r="G769" s="234"/>
      <c r="H769" s="234"/>
      <c r="I769" s="234"/>
      <c r="J769" s="234"/>
      <c r="K769" s="234">
        <v>0</v>
      </c>
      <c r="L769" s="235">
        <f t="shared" si="106"/>
        <v>0</v>
      </c>
      <c r="M769" s="200">
        <f t="shared" si="107"/>
        <v>0</v>
      </c>
      <c r="N769" s="200">
        <f t="shared" si="108"/>
        <v>0</v>
      </c>
      <c r="O769" s="200">
        <f t="shared" si="109"/>
        <v>0</v>
      </c>
      <c r="P769" s="200">
        <f t="shared" si="110"/>
        <v>0</v>
      </c>
      <c r="Q769" s="200">
        <f t="shared" si="111"/>
        <v>0</v>
      </c>
      <c r="R769" s="200">
        <f t="shared" si="112"/>
        <v>0</v>
      </c>
      <c r="S769" s="200">
        <f t="shared" si="113"/>
        <v>0</v>
      </c>
    </row>
    <row r="770" spans="1:19" s="236" customFormat="1" ht="24.95" customHeight="1">
      <c r="A770" s="239"/>
      <c r="B770" s="239" t="s">
        <v>464</v>
      </c>
      <c r="C770" s="240"/>
      <c r="D770" s="239"/>
      <c r="E770" s="203"/>
      <c r="F770" s="234"/>
      <c r="G770" s="234"/>
      <c r="H770" s="234"/>
      <c r="I770" s="234"/>
      <c r="J770" s="234"/>
      <c r="K770" s="234">
        <v>0</v>
      </c>
      <c r="L770" s="235">
        <f t="shared" si="106"/>
        <v>0</v>
      </c>
      <c r="M770" s="200">
        <f t="shared" si="107"/>
        <v>0</v>
      </c>
      <c r="N770" s="200">
        <f t="shared" si="108"/>
        <v>0</v>
      </c>
      <c r="O770" s="200">
        <f t="shared" si="109"/>
        <v>0</v>
      </c>
      <c r="P770" s="200">
        <f t="shared" si="110"/>
        <v>0</v>
      </c>
      <c r="Q770" s="200">
        <f t="shared" si="111"/>
        <v>0</v>
      </c>
      <c r="R770" s="200">
        <f t="shared" si="112"/>
        <v>0</v>
      </c>
      <c r="S770" s="200">
        <f t="shared" si="113"/>
        <v>0</v>
      </c>
    </row>
    <row r="771" spans="1:19" s="236" customFormat="1" ht="24.95" customHeight="1">
      <c r="A771" s="239"/>
      <c r="B771" s="239" t="s">
        <v>465</v>
      </c>
      <c r="C771" s="240">
        <v>8</v>
      </c>
      <c r="D771" s="239">
        <v>6</v>
      </c>
      <c r="E771" s="203">
        <f>(4700/150)+1</f>
        <v>32.333333333333329</v>
      </c>
      <c r="F771" s="241">
        <v>150</v>
      </c>
      <c r="G771" s="234"/>
      <c r="H771" s="234">
        <v>1050</v>
      </c>
      <c r="I771" s="234"/>
      <c r="J771" s="241">
        <v>150</v>
      </c>
      <c r="K771" s="234">
        <v>2</v>
      </c>
      <c r="L771" s="235">
        <f t="shared" si="106"/>
        <v>1.3180000000000001</v>
      </c>
      <c r="M771" s="200">
        <f t="shared" si="107"/>
        <v>255.69199999999998</v>
      </c>
      <c r="N771" s="200">
        <f t="shared" si="108"/>
        <v>0</v>
      </c>
      <c r="O771" s="200">
        <f t="shared" si="109"/>
        <v>0</v>
      </c>
      <c r="P771" s="200">
        <f t="shared" si="110"/>
        <v>0</v>
      </c>
      <c r="Q771" s="200">
        <f t="shared" si="111"/>
        <v>0</v>
      </c>
      <c r="R771" s="200">
        <f t="shared" si="112"/>
        <v>0</v>
      </c>
      <c r="S771" s="200">
        <f t="shared" si="113"/>
        <v>0</v>
      </c>
    </row>
    <row r="772" spans="1:19" s="236" customFormat="1" ht="24.95" customHeight="1">
      <c r="A772" s="239"/>
      <c r="B772" s="239" t="s">
        <v>466</v>
      </c>
      <c r="C772" s="240">
        <v>8</v>
      </c>
      <c r="D772" s="239">
        <v>6</v>
      </c>
      <c r="E772" s="203">
        <f>(1150/200)+1</f>
        <v>6.75</v>
      </c>
      <c r="F772" s="241">
        <v>150</v>
      </c>
      <c r="G772" s="234"/>
      <c r="H772" s="234">
        <v>4700</v>
      </c>
      <c r="I772" s="234"/>
      <c r="J772" s="241">
        <v>150</v>
      </c>
      <c r="K772" s="234">
        <v>2</v>
      </c>
      <c r="L772" s="235">
        <f t="shared" si="106"/>
        <v>4.968</v>
      </c>
      <c r="M772" s="200">
        <f t="shared" si="107"/>
        <v>201.20400000000001</v>
      </c>
      <c r="N772" s="200">
        <f t="shared" si="108"/>
        <v>0</v>
      </c>
      <c r="O772" s="200">
        <f t="shared" si="109"/>
        <v>0</v>
      </c>
      <c r="P772" s="200">
        <f t="shared" si="110"/>
        <v>0</v>
      </c>
      <c r="Q772" s="200">
        <f t="shared" si="111"/>
        <v>0</v>
      </c>
      <c r="R772" s="200">
        <f t="shared" si="112"/>
        <v>0</v>
      </c>
      <c r="S772" s="200">
        <f t="shared" si="113"/>
        <v>0</v>
      </c>
    </row>
    <row r="773" spans="1:19" s="236" customFormat="1" ht="24.95" customHeight="1">
      <c r="A773" s="239"/>
      <c r="B773" s="239" t="s">
        <v>467</v>
      </c>
      <c r="C773" s="240"/>
      <c r="D773" s="239"/>
      <c r="E773" s="203"/>
      <c r="F773" s="234"/>
      <c r="G773" s="234"/>
      <c r="H773" s="234"/>
      <c r="I773" s="234"/>
      <c r="J773" s="234"/>
      <c r="K773" s="234">
        <v>0</v>
      </c>
      <c r="L773" s="235">
        <f t="shared" si="106"/>
        <v>0</v>
      </c>
      <c r="M773" s="200">
        <f t="shared" si="107"/>
        <v>0</v>
      </c>
      <c r="N773" s="200">
        <f t="shared" si="108"/>
        <v>0</v>
      </c>
      <c r="O773" s="200">
        <f t="shared" si="109"/>
        <v>0</v>
      </c>
      <c r="P773" s="200">
        <f t="shared" si="110"/>
        <v>0</v>
      </c>
      <c r="Q773" s="200">
        <f t="shared" si="111"/>
        <v>0</v>
      </c>
      <c r="R773" s="200">
        <f t="shared" si="112"/>
        <v>0</v>
      </c>
      <c r="S773" s="200">
        <f t="shared" si="113"/>
        <v>0</v>
      </c>
    </row>
    <row r="774" spans="1:19" s="236" customFormat="1" ht="24.95" customHeight="1">
      <c r="A774" s="239"/>
      <c r="B774" s="239" t="s">
        <v>465</v>
      </c>
      <c r="C774" s="240">
        <v>8</v>
      </c>
      <c r="D774" s="239">
        <v>6</v>
      </c>
      <c r="E774" s="203">
        <f>(4700/150)+1</f>
        <v>32.333333333333329</v>
      </c>
      <c r="F774" s="241">
        <v>150</v>
      </c>
      <c r="G774" s="234"/>
      <c r="H774" s="234">
        <v>1050</v>
      </c>
      <c r="I774" s="234"/>
      <c r="J774" s="241">
        <v>150</v>
      </c>
      <c r="K774" s="234">
        <v>2</v>
      </c>
      <c r="L774" s="235">
        <f t="shared" si="106"/>
        <v>1.3180000000000001</v>
      </c>
      <c r="M774" s="200">
        <f t="shared" si="107"/>
        <v>255.69199999999998</v>
      </c>
      <c r="N774" s="200">
        <f t="shared" si="108"/>
        <v>0</v>
      </c>
      <c r="O774" s="200">
        <f t="shared" si="109"/>
        <v>0</v>
      </c>
      <c r="P774" s="200">
        <f t="shared" si="110"/>
        <v>0</v>
      </c>
      <c r="Q774" s="200">
        <f t="shared" si="111"/>
        <v>0</v>
      </c>
      <c r="R774" s="200">
        <f t="shared" si="112"/>
        <v>0</v>
      </c>
      <c r="S774" s="200">
        <f t="shared" si="113"/>
        <v>0</v>
      </c>
    </row>
    <row r="775" spans="1:19" s="236" customFormat="1" ht="24.95" customHeight="1">
      <c r="A775" s="239"/>
      <c r="B775" s="239" t="s">
        <v>466</v>
      </c>
      <c r="C775" s="240">
        <v>8</v>
      </c>
      <c r="D775" s="239">
        <v>6</v>
      </c>
      <c r="E775" s="203">
        <f>(1150/200)+1</f>
        <v>6.75</v>
      </c>
      <c r="F775" s="241">
        <v>150</v>
      </c>
      <c r="G775" s="234"/>
      <c r="H775" s="234">
        <v>4700</v>
      </c>
      <c r="I775" s="234"/>
      <c r="J775" s="241">
        <v>150</v>
      </c>
      <c r="K775" s="234">
        <v>2</v>
      </c>
      <c r="L775" s="235">
        <f t="shared" si="106"/>
        <v>4.968</v>
      </c>
      <c r="M775" s="200">
        <f t="shared" si="107"/>
        <v>201.20400000000001</v>
      </c>
      <c r="N775" s="200">
        <f t="shared" si="108"/>
        <v>0</v>
      </c>
      <c r="O775" s="200">
        <f t="shared" si="109"/>
        <v>0</v>
      </c>
      <c r="P775" s="200">
        <f t="shared" si="110"/>
        <v>0</v>
      </c>
      <c r="Q775" s="200">
        <f t="shared" si="111"/>
        <v>0</v>
      </c>
      <c r="R775" s="200">
        <f t="shared" si="112"/>
        <v>0</v>
      </c>
      <c r="S775" s="200">
        <f t="shared" si="113"/>
        <v>0</v>
      </c>
    </row>
    <row r="776" spans="1:19" s="256" customFormat="1" ht="24.95" customHeight="1">
      <c r="A776" s="252"/>
      <c r="B776" s="252" t="s">
        <v>468</v>
      </c>
      <c r="C776" s="253">
        <v>10</v>
      </c>
      <c r="D776" s="252">
        <f>6</f>
        <v>6</v>
      </c>
      <c r="E776" s="254">
        <v>10</v>
      </c>
      <c r="F776" s="234">
        <v>300</v>
      </c>
      <c r="G776" s="234">
        <f>300-100-32</f>
        <v>168</v>
      </c>
      <c r="H776" s="234">
        <v>500</v>
      </c>
      <c r="I776" s="234">
        <f>300-100-32</f>
        <v>168</v>
      </c>
      <c r="J776" s="234">
        <v>300</v>
      </c>
      <c r="K776" s="241">
        <v>5</v>
      </c>
      <c r="L776" s="235">
        <f t="shared" si="106"/>
        <v>1.3360000000000001</v>
      </c>
      <c r="M776" s="255">
        <f t="shared" si="107"/>
        <v>0</v>
      </c>
      <c r="N776" s="255">
        <f t="shared" si="108"/>
        <v>80.160000000000011</v>
      </c>
      <c r="O776" s="255">
        <f t="shared" si="109"/>
        <v>0</v>
      </c>
      <c r="P776" s="255">
        <f t="shared" si="110"/>
        <v>0</v>
      </c>
      <c r="Q776" s="255">
        <f t="shared" si="111"/>
        <v>0</v>
      </c>
      <c r="R776" s="255">
        <f t="shared" si="112"/>
        <v>0</v>
      </c>
      <c r="S776" s="255">
        <f t="shared" si="113"/>
        <v>0</v>
      </c>
    </row>
    <row r="777" spans="1:19" s="236" customFormat="1" ht="24.95" customHeight="1">
      <c r="A777" s="209" t="s">
        <v>481</v>
      </c>
      <c r="B777" s="209" t="s">
        <v>470</v>
      </c>
      <c r="C777" s="240"/>
      <c r="D777" s="239"/>
      <c r="E777" s="203"/>
      <c r="F777" s="234"/>
      <c r="G777" s="234"/>
      <c r="H777" s="234"/>
      <c r="I777" s="234"/>
      <c r="J777" s="234"/>
      <c r="K777" s="234">
        <v>0</v>
      </c>
      <c r="L777" s="235">
        <f t="shared" si="106"/>
        <v>0</v>
      </c>
      <c r="M777" s="200">
        <f t="shared" si="107"/>
        <v>0</v>
      </c>
      <c r="N777" s="200">
        <f t="shared" si="108"/>
        <v>0</v>
      </c>
      <c r="O777" s="200">
        <f t="shared" si="109"/>
        <v>0</v>
      </c>
      <c r="P777" s="200">
        <f t="shared" si="110"/>
        <v>0</v>
      </c>
      <c r="Q777" s="200">
        <f t="shared" si="111"/>
        <v>0</v>
      </c>
      <c r="R777" s="200">
        <f t="shared" si="112"/>
        <v>0</v>
      </c>
      <c r="S777" s="200">
        <f t="shared" si="113"/>
        <v>0</v>
      </c>
    </row>
    <row r="778" spans="1:19" s="236" customFormat="1" ht="24.95" customHeight="1">
      <c r="A778" s="239"/>
      <c r="B778" s="239" t="s">
        <v>471</v>
      </c>
      <c r="C778" s="240">
        <v>8</v>
      </c>
      <c r="D778" s="239">
        <f>2*2*6</f>
        <v>24</v>
      </c>
      <c r="E778" s="203">
        <f>(4700/150)+1</f>
        <v>32.333333333333329</v>
      </c>
      <c r="F778" s="234">
        <v>300</v>
      </c>
      <c r="G778" s="234"/>
      <c r="H778" s="234">
        <v>1400</v>
      </c>
      <c r="I778" s="234"/>
      <c r="J778" s="234"/>
      <c r="K778" s="234">
        <v>1</v>
      </c>
      <c r="L778" s="235">
        <f t="shared" si="106"/>
        <v>1.6839999999999999</v>
      </c>
      <c r="M778" s="200">
        <f t="shared" si="107"/>
        <v>1306.7839999999997</v>
      </c>
      <c r="N778" s="200">
        <f t="shared" si="108"/>
        <v>0</v>
      </c>
      <c r="O778" s="200">
        <f t="shared" si="109"/>
        <v>0</v>
      </c>
      <c r="P778" s="200">
        <f t="shared" si="110"/>
        <v>0</v>
      </c>
      <c r="Q778" s="200">
        <f t="shared" si="111"/>
        <v>0</v>
      </c>
      <c r="R778" s="200">
        <f t="shared" si="112"/>
        <v>0</v>
      </c>
      <c r="S778" s="200">
        <f t="shared" si="113"/>
        <v>0</v>
      </c>
    </row>
    <row r="779" spans="1:19" s="236" customFormat="1" ht="24.95" customHeight="1">
      <c r="A779" s="239"/>
      <c r="B779" s="239" t="s">
        <v>472</v>
      </c>
      <c r="C779" s="240">
        <v>8</v>
      </c>
      <c r="D779" s="239">
        <f>2*2*6</f>
        <v>24</v>
      </c>
      <c r="E779" s="203">
        <f>(1050/200)+1</f>
        <v>6.25</v>
      </c>
      <c r="F779" s="234">
        <v>400</v>
      </c>
      <c r="G779" s="234"/>
      <c r="H779" s="234">
        <v>4450</v>
      </c>
      <c r="I779" s="234"/>
      <c r="J779" s="234">
        <v>400</v>
      </c>
      <c r="K779" s="234">
        <v>2</v>
      </c>
      <c r="L779" s="235">
        <f t="shared" ref="L779:L781" si="114">(((F779+G779+H779+I779+J779)-C779*K779*2)/1000)</f>
        <v>5.218</v>
      </c>
      <c r="M779" s="200">
        <f t="shared" ref="M779:M781" si="115">+IF(C779=8,D779*E779*L779,0)</f>
        <v>782.7</v>
      </c>
      <c r="N779" s="200">
        <f t="shared" si="108"/>
        <v>0</v>
      </c>
      <c r="O779" s="200">
        <f t="shared" si="109"/>
        <v>0</v>
      </c>
      <c r="P779" s="200">
        <f t="shared" si="110"/>
        <v>0</v>
      </c>
      <c r="Q779" s="200">
        <f t="shared" si="111"/>
        <v>0</v>
      </c>
      <c r="R779" s="200">
        <f t="shared" si="112"/>
        <v>0</v>
      </c>
      <c r="S779" s="200">
        <f t="shared" si="113"/>
        <v>0</v>
      </c>
    </row>
    <row r="780" spans="1:19" s="236" customFormat="1" ht="24.95" customHeight="1">
      <c r="A780" s="239"/>
      <c r="B780" s="239"/>
      <c r="C780" s="240">
        <v>8</v>
      </c>
      <c r="D780" s="239">
        <f>2*2*6</f>
        <v>24</v>
      </c>
      <c r="E780" s="203">
        <f>(1050/200)+1</f>
        <v>6.25</v>
      </c>
      <c r="F780" s="234">
        <v>400</v>
      </c>
      <c r="G780" s="234"/>
      <c r="H780" s="234">
        <v>950</v>
      </c>
      <c r="I780" s="234"/>
      <c r="J780" s="234">
        <v>400</v>
      </c>
      <c r="K780" s="234">
        <v>2</v>
      </c>
      <c r="L780" s="235">
        <f t="shared" si="114"/>
        <v>1.718</v>
      </c>
      <c r="M780" s="200">
        <f t="shared" si="115"/>
        <v>257.7</v>
      </c>
      <c r="N780" s="200">
        <f t="shared" si="108"/>
        <v>0</v>
      </c>
      <c r="O780" s="200">
        <f t="shared" si="109"/>
        <v>0</v>
      </c>
      <c r="P780" s="200">
        <f t="shared" si="110"/>
        <v>0</v>
      </c>
      <c r="Q780" s="200">
        <f t="shared" si="111"/>
        <v>0</v>
      </c>
      <c r="R780" s="200">
        <f t="shared" si="112"/>
        <v>0</v>
      </c>
      <c r="S780" s="200">
        <f t="shared" si="113"/>
        <v>0</v>
      </c>
    </row>
    <row r="781" spans="1:19" s="236" customFormat="1" ht="24.95" customHeight="1">
      <c r="A781" s="239"/>
      <c r="B781" s="239" t="s">
        <v>473</v>
      </c>
      <c r="C781" s="240">
        <v>8</v>
      </c>
      <c r="D781" s="239">
        <f>2*6</f>
        <v>12</v>
      </c>
      <c r="E781" s="203">
        <v>20</v>
      </c>
      <c r="F781" s="234">
        <v>300</v>
      </c>
      <c r="G781" s="234"/>
      <c r="H781" s="234">
        <v>118</v>
      </c>
      <c r="I781" s="234"/>
      <c r="J781" s="234">
        <v>300</v>
      </c>
      <c r="K781" s="234">
        <v>2</v>
      </c>
      <c r="L781" s="235">
        <f t="shared" si="114"/>
        <v>0.68600000000000005</v>
      </c>
      <c r="M781" s="200">
        <f t="shared" si="115"/>
        <v>164.64000000000001</v>
      </c>
      <c r="N781" s="200">
        <f t="shared" si="108"/>
        <v>0</v>
      </c>
      <c r="O781" s="200">
        <f t="shared" si="109"/>
        <v>0</v>
      </c>
      <c r="P781" s="200">
        <f t="shared" si="110"/>
        <v>0</v>
      </c>
      <c r="Q781" s="200">
        <f t="shared" si="111"/>
        <v>0</v>
      </c>
      <c r="R781" s="200">
        <f t="shared" si="112"/>
        <v>0</v>
      </c>
      <c r="S781" s="200">
        <f t="shared" si="113"/>
        <v>0</v>
      </c>
    </row>
    <row r="782" spans="1:19" s="236" customFormat="1" ht="24.95" customHeight="1">
      <c r="A782" s="239"/>
      <c r="B782" s="239"/>
      <c r="C782" s="240"/>
      <c r="D782" s="239"/>
      <c r="E782" s="203"/>
      <c r="F782" s="234"/>
      <c r="G782" s="234"/>
      <c r="H782" s="234"/>
      <c r="I782" s="234"/>
      <c r="J782" s="234"/>
      <c r="K782" s="234"/>
      <c r="L782" s="235"/>
      <c r="M782" s="200"/>
      <c r="N782" s="200"/>
      <c r="O782" s="200"/>
      <c r="P782" s="200"/>
      <c r="Q782" s="200"/>
      <c r="R782" s="200"/>
      <c r="S782" s="200"/>
    </row>
    <row r="783" spans="1:19" s="236" customFormat="1" ht="24.95" customHeight="1">
      <c r="A783" s="195"/>
      <c r="B783" s="212" t="s">
        <v>482</v>
      </c>
      <c r="C783" s="196"/>
      <c r="D783" s="204"/>
      <c r="E783" s="213"/>
      <c r="F783" s="234">
        <v>0</v>
      </c>
      <c r="G783" s="234">
        <v>0</v>
      </c>
      <c r="H783" s="234">
        <v>0</v>
      </c>
      <c r="I783" s="234">
        <v>0</v>
      </c>
      <c r="J783" s="234">
        <v>0</v>
      </c>
      <c r="K783" s="234"/>
      <c r="L783" s="235"/>
      <c r="M783" s="200">
        <f>ROUND(SUM(M11:M781),0)</f>
        <v>15165</v>
      </c>
      <c r="N783" s="200">
        <f t="shared" ref="N783:S783" si="116">ROUND(SUM(N11:N781),0)</f>
        <v>5940</v>
      </c>
      <c r="O783" s="200">
        <f t="shared" si="116"/>
        <v>633</v>
      </c>
      <c r="P783" s="200">
        <f t="shared" si="116"/>
        <v>0</v>
      </c>
      <c r="Q783" s="200">
        <f t="shared" si="116"/>
        <v>0</v>
      </c>
      <c r="R783" s="200">
        <f t="shared" si="116"/>
        <v>0</v>
      </c>
      <c r="S783" s="200">
        <f t="shared" si="116"/>
        <v>0</v>
      </c>
    </row>
    <row r="784" spans="1:19" s="236" customFormat="1" ht="24.95" customHeight="1">
      <c r="A784" s="195"/>
      <c r="B784" s="214" t="s">
        <v>483</v>
      </c>
      <c r="C784" s="196"/>
      <c r="D784" s="204"/>
      <c r="E784" s="213"/>
      <c r="F784" s="234">
        <v>0</v>
      </c>
      <c r="G784" s="234">
        <v>0</v>
      </c>
      <c r="H784" s="234">
        <v>0</v>
      </c>
      <c r="I784" s="234">
        <v>0</v>
      </c>
      <c r="J784" s="234">
        <v>0</v>
      </c>
      <c r="K784" s="234"/>
      <c r="L784" s="235"/>
      <c r="M784" s="215">
        <f>8^2/162</f>
        <v>0.39506172839506171</v>
      </c>
      <c r="N784" s="251">
        <f>10^2/162</f>
        <v>0.61728395061728392</v>
      </c>
      <c r="O784" s="251">
        <v>0.88800000000000001</v>
      </c>
      <c r="P784" s="251">
        <f>16^2/162</f>
        <v>1.5802469135802468</v>
      </c>
      <c r="Q784" s="251">
        <v>2.4700000000000002</v>
      </c>
      <c r="R784" s="251">
        <v>3.85</v>
      </c>
      <c r="S784" s="251">
        <v>6.31</v>
      </c>
    </row>
    <row r="785" spans="1:19" s="236" customFormat="1" ht="24.95" customHeight="1">
      <c r="A785" s="195"/>
      <c r="B785" s="216" t="s">
        <v>484</v>
      </c>
      <c r="C785" s="196"/>
      <c r="D785" s="204"/>
      <c r="E785" s="213"/>
      <c r="F785" s="234">
        <v>0</v>
      </c>
      <c r="G785" s="234">
        <v>0</v>
      </c>
      <c r="H785" s="234">
        <v>0</v>
      </c>
      <c r="I785" s="234">
        <v>0</v>
      </c>
      <c r="J785" s="234">
        <v>0</v>
      </c>
      <c r="K785" s="234"/>
      <c r="L785" s="235"/>
      <c r="M785" s="200">
        <f>ROUND(M783*M784,0)</f>
        <v>5991</v>
      </c>
      <c r="N785" s="200">
        <f t="shared" ref="N785:S785" si="117">ROUND(N783*N784,0)</f>
        <v>3667</v>
      </c>
      <c r="O785" s="200">
        <f t="shared" si="117"/>
        <v>562</v>
      </c>
      <c r="P785" s="200">
        <f t="shared" si="117"/>
        <v>0</v>
      </c>
      <c r="Q785" s="200">
        <f t="shared" si="117"/>
        <v>0</v>
      </c>
      <c r="R785" s="200">
        <f t="shared" si="117"/>
        <v>0</v>
      </c>
      <c r="S785" s="200">
        <f t="shared" si="117"/>
        <v>0</v>
      </c>
    </row>
    <row r="786" spans="1:19" s="236" customFormat="1" ht="24.95" customHeight="1">
      <c r="A786" s="195"/>
      <c r="B786" s="212" t="s">
        <v>485</v>
      </c>
      <c r="C786" s="196"/>
      <c r="D786" s="204"/>
      <c r="E786" s="213"/>
      <c r="F786" s="234">
        <v>0</v>
      </c>
      <c r="G786" s="234">
        <v>0</v>
      </c>
      <c r="H786" s="234">
        <v>0</v>
      </c>
      <c r="I786" s="234">
        <v>0</v>
      </c>
      <c r="J786" s="234">
        <v>0</v>
      </c>
      <c r="K786" s="234"/>
      <c r="L786" s="235"/>
      <c r="M786" s="200">
        <f>M785+N785+O785+P785+Q785+R785+S785</f>
        <v>10220</v>
      </c>
      <c r="N786" s="200" t="s">
        <v>486</v>
      </c>
      <c r="O786" s="200"/>
      <c r="P786" s="200"/>
      <c r="Q786" s="200"/>
      <c r="R786" s="200"/>
      <c r="S786" s="200"/>
    </row>
    <row r="787" spans="1:19" s="236" customFormat="1" ht="24.95" customHeight="1">
      <c r="A787" s="195"/>
      <c r="B787" s="217" t="s">
        <v>487</v>
      </c>
      <c r="C787" s="218"/>
      <c r="D787" s="219"/>
      <c r="E787" s="220"/>
      <c r="F787" s="234">
        <v>0</v>
      </c>
      <c r="G787" s="234">
        <v>0</v>
      </c>
      <c r="H787" s="234">
        <v>0</v>
      </c>
      <c r="I787" s="234">
        <v>0</v>
      </c>
      <c r="J787" s="234">
        <v>0</v>
      </c>
      <c r="K787" s="234"/>
      <c r="L787" s="235"/>
      <c r="M787" s="221">
        <f>M786/1000</f>
        <v>10.220000000000001</v>
      </c>
      <c r="N787" s="222" t="s">
        <v>374</v>
      </c>
      <c r="O787" s="200"/>
      <c r="P787" s="200"/>
      <c r="Q787" s="200"/>
      <c r="R787" s="200"/>
      <c r="S787" s="200"/>
    </row>
    <row r="788" spans="1:19" s="236" customFormat="1" ht="24.95" customHeight="1">
      <c r="A788" s="195"/>
      <c r="B788" s="172"/>
      <c r="C788" s="196"/>
      <c r="D788" s="204"/>
      <c r="E788" s="203"/>
      <c r="F788" s="234"/>
      <c r="G788" s="234"/>
      <c r="H788" s="234"/>
      <c r="I788" s="234"/>
      <c r="J788" s="234"/>
      <c r="K788" s="234">
        <v>0</v>
      </c>
      <c r="L788" s="235">
        <v>0</v>
      </c>
      <c r="M788" s="200">
        <v>0</v>
      </c>
      <c r="N788" s="200">
        <v>0</v>
      </c>
      <c r="O788" s="200">
        <v>0</v>
      </c>
      <c r="P788" s="200">
        <v>0</v>
      </c>
      <c r="Q788" s="200">
        <v>0</v>
      </c>
      <c r="R788" s="200">
        <v>0</v>
      </c>
      <c r="S788" s="200">
        <v>0</v>
      </c>
    </row>
    <row r="789" spans="1:19" ht="16.5">
      <c r="A789" s="195"/>
      <c r="B789" s="172"/>
      <c r="C789" s="196"/>
      <c r="D789" s="204"/>
      <c r="E789" s="203"/>
      <c r="F789" s="198"/>
      <c r="G789" s="198"/>
      <c r="H789" s="198"/>
      <c r="I789" s="198"/>
      <c r="J789" s="198"/>
      <c r="K789" s="198"/>
      <c r="L789" s="199"/>
      <c r="M789" s="200"/>
      <c r="N789" s="200"/>
      <c r="O789" s="200"/>
      <c r="P789" s="200"/>
      <c r="Q789" s="200"/>
      <c r="R789" s="200"/>
      <c r="S789" s="200"/>
    </row>
    <row r="790" spans="1:19" ht="16.5">
      <c r="A790" s="195"/>
      <c r="B790" s="172"/>
      <c r="C790" s="196"/>
      <c r="D790" s="204"/>
      <c r="E790" s="203"/>
      <c r="F790" s="198"/>
      <c r="G790" s="198"/>
      <c r="H790" s="198"/>
      <c r="I790" s="198"/>
      <c r="J790" s="198"/>
      <c r="K790" s="198"/>
      <c r="L790" s="199"/>
      <c r="M790" s="248">
        <v>10.413</v>
      </c>
      <c r="N790" s="248"/>
      <c r="O790" s="248"/>
      <c r="P790" s="248"/>
      <c r="Q790" s="248"/>
      <c r="R790" s="248"/>
      <c r="S790" s="248"/>
    </row>
    <row r="791" spans="1:19" ht="16.5">
      <c r="A791" s="195"/>
      <c r="B791" s="172"/>
      <c r="C791" s="196"/>
      <c r="D791" s="204"/>
      <c r="E791" s="203"/>
      <c r="F791" s="198"/>
      <c r="G791" s="198"/>
      <c r="H791" s="198"/>
      <c r="I791" s="198"/>
      <c r="J791" s="198"/>
      <c r="K791" s="198"/>
      <c r="L791" s="199"/>
      <c r="M791" s="200"/>
      <c r="N791" s="200"/>
      <c r="O791" s="200"/>
      <c r="P791" s="200"/>
      <c r="Q791" s="200"/>
      <c r="R791" s="200"/>
      <c r="S791" s="200"/>
    </row>
    <row r="792" spans="1:19" ht="16.5">
      <c r="A792" s="195"/>
      <c r="B792" s="172"/>
      <c r="C792" s="196"/>
      <c r="D792" s="204"/>
      <c r="E792" s="203"/>
      <c r="F792" s="198"/>
      <c r="G792" s="198"/>
      <c r="H792" s="198"/>
      <c r="I792" s="198"/>
      <c r="J792" s="198"/>
      <c r="K792" s="198"/>
      <c r="L792" s="199"/>
      <c r="M792" s="200"/>
      <c r="N792" s="200"/>
      <c r="O792" s="200"/>
      <c r="P792" s="200"/>
      <c r="Q792" s="200"/>
      <c r="R792" s="200"/>
      <c r="S792" s="200"/>
    </row>
    <row r="793" spans="1:19" ht="16.5">
      <c r="A793" s="195"/>
      <c r="B793" s="172"/>
      <c r="C793" s="196"/>
      <c r="D793" s="204"/>
      <c r="E793" s="203"/>
      <c r="F793" s="198"/>
      <c r="G793" s="198"/>
      <c r="H793" s="198"/>
      <c r="I793" s="198"/>
      <c r="J793" s="198"/>
      <c r="K793" s="198"/>
      <c r="L793" s="199"/>
      <c r="M793" s="200"/>
      <c r="N793" s="200"/>
      <c r="O793" s="200"/>
      <c r="P793" s="200"/>
      <c r="Q793" s="200"/>
      <c r="R793" s="200"/>
      <c r="S793" s="200"/>
    </row>
    <row r="794" spans="1:19" ht="16.5">
      <c r="A794" s="195"/>
      <c r="B794" s="172"/>
      <c r="C794" s="196"/>
      <c r="D794" s="204"/>
      <c r="E794" s="203"/>
      <c r="F794" s="198"/>
      <c r="G794" s="198"/>
      <c r="H794" s="198"/>
      <c r="I794" s="198"/>
      <c r="J794" s="198"/>
      <c r="K794" s="198"/>
      <c r="L794" s="199"/>
      <c r="M794" s="200"/>
      <c r="N794" s="200"/>
      <c r="O794" s="200"/>
      <c r="P794" s="200"/>
      <c r="Q794" s="200"/>
      <c r="R794" s="200"/>
      <c r="S794" s="200"/>
    </row>
    <row r="795" spans="1:19" ht="16.5">
      <c r="A795" s="195"/>
      <c r="B795" s="172"/>
      <c r="C795" s="196"/>
      <c r="D795" s="204"/>
      <c r="E795" s="203"/>
      <c r="F795" s="198"/>
      <c r="G795" s="198"/>
      <c r="H795" s="198"/>
      <c r="I795" s="198"/>
      <c r="J795" s="198"/>
      <c r="K795" s="198"/>
      <c r="L795" s="199"/>
      <c r="M795" s="200"/>
      <c r="N795" s="200"/>
      <c r="O795" s="200"/>
      <c r="P795" s="200"/>
      <c r="Q795" s="200"/>
      <c r="R795" s="200"/>
      <c r="S795" s="200"/>
    </row>
    <row r="796" spans="1:19" ht="16.5">
      <c r="A796" s="195"/>
      <c r="B796" s="172"/>
      <c r="C796" s="196"/>
      <c r="D796" s="204"/>
      <c r="E796" s="203"/>
      <c r="F796" s="198"/>
      <c r="G796" s="198"/>
      <c r="H796" s="198"/>
      <c r="I796" s="198"/>
      <c r="J796" s="198"/>
      <c r="K796" s="198"/>
      <c r="L796" s="199"/>
      <c r="M796" s="200"/>
      <c r="N796" s="200"/>
      <c r="O796" s="200"/>
      <c r="P796" s="200"/>
      <c r="Q796" s="200"/>
      <c r="R796" s="200"/>
      <c r="S796" s="200"/>
    </row>
    <row r="797" spans="1:19" ht="16.5">
      <c r="A797" s="195"/>
      <c r="B797" s="172"/>
      <c r="C797" s="196"/>
      <c r="D797" s="204"/>
      <c r="E797" s="203"/>
      <c r="F797" s="198"/>
      <c r="G797" s="198"/>
      <c r="H797" s="198"/>
      <c r="I797" s="198"/>
      <c r="J797" s="198"/>
      <c r="K797" s="198"/>
      <c r="L797" s="199"/>
      <c r="M797" s="200"/>
      <c r="N797" s="200"/>
      <c r="O797" s="200"/>
      <c r="P797" s="200"/>
      <c r="Q797" s="200"/>
      <c r="R797" s="200"/>
      <c r="S797" s="200"/>
    </row>
    <row r="798" spans="1:19" ht="16.5">
      <c r="A798" s="195"/>
      <c r="B798" s="172"/>
      <c r="C798" s="196"/>
      <c r="D798" s="204"/>
      <c r="E798" s="203"/>
      <c r="F798" s="198"/>
      <c r="G798" s="198"/>
      <c r="H798" s="198"/>
      <c r="I798" s="198"/>
      <c r="J798" s="198"/>
      <c r="K798" s="198"/>
      <c r="L798" s="199"/>
      <c r="M798" s="200"/>
      <c r="N798" s="200"/>
      <c r="O798" s="200"/>
      <c r="P798" s="200"/>
      <c r="Q798" s="200"/>
      <c r="R798" s="200"/>
      <c r="S798" s="200"/>
    </row>
    <row r="799" spans="1:19" ht="16.5">
      <c r="A799" s="195"/>
      <c r="B799" s="172"/>
      <c r="C799" s="196"/>
      <c r="D799" s="204"/>
      <c r="E799" s="203"/>
      <c r="F799" s="198"/>
      <c r="G799" s="198"/>
      <c r="H799" s="198"/>
      <c r="I799" s="198"/>
      <c r="J799" s="198"/>
      <c r="K799" s="198"/>
      <c r="L799" s="199"/>
      <c r="M799" s="200"/>
      <c r="N799" s="200"/>
      <c r="O799" s="200"/>
      <c r="P799" s="200"/>
      <c r="Q799" s="200"/>
      <c r="R799" s="200"/>
      <c r="S799" s="200"/>
    </row>
    <row r="800" spans="1:19" ht="16.5">
      <c r="A800" s="195"/>
      <c r="B800" s="172"/>
      <c r="C800" s="196"/>
      <c r="D800" s="204"/>
      <c r="E800" s="203"/>
      <c r="F800" s="198"/>
      <c r="G800" s="198"/>
      <c r="H800" s="198"/>
      <c r="I800" s="198"/>
      <c r="J800" s="198"/>
      <c r="K800" s="198"/>
      <c r="L800" s="199"/>
      <c r="M800" s="200"/>
      <c r="N800" s="200"/>
      <c r="O800" s="200"/>
      <c r="P800" s="200"/>
      <c r="Q800" s="200"/>
      <c r="R800" s="200"/>
      <c r="S800" s="200"/>
    </row>
    <row r="801" spans="1:19" ht="16.5">
      <c r="A801" s="195"/>
      <c r="B801" s="172"/>
      <c r="C801" s="196"/>
      <c r="D801" s="204"/>
      <c r="E801" s="203"/>
      <c r="F801" s="198"/>
      <c r="G801" s="198"/>
      <c r="H801" s="198"/>
      <c r="I801" s="198"/>
      <c r="J801" s="198"/>
      <c r="K801" s="198"/>
      <c r="L801" s="199"/>
      <c r="M801" s="200"/>
      <c r="N801" s="200"/>
      <c r="O801" s="200"/>
      <c r="P801" s="200"/>
      <c r="Q801" s="200"/>
      <c r="R801" s="200"/>
      <c r="S801" s="200"/>
    </row>
    <row r="802" spans="1:19" ht="16.5">
      <c r="A802" s="195"/>
      <c r="B802" s="172"/>
      <c r="C802" s="196"/>
      <c r="D802" s="204"/>
      <c r="E802" s="203"/>
      <c r="F802" s="198"/>
      <c r="G802" s="198"/>
      <c r="H802" s="198"/>
      <c r="I802" s="198"/>
      <c r="J802" s="198"/>
      <c r="K802" s="198"/>
      <c r="L802" s="199"/>
      <c r="M802" s="200"/>
      <c r="N802" s="200"/>
      <c r="O802" s="200"/>
      <c r="P802" s="200"/>
      <c r="Q802" s="200"/>
      <c r="R802" s="200"/>
      <c r="S802" s="200"/>
    </row>
    <row r="803" spans="1:19" ht="16.5">
      <c r="A803" s="195"/>
      <c r="B803" s="172"/>
      <c r="C803" s="196"/>
      <c r="D803" s="204"/>
      <c r="E803" s="203"/>
      <c r="F803" s="198"/>
      <c r="G803" s="198"/>
      <c r="H803" s="198"/>
      <c r="I803" s="198"/>
      <c r="J803" s="198"/>
      <c r="K803" s="198"/>
      <c r="L803" s="199"/>
      <c r="M803" s="200"/>
      <c r="N803" s="200"/>
      <c r="O803" s="200"/>
      <c r="P803" s="200"/>
      <c r="Q803" s="200"/>
      <c r="R803" s="200"/>
      <c r="S803" s="200"/>
    </row>
    <row r="804" spans="1:19" ht="16.5">
      <c r="A804" s="195"/>
      <c r="B804" s="172"/>
      <c r="C804" s="196"/>
      <c r="D804" s="204"/>
      <c r="E804" s="203"/>
      <c r="F804" s="198"/>
      <c r="G804" s="198"/>
      <c r="H804" s="198"/>
      <c r="I804" s="198"/>
      <c r="J804" s="198"/>
      <c r="K804" s="198"/>
      <c r="L804" s="199"/>
      <c r="M804" s="200"/>
      <c r="N804" s="200"/>
      <c r="O804" s="200"/>
      <c r="P804" s="200"/>
      <c r="Q804" s="200"/>
      <c r="R804" s="200"/>
      <c r="S804" s="200"/>
    </row>
    <row r="805" spans="1:19" ht="16.5">
      <c r="A805" s="195"/>
      <c r="B805" s="172"/>
      <c r="C805" s="196"/>
      <c r="D805" s="204"/>
      <c r="E805" s="203"/>
      <c r="F805" s="198"/>
      <c r="G805" s="198"/>
      <c r="H805" s="198"/>
      <c r="I805" s="198"/>
      <c r="J805" s="198"/>
      <c r="K805" s="198"/>
      <c r="L805" s="199"/>
      <c r="M805" s="200"/>
      <c r="N805" s="200"/>
      <c r="O805" s="200"/>
      <c r="P805" s="200"/>
      <c r="Q805" s="200"/>
      <c r="R805" s="200"/>
      <c r="S805" s="200"/>
    </row>
    <row r="806" spans="1:19" ht="16.5">
      <c r="A806" s="195"/>
      <c r="B806" s="172"/>
      <c r="C806" s="196"/>
      <c r="D806" s="204"/>
      <c r="E806" s="203"/>
      <c r="F806" s="198"/>
      <c r="G806" s="198"/>
      <c r="H806" s="198"/>
      <c r="I806" s="198"/>
      <c r="J806" s="198"/>
      <c r="K806" s="198"/>
      <c r="L806" s="199"/>
      <c r="M806" s="200"/>
      <c r="N806" s="200"/>
      <c r="O806" s="200"/>
      <c r="P806" s="200"/>
      <c r="Q806" s="200"/>
      <c r="R806" s="200"/>
      <c r="S806" s="200"/>
    </row>
    <row r="807" spans="1:19" ht="16.5">
      <c r="A807" s="195"/>
      <c r="B807" s="172"/>
      <c r="C807" s="196"/>
      <c r="D807" s="204"/>
      <c r="E807" s="203"/>
      <c r="F807" s="198"/>
      <c r="G807" s="198"/>
      <c r="H807" s="198"/>
      <c r="I807" s="198"/>
      <c r="J807" s="198"/>
      <c r="K807" s="198"/>
      <c r="L807" s="199"/>
      <c r="M807" s="200"/>
      <c r="N807" s="200"/>
      <c r="O807" s="200"/>
      <c r="P807" s="200"/>
      <c r="Q807" s="200"/>
      <c r="R807" s="200"/>
      <c r="S807" s="200"/>
    </row>
    <row r="808" spans="1:19" ht="16.5">
      <c r="A808" s="195"/>
      <c r="B808" s="172"/>
      <c r="C808" s="196"/>
      <c r="D808" s="204"/>
      <c r="E808" s="203"/>
      <c r="F808" s="198"/>
      <c r="G808" s="198"/>
      <c r="H808" s="198"/>
      <c r="I808" s="198"/>
      <c r="J808" s="198"/>
      <c r="K808" s="198"/>
      <c r="L808" s="199"/>
      <c r="M808" s="200"/>
      <c r="N808" s="200"/>
      <c r="O808" s="200"/>
      <c r="P808" s="200"/>
      <c r="Q808" s="200"/>
      <c r="R808" s="200"/>
      <c r="S808" s="200"/>
    </row>
    <row r="809" spans="1:19" ht="16.5">
      <c r="A809" s="195"/>
      <c r="B809" s="172"/>
      <c r="C809" s="196"/>
      <c r="D809" s="204"/>
      <c r="E809" s="203"/>
      <c r="F809" s="198"/>
      <c r="G809" s="198"/>
      <c r="H809" s="198"/>
      <c r="I809" s="198"/>
      <c r="J809" s="198"/>
      <c r="K809" s="198"/>
      <c r="L809" s="199"/>
      <c r="M809" s="200"/>
      <c r="N809" s="200"/>
      <c r="O809" s="200"/>
      <c r="P809" s="200"/>
      <c r="Q809" s="200"/>
      <c r="R809" s="200"/>
      <c r="S809" s="200"/>
    </row>
    <row r="810" spans="1:19" ht="16.5">
      <c r="A810" s="195"/>
      <c r="B810" s="172"/>
      <c r="C810" s="196"/>
      <c r="D810" s="204"/>
      <c r="E810" s="203"/>
      <c r="F810" s="198"/>
      <c r="G810" s="198"/>
      <c r="H810" s="198"/>
      <c r="I810" s="198"/>
      <c r="J810" s="198"/>
      <c r="K810" s="198"/>
      <c r="L810" s="199"/>
      <c r="M810" s="200"/>
      <c r="N810" s="200"/>
      <c r="O810" s="200"/>
      <c r="P810" s="200"/>
      <c r="Q810" s="200"/>
      <c r="R810" s="200"/>
      <c r="S810" s="200"/>
    </row>
    <row r="811" spans="1:19" ht="16.5">
      <c r="A811" s="195"/>
      <c r="B811" s="172"/>
      <c r="C811" s="196"/>
      <c r="D811" s="204"/>
      <c r="E811" s="203"/>
      <c r="F811" s="198"/>
      <c r="G811" s="198"/>
      <c r="H811" s="198"/>
      <c r="I811" s="198"/>
      <c r="J811" s="198"/>
      <c r="K811" s="198"/>
      <c r="L811" s="199"/>
      <c r="M811" s="200"/>
      <c r="N811" s="200"/>
      <c r="O811" s="200"/>
      <c r="P811" s="200"/>
      <c r="Q811" s="200"/>
      <c r="R811" s="200"/>
      <c r="S811" s="200"/>
    </row>
    <row r="812" spans="1:19" ht="16.5">
      <c r="A812" s="195"/>
      <c r="B812" s="172"/>
      <c r="C812" s="196"/>
      <c r="D812" s="204"/>
      <c r="E812" s="203"/>
      <c r="F812" s="198"/>
      <c r="G812" s="198"/>
      <c r="H812" s="198"/>
      <c r="I812" s="198"/>
      <c r="J812" s="198"/>
      <c r="K812" s="198"/>
      <c r="L812" s="199"/>
      <c r="M812" s="200"/>
      <c r="N812" s="200"/>
      <c r="O812" s="200"/>
      <c r="P812" s="200"/>
      <c r="Q812" s="200"/>
      <c r="R812" s="200"/>
      <c r="S812" s="200"/>
    </row>
    <row r="813" spans="1:19" ht="16.5">
      <c r="A813" s="195"/>
      <c r="B813" s="212"/>
      <c r="C813" s="196"/>
      <c r="D813" s="204"/>
      <c r="E813" s="213"/>
      <c r="F813" s="198"/>
      <c r="G813" s="198"/>
      <c r="H813" s="198"/>
      <c r="I813" s="198"/>
      <c r="J813" s="198"/>
      <c r="K813" s="198"/>
      <c r="L813" s="199"/>
      <c r="M813" s="200"/>
      <c r="N813" s="200"/>
      <c r="O813" s="200"/>
      <c r="P813" s="200"/>
      <c r="Q813" s="200"/>
      <c r="R813" s="200"/>
      <c r="S813" s="200"/>
    </row>
    <row r="814" spans="1:19" ht="16.5">
      <c r="A814" s="195"/>
      <c r="B814" s="214"/>
      <c r="C814" s="196"/>
      <c r="D814" s="204"/>
      <c r="E814" s="213"/>
      <c r="F814" s="198"/>
      <c r="G814" s="198"/>
      <c r="H814" s="198"/>
      <c r="I814" s="198"/>
      <c r="J814" s="198"/>
      <c r="K814" s="198"/>
      <c r="L814" s="199"/>
      <c r="M814" s="215"/>
      <c r="N814" s="215"/>
      <c r="O814" s="215"/>
      <c r="P814" s="215"/>
      <c r="Q814" s="215"/>
      <c r="R814" s="215"/>
      <c r="S814" s="215"/>
    </row>
    <row r="815" spans="1:19" ht="16.5">
      <c r="A815" s="195"/>
      <c r="B815" s="216"/>
      <c r="C815" s="196"/>
      <c r="D815" s="204"/>
      <c r="E815" s="213"/>
      <c r="F815" s="198"/>
      <c r="G815" s="198"/>
      <c r="H815" s="198"/>
      <c r="I815" s="198"/>
      <c r="J815" s="198"/>
      <c r="K815" s="198"/>
      <c r="L815" s="199"/>
      <c r="M815" s="200"/>
      <c r="N815" s="200"/>
      <c r="O815" s="200"/>
      <c r="P815" s="200"/>
      <c r="Q815" s="200"/>
      <c r="R815" s="200"/>
      <c r="S815" s="200"/>
    </row>
    <row r="816" spans="1:19" ht="16.5">
      <c r="A816" s="195"/>
      <c r="B816" s="172"/>
      <c r="C816" s="196"/>
      <c r="D816" s="204"/>
      <c r="E816" s="203"/>
      <c r="F816" s="198"/>
      <c r="G816" s="198"/>
      <c r="H816" s="198"/>
      <c r="I816" s="198"/>
      <c r="J816" s="198"/>
      <c r="K816" s="198"/>
      <c r="L816" s="199"/>
      <c r="M816" s="200"/>
      <c r="N816" s="200"/>
      <c r="O816" s="200"/>
      <c r="P816" s="200"/>
      <c r="Q816" s="200"/>
      <c r="R816" s="200"/>
      <c r="S816" s="200"/>
    </row>
    <row r="817" spans="1:19" ht="16.5">
      <c r="A817" s="195"/>
      <c r="B817" s="172"/>
      <c r="C817" s="196"/>
      <c r="D817" s="204"/>
      <c r="E817" s="203"/>
      <c r="F817" s="198"/>
      <c r="G817" s="198"/>
      <c r="H817" s="198"/>
      <c r="I817" s="198"/>
      <c r="J817" s="198"/>
      <c r="K817" s="198"/>
      <c r="L817" s="199"/>
      <c r="M817" s="200"/>
      <c r="N817" s="200"/>
      <c r="O817" s="200"/>
      <c r="P817" s="200"/>
      <c r="Q817" s="200"/>
      <c r="R817" s="200"/>
      <c r="S817" s="200"/>
    </row>
    <row r="818" spans="1:19" ht="16.5">
      <c r="A818" s="195"/>
      <c r="B818" s="172"/>
      <c r="C818" s="196"/>
      <c r="D818" s="204"/>
      <c r="E818" s="203"/>
      <c r="F818" s="198"/>
      <c r="G818" s="198"/>
      <c r="H818" s="198"/>
      <c r="I818" s="198"/>
      <c r="J818" s="198"/>
      <c r="K818" s="198"/>
      <c r="L818" s="199"/>
      <c r="M818" s="200"/>
      <c r="N818" s="200"/>
      <c r="O818" s="200"/>
      <c r="P818" s="200"/>
      <c r="Q818" s="200"/>
      <c r="R818" s="200"/>
      <c r="S818" s="200"/>
    </row>
    <row r="819" spans="1:19" ht="16.5">
      <c r="A819" s="195"/>
      <c r="B819" s="172"/>
      <c r="C819" s="196"/>
      <c r="D819" s="204"/>
      <c r="E819" s="203"/>
      <c r="F819" s="198"/>
      <c r="G819" s="198"/>
      <c r="H819" s="198"/>
      <c r="I819" s="198"/>
      <c r="J819" s="198"/>
      <c r="K819" s="198"/>
      <c r="L819" s="199"/>
      <c r="M819" s="200"/>
      <c r="N819" s="200"/>
      <c r="O819" s="200"/>
      <c r="P819" s="200"/>
      <c r="Q819" s="200"/>
      <c r="R819" s="200"/>
      <c r="S819" s="200"/>
    </row>
    <row r="820" spans="1:19" ht="16.5">
      <c r="A820" s="195"/>
      <c r="B820" s="172"/>
      <c r="C820" s="196"/>
      <c r="D820" s="204"/>
      <c r="E820" s="203"/>
      <c r="F820" s="198"/>
      <c r="G820" s="198"/>
      <c r="H820" s="198"/>
      <c r="I820" s="198"/>
      <c r="J820" s="198"/>
      <c r="K820" s="198"/>
      <c r="L820" s="199"/>
      <c r="M820" s="200"/>
      <c r="N820" s="200"/>
      <c r="O820" s="200"/>
      <c r="P820" s="200"/>
      <c r="Q820" s="200"/>
      <c r="R820" s="200"/>
      <c r="S820" s="200"/>
    </row>
    <row r="821" spans="1:19" ht="16.5">
      <c r="A821" s="195"/>
      <c r="B821" s="172"/>
      <c r="C821" s="196"/>
      <c r="D821" s="204"/>
      <c r="E821" s="203"/>
      <c r="F821" s="198"/>
      <c r="G821" s="198"/>
      <c r="H821" s="198"/>
      <c r="I821" s="198"/>
      <c r="J821" s="198"/>
      <c r="K821" s="198"/>
      <c r="L821" s="199"/>
      <c r="M821" s="200"/>
      <c r="N821" s="200"/>
      <c r="O821" s="200"/>
      <c r="P821" s="200"/>
      <c r="Q821" s="200"/>
      <c r="R821" s="200"/>
      <c r="S821" s="200"/>
    </row>
    <row r="822" spans="1:19" ht="16.5">
      <c r="A822" s="195"/>
      <c r="B822" s="172"/>
      <c r="C822" s="196"/>
      <c r="D822" s="204"/>
      <c r="E822" s="203"/>
      <c r="F822" s="198"/>
      <c r="G822" s="198"/>
      <c r="H822" s="198"/>
      <c r="I822" s="198"/>
      <c r="J822" s="198"/>
      <c r="K822" s="198"/>
      <c r="L822" s="199"/>
      <c r="M822" s="200"/>
      <c r="N822" s="200"/>
      <c r="O822" s="200"/>
      <c r="P822" s="200"/>
      <c r="Q822" s="200"/>
      <c r="R822" s="200"/>
      <c r="S822" s="200"/>
    </row>
    <row r="823" spans="1:19" ht="16.5">
      <c r="A823" s="195"/>
      <c r="B823" s="172"/>
      <c r="C823" s="196"/>
      <c r="D823" s="204"/>
      <c r="E823" s="203"/>
      <c r="F823" s="198"/>
      <c r="G823" s="198"/>
      <c r="H823" s="198"/>
      <c r="I823" s="198"/>
      <c r="J823" s="198"/>
      <c r="K823" s="198"/>
      <c r="L823" s="199"/>
      <c r="M823" s="200"/>
      <c r="N823" s="200"/>
      <c r="O823" s="200"/>
      <c r="P823" s="200"/>
      <c r="Q823" s="200"/>
      <c r="R823" s="200"/>
      <c r="S823" s="200"/>
    </row>
    <row r="824" spans="1:19" ht="16.5">
      <c r="A824" s="195"/>
      <c r="B824" s="172"/>
      <c r="C824" s="196"/>
      <c r="D824" s="204"/>
      <c r="E824" s="203"/>
      <c r="F824" s="198"/>
      <c r="G824" s="198"/>
      <c r="H824" s="198"/>
      <c r="I824" s="198"/>
      <c r="J824" s="198"/>
      <c r="K824" s="198"/>
      <c r="L824" s="199"/>
      <c r="M824" s="200"/>
      <c r="N824" s="200"/>
      <c r="O824" s="200"/>
      <c r="P824" s="200"/>
      <c r="Q824" s="200"/>
      <c r="R824" s="200"/>
      <c r="S824" s="200"/>
    </row>
    <row r="825" spans="1:19" ht="16.5">
      <c r="A825" s="195"/>
      <c r="B825" s="172"/>
      <c r="C825" s="196"/>
      <c r="D825" s="204"/>
      <c r="E825" s="203"/>
      <c r="F825" s="198"/>
      <c r="G825" s="198"/>
      <c r="H825" s="198"/>
      <c r="I825" s="198"/>
      <c r="J825" s="198"/>
      <c r="K825" s="198"/>
      <c r="L825" s="199"/>
      <c r="M825" s="200"/>
      <c r="N825" s="200"/>
      <c r="O825" s="200"/>
      <c r="P825" s="200"/>
      <c r="Q825" s="200"/>
      <c r="R825" s="200"/>
      <c r="S825" s="200"/>
    </row>
    <row r="826" spans="1:19" ht="16.5">
      <c r="A826" s="195"/>
      <c r="B826" s="172"/>
      <c r="C826" s="196"/>
      <c r="D826" s="204"/>
      <c r="E826" s="203"/>
      <c r="F826" s="198"/>
      <c r="G826" s="198"/>
      <c r="H826" s="198"/>
      <c r="I826" s="198"/>
      <c r="J826" s="198"/>
      <c r="K826" s="198"/>
      <c r="L826" s="199"/>
      <c r="M826" s="200"/>
      <c r="N826" s="200"/>
      <c r="O826" s="200"/>
      <c r="P826" s="200"/>
      <c r="Q826" s="200"/>
      <c r="R826" s="200"/>
      <c r="S826" s="200"/>
    </row>
    <row r="827" spans="1:19" ht="16.5">
      <c r="A827" s="195"/>
      <c r="B827" s="172"/>
      <c r="C827" s="196"/>
      <c r="D827" s="204"/>
      <c r="E827" s="203"/>
      <c r="F827" s="198"/>
      <c r="G827" s="198"/>
      <c r="H827" s="198"/>
      <c r="I827" s="198"/>
      <c r="J827" s="198"/>
      <c r="K827" s="198"/>
      <c r="L827" s="199"/>
      <c r="M827" s="200"/>
      <c r="N827" s="200"/>
      <c r="O827" s="200"/>
      <c r="P827" s="200"/>
      <c r="Q827" s="200"/>
      <c r="R827" s="200"/>
      <c r="S827" s="200"/>
    </row>
    <row r="828" spans="1:19" ht="16.5">
      <c r="A828" s="195"/>
      <c r="B828" s="172"/>
      <c r="C828" s="196"/>
      <c r="D828" s="204"/>
      <c r="E828" s="171"/>
      <c r="F828" s="198"/>
      <c r="G828" s="198"/>
      <c r="H828" s="198"/>
      <c r="I828" s="198"/>
      <c r="J828" s="198"/>
      <c r="K828" s="198"/>
      <c r="L828" s="199"/>
      <c r="M828" s="200"/>
      <c r="N828" s="200"/>
      <c r="O828" s="200"/>
      <c r="P828" s="200"/>
      <c r="Q828" s="200"/>
      <c r="R828" s="200"/>
      <c r="S828" s="200"/>
    </row>
    <row r="829" spans="1:19" ht="16.5">
      <c r="A829" s="195"/>
      <c r="B829" s="172"/>
      <c r="C829" s="196"/>
      <c r="D829" s="204"/>
      <c r="E829" s="203"/>
      <c r="F829" s="198"/>
      <c r="G829" s="198"/>
      <c r="H829" s="198"/>
      <c r="I829" s="198"/>
      <c r="J829" s="198"/>
      <c r="K829" s="198"/>
      <c r="L829" s="199"/>
      <c r="M829" s="200"/>
      <c r="N829" s="200"/>
      <c r="O829" s="200"/>
      <c r="P829" s="200"/>
      <c r="Q829" s="200"/>
      <c r="R829" s="200"/>
      <c r="S829" s="200"/>
    </row>
    <row r="830" spans="1:19" ht="16.5">
      <c r="A830" s="195"/>
      <c r="B830" s="172"/>
      <c r="C830" s="196"/>
      <c r="D830" s="204"/>
      <c r="E830" s="203"/>
      <c r="F830" s="198"/>
      <c r="G830" s="198"/>
      <c r="H830" s="198"/>
      <c r="I830" s="198"/>
      <c r="J830" s="198"/>
      <c r="K830" s="198"/>
      <c r="L830" s="199"/>
      <c r="M830" s="200"/>
      <c r="N830" s="200"/>
      <c r="O830" s="200"/>
      <c r="P830" s="200"/>
      <c r="Q830" s="200"/>
      <c r="R830" s="200"/>
      <c r="S830" s="200"/>
    </row>
    <row r="831" spans="1:19" ht="16.5">
      <c r="A831" s="195"/>
      <c r="B831" s="172"/>
      <c r="C831" s="196"/>
      <c r="D831" s="204"/>
      <c r="E831" s="203"/>
      <c r="F831" s="198"/>
      <c r="G831" s="198"/>
      <c r="H831" s="198"/>
      <c r="I831" s="198"/>
      <c r="J831" s="198"/>
      <c r="K831" s="198"/>
      <c r="L831" s="199"/>
      <c r="M831" s="200"/>
      <c r="N831" s="200"/>
      <c r="O831" s="200"/>
      <c r="P831" s="200"/>
      <c r="Q831" s="200"/>
      <c r="R831" s="200"/>
      <c r="S831" s="200"/>
    </row>
    <row r="832" spans="1:19" ht="16.5">
      <c r="A832" s="195"/>
      <c r="B832" s="172"/>
      <c r="C832" s="196"/>
      <c r="D832" s="204"/>
      <c r="E832" s="203"/>
      <c r="F832" s="198"/>
      <c r="G832" s="198"/>
      <c r="H832" s="198"/>
      <c r="I832" s="198"/>
      <c r="J832" s="198"/>
      <c r="K832" s="198"/>
      <c r="L832" s="199"/>
      <c r="M832" s="200"/>
      <c r="N832" s="200"/>
      <c r="O832" s="200"/>
      <c r="P832" s="200"/>
      <c r="Q832" s="200"/>
      <c r="R832" s="200"/>
      <c r="S832" s="200"/>
    </row>
    <row r="833" spans="1:19" ht="16.5">
      <c r="A833" s="195"/>
      <c r="B833" s="172"/>
      <c r="C833" s="196"/>
      <c r="D833" s="204"/>
      <c r="E833" s="203"/>
      <c r="F833" s="198"/>
      <c r="G833" s="198"/>
      <c r="H833" s="198"/>
      <c r="I833" s="198"/>
      <c r="J833" s="198"/>
      <c r="K833" s="198"/>
      <c r="L833" s="199"/>
      <c r="M833" s="200"/>
      <c r="N833" s="200"/>
      <c r="O833" s="200"/>
      <c r="P833" s="200"/>
      <c r="Q833" s="200"/>
      <c r="R833" s="200"/>
      <c r="S833" s="200"/>
    </row>
    <row r="834" spans="1:19" ht="16.5">
      <c r="A834" s="195"/>
      <c r="B834" s="172"/>
      <c r="C834" s="196"/>
      <c r="D834" s="204"/>
      <c r="E834" s="203"/>
      <c r="F834" s="198"/>
      <c r="G834" s="198"/>
      <c r="H834" s="198"/>
      <c r="I834" s="198"/>
      <c r="J834" s="198"/>
      <c r="K834" s="198"/>
      <c r="L834" s="199"/>
      <c r="M834" s="200"/>
      <c r="N834" s="200"/>
      <c r="O834" s="200"/>
      <c r="P834" s="200"/>
      <c r="Q834" s="200"/>
      <c r="R834" s="200"/>
      <c r="S834" s="200"/>
    </row>
    <row r="835" spans="1:19" ht="16.5">
      <c r="A835" s="195"/>
      <c r="B835" s="172"/>
      <c r="C835" s="196"/>
      <c r="D835" s="204"/>
      <c r="E835" s="203"/>
      <c r="F835" s="198"/>
      <c r="G835" s="198"/>
      <c r="H835" s="198"/>
      <c r="I835" s="198"/>
      <c r="J835" s="198"/>
      <c r="K835" s="198"/>
      <c r="L835" s="199"/>
      <c r="M835" s="200"/>
      <c r="N835" s="200"/>
      <c r="O835" s="200"/>
      <c r="P835" s="200"/>
      <c r="Q835" s="200"/>
      <c r="R835" s="200"/>
      <c r="S835" s="200"/>
    </row>
  </sheetData>
  <mergeCells count="14">
    <mergeCell ref="A1:S1"/>
    <mergeCell ref="A4:D4"/>
    <mergeCell ref="Q4:R4"/>
    <mergeCell ref="A5:D5"/>
    <mergeCell ref="I5:J5"/>
    <mergeCell ref="K6:K7"/>
    <mergeCell ref="L6:L7"/>
    <mergeCell ref="M6:S6"/>
    <mergeCell ref="A6:A7"/>
    <mergeCell ref="B6:B7"/>
    <mergeCell ref="C6:C7"/>
    <mergeCell ref="D6:D7"/>
    <mergeCell ref="E6:E7"/>
    <mergeCell ref="F6:J6"/>
  </mergeCells>
  <hyperlinks>
    <hyperlink ref="B784" r:id="rId1"/>
  </hyperlinks>
  <printOptions horizontalCentered="1"/>
  <pageMargins left="0.7" right="0.7" top="0.75" bottom="0.75" header="0.3" footer="0.3"/>
  <pageSetup scale="50" orientation="portrait" r:id="rId2"/>
  <headerFooter>
    <oddFooter>&amp;R&amp;P/&amp;N</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499984740745262"/>
  </sheetPr>
  <dimension ref="A1:J26"/>
  <sheetViews>
    <sheetView tabSelected="1" view="pageBreakPreview" topLeftCell="A4" zoomScale="90" zoomScaleSheetLayoutView="90" workbookViewId="0">
      <selection activeCell="F7" sqref="F7"/>
    </sheetView>
  </sheetViews>
  <sheetFormatPr defaultRowHeight="18.75"/>
  <cols>
    <col min="1" max="1" width="15.5703125" style="121" customWidth="1"/>
    <col min="2" max="2" width="24.42578125" style="121" customWidth="1"/>
    <col min="3" max="3" width="23.7109375" style="121" customWidth="1"/>
    <col min="4" max="4" width="19.85546875" style="121" bestFit="1" customWidth="1"/>
    <col min="5" max="5" width="19.85546875" style="121" customWidth="1"/>
    <col min="6" max="8" width="20.140625" style="121" customWidth="1"/>
    <col min="9" max="9" width="21.7109375" style="121" customWidth="1"/>
    <col min="10" max="10" width="25.140625" style="121" customWidth="1"/>
    <col min="11" max="16384" width="9.140625" style="121"/>
  </cols>
  <sheetData>
    <row r="1" spans="1:10" ht="38.25" customHeight="1">
      <c r="A1" s="50"/>
      <c r="B1" s="119" t="s">
        <v>52</v>
      </c>
      <c r="C1" s="51"/>
      <c r="D1" s="51"/>
      <c r="E1" s="120"/>
    </row>
    <row r="2" spans="1:10" ht="29.25" customHeight="1" thickBot="1">
      <c r="A2" s="52"/>
      <c r="B2" s="122" t="s">
        <v>53</v>
      </c>
      <c r="C2" s="53"/>
      <c r="D2" s="53"/>
      <c r="E2" s="123"/>
    </row>
    <row r="3" spans="1:10" ht="24.75" customHeight="1" thickBot="1">
      <c r="A3" s="124" t="s">
        <v>54</v>
      </c>
      <c r="B3" s="125" t="s">
        <v>2133</v>
      </c>
      <c r="C3" s="118"/>
      <c r="D3" s="118"/>
      <c r="E3" s="126"/>
    </row>
    <row r="4" spans="1:10" ht="27" customHeight="1" thickBot="1">
      <c r="A4" s="1494" t="s">
        <v>71</v>
      </c>
      <c r="B4" s="1495"/>
      <c r="C4" s="1495"/>
      <c r="D4" s="1495"/>
      <c r="E4" s="1496"/>
    </row>
    <row r="5" spans="1:10" ht="19.5" customHeight="1">
      <c r="A5" s="127"/>
      <c r="B5" s="128"/>
      <c r="C5" s="128"/>
      <c r="D5" s="128"/>
      <c r="E5" s="129"/>
    </row>
    <row r="6" spans="1:10" s="133" customFormat="1" ht="37.5">
      <c r="A6" s="130" t="s">
        <v>63</v>
      </c>
      <c r="B6" s="131" t="s">
        <v>64</v>
      </c>
      <c r="C6" s="131" t="s">
        <v>65</v>
      </c>
      <c r="D6" s="131" t="s">
        <v>66</v>
      </c>
      <c r="E6" s="132" t="s">
        <v>67</v>
      </c>
      <c r="H6" s="131" t="s">
        <v>65</v>
      </c>
      <c r="I6" s="131" t="s">
        <v>66</v>
      </c>
      <c r="J6" s="132" t="s">
        <v>67</v>
      </c>
    </row>
    <row r="7" spans="1:10" ht="30" customHeight="1">
      <c r="A7" s="1193" t="s">
        <v>30</v>
      </c>
      <c r="B7" s="135" t="s">
        <v>2169</v>
      </c>
      <c r="C7" s="136"/>
      <c r="D7" s="136"/>
      <c r="E7" s="137"/>
      <c r="G7" s="128"/>
      <c r="H7" s="136"/>
      <c r="I7" s="136"/>
      <c r="J7" s="137"/>
    </row>
    <row r="8" spans="1:10" ht="39.950000000000003" customHeight="1">
      <c r="A8" s="1193" t="s">
        <v>68</v>
      </c>
      <c r="B8" s="135" t="s">
        <v>88</v>
      </c>
      <c r="C8" s="138">
        <f>' ABS BH (2)'!I52</f>
        <v>48396290</v>
      </c>
      <c r="D8" s="138">
        <f>E8-C8</f>
        <v>4169464</v>
      </c>
      <c r="E8" s="139">
        <f>' ABS BH (2)'!K52</f>
        <v>52565754</v>
      </c>
      <c r="F8" s="140"/>
      <c r="G8" s="141"/>
      <c r="H8" s="275">
        <v>48396290</v>
      </c>
      <c r="I8" s="275">
        <v>4395124</v>
      </c>
      <c r="J8" s="276">
        <v>52791414</v>
      </c>
    </row>
    <row r="9" spans="1:10" ht="39.950000000000003" customHeight="1">
      <c r="A9" s="1193" t="s">
        <v>69</v>
      </c>
      <c r="B9" s="135" t="s">
        <v>89</v>
      </c>
      <c r="C9" s="138">
        <f>'ABS GH (2)'!I25</f>
        <v>6356799</v>
      </c>
      <c r="D9" s="138">
        <f>'ABS GH'!J25</f>
        <v>374938</v>
      </c>
      <c r="E9" s="139">
        <f>'ABS GH (2)'!K25</f>
        <v>6731737</v>
      </c>
      <c r="F9" s="140"/>
      <c r="G9" s="141"/>
      <c r="H9" s="275">
        <v>6356799</v>
      </c>
      <c r="I9" s="275">
        <v>424578</v>
      </c>
      <c r="J9" s="276">
        <v>6781377</v>
      </c>
    </row>
    <row r="10" spans="1:10" s="146" customFormat="1" ht="39.950000000000003" customHeight="1" thickBot="1">
      <c r="A10" s="1194"/>
      <c r="B10" s="143" t="s">
        <v>42</v>
      </c>
      <c r="C10" s="144">
        <f>SUM(C8:C9)</f>
        <v>54753089</v>
      </c>
      <c r="D10" s="144">
        <f>SUM(D8:D9)</f>
        <v>4544402</v>
      </c>
      <c r="E10" s="145">
        <f>SUM(E8:E9)</f>
        <v>59297491</v>
      </c>
      <c r="F10" s="641"/>
      <c r="G10" s="147"/>
      <c r="H10" s="145">
        <f>SUM(H8:H9)</f>
        <v>54753089</v>
      </c>
      <c r="I10" s="145">
        <f>SUM(I8:I9)</f>
        <v>4819702</v>
      </c>
      <c r="J10" s="145">
        <f>SUM(J8:J9)</f>
        <v>59572791</v>
      </c>
    </row>
    <row r="11" spans="1:10" ht="30" customHeight="1">
      <c r="A11" s="328" t="s">
        <v>161</v>
      </c>
      <c r="B11" s="128"/>
      <c r="C11" s="128"/>
      <c r="D11" s="128"/>
      <c r="E11" s="129"/>
      <c r="G11" s="128"/>
      <c r="H11" s="277">
        <f>H10-C10</f>
        <v>0</v>
      </c>
      <c r="I11" s="277">
        <f>I10-D10</f>
        <v>275300</v>
      </c>
      <c r="J11" s="277">
        <f>J10-E10</f>
        <v>275300</v>
      </c>
    </row>
    <row r="12" spans="1:10" ht="30" customHeight="1">
      <c r="A12" s="134" t="s">
        <v>30</v>
      </c>
      <c r="B12" s="135" t="s">
        <v>87</v>
      </c>
      <c r="C12" s="136"/>
      <c r="D12" s="136"/>
      <c r="E12" s="137"/>
      <c r="G12" s="128"/>
      <c r="H12" s="275"/>
      <c r="I12" s="275"/>
      <c r="J12" s="276"/>
    </row>
    <row r="13" spans="1:10" ht="39.950000000000003" customHeight="1">
      <c r="A13" s="134" t="s">
        <v>68</v>
      </c>
      <c r="B13" s="135" t="s">
        <v>88</v>
      </c>
      <c r="C13" s="138">
        <f>' ABS BH (2)'!I81</f>
        <v>1090097</v>
      </c>
      <c r="D13" s="138">
        <f>E13-C13</f>
        <v>4374201</v>
      </c>
      <c r="E13" s="139">
        <f>' ABS BH (2)'!K81</f>
        <v>5464298</v>
      </c>
      <c r="F13" s="140"/>
      <c r="G13" s="141"/>
      <c r="H13" s="275">
        <v>1090097</v>
      </c>
      <c r="I13" s="275">
        <v>7212680</v>
      </c>
      <c r="J13" s="276">
        <v>8302777</v>
      </c>
    </row>
    <row r="14" spans="1:10" ht="39.950000000000003" customHeight="1">
      <c r="A14" s="134" t="s">
        <v>69</v>
      </c>
      <c r="B14" s="135" t="s">
        <v>89</v>
      </c>
      <c r="C14" s="138">
        <f>'ABS GH (2)'!I46</f>
        <v>548502</v>
      </c>
      <c r="D14" s="138">
        <f>E14-C14</f>
        <v>483543</v>
      </c>
      <c r="E14" s="139">
        <f>'ABS GH (2)'!K46</f>
        <v>1032045</v>
      </c>
      <c r="F14" s="140"/>
      <c r="G14" s="141"/>
      <c r="H14" s="275">
        <v>548502</v>
      </c>
      <c r="I14" s="275">
        <v>1124421</v>
      </c>
      <c r="J14" s="276">
        <v>1672923</v>
      </c>
    </row>
    <row r="15" spans="1:10" s="146" customFormat="1" ht="39.950000000000003" customHeight="1" thickBot="1">
      <c r="A15" s="142"/>
      <c r="B15" s="143" t="s">
        <v>42</v>
      </c>
      <c r="C15" s="144">
        <f>SUM(C13:C14)</f>
        <v>1638599</v>
      </c>
      <c r="D15" s="144">
        <f>SUM(D13:D14)</f>
        <v>4857744</v>
      </c>
      <c r="E15" s="145">
        <f>SUM(E13:E14)</f>
        <v>6496343</v>
      </c>
      <c r="G15" s="1130"/>
      <c r="H15" s="145">
        <f>SUM(H13:H14)</f>
        <v>1638599</v>
      </c>
      <c r="I15" s="145">
        <f>SUM(I13:I14)</f>
        <v>8337101</v>
      </c>
      <c r="J15" s="145">
        <f>SUM(J13:J14)</f>
        <v>9975700</v>
      </c>
    </row>
    <row r="16" spans="1:10" s="147" customFormat="1" ht="22.5" customHeight="1" thickBot="1">
      <c r="A16" s="148"/>
      <c r="B16" s="149"/>
      <c r="C16" s="150"/>
      <c r="D16" s="150"/>
      <c r="E16" s="150"/>
      <c r="H16" s="278"/>
      <c r="I16" s="278"/>
      <c r="J16" s="278"/>
    </row>
    <row r="17" spans="1:10" ht="30" customHeight="1" thickBot="1">
      <c r="A17" s="1494" t="s">
        <v>162</v>
      </c>
      <c r="B17" s="1495"/>
      <c r="C17" s="151">
        <f>C15+C10</f>
        <v>56391688</v>
      </c>
      <c r="D17" s="152">
        <f>D15+D10</f>
        <v>9402146</v>
      </c>
      <c r="E17" s="153">
        <f>E15+E10</f>
        <v>65793834</v>
      </c>
      <c r="F17" s="140"/>
      <c r="G17" s="128"/>
      <c r="H17" s="151">
        <f>H15+H10</f>
        <v>56391688</v>
      </c>
      <c r="I17" s="151">
        <f>I15+I10</f>
        <v>13156803</v>
      </c>
      <c r="J17" s="151">
        <f>J15+J10</f>
        <v>69548491</v>
      </c>
    </row>
    <row r="18" spans="1:10" ht="30" customHeight="1"/>
    <row r="19" spans="1:10" ht="30" customHeight="1">
      <c r="D19" s="140"/>
      <c r="I19" s="140">
        <f>I15-D15</f>
        <v>3479357</v>
      </c>
      <c r="J19" s="140">
        <f>J15-E15</f>
        <v>3479357</v>
      </c>
    </row>
    <row r="20" spans="1:10" ht="30" customHeight="1">
      <c r="C20" s="140">
        <f>C15-H15</f>
        <v>0</v>
      </c>
      <c r="D20" s="121">
        <v>1919065</v>
      </c>
      <c r="H20" s="140">
        <f>H15-C15</f>
        <v>0</v>
      </c>
    </row>
    <row r="21" spans="1:10" ht="30" customHeight="1">
      <c r="D21" s="140">
        <f>D13-D20</f>
        <v>2455136</v>
      </c>
    </row>
    <row r="22" spans="1:10" ht="30" customHeight="1">
      <c r="D22" s="140"/>
    </row>
    <row r="23" spans="1:10" ht="30" customHeight="1"/>
    <row r="24" spans="1:10" ht="30" customHeight="1"/>
    <row r="25" spans="1:10" ht="30" customHeight="1"/>
    <row r="26" spans="1:10" ht="30" customHeight="1"/>
  </sheetData>
  <mergeCells count="2">
    <mergeCell ref="A4:E4"/>
    <mergeCell ref="A17:B17"/>
  </mergeCells>
  <printOptions horizontalCentered="1"/>
  <pageMargins left="0.7" right="0" top="1" bottom="0.5" header="0.3" footer="0.3"/>
  <pageSetup paperSize="9" scale="9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2"/>
  <sheetViews>
    <sheetView view="pageBreakPreview" zoomScale="70" zoomScaleSheetLayoutView="70" workbookViewId="0">
      <pane xSplit="3" ySplit="6" topLeftCell="D79" activePane="bottomRight" state="frozen"/>
      <selection activeCell="I1849" sqref="I1849"/>
      <selection pane="topRight" activeCell="I1849" sqref="I1849"/>
      <selection pane="bottomLeft" activeCell="I1849" sqref="I1849"/>
      <selection pane="bottomRight" activeCell="I81" sqref="I81"/>
    </sheetView>
  </sheetViews>
  <sheetFormatPr defaultColWidth="9.140625" defaultRowHeight="18"/>
  <cols>
    <col min="1" max="1" width="16.85546875" style="293" customWidth="1"/>
    <col min="2" max="2" width="76.5703125" style="54" customWidth="1"/>
    <col min="3" max="3" width="9.28515625" style="1013" customWidth="1"/>
    <col min="4" max="4" width="15.85546875" style="293" customWidth="1"/>
    <col min="5" max="5" width="14.28515625" style="1014" bestFit="1" customWidth="1"/>
    <col min="6" max="7" width="14.7109375" style="1014" customWidth="1"/>
    <col min="8" max="8" width="15.7109375" style="1014" customWidth="1"/>
    <col min="9" max="9" width="21.42578125" style="1014" bestFit="1" customWidth="1"/>
    <col min="10" max="10" width="20" style="1014" customWidth="1"/>
    <col min="11" max="11" width="21.140625" style="1014" customWidth="1"/>
    <col min="12" max="12" width="20.7109375" style="293" customWidth="1"/>
    <col min="13" max="13" width="26.42578125" style="293" customWidth="1"/>
    <col min="14" max="16384" width="9.140625" style="293"/>
  </cols>
  <sheetData>
    <row r="1" spans="1:13" ht="40.5" customHeight="1" thickBot="1">
      <c r="A1" s="794"/>
      <c r="B1" s="1015" t="str">
        <f>SUMMARY!B1</f>
        <v>THAPAR UNIVERSITY EXTENSION PROJECT, PATIALA</v>
      </c>
      <c r="C1" s="951"/>
      <c r="D1" s="952"/>
      <c r="E1" s="953"/>
      <c r="F1" s="953"/>
      <c r="G1" s="953"/>
      <c r="H1" s="953"/>
      <c r="I1" s="953"/>
      <c r="J1" s="953"/>
      <c r="K1" s="954"/>
    </row>
    <row r="2" spans="1:13" ht="21" thickBot="1">
      <c r="A2" s="795"/>
      <c r="B2" s="1016" t="str">
        <f>SUMMARY!B2</f>
        <v>M/S. GANNON DUNKERLEY &amp; CO. LTD.</v>
      </c>
      <c r="C2" s="955"/>
      <c r="D2" s="956"/>
      <c r="E2" s="957"/>
      <c r="F2" s="957"/>
      <c r="G2" s="957"/>
      <c r="H2" s="957"/>
      <c r="I2" s="957"/>
      <c r="J2" s="957"/>
      <c r="K2" s="958"/>
    </row>
    <row r="3" spans="1:13" ht="23.25" thickBot="1">
      <c r="A3" s="796" t="s">
        <v>54</v>
      </c>
      <c r="B3" s="1017" t="str">
        <f>SUMMARY!B3</f>
        <v>06 (August'2017)</v>
      </c>
      <c r="C3" s="959"/>
      <c r="D3" s="960"/>
      <c r="E3" s="961"/>
      <c r="F3" s="961"/>
      <c r="G3" s="961"/>
      <c r="H3" s="961"/>
      <c r="I3" s="961"/>
      <c r="J3" s="961"/>
      <c r="K3" s="962"/>
    </row>
    <row r="4" spans="1:13" ht="27.75" thickBot="1">
      <c r="A4" s="1497" t="s">
        <v>90</v>
      </c>
      <c r="B4" s="1498"/>
      <c r="C4" s="1498"/>
      <c r="D4" s="1498"/>
      <c r="E4" s="1499"/>
      <c r="F4" s="1500" t="s">
        <v>91</v>
      </c>
      <c r="G4" s="1501"/>
      <c r="H4" s="1501"/>
      <c r="I4" s="1501"/>
      <c r="J4" s="1501"/>
      <c r="K4" s="1502"/>
    </row>
    <row r="5" spans="1:13" s="509" customFormat="1" ht="33">
      <c r="A5" s="506" t="s">
        <v>3</v>
      </c>
      <c r="B5" s="506" t="s">
        <v>4</v>
      </c>
      <c r="C5" s="506" t="s">
        <v>5</v>
      </c>
      <c r="D5" s="507" t="s">
        <v>803</v>
      </c>
      <c r="E5" s="508" t="s">
        <v>6</v>
      </c>
      <c r="F5" s="507" t="s">
        <v>9</v>
      </c>
      <c r="G5" s="507" t="s">
        <v>10</v>
      </c>
      <c r="H5" s="507" t="s">
        <v>11</v>
      </c>
      <c r="I5" s="507" t="s">
        <v>12</v>
      </c>
      <c r="J5" s="507" t="s">
        <v>10</v>
      </c>
      <c r="K5" s="507" t="s">
        <v>13</v>
      </c>
    </row>
    <row r="6" spans="1:13" s="966" customFormat="1" ht="39.75" customHeight="1">
      <c r="A6" s="797" t="s">
        <v>995</v>
      </c>
      <c r="B6" s="510"/>
      <c r="C6" s="963"/>
      <c r="D6" s="964"/>
      <c r="E6" s="965"/>
      <c r="F6" s="965"/>
      <c r="G6" s="965"/>
      <c r="H6" s="965"/>
      <c r="I6" s="965"/>
      <c r="J6" s="965"/>
      <c r="K6" s="965"/>
    </row>
    <row r="7" spans="1:13" s="509" customFormat="1" ht="30" customHeight="1">
      <c r="A7" s="798" t="s">
        <v>996</v>
      </c>
      <c r="B7" s="511"/>
      <c r="C7" s="967"/>
      <c r="D7" s="968"/>
      <c r="E7" s="818"/>
      <c r="F7" s="969"/>
      <c r="G7" s="818"/>
      <c r="H7" s="818"/>
      <c r="I7" s="818"/>
      <c r="J7" s="818"/>
      <c r="K7" s="818"/>
      <c r="M7" s="970"/>
    </row>
    <row r="8" spans="1:13" s="509" customFormat="1" ht="65.25" customHeight="1">
      <c r="A8" s="793">
        <v>1</v>
      </c>
      <c r="B8" s="515" t="s">
        <v>95</v>
      </c>
      <c r="C8" s="967" t="s">
        <v>2</v>
      </c>
      <c r="D8" s="968">
        <v>1283</v>
      </c>
      <c r="E8" s="818">
        <v>4719</v>
      </c>
      <c r="F8" s="969">
        <v>1624.9754224846149</v>
      </c>
      <c r="G8" s="818">
        <f>H8-F8</f>
        <v>1.6745775153847262</v>
      </c>
      <c r="H8" s="818">
        <f>'MB BH'!J1256</f>
        <v>1626.6499999999996</v>
      </c>
      <c r="I8" s="818">
        <f>ROUND(F8*E8,0)</f>
        <v>7668259</v>
      </c>
      <c r="J8" s="818">
        <f>K8-I8</f>
        <v>7902</v>
      </c>
      <c r="K8" s="818">
        <f>ROUND(E8*H8,0)</f>
        <v>7676161</v>
      </c>
      <c r="L8" s="970"/>
      <c r="M8" s="970"/>
    </row>
    <row r="9" spans="1:13" s="509" customFormat="1" ht="31.5" customHeight="1">
      <c r="A9" s="799" t="s">
        <v>311</v>
      </c>
      <c r="B9" s="511"/>
      <c r="C9" s="967"/>
      <c r="D9" s="968"/>
      <c r="E9" s="818"/>
      <c r="F9" s="969"/>
      <c r="G9" s="818"/>
      <c r="H9" s="818"/>
      <c r="I9" s="818"/>
      <c r="J9" s="818"/>
      <c r="K9" s="818"/>
      <c r="M9" s="970"/>
    </row>
    <row r="10" spans="1:13" s="509" customFormat="1" ht="50.25" customHeight="1">
      <c r="A10" s="793">
        <v>2</v>
      </c>
      <c r="B10" s="515" t="s">
        <v>312</v>
      </c>
      <c r="C10" s="967" t="s">
        <v>2</v>
      </c>
      <c r="D10" s="968">
        <v>733</v>
      </c>
      <c r="E10" s="818">
        <v>2111</v>
      </c>
      <c r="F10" s="969">
        <v>445.96841229999995</v>
      </c>
      <c r="G10" s="818">
        <f t="shared" ref="G10" si="0">H10-F10</f>
        <v>1.5876999999591135E-3</v>
      </c>
      <c r="H10" s="818">
        <f>'MB BH'!J1299</f>
        <v>445.96999999999991</v>
      </c>
      <c r="I10" s="818">
        <f t="shared" ref="I10:I51" si="1">ROUND(F10*E10,0)</f>
        <v>941439</v>
      </c>
      <c r="J10" s="818">
        <f t="shared" ref="J10" si="2">K10-I10</f>
        <v>4</v>
      </c>
      <c r="K10" s="818">
        <f t="shared" ref="K10" si="3">ROUND(E10*H10,0)</f>
        <v>941443</v>
      </c>
      <c r="L10" s="970"/>
      <c r="M10" s="970"/>
    </row>
    <row r="11" spans="1:13" s="509" customFormat="1" ht="32.25" customHeight="1">
      <c r="A11" s="800" t="s">
        <v>997</v>
      </c>
      <c r="B11" s="511"/>
      <c r="C11" s="967"/>
      <c r="D11" s="968"/>
      <c r="E11" s="971"/>
      <c r="F11" s="818"/>
      <c r="G11" s="818"/>
      <c r="H11" s="818"/>
      <c r="I11" s="818"/>
      <c r="J11" s="818"/>
      <c r="K11" s="818"/>
      <c r="M11" s="970"/>
    </row>
    <row r="12" spans="1:13" s="509" customFormat="1" ht="66.75" customHeight="1">
      <c r="A12" s="793">
        <v>3</v>
      </c>
      <c r="B12" s="515" t="s">
        <v>96</v>
      </c>
      <c r="C12" s="967" t="s">
        <v>2</v>
      </c>
      <c r="D12" s="968">
        <v>190</v>
      </c>
      <c r="E12" s="818">
        <v>5979</v>
      </c>
      <c r="F12" s="818">
        <v>994.21423660000164</v>
      </c>
      <c r="G12" s="818">
        <f>H12-F12</f>
        <v>-4.4236599999635473E-2</v>
      </c>
      <c r="H12" s="818">
        <f>'MB BH'!J3573</f>
        <v>994.17000000000201</v>
      </c>
      <c r="I12" s="818">
        <f t="shared" si="1"/>
        <v>5944407</v>
      </c>
      <c r="J12" s="818">
        <f>K12-I12</f>
        <v>-265</v>
      </c>
      <c r="K12" s="818">
        <f>ROUND(E12*H12,0)</f>
        <v>5944142</v>
      </c>
      <c r="L12" s="970"/>
      <c r="M12" s="970"/>
    </row>
    <row r="13" spans="1:13" s="509" customFormat="1" ht="38.25" customHeight="1">
      <c r="A13" s="799" t="s">
        <v>998</v>
      </c>
      <c r="B13" s="515"/>
      <c r="C13" s="967"/>
      <c r="D13" s="968"/>
      <c r="E13" s="818"/>
      <c r="F13" s="818"/>
      <c r="G13" s="818"/>
      <c r="H13" s="818"/>
      <c r="I13" s="818"/>
      <c r="J13" s="818"/>
      <c r="K13" s="818"/>
      <c r="M13" s="970"/>
    </row>
    <row r="14" spans="1:13" s="509" customFormat="1" ht="39.950000000000003" customHeight="1">
      <c r="A14" s="793">
        <v>4</v>
      </c>
      <c r="B14" s="515" t="s">
        <v>373</v>
      </c>
      <c r="C14" s="967" t="s">
        <v>374</v>
      </c>
      <c r="D14" s="968">
        <v>70</v>
      </c>
      <c r="E14" s="818">
        <v>67995</v>
      </c>
      <c r="F14" s="1116">
        <v>33.79</v>
      </c>
      <c r="G14" s="1116">
        <f>H14-F14</f>
        <v>0.13300000000000267</v>
      </c>
      <c r="H14" s="1116">
        <f>'MB BH'!J3584</f>
        <v>33.923000000000002</v>
      </c>
      <c r="I14" s="818">
        <v>2297821</v>
      </c>
      <c r="J14" s="818">
        <f t="shared" ref="J14" si="4">K14-I14</f>
        <v>8773</v>
      </c>
      <c r="K14" s="818">
        <f t="shared" ref="K14" si="5">ROUND(E14*H14,0)</f>
        <v>2306594</v>
      </c>
      <c r="L14" s="970"/>
      <c r="M14" s="970"/>
    </row>
    <row r="15" spans="1:13" s="509" customFormat="1" ht="16.5">
      <c r="A15" s="801"/>
      <c r="B15" s="515"/>
      <c r="C15" s="967"/>
      <c r="D15" s="968"/>
      <c r="E15" s="818"/>
      <c r="F15" s="818"/>
      <c r="G15" s="818"/>
      <c r="H15" s="818"/>
      <c r="I15" s="818"/>
      <c r="J15" s="818"/>
      <c r="K15" s="818"/>
      <c r="M15" s="970"/>
    </row>
    <row r="16" spans="1:13" s="509" customFormat="1" ht="132.75" customHeight="1">
      <c r="A16" s="793">
        <v>4</v>
      </c>
      <c r="B16" s="516" t="s">
        <v>97</v>
      </c>
      <c r="C16" s="967" t="s">
        <v>2</v>
      </c>
      <c r="D16" s="968">
        <v>697</v>
      </c>
      <c r="E16" s="818">
        <v>7151</v>
      </c>
      <c r="F16" s="818">
        <v>431.73065199999985</v>
      </c>
      <c r="G16" s="818">
        <f>H16-F16</f>
        <v>3.1393479999999272</v>
      </c>
      <c r="H16" s="818">
        <f>'MB BH'!J4556</f>
        <v>434.86999999999978</v>
      </c>
      <c r="I16" s="818">
        <f t="shared" si="1"/>
        <v>3087306</v>
      </c>
      <c r="J16" s="818">
        <f>K16-I16</f>
        <v>22449</v>
      </c>
      <c r="K16" s="818">
        <f>ROUND(E16*H16,0)</f>
        <v>3109755</v>
      </c>
      <c r="L16" s="970"/>
      <c r="M16" s="970"/>
    </row>
    <row r="17" spans="1:13" s="509" customFormat="1" ht="28.5" customHeight="1">
      <c r="A17" s="802" t="s">
        <v>1073</v>
      </c>
      <c r="B17" s="517"/>
      <c r="C17" s="972"/>
      <c r="D17" s="973"/>
      <c r="E17" s="974"/>
      <c r="F17" s="818"/>
      <c r="G17" s="818"/>
      <c r="H17" s="818"/>
      <c r="I17" s="818"/>
      <c r="J17" s="818"/>
      <c r="K17" s="818"/>
      <c r="M17" s="970"/>
    </row>
    <row r="18" spans="1:13" s="509" customFormat="1" ht="84" customHeight="1">
      <c r="A18" s="793">
        <v>5</v>
      </c>
      <c r="B18" s="516" t="s">
        <v>1066</v>
      </c>
      <c r="C18" s="967" t="s">
        <v>537</v>
      </c>
      <c r="D18" s="968">
        <v>763</v>
      </c>
      <c r="E18" s="818">
        <v>1114</v>
      </c>
      <c r="F18" s="818">
        <v>427.52999999999992</v>
      </c>
      <c r="G18" s="818">
        <f>H18-F18</f>
        <v>0</v>
      </c>
      <c r="H18" s="818">
        <f>'MB BH'!J4576</f>
        <v>427.52999999999992</v>
      </c>
      <c r="I18" s="818">
        <f t="shared" si="1"/>
        <v>476268</v>
      </c>
      <c r="J18" s="818">
        <f>K18-I18</f>
        <v>0</v>
      </c>
      <c r="K18" s="818">
        <f>ROUND(E18*H18,0)</f>
        <v>476268</v>
      </c>
      <c r="L18" s="970"/>
      <c r="M18" s="970"/>
    </row>
    <row r="19" spans="1:13" s="509" customFormat="1" ht="36" customHeight="1">
      <c r="A19" s="802" t="s">
        <v>316</v>
      </c>
      <c r="B19" s="517"/>
      <c r="C19" s="972"/>
      <c r="D19" s="973"/>
      <c r="E19" s="974"/>
      <c r="F19" s="818"/>
      <c r="G19" s="818"/>
      <c r="H19" s="818"/>
      <c r="I19" s="818"/>
      <c r="J19" s="818"/>
      <c r="K19" s="818"/>
      <c r="M19" s="970"/>
    </row>
    <row r="20" spans="1:13" s="509" customFormat="1" ht="108" customHeight="1">
      <c r="A20" s="803">
        <v>6</v>
      </c>
      <c r="B20" s="523" t="s">
        <v>317</v>
      </c>
      <c r="C20" s="972" t="s">
        <v>2</v>
      </c>
      <c r="D20" s="975">
        <v>858</v>
      </c>
      <c r="E20" s="974">
        <v>2111</v>
      </c>
      <c r="F20" s="818">
        <v>1521.5114608942313</v>
      </c>
      <c r="G20" s="818">
        <f t="shared" ref="G20:G22" si="6">H20-F20</f>
        <v>8.5391057684773841E-3</v>
      </c>
      <c r="H20" s="818">
        <f>'MB BH'!J4883</f>
        <v>1521.5199999999998</v>
      </c>
      <c r="I20" s="818">
        <f t="shared" si="1"/>
        <v>3211911</v>
      </c>
      <c r="J20" s="818">
        <f t="shared" ref="J20:J22" si="7">K20-I20</f>
        <v>18</v>
      </c>
      <c r="K20" s="818">
        <f t="shared" ref="K20:K22" si="8">ROUND(E20*H20,0)</f>
        <v>3211929</v>
      </c>
      <c r="L20" s="970"/>
      <c r="M20" s="970"/>
    </row>
    <row r="21" spans="1:13" s="509" customFormat="1" ht="41.25" customHeight="1">
      <c r="A21" s="802" t="s">
        <v>1827</v>
      </c>
      <c r="B21" s="517"/>
      <c r="C21" s="972"/>
      <c r="D21" s="973"/>
      <c r="E21" s="974"/>
      <c r="F21" s="818"/>
      <c r="G21" s="818"/>
      <c r="H21" s="818"/>
      <c r="I21" s="818"/>
      <c r="J21" s="818"/>
      <c r="K21" s="818"/>
      <c r="M21" s="970"/>
    </row>
    <row r="22" spans="1:13" s="509" customFormat="1" ht="84" customHeight="1">
      <c r="A22" s="803">
        <v>7</v>
      </c>
      <c r="B22" s="523" t="s">
        <v>1826</v>
      </c>
      <c r="C22" s="972" t="s">
        <v>2</v>
      </c>
      <c r="D22" s="975">
        <v>980</v>
      </c>
      <c r="E22" s="974">
        <v>469</v>
      </c>
      <c r="F22" s="818"/>
      <c r="G22" s="818">
        <f t="shared" si="6"/>
        <v>348.23</v>
      </c>
      <c r="H22" s="818">
        <f>'MB BH'!J4914</f>
        <v>348.23</v>
      </c>
      <c r="I22" s="1398">
        <f t="shared" si="1"/>
        <v>0</v>
      </c>
      <c r="J22" s="818">
        <f t="shared" si="7"/>
        <v>163320</v>
      </c>
      <c r="K22" s="818">
        <f t="shared" si="8"/>
        <v>163320</v>
      </c>
      <c r="L22" s="970"/>
      <c r="M22" s="970"/>
    </row>
    <row r="23" spans="1:13" s="966" customFormat="1" ht="30.75" customHeight="1">
      <c r="A23" s="804" t="s">
        <v>999</v>
      </c>
      <c r="B23" s="518"/>
      <c r="C23" s="976"/>
      <c r="D23" s="977"/>
      <c r="E23" s="978"/>
      <c r="F23" s="978"/>
      <c r="G23" s="978"/>
      <c r="H23" s="978"/>
      <c r="I23" s="1400"/>
      <c r="J23" s="978"/>
      <c r="K23" s="978"/>
      <c r="M23" s="970"/>
    </row>
    <row r="24" spans="1:13" s="509" customFormat="1" ht="30.75" customHeight="1">
      <c r="A24" s="805" t="s">
        <v>1000</v>
      </c>
      <c r="B24" s="519"/>
      <c r="C24" s="980"/>
      <c r="D24" s="981"/>
      <c r="E24" s="982"/>
      <c r="F24" s="983"/>
      <c r="G24" s="983"/>
      <c r="H24" s="983"/>
      <c r="I24" s="1401"/>
      <c r="J24" s="983"/>
      <c r="K24" s="983"/>
      <c r="M24" s="970"/>
    </row>
    <row r="25" spans="1:13" s="509" customFormat="1" ht="100.5" customHeight="1">
      <c r="A25" s="803">
        <v>4</v>
      </c>
      <c r="B25" s="523" t="s">
        <v>989</v>
      </c>
      <c r="C25" s="972" t="s">
        <v>537</v>
      </c>
      <c r="D25" s="975">
        <v>1391</v>
      </c>
      <c r="E25" s="974">
        <v>703</v>
      </c>
      <c r="F25" s="818">
        <v>630.005</v>
      </c>
      <c r="G25" s="818">
        <f t="shared" ref="G25" si="9">H25-F25</f>
        <v>4.9999999999954525E-3</v>
      </c>
      <c r="H25" s="818">
        <f>'MB BH'!J4946</f>
        <v>630.01</v>
      </c>
      <c r="I25" s="1401">
        <f t="shared" si="1"/>
        <v>442894</v>
      </c>
      <c r="J25" s="818">
        <f>K25-I25</f>
        <v>3</v>
      </c>
      <c r="K25" s="818">
        <f>ROUND(E25*H25,0)</f>
        <v>442897</v>
      </c>
      <c r="L25" s="970"/>
      <c r="M25" s="970"/>
    </row>
    <row r="26" spans="1:13" s="966" customFormat="1" ht="36" customHeight="1">
      <c r="A26" s="804" t="s">
        <v>1057</v>
      </c>
      <c r="B26" s="518"/>
      <c r="C26" s="976"/>
      <c r="D26" s="977"/>
      <c r="E26" s="978"/>
      <c r="F26" s="978"/>
      <c r="G26" s="978"/>
      <c r="H26" s="978"/>
      <c r="I26" s="1399"/>
      <c r="J26" s="978"/>
      <c r="K26" s="978"/>
      <c r="M26" s="970"/>
    </row>
    <row r="27" spans="1:13" s="509" customFormat="1" ht="30.75" customHeight="1">
      <c r="A27" s="805" t="s">
        <v>1058</v>
      </c>
      <c r="B27" s="519"/>
      <c r="C27" s="980"/>
      <c r="D27" s="981"/>
      <c r="E27" s="982"/>
      <c r="F27" s="983"/>
      <c r="G27" s="983"/>
      <c r="H27" s="983"/>
      <c r="I27" s="818"/>
      <c r="J27" s="983"/>
      <c r="K27" s="983"/>
      <c r="M27" s="970"/>
    </row>
    <row r="28" spans="1:13" s="509" customFormat="1" ht="77.25" customHeight="1">
      <c r="A28" s="806">
        <v>1.1000000000000001</v>
      </c>
      <c r="B28" s="523" t="s">
        <v>1055</v>
      </c>
      <c r="C28" s="972" t="s">
        <v>537</v>
      </c>
      <c r="D28" s="975">
        <v>640</v>
      </c>
      <c r="E28" s="1145">
        <v>1406</v>
      </c>
      <c r="F28" s="818">
        <v>1959.6422600000001</v>
      </c>
      <c r="G28" s="818">
        <f t="shared" ref="G28" si="10">H28-F28</f>
        <v>366.92774000000054</v>
      </c>
      <c r="H28" s="818">
        <f>'MB BH'!J5091</f>
        <v>2326.5700000000006</v>
      </c>
      <c r="I28" s="818">
        <v>2618082</v>
      </c>
      <c r="J28" s="818">
        <f>K28-I28</f>
        <v>653075</v>
      </c>
      <c r="K28" s="818">
        <f>ROUND(E28*H28,0)</f>
        <v>3271157</v>
      </c>
      <c r="L28" s="970"/>
      <c r="M28" s="970"/>
    </row>
    <row r="29" spans="1:13" s="509" customFormat="1" ht="24.75" customHeight="1">
      <c r="A29" s="807"/>
      <c r="B29" s="666"/>
      <c r="C29" s="980"/>
      <c r="D29" s="985"/>
      <c r="E29" s="982"/>
      <c r="F29" s="983"/>
      <c r="G29" s="983"/>
      <c r="H29" s="983"/>
      <c r="I29" s="818"/>
      <c r="J29" s="983"/>
      <c r="K29" s="983"/>
      <c r="M29" s="970"/>
    </row>
    <row r="30" spans="1:13" s="509" customFormat="1" ht="29.25" customHeight="1">
      <c r="A30" s="805" t="s">
        <v>1074</v>
      </c>
      <c r="B30" s="519"/>
      <c r="C30" s="980"/>
      <c r="D30" s="981"/>
      <c r="E30" s="982"/>
      <c r="F30" s="983"/>
      <c r="G30" s="983"/>
      <c r="H30" s="983"/>
      <c r="I30" s="818"/>
      <c r="J30" s="983"/>
      <c r="K30" s="983"/>
      <c r="M30" s="970"/>
    </row>
    <row r="31" spans="1:13" s="509" customFormat="1" ht="80.25" customHeight="1">
      <c r="A31" s="806">
        <v>1.2</v>
      </c>
      <c r="B31" s="523" t="s">
        <v>1059</v>
      </c>
      <c r="C31" s="972" t="s">
        <v>537</v>
      </c>
      <c r="D31" s="975">
        <v>1356</v>
      </c>
      <c r="E31" s="1145">
        <v>1759</v>
      </c>
      <c r="F31" s="818">
        <v>728.75900000000001</v>
      </c>
      <c r="G31" s="818">
        <f t="shared" ref="G31:G37" si="11">H31-F31</f>
        <v>9.9999999997635314E-4</v>
      </c>
      <c r="H31" s="818">
        <f>'MB BH'!J5114</f>
        <v>728.76</v>
      </c>
      <c r="I31" s="818">
        <v>1217756</v>
      </c>
      <c r="J31" s="818">
        <f>K31-I31</f>
        <v>64133</v>
      </c>
      <c r="K31" s="818">
        <f>ROUND(E31*H31,0)</f>
        <v>1281889</v>
      </c>
      <c r="L31" s="970"/>
      <c r="M31" s="970"/>
    </row>
    <row r="32" spans="1:13" s="509" customFormat="1" ht="20.25" customHeight="1">
      <c r="A32" s="807"/>
      <c r="B32" s="666"/>
      <c r="C32" s="980"/>
      <c r="D32" s="985"/>
      <c r="E32" s="982"/>
      <c r="F32" s="983"/>
      <c r="G32" s="983"/>
      <c r="H32" s="983"/>
      <c r="I32" s="818"/>
      <c r="J32" s="983"/>
      <c r="K32" s="983"/>
      <c r="M32" s="970"/>
    </row>
    <row r="33" spans="1:13" s="509" customFormat="1" ht="34.5" customHeight="1">
      <c r="A33" s="805" t="s">
        <v>1075</v>
      </c>
      <c r="B33" s="519"/>
      <c r="C33" s="980"/>
      <c r="D33" s="981"/>
      <c r="E33" s="982"/>
      <c r="F33" s="983"/>
      <c r="G33" s="983"/>
      <c r="H33" s="983"/>
      <c r="I33" s="818"/>
      <c r="J33" s="983"/>
      <c r="K33" s="983"/>
      <c r="M33" s="970"/>
    </row>
    <row r="34" spans="1:13" s="509" customFormat="1" ht="84.75" customHeight="1">
      <c r="A34" s="806">
        <v>1.3</v>
      </c>
      <c r="B34" s="523" t="s">
        <v>1063</v>
      </c>
      <c r="C34" s="972" t="s">
        <v>537</v>
      </c>
      <c r="D34" s="975">
        <v>491</v>
      </c>
      <c r="E34" s="1145">
        <v>1348</v>
      </c>
      <c r="F34" s="818">
        <v>523.44650000000001</v>
      </c>
      <c r="G34" s="818">
        <f t="shared" si="11"/>
        <v>73.763500000000249</v>
      </c>
      <c r="H34" s="818">
        <f>'MB BH'!J5310</f>
        <v>597.21000000000026</v>
      </c>
      <c r="I34" s="818">
        <v>670535</v>
      </c>
      <c r="J34" s="818">
        <f>K34-I34</f>
        <v>134504</v>
      </c>
      <c r="K34" s="818">
        <f>ROUND(E34*H34,0)</f>
        <v>805039</v>
      </c>
      <c r="L34" s="970"/>
      <c r="M34" s="970"/>
    </row>
    <row r="35" spans="1:13" s="509" customFormat="1" ht="20.25">
      <c r="A35" s="807"/>
      <c r="B35" s="666"/>
      <c r="C35" s="980"/>
      <c r="D35" s="985"/>
      <c r="E35" s="982"/>
      <c r="F35" s="983"/>
      <c r="G35" s="818"/>
      <c r="H35" s="983"/>
      <c r="I35" s="818"/>
      <c r="J35" s="818"/>
      <c r="K35" s="818"/>
      <c r="M35" s="970"/>
    </row>
    <row r="36" spans="1:13" s="509" customFormat="1" ht="80.25" customHeight="1">
      <c r="A36" s="807">
        <v>1.3</v>
      </c>
      <c r="B36" s="523" t="s">
        <v>1381</v>
      </c>
      <c r="C36" s="980"/>
      <c r="D36" s="985"/>
      <c r="E36" s="982"/>
      <c r="F36" s="983"/>
      <c r="G36" s="818"/>
      <c r="H36" s="983"/>
      <c r="I36" s="818"/>
      <c r="J36" s="818"/>
      <c r="K36" s="818"/>
      <c r="M36" s="970"/>
    </row>
    <row r="37" spans="1:13" s="509" customFormat="1" ht="23.25" customHeight="1">
      <c r="A37" s="807"/>
      <c r="B37" s="670" t="s">
        <v>1382</v>
      </c>
      <c r="C37" s="972" t="s">
        <v>537</v>
      </c>
      <c r="D37" s="985">
        <v>413</v>
      </c>
      <c r="E37" s="982">
        <v>1583</v>
      </c>
      <c r="F37" s="983">
        <v>261.35000000000008</v>
      </c>
      <c r="G37" s="818">
        <f t="shared" si="11"/>
        <v>0</v>
      </c>
      <c r="H37" s="983">
        <f>'MB BH'!J5361</f>
        <v>261.35000000000008</v>
      </c>
      <c r="I37" s="818">
        <f t="shared" si="1"/>
        <v>413717</v>
      </c>
      <c r="J37" s="818">
        <f t="shared" ref="J37" si="12">K37-I37</f>
        <v>0</v>
      </c>
      <c r="K37" s="818">
        <f t="shared" ref="K37" si="13">ROUND(E37*H37,0)</f>
        <v>413717</v>
      </c>
      <c r="M37" s="970"/>
    </row>
    <row r="38" spans="1:13" s="509" customFormat="1" ht="20.25">
      <c r="A38" s="807"/>
      <c r="B38" s="666"/>
      <c r="C38" s="980"/>
      <c r="D38" s="985"/>
      <c r="E38" s="982"/>
      <c r="F38" s="983"/>
      <c r="G38" s="983"/>
      <c r="H38" s="983"/>
      <c r="I38" s="818"/>
      <c r="J38" s="983"/>
      <c r="K38" s="983"/>
      <c r="M38" s="970"/>
    </row>
    <row r="39" spans="1:13" s="509" customFormat="1" ht="34.5" customHeight="1">
      <c r="A39" s="805" t="s">
        <v>1077</v>
      </c>
      <c r="B39" s="519"/>
      <c r="C39" s="980"/>
      <c r="D39" s="981"/>
      <c r="E39" s="982"/>
      <c r="F39" s="983"/>
      <c r="G39" s="983"/>
      <c r="H39" s="983"/>
      <c r="I39" s="818"/>
      <c r="J39" s="983"/>
      <c r="K39" s="983"/>
      <c r="M39" s="970"/>
    </row>
    <row r="40" spans="1:13" s="509" customFormat="1" ht="82.5" customHeight="1">
      <c r="A40" s="806">
        <v>1.4</v>
      </c>
      <c r="B40" s="523" t="s">
        <v>1062</v>
      </c>
      <c r="C40" s="972" t="s">
        <v>537</v>
      </c>
      <c r="D40" s="975">
        <v>425</v>
      </c>
      <c r="E40" s="1145">
        <v>1817</v>
      </c>
      <c r="F40" s="818">
        <v>384.23</v>
      </c>
      <c r="G40" s="818">
        <f t="shared" ref="G40" si="14">H40-F40</f>
        <v>0</v>
      </c>
      <c r="H40" s="818">
        <f>'MB BH'!J5374</f>
        <v>384.23</v>
      </c>
      <c r="I40" s="818">
        <v>663181</v>
      </c>
      <c r="J40" s="818">
        <f>K40-I40</f>
        <v>34965</v>
      </c>
      <c r="K40" s="818">
        <f>ROUND(E40*H40,0)</f>
        <v>698146</v>
      </c>
      <c r="L40" s="970"/>
      <c r="M40" s="970"/>
    </row>
    <row r="41" spans="1:13" s="509" customFormat="1" ht="24.75" customHeight="1">
      <c r="A41" s="808"/>
      <c r="B41" s="666"/>
      <c r="C41" s="986"/>
      <c r="D41" s="987"/>
      <c r="E41" s="988"/>
      <c r="F41" s="989"/>
      <c r="G41" s="989"/>
      <c r="H41" s="989"/>
      <c r="I41" s="818"/>
      <c r="J41" s="989"/>
      <c r="K41" s="989"/>
      <c r="M41" s="970"/>
    </row>
    <row r="42" spans="1:13" s="966" customFormat="1" ht="32.25" customHeight="1">
      <c r="A42" s="804" t="s">
        <v>1002</v>
      </c>
      <c r="B42" s="518"/>
      <c r="C42" s="976"/>
      <c r="D42" s="977"/>
      <c r="E42" s="978"/>
      <c r="F42" s="978"/>
      <c r="G42" s="978"/>
      <c r="H42" s="978"/>
      <c r="I42" s="979"/>
      <c r="J42" s="978"/>
      <c r="K42" s="978"/>
      <c r="M42" s="970"/>
    </row>
    <row r="43" spans="1:13" s="509" customFormat="1" ht="36" customHeight="1">
      <c r="A43" s="805" t="s">
        <v>1056</v>
      </c>
      <c r="B43" s="519"/>
      <c r="C43" s="980"/>
      <c r="D43" s="981"/>
      <c r="E43" s="982"/>
      <c r="F43" s="983"/>
      <c r="G43" s="983"/>
      <c r="H43" s="983"/>
      <c r="I43" s="818"/>
      <c r="J43" s="983"/>
      <c r="K43" s="983"/>
      <c r="M43" s="970"/>
    </row>
    <row r="44" spans="1:13" s="509" customFormat="1" ht="61.5" customHeight="1">
      <c r="A44" s="806">
        <v>2.1</v>
      </c>
      <c r="B44" s="523" t="s">
        <v>1001</v>
      </c>
      <c r="C44" s="972" t="s">
        <v>537</v>
      </c>
      <c r="D44" s="975">
        <v>10886</v>
      </c>
      <c r="E44" s="974">
        <v>2111</v>
      </c>
      <c r="F44" s="818">
        <v>8299.48</v>
      </c>
      <c r="G44" s="818">
        <f t="shared" ref="G44:G50" si="15">H44-F44</f>
        <v>582.1799999999912</v>
      </c>
      <c r="H44" s="818">
        <f>'MB BH'!J5687</f>
        <v>8881.6599999999908</v>
      </c>
      <c r="I44" s="818">
        <v>15769012</v>
      </c>
      <c r="J44" s="818">
        <f>K44-I44</f>
        <v>2980172</v>
      </c>
      <c r="K44" s="818">
        <f>ROUND(E44*H44,0)</f>
        <v>18749184</v>
      </c>
      <c r="L44" s="970"/>
      <c r="M44" s="970"/>
    </row>
    <row r="45" spans="1:13" s="509" customFormat="1" ht="24.75" customHeight="1">
      <c r="A45" s="809"/>
      <c r="B45" s="666"/>
      <c r="C45" s="972"/>
      <c r="D45" s="973"/>
      <c r="E45" s="974"/>
      <c r="F45" s="974"/>
      <c r="G45" s="818">
        <f t="shared" si="15"/>
        <v>0</v>
      </c>
      <c r="H45" s="974"/>
      <c r="I45" s="818">
        <f t="shared" si="1"/>
        <v>0</v>
      </c>
      <c r="J45" s="818">
        <f t="shared" ref="J45:J50" si="16">K45-I45</f>
        <v>0</v>
      </c>
      <c r="K45" s="818">
        <f t="shared" ref="K45:K50" si="17">ROUND(E45*H45,0)</f>
        <v>0</v>
      </c>
      <c r="M45" s="970"/>
    </row>
    <row r="46" spans="1:13" s="509" customFormat="1" ht="39.950000000000003" customHeight="1">
      <c r="A46" s="806">
        <v>2.2000000000000002</v>
      </c>
      <c r="B46" s="523" t="s">
        <v>1427</v>
      </c>
      <c r="C46" s="972" t="s">
        <v>537</v>
      </c>
      <c r="D46" s="975">
        <v>415</v>
      </c>
      <c r="E46" s="974">
        <v>4689</v>
      </c>
      <c r="F46" s="974">
        <v>161.6</v>
      </c>
      <c r="G46" s="818">
        <f t="shared" si="15"/>
        <v>0</v>
      </c>
      <c r="H46" s="974">
        <f>'MB BH'!J5704</f>
        <v>161.6</v>
      </c>
      <c r="I46" s="818">
        <f t="shared" si="1"/>
        <v>757742</v>
      </c>
      <c r="J46" s="818">
        <f t="shared" si="16"/>
        <v>0</v>
      </c>
      <c r="K46" s="818">
        <f t="shared" si="17"/>
        <v>757742</v>
      </c>
      <c r="M46" s="970"/>
    </row>
    <row r="47" spans="1:13" s="509" customFormat="1" ht="87" customHeight="1">
      <c r="A47" s="806">
        <v>2.2999999999999998</v>
      </c>
      <c r="B47" s="670" t="s">
        <v>1433</v>
      </c>
      <c r="C47" s="972" t="s">
        <v>537</v>
      </c>
      <c r="D47" s="975">
        <v>66</v>
      </c>
      <c r="E47" s="974">
        <v>4455</v>
      </c>
      <c r="F47" s="974">
        <v>36.659999999999997</v>
      </c>
      <c r="G47" s="818">
        <f t="shared" si="15"/>
        <v>0.97000000000000597</v>
      </c>
      <c r="H47" s="974">
        <f>+'MB BH'!J5715</f>
        <v>37.630000000000003</v>
      </c>
      <c r="I47" s="818">
        <f t="shared" si="1"/>
        <v>163320</v>
      </c>
      <c r="J47" s="818">
        <f t="shared" si="16"/>
        <v>4322</v>
      </c>
      <c r="K47" s="818">
        <f t="shared" si="17"/>
        <v>167642</v>
      </c>
      <c r="M47" s="970"/>
    </row>
    <row r="48" spans="1:13" s="509" customFormat="1" ht="67.5" customHeight="1">
      <c r="A48" s="809">
        <v>2.2999999999999998</v>
      </c>
      <c r="B48" s="670" t="s">
        <v>1440</v>
      </c>
      <c r="C48" s="972" t="s">
        <v>537</v>
      </c>
      <c r="D48" s="973">
        <v>757</v>
      </c>
      <c r="E48" s="974">
        <v>4103</v>
      </c>
      <c r="F48" s="974">
        <v>389.93</v>
      </c>
      <c r="G48" s="818">
        <f t="shared" si="15"/>
        <v>6.9700000000000273</v>
      </c>
      <c r="H48" s="974">
        <f>+'MB BH'!J5728</f>
        <v>396.90000000000003</v>
      </c>
      <c r="I48" s="818">
        <f t="shared" si="1"/>
        <v>1599883</v>
      </c>
      <c r="J48" s="818">
        <f t="shared" si="16"/>
        <v>28598</v>
      </c>
      <c r="K48" s="818">
        <f t="shared" si="17"/>
        <v>1628481</v>
      </c>
      <c r="M48" s="970"/>
    </row>
    <row r="49" spans="1:13" s="509" customFormat="1" ht="64.5" customHeight="1">
      <c r="A49" s="809">
        <v>2.5</v>
      </c>
      <c r="B49" s="670" t="s">
        <v>1443</v>
      </c>
      <c r="C49" s="972" t="s">
        <v>537</v>
      </c>
      <c r="D49" s="973">
        <v>22.68</v>
      </c>
      <c r="E49" s="974">
        <v>3517</v>
      </c>
      <c r="F49" s="974">
        <v>127.28999999999996</v>
      </c>
      <c r="G49" s="818">
        <f t="shared" si="15"/>
        <v>19.189999999999998</v>
      </c>
      <c r="H49" s="974">
        <f>+'MB BH'!J5756</f>
        <v>146.47999999999996</v>
      </c>
      <c r="I49" s="818">
        <f t="shared" si="1"/>
        <v>447679</v>
      </c>
      <c r="J49" s="818">
        <f t="shared" si="16"/>
        <v>67491</v>
      </c>
      <c r="K49" s="818">
        <f t="shared" si="17"/>
        <v>515170</v>
      </c>
      <c r="M49" s="970"/>
    </row>
    <row r="50" spans="1:13" s="509" customFormat="1" ht="60" customHeight="1">
      <c r="A50" s="809">
        <v>6</v>
      </c>
      <c r="B50" s="670" t="s">
        <v>1457</v>
      </c>
      <c r="C50" s="972" t="s">
        <v>537</v>
      </c>
      <c r="D50" s="973">
        <v>410</v>
      </c>
      <c r="E50" s="974">
        <v>234</v>
      </c>
      <c r="F50" s="974">
        <v>21.700000000000017</v>
      </c>
      <c r="G50" s="818">
        <f t="shared" si="15"/>
        <v>0</v>
      </c>
      <c r="H50" s="974">
        <f>+'MB BH'!J5810</f>
        <v>21.700000000000017</v>
      </c>
      <c r="I50" s="818">
        <f t="shared" si="1"/>
        <v>5078</v>
      </c>
      <c r="J50" s="818">
        <f t="shared" si="16"/>
        <v>0</v>
      </c>
      <c r="K50" s="818">
        <f t="shared" si="17"/>
        <v>5078</v>
      </c>
      <c r="M50" s="970"/>
    </row>
    <row r="51" spans="1:13" s="509" customFormat="1" ht="24.75" customHeight="1">
      <c r="A51" s="809"/>
      <c r="B51" s="666"/>
      <c r="C51" s="972"/>
      <c r="D51" s="973"/>
      <c r="E51" s="974"/>
      <c r="F51" s="974"/>
      <c r="G51" s="974"/>
      <c r="H51" s="974"/>
      <c r="I51" s="818">
        <f t="shared" si="1"/>
        <v>0</v>
      </c>
      <c r="J51" s="974"/>
      <c r="K51" s="974"/>
      <c r="M51" s="970"/>
    </row>
    <row r="52" spans="1:13" s="509" customFormat="1" ht="35.25" customHeight="1">
      <c r="A52" s="810"/>
      <c r="B52" s="524" t="s">
        <v>1076</v>
      </c>
      <c r="C52" s="991"/>
      <c r="D52" s="990"/>
      <c r="E52" s="992"/>
      <c r="F52" s="992"/>
      <c r="G52" s="992"/>
      <c r="H52" s="992"/>
      <c r="I52" s="993">
        <f>SUM(I8:I51)</f>
        <v>48396290</v>
      </c>
      <c r="J52" s="993">
        <f>SUM(J8:J51)</f>
        <v>4169464</v>
      </c>
      <c r="K52" s="993">
        <f>SUM(K8:K51)</f>
        <v>52565754</v>
      </c>
      <c r="L52" s="994"/>
      <c r="M52" s="970"/>
    </row>
    <row r="53" spans="1:13" s="997" customFormat="1" ht="45.75" customHeight="1">
      <c r="A53" s="811"/>
      <c r="B53" s="65" t="s">
        <v>98</v>
      </c>
      <c r="C53" s="995"/>
      <c r="D53" s="973"/>
      <c r="E53" s="996"/>
      <c r="F53" s="996"/>
      <c r="G53" s="996"/>
      <c r="H53" s="996"/>
      <c r="I53" s="996">
        <v>0</v>
      </c>
      <c r="J53" s="996">
        <f t="shared" ref="J53:J80" si="18">K53-I53</f>
        <v>0</v>
      </c>
      <c r="K53" s="996">
        <f t="shared" ref="K53" si="19">ROUND(E53*H53,0)</f>
        <v>0</v>
      </c>
      <c r="M53" s="970"/>
    </row>
    <row r="54" spans="1:13" s="997" customFormat="1" ht="84" customHeight="1">
      <c r="A54" s="812" t="s">
        <v>2138</v>
      </c>
      <c r="B54" s="515" t="s">
        <v>2139</v>
      </c>
      <c r="C54" s="967" t="s">
        <v>2</v>
      </c>
      <c r="D54" s="968"/>
      <c r="E54" s="1134">
        <v>139</v>
      </c>
      <c r="F54" s="818">
        <v>2106.3300000000004</v>
      </c>
      <c r="G54" s="818">
        <f>H54-F54</f>
        <v>14.31999999999789</v>
      </c>
      <c r="H54" s="818">
        <f>'MB BH'!J6981</f>
        <v>2120.6499999999983</v>
      </c>
      <c r="I54" s="818">
        <v>347544</v>
      </c>
      <c r="J54" s="818">
        <f>K54-I54</f>
        <v>-52774</v>
      </c>
      <c r="K54" s="818">
        <f>ROUND(E54*H54,0)</f>
        <v>294770</v>
      </c>
      <c r="L54" s="998"/>
      <c r="M54" s="970"/>
    </row>
    <row r="55" spans="1:13" s="997" customFormat="1" ht="69.75" customHeight="1">
      <c r="A55" s="813" t="s">
        <v>2140</v>
      </c>
      <c r="B55" s="522" t="s">
        <v>2141</v>
      </c>
      <c r="C55" s="967" t="s">
        <v>2</v>
      </c>
      <c r="D55" s="1001"/>
      <c r="E55" s="1137">
        <v>1025</v>
      </c>
      <c r="F55" s="818">
        <v>0</v>
      </c>
      <c r="G55" s="818">
        <f t="shared" ref="G55" si="20">H55-F55</f>
        <v>812.47999999999979</v>
      </c>
      <c r="H55" s="818">
        <f>'MB BH'!J7015</f>
        <v>812.47999999999979</v>
      </c>
      <c r="I55" s="818">
        <f>ROUND(F55*E55,0)</f>
        <v>0</v>
      </c>
      <c r="J55" s="818">
        <f t="shared" ref="J55" si="21">K55-I55</f>
        <v>832792</v>
      </c>
      <c r="K55" s="818">
        <f t="shared" ref="K55:K80" si="22">ROUND(E55*H55,0)</f>
        <v>832792</v>
      </c>
      <c r="M55" s="970"/>
    </row>
    <row r="56" spans="1:13" s="997" customFormat="1" ht="74.25" customHeight="1">
      <c r="A56" s="1141" t="s">
        <v>1921</v>
      </c>
      <c r="B56" s="522" t="s">
        <v>2159</v>
      </c>
      <c r="C56" s="1003" t="s">
        <v>1</v>
      </c>
      <c r="D56" s="1001"/>
      <c r="E56" s="1138">
        <v>58</v>
      </c>
      <c r="F56" s="818">
        <v>0</v>
      </c>
      <c r="G56" s="818">
        <f t="shared" ref="G56:G59" si="23">H56-F56</f>
        <v>10795.980000000001</v>
      </c>
      <c r="H56" s="818">
        <f>'MB BH'!J7293</f>
        <v>10795.980000000001</v>
      </c>
      <c r="I56" s="818">
        <f>ROUND(F56*E56,0)</f>
        <v>0</v>
      </c>
      <c r="J56" s="818">
        <f t="shared" ref="J56" si="24">K56-I56</f>
        <v>626167</v>
      </c>
      <c r="K56" s="818">
        <f t="shared" si="22"/>
        <v>626167</v>
      </c>
      <c r="M56" s="970"/>
    </row>
    <row r="57" spans="1:13" s="997" customFormat="1" ht="81.75" customHeight="1">
      <c r="A57" s="812" t="s">
        <v>2143</v>
      </c>
      <c r="B57" s="515" t="s">
        <v>2144</v>
      </c>
      <c r="C57" s="967"/>
      <c r="D57" s="967"/>
      <c r="E57" s="968"/>
      <c r="F57" s="818"/>
      <c r="G57" s="818">
        <v>0</v>
      </c>
      <c r="H57" s="818"/>
      <c r="I57" s="818">
        <f t="shared" ref="I57:I80" si="25">ROUND(F57*E57,0)</f>
        <v>0</v>
      </c>
      <c r="J57" s="818">
        <f t="shared" si="18"/>
        <v>0</v>
      </c>
      <c r="K57" s="818">
        <f t="shared" si="22"/>
        <v>0</v>
      </c>
      <c r="M57" s="970"/>
    </row>
    <row r="58" spans="1:13" s="997" customFormat="1" ht="51.75" customHeight="1">
      <c r="A58" s="812" t="s">
        <v>457</v>
      </c>
      <c r="B58" s="515" t="s">
        <v>2145</v>
      </c>
      <c r="C58" s="967" t="s">
        <v>2146</v>
      </c>
      <c r="D58" s="967">
        <v>1777.4960000000001</v>
      </c>
      <c r="E58" s="968">
        <v>305</v>
      </c>
      <c r="F58" s="818"/>
      <c r="G58" s="818">
        <f t="shared" si="23"/>
        <v>1273.5000000000007</v>
      </c>
      <c r="H58" s="818">
        <f>'MB BH'!J8375</f>
        <v>1273.5000000000007</v>
      </c>
      <c r="I58" s="818"/>
      <c r="J58" s="818">
        <f t="shared" si="18"/>
        <v>388418</v>
      </c>
      <c r="K58" s="818">
        <f t="shared" si="22"/>
        <v>388418</v>
      </c>
      <c r="M58" s="970"/>
    </row>
    <row r="59" spans="1:13" s="997" customFormat="1" ht="31.5" customHeight="1">
      <c r="A59" s="812" t="s">
        <v>459</v>
      </c>
      <c r="B59" s="515" t="s">
        <v>2147</v>
      </c>
      <c r="C59" s="967" t="s">
        <v>2146</v>
      </c>
      <c r="D59" s="967">
        <v>444.37400000000002</v>
      </c>
      <c r="E59" s="968">
        <v>451</v>
      </c>
      <c r="F59" s="818"/>
      <c r="G59" s="818">
        <f t="shared" si="23"/>
        <v>1207.9700000000003</v>
      </c>
      <c r="H59" s="818">
        <f>'MB BH'!J8376</f>
        <v>1207.9700000000003</v>
      </c>
      <c r="I59" s="818"/>
      <c r="J59" s="818">
        <f t="shared" si="18"/>
        <v>544794</v>
      </c>
      <c r="K59" s="818">
        <f t="shared" si="22"/>
        <v>544794</v>
      </c>
      <c r="M59" s="970"/>
    </row>
    <row r="60" spans="1:13" s="997" customFormat="1" ht="26.25" customHeight="1">
      <c r="A60" s="812" t="s">
        <v>1511</v>
      </c>
      <c r="B60" s="515" t="s">
        <v>2148</v>
      </c>
      <c r="C60" s="967" t="s">
        <v>2146</v>
      </c>
      <c r="D60" s="967">
        <v>259.64999999999998</v>
      </c>
      <c r="E60" s="968"/>
      <c r="F60" s="818"/>
      <c r="G60" s="818"/>
      <c r="H60" s="818"/>
      <c r="I60" s="818"/>
      <c r="J60" s="818"/>
      <c r="K60" s="818">
        <f t="shared" si="22"/>
        <v>0</v>
      </c>
      <c r="M60" s="970"/>
    </row>
    <row r="61" spans="1:13" s="997" customFormat="1" ht="35.25" customHeight="1">
      <c r="B61" s="515" t="s">
        <v>1845</v>
      </c>
      <c r="C61" s="999" t="s">
        <v>102</v>
      </c>
      <c r="D61" s="967"/>
      <c r="E61" s="968">
        <v>450</v>
      </c>
      <c r="F61" s="818">
        <v>2062.6460000000015</v>
      </c>
      <c r="G61" s="818">
        <f>H61-F61</f>
        <v>-2062.6460000000015</v>
      </c>
      <c r="H61" s="818"/>
      <c r="I61" s="818">
        <v>742553</v>
      </c>
      <c r="J61" s="818">
        <f t="shared" ref="J61" si="26">K61-I61</f>
        <v>-742553</v>
      </c>
      <c r="K61" s="818">
        <f t="shared" si="22"/>
        <v>0</v>
      </c>
      <c r="L61" s="998"/>
      <c r="M61" s="970"/>
    </row>
    <row r="62" spans="1:13" s="997" customFormat="1" ht="45.75" customHeight="1">
      <c r="A62" s="813" t="s">
        <v>1923</v>
      </c>
      <c r="B62" s="522" t="s">
        <v>2151</v>
      </c>
      <c r="D62" s="1001"/>
      <c r="E62" s="1002"/>
      <c r="F62" s="818"/>
      <c r="G62" s="818"/>
      <c r="H62" s="818"/>
      <c r="I62" s="818"/>
      <c r="J62" s="818"/>
      <c r="K62" s="818">
        <f t="shared" si="22"/>
        <v>0</v>
      </c>
      <c r="M62" s="970"/>
    </row>
    <row r="63" spans="1:13" s="997" customFormat="1" ht="39.950000000000003" customHeight="1">
      <c r="A63" s="813" t="s">
        <v>1924</v>
      </c>
      <c r="B63" s="522" t="s">
        <v>1925</v>
      </c>
      <c r="C63" s="1003" t="s">
        <v>1</v>
      </c>
      <c r="D63" s="1001"/>
      <c r="E63" s="1137">
        <v>688</v>
      </c>
      <c r="F63" s="818">
        <v>0</v>
      </c>
      <c r="G63" s="818">
        <f t="shared" ref="G63" si="27">H63-F63</f>
        <v>57.400000000000006</v>
      </c>
      <c r="H63" s="818">
        <f>'MB BH'!J8409</f>
        <v>57.400000000000006</v>
      </c>
      <c r="I63" s="818">
        <f t="shared" ref="I63:I73" si="28">ROUND(F63*E63,0)</f>
        <v>0</v>
      </c>
      <c r="J63" s="818">
        <f t="shared" ref="J63" si="29">K63-I63</f>
        <v>39491</v>
      </c>
      <c r="K63" s="818">
        <f t="shared" si="22"/>
        <v>39491</v>
      </c>
      <c r="M63" s="970"/>
    </row>
    <row r="64" spans="1:13" s="997" customFormat="1" ht="31.5" customHeight="1">
      <c r="A64" s="813" t="s">
        <v>2149</v>
      </c>
      <c r="B64" s="522" t="s">
        <v>2150</v>
      </c>
      <c r="C64" s="1003" t="s">
        <v>1</v>
      </c>
      <c r="D64" s="1001"/>
      <c r="E64" s="1002">
        <v>807</v>
      </c>
      <c r="F64" s="818"/>
      <c r="G64" s="818"/>
      <c r="H64" s="818"/>
      <c r="I64" s="818">
        <f t="shared" si="28"/>
        <v>0</v>
      </c>
      <c r="J64" s="818"/>
      <c r="K64" s="818">
        <f t="shared" si="22"/>
        <v>0</v>
      </c>
      <c r="M64" s="970"/>
    </row>
    <row r="65" spans="1:13" s="997" customFormat="1" ht="51" customHeight="1">
      <c r="A65" s="813" t="s">
        <v>1926</v>
      </c>
      <c r="B65" s="522" t="s">
        <v>1927</v>
      </c>
      <c r="C65" s="1003" t="s">
        <v>1</v>
      </c>
      <c r="D65" s="1001"/>
      <c r="E65" s="1138">
        <v>910</v>
      </c>
      <c r="F65" s="818">
        <v>0</v>
      </c>
      <c r="G65" s="818">
        <f t="shared" ref="G65" si="30">H65-F65</f>
        <v>0</v>
      </c>
      <c r="H65" s="818">
        <f>'MB BH'!J8954</f>
        <v>0</v>
      </c>
      <c r="I65" s="818">
        <f t="shared" si="28"/>
        <v>0</v>
      </c>
      <c r="J65" s="818">
        <f t="shared" ref="J65" si="31">K65-I65</f>
        <v>0</v>
      </c>
      <c r="K65" s="818">
        <f t="shared" si="22"/>
        <v>0</v>
      </c>
      <c r="M65" s="970"/>
    </row>
    <row r="66" spans="1:13" s="997" customFormat="1" ht="66">
      <c r="A66" s="813" t="s">
        <v>2160</v>
      </c>
      <c r="B66" s="522" t="s">
        <v>2161</v>
      </c>
      <c r="C66" s="1003" t="s">
        <v>1930</v>
      </c>
      <c r="D66" s="1001"/>
      <c r="E66" s="1002">
        <v>95</v>
      </c>
      <c r="F66" s="818">
        <v>0</v>
      </c>
      <c r="G66" s="818">
        <f t="shared" ref="G66" si="32">H66-F66</f>
        <v>9622.68</v>
      </c>
      <c r="H66" s="818">
        <f>'MB BH'!J8581</f>
        <v>9622.68</v>
      </c>
      <c r="I66" s="818">
        <f t="shared" si="28"/>
        <v>0</v>
      </c>
      <c r="J66" s="818">
        <f t="shared" ref="J66" si="33">K66-I66</f>
        <v>914155</v>
      </c>
      <c r="K66" s="818">
        <f t="shared" si="22"/>
        <v>914155</v>
      </c>
      <c r="L66" s="997">
        <f>100/83*95</f>
        <v>114.45783132530121</v>
      </c>
      <c r="M66" s="970"/>
    </row>
    <row r="67" spans="1:13" s="997" customFormat="1" ht="49.5">
      <c r="A67" s="813" t="s">
        <v>2065</v>
      </c>
      <c r="B67" s="522" t="s">
        <v>2066</v>
      </c>
      <c r="C67" s="1003" t="s">
        <v>1990</v>
      </c>
      <c r="D67" s="1001"/>
      <c r="E67" s="1137">
        <v>268</v>
      </c>
      <c r="F67" s="818">
        <v>0</v>
      </c>
      <c r="G67" s="818">
        <f t="shared" ref="G67" si="34">H67-F67</f>
        <v>98</v>
      </c>
      <c r="H67" s="818">
        <f>'MB BH'!J8605</f>
        <v>98</v>
      </c>
      <c r="I67" s="818">
        <f t="shared" si="28"/>
        <v>0</v>
      </c>
      <c r="J67" s="818">
        <f t="shared" ref="J67" si="35">K67-I67</f>
        <v>26264</v>
      </c>
      <c r="K67" s="818">
        <f t="shared" si="22"/>
        <v>26264</v>
      </c>
      <c r="M67" s="970"/>
    </row>
    <row r="68" spans="1:13" s="997" customFormat="1" ht="66">
      <c r="A68" s="813" t="s">
        <v>2101</v>
      </c>
      <c r="B68" s="522" t="s">
        <v>2102</v>
      </c>
      <c r="C68" s="1003" t="s">
        <v>1821</v>
      </c>
      <c r="D68" s="1001"/>
      <c r="E68" s="1139">
        <v>159</v>
      </c>
      <c r="F68" s="818">
        <v>0</v>
      </c>
      <c r="G68" s="818">
        <f t="shared" ref="G68" si="36">H68-F68</f>
        <v>717</v>
      </c>
      <c r="H68" s="818">
        <f>'MB BH'!J8658</f>
        <v>717</v>
      </c>
      <c r="I68" s="818">
        <f t="shared" si="28"/>
        <v>0</v>
      </c>
      <c r="J68" s="818">
        <f t="shared" ref="J68" si="37">K68-I68</f>
        <v>114003</v>
      </c>
      <c r="K68" s="818">
        <f t="shared" si="22"/>
        <v>114003</v>
      </c>
      <c r="L68" s="997">
        <f>100/83*255.8</f>
        <v>308.19277108433738</v>
      </c>
      <c r="M68" s="970"/>
    </row>
    <row r="69" spans="1:13" s="997" customFormat="1" ht="48" customHeight="1">
      <c r="A69" s="813" t="s">
        <v>2152</v>
      </c>
      <c r="B69" s="522" t="s">
        <v>725</v>
      </c>
      <c r="C69" s="1003" t="s">
        <v>2</v>
      </c>
      <c r="D69" s="1001"/>
      <c r="E69" s="1137">
        <v>0</v>
      </c>
      <c r="F69" s="818">
        <v>0</v>
      </c>
      <c r="G69" s="818">
        <f>H69-F69</f>
        <v>0</v>
      </c>
      <c r="H69" s="818">
        <f>'MB BH'!J8665</f>
        <v>0</v>
      </c>
      <c r="I69" s="818">
        <f t="shared" si="28"/>
        <v>0</v>
      </c>
      <c r="J69" s="818">
        <f>K69-I69</f>
        <v>0</v>
      </c>
      <c r="K69" s="818">
        <f t="shared" si="22"/>
        <v>0</v>
      </c>
      <c r="M69" s="970"/>
    </row>
    <row r="70" spans="1:13" s="997" customFormat="1" ht="33">
      <c r="A70" s="813" t="s">
        <v>2153</v>
      </c>
      <c r="B70" s="522" t="s">
        <v>2156</v>
      </c>
      <c r="C70" s="1003" t="s">
        <v>1990</v>
      </c>
      <c r="D70" s="1001"/>
      <c r="E70" s="1002">
        <v>0</v>
      </c>
      <c r="F70" s="818">
        <v>0</v>
      </c>
      <c r="G70" s="818">
        <f t="shared" ref="G70" si="38">H70-F70</f>
        <v>0</v>
      </c>
      <c r="H70" s="818">
        <f>'MB BH'!J8791</f>
        <v>0</v>
      </c>
      <c r="I70" s="818">
        <f t="shared" si="28"/>
        <v>0</v>
      </c>
      <c r="J70" s="818">
        <f t="shared" ref="J70" si="39">K70-I70</f>
        <v>0</v>
      </c>
      <c r="K70" s="818">
        <f t="shared" si="22"/>
        <v>0</v>
      </c>
      <c r="L70" s="997">
        <f>100/83*156.5</f>
        <v>188.5542168674699</v>
      </c>
      <c r="M70" s="970"/>
    </row>
    <row r="71" spans="1:13" s="997" customFormat="1" ht="33">
      <c r="A71" s="813" t="s">
        <v>2155</v>
      </c>
      <c r="B71" s="522" t="s">
        <v>2154</v>
      </c>
      <c r="C71" s="1003" t="s">
        <v>1990</v>
      </c>
      <c r="D71" s="1001"/>
      <c r="E71" s="1002"/>
      <c r="F71" s="818">
        <v>0</v>
      </c>
      <c r="G71" s="818">
        <f t="shared" ref="G71" si="40">H71-F71</f>
        <v>0</v>
      </c>
      <c r="H71" s="818">
        <f>'MB BH'!J8953</f>
        <v>0</v>
      </c>
      <c r="I71" s="818">
        <f t="shared" si="28"/>
        <v>0</v>
      </c>
      <c r="J71" s="818">
        <f t="shared" ref="J71" si="41">K71-I71</f>
        <v>0</v>
      </c>
      <c r="K71" s="818">
        <f t="shared" si="22"/>
        <v>0</v>
      </c>
      <c r="L71" s="997">
        <f>100/83*221.95</f>
        <v>267.40963855421688</v>
      </c>
      <c r="M71" s="970"/>
    </row>
    <row r="72" spans="1:13" s="997" customFormat="1" ht="41.25" customHeight="1">
      <c r="A72" s="813" t="s">
        <v>1917</v>
      </c>
      <c r="B72" s="522" t="s">
        <v>1928</v>
      </c>
      <c r="C72" s="1003" t="s">
        <v>1</v>
      </c>
      <c r="D72" s="1001"/>
      <c r="E72" s="1002">
        <v>183</v>
      </c>
      <c r="F72" s="818">
        <v>0</v>
      </c>
      <c r="G72" s="818">
        <f t="shared" ref="G72" si="42">H72-F72</f>
        <v>8881.66</v>
      </c>
      <c r="H72" s="818">
        <f>'MB BH'!J8960</f>
        <v>8881.66</v>
      </c>
      <c r="I72" s="818">
        <f t="shared" si="28"/>
        <v>0</v>
      </c>
      <c r="J72" s="818">
        <f t="shared" ref="J72" si="43">K72-I72</f>
        <v>1625344</v>
      </c>
      <c r="K72" s="818">
        <f t="shared" si="22"/>
        <v>1625344</v>
      </c>
      <c r="M72" s="970"/>
    </row>
    <row r="73" spans="1:13" s="997" customFormat="1" ht="45.75" customHeight="1">
      <c r="A73" s="813" t="s">
        <v>1918</v>
      </c>
      <c r="B73" s="522" t="s">
        <v>1919</v>
      </c>
      <c r="C73" s="1003" t="s">
        <v>1</v>
      </c>
      <c r="D73" s="1001"/>
      <c r="E73" s="1137">
        <v>149</v>
      </c>
      <c r="F73" s="818">
        <v>0</v>
      </c>
      <c r="G73" s="818">
        <f t="shared" ref="G73" si="44">H73-F73</f>
        <v>389.93</v>
      </c>
      <c r="H73" s="818">
        <f>'MB BH'!J8969</f>
        <v>389.93</v>
      </c>
      <c r="I73" s="818">
        <f t="shared" si="28"/>
        <v>0</v>
      </c>
      <c r="J73" s="818">
        <f t="shared" ref="J73" si="45">K73-I73</f>
        <v>58100</v>
      </c>
      <c r="K73" s="818">
        <f t="shared" si="22"/>
        <v>58100</v>
      </c>
      <c r="M73" s="970"/>
    </row>
    <row r="74" spans="1:13" s="997" customFormat="1" ht="16.5">
      <c r="A74" s="812"/>
      <c r="B74" s="520"/>
      <c r="C74" s="995"/>
      <c r="D74" s="967"/>
      <c r="E74" s="968"/>
      <c r="F74" s="818"/>
      <c r="G74" s="818"/>
      <c r="H74" s="818"/>
      <c r="I74" s="818"/>
      <c r="J74" s="818"/>
      <c r="K74" s="818">
        <f t="shared" si="22"/>
        <v>0</v>
      </c>
      <c r="M74" s="970"/>
    </row>
    <row r="75" spans="1:13" s="1135" customFormat="1" ht="49.5">
      <c r="A75" s="1131" t="s">
        <v>592</v>
      </c>
      <c r="B75" s="1140" t="s">
        <v>1846</v>
      </c>
      <c r="C75" s="1132" t="s">
        <v>102</v>
      </c>
      <c r="D75" s="1133"/>
      <c r="E75" s="1137">
        <v>850</v>
      </c>
      <c r="F75" s="1134">
        <v>0</v>
      </c>
      <c r="G75" s="1134">
        <f t="shared" ref="G75" si="46">H75-F75</f>
        <v>0</v>
      </c>
      <c r="H75" s="1134"/>
      <c r="I75" s="1134">
        <f t="shared" si="25"/>
        <v>0</v>
      </c>
      <c r="J75" s="1134">
        <f t="shared" si="18"/>
        <v>0</v>
      </c>
      <c r="K75" s="818">
        <f t="shared" si="22"/>
        <v>0</v>
      </c>
      <c r="L75" s="1136"/>
      <c r="M75" s="1136"/>
    </row>
    <row r="76" spans="1:13" s="997" customFormat="1" ht="31.5" customHeight="1">
      <c r="A76" s="814"/>
      <c r="B76" s="521"/>
      <c r="C76" s="1000"/>
      <c r="D76" s="1001"/>
      <c r="E76" s="1002"/>
      <c r="F76" s="818"/>
      <c r="G76" s="818"/>
      <c r="H76" s="818"/>
      <c r="I76" s="818">
        <f t="shared" si="25"/>
        <v>0</v>
      </c>
      <c r="J76" s="818">
        <f t="shared" si="18"/>
        <v>0</v>
      </c>
      <c r="K76" s="818">
        <f t="shared" si="22"/>
        <v>0</v>
      </c>
      <c r="M76" s="970"/>
    </row>
    <row r="77" spans="1:13" s="1135" customFormat="1" ht="41.25" customHeight="1">
      <c r="A77" s="1141" t="s">
        <v>726</v>
      </c>
      <c r="B77" s="1142" t="s">
        <v>798</v>
      </c>
      <c r="C77" s="1143" t="s">
        <v>1</v>
      </c>
      <c r="D77" s="1144"/>
      <c r="E77" s="1137">
        <v>0</v>
      </c>
      <c r="F77" s="1134">
        <v>0</v>
      </c>
      <c r="G77" s="1134">
        <f t="shared" ref="G77" si="47">H77-F77</f>
        <v>0</v>
      </c>
      <c r="H77" s="1134">
        <f>'MB BH'!J8665</f>
        <v>0</v>
      </c>
      <c r="I77" s="1134">
        <f t="shared" si="25"/>
        <v>0</v>
      </c>
      <c r="J77" s="1134">
        <f t="shared" si="18"/>
        <v>0</v>
      </c>
      <c r="K77" s="818">
        <f t="shared" si="22"/>
        <v>0</v>
      </c>
      <c r="M77" s="1136"/>
    </row>
    <row r="78" spans="1:13" s="997" customFormat="1" ht="99" customHeight="1">
      <c r="A78" s="813" t="s">
        <v>1915</v>
      </c>
      <c r="B78" s="522" t="s">
        <v>1289</v>
      </c>
      <c r="C78" s="1003" t="s">
        <v>1</v>
      </c>
      <c r="D78" s="1001"/>
      <c r="E78" s="1002">
        <v>210.68</v>
      </c>
      <c r="F78" s="818">
        <v>0</v>
      </c>
      <c r="G78" s="818">
        <f t="shared" ref="G78" si="48">H78-F78</f>
        <v>0</v>
      </c>
      <c r="H78" s="818">
        <f>'MB BH'!J9068</f>
        <v>0</v>
      </c>
      <c r="I78" s="818">
        <f t="shared" si="25"/>
        <v>0</v>
      </c>
      <c r="J78" s="818">
        <f t="shared" ref="J78" si="49">K78-I78</f>
        <v>0</v>
      </c>
      <c r="K78" s="818">
        <f t="shared" si="22"/>
        <v>0</v>
      </c>
      <c r="M78" s="970"/>
    </row>
    <row r="79" spans="1:13" s="997" customFormat="1" ht="18" customHeight="1">
      <c r="B79" s="522"/>
      <c r="C79" s="1003"/>
      <c r="D79" s="1001"/>
      <c r="E79" s="1002"/>
      <c r="F79" s="818"/>
      <c r="G79" s="818"/>
      <c r="H79" s="818"/>
      <c r="I79" s="818">
        <f t="shared" si="25"/>
        <v>0</v>
      </c>
      <c r="J79" s="818"/>
      <c r="K79" s="818">
        <f t="shared" si="22"/>
        <v>0</v>
      </c>
      <c r="M79" s="970"/>
    </row>
    <row r="80" spans="1:13" s="997" customFormat="1" ht="16.5">
      <c r="A80" s="814"/>
      <c r="B80" s="521"/>
      <c r="C80" s="1000"/>
      <c r="D80" s="1001"/>
      <c r="E80" s="1002"/>
      <c r="F80" s="818"/>
      <c r="G80" s="818"/>
      <c r="H80" s="818"/>
      <c r="I80" s="818">
        <f t="shared" si="25"/>
        <v>0</v>
      </c>
      <c r="J80" s="818">
        <f t="shared" si="18"/>
        <v>0</v>
      </c>
      <c r="K80" s="818">
        <f t="shared" si="22"/>
        <v>0</v>
      </c>
      <c r="M80" s="970"/>
    </row>
    <row r="81" spans="1:14" s="509" customFormat="1" ht="35.25" customHeight="1">
      <c r="A81" s="815"/>
      <c r="B81" s="585" t="s">
        <v>159</v>
      </c>
      <c r="C81" s="1005"/>
      <c r="D81" s="1004"/>
      <c r="E81" s="1006"/>
      <c r="F81" s="1006"/>
      <c r="G81" s="1006"/>
      <c r="H81" s="1006"/>
      <c r="I81" s="1007">
        <f>SUM(I53:I80)</f>
        <v>1090097</v>
      </c>
      <c r="J81" s="1007">
        <f>SUM(J53:J80)</f>
        <v>4374201</v>
      </c>
      <c r="K81" s="1007">
        <f>SUM(K54:K80)</f>
        <v>5464298</v>
      </c>
      <c r="M81" s="970"/>
    </row>
    <row r="82" spans="1:14" s="509" customFormat="1" ht="39.950000000000003" customHeight="1" thickBot="1">
      <c r="A82" s="816"/>
      <c r="B82" s="789"/>
      <c r="C82" s="1008"/>
      <c r="D82" s="816"/>
      <c r="E82" s="1009"/>
      <c r="F82" s="1009"/>
      <c r="G82" s="1010">
        <v>0</v>
      </c>
      <c r="H82" s="1011" t="s">
        <v>160</v>
      </c>
      <c r="I82" s="1012">
        <f>I81+I52</f>
        <v>49486387</v>
      </c>
      <c r="J82" s="1012">
        <f>J81+J52</f>
        <v>8543665</v>
      </c>
      <c r="K82" s="1012">
        <f>K81+K52</f>
        <v>58030052</v>
      </c>
      <c r="M82" s="1503"/>
      <c r="N82" s="1503"/>
    </row>
  </sheetData>
  <mergeCells count="3">
    <mergeCell ref="A4:E4"/>
    <mergeCell ref="F4:K4"/>
    <mergeCell ref="M82:N82"/>
  </mergeCells>
  <conditionalFormatting sqref="H54:H80">
    <cfRule type="containsText" dxfId="13" priority="1" operator="containsText" text="8.15">
      <formula>NOT(ISERROR(SEARCH("8.15",H54)))</formula>
    </cfRule>
  </conditionalFormatting>
  <printOptions horizontalCentered="1" gridLines="1"/>
  <pageMargins left="0.25" right="0.25" top="1" bottom="0.75" header="0.31496062992126" footer="0.31496062992126"/>
  <pageSetup paperSize="9" scale="59" orientation="landscape" r:id="rId1"/>
  <headerFooter>
    <oddFooter>&amp;R&amp;P/&amp;N</oddFooter>
  </headerFooter>
  <ignoredErrors>
    <ignoredError sqref="H66:H68 H54:H56 G8:H8 G22:H22 G65 H25 H58:H59 H72 J55 G18:H18 G16 G10 G20:K20 I18:K18 K81"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A1:N97"/>
  <sheetViews>
    <sheetView view="pageBreakPreview" zoomScale="70" zoomScaleSheetLayoutView="70" workbookViewId="0">
      <pane xSplit="3" ySplit="6" topLeftCell="D57" activePane="bottomRight" state="frozen"/>
      <selection activeCell="I1849" sqref="I1849"/>
      <selection pane="topRight" activeCell="I1849" sqref="I1849"/>
      <selection pane="bottomLeft" activeCell="I1849" sqref="I1849"/>
      <selection pane="bottomRight" activeCell="H61" sqref="H61"/>
    </sheetView>
  </sheetViews>
  <sheetFormatPr defaultColWidth="9.140625" defaultRowHeight="18"/>
  <cols>
    <col min="1" max="1" width="12.140625" style="293" customWidth="1"/>
    <col min="2" max="2" width="76.5703125" style="54" customWidth="1"/>
    <col min="3" max="3" width="9.28515625" style="1013" customWidth="1"/>
    <col min="4" max="4" width="15.85546875" style="293" customWidth="1"/>
    <col min="5" max="5" width="14.28515625" style="1014" bestFit="1" customWidth="1"/>
    <col min="6" max="8" width="14.7109375" style="1014" customWidth="1"/>
    <col min="9" max="9" width="21.42578125" style="1014" bestFit="1" customWidth="1"/>
    <col min="10" max="10" width="20" style="1014" customWidth="1"/>
    <col min="11" max="11" width="21.140625" style="1014" customWidth="1"/>
    <col min="12" max="12" width="20.7109375" style="293" customWidth="1"/>
    <col min="13" max="13" width="26.42578125" style="293" customWidth="1"/>
    <col min="14" max="16384" width="9.140625" style="293"/>
  </cols>
  <sheetData>
    <row r="1" spans="1:13" ht="21" thickBot="1">
      <c r="A1" s="794"/>
      <c r="B1" s="1015" t="str">
        <f>SUMMARY!B1</f>
        <v>THAPAR UNIVERSITY EXTENSION PROJECT, PATIALA</v>
      </c>
      <c r="C1" s="951"/>
      <c r="D1" s="952"/>
      <c r="E1" s="953"/>
      <c r="F1" s="953"/>
      <c r="G1" s="953"/>
      <c r="H1" s="953"/>
      <c r="I1" s="953"/>
      <c r="J1" s="953"/>
      <c r="K1" s="954"/>
    </row>
    <row r="2" spans="1:13" ht="21" thickBot="1">
      <c r="A2" s="795"/>
      <c r="B2" s="1016" t="str">
        <f>SUMMARY!B2</f>
        <v>M/S. GANNON DUNKERLEY &amp; CO. LTD.</v>
      </c>
      <c r="C2" s="955"/>
      <c r="D2" s="956"/>
      <c r="E2" s="957"/>
      <c r="F2" s="957"/>
      <c r="G2" s="957"/>
      <c r="H2" s="957"/>
      <c r="I2" s="957"/>
      <c r="J2" s="957"/>
      <c r="K2" s="958"/>
    </row>
    <row r="3" spans="1:13" ht="23.25" thickBot="1">
      <c r="A3" s="796" t="s">
        <v>54</v>
      </c>
      <c r="B3" s="1017" t="str">
        <f>SUMMARY!B3</f>
        <v>06 (August'2017)</v>
      </c>
      <c r="C3" s="959"/>
      <c r="D3" s="960"/>
      <c r="E3" s="961"/>
      <c r="F3" s="961"/>
      <c r="G3" s="961"/>
      <c r="H3" s="961"/>
      <c r="I3" s="961"/>
      <c r="J3" s="961"/>
      <c r="K3" s="962"/>
    </row>
    <row r="4" spans="1:13" ht="27.75" thickBot="1">
      <c r="A4" s="1497" t="s">
        <v>90</v>
      </c>
      <c r="B4" s="1498"/>
      <c r="C4" s="1498"/>
      <c r="D4" s="1498"/>
      <c r="E4" s="1499"/>
      <c r="F4" s="1500" t="s">
        <v>91</v>
      </c>
      <c r="G4" s="1501"/>
      <c r="H4" s="1501"/>
      <c r="I4" s="1501"/>
      <c r="J4" s="1501"/>
      <c r="K4" s="1502"/>
    </row>
    <row r="5" spans="1:13" s="509" customFormat="1" ht="33">
      <c r="A5" s="506" t="s">
        <v>3</v>
      </c>
      <c r="B5" s="506" t="s">
        <v>4</v>
      </c>
      <c r="C5" s="506" t="s">
        <v>5</v>
      </c>
      <c r="D5" s="507" t="s">
        <v>803</v>
      </c>
      <c r="E5" s="508" t="s">
        <v>6</v>
      </c>
      <c r="F5" s="507" t="s">
        <v>9</v>
      </c>
      <c r="G5" s="507" t="s">
        <v>10</v>
      </c>
      <c r="H5" s="507" t="s">
        <v>11</v>
      </c>
      <c r="I5" s="507" t="s">
        <v>12</v>
      </c>
      <c r="J5" s="507" t="s">
        <v>10</v>
      </c>
      <c r="K5" s="507" t="s">
        <v>13</v>
      </c>
    </row>
    <row r="6" spans="1:13" s="966" customFormat="1" ht="16.5">
      <c r="A6" s="797" t="s">
        <v>995</v>
      </c>
      <c r="B6" s="510"/>
      <c r="C6" s="963"/>
      <c r="D6" s="964"/>
      <c r="E6" s="965"/>
      <c r="F6" s="965"/>
      <c r="G6" s="965">
        <v>0</v>
      </c>
      <c r="H6" s="965"/>
      <c r="I6" s="965"/>
      <c r="J6" s="965"/>
      <c r="K6" s="965"/>
    </row>
    <row r="7" spans="1:13" s="509" customFormat="1">
      <c r="A7" s="798" t="s">
        <v>996</v>
      </c>
      <c r="B7" s="511"/>
      <c r="C7" s="967"/>
      <c r="D7" s="968"/>
      <c r="E7" s="818"/>
      <c r="F7" s="969"/>
      <c r="G7" s="818">
        <f t="shared" ref="G7" si="0">H7-F7</f>
        <v>0</v>
      </c>
      <c r="H7" s="818"/>
      <c r="I7" s="818">
        <v>0</v>
      </c>
      <c r="J7" s="818">
        <f t="shared" ref="J7" si="1">K7-I7</f>
        <v>0</v>
      </c>
      <c r="K7" s="818">
        <f t="shared" ref="K7" si="2">ROUND(E7*H7,0)</f>
        <v>0</v>
      </c>
      <c r="M7" s="970"/>
    </row>
    <row r="8" spans="1:13" s="509" customFormat="1" ht="65.25" customHeight="1">
      <c r="A8" s="793">
        <v>1</v>
      </c>
      <c r="B8" s="515" t="s">
        <v>95</v>
      </c>
      <c r="C8" s="967" t="s">
        <v>2</v>
      </c>
      <c r="D8" s="968">
        <v>1283</v>
      </c>
      <c r="E8" s="818">
        <v>4719</v>
      </c>
      <c r="F8" s="969">
        <v>1624.9754224846149</v>
      </c>
      <c r="G8" s="818">
        <f>H8-F8</f>
        <v>1.6745775153847262</v>
      </c>
      <c r="H8" s="818">
        <f>'MB BH'!J1256</f>
        <v>1626.6499999999996</v>
      </c>
      <c r="I8" s="818">
        <f>ROUND(F8*E8,0)</f>
        <v>7668259</v>
      </c>
      <c r="J8" s="818">
        <f>K8-I8</f>
        <v>7902</v>
      </c>
      <c r="K8" s="818">
        <f>ROUND(E8*H8,0)</f>
        <v>7676161</v>
      </c>
      <c r="L8" s="970"/>
      <c r="M8" s="970"/>
    </row>
    <row r="9" spans="1:13" s="509" customFormat="1" ht="16.5">
      <c r="A9" s="799" t="s">
        <v>311</v>
      </c>
      <c r="B9" s="511"/>
      <c r="C9" s="967"/>
      <c r="D9" s="968"/>
      <c r="E9" s="818"/>
      <c r="F9" s="969"/>
      <c r="G9" s="818">
        <f t="shared" ref="G9:G10" si="3">H9-F9</f>
        <v>0</v>
      </c>
      <c r="H9" s="818"/>
      <c r="I9" s="818">
        <f t="shared" ref="I9:I51" si="4">ROUND(F9*E9,0)</f>
        <v>0</v>
      </c>
      <c r="J9" s="818">
        <f t="shared" ref="J9:J10" si="5">K9-I9</f>
        <v>0</v>
      </c>
      <c r="K9" s="818">
        <f t="shared" ref="K9:K10" si="6">ROUND(E9*H9,0)</f>
        <v>0</v>
      </c>
      <c r="M9" s="970"/>
    </row>
    <row r="10" spans="1:13" s="509" customFormat="1" ht="50.25" customHeight="1">
      <c r="A10" s="793">
        <v>2</v>
      </c>
      <c r="B10" s="515" t="s">
        <v>312</v>
      </c>
      <c r="C10" s="967" t="s">
        <v>2</v>
      </c>
      <c r="D10" s="968">
        <v>733</v>
      </c>
      <c r="E10" s="818">
        <v>2111</v>
      </c>
      <c r="F10" s="969">
        <v>445.96841229999995</v>
      </c>
      <c r="G10" s="818">
        <f t="shared" si="3"/>
        <v>1.5876999999591135E-3</v>
      </c>
      <c r="H10" s="818">
        <f>'MB BH'!J1299</f>
        <v>445.96999999999991</v>
      </c>
      <c r="I10" s="818">
        <f t="shared" si="4"/>
        <v>941439</v>
      </c>
      <c r="J10" s="818">
        <f t="shared" si="5"/>
        <v>4</v>
      </c>
      <c r="K10" s="818">
        <f t="shared" si="6"/>
        <v>941443</v>
      </c>
      <c r="L10" s="970"/>
      <c r="M10" s="970"/>
    </row>
    <row r="11" spans="1:13" s="509" customFormat="1" ht="20.25">
      <c r="A11" s="800" t="s">
        <v>997</v>
      </c>
      <c r="B11" s="511"/>
      <c r="C11" s="967"/>
      <c r="D11" s="968"/>
      <c r="E11" s="971"/>
      <c r="F11" s="818"/>
      <c r="G11" s="818"/>
      <c r="H11" s="818"/>
      <c r="I11" s="818">
        <f t="shared" si="4"/>
        <v>0</v>
      </c>
      <c r="J11" s="818"/>
      <c r="K11" s="818"/>
      <c r="M11" s="970"/>
    </row>
    <row r="12" spans="1:13" s="509" customFormat="1" ht="66.75" customHeight="1">
      <c r="A12" s="793">
        <v>3</v>
      </c>
      <c r="B12" s="515" t="s">
        <v>96</v>
      </c>
      <c r="C12" s="967" t="s">
        <v>2</v>
      </c>
      <c r="D12" s="968">
        <v>190</v>
      </c>
      <c r="E12" s="818">
        <v>5979</v>
      </c>
      <c r="F12" s="818">
        <v>994.21423660000164</v>
      </c>
      <c r="G12" s="818">
        <f>H12-F12</f>
        <v>-4.4236599999635473E-2</v>
      </c>
      <c r="H12" s="818">
        <f>'MB BH'!J3573</f>
        <v>994.17000000000201</v>
      </c>
      <c r="I12" s="818">
        <f t="shared" si="4"/>
        <v>5944407</v>
      </c>
      <c r="J12" s="818">
        <f>K12-I12</f>
        <v>-265</v>
      </c>
      <c r="K12" s="818">
        <f>ROUND(E12*H12,0)</f>
        <v>5944142</v>
      </c>
      <c r="L12" s="970"/>
      <c r="M12" s="970"/>
    </row>
    <row r="13" spans="1:13" s="509" customFormat="1" ht="16.5">
      <c r="A13" s="799" t="s">
        <v>998</v>
      </c>
      <c r="B13" s="515"/>
      <c r="C13" s="967"/>
      <c r="D13" s="968"/>
      <c r="E13" s="818"/>
      <c r="F13" s="818"/>
      <c r="G13" s="818">
        <f t="shared" ref="G13:G15" si="7">H13-F13</f>
        <v>0</v>
      </c>
      <c r="H13" s="818"/>
      <c r="I13" s="818">
        <f t="shared" si="4"/>
        <v>0</v>
      </c>
      <c r="J13" s="818">
        <f t="shared" ref="J13:J14" si="8">K13-I13</f>
        <v>0</v>
      </c>
      <c r="K13" s="818">
        <f t="shared" ref="K13:K14" si="9">ROUND(E13*H13,0)</f>
        <v>0</v>
      </c>
      <c r="M13" s="970"/>
    </row>
    <row r="14" spans="1:13" s="509" customFormat="1" ht="39.950000000000003" customHeight="1">
      <c r="A14" s="793">
        <v>4</v>
      </c>
      <c r="B14" s="515" t="s">
        <v>373</v>
      </c>
      <c r="C14" s="967" t="s">
        <v>374</v>
      </c>
      <c r="D14" s="968">
        <v>70</v>
      </c>
      <c r="E14" s="818">
        <v>67995</v>
      </c>
      <c r="F14" s="818">
        <v>33.79</v>
      </c>
      <c r="G14" s="1116">
        <f>H14-F14</f>
        <v>0.13300000000000267</v>
      </c>
      <c r="H14" s="818">
        <f>'MB BH'!J3584</f>
        <v>33.923000000000002</v>
      </c>
      <c r="I14" s="818">
        <f t="shared" si="4"/>
        <v>2297551</v>
      </c>
      <c r="J14" s="818">
        <f t="shared" si="8"/>
        <v>9043</v>
      </c>
      <c r="K14" s="818">
        <f t="shared" si="9"/>
        <v>2306594</v>
      </c>
      <c r="L14" s="970"/>
      <c r="M14" s="970"/>
    </row>
    <row r="15" spans="1:13" s="509" customFormat="1" ht="16.5">
      <c r="A15" s="801"/>
      <c r="B15" s="515"/>
      <c r="C15" s="967"/>
      <c r="D15" s="968"/>
      <c r="E15" s="818"/>
      <c r="F15" s="818"/>
      <c r="G15" s="818">
        <f t="shared" si="7"/>
        <v>0</v>
      </c>
      <c r="H15" s="818"/>
      <c r="I15" s="818">
        <f t="shared" si="4"/>
        <v>0</v>
      </c>
      <c r="J15" s="818"/>
      <c r="K15" s="818"/>
      <c r="M15" s="970"/>
    </row>
    <row r="16" spans="1:13" s="509" customFormat="1" ht="39.950000000000003" customHeight="1">
      <c r="A16" s="793">
        <v>4</v>
      </c>
      <c r="B16" s="516" t="s">
        <v>97</v>
      </c>
      <c r="C16" s="967" t="s">
        <v>2</v>
      </c>
      <c r="D16" s="968">
        <v>697</v>
      </c>
      <c r="E16" s="818">
        <v>7151</v>
      </c>
      <c r="F16" s="818">
        <v>431.73065199999985</v>
      </c>
      <c r="G16" s="818">
        <f>H16-F16</f>
        <v>3.1393479999999272</v>
      </c>
      <c r="H16" s="818">
        <f>'MB BH'!J4556</f>
        <v>434.86999999999978</v>
      </c>
      <c r="I16" s="818">
        <f t="shared" si="4"/>
        <v>3087306</v>
      </c>
      <c r="J16" s="818">
        <f>K16-I16</f>
        <v>22449</v>
      </c>
      <c r="K16" s="818">
        <f>ROUND(E16*H16,0)</f>
        <v>3109755</v>
      </c>
      <c r="L16" s="970"/>
      <c r="M16" s="970"/>
    </row>
    <row r="17" spans="1:13" s="509" customFormat="1" ht="16.5">
      <c r="A17" s="802" t="s">
        <v>1073</v>
      </c>
      <c r="B17" s="517"/>
      <c r="C17" s="972"/>
      <c r="D17" s="973"/>
      <c r="E17" s="974"/>
      <c r="F17" s="818"/>
      <c r="G17" s="818">
        <v>0</v>
      </c>
      <c r="H17" s="818"/>
      <c r="I17" s="818">
        <f t="shared" si="4"/>
        <v>0</v>
      </c>
      <c r="J17" s="818">
        <f t="shared" ref="J17" si="10">K17-I17</f>
        <v>0</v>
      </c>
      <c r="K17" s="818">
        <f t="shared" ref="K17" si="11">ROUND(E17*H17,0)</f>
        <v>0</v>
      </c>
      <c r="M17" s="970"/>
    </row>
    <row r="18" spans="1:13" s="509" customFormat="1" ht="39.950000000000003" customHeight="1">
      <c r="A18" s="793">
        <v>5</v>
      </c>
      <c r="B18" s="516" t="s">
        <v>1066</v>
      </c>
      <c r="C18" s="967" t="s">
        <v>537</v>
      </c>
      <c r="D18" s="968">
        <v>763</v>
      </c>
      <c r="E18" s="818">
        <v>1114</v>
      </c>
      <c r="F18" s="818">
        <v>427.52999999999992</v>
      </c>
      <c r="G18" s="818">
        <f>H18-F18</f>
        <v>0</v>
      </c>
      <c r="H18" s="818">
        <f>'MB BH'!J4576</f>
        <v>427.52999999999992</v>
      </c>
      <c r="I18" s="818">
        <f t="shared" si="4"/>
        <v>476268</v>
      </c>
      <c r="J18" s="818">
        <f>K18-I18</f>
        <v>0</v>
      </c>
      <c r="K18" s="818">
        <f>ROUND(E18*H18,0)</f>
        <v>476268</v>
      </c>
      <c r="L18" s="970"/>
      <c r="M18" s="970"/>
    </row>
    <row r="19" spans="1:13" s="509" customFormat="1" ht="16.5">
      <c r="A19" s="802" t="s">
        <v>316</v>
      </c>
      <c r="B19" s="517"/>
      <c r="C19" s="972"/>
      <c r="D19" s="973"/>
      <c r="E19" s="974"/>
      <c r="F19" s="818"/>
      <c r="G19" s="818">
        <f t="shared" ref="G19:G20" si="12">H19-F19</f>
        <v>0</v>
      </c>
      <c r="H19" s="818"/>
      <c r="I19" s="818">
        <f t="shared" si="4"/>
        <v>0</v>
      </c>
      <c r="J19" s="818">
        <f t="shared" ref="J19:J20" si="13">K19-I19</f>
        <v>0</v>
      </c>
      <c r="K19" s="818">
        <f t="shared" ref="K19:K20" si="14">ROUND(E19*H19,0)</f>
        <v>0</v>
      </c>
      <c r="M19" s="970"/>
    </row>
    <row r="20" spans="1:13" s="509" customFormat="1" ht="39.950000000000003" customHeight="1">
      <c r="A20" s="803">
        <v>6</v>
      </c>
      <c r="B20" s="523" t="s">
        <v>317</v>
      </c>
      <c r="C20" s="972" t="s">
        <v>2</v>
      </c>
      <c r="D20" s="975">
        <v>858</v>
      </c>
      <c r="E20" s="974">
        <v>2111</v>
      </c>
      <c r="F20" s="818">
        <v>1521.5114608942313</v>
      </c>
      <c r="G20" s="818">
        <f t="shared" si="12"/>
        <v>8.5391057684773841E-3</v>
      </c>
      <c r="H20" s="818">
        <f>'MB BH'!J4883</f>
        <v>1521.5199999999998</v>
      </c>
      <c r="I20" s="818">
        <f t="shared" si="4"/>
        <v>3211911</v>
      </c>
      <c r="J20" s="818">
        <f t="shared" si="13"/>
        <v>18</v>
      </c>
      <c r="K20" s="818">
        <f t="shared" si="14"/>
        <v>3211929</v>
      </c>
      <c r="L20" s="970"/>
      <c r="M20" s="970"/>
    </row>
    <row r="21" spans="1:13" s="509" customFormat="1" ht="16.5">
      <c r="A21" s="802" t="s">
        <v>1827</v>
      </c>
      <c r="B21" s="517"/>
      <c r="C21" s="972"/>
      <c r="D21" s="973"/>
      <c r="E21" s="974"/>
      <c r="F21" s="818"/>
      <c r="G21" s="818">
        <f t="shared" ref="G21:G22" si="15">H21-F21</f>
        <v>0</v>
      </c>
      <c r="H21" s="818"/>
      <c r="I21" s="818">
        <f t="shared" ref="I21:I22" si="16">ROUND(F21*E21,0)</f>
        <v>0</v>
      </c>
      <c r="J21" s="818">
        <f t="shared" ref="J21:J22" si="17">K21-I21</f>
        <v>0</v>
      </c>
      <c r="K21" s="818">
        <f t="shared" ref="K21:K22" si="18">ROUND(E21*H21,0)</f>
        <v>0</v>
      </c>
      <c r="M21" s="970"/>
    </row>
    <row r="22" spans="1:13" s="509" customFormat="1" ht="39.950000000000003" customHeight="1">
      <c r="A22" s="803">
        <v>7</v>
      </c>
      <c r="B22" s="523" t="s">
        <v>1826</v>
      </c>
      <c r="C22" s="972" t="s">
        <v>2</v>
      </c>
      <c r="D22" s="975">
        <v>980</v>
      </c>
      <c r="E22" s="974">
        <v>469</v>
      </c>
      <c r="F22" s="818"/>
      <c r="G22" s="818">
        <f t="shared" si="15"/>
        <v>348.23</v>
      </c>
      <c r="H22" s="818">
        <f>'MB BH'!J4914</f>
        <v>348.23</v>
      </c>
      <c r="I22" s="818">
        <f t="shared" si="16"/>
        <v>0</v>
      </c>
      <c r="J22" s="818">
        <f t="shared" si="17"/>
        <v>163320</v>
      </c>
      <c r="K22" s="818">
        <f t="shared" si="18"/>
        <v>163320</v>
      </c>
      <c r="L22" s="970"/>
      <c r="M22" s="970"/>
    </row>
    <row r="23" spans="1:13" s="966" customFormat="1" ht="16.5">
      <c r="A23" s="804" t="s">
        <v>999</v>
      </c>
      <c r="B23" s="518"/>
      <c r="C23" s="976"/>
      <c r="D23" s="977"/>
      <c r="E23" s="978"/>
      <c r="F23" s="978"/>
      <c r="G23" s="978">
        <v>0</v>
      </c>
      <c r="H23" s="978"/>
      <c r="I23" s="979">
        <f t="shared" si="4"/>
        <v>0</v>
      </c>
      <c r="J23" s="978"/>
      <c r="K23" s="978"/>
      <c r="M23" s="970"/>
    </row>
    <row r="24" spans="1:13" s="509" customFormat="1" ht="16.5">
      <c r="A24" s="805" t="s">
        <v>1000</v>
      </c>
      <c r="B24" s="519"/>
      <c r="C24" s="980"/>
      <c r="D24" s="981"/>
      <c r="E24" s="982"/>
      <c r="F24" s="983">
        <v>0</v>
      </c>
      <c r="G24" s="983">
        <f t="shared" ref="G24:G25" si="19">H24-F24</f>
        <v>0</v>
      </c>
      <c r="H24" s="983">
        <f>'MB BH'!J4580</f>
        <v>0</v>
      </c>
      <c r="I24" s="818">
        <f t="shared" si="4"/>
        <v>0</v>
      </c>
      <c r="J24" s="983">
        <f t="shared" ref="J24" si="20">K24-I24</f>
        <v>0</v>
      </c>
      <c r="K24" s="983">
        <f t="shared" ref="K24" si="21">ROUND(E24*H24,0)</f>
        <v>0</v>
      </c>
      <c r="M24" s="970"/>
    </row>
    <row r="25" spans="1:13" s="509" customFormat="1" ht="39.950000000000003" customHeight="1">
      <c r="A25" s="803">
        <v>4</v>
      </c>
      <c r="B25" s="523" t="s">
        <v>989</v>
      </c>
      <c r="C25" s="972" t="s">
        <v>537</v>
      </c>
      <c r="D25" s="975">
        <v>1391</v>
      </c>
      <c r="E25" s="974">
        <v>703</v>
      </c>
      <c r="F25" s="818">
        <v>630.005</v>
      </c>
      <c r="G25" s="818">
        <f t="shared" si="19"/>
        <v>4.9999999999954525E-3</v>
      </c>
      <c r="H25" s="818">
        <f>'MB BH'!J4946</f>
        <v>630.01</v>
      </c>
      <c r="I25" s="818">
        <f t="shared" si="4"/>
        <v>442894</v>
      </c>
      <c r="J25" s="818">
        <f>K25-I25</f>
        <v>3</v>
      </c>
      <c r="K25" s="818">
        <f>ROUND(E25*H25,0)</f>
        <v>442897</v>
      </c>
      <c r="L25" s="970"/>
      <c r="M25" s="970"/>
    </row>
    <row r="26" spans="1:13" s="966" customFormat="1" ht="16.5">
      <c r="A26" s="804" t="s">
        <v>1057</v>
      </c>
      <c r="B26" s="518"/>
      <c r="C26" s="976"/>
      <c r="D26" s="977"/>
      <c r="E26" s="978"/>
      <c r="F26" s="978"/>
      <c r="G26" s="978">
        <v>0</v>
      </c>
      <c r="H26" s="978"/>
      <c r="I26" s="979">
        <f t="shared" si="4"/>
        <v>0</v>
      </c>
      <c r="J26" s="978"/>
      <c r="K26" s="978"/>
      <c r="M26" s="970"/>
    </row>
    <row r="27" spans="1:13" s="509" customFormat="1" ht="16.5">
      <c r="A27" s="805" t="s">
        <v>1058</v>
      </c>
      <c r="B27" s="519"/>
      <c r="C27" s="980"/>
      <c r="D27" s="981"/>
      <c r="E27" s="982"/>
      <c r="F27" s="983">
        <v>0</v>
      </c>
      <c r="G27" s="983">
        <f t="shared" ref="G27:G28" si="22">H27-F27</f>
        <v>0</v>
      </c>
      <c r="H27" s="983">
        <f>'MB BH'!J4580</f>
        <v>0</v>
      </c>
      <c r="I27" s="818">
        <f t="shared" si="4"/>
        <v>0</v>
      </c>
      <c r="J27" s="983">
        <f t="shared" ref="J27" si="23">K27-I27</f>
        <v>0</v>
      </c>
      <c r="K27" s="983">
        <f t="shared" ref="K27" si="24">ROUND(E27*H27,0)</f>
        <v>0</v>
      </c>
      <c r="M27" s="970"/>
    </row>
    <row r="28" spans="1:13" s="509" customFormat="1" ht="39.950000000000003" customHeight="1">
      <c r="A28" s="806">
        <v>1.1000000000000001</v>
      </c>
      <c r="B28" s="523" t="s">
        <v>1055</v>
      </c>
      <c r="C28" s="972" t="s">
        <v>537</v>
      </c>
      <c r="D28" s="975">
        <v>640</v>
      </c>
      <c r="E28" s="984">
        <v>1406</v>
      </c>
      <c r="F28" s="818">
        <v>1959.6422600000001</v>
      </c>
      <c r="G28" s="818">
        <f t="shared" si="22"/>
        <v>366.92774000000054</v>
      </c>
      <c r="H28" s="818">
        <f>'MB BH'!J5091</f>
        <v>2326.5700000000006</v>
      </c>
      <c r="I28" s="818">
        <v>2618082</v>
      </c>
      <c r="J28" s="818">
        <f>K28-I28</f>
        <v>653075</v>
      </c>
      <c r="K28" s="818">
        <f>ROUND(E28*H28,0)</f>
        <v>3271157</v>
      </c>
      <c r="L28" s="970"/>
      <c r="M28" s="970"/>
    </row>
    <row r="29" spans="1:13" s="509" customFormat="1" ht="24.75" customHeight="1">
      <c r="A29" s="807"/>
      <c r="B29" s="666"/>
      <c r="C29" s="980"/>
      <c r="D29" s="985"/>
      <c r="E29" s="982"/>
      <c r="F29" s="983"/>
      <c r="G29" s="983"/>
      <c r="H29" s="983"/>
      <c r="I29" s="818">
        <f t="shared" si="4"/>
        <v>0</v>
      </c>
      <c r="J29" s="983"/>
      <c r="K29" s="983"/>
      <c r="M29" s="970"/>
    </row>
    <row r="30" spans="1:13" s="509" customFormat="1" ht="16.5">
      <c r="A30" s="805" t="s">
        <v>1074</v>
      </c>
      <c r="B30" s="519"/>
      <c r="C30" s="980"/>
      <c r="D30" s="981"/>
      <c r="E30" s="982"/>
      <c r="F30" s="983">
        <v>0</v>
      </c>
      <c r="G30" s="983">
        <f t="shared" ref="G30" si="25">H30-F30</f>
        <v>0</v>
      </c>
      <c r="H30" s="983">
        <f>'MB BH'!J4582</f>
        <v>0</v>
      </c>
      <c r="I30" s="818">
        <f t="shared" si="4"/>
        <v>0</v>
      </c>
      <c r="J30" s="983">
        <f t="shared" ref="J30" si="26">K30-I30</f>
        <v>0</v>
      </c>
      <c r="K30" s="983">
        <f t="shared" ref="K30" si="27">ROUND(E30*H30,0)</f>
        <v>0</v>
      </c>
      <c r="M30" s="970"/>
    </row>
    <row r="31" spans="1:13" s="509" customFormat="1" ht="39.950000000000003" customHeight="1">
      <c r="A31" s="806">
        <v>1.2</v>
      </c>
      <c r="B31" s="523" t="s">
        <v>1059</v>
      </c>
      <c r="C31" s="972" t="s">
        <v>537</v>
      </c>
      <c r="D31" s="975">
        <v>1356</v>
      </c>
      <c r="E31" s="984">
        <v>1759</v>
      </c>
      <c r="F31" s="818">
        <v>728.75900000000001</v>
      </c>
      <c r="G31" s="818">
        <f t="shared" ref="G31:G37" si="28">H31-F31</f>
        <v>9.9999999997635314E-4</v>
      </c>
      <c r="H31" s="818">
        <f>'MB BH'!J5114</f>
        <v>728.76</v>
      </c>
      <c r="I31" s="818">
        <v>1217756</v>
      </c>
      <c r="J31" s="818">
        <f>K31-I31</f>
        <v>64133</v>
      </c>
      <c r="K31" s="818">
        <f>ROUND(E31*H31,0)</f>
        <v>1281889</v>
      </c>
      <c r="L31" s="970"/>
      <c r="M31" s="970"/>
    </row>
    <row r="32" spans="1:13" s="509" customFormat="1" ht="20.25" customHeight="1">
      <c r="A32" s="807"/>
      <c r="B32" s="666"/>
      <c r="C32" s="980"/>
      <c r="D32" s="985"/>
      <c r="E32" s="982"/>
      <c r="F32" s="983"/>
      <c r="G32" s="983"/>
      <c r="H32" s="983"/>
      <c r="I32" s="818">
        <f t="shared" si="4"/>
        <v>0</v>
      </c>
      <c r="J32" s="983"/>
      <c r="K32" s="983"/>
      <c r="M32" s="970"/>
    </row>
    <row r="33" spans="1:13" s="509" customFormat="1" ht="16.5">
      <c r="A33" s="805" t="s">
        <v>1075</v>
      </c>
      <c r="B33" s="519"/>
      <c r="C33" s="980"/>
      <c r="D33" s="981"/>
      <c r="E33" s="982"/>
      <c r="F33" s="983">
        <v>0</v>
      </c>
      <c r="G33" s="983">
        <f t="shared" si="28"/>
        <v>0</v>
      </c>
      <c r="H33" s="983">
        <f>'MB BH'!J4584</f>
        <v>0</v>
      </c>
      <c r="I33" s="818">
        <f t="shared" si="4"/>
        <v>0</v>
      </c>
      <c r="J33" s="983">
        <f t="shared" ref="J33" si="29">K33-I33</f>
        <v>0</v>
      </c>
      <c r="K33" s="983">
        <f t="shared" ref="K33" si="30">ROUND(E33*H33,0)</f>
        <v>0</v>
      </c>
      <c r="M33" s="970"/>
    </row>
    <row r="34" spans="1:13" s="509" customFormat="1" ht="39.950000000000003" customHeight="1">
      <c r="A34" s="806">
        <v>1.3</v>
      </c>
      <c r="B34" s="523" t="s">
        <v>1063</v>
      </c>
      <c r="C34" s="972" t="s">
        <v>537</v>
      </c>
      <c r="D34" s="975">
        <v>491</v>
      </c>
      <c r="E34" s="984">
        <v>1348</v>
      </c>
      <c r="F34" s="818">
        <v>523.44650000000001</v>
      </c>
      <c r="G34" s="818">
        <f t="shared" si="28"/>
        <v>73.763500000000249</v>
      </c>
      <c r="H34" s="818">
        <f>'MB BH'!J5310</f>
        <v>597.21000000000026</v>
      </c>
      <c r="I34" s="818">
        <v>670535</v>
      </c>
      <c r="J34" s="818">
        <f>K34-I34</f>
        <v>134504</v>
      </c>
      <c r="K34" s="818">
        <f>ROUND(E34*H34,0)</f>
        <v>805039</v>
      </c>
      <c r="L34" s="970"/>
      <c r="M34" s="970"/>
    </row>
    <row r="35" spans="1:13" s="509" customFormat="1" ht="20.25">
      <c r="A35" s="807"/>
      <c r="B35" s="666"/>
      <c r="C35" s="980"/>
      <c r="D35" s="985"/>
      <c r="E35" s="982"/>
      <c r="F35" s="983"/>
      <c r="G35" s="818">
        <f t="shared" si="28"/>
        <v>0</v>
      </c>
      <c r="H35" s="983"/>
      <c r="I35" s="818">
        <f t="shared" si="4"/>
        <v>0</v>
      </c>
      <c r="J35" s="818">
        <f t="shared" ref="J35:J37" si="31">K35-I35</f>
        <v>0</v>
      </c>
      <c r="K35" s="818">
        <f t="shared" ref="K35:K37" si="32">ROUND(E35*H35,0)</f>
        <v>0</v>
      </c>
      <c r="M35" s="970"/>
    </row>
    <row r="36" spans="1:13" s="509" customFormat="1" ht="39.950000000000003" customHeight="1">
      <c r="A36" s="807">
        <v>1.3</v>
      </c>
      <c r="B36" s="523" t="s">
        <v>1381</v>
      </c>
      <c r="C36" s="980"/>
      <c r="D36" s="985"/>
      <c r="E36" s="982"/>
      <c r="F36" s="983"/>
      <c r="G36" s="818">
        <f t="shared" si="28"/>
        <v>0</v>
      </c>
      <c r="H36" s="983"/>
      <c r="I36" s="818">
        <f t="shared" si="4"/>
        <v>0</v>
      </c>
      <c r="J36" s="818">
        <f t="shared" si="31"/>
        <v>0</v>
      </c>
      <c r="K36" s="818">
        <f t="shared" si="32"/>
        <v>0</v>
      </c>
      <c r="M36" s="970"/>
    </row>
    <row r="37" spans="1:13" s="509" customFormat="1" ht="23.25" customHeight="1">
      <c r="A37" s="807"/>
      <c r="B37" s="670" t="s">
        <v>1382</v>
      </c>
      <c r="C37" s="972" t="s">
        <v>537</v>
      </c>
      <c r="D37" s="985">
        <v>413</v>
      </c>
      <c r="E37" s="982">
        <v>1583</v>
      </c>
      <c r="F37" s="983">
        <v>261.35000000000008</v>
      </c>
      <c r="G37" s="818">
        <f t="shared" si="28"/>
        <v>0</v>
      </c>
      <c r="H37" s="983">
        <f>'MB BH'!J5361</f>
        <v>261.35000000000008</v>
      </c>
      <c r="I37" s="818">
        <f t="shared" si="4"/>
        <v>413717</v>
      </c>
      <c r="J37" s="818">
        <f t="shared" si="31"/>
        <v>0</v>
      </c>
      <c r="K37" s="818">
        <f t="shared" si="32"/>
        <v>413717</v>
      </c>
      <c r="M37" s="970"/>
    </row>
    <row r="38" spans="1:13" s="509" customFormat="1" ht="20.25">
      <c r="A38" s="807"/>
      <c r="B38" s="666"/>
      <c r="C38" s="980"/>
      <c r="D38" s="985"/>
      <c r="E38" s="982"/>
      <c r="F38" s="983"/>
      <c r="G38" s="983"/>
      <c r="H38" s="983"/>
      <c r="I38" s="818">
        <f t="shared" si="4"/>
        <v>0</v>
      </c>
      <c r="J38" s="983"/>
      <c r="K38" s="983"/>
      <c r="M38" s="970"/>
    </row>
    <row r="39" spans="1:13" s="509" customFormat="1" ht="29.25" customHeight="1">
      <c r="A39" s="805" t="s">
        <v>1077</v>
      </c>
      <c r="B39" s="519"/>
      <c r="C39" s="980"/>
      <c r="D39" s="981"/>
      <c r="E39" s="982"/>
      <c r="F39" s="983">
        <v>0</v>
      </c>
      <c r="G39" s="983">
        <f t="shared" ref="G39" si="33">H39-F39</f>
        <v>0</v>
      </c>
      <c r="H39" s="983">
        <f>'MB BH'!J4586</f>
        <v>0</v>
      </c>
      <c r="I39" s="818">
        <f t="shared" si="4"/>
        <v>0</v>
      </c>
      <c r="J39" s="983">
        <f t="shared" ref="J39" si="34">K39-I39</f>
        <v>0</v>
      </c>
      <c r="K39" s="983">
        <f t="shared" ref="K39" si="35">ROUND(E39*H39,0)</f>
        <v>0</v>
      </c>
      <c r="M39" s="970"/>
    </row>
    <row r="40" spans="1:13" s="509" customFormat="1" ht="39.950000000000003" customHeight="1">
      <c r="A40" s="806">
        <v>1.4</v>
      </c>
      <c r="B40" s="523" t="s">
        <v>1062</v>
      </c>
      <c r="C40" s="972" t="s">
        <v>537</v>
      </c>
      <c r="D40" s="975">
        <v>425</v>
      </c>
      <c r="E40" s="984">
        <v>1817</v>
      </c>
      <c r="F40" s="818">
        <v>384.23</v>
      </c>
      <c r="G40" s="818">
        <f t="shared" ref="G40" si="36">H40-F40</f>
        <v>0</v>
      </c>
      <c r="H40" s="818">
        <f>'MB BH'!J5374</f>
        <v>384.23</v>
      </c>
      <c r="I40" s="818">
        <v>663181</v>
      </c>
      <c r="J40" s="818">
        <f>K40-I40</f>
        <v>34965</v>
      </c>
      <c r="K40" s="818">
        <f>ROUND(E40*H40,0)</f>
        <v>698146</v>
      </c>
      <c r="L40" s="970"/>
      <c r="M40" s="970"/>
    </row>
    <row r="41" spans="1:13" s="509" customFormat="1" ht="24.75" customHeight="1">
      <c r="A41" s="808"/>
      <c r="B41" s="666"/>
      <c r="C41" s="986"/>
      <c r="D41" s="987"/>
      <c r="E41" s="988"/>
      <c r="F41" s="989"/>
      <c r="G41" s="989"/>
      <c r="H41" s="989"/>
      <c r="I41" s="818">
        <f t="shared" si="4"/>
        <v>0</v>
      </c>
      <c r="J41" s="989"/>
      <c r="K41" s="989"/>
      <c r="M41" s="970"/>
    </row>
    <row r="42" spans="1:13" s="966" customFormat="1" ht="16.5">
      <c r="A42" s="804" t="s">
        <v>1002</v>
      </c>
      <c r="B42" s="518"/>
      <c r="C42" s="976"/>
      <c r="D42" s="977"/>
      <c r="E42" s="978"/>
      <c r="F42" s="978"/>
      <c r="G42" s="978">
        <v>0</v>
      </c>
      <c r="H42" s="978"/>
      <c r="I42" s="979">
        <f t="shared" si="4"/>
        <v>0</v>
      </c>
      <c r="J42" s="978"/>
      <c r="K42" s="978"/>
      <c r="M42" s="970"/>
    </row>
    <row r="43" spans="1:13" s="509" customFormat="1" ht="16.5">
      <c r="A43" s="805" t="s">
        <v>1056</v>
      </c>
      <c r="B43" s="519"/>
      <c r="C43" s="980"/>
      <c r="D43" s="981"/>
      <c r="E43" s="982"/>
      <c r="F43" s="983">
        <v>0</v>
      </c>
      <c r="G43" s="983">
        <f t="shared" ref="G43:G50" si="37">H43-F43</f>
        <v>0</v>
      </c>
      <c r="H43" s="983">
        <f>'MB BH'!J4583</f>
        <v>0</v>
      </c>
      <c r="I43" s="818">
        <f t="shared" si="4"/>
        <v>0</v>
      </c>
      <c r="J43" s="983">
        <f t="shared" ref="J43" si="38">K43-I43</f>
        <v>0</v>
      </c>
      <c r="K43" s="983">
        <f t="shared" ref="K43" si="39">ROUND(E43*H43,0)</f>
        <v>0</v>
      </c>
      <c r="M43" s="970"/>
    </row>
    <row r="44" spans="1:13" s="509" customFormat="1" ht="61.5" customHeight="1">
      <c r="A44" s="806">
        <v>2.1</v>
      </c>
      <c r="B44" s="523" t="s">
        <v>1001</v>
      </c>
      <c r="C44" s="972" t="s">
        <v>537</v>
      </c>
      <c r="D44" s="975">
        <v>10886</v>
      </c>
      <c r="E44" s="974">
        <v>2111</v>
      </c>
      <c r="F44" s="818">
        <v>8299.48</v>
      </c>
      <c r="G44" s="818">
        <f t="shared" si="37"/>
        <v>582.1799999999912</v>
      </c>
      <c r="H44" s="818">
        <f>'MB BH'!J5687</f>
        <v>8881.6599999999908</v>
      </c>
      <c r="I44" s="818">
        <v>15769012</v>
      </c>
      <c r="J44" s="818">
        <f>K44-I44</f>
        <v>2980172</v>
      </c>
      <c r="K44" s="818">
        <f>ROUND(E44*H44,0)</f>
        <v>18749184</v>
      </c>
      <c r="L44" s="970"/>
      <c r="M44" s="970"/>
    </row>
    <row r="45" spans="1:13" s="509" customFormat="1" ht="24.75" customHeight="1">
      <c r="A45" s="809"/>
      <c r="B45" s="666"/>
      <c r="C45" s="972"/>
      <c r="D45" s="973"/>
      <c r="E45" s="974"/>
      <c r="F45" s="974"/>
      <c r="G45" s="818">
        <f t="shared" si="37"/>
        <v>0</v>
      </c>
      <c r="H45" s="974"/>
      <c r="I45" s="818">
        <f t="shared" si="4"/>
        <v>0</v>
      </c>
      <c r="J45" s="818">
        <f t="shared" ref="J45:J50" si="40">K45-I45</f>
        <v>0</v>
      </c>
      <c r="K45" s="818">
        <f t="shared" ref="K45:K50" si="41">ROUND(E45*H45,0)</f>
        <v>0</v>
      </c>
      <c r="M45" s="970"/>
    </row>
    <row r="46" spans="1:13" s="509" customFormat="1" ht="39.950000000000003" customHeight="1">
      <c r="A46" s="806">
        <v>2.2000000000000002</v>
      </c>
      <c r="B46" s="523" t="s">
        <v>1427</v>
      </c>
      <c r="C46" s="972" t="s">
        <v>537</v>
      </c>
      <c r="D46" s="975">
        <v>415</v>
      </c>
      <c r="E46" s="974">
        <v>4689</v>
      </c>
      <c r="F46" s="974">
        <v>161.6</v>
      </c>
      <c r="G46" s="818">
        <f t="shared" si="37"/>
        <v>0</v>
      </c>
      <c r="H46" s="974">
        <f>'MB BH'!J5704</f>
        <v>161.6</v>
      </c>
      <c r="I46" s="818">
        <f t="shared" si="4"/>
        <v>757742</v>
      </c>
      <c r="J46" s="818">
        <f t="shared" si="40"/>
        <v>0</v>
      </c>
      <c r="K46" s="818">
        <f t="shared" si="41"/>
        <v>757742</v>
      </c>
      <c r="M46" s="970"/>
    </row>
    <row r="47" spans="1:13" s="509" customFormat="1" ht="39.950000000000003" customHeight="1">
      <c r="A47" s="806">
        <v>2.2999999999999998</v>
      </c>
      <c r="B47" s="670" t="s">
        <v>1433</v>
      </c>
      <c r="C47" s="972" t="s">
        <v>537</v>
      </c>
      <c r="D47" s="975">
        <v>66</v>
      </c>
      <c r="E47" s="974">
        <v>4455</v>
      </c>
      <c r="F47" s="974">
        <v>36.659999999999997</v>
      </c>
      <c r="G47" s="818">
        <f t="shared" si="37"/>
        <v>0.97000000000000597</v>
      </c>
      <c r="H47" s="974">
        <f>+'MB BH'!J5715</f>
        <v>37.630000000000003</v>
      </c>
      <c r="I47" s="818">
        <f t="shared" si="4"/>
        <v>163320</v>
      </c>
      <c r="J47" s="818">
        <f t="shared" si="40"/>
        <v>4322</v>
      </c>
      <c r="K47" s="818">
        <f t="shared" si="41"/>
        <v>167642</v>
      </c>
      <c r="M47" s="970"/>
    </row>
    <row r="48" spans="1:13" s="509" customFormat="1" ht="39.950000000000003" customHeight="1">
      <c r="A48" s="809">
        <v>2.2999999999999998</v>
      </c>
      <c r="B48" s="670" t="s">
        <v>1440</v>
      </c>
      <c r="C48" s="972" t="s">
        <v>537</v>
      </c>
      <c r="D48" s="973">
        <v>757</v>
      </c>
      <c r="E48" s="974">
        <v>4103</v>
      </c>
      <c r="F48" s="974">
        <v>389.93</v>
      </c>
      <c r="G48" s="818">
        <f t="shared" si="37"/>
        <v>6.9700000000000273</v>
      </c>
      <c r="H48" s="974">
        <f>+'MB BH'!J5728</f>
        <v>396.90000000000003</v>
      </c>
      <c r="I48" s="818">
        <f t="shared" si="4"/>
        <v>1599883</v>
      </c>
      <c r="J48" s="818">
        <f t="shared" si="40"/>
        <v>28598</v>
      </c>
      <c r="K48" s="818">
        <f t="shared" si="41"/>
        <v>1628481</v>
      </c>
      <c r="M48" s="970"/>
    </row>
    <row r="49" spans="1:13" s="509" customFormat="1" ht="39.950000000000003" customHeight="1">
      <c r="A49" s="809">
        <v>2.5</v>
      </c>
      <c r="B49" s="670" t="s">
        <v>1443</v>
      </c>
      <c r="C49" s="972" t="s">
        <v>537</v>
      </c>
      <c r="D49" s="973">
        <v>22.68</v>
      </c>
      <c r="E49" s="974">
        <v>3517</v>
      </c>
      <c r="F49" s="974">
        <v>127.28999999999996</v>
      </c>
      <c r="G49" s="818">
        <f t="shared" si="37"/>
        <v>19.189999999999998</v>
      </c>
      <c r="H49" s="974">
        <f>+'MB BH'!J5756</f>
        <v>146.47999999999996</v>
      </c>
      <c r="I49" s="818">
        <f t="shared" si="4"/>
        <v>447679</v>
      </c>
      <c r="J49" s="818">
        <f t="shared" si="40"/>
        <v>67491</v>
      </c>
      <c r="K49" s="818">
        <f t="shared" si="41"/>
        <v>515170</v>
      </c>
      <c r="M49" s="970"/>
    </row>
    <row r="50" spans="1:13" s="509" customFormat="1" ht="39.950000000000003" customHeight="1">
      <c r="A50" s="809">
        <v>6</v>
      </c>
      <c r="B50" s="670" t="s">
        <v>1457</v>
      </c>
      <c r="C50" s="972" t="s">
        <v>537</v>
      </c>
      <c r="D50" s="973">
        <v>410</v>
      </c>
      <c r="E50" s="974">
        <v>234</v>
      </c>
      <c r="F50" s="974">
        <v>21.700000000000017</v>
      </c>
      <c r="G50" s="818">
        <f t="shared" si="37"/>
        <v>0</v>
      </c>
      <c r="H50" s="974">
        <f>+'MB BH'!J5810</f>
        <v>21.700000000000017</v>
      </c>
      <c r="I50" s="818">
        <f t="shared" si="4"/>
        <v>5078</v>
      </c>
      <c r="J50" s="818">
        <f t="shared" si="40"/>
        <v>0</v>
      </c>
      <c r="K50" s="818">
        <f t="shared" si="41"/>
        <v>5078</v>
      </c>
      <c r="M50" s="970"/>
    </row>
    <row r="51" spans="1:13" s="509" customFormat="1" ht="24.75" customHeight="1">
      <c r="A51" s="809"/>
      <c r="B51" s="666"/>
      <c r="C51" s="972"/>
      <c r="D51" s="973"/>
      <c r="E51" s="974"/>
      <c r="F51" s="974"/>
      <c r="G51" s="974"/>
      <c r="H51" s="974"/>
      <c r="I51" s="818">
        <f t="shared" si="4"/>
        <v>0</v>
      </c>
      <c r="J51" s="974"/>
      <c r="K51" s="974"/>
      <c r="M51" s="970"/>
    </row>
    <row r="52" spans="1:13" s="509" customFormat="1" ht="35.25" customHeight="1">
      <c r="A52" s="810"/>
      <c r="B52" s="524" t="s">
        <v>1076</v>
      </c>
      <c r="C52" s="991"/>
      <c r="D52" s="990"/>
      <c r="E52" s="992"/>
      <c r="F52" s="992"/>
      <c r="G52" s="992"/>
      <c r="H52" s="992"/>
      <c r="I52" s="993">
        <f>SUM(I8:I51)</f>
        <v>48396020</v>
      </c>
      <c r="J52" s="993">
        <f>SUM(J8:J51)</f>
        <v>4169734</v>
      </c>
      <c r="K52" s="993">
        <f>SUM(K8:K51)</f>
        <v>52565754</v>
      </c>
      <c r="L52" s="994"/>
      <c r="M52" s="970"/>
    </row>
    <row r="53" spans="1:13" s="997" customFormat="1">
      <c r="A53" s="811"/>
      <c r="B53" s="65" t="s">
        <v>98</v>
      </c>
      <c r="C53" s="995"/>
      <c r="D53" s="973"/>
      <c r="E53" s="996"/>
      <c r="F53" s="996"/>
      <c r="G53" s="996"/>
      <c r="H53" s="996"/>
      <c r="I53" s="996">
        <v>0</v>
      </c>
      <c r="J53" s="996">
        <f t="shared" ref="J53:J95" si="42">K53-I53</f>
        <v>0</v>
      </c>
      <c r="K53" s="996">
        <f t="shared" ref="K53:K95" si="43">ROUND(E53*H53,0)</f>
        <v>0</v>
      </c>
      <c r="M53" s="970"/>
    </row>
    <row r="54" spans="1:13" s="997" customFormat="1" ht="84" customHeight="1">
      <c r="A54" s="812" t="s">
        <v>2138</v>
      </c>
      <c r="B54" s="515" t="s">
        <v>2139</v>
      </c>
      <c r="C54" s="967" t="s">
        <v>2</v>
      </c>
      <c r="D54" s="968"/>
      <c r="E54" s="1061">
        <v>139</v>
      </c>
      <c r="F54" s="818">
        <v>2106.3300000000004</v>
      </c>
      <c r="G54" s="818">
        <f>H54-F54</f>
        <v>14.31999999999789</v>
      </c>
      <c r="H54" s="818">
        <f>'MB BH'!J6981</f>
        <v>2120.6499999999983</v>
      </c>
      <c r="I54" s="818">
        <v>347544</v>
      </c>
      <c r="J54" s="818">
        <f>K54-I54</f>
        <v>-52774</v>
      </c>
      <c r="K54" s="818">
        <f>ROUND(E54*H54,0)</f>
        <v>294770</v>
      </c>
      <c r="L54" s="998"/>
      <c r="M54" s="970"/>
    </row>
    <row r="55" spans="1:13" s="997" customFormat="1" ht="81.75" customHeight="1">
      <c r="A55" s="812" t="s">
        <v>2143</v>
      </c>
      <c r="B55" s="515" t="s">
        <v>2144</v>
      </c>
      <c r="C55" s="967"/>
      <c r="D55" s="967"/>
      <c r="E55" s="968"/>
      <c r="F55" s="818"/>
      <c r="G55" s="818">
        <v>0</v>
      </c>
      <c r="H55" s="818"/>
      <c r="I55" s="818">
        <f t="shared" ref="I55:I95" si="44">ROUND(F55*E55,0)</f>
        <v>0</v>
      </c>
      <c r="J55" s="818">
        <f t="shared" si="42"/>
        <v>0</v>
      </c>
      <c r="K55" s="818">
        <f t="shared" si="43"/>
        <v>0</v>
      </c>
      <c r="M55" s="970"/>
    </row>
    <row r="56" spans="1:13" s="997" customFormat="1" ht="33.75" customHeight="1">
      <c r="A56" s="812" t="s">
        <v>457</v>
      </c>
      <c r="B56" s="515" t="s">
        <v>2145</v>
      </c>
      <c r="C56" s="967" t="s">
        <v>2146</v>
      </c>
      <c r="D56" s="967">
        <v>1777.4960000000001</v>
      </c>
      <c r="E56" s="968">
        <v>305</v>
      </c>
      <c r="F56" s="818"/>
      <c r="G56" s="818">
        <f>H56-F56</f>
        <v>1273.5000000000007</v>
      </c>
      <c r="H56" s="818">
        <f>'MB BH'!J8375</f>
        <v>1273.5000000000007</v>
      </c>
      <c r="I56" s="818"/>
      <c r="J56" s="818">
        <f>K56-I56</f>
        <v>388418</v>
      </c>
      <c r="K56" s="818">
        <f>ROUND(E56*H56,0)</f>
        <v>388418</v>
      </c>
      <c r="M56" s="970"/>
    </row>
    <row r="57" spans="1:13" s="997" customFormat="1" ht="26.25" customHeight="1">
      <c r="A57" s="812" t="s">
        <v>459</v>
      </c>
      <c r="B57" s="515" t="s">
        <v>2147</v>
      </c>
      <c r="C57" s="967" t="s">
        <v>2146</v>
      </c>
      <c r="D57" s="967">
        <v>444.37400000000002</v>
      </c>
      <c r="E57" s="968">
        <v>451</v>
      </c>
      <c r="F57" s="818"/>
      <c r="G57" s="818">
        <f>H57-F57</f>
        <v>1207.9700000000003</v>
      </c>
      <c r="H57" s="818">
        <f>'MB BH'!J8376</f>
        <v>1207.9700000000003</v>
      </c>
      <c r="I57" s="818"/>
      <c r="J57" s="818">
        <f>K57-I57</f>
        <v>544794</v>
      </c>
      <c r="K57" s="818">
        <f>ROUND(E57*H57,0)</f>
        <v>544794</v>
      </c>
      <c r="M57" s="970"/>
    </row>
    <row r="58" spans="1:13" s="997" customFormat="1" ht="26.25" customHeight="1">
      <c r="A58" s="812" t="s">
        <v>1511</v>
      </c>
      <c r="B58" s="515" t="s">
        <v>2148</v>
      </c>
      <c r="C58" s="967" t="s">
        <v>2146</v>
      </c>
      <c r="D58" s="967">
        <v>259.64999999999998</v>
      </c>
      <c r="E58" s="968"/>
      <c r="F58" s="818"/>
      <c r="G58" s="818"/>
      <c r="H58" s="818"/>
      <c r="I58" s="818"/>
      <c r="J58" s="818"/>
      <c r="K58" s="818"/>
      <c r="M58" s="970"/>
    </row>
    <row r="59" spans="1:13" s="997" customFormat="1" ht="35.25" customHeight="1">
      <c r="B59" s="515" t="s">
        <v>1845</v>
      </c>
      <c r="C59" s="999" t="s">
        <v>102</v>
      </c>
      <c r="D59" s="967"/>
      <c r="E59" s="968">
        <v>450</v>
      </c>
      <c r="F59" s="818">
        <v>2062.6460000000015</v>
      </c>
      <c r="G59" s="818">
        <f>H59-F59</f>
        <v>418.82400000000007</v>
      </c>
      <c r="H59" s="818">
        <f>'MB BH'!J8374</f>
        <v>2481.4700000000016</v>
      </c>
      <c r="I59" s="818">
        <v>742553</v>
      </c>
      <c r="J59" s="818">
        <f t="shared" si="42"/>
        <v>374109</v>
      </c>
      <c r="K59" s="818">
        <f t="shared" si="43"/>
        <v>1116662</v>
      </c>
      <c r="L59" s="998"/>
      <c r="M59" s="970"/>
    </row>
    <row r="60" spans="1:13" s="1123" customFormat="1" ht="16.5">
      <c r="A60" s="1119"/>
      <c r="B60" s="1120"/>
      <c r="C60" s="1121"/>
      <c r="D60" s="1122"/>
      <c r="E60" s="1062">
        <v>-450</v>
      </c>
      <c r="F60" s="1061"/>
      <c r="G60" s="1061"/>
      <c r="H60" s="1061">
        <v>2011.0760000000025</v>
      </c>
      <c r="I60" s="1061">
        <f t="shared" si="44"/>
        <v>0</v>
      </c>
      <c r="J60" s="1061">
        <f t="shared" si="42"/>
        <v>-904984</v>
      </c>
      <c r="K60" s="1061">
        <f t="shared" si="43"/>
        <v>-904984</v>
      </c>
      <c r="M60" s="1124"/>
    </row>
    <row r="61" spans="1:13" s="997" customFormat="1" ht="52.5" customHeight="1">
      <c r="A61" s="812" t="s">
        <v>577</v>
      </c>
      <c r="B61" s="515" t="s">
        <v>578</v>
      </c>
      <c r="C61" s="999" t="s">
        <v>102</v>
      </c>
      <c r="D61" s="967"/>
      <c r="E61" s="1062">
        <f>551.95*0</f>
        <v>0</v>
      </c>
      <c r="F61" s="818">
        <v>1.6342482922482304E-13</v>
      </c>
      <c r="G61" s="818" t="e">
        <f t="shared" ref="G61:G65" si="45">H61-F61</f>
        <v>#REF!</v>
      </c>
      <c r="H61" s="818" t="e">
        <f>'MB BH'!#REF!</f>
        <v>#REF!</v>
      </c>
      <c r="I61" s="818">
        <f t="shared" si="44"/>
        <v>0</v>
      </c>
      <c r="J61" s="818" t="e">
        <f t="shared" si="42"/>
        <v>#REF!</v>
      </c>
      <c r="K61" s="818" t="e">
        <f t="shared" si="43"/>
        <v>#REF!</v>
      </c>
      <c r="M61" s="970"/>
    </row>
    <row r="62" spans="1:13" s="997" customFormat="1" ht="16.5">
      <c r="A62" s="812"/>
      <c r="B62" s="520"/>
      <c r="C62" s="995"/>
      <c r="D62" s="967"/>
      <c r="E62" s="968"/>
      <c r="F62" s="818">
        <v>0</v>
      </c>
      <c r="G62" s="818" t="e">
        <f t="shared" si="45"/>
        <v>#REF!</v>
      </c>
      <c r="H62" s="818" t="e">
        <f>'MB BH'!#REF!</f>
        <v>#REF!</v>
      </c>
      <c r="I62" s="818">
        <f t="shared" si="44"/>
        <v>0</v>
      </c>
      <c r="J62" s="818" t="e">
        <f t="shared" si="42"/>
        <v>#REF!</v>
      </c>
      <c r="K62" s="818" t="e">
        <f t="shared" si="43"/>
        <v>#REF!</v>
      </c>
      <c r="M62" s="970"/>
    </row>
    <row r="63" spans="1:13" s="997" customFormat="1" ht="49.5">
      <c r="A63" s="812" t="s">
        <v>592</v>
      </c>
      <c r="B63" s="515" t="s">
        <v>1846</v>
      </c>
      <c r="C63" s="999" t="s">
        <v>102</v>
      </c>
      <c r="D63" s="967"/>
      <c r="E63" s="1002">
        <v>850</v>
      </c>
      <c r="F63" s="818">
        <v>0</v>
      </c>
      <c r="G63" s="818" t="e">
        <f t="shared" si="45"/>
        <v>#REF!</v>
      </c>
      <c r="H63" s="818" t="e">
        <f>'MB BH'!#REF!</f>
        <v>#REF!</v>
      </c>
      <c r="I63" s="818">
        <f t="shared" si="44"/>
        <v>0</v>
      </c>
      <c r="J63" s="818" t="e">
        <f t="shared" si="42"/>
        <v>#REF!</v>
      </c>
      <c r="K63" s="818" t="e">
        <f t="shared" si="43"/>
        <v>#REF!</v>
      </c>
      <c r="L63" s="998"/>
      <c r="M63" s="970"/>
    </row>
    <row r="64" spans="1:13" s="997" customFormat="1" ht="16.5">
      <c r="A64" s="813"/>
      <c r="B64" s="521"/>
      <c r="C64" s="1000"/>
      <c r="D64" s="1001"/>
      <c r="E64" s="1002"/>
      <c r="F64" s="818">
        <v>0</v>
      </c>
      <c r="G64" s="818">
        <v>0</v>
      </c>
      <c r="H64" s="818">
        <v>0</v>
      </c>
      <c r="I64" s="818">
        <f t="shared" si="44"/>
        <v>0</v>
      </c>
      <c r="J64" s="818">
        <f t="shared" si="42"/>
        <v>0</v>
      </c>
      <c r="K64" s="818">
        <f t="shared" si="43"/>
        <v>0</v>
      </c>
      <c r="M64" s="970"/>
    </row>
    <row r="65" spans="1:13" s="997" customFormat="1" ht="48" customHeight="1">
      <c r="A65" s="813" t="s">
        <v>2152</v>
      </c>
      <c r="B65" s="522" t="s">
        <v>725</v>
      </c>
      <c r="C65" s="1003" t="s">
        <v>2</v>
      </c>
      <c r="D65" s="1001"/>
      <c r="E65" s="1064">
        <v>0</v>
      </c>
      <c r="F65" s="818">
        <v>0</v>
      </c>
      <c r="G65" s="818">
        <f t="shared" si="45"/>
        <v>0</v>
      </c>
      <c r="H65" s="818">
        <f>'MB BH'!J8665</f>
        <v>0</v>
      </c>
      <c r="I65" s="818">
        <f t="shared" si="44"/>
        <v>0</v>
      </c>
      <c r="J65" s="818">
        <f t="shared" ref="J65:J67" si="46">K65-I65</f>
        <v>0</v>
      </c>
      <c r="K65" s="818">
        <f t="shared" ref="K65:K67" si="47">ROUND(E65*H65,0)</f>
        <v>0</v>
      </c>
      <c r="M65" s="970"/>
    </row>
    <row r="66" spans="1:13" s="997" customFormat="1" ht="16.5">
      <c r="A66" s="814"/>
      <c r="B66" s="521"/>
      <c r="C66" s="1000"/>
      <c r="D66" s="1001"/>
      <c r="E66" s="1002"/>
      <c r="F66" s="818"/>
      <c r="G66" s="818"/>
      <c r="H66" s="818"/>
      <c r="I66" s="818">
        <f t="shared" si="44"/>
        <v>0</v>
      </c>
      <c r="J66" s="818">
        <f t="shared" si="46"/>
        <v>0</v>
      </c>
      <c r="K66" s="818">
        <f t="shared" si="47"/>
        <v>0</v>
      </c>
      <c r="M66" s="970"/>
    </row>
    <row r="67" spans="1:13" s="997" customFormat="1" ht="33">
      <c r="A67" s="813" t="s">
        <v>726</v>
      </c>
      <c r="B67" s="522" t="s">
        <v>798</v>
      </c>
      <c r="C67" s="1003" t="s">
        <v>1</v>
      </c>
      <c r="D67" s="1001"/>
      <c r="E67" s="1002">
        <v>110.39</v>
      </c>
      <c r="F67" s="818">
        <v>0</v>
      </c>
      <c r="G67" s="818" t="e">
        <f t="shared" ref="G67" si="48">H67-F67</f>
        <v>#REF!</v>
      </c>
      <c r="H67" s="818" t="e">
        <f>'MB BH'!#REF!</f>
        <v>#REF!</v>
      </c>
      <c r="I67" s="818">
        <f t="shared" si="44"/>
        <v>0</v>
      </c>
      <c r="J67" s="818" t="e">
        <f t="shared" si="46"/>
        <v>#REF!</v>
      </c>
      <c r="K67" s="818" t="e">
        <f t="shared" si="47"/>
        <v>#REF!</v>
      </c>
      <c r="M67" s="970"/>
    </row>
    <row r="68" spans="1:13" s="997" customFormat="1" ht="16.5">
      <c r="A68" s="813"/>
      <c r="B68" s="522"/>
      <c r="C68" s="1003"/>
      <c r="D68" s="1001"/>
      <c r="E68" s="1002"/>
      <c r="F68" s="818"/>
      <c r="G68" s="818"/>
      <c r="H68" s="818"/>
      <c r="I68" s="818">
        <f t="shared" si="44"/>
        <v>0</v>
      </c>
      <c r="J68" s="818"/>
      <c r="K68" s="818"/>
      <c r="M68" s="970"/>
    </row>
    <row r="69" spans="1:13" s="997" customFormat="1" ht="74.25" customHeight="1">
      <c r="A69" s="1065" t="s">
        <v>1921</v>
      </c>
      <c r="B69" s="522" t="s">
        <v>2142</v>
      </c>
      <c r="C69" s="1003" t="s">
        <v>1</v>
      </c>
      <c r="D69" s="1001"/>
      <c r="E69" s="1118">
        <v>58</v>
      </c>
      <c r="F69" s="818">
        <v>0</v>
      </c>
      <c r="G69" s="818">
        <f t="shared" ref="G69" si="49">H69-F69</f>
        <v>10795.980000000001</v>
      </c>
      <c r="H69" s="818">
        <f>'MB BH'!J7293</f>
        <v>10795.980000000001</v>
      </c>
      <c r="I69" s="818">
        <f t="shared" si="44"/>
        <v>0</v>
      </c>
      <c r="J69" s="818">
        <f t="shared" ref="J69" si="50">K69-I69</f>
        <v>626167</v>
      </c>
      <c r="K69" s="818">
        <f t="shared" ref="K69" si="51">ROUND(E69*H69,0)</f>
        <v>626167</v>
      </c>
      <c r="M69" s="970"/>
    </row>
    <row r="70" spans="1:13" s="997" customFormat="1" ht="16.5">
      <c r="A70" s="813"/>
      <c r="B70" s="522"/>
      <c r="C70" s="1003"/>
      <c r="D70" s="1001"/>
      <c r="E70" s="1002"/>
      <c r="F70" s="818"/>
      <c r="G70" s="818"/>
      <c r="H70" s="818"/>
      <c r="I70" s="818">
        <f t="shared" si="44"/>
        <v>0</v>
      </c>
      <c r="J70" s="818"/>
      <c r="K70" s="818"/>
      <c r="M70" s="970"/>
    </row>
    <row r="71" spans="1:13" s="997" customFormat="1" ht="51" customHeight="1">
      <c r="A71" s="813" t="s">
        <v>1926</v>
      </c>
      <c r="B71" s="522" t="s">
        <v>1927</v>
      </c>
      <c r="C71" s="1003" t="s">
        <v>1</v>
      </c>
      <c r="D71" s="1001"/>
      <c r="E71" s="1118">
        <v>910</v>
      </c>
      <c r="F71" s="818">
        <v>0</v>
      </c>
      <c r="G71" s="818">
        <f t="shared" ref="G71" si="52">H71-F71</f>
        <v>0</v>
      </c>
      <c r="H71" s="818">
        <f>'MB BH'!J8954</f>
        <v>0</v>
      </c>
      <c r="I71" s="818">
        <f t="shared" si="44"/>
        <v>0</v>
      </c>
      <c r="J71" s="818">
        <f t="shared" ref="J71" si="53">K71-I71</f>
        <v>0</v>
      </c>
      <c r="K71" s="818">
        <f t="shared" ref="K71" si="54">ROUND(E71*H71,0)</f>
        <v>0</v>
      </c>
      <c r="M71" s="970"/>
    </row>
    <row r="72" spans="1:13" s="997" customFormat="1" ht="16.5">
      <c r="A72" s="813"/>
      <c r="B72" s="522"/>
      <c r="C72" s="1003"/>
      <c r="D72" s="1001"/>
      <c r="E72" s="1002"/>
      <c r="F72" s="818"/>
      <c r="G72" s="818"/>
      <c r="H72" s="818"/>
      <c r="I72" s="818">
        <f t="shared" si="44"/>
        <v>0</v>
      </c>
      <c r="J72" s="818"/>
      <c r="K72" s="818"/>
      <c r="M72" s="970"/>
    </row>
    <row r="73" spans="1:13" s="997" customFormat="1" ht="110.25" customHeight="1">
      <c r="A73" s="813" t="s">
        <v>1923</v>
      </c>
      <c r="B73" s="522" t="s">
        <v>2166</v>
      </c>
      <c r="D73" s="1001"/>
      <c r="E73" s="1002"/>
      <c r="F73" s="818"/>
      <c r="G73" s="818"/>
      <c r="H73" s="818"/>
      <c r="I73" s="818"/>
      <c r="J73" s="818"/>
      <c r="K73" s="818"/>
      <c r="M73" s="970"/>
    </row>
    <row r="74" spans="1:13" s="997" customFormat="1" ht="39.950000000000003" customHeight="1">
      <c r="A74" s="813" t="s">
        <v>1924</v>
      </c>
      <c r="B74" s="522" t="s">
        <v>1925</v>
      </c>
      <c r="C74" s="1003" t="s">
        <v>1</v>
      </c>
      <c r="D74" s="1001"/>
      <c r="E74" s="1064">
        <v>688</v>
      </c>
      <c r="F74" s="818">
        <v>0</v>
      </c>
      <c r="G74" s="818">
        <f t="shared" ref="G74" si="55">H74-F74</f>
        <v>57.400000000000006</v>
      </c>
      <c r="H74" s="818">
        <f>'MB BH'!J8409</f>
        <v>57.400000000000006</v>
      </c>
      <c r="I74" s="818">
        <f>ROUND(F74*E74,0)</f>
        <v>0</v>
      </c>
      <c r="J74" s="818">
        <f t="shared" ref="J74" si="56">K74-I74</f>
        <v>39491</v>
      </c>
      <c r="K74" s="818">
        <f t="shared" ref="K74" si="57">ROUND(E74*H74,0)</f>
        <v>39491</v>
      </c>
      <c r="M74" s="970"/>
    </row>
    <row r="75" spans="1:13" s="997" customFormat="1" ht="31.5" customHeight="1">
      <c r="A75" s="813" t="s">
        <v>2149</v>
      </c>
      <c r="B75" s="522" t="s">
        <v>2150</v>
      </c>
      <c r="C75" s="1003" t="s">
        <v>1</v>
      </c>
      <c r="D75" s="1001"/>
      <c r="E75" s="1002">
        <v>807</v>
      </c>
      <c r="F75" s="818"/>
      <c r="G75" s="818"/>
      <c r="H75" s="818"/>
      <c r="I75" s="818">
        <f t="shared" si="44"/>
        <v>0</v>
      </c>
      <c r="J75" s="818"/>
      <c r="K75" s="818"/>
      <c r="M75" s="970"/>
    </row>
    <row r="76" spans="1:13" s="997" customFormat="1" ht="33">
      <c r="A76" s="813" t="s">
        <v>1917</v>
      </c>
      <c r="B76" s="522" t="s">
        <v>1928</v>
      </c>
      <c r="C76" s="1003" t="s">
        <v>1</v>
      </c>
      <c r="D76" s="1001"/>
      <c r="E76" s="1002">
        <v>183</v>
      </c>
      <c r="F76" s="818">
        <v>0</v>
      </c>
      <c r="G76" s="818">
        <f t="shared" ref="G76" si="58">H76-F76</f>
        <v>8881.66</v>
      </c>
      <c r="H76" s="818">
        <f>'MB BH'!J8960</f>
        <v>8881.66</v>
      </c>
      <c r="I76" s="818">
        <f t="shared" si="44"/>
        <v>0</v>
      </c>
      <c r="J76" s="818">
        <f t="shared" ref="J76" si="59">K76-I76</f>
        <v>1625344</v>
      </c>
      <c r="K76" s="818">
        <f t="shared" ref="K76" si="60">ROUND(E76*H76,0)</f>
        <v>1625344</v>
      </c>
      <c r="M76" s="970"/>
    </row>
    <row r="77" spans="1:13" s="997" customFormat="1" ht="16.5">
      <c r="A77" s="813"/>
      <c r="B77" s="522"/>
      <c r="C77" s="1003"/>
      <c r="D77" s="1001"/>
      <c r="E77" s="1002"/>
      <c r="F77" s="818"/>
      <c r="G77" s="818"/>
      <c r="H77" s="818"/>
      <c r="I77" s="818">
        <f t="shared" si="44"/>
        <v>0</v>
      </c>
      <c r="J77" s="818"/>
      <c r="K77" s="818"/>
      <c r="M77" s="970"/>
    </row>
    <row r="78" spans="1:13" s="997" customFormat="1" ht="33">
      <c r="A78" s="813" t="s">
        <v>1918</v>
      </c>
      <c r="B78" s="522" t="s">
        <v>1919</v>
      </c>
      <c r="C78" s="1003" t="s">
        <v>1</v>
      </c>
      <c r="D78" s="1001"/>
      <c r="E78" s="1064">
        <v>149</v>
      </c>
      <c r="F78" s="818">
        <v>0</v>
      </c>
      <c r="G78" s="818">
        <f t="shared" ref="G78" si="61">H78-F78</f>
        <v>389.93</v>
      </c>
      <c r="H78" s="818">
        <f>'MB BH'!J8969</f>
        <v>389.93</v>
      </c>
      <c r="I78" s="818">
        <f t="shared" ref="I78:I79" si="62">ROUND(F78*E78,0)</f>
        <v>0</v>
      </c>
      <c r="J78" s="818">
        <f t="shared" ref="J78" si="63">K78-I78</f>
        <v>58100</v>
      </c>
      <c r="K78" s="818">
        <f t="shared" ref="K78" si="64">ROUND(E78*H78,0)</f>
        <v>58100</v>
      </c>
      <c r="M78" s="970"/>
    </row>
    <row r="79" spans="1:13" s="997" customFormat="1" ht="16.5">
      <c r="A79" s="813"/>
      <c r="B79" s="522"/>
      <c r="C79" s="1003"/>
      <c r="D79" s="1001"/>
      <c r="E79" s="1002"/>
      <c r="F79" s="818"/>
      <c r="G79" s="818"/>
      <c r="H79" s="818"/>
      <c r="I79" s="818">
        <f t="shared" si="62"/>
        <v>0</v>
      </c>
      <c r="J79" s="818"/>
      <c r="K79" s="818"/>
      <c r="M79" s="970"/>
    </row>
    <row r="80" spans="1:13" s="997" customFormat="1" ht="16.5">
      <c r="A80" s="813" t="s">
        <v>1988</v>
      </c>
      <c r="B80" s="522" t="s">
        <v>1929</v>
      </c>
      <c r="C80" s="1003" t="s">
        <v>1930</v>
      </c>
      <c r="D80" s="1001"/>
      <c r="E80" s="1064">
        <v>95</v>
      </c>
      <c r="F80" s="818">
        <v>0</v>
      </c>
      <c r="G80" s="818">
        <f t="shared" ref="G80" si="65">H80-F80</f>
        <v>9622.68</v>
      </c>
      <c r="H80" s="818">
        <f>'MB BH'!J8581</f>
        <v>9622.68</v>
      </c>
      <c r="I80" s="818">
        <f t="shared" ref="I80:I81" si="66">ROUND(F80*E80,0)</f>
        <v>0</v>
      </c>
      <c r="J80" s="818">
        <f t="shared" ref="J80" si="67">K80-I80</f>
        <v>914155</v>
      </c>
      <c r="K80" s="818">
        <f t="shared" ref="K80" si="68">ROUND(E80*H80,0)</f>
        <v>914155</v>
      </c>
      <c r="L80" s="997">
        <f>100/83*95</f>
        <v>114.45783132530121</v>
      </c>
      <c r="M80" s="970"/>
    </row>
    <row r="81" spans="1:13" s="997" customFormat="1" ht="16.5">
      <c r="A81" s="813"/>
      <c r="B81" s="522"/>
      <c r="C81" s="1003"/>
      <c r="D81" s="1001"/>
      <c r="E81" s="1002"/>
      <c r="F81" s="818"/>
      <c r="G81" s="818"/>
      <c r="H81" s="818"/>
      <c r="I81" s="818">
        <f t="shared" si="66"/>
        <v>0</v>
      </c>
      <c r="J81" s="818"/>
      <c r="K81" s="818"/>
      <c r="M81" s="970"/>
    </row>
    <row r="82" spans="1:13" s="997" customFormat="1" ht="16.5">
      <c r="A82" s="813" t="s">
        <v>2020</v>
      </c>
      <c r="B82" s="522" t="s">
        <v>1961</v>
      </c>
      <c r="C82" s="1003" t="s">
        <v>1930</v>
      </c>
      <c r="D82" s="1001"/>
      <c r="E82" s="1064">
        <v>95</v>
      </c>
      <c r="F82" s="818">
        <v>0</v>
      </c>
      <c r="G82" s="818" t="e">
        <f t="shared" ref="G82" si="69">H82-F82</f>
        <v>#REF!</v>
      </c>
      <c r="H82" s="818" t="e">
        <f>'MB BH'!#REF!</f>
        <v>#REF!</v>
      </c>
      <c r="I82" s="818">
        <f t="shared" ref="I82:I83" si="70">ROUND(F82*E82,0)</f>
        <v>0</v>
      </c>
      <c r="J82" s="818" t="e">
        <f t="shared" ref="J82" si="71">K82-I82</f>
        <v>#REF!</v>
      </c>
      <c r="K82" s="818" t="e">
        <f t="shared" ref="K82" si="72">ROUND(E82*H82,0)</f>
        <v>#REF!</v>
      </c>
      <c r="L82" s="997">
        <f>100/83*95</f>
        <v>114.45783132530121</v>
      </c>
      <c r="M82" s="970"/>
    </row>
    <row r="83" spans="1:13" s="997" customFormat="1" ht="16.5">
      <c r="A83" s="813"/>
      <c r="B83" s="522"/>
      <c r="C83" s="1003"/>
      <c r="D83" s="1001"/>
      <c r="E83" s="1002"/>
      <c r="F83" s="818"/>
      <c r="G83" s="818"/>
      <c r="H83" s="818"/>
      <c r="I83" s="818">
        <f t="shared" si="70"/>
        <v>0</v>
      </c>
      <c r="J83" s="818"/>
      <c r="K83" s="818"/>
      <c r="M83" s="970"/>
    </row>
    <row r="84" spans="1:13" s="997" customFormat="1" ht="66">
      <c r="A84" s="813" t="s">
        <v>2101</v>
      </c>
      <c r="B84" s="522" t="s">
        <v>2102</v>
      </c>
      <c r="C84" s="1003" t="s">
        <v>1821</v>
      </c>
      <c r="D84" s="1001"/>
      <c r="E84" s="1094">
        <v>159</v>
      </c>
      <c r="F84" s="818">
        <v>0</v>
      </c>
      <c r="G84" s="818">
        <f t="shared" ref="G84" si="73">H84-F84</f>
        <v>717</v>
      </c>
      <c r="H84" s="818">
        <f>'MB BH'!J8658</f>
        <v>717</v>
      </c>
      <c r="I84" s="818">
        <f t="shared" ref="I84:I85" si="74">ROUND(F84*E84,0)</f>
        <v>0</v>
      </c>
      <c r="J84" s="818">
        <f t="shared" ref="J84" si="75">K84-I84</f>
        <v>114003</v>
      </c>
      <c r="K84" s="818">
        <f t="shared" ref="K84" si="76">ROUND(E84*H84,0)</f>
        <v>114003</v>
      </c>
      <c r="L84" s="997">
        <f>100/83*255.8</f>
        <v>308.19277108433738</v>
      </c>
      <c r="M84" s="970"/>
    </row>
    <row r="85" spans="1:13" s="997" customFormat="1" ht="16.5">
      <c r="A85" s="813"/>
      <c r="B85" s="522"/>
      <c r="C85" s="1003"/>
      <c r="D85" s="1001"/>
      <c r="E85" s="1002"/>
      <c r="F85" s="818"/>
      <c r="G85" s="818"/>
      <c r="H85" s="818"/>
      <c r="I85" s="818">
        <f t="shared" si="74"/>
        <v>0</v>
      </c>
      <c r="J85" s="818"/>
      <c r="K85" s="818"/>
      <c r="M85" s="970"/>
    </row>
    <row r="86" spans="1:13" s="997" customFormat="1" ht="16.5">
      <c r="A86" s="813" t="s">
        <v>2153</v>
      </c>
      <c r="B86" s="522" t="s">
        <v>1989</v>
      </c>
      <c r="C86" s="1003" t="s">
        <v>1990</v>
      </c>
      <c r="D86" s="1001"/>
      <c r="E86" s="1002">
        <v>188.55</v>
      </c>
      <c r="F86" s="818">
        <v>0</v>
      </c>
      <c r="G86" s="818">
        <f t="shared" ref="G86" si="77">H86-F86</f>
        <v>0</v>
      </c>
      <c r="H86" s="818">
        <f>'MB BH'!J8791</f>
        <v>0</v>
      </c>
      <c r="I86" s="818">
        <f t="shared" ref="I86:I87" si="78">ROUND(F86*E86,0)</f>
        <v>0</v>
      </c>
      <c r="J86" s="818">
        <f t="shared" ref="J86" si="79">K86-I86</f>
        <v>0</v>
      </c>
      <c r="K86" s="818">
        <f t="shared" ref="K86" si="80">ROUND(E86*H86,0)</f>
        <v>0</v>
      </c>
      <c r="L86" s="997">
        <f>100/83*156.5</f>
        <v>188.5542168674699</v>
      </c>
      <c r="M86" s="970"/>
    </row>
    <row r="87" spans="1:13" s="997" customFormat="1" ht="16.5">
      <c r="A87" s="813"/>
      <c r="B87" s="522"/>
      <c r="C87" s="1003"/>
      <c r="D87" s="1001"/>
      <c r="E87" s="1002"/>
      <c r="F87" s="818"/>
      <c r="G87" s="818"/>
      <c r="H87" s="818"/>
      <c r="I87" s="818">
        <f t="shared" si="78"/>
        <v>0</v>
      </c>
      <c r="J87" s="818"/>
      <c r="K87" s="818"/>
      <c r="M87" s="970"/>
    </row>
    <row r="88" spans="1:13" s="997" customFormat="1" ht="33">
      <c r="A88" s="813" t="s">
        <v>2155</v>
      </c>
      <c r="B88" s="522" t="s">
        <v>2154</v>
      </c>
      <c r="C88" s="1003" t="s">
        <v>1990</v>
      </c>
      <c r="D88" s="1001"/>
      <c r="E88" s="1002"/>
      <c r="F88" s="818">
        <v>0</v>
      </c>
      <c r="G88" s="818">
        <f t="shared" ref="G88" si="81">H88-F88</f>
        <v>0</v>
      </c>
      <c r="H88" s="818">
        <f>'MB BH'!J8953</f>
        <v>0</v>
      </c>
      <c r="I88" s="818">
        <f t="shared" ref="I88:I89" si="82">ROUND(F88*E88,0)</f>
        <v>0</v>
      </c>
      <c r="J88" s="818">
        <f t="shared" ref="J88" si="83">K88-I88</f>
        <v>0</v>
      </c>
      <c r="K88" s="818">
        <f t="shared" ref="K88" si="84">ROUND(E88*H88,0)</f>
        <v>0</v>
      </c>
      <c r="L88" s="997">
        <f>100/83*221.95</f>
        <v>267.40963855421688</v>
      </c>
      <c r="M88" s="970"/>
    </row>
    <row r="89" spans="1:13" s="997" customFormat="1" ht="16.5">
      <c r="A89" s="813"/>
      <c r="B89" s="522"/>
      <c r="C89" s="1003"/>
      <c r="D89" s="1001"/>
      <c r="E89" s="1002"/>
      <c r="F89" s="818"/>
      <c r="G89" s="818"/>
      <c r="H89" s="818"/>
      <c r="I89" s="818">
        <f t="shared" si="82"/>
        <v>0</v>
      </c>
      <c r="J89" s="818"/>
      <c r="K89" s="818"/>
      <c r="M89" s="970"/>
    </row>
    <row r="90" spans="1:13" s="997" customFormat="1" ht="49.5">
      <c r="A90" s="813" t="s">
        <v>2065</v>
      </c>
      <c r="B90" s="522" t="s">
        <v>2066</v>
      </c>
      <c r="C90" s="1003" t="s">
        <v>1990</v>
      </c>
      <c r="D90" s="1001"/>
      <c r="E90" s="1064">
        <v>268</v>
      </c>
      <c r="F90" s="818">
        <v>0</v>
      </c>
      <c r="G90" s="818">
        <f t="shared" ref="G90" si="85">H90-F90</f>
        <v>98</v>
      </c>
      <c r="H90" s="818">
        <f>'MB BH'!J8605</f>
        <v>98</v>
      </c>
      <c r="I90" s="818">
        <f t="shared" ref="I90:I91" si="86">ROUND(F90*E90,0)</f>
        <v>0</v>
      </c>
      <c r="J90" s="818">
        <f t="shared" ref="J90" si="87">K90-I90</f>
        <v>26264</v>
      </c>
      <c r="K90" s="818">
        <f t="shared" ref="K90" si="88">ROUND(E90*H90,0)</f>
        <v>26264</v>
      </c>
      <c r="M90" s="970"/>
    </row>
    <row r="91" spans="1:13" s="997" customFormat="1" ht="16.5">
      <c r="A91" s="813"/>
      <c r="B91" s="522"/>
      <c r="C91" s="1003"/>
      <c r="D91" s="1001"/>
      <c r="E91" s="1002"/>
      <c r="F91" s="818"/>
      <c r="G91" s="818"/>
      <c r="H91" s="818"/>
      <c r="I91" s="818">
        <f t="shared" si="86"/>
        <v>0</v>
      </c>
      <c r="J91" s="818"/>
      <c r="K91" s="818"/>
      <c r="M91" s="970"/>
    </row>
    <row r="92" spans="1:13" s="997" customFormat="1" ht="99" customHeight="1">
      <c r="A92" s="813" t="s">
        <v>1915</v>
      </c>
      <c r="B92" s="522" t="s">
        <v>1289</v>
      </c>
      <c r="C92" s="1003" t="s">
        <v>1</v>
      </c>
      <c r="D92" s="1001"/>
      <c r="E92" s="1002">
        <v>210.68</v>
      </c>
      <c r="F92" s="818">
        <v>0</v>
      </c>
      <c r="G92" s="818">
        <f t="shared" ref="G92" si="89">H92-F92</f>
        <v>0</v>
      </c>
      <c r="H92" s="818">
        <f>'MB BH'!J9068</f>
        <v>0</v>
      </c>
      <c r="I92" s="818">
        <f t="shared" si="44"/>
        <v>0</v>
      </c>
      <c r="J92" s="818">
        <f t="shared" ref="J92" si="90">K92-I92</f>
        <v>0</v>
      </c>
      <c r="K92" s="818">
        <f t="shared" ref="K92" si="91">ROUND(E92*H92,0)</f>
        <v>0</v>
      </c>
      <c r="M92" s="970"/>
    </row>
    <row r="93" spans="1:13" s="997" customFormat="1" ht="18" customHeight="1">
      <c r="B93" s="522"/>
      <c r="C93" s="1003"/>
      <c r="D93" s="1001"/>
      <c r="E93" s="1002"/>
      <c r="F93" s="818"/>
      <c r="G93" s="818"/>
      <c r="H93" s="818"/>
      <c r="I93" s="818">
        <f t="shared" si="44"/>
        <v>0</v>
      </c>
      <c r="J93" s="818"/>
      <c r="K93" s="818"/>
      <c r="M93" s="970"/>
    </row>
    <row r="94" spans="1:13" s="997" customFormat="1" ht="69.75" customHeight="1">
      <c r="A94" s="813" t="s">
        <v>2140</v>
      </c>
      <c r="B94" s="522" t="s">
        <v>2141</v>
      </c>
      <c r="C94" s="1003" t="s">
        <v>1</v>
      </c>
      <c r="D94" s="1001"/>
      <c r="E94" s="1064">
        <v>1025</v>
      </c>
      <c r="F94" s="818">
        <v>0</v>
      </c>
      <c r="G94" s="818">
        <f t="shared" ref="G94" si="92">H94-F94</f>
        <v>812.47999999999979</v>
      </c>
      <c r="H94" s="818">
        <f>'MB BH'!J7015</f>
        <v>812.47999999999979</v>
      </c>
      <c r="I94" s="818">
        <f t="shared" si="44"/>
        <v>0</v>
      </c>
      <c r="J94" s="818">
        <f t="shared" ref="J94" si="93">K94-I94</f>
        <v>832792</v>
      </c>
      <c r="K94" s="818">
        <f t="shared" ref="K94" si="94">ROUND(E94*H94,0)</f>
        <v>832792</v>
      </c>
      <c r="M94" s="970"/>
    </row>
    <row r="95" spans="1:13" s="997" customFormat="1" ht="16.5">
      <c r="A95" s="814"/>
      <c r="B95" s="521"/>
      <c r="C95" s="1000"/>
      <c r="D95" s="1001"/>
      <c r="E95" s="1002"/>
      <c r="F95" s="818"/>
      <c r="G95" s="818"/>
      <c r="H95" s="818"/>
      <c r="I95" s="818">
        <f t="shared" si="44"/>
        <v>0</v>
      </c>
      <c r="J95" s="818">
        <f t="shared" si="42"/>
        <v>0</v>
      </c>
      <c r="K95" s="818">
        <f t="shared" si="43"/>
        <v>0</v>
      </c>
      <c r="M95" s="970"/>
    </row>
    <row r="96" spans="1:13" s="509" customFormat="1" ht="35.25" customHeight="1">
      <c r="A96" s="815"/>
      <c r="B96" s="585" t="s">
        <v>159</v>
      </c>
      <c r="C96" s="1005"/>
      <c r="D96" s="1004"/>
      <c r="E96" s="1006"/>
      <c r="F96" s="1006"/>
      <c r="G96" s="1006"/>
      <c r="H96" s="1006"/>
      <c r="I96" s="1007">
        <f>SUM(I53:I95)</f>
        <v>1090097</v>
      </c>
      <c r="J96" s="1007" t="e">
        <f>SUM(J53:J95)</f>
        <v>#REF!</v>
      </c>
      <c r="K96" s="1007" t="e">
        <f>SUM(K53:K95)</f>
        <v>#REF!</v>
      </c>
      <c r="M96" s="970"/>
    </row>
    <row r="97" spans="1:14" s="509" customFormat="1" ht="39.950000000000003" customHeight="1" thickBot="1">
      <c r="A97" s="816"/>
      <c r="B97" s="789"/>
      <c r="C97" s="1008"/>
      <c r="D97" s="816"/>
      <c r="E97" s="1009"/>
      <c r="F97" s="1009"/>
      <c r="G97" s="1010">
        <v>0</v>
      </c>
      <c r="H97" s="1011" t="s">
        <v>160</v>
      </c>
      <c r="I97" s="1012">
        <f>I96+I52</f>
        <v>49486117</v>
      </c>
      <c r="J97" s="1012" t="e">
        <f>J96+J52</f>
        <v>#REF!</v>
      </c>
      <c r="K97" s="1012" t="e">
        <f>K96+K52</f>
        <v>#REF!</v>
      </c>
      <c r="M97" s="1503"/>
      <c r="N97" s="1503"/>
    </row>
  </sheetData>
  <mergeCells count="3">
    <mergeCell ref="A4:E4"/>
    <mergeCell ref="F4:K4"/>
    <mergeCell ref="M97:N97"/>
  </mergeCells>
  <printOptions horizontalCentered="1" gridLines="1"/>
  <pageMargins left="0.25" right="0.25" top="1" bottom="0.75" header="0.31496062992126" footer="0.31496062992126"/>
  <pageSetup paperSize="9" scale="60" orientation="landscape" r:id="rId1"/>
  <headerFooter>
    <oddFooter>&amp;R&amp;P/&amp;N</oddFooter>
  </headerFooter>
  <ignoredErrors>
    <ignoredError sqref="H8 H61 K96 G54:H54 G28:H28 G27:H27 J27:K27 H44 J8:K8 J28:K28 I14"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51"/>
  <sheetViews>
    <sheetView view="pageBreakPreview" zoomScale="70" zoomScaleNormal="80" zoomScaleSheetLayoutView="70" workbookViewId="0">
      <pane ySplit="5" topLeftCell="A12" activePane="bottomLeft" state="frozen"/>
      <selection activeCell="A84" sqref="A84"/>
      <selection pane="bottomLeft" activeCell="D53" sqref="D53"/>
    </sheetView>
  </sheetViews>
  <sheetFormatPr defaultColWidth="9.140625" defaultRowHeight="18"/>
  <cols>
    <col min="1" max="1" width="17.28515625" style="54" customWidth="1"/>
    <col min="2" max="2" width="65.85546875" style="54" customWidth="1"/>
    <col min="3" max="3" width="9.28515625" style="54" customWidth="1"/>
    <col min="4" max="4" width="14" style="54" customWidth="1"/>
    <col min="5" max="5" width="11.85546875" style="576" bestFit="1" customWidth="1"/>
    <col min="6" max="8" width="14.7109375" style="68" customWidth="1"/>
    <col min="9" max="10" width="20" style="68" customWidth="1"/>
    <col min="11" max="11" width="19.5703125" style="68" customWidth="1"/>
    <col min="12" max="12" width="30" style="54" customWidth="1"/>
    <col min="13" max="13" width="20.5703125" style="54" customWidth="1"/>
    <col min="14" max="16384" width="9.140625" style="54"/>
  </cols>
  <sheetData>
    <row r="1" spans="1:13" ht="21" thickBot="1">
      <c r="A1" s="771"/>
      <c r="B1" s="773" t="str">
        <f>[115]SUMMARY!B1</f>
        <v>THAPAR UNIVERSITY EXTENSION PROJECT, PATIALA</v>
      </c>
      <c r="C1" s="774"/>
      <c r="D1" s="775"/>
      <c r="E1" s="776"/>
      <c r="F1" s="776"/>
      <c r="G1" s="776"/>
      <c r="H1" s="776"/>
      <c r="I1" s="776"/>
      <c r="J1" s="776"/>
      <c r="K1" s="777"/>
    </row>
    <row r="2" spans="1:13" ht="58.5" customHeight="1" thickBot="1">
      <c r="A2" s="772"/>
      <c r="B2" s="778" t="str">
        <f>' ABS BH'!B2</f>
        <v>M/S. GANNON DUNKERLEY &amp; CO. LTD.</v>
      </c>
      <c r="C2" s="779"/>
      <c r="D2" s="780"/>
      <c r="E2" s="781"/>
      <c r="F2" s="781"/>
      <c r="G2" s="781"/>
      <c r="H2" s="781"/>
      <c r="I2" s="781"/>
      <c r="J2" s="781"/>
      <c r="K2" s="782"/>
    </row>
    <row r="3" spans="1:13" ht="23.25" thickBot="1">
      <c r="A3" s="783" t="str">
        <f>' ABS BH'!A3</f>
        <v>RA Bill-</v>
      </c>
      <c r="B3" s="784" t="str">
        <f>' ABS BH'!B3</f>
        <v>06 (August'2017)</v>
      </c>
      <c r="C3" s="785"/>
      <c r="D3" s="786"/>
      <c r="E3" s="787"/>
      <c r="F3" s="787"/>
      <c r="G3" s="787"/>
      <c r="H3" s="787"/>
      <c r="I3" s="787"/>
      <c r="J3" s="787"/>
      <c r="K3" s="788"/>
    </row>
    <row r="4" spans="1:13" ht="27.75" customHeight="1" thickBot="1">
      <c r="A4" s="1504" t="s">
        <v>90</v>
      </c>
      <c r="B4" s="1505"/>
      <c r="C4" s="1505"/>
      <c r="D4" s="1505"/>
      <c r="E4" s="1506"/>
      <c r="F4" s="1507" t="s">
        <v>799</v>
      </c>
      <c r="G4" s="1508"/>
      <c r="H4" s="1508"/>
      <c r="I4" s="1508"/>
      <c r="J4" s="1508"/>
      <c r="K4" s="1509"/>
    </row>
    <row r="5" spans="1:13" s="293" customFormat="1" ht="61.5" customHeight="1">
      <c r="A5" s="291" t="s">
        <v>3</v>
      </c>
      <c r="B5" s="291" t="s">
        <v>4</v>
      </c>
      <c r="C5" s="291" t="s">
        <v>5</v>
      </c>
      <c r="D5" s="292" t="s">
        <v>803</v>
      </c>
      <c r="E5" s="569" t="s">
        <v>6</v>
      </c>
      <c r="F5" s="292" t="s">
        <v>9</v>
      </c>
      <c r="G5" s="292" t="s">
        <v>10</v>
      </c>
      <c r="H5" s="292" t="s">
        <v>11</v>
      </c>
      <c r="I5" s="577" t="s">
        <v>12</v>
      </c>
      <c r="J5" s="577" t="s">
        <v>10</v>
      </c>
      <c r="K5" s="577" t="s">
        <v>13</v>
      </c>
    </row>
    <row r="6" spans="1:13" s="59" customFormat="1" ht="27.75" customHeight="1">
      <c r="A6" s="55"/>
      <c r="B6" s="56"/>
      <c r="C6" s="55"/>
      <c r="D6" s="57"/>
      <c r="E6" s="570"/>
      <c r="F6" s="58"/>
      <c r="G6" s="58">
        <v>0</v>
      </c>
      <c r="H6" s="58"/>
      <c r="I6" s="578"/>
      <c r="J6" s="578"/>
      <c r="K6" s="578"/>
    </row>
    <row r="7" spans="1:13" ht="111.75" customHeight="1">
      <c r="A7" s="317">
        <v>2</v>
      </c>
      <c r="B7" s="62" t="s">
        <v>97</v>
      </c>
      <c r="C7" s="279" t="s">
        <v>2</v>
      </c>
      <c r="D7" s="280">
        <v>14</v>
      </c>
      <c r="E7" s="571">
        <v>7151</v>
      </c>
      <c r="F7" s="282">
        <v>28.949999999999982</v>
      </c>
      <c r="G7" s="282">
        <f>H7-F7</f>
        <v>0</v>
      </c>
      <c r="H7" s="282">
        <f>'MB GIRLS HOSTEL'!J121</f>
        <v>28.949999999999982</v>
      </c>
      <c r="I7" s="579">
        <f>ROUND(F7*E7,0)</f>
        <v>207021</v>
      </c>
      <c r="J7" s="579">
        <f>K7-I7</f>
        <v>0</v>
      </c>
      <c r="K7" s="579">
        <f>ROUND(E7*H7,0)</f>
        <v>207021</v>
      </c>
      <c r="L7" s="820"/>
      <c r="M7" s="820"/>
    </row>
    <row r="8" spans="1:13" ht="19.5" customHeight="1">
      <c r="A8" s="60"/>
      <c r="B8" s="61"/>
      <c r="C8" s="279"/>
      <c r="D8" s="280"/>
      <c r="E8" s="571"/>
      <c r="F8" s="281"/>
      <c r="G8" s="282">
        <f>H8-F8</f>
        <v>0</v>
      </c>
      <c r="H8" s="282"/>
      <c r="I8" s="579">
        <f t="shared" ref="I8:I24" si="0">ROUND(F8*E8,0)</f>
        <v>0</v>
      </c>
      <c r="J8" s="579">
        <f>K8-I8</f>
        <v>0</v>
      </c>
      <c r="K8" s="579">
        <f t="shared" ref="K8:K44" si="1">ROUND(E8*H8,0)</f>
        <v>0</v>
      </c>
      <c r="L8" s="820"/>
      <c r="M8" s="820"/>
    </row>
    <row r="9" spans="1:13" ht="55.5" customHeight="1">
      <c r="A9" s="317">
        <v>2</v>
      </c>
      <c r="B9" s="62" t="s">
        <v>373</v>
      </c>
      <c r="C9" s="279" t="s">
        <v>374</v>
      </c>
      <c r="D9" s="280">
        <v>1.4</v>
      </c>
      <c r="E9" s="571">
        <v>67995</v>
      </c>
      <c r="F9" s="1195">
        <v>3.31</v>
      </c>
      <c r="G9" s="1195">
        <f>H9-F9</f>
        <v>0</v>
      </c>
      <c r="H9" s="1195">
        <f>'MB GIRLS HOSTEL'!J128</f>
        <v>3.31</v>
      </c>
      <c r="I9" s="579">
        <f t="shared" si="0"/>
        <v>225063</v>
      </c>
      <c r="J9" s="579">
        <f>K9-I9</f>
        <v>0</v>
      </c>
      <c r="K9" s="579">
        <f t="shared" si="1"/>
        <v>225063</v>
      </c>
      <c r="L9" s="820"/>
      <c r="M9" s="820"/>
    </row>
    <row r="10" spans="1:13">
      <c r="A10" s="60"/>
      <c r="B10" s="62"/>
      <c r="C10" s="279"/>
      <c r="D10" s="280"/>
      <c r="E10" s="571"/>
      <c r="F10" s="282"/>
      <c r="G10" s="282">
        <f>H10-F10</f>
        <v>0</v>
      </c>
      <c r="H10" s="282"/>
      <c r="I10" s="579">
        <f t="shared" si="0"/>
        <v>0</v>
      </c>
      <c r="J10" s="579"/>
      <c r="K10" s="579">
        <f t="shared" si="1"/>
        <v>0</v>
      </c>
      <c r="L10" s="820"/>
      <c r="M10" s="820"/>
    </row>
    <row r="11" spans="1:13" ht="62.25" customHeight="1">
      <c r="A11" s="317">
        <v>3</v>
      </c>
      <c r="B11" s="61" t="s">
        <v>759</v>
      </c>
      <c r="C11" s="279" t="s">
        <v>2</v>
      </c>
      <c r="D11" s="280">
        <v>136</v>
      </c>
      <c r="E11" s="571">
        <v>4719</v>
      </c>
      <c r="F11" s="281">
        <v>151.62999999999997</v>
      </c>
      <c r="G11" s="282">
        <f>H11-F11</f>
        <v>0</v>
      </c>
      <c r="H11" s="282">
        <f>'MB GIRLS HOSTEL'!J259</f>
        <v>151.62999999999997</v>
      </c>
      <c r="I11" s="579">
        <f t="shared" si="0"/>
        <v>715542</v>
      </c>
      <c r="J11" s="579">
        <f>K11-I11</f>
        <v>0</v>
      </c>
      <c r="K11" s="579">
        <f t="shared" si="1"/>
        <v>715542</v>
      </c>
      <c r="L11" s="820"/>
      <c r="M11" s="820"/>
    </row>
    <row r="12" spans="1:13">
      <c r="A12" s="60"/>
      <c r="B12" s="61"/>
      <c r="C12" s="279"/>
      <c r="D12" s="280"/>
      <c r="E12" s="571"/>
      <c r="F12" s="282"/>
      <c r="G12" s="282"/>
      <c r="H12" s="282"/>
      <c r="I12" s="579">
        <f t="shared" si="0"/>
        <v>0</v>
      </c>
      <c r="J12" s="579"/>
      <c r="K12" s="579">
        <f t="shared" si="1"/>
        <v>0</v>
      </c>
      <c r="L12" s="820"/>
      <c r="M12" s="820"/>
    </row>
    <row r="13" spans="1:13" ht="96.75" customHeight="1">
      <c r="A13" s="317">
        <v>4</v>
      </c>
      <c r="B13" s="61" t="s">
        <v>760</v>
      </c>
      <c r="C13" s="279" t="s">
        <v>2</v>
      </c>
      <c r="D13" s="280">
        <v>68</v>
      </c>
      <c r="E13" s="571">
        <v>6154</v>
      </c>
      <c r="F13" s="281">
        <v>122.93000000000006</v>
      </c>
      <c r="G13" s="282">
        <f t="shared" ref="G13" si="2">H13-F13</f>
        <v>0</v>
      </c>
      <c r="H13" s="282">
        <f>'MB GIRLS HOSTEL'!J536</f>
        <v>122.93000000000006</v>
      </c>
      <c r="I13" s="579">
        <f t="shared" si="0"/>
        <v>756511</v>
      </c>
      <c r="J13" s="579">
        <f t="shared" ref="J13" si="3">K13-I13</f>
        <v>0</v>
      </c>
      <c r="K13" s="579">
        <f t="shared" si="1"/>
        <v>756511</v>
      </c>
      <c r="L13" s="820"/>
      <c r="M13" s="820"/>
    </row>
    <row r="14" spans="1:13">
      <c r="A14" s="317"/>
      <c r="B14" s="61"/>
      <c r="C14" s="279"/>
      <c r="D14" s="280"/>
      <c r="E14" s="571"/>
      <c r="F14" s="281"/>
      <c r="G14" s="282"/>
      <c r="H14" s="282"/>
      <c r="I14" s="579">
        <f t="shared" si="0"/>
        <v>0</v>
      </c>
      <c r="J14" s="579"/>
      <c r="K14" s="579">
        <f t="shared" si="1"/>
        <v>0</v>
      </c>
      <c r="L14" s="820"/>
      <c r="M14" s="820"/>
    </row>
    <row r="15" spans="1:13" ht="130.5" customHeight="1">
      <c r="A15" s="317">
        <v>5</v>
      </c>
      <c r="B15" s="61" t="s">
        <v>1066</v>
      </c>
      <c r="C15" s="279" t="s">
        <v>1</v>
      </c>
      <c r="D15" s="280">
        <v>55</v>
      </c>
      <c r="E15" s="571">
        <v>1114</v>
      </c>
      <c r="F15" s="281">
        <v>135.54</v>
      </c>
      <c r="G15" s="282">
        <f t="shared" ref="G15" si="4">H15-F15</f>
        <v>0</v>
      </c>
      <c r="H15" s="282">
        <f>'MB GIRLS HOSTEL'!J562</f>
        <v>135.54</v>
      </c>
      <c r="I15" s="579">
        <f t="shared" si="0"/>
        <v>150992</v>
      </c>
      <c r="J15" s="579">
        <f t="shared" ref="J15" si="5">K15-I15</f>
        <v>0</v>
      </c>
      <c r="K15" s="579">
        <f t="shared" si="1"/>
        <v>150992</v>
      </c>
      <c r="L15" s="820"/>
      <c r="M15" s="820"/>
    </row>
    <row r="16" spans="1:13">
      <c r="A16" s="60"/>
      <c r="B16" s="61"/>
      <c r="C16" s="279"/>
      <c r="D16" s="280"/>
      <c r="E16" s="571"/>
      <c r="F16" s="282"/>
      <c r="G16" s="282"/>
      <c r="H16" s="282"/>
      <c r="I16" s="579">
        <f t="shared" si="0"/>
        <v>0</v>
      </c>
      <c r="J16" s="579"/>
      <c r="K16" s="579">
        <f t="shared" si="1"/>
        <v>0</v>
      </c>
      <c r="L16" s="820"/>
      <c r="M16" s="820"/>
    </row>
    <row r="17" spans="1:13" ht="93" customHeight="1">
      <c r="A17" s="60">
        <v>1.1000000000000001</v>
      </c>
      <c r="B17" s="61" t="s">
        <v>1248</v>
      </c>
      <c r="C17" s="279" t="s">
        <v>1</v>
      </c>
      <c r="D17" s="280">
        <v>458</v>
      </c>
      <c r="E17" s="1048">
        <v>1406</v>
      </c>
      <c r="F17" s="281">
        <v>466.46400800000038</v>
      </c>
      <c r="G17" s="282">
        <f t="shared" ref="G17" si="6">H17-F17</f>
        <v>2.3859919999999875</v>
      </c>
      <c r="H17" s="282">
        <f>'MB GIRLS HOSTEL'!J679</f>
        <v>468.85000000000036</v>
      </c>
      <c r="I17" s="579">
        <v>623196</v>
      </c>
      <c r="J17" s="579">
        <f t="shared" ref="J17" si="7">K17-I17</f>
        <v>36007</v>
      </c>
      <c r="K17" s="579">
        <f t="shared" si="1"/>
        <v>659203</v>
      </c>
      <c r="L17" s="820"/>
      <c r="M17" s="820"/>
    </row>
    <row r="18" spans="1:13">
      <c r="A18" s="60"/>
      <c r="B18" s="61"/>
      <c r="C18" s="279"/>
      <c r="D18" s="280"/>
      <c r="E18" s="571"/>
      <c r="F18" s="282"/>
      <c r="G18" s="282"/>
      <c r="H18" s="282"/>
      <c r="I18" s="579">
        <f t="shared" si="0"/>
        <v>0</v>
      </c>
      <c r="J18" s="579"/>
      <c r="K18" s="579">
        <f t="shared" si="1"/>
        <v>0</v>
      </c>
      <c r="L18" s="820"/>
      <c r="M18" s="820"/>
    </row>
    <row r="19" spans="1:13" ht="89.25" customHeight="1">
      <c r="A19" s="60">
        <v>1.2</v>
      </c>
      <c r="B19" s="61" t="s">
        <v>1245</v>
      </c>
      <c r="C19" s="279" t="s">
        <v>1</v>
      </c>
      <c r="D19" s="280">
        <v>686</v>
      </c>
      <c r="E19" s="1048">
        <v>3517</v>
      </c>
      <c r="F19" s="281">
        <v>750.69999999999993</v>
      </c>
      <c r="G19" s="282">
        <f t="shared" ref="G19" si="8">H19-F19</f>
        <v>0</v>
      </c>
      <c r="H19" s="282">
        <f>'MB GIRLS HOSTEL'!J804</f>
        <v>750.6999999999997</v>
      </c>
      <c r="I19" s="579">
        <v>2508089</v>
      </c>
      <c r="J19" s="579">
        <f t="shared" ref="J19" si="9">K19-I19</f>
        <v>132123</v>
      </c>
      <c r="K19" s="579">
        <f t="shared" si="1"/>
        <v>2640212</v>
      </c>
      <c r="L19" s="820"/>
      <c r="M19" s="820"/>
    </row>
    <row r="20" spans="1:13">
      <c r="A20" s="60"/>
      <c r="B20" s="61"/>
      <c r="C20" s="279"/>
      <c r="D20" s="280"/>
      <c r="E20" s="571"/>
      <c r="F20" s="282"/>
      <c r="G20" s="282"/>
      <c r="H20" s="282"/>
      <c r="I20" s="579">
        <f t="shared" si="0"/>
        <v>0</v>
      </c>
      <c r="J20" s="579"/>
      <c r="K20" s="579">
        <f t="shared" si="1"/>
        <v>0</v>
      </c>
      <c r="L20" s="820"/>
      <c r="M20" s="820"/>
    </row>
    <row r="21" spans="1:13" ht="90" customHeight="1">
      <c r="A21" s="60">
        <v>1.3</v>
      </c>
      <c r="B21" s="61" t="s">
        <v>1246</v>
      </c>
      <c r="C21" s="279" t="s">
        <v>1</v>
      </c>
      <c r="D21" s="280">
        <v>198</v>
      </c>
      <c r="E21" s="1048">
        <v>3165</v>
      </c>
      <c r="F21" s="281">
        <v>389.22000000000008</v>
      </c>
      <c r="G21" s="282">
        <f t="shared" ref="G21:G23" si="10">H21-F21</f>
        <v>34.000000000000057</v>
      </c>
      <c r="H21" s="282">
        <f>'MB GIRLS HOSTEL'!J961</f>
        <v>423.22000000000014</v>
      </c>
      <c r="I21" s="579">
        <v>1170385</v>
      </c>
      <c r="J21" s="579">
        <f t="shared" ref="J21" si="11">K21-I21</f>
        <v>169106</v>
      </c>
      <c r="K21" s="579">
        <f t="shared" si="1"/>
        <v>1339491</v>
      </c>
      <c r="L21" s="821"/>
      <c r="M21" s="820"/>
    </row>
    <row r="22" spans="1:13" ht="20.25">
      <c r="A22" s="60"/>
      <c r="B22" s="666"/>
      <c r="C22" s="279"/>
      <c r="D22" s="280"/>
      <c r="E22" s="571"/>
      <c r="F22" s="281"/>
      <c r="G22" s="282"/>
      <c r="H22" s="282"/>
      <c r="I22" s="579">
        <f t="shared" si="0"/>
        <v>0</v>
      </c>
      <c r="J22" s="579"/>
      <c r="K22" s="579">
        <f t="shared" si="1"/>
        <v>0</v>
      </c>
      <c r="L22" s="821"/>
      <c r="M22" s="820"/>
    </row>
    <row r="23" spans="1:13" ht="60.75" customHeight="1">
      <c r="A23" s="60">
        <v>1.6</v>
      </c>
      <c r="B23" s="61" t="s">
        <v>1443</v>
      </c>
      <c r="C23" s="279" t="s">
        <v>1</v>
      </c>
      <c r="D23" s="280">
        <v>1.44</v>
      </c>
      <c r="E23" s="1048">
        <v>3517</v>
      </c>
      <c r="F23" s="281"/>
      <c r="G23" s="282">
        <f t="shared" si="10"/>
        <v>10.72</v>
      </c>
      <c r="H23" s="282">
        <f>'MB GIRLS HOSTEL'!J973</f>
        <v>10.72</v>
      </c>
      <c r="I23" s="579">
        <f t="shared" si="0"/>
        <v>0</v>
      </c>
      <c r="J23" s="579">
        <f t="shared" ref="J23" si="12">K23-I23</f>
        <v>37702</v>
      </c>
      <c r="K23" s="579">
        <f t="shared" si="1"/>
        <v>37702</v>
      </c>
      <c r="L23" s="821"/>
      <c r="M23" s="820"/>
    </row>
    <row r="24" spans="1:13" ht="20.25">
      <c r="A24" s="60"/>
      <c r="B24" s="666"/>
      <c r="C24" s="279"/>
      <c r="D24" s="280"/>
      <c r="E24" s="571"/>
      <c r="F24" s="281"/>
      <c r="G24" s="282"/>
      <c r="H24" s="282"/>
      <c r="I24" s="579">
        <f t="shared" si="0"/>
        <v>0</v>
      </c>
      <c r="J24" s="579"/>
      <c r="K24" s="579">
        <f t="shared" si="1"/>
        <v>0</v>
      </c>
      <c r="L24" s="821"/>
      <c r="M24" s="820"/>
    </row>
    <row r="25" spans="1:13" s="513" customFormat="1" ht="35.25" customHeight="1">
      <c r="A25" s="64"/>
      <c r="B25" s="1043" t="s">
        <v>158</v>
      </c>
      <c r="C25" s="1044"/>
      <c r="D25" s="1043"/>
      <c r="E25" s="1045"/>
      <c r="F25" s="1046"/>
      <c r="G25" s="1046"/>
      <c r="H25" s="1046"/>
      <c r="I25" s="1047">
        <f>SUM(I7:I24)</f>
        <v>6356799</v>
      </c>
      <c r="J25" s="1047">
        <f>SUM(J7:J24)</f>
        <v>374938</v>
      </c>
      <c r="K25" s="1047">
        <f>SUM(K7:K24)</f>
        <v>6731737</v>
      </c>
      <c r="L25" s="514">
        <f>J25*0.83</f>
        <v>311198.53999999998</v>
      </c>
      <c r="M25" s="820"/>
    </row>
    <row r="26" spans="1:13" s="66" customFormat="1" ht="36" customHeight="1">
      <c r="A26" s="1036"/>
      <c r="B26" s="1037" t="s">
        <v>98</v>
      </c>
      <c r="C26" s="1038"/>
      <c r="D26" s="1039"/>
      <c r="E26" s="1040"/>
      <c r="F26" s="1041"/>
      <c r="G26" s="1041"/>
      <c r="H26" s="1041"/>
      <c r="I26" s="1042">
        <v>0</v>
      </c>
      <c r="J26" s="1042">
        <f t="shared" ref="J26:J44" si="13">K26-I26</f>
        <v>0</v>
      </c>
      <c r="K26" s="1042">
        <f t="shared" si="1"/>
        <v>0</v>
      </c>
      <c r="M26" s="820"/>
    </row>
    <row r="27" spans="1:13" s="66" customFormat="1" ht="94.5" customHeight="1">
      <c r="A27" s="64" t="s">
        <v>2138</v>
      </c>
      <c r="B27" s="61" t="s">
        <v>2139</v>
      </c>
      <c r="C27" s="279" t="s">
        <v>2</v>
      </c>
      <c r="D27" s="280"/>
      <c r="E27" s="1134">
        <v>139</v>
      </c>
      <c r="F27" s="282">
        <v>331.59000000000015</v>
      </c>
      <c r="G27" s="282">
        <f>H27-F27</f>
        <v>0</v>
      </c>
      <c r="H27" s="282">
        <f>'MB GIRLS HOSTEL'!J1088</f>
        <v>331.59000000000015</v>
      </c>
      <c r="I27" s="579">
        <v>54712</v>
      </c>
      <c r="J27" s="579">
        <f t="shared" si="13"/>
        <v>-8621</v>
      </c>
      <c r="K27" s="579">
        <f t="shared" si="1"/>
        <v>46091</v>
      </c>
      <c r="M27" s="820"/>
    </row>
    <row r="28" spans="1:13" s="66" customFormat="1">
      <c r="A28" s="64"/>
      <c r="B28" s="61"/>
      <c r="C28" s="279"/>
      <c r="D28" s="280"/>
      <c r="E28" s="571"/>
      <c r="F28" s="282"/>
      <c r="G28" s="282"/>
      <c r="H28" s="282"/>
      <c r="I28" s="579">
        <f t="shared" ref="I28:I44" si="14">ROUND(F28*E28,0)</f>
        <v>0</v>
      </c>
      <c r="J28" s="579"/>
      <c r="K28" s="579">
        <f t="shared" si="1"/>
        <v>0</v>
      </c>
      <c r="M28" s="820"/>
    </row>
    <row r="29" spans="1:13" s="1031" customFormat="1" ht="95.25" customHeight="1">
      <c r="A29" s="64" t="s">
        <v>1921</v>
      </c>
      <c r="B29" s="314" t="s">
        <v>2159</v>
      </c>
      <c r="C29" s="1029" t="s">
        <v>1</v>
      </c>
      <c r="D29" s="288"/>
      <c r="E29" s="1146">
        <v>58</v>
      </c>
      <c r="F29" s="282">
        <v>0</v>
      </c>
      <c r="G29" s="282">
        <f>H29-F29</f>
        <v>1397.21</v>
      </c>
      <c r="H29" s="1195">
        <f>'MB GIRLS HOSTEL'!J1118</f>
        <v>1397.21</v>
      </c>
      <c r="I29" s="282">
        <f>ROUND(F29*E29,0)</f>
        <v>0</v>
      </c>
      <c r="J29" s="282">
        <f>K29-I29</f>
        <v>81038</v>
      </c>
      <c r="K29" s="579">
        <f t="shared" si="1"/>
        <v>81038</v>
      </c>
      <c r="M29" s="1032"/>
    </row>
    <row r="30" spans="1:13" s="997" customFormat="1" ht="81.75" customHeight="1">
      <c r="A30" s="812" t="s">
        <v>2143</v>
      </c>
      <c r="B30" s="515" t="s">
        <v>2144</v>
      </c>
      <c r="C30" s="967"/>
      <c r="D30" s="967"/>
      <c r="E30" s="968"/>
      <c r="F30" s="818"/>
      <c r="G30" s="818">
        <v>0</v>
      </c>
      <c r="H30" s="818"/>
      <c r="I30" s="818">
        <f t="shared" si="14"/>
        <v>0</v>
      </c>
      <c r="J30" s="818">
        <f t="shared" si="13"/>
        <v>0</v>
      </c>
      <c r="K30" s="579">
        <f t="shared" si="1"/>
        <v>0</v>
      </c>
      <c r="M30" s="970"/>
    </row>
    <row r="31" spans="1:13" s="997" customFormat="1" ht="43.5" customHeight="1">
      <c r="A31" s="812" t="s">
        <v>457</v>
      </c>
      <c r="B31" s="515" t="s">
        <v>2145</v>
      </c>
      <c r="C31" s="967" t="s">
        <v>2146</v>
      </c>
      <c r="D31" s="967">
        <v>1777.4960000000001</v>
      </c>
      <c r="E31" s="968">
        <v>305</v>
      </c>
      <c r="F31" s="818"/>
      <c r="G31" s="818">
        <f>H31-F31</f>
        <v>125.86000000000007</v>
      </c>
      <c r="H31" s="818">
        <f>'MB GIRLS HOSTEL'!J1263</f>
        <v>125.86000000000007</v>
      </c>
      <c r="I31" s="818">
        <f t="shared" ref="I31:I32" si="15">ROUND(F31*E31,0)</f>
        <v>0</v>
      </c>
      <c r="J31" s="818">
        <f t="shared" ref="J31:J32" si="16">K31-I31</f>
        <v>38387</v>
      </c>
      <c r="K31" s="579">
        <f t="shared" si="1"/>
        <v>38387</v>
      </c>
      <c r="M31" s="970"/>
    </row>
    <row r="32" spans="1:13" s="997" customFormat="1" ht="33" customHeight="1">
      <c r="A32" s="812" t="s">
        <v>459</v>
      </c>
      <c r="B32" s="515" t="s">
        <v>2147</v>
      </c>
      <c r="C32" s="967" t="s">
        <v>2146</v>
      </c>
      <c r="D32" s="967">
        <v>444.37400000000002</v>
      </c>
      <c r="E32" s="968">
        <v>451</v>
      </c>
      <c r="F32" s="818"/>
      <c r="G32" s="818">
        <f>H32-F32</f>
        <v>17.059999999999999</v>
      </c>
      <c r="H32" s="818">
        <f>'MB GIRLS HOSTEL'!J1264</f>
        <v>17.059999999999999</v>
      </c>
      <c r="I32" s="818">
        <f t="shared" si="15"/>
        <v>0</v>
      </c>
      <c r="J32" s="818">
        <f t="shared" si="16"/>
        <v>7694</v>
      </c>
      <c r="K32" s="579">
        <f t="shared" si="1"/>
        <v>7694</v>
      </c>
      <c r="M32" s="970"/>
    </row>
    <row r="33" spans="1:14" s="997" customFormat="1" ht="26.25" customHeight="1">
      <c r="A33" s="812" t="s">
        <v>1511</v>
      </c>
      <c r="B33" s="515" t="s">
        <v>2148</v>
      </c>
      <c r="C33" s="967" t="s">
        <v>2146</v>
      </c>
      <c r="D33" s="967">
        <v>259.64999999999998</v>
      </c>
      <c r="E33" s="968"/>
      <c r="F33" s="818"/>
      <c r="G33" s="818"/>
      <c r="H33" s="818"/>
      <c r="I33" s="818"/>
      <c r="J33" s="818"/>
      <c r="K33" s="579">
        <f t="shared" si="1"/>
        <v>0</v>
      </c>
      <c r="M33" s="970"/>
    </row>
    <row r="34" spans="1:14" s="66" customFormat="1" ht="40.5" customHeight="1">
      <c r="A34" s="1147" t="s">
        <v>101</v>
      </c>
      <c r="B34" s="515" t="s">
        <v>8</v>
      </c>
      <c r="C34" s="287" t="s">
        <v>102</v>
      </c>
      <c r="D34" s="512"/>
      <c r="E34" s="571">
        <v>450</v>
      </c>
      <c r="F34" s="282">
        <v>142.92000000000007</v>
      </c>
      <c r="G34" s="282">
        <f>H34-F34</f>
        <v>-142.92000000000007</v>
      </c>
      <c r="H34" s="282">
        <v>0</v>
      </c>
      <c r="I34" s="579">
        <v>51451</v>
      </c>
      <c r="J34" s="579">
        <f>K34-I34</f>
        <v>-51451</v>
      </c>
      <c r="K34" s="579">
        <f t="shared" si="1"/>
        <v>0</v>
      </c>
      <c r="M34" s="820"/>
    </row>
    <row r="35" spans="1:14" s="1031" customFormat="1" ht="90">
      <c r="A35" s="1033" t="s">
        <v>2160</v>
      </c>
      <c r="B35" s="314" t="s">
        <v>2161</v>
      </c>
      <c r="C35" s="1029" t="s">
        <v>1930</v>
      </c>
      <c r="D35" s="288"/>
      <c r="E35" s="1146">
        <v>95</v>
      </c>
      <c r="F35" s="282">
        <v>0</v>
      </c>
      <c r="G35" s="282">
        <f t="shared" ref="G35" si="17">H35-F35</f>
        <v>439.24999999999994</v>
      </c>
      <c r="H35" s="282">
        <f>'MB GIRLS HOSTEL'!J1311</f>
        <v>439.24999999999994</v>
      </c>
      <c r="I35" s="282">
        <f>ROUND(F35*E35,0)</f>
        <v>0</v>
      </c>
      <c r="J35" s="282">
        <f>K35-I35</f>
        <v>41729</v>
      </c>
      <c r="K35" s="579">
        <f t="shared" si="1"/>
        <v>41729</v>
      </c>
      <c r="L35" s="1031">
        <f>100/83*95</f>
        <v>114.45783132530121</v>
      </c>
      <c r="M35" s="1032"/>
    </row>
    <row r="36" spans="1:14" s="1031" customFormat="1" ht="90">
      <c r="A36" s="1033" t="s">
        <v>2101</v>
      </c>
      <c r="B36" s="314" t="s">
        <v>2102</v>
      </c>
      <c r="C36" s="1029" t="s">
        <v>1821</v>
      </c>
      <c r="D36" s="288"/>
      <c r="E36" s="1146">
        <v>159</v>
      </c>
      <c r="F36" s="282">
        <v>0</v>
      </c>
      <c r="G36" s="282">
        <f t="shared" ref="G36" si="18">H36-F36</f>
        <v>576</v>
      </c>
      <c r="H36" s="282">
        <f>'MB GIRLS HOSTEL'!J1338</f>
        <v>576</v>
      </c>
      <c r="I36" s="282">
        <f>ROUND(F36*E36,0)</f>
        <v>0</v>
      </c>
      <c r="J36" s="282">
        <f t="shared" ref="J36" si="19">K36-I36</f>
        <v>91584</v>
      </c>
      <c r="K36" s="579">
        <f t="shared" si="1"/>
        <v>91584</v>
      </c>
      <c r="L36" s="1031">
        <f>100/83*95</f>
        <v>114.45783132530121</v>
      </c>
      <c r="M36" s="1032"/>
    </row>
    <row r="37" spans="1:14" s="66" customFormat="1" ht="81.75" customHeight="1">
      <c r="A37" s="1147" t="s">
        <v>2152</v>
      </c>
      <c r="B37" s="314" t="s">
        <v>725</v>
      </c>
      <c r="C37" s="287" t="s">
        <v>167</v>
      </c>
      <c r="D37" s="279"/>
      <c r="E37" s="1030">
        <v>0</v>
      </c>
      <c r="F37" s="282">
        <v>0</v>
      </c>
      <c r="G37" s="282">
        <f t="shared" ref="G37:G42" si="20">H37-F37</f>
        <v>0</v>
      </c>
      <c r="H37" s="282">
        <f>'MB GIRLS HOSTEL'!J1477</f>
        <v>0</v>
      </c>
      <c r="I37" s="579">
        <f t="shared" si="14"/>
        <v>0</v>
      </c>
      <c r="J37" s="579">
        <f t="shared" si="13"/>
        <v>0</v>
      </c>
      <c r="K37" s="579">
        <f t="shared" si="1"/>
        <v>0</v>
      </c>
      <c r="L37" s="66">
        <f>100/83*1083</f>
        <v>1304.8192771084339</v>
      </c>
      <c r="M37" s="820"/>
    </row>
    <row r="38" spans="1:14" s="66" customFormat="1" ht="50.25" customHeight="1">
      <c r="A38" s="1147" t="s">
        <v>2157</v>
      </c>
      <c r="B38" s="61" t="s">
        <v>2158</v>
      </c>
      <c r="C38" s="287" t="s">
        <v>102</v>
      </c>
      <c r="D38" s="279"/>
      <c r="E38" s="575">
        <v>0</v>
      </c>
      <c r="F38" s="282">
        <v>0</v>
      </c>
      <c r="G38" s="282">
        <f>H38-F38</f>
        <v>0</v>
      </c>
      <c r="H38" s="282">
        <f>'MB GIRLS HOSTEL'!J1552</f>
        <v>0</v>
      </c>
      <c r="I38" s="579">
        <f>ROUND(F38*E38,0)</f>
        <v>0</v>
      </c>
      <c r="J38" s="579">
        <f>K38-I38</f>
        <v>0</v>
      </c>
      <c r="K38" s="579">
        <f t="shared" si="1"/>
        <v>0</v>
      </c>
      <c r="M38" s="820"/>
    </row>
    <row r="39" spans="1:14" s="997" customFormat="1" ht="57" customHeight="1">
      <c r="A39" s="813" t="s">
        <v>2153</v>
      </c>
      <c r="B39" s="522" t="s">
        <v>2156</v>
      </c>
      <c r="C39" s="1003" t="s">
        <v>1990</v>
      </c>
      <c r="D39" s="1001"/>
      <c r="E39" s="1002">
        <v>188.55</v>
      </c>
      <c r="F39" s="818">
        <v>0</v>
      </c>
      <c r="G39" s="818">
        <f t="shared" ref="G39" si="21">H39-F39</f>
        <v>0</v>
      </c>
      <c r="H39" s="818">
        <f>'MB GIRLS HOSTEL'!J1626</f>
        <v>0</v>
      </c>
      <c r="I39" s="818">
        <f>ROUND(F39*E39,0)</f>
        <v>0</v>
      </c>
      <c r="J39" s="818">
        <f t="shared" ref="J39" si="22">K39-I39</f>
        <v>0</v>
      </c>
      <c r="K39" s="579">
        <f t="shared" si="1"/>
        <v>0</v>
      </c>
      <c r="L39" s="997">
        <f>100/83*156.5</f>
        <v>188.5542168674699</v>
      </c>
      <c r="M39" s="970"/>
    </row>
    <row r="40" spans="1:14" s="997" customFormat="1" ht="45.75" customHeight="1">
      <c r="A40" s="813" t="s">
        <v>2155</v>
      </c>
      <c r="B40" s="522" t="s">
        <v>2154</v>
      </c>
      <c r="C40" s="1003" t="s">
        <v>1990</v>
      </c>
      <c r="D40" s="1001"/>
      <c r="E40" s="1002">
        <v>267.39999999999998</v>
      </c>
      <c r="F40" s="818">
        <v>0</v>
      </c>
      <c r="G40" s="818">
        <f t="shared" ref="G40" si="23">H40-F40</f>
        <v>0</v>
      </c>
      <c r="H40" s="818">
        <f>'MB GIRLS HOSTEL'!J1855</f>
        <v>0</v>
      </c>
      <c r="I40" s="818">
        <f>ROUND(F40*E40,0)</f>
        <v>0</v>
      </c>
      <c r="J40" s="818">
        <f t="shared" ref="J40" si="24">K40-I40</f>
        <v>0</v>
      </c>
      <c r="K40" s="579">
        <f t="shared" si="1"/>
        <v>0</v>
      </c>
      <c r="L40" s="997">
        <f>100/83*221.95</f>
        <v>267.40963855421688</v>
      </c>
      <c r="M40" s="970"/>
    </row>
    <row r="41" spans="1:14" s="66" customFormat="1" ht="96.75" customHeight="1">
      <c r="A41" s="64" t="s">
        <v>2125</v>
      </c>
      <c r="B41" s="61" t="s">
        <v>2126</v>
      </c>
      <c r="C41" s="287" t="s">
        <v>102</v>
      </c>
      <c r="D41" s="279"/>
      <c r="E41" s="1148">
        <v>5332</v>
      </c>
      <c r="F41" s="282">
        <v>0</v>
      </c>
      <c r="G41" s="282">
        <f>H41-F41</f>
        <v>53.11</v>
      </c>
      <c r="H41" s="282">
        <f>'MB GIRLS HOSTEL'!J1559</f>
        <v>53.11</v>
      </c>
      <c r="I41" s="579">
        <f>ROUND(F41*E41,0)</f>
        <v>0</v>
      </c>
      <c r="J41" s="579">
        <f>K41-I41</f>
        <v>283183</v>
      </c>
      <c r="K41" s="579">
        <f t="shared" si="1"/>
        <v>283183</v>
      </c>
      <c r="L41" s="66">
        <f>100/83*5332</f>
        <v>6424.0963855421696</v>
      </c>
      <c r="M41" s="820"/>
    </row>
    <row r="42" spans="1:14" s="66" customFormat="1" ht="60.75" customHeight="1">
      <c r="A42" s="64" t="s">
        <v>726</v>
      </c>
      <c r="B42" s="61" t="s">
        <v>597</v>
      </c>
      <c r="C42" s="287" t="s">
        <v>102</v>
      </c>
      <c r="D42" s="279"/>
      <c r="E42" s="575">
        <v>0</v>
      </c>
      <c r="F42" s="282">
        <v>0</v>
      </c>
      <c r="G42" s="282">
        <f t="shared" si="20"/>
        <v>0</v>
      </c>
      <c r="H42" s="282">
        <f>'MB GIRLS HOSTEL'!J1547</f>
        <v>0</v>
      </c>
      <c r="I42" s="579">
        <f t="shared" si="14"/>
        <v>0</v>
      </c>
      <c r="J42" s="579">
        <f t="shared" si="13"/>
        <v>0</v>
      </c>
      <c r="K42" s="579">
        <f t="shared" si="1"/>
        <v>0</v>
      </c>
      <c r="M42" s="820"/>
    </row>
    <row r="43" spans="1:14" ht="33" customHeight="1">
      <c r="A43" s="321" t="s">
        <v>778</v>
      </c>
      <c r="B43" s="63"/>
      <c r="C43" s="283"/>
      <c r="D43" s="284"/>
      <c r="E43" s="572"/>
      <c r="F43" s="282">
        <v>0</v>
      </c>
      <c r="G43" s="282">
        <v>0</v>
      </c>
      <c r="H43" s="282"/>
      <c r="I43" s="579"/>
      <c r="J43" s="579"/>
      <c r="K43" s="579">
        <f t="shared" si="1"/>
        <v>0</v>
      </c>
      <c r="L43" s="821"/>
      <c r="M43" s="820"/>
    </row>
    <row r="44" spans="1:14" ht="57.75" customHeight="1">
      <c r="A44" s="318">
        <v>6</v>
      </c>
      <c r="B44" s="176" t="s">
        <v>2176</v>
      </c>
      <c r="C44" s="320" t="s">
        <v>2</v>
      </c>
      <c r="D44" s="285"/>
      <c r="E44" s="572">
        <v>2111</v>
      </c>
      <c r="F44" s="282">
        <v>209.53999999999996</v>
      </c>
      <c r="G44" s="282">
        <f t="shared" ref="G44" si="25">H44-F44</f>
        <v>0</v>
      </c>
      <c r="H44" s="282">
        <f>'MB GIRLS HOSTEL'!J1885</f>
        <v>209.53999999999996</v>
      </c>
      <c r="I44" s="579">
        <f t="shared" si="14"/>
        <v>442339</v>
      </c>
      <c r="J44" s="579">
        <f t="shared" si="13"/>
        <v>0</v>
      </c>
      <c r="K44" s="579">
        <f t="shared" si="1"/>
        <v>442339</v>
      </c>
      <c r="L44" s="821"/>
      <c r="M44" s="820"/>
    </row>
    <row r="45" spans="1:14">
      <c r="A45" s="1049"/>
      <c r="B45" s="1050"/>
      <c r="C45" s="1051"/>
      <c r="D45" s="288"/>
      <c r="E45" s="574"/>
      <c r="F45" s="290"/>
      <c r="G45" s="290"/>
      <c r="H45" s="290"/>
      <c r="I45" s="1052"/>
      <c r="J45" s="1052"/>
      <c r="K45" s="1052"/>
      <c r="M45" s="820"/>
    </row>
    <row r="46" spans="1:14" s="513" customFormat="1" ht="35.25" customHeight="1">
      <c r="A46" s="1053"/>
      <c r="B46" s="1054" t="s">
        <v>159</v>
      </c>
      <c r="C46" s="1055"/>
      <c r="D46" s="1054"/>
      <c r="E46" s="1056"/>
      <c r="F46" s="1056"/>
      <c r="G46" s="1056"/>
      <c r="H46" s="1056"/>
      <c r="I46" s="1057">
        <f>SUM(I27:I45)</f>
        <v>548502</v>
      </c>
      <c r="J46" s="1057">
        <f>SUM(J27:J45)</f>
        <v>483543</v>
      </c>
      <c r="K46" s="1057">
        <f>SUM(K27:K45)</f>
        <v>1032045</v>
      </c>
      <c r="M46" s="820"/>
    </row>
    <row r="47" spans="1:14" s="513" customFormat="1" ht="39.950000000000003" customHeight="1" thickBot="1">
      <c r="A47" s="789"/>
      <c r="B47" s="789"/>
      <c r="C47" s="790"/>
      <c r="D47" s="789"/>
      <c r="E47" s="791"/>
      <c r="F47" s="791"/>
      <c r="G47" s="792">
        <v>0</v>
      </c>
      <c r="H47" s="584" t="s">
        <v>160</v>
      </c>
      <c r="I47" s="1058">
        <f>I46+I25</f>
        <v>6905301</v>
      </c>
      <c r="J47" s="1058">
        <f>J46+J25</f>
        <v>858481</v>
      </c>
      <c r="K47" s="1058">
        <f>K46+K25</f>
        <v>7763782</v>
      </c>
      <c r="M47" s="1510"/>
      <c r="N47" s="1510"/>
    </row>
    <row r="51" spans="8:10">
      <c r="H51" s="68">
        <f>1521+2099</f>
        <v>3620</v>
      </c>
      <c r="I51" s="68">
        <f>H51*12%</f>
        <v>434.4</v>
      </c>
      <c r="J51" s="68">
        <f>E44*I51</f>
        <v>917018.39999999991</v>
      </c>
    </row>
  </sheetData>
  <mergeCells count="3">
    <mergeCell ref="A4:E4"/>
    <mergeCell ref="F4:K4"/>
    <mergeCell ref="M47:N47"/>
  </mergeCells>
  <printOptions horizontalCentered="1" gridLines="1"/>
  <pageMargins left="0.25" right="0.25" top="1" bottom="0.75" header="0.3" footer="0.3"/>
  <pageSetup paperSize="9" scale="60" orientation="landscape" r:id="rId1"/>
  <headerFooter>
    <oddFooter>&amp;R&amp;P/&amp;N</oddFooter>
  </headerFooter>
  <ignoredErrors>
    <ignoredError sqref="H31 G7:I7 H35 G41:G42 H44 G34 G32 K29 I46"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58"/>
  <sheetViews>
    <sheetView view="pageBreakPreview" zoomScale="70" zoomScaleNormal="80" zoomScaleSheetLayoutView="70" workbookViewId="0">
      <pane ySplit="5" topLeftCell="A47" activePane="bottomLeft" state="frozen"/>
      <selection activeCell="I1849" sqref="I1849"/>
      <selection pane="bottomLeft" activeCell="J57" sqref="J57"/>
    </sheetView>
  </sheetViews>
  <sheetFormatPr defaultColWidth="9.140625" defaultRowHeight="18"/>
  <cols>
    <col min="1" max="1" width="11.7109375" style="54" customWidth="1"/>
    <col min="2" max="2" width="65.85546875" style="54" customWidth="1"/>
    <col min="3" max="3" width="9.28515625" style="54" customWidth="1"/>
    <col min="4" max="4" width="14" style="54" customWidth="1"/>
    <col min="5" max="5" width="11.85546875" style="576" bestFit="1" customWidth="1"/>
    <col min="6" max="8" width="14.7109375" style="68" customWidth="1"/>
    <col min="9" max="10" width="20" style="68" customWidth="1"/>
    <col min="11" max="11" width="19.5703125" style="68" customWidth="1"/>
    <col min="12" max="12" width="30" style="54" customWidth="1"/>
    <col min="13" max="13" width="20.5703125" style="54" customWidth="1"/>
    <col min="14" max="16384" width="9.140625" style="54"/>
  </cols>
  <sheetData>
    <row r="1" spans="1:13" ht="21" thickBot="1">
      <c r="A1" s="771"/>
      <c r="B1" s="773" t="str">
        <f>[115]SUMMARY!B1</f>
        <v>THAPAR UNIVERSITY EXTENSION PROJECT, PATIALA</v>
      </c>
      <c r="C1" s="774"/>
      <c r="D1" s="775"/>
      <c r="E1" s="776"/>
      <c r="F1" s="776"/>
      <c r="G1" s="776"/>
      <c r="H1" s="776"/>
      <c r="I1" s="776"/>
      <c r="J1" s="776"/>
      <c r="K1" s="777"/>
    </row>
    <row r="2" spans="1:13" ht="21" thickBot="1">
      <c r="A2" s="772"/>
      <c r="B2" s="778" t="str">
        <f>' ABS BH'!B2</f>
        <v>M/S. GANNON DUNKERLEY &amp; CO. LTD.</v>
      </c>
      <c r="C2" s="779"/>
      <c r="D2" s="780"/>
      <c r="E2" s="781"/>
      <c r="F2" s="781"/>
      <c r="G2" s="781"/>
      <c r="H2" s="781"/>
      <c r="I2" s="781"/>
      <c r="J2" s="781"/>
      <c r="K2" s="782"/>
    </row>
    <row r="3" spans="1:13" ht="23.25" thickBot="1">
      <c r="A3" s="783" t="str">
        <f>' ABS BH'!A3</f>
        <v>RA Bill-</v>
      </c>
      <c r="B3" s="784" t="str">
        <f>' ABS BH'!B3</f>
        <v>06 (August'2017)</v>
      </c>
      <c r="C3" s="785"/>
      <c r="D3" s="786"/>
      <c r="E3" s="787"/>
      <c r="F3" s="787"/>
      <c r="G3" s="787"/>
      <c r="H3" s="787"/>
      <c r="I3" s="787"/>
      <c r="J3" s="787"/>
      <c r="K3" s="788"/>
    </row>
    <row r="4" spans="1:13" ht="27.75" customHeight="1" thickBot="1">
      <c r="A4" s="1504" t="s">
        <v>90</v>
      </c>
      <c r="B4" s="1505"/>
      <c r="C4" s="1505"/>
      <c r="D4" s="1505"/>
      <c r="E4" s="1506"/>
      <c r="F4" s="1507" t="s">
        <v>799</v>
      </c>
      <c r="G4" s="1508"/>
      <c r="H4" s="1508"/>
      <c r="I4" s="1508"/>
      <c r="J4" s="1508"/>
      <c r="K4" s="1509"/>
    </row>
    <row r="5" spans="1:13" s="293" customFormat="1" ht="61.5" customHeight="1">
      <c r="A5" s="291" t="s">
        <v>3</v>
      </c>
      <c r="B5" s="291" t="s">
        <v>4</v>
      </c>
      <c r="C5" s="291" t="s">
        <v>5</v>
      </c>
      <c r="D5" s="292" t="s">
        <v>803</v>
      </c>
      <c r="E5" s="569" t="s">
        <v>6</v>
      </c>
      <c r="F5" s="292" t="s">
        <v>9</v>
      </c>
      <c r="G5" s="292" t="s">
        <v>10</v>
      </c>
      <c r="H5" s="292" t="s">
        <v>11</v>
      </c>
      <c r="I5" s="577" t="s">
        <v>12</v>
      </c>
      <c r="J5" s="577" t="s">
        <v>10</v>
      </c>
      <c r="K5" s="577" t="s">
        <v>13</v>
      </c>
    </row>
    <row r="6" spans="1:13" s="59" customFormat="1">
      <c r="A6" s="55"/>
      <c r="B6" s="56"/>
      <c r="C6" s="55"/>
      <c r="D6" s="57"/>
      <c r="E6" s="570"/>
      <c r="F6" s="58"/>
      <c r="G6" s="58">
        <v>0</v>
      </c>
      <c r="H6" s="58"/>
      <c r="I6" s="578"/>
      <c r="J6" s="578"/>
      <c r="K6" s="578"/>
    </row>
    <row r="7" spans="1:13" ht="39.950000000000003" customHeight="1">
      <c r="A7" s="317">
        <v>2</v>
      </c>
      <c r="B7" s="62" t="s">
        <v>97</v>
      </c>
      <c r="C7" s="279" t="s">
        <v>2</v>
      </c>
      <c r="D7" s="280">
        <v>14</v>
      </c>
      <c r="E7" s="571">
        <v>7151</v>
      </c>
      <c r="F7" s="282">
        <v>28.949999999999982</v>
      </c>
      <c r="G7" s="282">
        <f>H7-F7</f>
        <v>0</v>
      </c>
      <c r="H7" s="282">
        <f>'MB GIRLS HOSTEL'!J121</f>
        <v>28.949999999999982</v>
      </c>
      <c r="I7" s="579">
        <f>ROUND(F7*E7,0)</f>
        <v>207021</v>
      </c>
      <c r="J7" s="579">
        <f>K7-I7</f>
        <v>0</v>
      </c>
      <c r="K7" s="579">
        <f>ROUND(E7*H7,0)</f>
        <v>207021</v>
      </c>
      <c r="L7" s="820"/>
      <c r="M7" s="820"/>
    </row>
    <row r="8" spans="1:13">
      <c r="A8" s="60"/>
      <c r="B8" s="61"/>
      <c r="C8" s="279"/>
      <c r="D8" s="280"/>
      <c r="E8" s="571"/>
      <c r="F8" s="281"/>
      <c r="G8" s="282">
        <f>H8-F8</f>
        <v>0</v>
      </c>
      <c r="H8" s="282"/>
      <c r="I8" s="579">
        <f t="shared" ref="I8:I22" si="0">ROUND(F8*E8,0)</f>
        <v>0</v>
      </c>
      <c r="J8" s="579">
        <f>K8-I8</f>
        <v>0</v>
      </c>
      <c r="K8" s="579">
        <f>ROUND(E8*H8,0)</f>
        <v>0</v>
      </c>
      <c r="L8" s="820"/>
      <c r="M8" s="820"/>
    </row>
    <row r="9" spans="1:13" ht="39.950000000000003" customHeight="1">
      <c r="A9" s="317">
        <v>2</v>
      </c>
      <c r="B9" s="62" t="s">
        <v>373</v>
      </c>
      <c r="C9" s="279" t="s">
        <v>374</v>
      </c>
      <c r="D9" s="280">
        <v>1.4</v>
      </c>
      <c r="E9" s="571">
        <v>67995</v>
      </c>
      <c r="F9" s="282">
        <v>3.31</v>
      </c>
      <c r="G9" s="282">
        <f>H9-F9</f>
        <v>0</v>
      </c>
      <c r="H9" s="282">
        <f>'MB GIRLS HOSTEL'!J128</f>
        <v>3.31</v>
      </c>
      <c r="I9" s="579">
        <f t="shared" si="0"/>
        <v>225063</v>
      </c>
      <c r="J9" s="579">
        <f>K9-I9</f>
        <v>0</v>
      </c>
      <c r="K9" s="579">
        <f>ROUND(E9*H9,0)</f>
        <v>225063</v>
      </c>
      <c r="L9" s="820"/>
      <c r="M9" s="820"/>
    </row>
    <row r="10" spans="1:13">
      <c r="A10" s="60"/>
      <c r="B10" s="62"/>
      <c r="C10" s="279"/>
      <c r="D10" s="280"/>
      <c r="E10" s="571"/>
      <c r="F10" s="282"/>
      <c r="G10" s="282">
        <f>H10-F10</f>
        <v>0</v>
      </c>
      <c r="H10" s="282"/>
      <c r="I10" s="579">
        <f t="shared" si="0"/>
        <v>0</v>
      </c>
      <c r="J10" s="579"/>
      <c r="K10" s="579"/>
      <c r="L10" s="820"/>
      <c r="M10" s="820"/>
    </row>
    <row r="11" spans="1:13" ht="39.950000000000003" customHeight="1">
      <c r="A11" s="317">
        <v>3</v>
      </c>
      <c r="B11" s="61" t="s">
        <v>759</v>
      </c>
      <c r="C11" s="279" t="s">
        <v>2</v>
      </c>
      <c r="D11" s="280">
        <v>136</v>
      </c>
      <c r="E11" s="571">
        <v>4719</v>
      </c>
      <c r="F11" s="281">
        <v>151.62999999999997</v>
      </c>
      <c r="G11" s="282">
        <f>H11-F11</f>
        <v>0</v>
      </c>
      <c r="H11" s="282">
        <f>'MB GIRLS HOSTEL'!J259</f>
        <v>151.62999999999997</v>
      </c>
      <c r="I11" s="579">
        <f t="shared" si="0"/>
        <v>715542</v>
      </c>
      <c r="J11" s="579">
        <f>K11-I11</f>
        <v>0</v>
      </c>
      <c r="K11" s="579">
        <f>ROUND(E11*H11,0)</f>
        <v>715542</v>
      </c>
      <c r="L11" s="820"/>
      <c r="M11" s="820"/>
    </row>
    <row r="12" spans="1:13">
      <c r="A12" s="60"/>
      <c r="B12" s="61"/>
      <c r="C12" s="279"/>
      <c r="D12" s="280"/>
      <c r="E12" s="571"/>
      <c r="F12" s="282"/>
      <c r="G12" s="282"/>
      <c r="H12" s="282"/>
      <c r="I12" s="579">
        <f t="shared" si="0"/>
        <v>0</v>
      </c>
      <c r="J12" s="579"/>
      <c r="K12" s="579"/>
      <c r="L12" s="820"/>
      <c r="M12" s="820"/>
    </row>
    <row r="13" spans="1:13" ht="39.950000000000003" customHeight="1">
      <c r="A13" s="317">
        <v>4</v>
      </c>
      <c r="B13" s="61" t="s">
        <v>760</v>
      </c>
      <c r="C13" s="279" t="s">
        <v>2</v>
      </c>
      <c r="D13" s="280">
        <v>68</v>
      </c>
      <c r="E13" s="571">
        <v>6154</v>
      </c>
      <c r="F13" s="281">
        <v>122.93000000000006</v>
      </c>
      <c r="G13" s="282">
        <f t="shared" ref="G13" si="1">H13-F13</f>
        <v>0</v>
      </c>
      <c r="H13" s="282">
        <f>'MB GIRLS HOSTEL'!J536</f>
        <v>122.93000000000006</v>
      </c>
      <c r="I13" s="579">
        <f t="shared" si="0"/>
        <v>756511</v>
      </c>
      <c r="J13" s="579">
        <f t="shared" ref="J13" si="2">K13-I13</f>
        <v>0</v>
      </c>
      <c r="K13" s="579">
        <f t="shared" ref="K13" si="3">ROUND(E13*H13,0)</f>
        <v>756511</v>
      </c>
      <c r="L13" s="820"/>
      <c r="M13" s="820"/>
    </row>
    <row r="14" spans="1:13">
      <c r="A14" s="317"/>
      <c r="B14" s="61"/>
      <c r="C14" s="279"/>
      <c r="D14" s="280"/>
      <c r="E14" s="571"/>
      <c r="F14" s="281"/>
      <c r="G14" s="282"/>
      <c r="H14" s="282"/>
      <c r="I14" s="579">
        <f t="shared" si="0"/>
        <v>0</v>
      </c>
      <c r="J14" s="579"/>
      <c r="K14" s="579"/>
      <c r="L14" s="820"/>
      <c r="M14" s="820"/>
    </row>
    <row r="15" spans="1:13" ht="39.950000000000003" customHeight="1">
      <c r="A15" s="317">
        <v>5</v>
      </c>
      <c r="B15" s="61" t="s">
        <v>1066</v>
      </c>
      <c r="C15" s="279" t="s">
        <v>1</v>
      </c>
      <c r="D15" s="280">
        <v>55</v>
      </c>
      <c r="E15" s="571">
        <v>1114</v>
      </c>
      <c r="F15" s="281">
        <v>135.54</v>
      </c>
      <c r="G15" s="282">
        <f t="shared" ref="G15" si="4">H15-F15</f>
        <v>0</v>
      </c>
      <c r="H15" s="282">
        <f>'MB GIRLS HOSTEL'!J562</f>
        <v>135.54</v>
      </c>
      <c r="I15" s="579">
        <f t="shared" si="0"/>
        <v>150992</v>
      </c>
      <c r="J15" s="579">
        <f t="shared" ref="J15" si="5">K15-I15</f>
        <v>0</v>
      </c>
      <c r="K15" s="579">
        <f t="shared" ref="K15" si="6">ROUND(E15*H15,0)</f>
        <v>150992</v>
      </c>
      <c r="L15" s="820"/>
      <c r="M15" s="820"/>
    </row>
    <row r="16" spans="1:13">
      <c r="A16" s="60"/>
      <c r="B16" s="61"/>
      <c r="C16" s="279"/>
      <c r="D16" s="280"/>
      <c r="E16" s="571"/>
      <c r="F16" s="282"/>
      <c r="G16" s="282"/>
      <c r="H16" s="282"/>
      <c r="I16" s="579">
        <f t="shared" si="0"/>
        <v>0</v>
      </c>
      <c r="J16" s="579"/>
      <c r="K16" s="579"/>
      <c r="L16" s="820"/>
      <c r="M16" s="820"/>
    </row>
    <row r="17" spans="1:13" ht="39.950000000000003" customHeight="1">
      <c r="A17" s="60">
        <v>1.1000000000000001</v>
      </c>
      <c r="B17" s="61" t="s">
        <v>1248</v>
      </c>
      <c r="C17" s="279" t="s">
        <v>1</v>
      </c>
      <c r="D17" s="280">
        <v>458</v>
      </c>
      <c r="E17" s="1048">
        <v>1406</v>
      </c>
      <c r="F17" s="281">
        <v>466.46400800000038</v>
      </c>
      <c r="G17" s="282">
        <f t="shared" ref="G17" si="7">H17-F17</f>
        <v>2.3859919999999875</v>
      </c>
      <c r="H17" s="282">
        <f>'MB GIRLS HOSTEL'!J679</f>
        <v>468.85000000000036</v>
      </c>
      <c r="I17" s="579">
        <v>623196</v>
      </c>
      <c r="J17" s="579">
        <f t="shared" ref="J17" si="8">K17-I17</f>
        <v>36007</v>
      </c>
      <c r="K17" s="579">
        <f t="shared" ref="K17" si="9">ROUND(E17*H17,0)</f>
        <v>659203</v>
      </c>
      <c r="L17" s="820"/>
      <c r="M17" s="820"/>
    </row>
    <row r="18" spans="1:13">
      <c r="A18" s="60"/>
      <c r="B18" s="61"/>
      <c r="C18" s="279"/>
      <c r="D18" s="280"/>
      <c r="E18" s="571"/>
      <c r="F18" s="282"/>
      <c r="G18" s="282"/>
      <c r="H18" s="282"/>
      <c r="I18" s="579">
        <f t="shared" si="0"/>
        <v>0</v>
      </c>
      <c r="J18" s="579"/>
      <c r="K18" s="579"/>
      <c r="L18" s="820"/>
      <c r="M18" s="820"/>
    </row>
    <row r="19" spans="1:13" ht="39.950000000000003" customHeight="1">
      <c r="A19" s="60">
        <v>1.2</v>
      </c>
      <c r="B19" s="61" t="s">
        <v>1245</v>
      </c>
      <c r="C19" s="279" t="s">
        <v>1</v>
      </c>
      <c r="D19" s="280">
        <v>686</v>
      </c>
      <c r="E19" s="1048">
        <v>3517</v>
      </c>
      <c r="F19" s="281">
        <v>750.69999999999993</v>
      </c>
      <c r="G19" s="282">
        <f t="shared" ref="G19" si="10">H19-F19</f>
        <v>0</v>
      </c>
      <c r="H19" s="282">
        <f>'MB GIRLS HOSTEL'!J804</f>
        <v>750.6999999999997</v>
      </c>
      <c r="I19" s="579">
        <v>2508089</v>
      </c>
      <c r="J19" s="579">
        <f t="shared" ref="J19" si="11">K19-I19</f>
        <v>132123</v>
      </c>
      <c r="K19" s="579">
        <f t="shared" ref="K19" si="12">ROUND(E19*H19,0)</f>
        <v>2640212</v>
      </c>
      <c r="L19" s="820"/>
      <c r="M19" s="820"/>
    </row>
    <row r="20" spans="1:13">
      <c r="A20" s="60"/>
      <c r="B20" s="61"/>
      <c r="C20" s="279"/>
      <c r="D20" s="280"/>
      <c r="E20" s="571"/>
      <c r="F20" s="282"/>
      <c r="G20" s="282"/>
      <c r="H20" s="282"/>
      <c r="I20" s="579">
        <f t="shared" si="0"/>
        <v>0</v>
      </c>
      <c r="J20" s="579"/>
      <c r="K20" s="579"/>
      <c r="L20" s="820"/>
      <c r="M20" s="820"/>
    </row>
    <row r="21" spans="1:13" ht="39.950000000000003" customHeight="1">
      <c r="A21" s="60">
        <v>1.3</v>
      </c>
      <c r="B21" s="61" t="s">
        <v>1246</v>
      </c>
      <c r="C21" s="279" t="s">
        <v>1</v>
      </c>
      <c r="D21" s="280">
        <v>198</v>
      </c>
      <c r="E21" s="1048">
        <v>3165</v>
      </c>
      <c r="F21" s="281">
        <v>389.22000000000008</v>
      </c>
      <c r="G21" s="282">
        <f t="shared" ref="G21:G23" si="13">H21-F21</f>
        <v>34.000000000000057</v>
      </c>
      <c r="H21" s="282">
        <f>'MB GIRLS HOSTEL'!J961</f>
        <v>423.22000000000014</v>
      </c>
      <c r="I21" s="579">
        <v>1170385</v>
      </c>
      <c r="J21" s="579">
        <f t="shared" ref="J21" si="14">K21-I21</f>
        <v>169106</v>
      </c>
      <c r="K21" s="579">
        <f t="shared" ref="K21" si="15">ROUND(E21*H21,0)</f>
        <v>1339491</v>
      </c>
      <c r="L21" s="821"/>
      <c r="M21" s="820"/>
    </row>
    <row r="22" spans="1:13" ht="20.25">
      <c r="A22" s="60"/>
      <c r="B22" s="666"/>
      <c r="C22" s="279"/>
      <c r="D22" s="280"/>
      <c r="E22" s="571"/>
      <c r="F22" s="281"/>
      <c r="G22" s="282"/>
      <c r="H22" s="282"/>
      <c r="I22" s="579">
        <f t="shared" si="0"/>
        <v>0</v>
      </c>
      <c r="J22" s="579"/>
      <c r="K22" s="579"/>
      <c r="L22" s="821"/>
      <c r="M22" s="820"/>
    </row>
    <row r="23" spans="1:13" ht="39.950000000000003" customHeight="1">
      <c r="A23" s="60">
        <v>1.6</v>
      </c>
      <c r="B23" s="61" t="s">
        <v>1443</v>
      </c>
      <c r="C23" s="279" t="s">
        <v>1</v>
      </c>
      <c r="D23" s="280">
        <v>1.44</v>
      </c>
      <c r="E23" s="1048">
        <v>3517</v>
      </c>
      <c r="F23" s="281"/>
      <c r="G23" s="282">
        <f t="shared" si="13"/>
        <v>10.72</v>
      </c>
      <c r="H23" s="282">
        <f>'MB GIRLS HOSTEL'!J973</f>
        <v>10.72</v>
      </c>
      <c r="I23" s="579">
        <f t="shared" ref="I23:I24" si="16">ROUND(F23*E23,0)</f>
        <v>0</v>
      </c>
      <c r="J23" s="579">
        <f t="shared" ref="J23" si="17">K23-I23</f>
        <v>37702</v>
      </c>
      <c r="K23" s="579">
        <f t="shared" ref="K23" si="18">ROUND(E23*H23,0)</f>
        <v>37702</v>
      </c>
      <c r="L23" s="821"/>
      <c r="M23" s="820"/>
    </row>
    <row r="24" spans="1:13" ht="20.25">
      <c r="A24" s="60"/>
      <c r="B24" s="666"/>
      <c r="C24" s="279"/>
      <c r="D24" s="280"/>
      <c r="E24" s="571"/>
      <c r="F24" s="281"/>
      <c r="G24" s="282"/>
      <c r="H24" s="282"/>
      <c r="I24" s="579">
        <f t="shared" si="16"/>
        <v>0</v>
      </c>
      <c r="J24" s="579"/>
      <c r="K24" s="579"/>
      <c r="L24" s="821"/>
      <c r="M24" s="820"/>
    </row>
    <row r="25" spans="1:13" s="513" customFormat="1" ht="35.25" customHeight="1">
      <c r="A25" s="64"/>
      <c r="B25" s="1043" t="s">
        <v>158</v>
      </c>
      <c r="C25" s="1044"/>
      <c r="D25" s="1043"/>
      <c r="E25" s="1045"/>
      <c r="F25" s="1046"/>
      <c r="G25" s="1046"/>
      <c r="H25" s="1046"/>
      <c r="I25" s="1047">
        <f>SUM(I7:I24)</f>
        <v>6356799</v>
      </c>
      <c r="J25" s="1047">
        <f>SUM(J7:J24)</f>
        <v>374938</v>
      </c>
      <c r="K25" s="1047">
        <f>SUM(K7:K24)</f>
        <v>6731737</v>
      </c>
      <c r="L25" s="514">
        <f>J25*0.83</f>
        <v>311198.53999999998</v>
      </c>
      <c r="M25" s="820"/>
    </row>
    <row r="26" spans="1:13" s="66" customFormat="1">
      <c r="A26" s="1036"/>
      <c r="B26" s="1037" t="s">
        <v>98</v>
      </c>
      <c r="C26" s="1038"/>
      <c r="D26" s="1039"/>
      <c r="E26" s="1040"/>
      <c r="F26" s="1041"/>
      <c r="G26" s="1041"/>
      <c r="H26" s="1041"/>
      <c r="I26" s="1042">
        <v>0</v>
      </c>
      <c r="J26" s="1042">
        <f t="shared" ref="J26:J56" si="19">K26-I26</f>
        <v>0</v>
      </c>
      <c r="K26" s="1042">
        <f t="shared" ref="K26:K56" si="20">ROUND(E26*H26,0)</f>
        <v>0</v>
      </c>
      <c r="M26" s="820"/>
    </row>
    <row r="27" spans="1:13" s="66" customFormat="1" ht="39.950000000000003" customHeight="1">
      <c r="A27" s="64"/>
      <c r="B27" s="61" t="s">
        <v>99</v>
      </c>
      <c r="C27" s="286"/>
      <c r="D27" s="279"/>
      <c r="E27" s="573"/>
      <c r="F27" s="282"/>
      <c r="G27" s="282"/>
      <c r="H27" s="282"/>
      <c r="I27" s="579">
        <v>0</v>
      </c>
      <c r="J27" s="579">
        <f t="shared" si="19"/>
        <v>0</v>
      </c>
      <c r="K27" s="579">
        <f t="shared" si="20"/>
        <v>0</v>
      </c>
      <c r="M27" s="820"/>
    </row>
    <row r="28" spans="1:13" s="66" customFormat="1" ht="39.950000000000003" customHeight="1">
      <c r="A28" s="64" t="s">
        <v>1914</v>
      </c>
      <c r="B28" s="61" t="s">
        <v>7</v>
      </c>
      <c r="C28" s="279" t="s">
        <v>2</v>
      </c>
      <c r="D28" s="280"/>
      <c r="E28" s="1061">
        <v>139</v>
      </c>
      <c r="F28" s="282">
        <v>331.59000000000015</v>
      </c>
      <c r="G28" s="282">
        <f>H28-F28</f>
        <v>0</v>
      </c>
      <c r="H28" s="282">
        <f>'MB GIRLS HOSTEL'!J1088</f>
        <v>331.59000000000015</v>
      </c>
      <c r="I28" s="579">
        <v>54712</v>
      </c>
      <c r="J28" s="579">
        <f t="shared" si="19"/>
        <v>-8621</v>
      </c>
      <c r="K28" s="579">
        <f t="shared" si="20"/>
        <v>46091</v>
      </c>
      <c r="M28" s="820"/>
    </row>
    <row r="29" spans="1:13" s="66" customFormat="1">
      <c r="A29" s="64"/>
      <c r="B29" s="61"/>
      <c r="C29" s="279"/>
      <c r="D29" s="280"/>
      <c r="E29" s="571"/>
      <c r="F29" s="282"/>
      <c r="G29" s="282"/>
      <c r="H29" s="282"/>
      <c r="I29" s="579">
        <f t="shared" ref="I29:I56" si="21">ROUND(F29*E29,0)</f>
        <v>0</v>
      </c>
      <c r="J29" s="579"/>
      <c r="K29" s="579"/>
      <c r="M29" s="820"/>
    </row>
    <row r="30" spans="1:13" s="66" customFormat="1" ht="39.950000000000003" customHeight="1">
      <c r="A30" s="64"/>
      <c r="B30" s="61" t="s">
        <v>100</v>
      </c>
      <c r="C30" s="279"/>
      <c r="D30" s="279"/>
      <c r="E30" s="573"/>
      <c r="F30" s="282"/>
      <c r="G30" s="282"/>
      <c r="H30" s="282"/>
      <c r="I30" s="579">
        <f t="shared" si="21"/>
        <v>0</v>
      </c>
      <c r="J30" s="579">
        <f t="shared" si="19"/>
        <v>0</v>
      </c>
      <c r="K30" s="579">
        <f t="shared" si="20"/>
        <v>0</v>
      </c>
      <c r="M30" s="820"/>
    </row>
    <row r="31" spans="1:13" s="66" customFormat="1">
      <c r="A31" s="64" t="s">
        <v>101</v>
      </c>
      <c r="B31" s="515" t="s">
        <v>8</v>
      </c>
      <c r="C31" s="287" t="s">
        <v>102</v>
      </c>
      <c r="D31" s="512"/>
      <c r="E31" s="571">
        <v>450</v>
      </c>
      <c r="F31" s="282">
        <v>142.92000000000007</v>
      </c>
      <c r="G31" s="282">
        <f t="shared" ref="G31:G37" si="22">H31-F31</f>
        <v>0</v>
      </c>
      <c r="H31" s="282">
        <f>'MB GIRLS HOSTEL'!J1262</f>
        <v>142.92000000000007</v>
      </c>
      <c r="I31" s="579">
        <v>51451</v>
      </c>
      <c r="J31" s="579">
        <f t="shared" si="19"/>
        <v>12863</v>
      </c>
      <c r="K31" s="579">
        <f t="shared" si="20"/>
        <v>64314</v>
      </c>
      <c r="M31" s="820"/>
    </row>
    <row r="32" spans="1:13" s="66" customFormat="1">
      <c r="A32" s="64"/>
      <c r="B32" s="67"/>
      <c r="C32" s="286"/>
      <c r="D32" s="279"/>
      <c r="E32" s="573"/>
      <c r="F32" s="282">
        <v>0</v>
      </c>
      <c r="G32" s="282">
        <f t="shared" si="22"/>
        <v>0</v>
      </c>
      <c r="H32" s="282"/>
      <c r="I32" s="579">
        <f t="shared" si="21"/>
        <v>0</v>
      </c>
      <c r="J32" s="579">
        <f t="shared" si="19"/>
        <v>0</v>
      </c>
      <c r="K32" s="579">
        <f t="shared" si="20"/>
        <v>0</v>
      </c>
      <c r="M32" s="820"/>
    </row>
    <row r="33" spans="1:13" s="1031" customFormat="1" ht="58.5" customHeight="1">
      <c r="A33" s="64" t="s">
        <v>1921</v>
      </c>
      <c r="B33" s="314" t="s">
        <v>1922</v>
      </c>
      <c r="C33" s="1029" t="s">
        <v>1</v>
      </c>
      <c r="D33" s="288"/>
      <c r="E33" s="1083">
        <v>58</v>
      </c>
      <c r="F33" s="282">
        <v>0</v>
      </c>
      <c r="G33" s="282">
        <f t="shared" si="22"/>
        <v>1397.21</v>
      </c>
      <c r="H33" s="282">
        <f>'MB GIRLS HOSTEL'!J1118</f>
        <v>1397.21</v>
      </c>
      <c r="I33" s="282">
        <f t="shared" si="21"/>
        <v>0</v>
      </c>
      <c r="J33" s="282">
        <f t="shared" si="19"/>
        <v>81038</v>
      </c>
      <c r="K33" s="282">
        <f t="shared" si="20"/>
        <v>81038</v>
      </c>
      <c r="M33" s="1032"/>
    </row>
    <row r="34" spans="1:13" s="997" customFormat="1" ht="16.5">
      <c r="A34" s="813"/>
      <c r="B34" s="522"/>
      <c r="C34" s="1003"/>
      <c r="D34" s="1001"/>
      <c r="E34" s="1002"/>
      <c r="F34" s="818"/>
      <c r="G34" s="818"/>
      <c r="H34" s="818"/>
      <c r="I34" s="818">
        <f t="shared" si="21"/>
        <v>0</v>
      </c>
      <c r="J34" s="818"/>
      <c r="K34" s="818"/>
      <c r="M34" s="970"/>
    </row>
    <row r="35" spans="1:13" s="66" customFormat="1" ht="66.75" customHeight="1">
      <c r="A35" s="64" t="s">
        <v>596</v>
      </c>
      <c r="B35" s="314" t="s">
        <v>725</v>
      </c>
      <c r="C35" s="287" t="s">
        <v>167</v>
      </c>
      <c r="D35" s="279"/>
      <c r="E35" s="1030">
        <v>1304</v>
      </c>
      <c r="F35" s="282">
        <v>0</v>
      </c>
      <c r="G35" s="282">
        <f t="shared" si="22"/>
        <v>0</v>
      </c>
      <c r="H35" s="282">
        <f>'MB GIRLS HOSTEL'!J1477</f>
        <v>0</v>
      </c>
      <c r="I35" s="579">
        <f t="shared" si="21"/>
        <v>0</v>
      </c>
      <c r="J35" s="579">
        <f t="shared" si="19"/>
        <v>0</v>
      </c>
      <c r="K35" s="579">
        <f t="shared" si="20"/>
        <v>0</v>
      </c>
      <c r="L35" s="66">
        <f>100/83*1083</f>
        <v>1304.8192771084339</v>
      </c>
      <c r="M35" s="820"/>
    </row>
    <row r="36" spans="1:13" s="66" customFormat="1">
      <c r="A36" s="224"/>
      <c r="B36" s="225"/>
      <c r="C36" s="289"/>
      <c r="D36" s="288"/>
      <c r="E36" s="575"/>
      <c r="F36" s="290"/>
      <c r="G36" s="290"/>
      <c r="H36" s="290"/>
      <c r="I36" s="579">
        <f t="shared" si="21"/>
        <v>0</v>
      </c>
      <c r="J36" s="579">
        <f t="shared" si="19"/>
        <v>0</v>
      </c>
      <c r="K36" s="579">
        <f t="shared" si="20"/>
        <v>0</v>
      </c>
      <c r="M36" s="820"/>
    </row>
    <row r="37" spans="1:13" s="66" customFormat="1" ht="39.950000000000003" customHeight="1">
      <c r="A37" s="64" t="s">
        <v>726</v>
      </c>
      <c r="B37" s="61" t="s">
        <v>597</v>
      </c>
      <c r="C37" s="287" t="s">
        <v>102</v>
      </c>
      <c r="D37" s="279"/>
      <c r="E37" s="575">
        <f>600*20%</f>
        <v>120</v>
      </c>
      <c r="F37" s="282">
        <v>0</v>
      </c>
      <c r="G37" s="282">
        <f t="shared" si="22"/>
        <v>0</v>
      </c>
      <c r="H37" s="282">
        <f>'MB GIRLS HOSTEL'!J1547</f>
        <v>0</v>
      </c>
      <c r="I37" s="579">
        <f t="shared" si="21"/>
        <v>0</v>
      </c>
      <c r="J37" s="579">
        <f t="shared" si="19"/>
        <v>0</v>
      </c>
      <c r="K37" s="579">
        <f t="shared" si="20"/>
        <v>0</v>
      </c>
      <c r="M37" s="820"/>
    </row>
    <row r="38" spans="1:13" s="66" customFormat="1">
      <c r="A38" s="224"/>
      <c r="B38" s="225"/>
      <c r="C38" s="289"/>
      <c r="D38" s="288"/>
      <c r="E38" s="575"/>
      <c r="F38" s="290"/>
      <c r="G38" s="290"/>
      <c r="H38" s="290"/>
      <c r="I38" s="579">
        <f t="shared" si="21"/>
        <v>0</v>
      </c>
      <c r="J38" s="579">
        <f t="shared" ref="J38:J55" si="23">K38-I38</f>
        <v>0</v>
      </c>
      <c r="K38" s="579">
        <f t="shared" ref="K38:K55" si="24">ROUND(E38*H38,0)</f>
        <v>0</v>
      </c>
      <c r="M38" s="820"/>
    </row>
    <row r="39" spans="1:13" s="66" customFormat="1" ht="39.950000000000003" customHeight="1">
      <c r="A39" s="1125" t="s">
        <v>2157</v>
      </c>
      <c r="B39" s="61" t="s">
        <v>2158</v>
      </c>
      <c r="C39" s="287" t="s">
        <v>102</v>
      </c>
      <c r="D39" s="279"/>
      <c r="E39" s="575">
        <v>0</v>
      </c>
      <c r="F39" s="282">
        <v>0</v>
      </c>
      <c r="G39" s="282">
        <f t="shared" ref="G39:G55" si="25">H39-F39</f>
        <v>0</v>
      </c>
      <c r="H39" s="282">
        <f>'MB GIRLS HOSTEL'!J1552</f>
        <v>0</v>
      </c>
      <c r="I39" s="579">
        <f t="shared" si="21"/>
        <v>0</v>
      </c>
      <c r="J39" s="579">
        <f t="shared" si="23"/>
        <v>0</v>
      </c>
      <c r="K39" s="579">
        <f t="shared" si="24"/>
        <v>0</v>
      </c>
      <c r="M39" s="820"/>
    </row>
    <row r="40" spans="1:13" s="66" customFormat="1">
      <c r="A40" s="224"/>
      <c r="B40" s="225"/>
      <c r="C40" s="289"/>
      <c r="D40" s="288"/>
      <c r="E40" s="575"/>
      <c r="F40" s="290"/>
      <c r="G40" s="290"/>
      <c r="H40" s="290"/>
      <c r="I40" s="579">
        <f t="shared" ref="I40:I45" si="26">ROUND(F40*E40,0)</f>
        <v>0</v>
      </c>
      <c r="J40" s="579">
        <f t="shared" ref="J40:J42" si="27">K40-I40</f>
        <v>0</v>
      </c>
      <c r="K40" s="579">
        <f t="shared" ref="K40:K42" si="28">ROUND(E40*H40,0)</f>
        <v>0</v>
      </c>
      <c r="M40" s="820"/>
    </row>
    <row r="41" spans="1:13" s="66" customFormat="1" ht="39.950000000000003" customHeight="1">
      <c r="A41" s="64" t="s">
        <v>2125</v>
      </c>
      <c r="B41" s="61" t="s">
        <v>2126</v>
      </c>
      <c r="C41" s="287" t="s">
        <v>102</v>
      </c>
      <c r="D41" s="279"/>
      <c r="E41" s="1117">
        <v>5332</v>
      </c>
      <c r="F41" s="282">
        <v>0</v>
      </c>
      <c r="G41" s="282">
        <f t="shared" ref="G41:G42" si="29">H41-F41</f>
        <v>53.11</v>
      </c>
      <c r="H41" s="282">
        <f>'MB GIRLS HOSTEL'!J1559</f>
        <v>53.11</v>
      </c>
      <c r="I41" s="579">
        <f t="shared" si="26"/>
        <v>0</v>
      </c>
      <c r="J41" s="579">
        <f t="shared" si="27"/>
        <v>283183</v>
      </c>
      <c r="K41" s="579">
        <f t="shared" si="28"/>
        <v>283183</v>
      </c>
      <c r="L41" s="66">
        <f>100/83*5332</f>
        <v>6424.0963855421696</v>
      </c>
      <c r="M41" s="820"/>
    </row>
    <row r="42" spans="1:13" s="1031" customFormat="1">
      <c r="A42" s="1033" t="s">
        <v>1988</v>
      </c>
      <c r="B42" s="314" t="s">
        <v>1929</v>
      </c>
      <c r="C42" s="1029" t="s">
        <v>1930</v>
      </c>
      <c r="D42" s="288"/>
      <c r="E42" s="1083">
        <v>95</v>
      </c>
      <c r="F42" s="282">
        <v>0</v>
      </c>
      <c r="G42" s="282">
        <f t="shared" si="29"/>
        <v>439.24999999999994</v>
      </c>
      <c r="H42" s="282">
        <f>'MB GIRLS HOSTEL'!J1311</f>
        <v>439.24999999999994</v>
      </c>
      <c r="I42" s="282">
        <f t="shared" si="26"/>
        <v>0</v>
      </c>
      <c r="J42" s="282">
        <f t="shared" si="27"/>
        <v>41729</v>
      </c>
      <c r="K42" s="282">
        <f t="shared" si="28"/>
        <v>41729</v>
      </c>
      <c r="L42" s="1031">
        <f>100/83*95</f>
        <v>114.45783132530121</v>
      </c>
      <c r="M42" s="1032"/>
    </row>
    <row r="43" spans="1:13" s="1031" customFormat="1">
      <c r="A43" s="1033"/>
      <c r="B43" s="314"/>
      <c r="C43" s="1029"/>
      <c r="D43" s="288"/>
      <c r="E43" s="1030"/>
      <c r="F43" s="282"/>
      <c r="G43" s="282"/>
      <c r="H43" s="282"/>
      <c r="I43" s="282">
        <f t="shared" si="26"/>
        <v>0</v>
      </c>
      <c r="J43" s="282"/>
      <c r="K43" s="282"/>
      <c r="M43" s="1032"/>
    </row>
    <row r="44" spans="1:13" s="1031" customFormat="1">
      <c r="A44" s="1033" t="s">
        <v>2020</v>
      </c>
      <c r="B44" s="314" t="s">
        <v>1961</v>
      </c>
      <c r="C44" s="1029" t="s">
        <v>1930</v>
      </c>
      <c r="D44" s="288"/>
      <c r="E44" s="1083">
        <v>95</v>
      </c>
      <c r="F44" s="282">
        <v>0</v>
      </c>
      <c r="G44" s="282" t="e">
        <f t="shared" ref="G44" si="30">H44-F44</f>
        <v>#REF!</v>
      </c>
      <c r="H44" s="282" t="e">
        <f>'MB GIRLS HOSTEL'!#REF!</f>
        <v>#REF!</v>
      </c>
      <c r="I44" s="282">
        <f t="shared" si="26"/>
        <v>0</v>
      </c>
      <c r="J44" s="282" t="e">
        <f t="shared" ref="J44" si="31">K44-I44</f>
        <v>#REF!</v>
      </c>
      <c r="K44" s="282" t="e">
        <f t="shared" ref="K44" si="32">ROUND(E44*H44,0)</f>
        <v>#REF!</v>
      </c>
      <c r="L44" s="1031">
        <f>100/83*95</f>
        <v>114.45783132530121</v>
      </c>
      <c r="M44" s="1032"/>
    </row>
    <row r="45" spans="1:13" s="997" customFormat="1" ht="16.5">
      <c r="A45" s="813"/>
      <c r="B45" s="522"/>
      <c r="C45" s="1003"/>
      <c r="D45" s="1001"/>
      <c r="E45" s="1002"/>
      <c r="F45" s="818"/>
      <c r="G45" s="818"/>
      <c r="H45" s="818"/>
      <c r="I45" s="818">
        <f t="shared" si="26"/>
        <v>0</v>
      </c>
      <c r="J45" s="818"/>
      <c r="K45" s="818"/>
      <c r="M45" s="970"/>
    </row>
    <row r="46" spans="1:13" s="1031" customFormat="1" ht="90">
      <c r="A46" s="1033" t="s">
        <v>2101</v>
      </c>
      <c r="B46" s="314" t="s">
        <v>2102</v>
      </c>
      <c r="C46" s="1029" t="s">
        <v>1821</v>
      </c>
      <c r="D46" s="288"/>
      <c r="E46" s="1083">
        <v>299.27999999999997</v>
      </c>
      <c r="F46" s="282">
        <v>0</v>
      </c>
      <c r="G46" s="282">
        <f t="shared" ref="G46" si="33">H46-F46</f>
        <v>576</v>
      </c>
      <c r="H46" s="282">
        <f>'MB GIRLS HOSTEL'!J1338</f>
        <v>576</v>
      </c>
      <c r="I46" s="282">
        <f t="shared" ref="I46:I49" si="34">ROUND(F46*E46,0)</f>
        <v>0</v>
      </c>
      <c r="J46" s="282">
        <f t="shared" ref="J46" si="35">K46-I46</f>
        <v>172385</v>
      </c>
      <c r="K46" s="282">
        <f t="shared" ref="K46" si="36">ROUND(E46*H46,0)</f>
        <v>172385</v>
      </c>
      <c r="L46" s="1031">
        <f>100/83*95</f>
        <v>114.45783132530121</v>
      </c>
      <c r="M46" s="1032"/>
    </row>
    <row r="47" spans="1:13" s="997" customFormat="1" ht="16.5">
      <c r="A47" s="813"/>
      <c r="B47" s="522"/>
      <c r="C47" s="1003"/>
      <c r="D47" s="1001"/>
      <c r="E47" s="1002"/>
      <c r="F47" s="818"/>
      <c r="G47" s="818"/>
      <c r="H47" s="818"/>
      <c r="I47" s="818">
        <f t="shared" si="34"/>
        <v>0</v>
      </c>
      <c r="J47" s="818"/>
      <c r="K47" s="818"/>
      <c r="M47" s="970"/>
    </row>
    <row r="48" spans="1:13" s="997" customFormat="1" ht="16.5">
      <c r="A48" s="813" t="s">
        <v>2021</v>
      </c>
      <c r="B48" s="522" t="s">
        <v>1989</v>
      </c>
      <c r="C48" s="1003" t="s">
        <v>1990</v>
      </c>
      <c r="D48" s="1001"/>
      <c r="E48" s="1002">
        <v>188.55</v>
      </c>
      <c r="F48" s="818">
        <v>0</v>
      </c>
      <c r="G48" s="818">
        <f t="shared" ref="G48" si="37">H48-F48</f>
        <v>0</v>
      </c>
      <c r="H48" s="818">
        <f>'MB GIRLS HOSTEL'!J1626</f>
        <v>0</v>
      </c>
      <c r="I48" s="818">
        <f t="shared" si="34"/>
        <v>0</v>
      </c>
      <c r="J48" s="818">
        <f t="shared" ref="J48" si="38">K48-I48</f>
        <v>0</v>
      </c>
      <c r="K48" s="818">
        <f t="shared" ref="K48" si="39">ROUND(E48*H48,0)</f>
        <v>0</v>
      </c>
      <c r="L48" s="997">
        <f>100/83*156.5</f>
        <v>188.5542168674699</v>
      </c>
      <c r="M48" s="970"/>
    </row>
    <row r="49" spans="1:14" s="997" customFormat="1" ht="16.5">
      <c r="A49" s="813"/>
      <c r="B49" s="522"/>
      <c r="C49" s="1003"/>
      <c r="D49" s="1001"/>
      <c r="E49" s="1002"/>
      <c r="F49" s="818"/>
      <c r="G49" s="818"/>
      <c r="H49" s="818"/>
      <c r="I49" s="818">
        <f t="shared" si="34"/>
        <v>0</v>
      </c>
      <c r="J49" s="818"/>
      <c r="K49" s="818"/>
      <c r="M49" s="970"/>
    </row>
    <row r="50" spans="1:14" s="997" customFormat="1" ht="33">
      <c r="A50" s="813" t="s">
        <v>2129</v>
      </c>
      <c r="B50" s="522" t="s">
        <v>2127</v>
      </c>
      <c r="C50" s="1003" t="s">
        <v>1990</v>
      </c>
      <c r="D50" s="1001"/>
      <c r="E50" s="1002">
        <v>844.4</v>
      </c>
      <c r="F50" s="818">
        <v>0</v>
      </c>
      <c r="G50" s="818">
        <f t="shared" ref="G50" si="40">H50-F50</f>
        <v>0</v>
      </c>
      <c r="H50" s="818">
        <f>'MB GIRLS HOSTEL'!J1788</f>
        <v>0</v>
      </c>
      <c r="I50" s="818">
        <f t="shared" ref="I50:I53" si="41">ROUND(F50*E50,0)</f>
        <v>0</v>
      </c>
      <c r="J50" s="818">
        <f t="shared" ref="J50" si="42">K50-I50</f>
        <v>0</v>
      </c>
      <c r="K50" s="818">
        <f t="shared" ref="K50" si="43">ROUND(E50*H50,0)</f>
        <v>0</v>
      </c>
      <c r="L50" s="997">
        <f>100/83*700.92</f>
        <v>844.48192771084337</v>
      </c>
      <c r="M50" s="970"/>
    </row>
    <row r="51" spans="1:14" s="997" customFormat="1" ht="16.5">
      <c r="A51" s="813"/>
      <c r="B51" s="522"/>
      <c r="C51" s="1003"/>
      <c r="D51" s="1001"/>
      <c r="E51" s="1002"/>
      <c r="F51" s="818"/>
      <c r="G51" s="818"/>
      <c r="H51" s="818"/>
      <c r="I51" s="818">
        <f t="shared" si="41"/>
        <v>0</v>
      </c>
      <c r="J51" s="818"/>
      <c r="K51" s="818"/>
      <c r="M51" s="970"/>
    </row>
    <row r="52" spans="1:14" s="997" customFormat="1" ht="33">
      <c r="A52" s="813" t="s">
        <v>2019</v>
      </c>
      <c r="B52" s="522" t="s">
        <v>2018</v>
      </c>
      <c r="C52" s="1003" t="s">
        <v>1990</v>
      </c>
      <c r="D52" s="1001"/>
      <c r="E52" s="1002">
        <v>267.39999999999998</v>
      </c>
      <c r="F52" s="818">
        <v>0</v>
      </c>
      <c r="G52" s="818">
        <f t="shared" ref="G52" si="44">H52-F52</f>
        <v>0</v>
      </c>
      <c r="H52" s="818">
        <f>'MB GIRLS HOSTEL'!J1855</f>
        <v>0</v>
      </c>
      <c r="I52" s="818">
        <f t="shared" si="41"/>
        <v>0</v>
      </c>
      <c r="J52" s="818">
        <f t="shared" ref="J52" si="45">K52-I52</f>
        <v>0</v>
      </c>
      <c r="K52" s="818">
        <f t="shared" ref="K52" si="46">ROUND(E52*H52,0)</f>
        <v>0</v>
      </c>
      <c r="L52" s="997">
        <f>100/83*221.95</f>
        <v>267.40963855421688</v>
      </c>
      <c r="M52" s="970"/>
    </row>
    <row r="53" spans="1:14" s="997" customFormat="1" ht="16.5">
      <c r="A53" s="813"/>
      <c r="B53" s="522"/>
      <c r="C53" s="1003"/>
      <c r="D53" s="1001"/>
      <c r="E53" s="1002"/>
      <c r="F53" s="818"/>
      <c r="G53" s="818"/>
      <c r="H53" s="818"/>
      <c r="I53" s="818">
        <f t="shared" si="41"/>
        <v>0</v>
      </c>
      <c r="J53" s="818"/>
      <c r="K53" s="818"/>
      <c r="M53" s="970"/>
    </row>
    <row r="54" spans="1:14">
      <c r="A54" s="321" t="s">
        <v>778</v>
      </c>
      <c r="B54" s="63"/>
      <c r="C54" s="283"/>
      <c r="D54" s="284"/>
      <c r="E54" s="572"/>
      <c r="F54" s="282">
        <v>0</v>
      </c>
      <c r="G54" s="282">
        <v>0</v>
      </c>
      <c r="H54" s="282"/>
      <c r="I54" s="579"/>
      <c r="J54" s="579"/>
      <c r="K54" s="579"/>
      <c r="L54" s="821"/>
      <c r="M54" s="820"/>
    </row>
    <row r="55" spans="1:14" ht="57.75" customHeight="1">
      <c r="A55" s="318">
        <v>6</v>
      </c>
      <c r="B55" s="176" t="s">
        <v>317</v>
      </c>
      <c r="C55" s="320" t="s">
        <v>2</v>
      </c>
      <c r="D55" s="285"/>
      <c r="E55" s="572">
        <v>2111</v>
      </c>
      <c r="F55" s="282">
        <v>209.53999999999996</v>
      </c>
      <c r="G55" s="282">
        <f t="shared" si="25"/>
        <v>0</v>
      </c>
      <c r="H55" s="282">
        <f>'MB GIRLS HOSTEL'!J1885</f>
        <v>209.53999999999996</v>
      </c>
      <c r="I55" s="579">
        <f t="shared" si="21"/>
        <v>442339</v>
      </c>
      <c r="J55" s="579">
        <f t="shared" si="23"/>
        <v>0</v>
      </c>
      <c r="K55" s="579">
        <f t="shared" si="24"/>
        <v>442339</v>
      </c>
      <c r="L55" s="821"/>
      <c r="M55" s="820"/>
    </row>
    <row r="56" spans="1:14">
      <c r="A56" s="1049"/>
      <c r="B56" s="1050"/>
      <c r="C56" s="1051"/>
      <c r="D56" s="288"/>
      <c r="E56" s="574"/>
      <c r="F56" s="290"/>
      <c r="G56" s="290"/>
      <c r="H56" s="290"/>
      <c r="I56" s="1052">
        <f t="shared" si="21"/>
        <v>0</v>
      </c>
      <c r="J56" s="1052">
        <f t="shared" si="19"/>
        <v>0</v>
      </c>
      <c r="K56" s="1052">
        <f t="shared" si="20"/>
        <v>0</v>
      </c>
      <c r="M56" s="820"/>
    </row>
    <row r="57" spans="1:14" s="513" customFormat="1" ht="35.25" customHeight="1">
      <c r="A57" s="1053"/>
      <c r="B57" s="1054" t="s">
        <v>159</v>
      </c>
      <c r="C57" s="1055"/>
      <c r="D57" s="1054"/>
      <c r="E57" s="1056"/>
      <c r="F57" s="1056"/>
      <c r="G57" s="1056"/>
      <c r="H57" s="1056"/>
      <c r="I57" s="1057">
        <f>SUM(I26:I56)</f>
        <v>548502</v>
      </c>
      <c r="J57" s="1057" t="e">
        <f>SUM(J26:J56)</f>
        <v>#REF!</v>
      </c>
      <c r="K57" s="1057" t="e">
        <f>SUM(K26:K56)</f>
        <v>#REF!</v>
      </c>
      <c r="M57" s="820"/>
    </row>
    <row r="58" spans="1:14" s="513" customFormat="1" ht="39.950000000000003" customHeight="1" thickBot="1">
      <c r="A58" s="789"/>
      <c r="B58" s="789"/>
      <c r="C58" s="790"/>
      <c r="D58" s="789"/>
      <c r="E58" s="791"/>
      <c r="F58" s="791"/>
      <c r="G58" s="792">
        <v>0</v>
      </c>
      <c r="H58" s="584" t="s">
        <v>160</v>
      </c>
      <c r="I58" s="1058">
        <f>I57+I25</f>
        <v>6905301</v>
      </c>
      <c r="J58" s="1058" t="e">
        <f>J57+J25</f>
        <v>#REF!</v>
      </c>
      <c r="K58" s="1058" t="e">
        <f>K57+K25</f>
        <v>#REF!</v>
      </c>
      <c r="M58" s="1510"/>
      <c r="N58" s="1510"/>
    </row>
  </sheetData>
  <mergeCells count="3">
    <mergeCell ref="A4:E4"/>
    <mergeCell ref="F4:K4"/>
    <mergeCell ref="M58:N58"/>
  </mergeCells>
  <printOptions horizontalCentered="1" gridLines="1"/>
  <pageMargins left="0.25" right="0.25" top="1" bottom="0.75" header="0.3" footer="0.3"/>
  <pageSetup paperSize="9" scale="60" orientation="landscape" r:id="rId1"/>
  <headerFooter>
    <oddFooter>&amp;R&amp;P/&amp;N</oddFooter>
  </headerFooter>
  <ignoredErrors>
    <ignoredError sqref="H7 I55"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P9068"/>
  <sheetViews>
    <sheetView showZeros="0" view="pageBreakPreview" zoomScaleNormal="85" zoomScaleSheetLayoutView="100" workbookViewId="0">
      <pane ySplit="5" topLeftCell="A4578" activePane="bottomLeft" state="frozen"/>
      <selection activeCell="I1849" sqref="I1849"/>
      <selection pane="bottomLeft" activeCell="J4883" sqref="J4883"/>
    </sheetView>
  </sheetViews>
  <sheetFormatPr defaultRowHeight="17.25" outlineLevelRow="1"/>
  <cols>
    <col min="1" max="1" width="13.140625" style="414" customWidth="1"/>
    <col min="2" max="2" width="47.85546875" style="425" customWidth="1"/>
    <col min="3" max="3" width="7.28515625" style="414" bestFit="1" customWidth="1"/>
    <col min="4" max="4" width="6.42578125" style="437" bestFit="1" customWidth="1"/>
    <col min="5" max="5" width="7.28515625" style="414" bestFit="1" customWidth="1"/>
    <col min="6" max="8" width="10.7109375" style="486" customWidth="1"/>
    <col min="9" max="9" width="12.85546875" style="477" bestFit="1" customWidth="1"/>
    <col min="10" max="10" width="14.5703125" style="478" customWidth="1"/>
    <col min="11" max="11" width="27.42578125" style="367" customWidth="1"/>
    <col min="12" max="12" width="17.140625" style="169" bestFit="1" customWidth="1"/>
    <col min="13" max="13" width="14.85546875" style="169" customWidth="1"/>
    <col min="14" max="14" width="13.140625" style="169" bestFit="1" customWidth="1"/>
    <col min="15" max="243" width="9.140625" style="170"/>
    <col min="244" max="244" width="14.85546875" style="170" customWidth="1"/>
    <col min="245" max="245" width="52.28515625" style="170" bestFit="1" customWidth="1"/>
    <col min="246" max="246" width="7.7109375" style="170" customWidth="1"/>
    <col min="247" max="247" width="8" style="170" customWidth="1"/>
    <col min="248" max="248" width="8.85546875" style="170" customWidth="1"/>
    <col min="249" max="249" width="8.140625" style="170" customWidth="1"/>
    <col min="250" max="250" width="8.28515625" style="170" customWidth="1"/>
    <col min="251" max="251" width="10.42578125" style="170" customWidth="1"/>
    <col min="252" max="252" width="11" style="170" customWidth="1"/>
    <col min="253" max="253" width="27.28515625" style="170" customWidth="1"/>
    <col min="254" max="257" width="9.140625" style="170" customWidth="1"/>
    <col min="258" max="499" width="9.140625" style="170"/>
    <col min="500" max="500" width="14.85546875" style="170" customWidth="1"/>
    <col min="501" max="501" width="52.28515625" style="170" bestFit="1" customWidth="1"/>
    <col min="502" max="502" width="7.7109375" style="170" customWidth="1"/>
    <col min="503" max="503" width="8" style="170" customWidth="1"/>
    <col min="504" max="504" width="8.85546875" style="170" customWidth="1"/>
    <col min="505" max="505" width="8.140625" style="170" customWidth="1"/>
    <col min="506" max="506" width="8.28515625" style="170" customWidth="1"/>
    <col min="507" max="507" width="10.42578125" style="170" customWidth="1"/>
    <col min="508" max="508" width="11" style="170" customWidth="1"/>
    <col min="509" max="509" width="27.28515625" style="170" customWidth="1"/>
    <col min="510" max="513" width="9.140625" style="170" customWidth="1"/>
    <col min="514" max="755" width="9.140625" style="170"/>
    <col min="756" max="756" width="14.85546875" style="170" customWidth="1"/>
    <col min="757" max="757" width="52.28515625" style="170" bestFit="1" customWidth="1"/>
    <col min="758" max="758" width="7.7109375" style="170" customWidth="1"/>
    <col min="759" max="759" width="8" style="170" customWidth="1"/>
    <col min="760" max="760" width="8.85546875" style="170" customWidth="1"/>
    <col min="761" max="761" width="8.140625" style="170" customWidth="1"/>
    <col min="762" max="762" width="8.28515625" style="170" customWidth="1"/>
    <col min="763" max="763" width="10.42578125" style="170" customWidth="1"/>
    <col min="764" max="764" width="11" style="170" customWidth="1"/>
    <col min="765" max="765" width="27.28515625" style="170" customWidth="1"/>
    <col min="766" max="769" width="9.140625" style="170" customWidth="1"/>
    <col min="770" max="1011" width="9.140625" style="170"/>
    <col min="1012" max="1012" width="14.85546875" style="170" customWidth="1"/>
    <col min="1013" max="1013" width="52.28515625" style="170" bestFit="1" customWidth="1"/>
    <col min="1014" max="1014" width="7.7109375" style="170" customWidth="1"/>
    <col min="1015" max="1015" width="8" style="170" customWidth="1"/>
    <col min="1016" max="1016" width="8.85546875" style="170" customWidth="1"/>
    <col min="1017" max="1017" width="8.140625" style="170" customWidth="1"/>
    <col min="1018" max="1018" width="8.28515625" style="170" customWidth="1"/>
    <col min="1019" max="1019" width="10.42578125" style="170" customWidth="1"/>
    <col min="1020" max="1020" width="11" style="170" customWidth="1"/>
    <col min="1021" max="1021" width="27.28515625" style="170" customWidth="1"/>
    <col min="1022" max="1025" width="9.140625" style="170" customWidth="1"/>
    <col min="1026" max="1267" width="9.140625" style="170"/>
    <col min="1268" max="1268" width="14.85546875" style="170" customWidth="1"/>
    <col min="1269" max="1269" width="52.28515625" style="170" bestFit="1" customWidth="1"/>
    <col min="1270" max="1270" width="7.7109375" style="170" customWidth="1"/>
    <col min="1271" max="1271" width="8" style="170" customWidth="1"/>
    <col min="1272" max="1272" width="8.85546875" style="170" customWidth="1"/>
    <col min="1273" max="1273" width="8.140625" style="170" customWidth="1"/>
    <col min="1274" max="1274" width="8.28515625" style="170" customWidth="1"/>
    <col min="1275" max="1275" width="10.42578125" style="170" customWidth="1"/>
    <col min="1276" max="1276" width="11" style="170" customWidth="1"/>
    <col min="1277" max="1277" width="27.28515625" style="170" customWidth="1"/>
    <col min="1278" max="1281" width="9.140625" style="170" customWidth="1"/>
    <col min="1282" max="1523" width="9.140625" style="170"/>
    <col min="1524" max="1524" width="14.85546875" style="170" customWidth="1"/>
    <col min="1525" max="1525" width="52.28515625" style="170" bestFit="1" customWidth="1"/>
    <col min="1526" max="1526" width="7.7109375" style="170" customWidth="1"/>
    <col min="1527" max="1527" width="8" style="170" customWidth="1"/>
    <col min="1528" max="1528" width="8.85546875" style="170" customWidth="1"/>
    <col min="1529" max="1529" width="8.140625" style="170" customWidth="1"/>
    <col min="1530" max="1530" width="8.28515625" style="170" customWidth="1"/>
    <col min="1531" max="1531" width="10.42578125" style="170" customWidth="1"/>
    <col min="1532" max="1532" width="11" style="170" customWidth="1"/>
    <col min="1533" max="1533" width="27.28515625" style="170" customWidth="1"/>
    <col min="1534" max="1537" width="9.140625" style="170" customWidth="1"/>
    <col min="1538" max="1779" width="9.140625" style="170"/>
    <col min="1780" max="1780" width="14.85546875" style="170" customWidth="1"/>
    <col min="1781" max="1781" width="52.28515625" style="170" bestFit="1" customWidth="1"/>
    <col min="1782" max="1782" width="7.7109375" style="170" customWidth="1"/>
    <col min="1783" max="1783" width="8" style="170" customWidth="1"/>
    <col min="1784" max="1784" width="8.85546875" style="170" customWidth="1"/>
    <col min="1785" max="1785" width="8.140625" style="170" customWidth="1"/>
    <col min="1786" max="1786" width="8.28515625" style="170" customWidth="1"/>
    <col min="1787" max="1787" width="10.42578125" style="170" customWidth="1"/>
    <col min="1788" max="1788" width="11" style="170" customWidth="1"/>
    <col min="1789" max="1789" width="27.28515625" style="170" customWidth="1"/>
    <col min="1790" max="1793" width="9.140625" style="170" customWidth="1"/>
    <col min="1794" max="2035" width="9.140625" style="170"/>
    <col min="2036" max="2036" width="14.85546875" style="170" customWidth="1"/>
    <col min="2037" max="2037" width="52.28515625" style="170" bestFit="1" customWidth="1"/>
    <col min="2038" max="2038" width="7.7109375" style="170" customWidth="1"/>
    <col min="2039" max="2039" width="8" style="170" customWidth="1"/>
    <col min="2040" max="2040" width="8.85546875" style="170" customWidth="1"/>
    <col min="2041" max="2041" width="8.140625" style="170" customWidth="1"/>
    <col min="2042" max="2042" width="8.28515625" style="170" customWidth="1"/>
    <col min="2043" max="2043" width="10.42578125" style="170" customWidth="1"/>
    <col min="2044" max="2044" width="11" style="170" customWidth="1"/>
    <col min="2045" max="2045" width="27.28515625" style="170" customWidth="1"/>
    <col min="2046" max="2049" width="9.140625" style="170" customWidth="1"/>
    <col min="2050" max="2291" width="9.140625" style="170"/>
    <col min="2292" max="2292" width="14.85546875" style="170" customWidth="1"/>
    <col min="2293" max="2293" width="52.28515625" style="170" bestFit="1" customWidth="1"/>
    <col min="2294" max="2294" width="7.7109375" style="170" customWidth="1"/>
    <col min="2295" max="2295" width="8" style="170" customWidth="1"/>
    <col min="2296" max="2296" width="8.85546875" style="170" customWidth="1"/>
    <col min="2297" max="2297" width="8.140625" style="170" customWidth="1"/>
    <col min="2298" max="2298" width="8.28515625" style="170" customWidth="1"/>
    <col min="2299" max="2299" width="10.42578125" style="170" customWidth="1"/>
    <col min="2300" max="2300" width="11" style="170" customWidth="1"/>
    <col min="2301" max="2301" width="27.28515625" style="170" customWidth="1"/>
    <col min="2302" max="2305" width="9.140625" style="170" customWidth="1"/>
    <col min="2306" max="2547" width="9.140625" style="170"/>
    <col min="2548" max="2548" width="14.85546875" style="170" customWidth="1"/>
    <col min="2549" max="2549" width="52.28515625" style="170" bestFit="1" customWidth="1"/>
    <col min="2550" max="2550" width="7.7109375" style="170" customWidth="1"/>
    <col min="2551" max="2551" width="8" style="170" customWidth="1"/>
    <col min="2552" max="2552" width="8.85546875" style="170" customWidth="1"/>
    <col min="2553" max="2553" width="8.140625" style="170" customWidth="1"/>
    <col min="2554" max="2554" width="8.28515625" style="170" customWidth="1"/>
    <col min="2555" max="2555" width="10.42578125" style="170" customWidth="1"/>
    <col min="2556" max="2556" width="11" style="170" customWidth="1"/>
    <col min="2557" max="2557" width="27.28515625" style="170" customWidth="1"/>
    <col min="2558" max="2561" width="9.140625" style="170" customWidth="1"/>
    <col min="2562" max="2803" width="9.140625" style="170"/>
    <col min="2804" max="2804" width="14.85546875" style="170" customWidth="1"/>
    <col min="2805" max="2805" width="52.28515625" style="170" bestFit="1" customWidth="1"/>
    <col min="2806" max="2806" width="7.7109375" style="170" customWidth="1"/>
    <col min="2807" max="2807" width="8" style="170" customWidth="1"/>
    <col min="2808" max="2808" width="8.85546875" style="170" customWidth="1"/>
    <col min="2809" max="2809" width="8.140625" style="170" customWidth="1"/>
    <col min="2810" max="2810" width="8.28515625" style="170" customWidth="1"/>
    <col min="2811" max="2811" width="10.42578125" style="170" customWidth="1"/>
    <col min="2812" max="2812" width="11" style="170" customWidth="1"/>
    <col min="2813" max="2813" width="27.28515625" style="170" customWidth="1"/>
    <col min="2814" max="2817" width="9.140625" style="170" customWidth="1"/>
    <col min="2818" max="3059" width="9.140625" style="170"/>
    <col min="3060" max="3060" width="14.85546875" style="170" customWidth="1"/>
    <col min="3061" max="3061" width="52.28515625" style="170" bestFit="1" customWidth="1"/>
    <col min="3062" max="3062" width="7.7109375" style="170" customWidth="1"/>
    <col min="3063" max="3063" width="8" style="170" customWidth="1"/>
    <col min="3064" max="3064" width="8.85546875" style="170" customWidth="1"/>
    <col min="3065" max="3065" width="8.140625" style="170" customWidth="1"/>
    <col min="3066" max="3066" width="8.28515625" style="170" customWidth="1"/>
    <col min="3067" max="3067" width="10.42578125" style="170" customWidth="1"/>
    <col min="3068" max="3068" width="11" style="170" customWidth="1"/>
    <col min="3069" max="3069" width="27.28515625" style="170" customWidth="1"/>
    <col min="3070" max="3073" width="9.140625" style="170" customWidth="1"/>
    <col min="3074" max="3315" width="9.140625" style="170"/>
    <col min="3316" max="3316" width="14.85546875" style="170" customWidth="1"/>
    <col min="3317" max="3317" width="52.28515625" style="170" bestFit="1" customWidth="1"/>
    <col min="3318" max="3318" width="7.7109375" style="170" customWidth="1"/>
    <col min="3319" max="3319" width="8" style="170" customWidth="1"/>
    <col min="3320" max="3320" width="8.85546875" style="170" customWidth="1"/>
    <col min="3321" max="3321" width="8.140625" style="170" customWidth="1"/>
    <col min="3322" max="3322" width="8.28515625" style="170" customWidth="1"/>
    <col min="3323" max="3323" width="10.42578125" style="170" customWidth="1"/>
    <col min="3324" max="3324" width="11" style="170" customWidth="1"/>
    <col min="3325" max="3325" width="27.28515625" style="170" customWidth="1"/>
    <col min="3326" max="3329" width="9.140625" style="170" customWidth="1"/>
    <col min="3330" max="3571" width="9.140625" style="170"/>
    <col min="3572" max="3572" width="14.85546875" style="170" customWidth="1"/>
    <col min="3573" max="3573" width="52.28515625" style="170" bestFit="1" customWidth="1"/>
    <col min="3574" max="3574" width="7.7109375" style="170" customWidth="1"/>
    <col min="3575" max="3575" width="8" style="170" customWidth="1"/>
    <col min="3576" max="3576" width="8.85546875" style="170" customWidth="1"/>
    <col min="3577" max="3577" width="8.140625" style="170" customWidth="1"/>
    <col min="3578" max="3578" width="8.28515625" style="170" customWidth="1"/>
    <col min="3579" max="3579" width="10.42578125" style="170" customWidth="1"/>
    <col min="3580" max="3580" width="11" style="170" customWidth="1"/>
    <col min="3581" max="3581" width="27.28515625" style="170" customWidth="1"/>
    <col min="3582" max="3585" width="9.140625" style="170" customWidth="1"/>
    <col min="3586" max="3827" width="9.140625" style="170"/>
    <col min="3828" max="3828" width="14.85546875" style="170" customWidth="1"/>
    <col min="3829" max="3829" width="52.28515625" style="170" bestFit="1" customWidth="1"/>
    <col min="3830" max="3830" width="7.7109375" style="170" customWidth="1"/>
    <col min="3831" max="3831" width="8" style="170" customWidth="1"/>
    <col min="3832" max="3832" width="8.85546875" style="170" customWidth="1"/>
    <col min="3833" max="3833" width="8.140625" style="170" customWidth="1"/>
    <col min="3834" max="3834" width="8.28515625" style="170" customWidth="1"/>
    <col min="3835" max="3835" width="10.42578125" style="170" customWidth="1"/>
    <col min="3836" max="3836" width="11" style="170" customWidth="1"/>
    <col min="3837" max="3837" width="27.28515625" style="170" customWidth="1"/>
    <col min="3838" max="3841" width="9.140625" style="170" customWidth="1"/>
    <col min="3842" max="4083" width="9.140625" style="170"/>
    <col min="4084" max="4084" width="14.85546875" style="170" customWidth="1"/>
    <col min="4085" max="4085" width="52.28515625" style="170" bestFit="1" customWidth="1"/>
    <col min="4086" max="4086" width="7.7109375" style="170" customWidth="1"/>
    <col min="4087" max="4087" width="8" style="170" customWidth="1"/>
    <col min="4088" max="4088" width="8.85546875" style="170" customWidth="1"/>
    <col min="4089" max="4089" width="8.140625" style="170" customWidth="1"/>
    <col min="4090" max="4090" width="8.28515625" style="170" customWidth="1"/>
    <col min="4091" max="4091" width="10.42578125" style="170" customWidth="1"/>
    <col min="4092" max="4092" width="11" style="170" customWidth="1"/>
    <col min="4093" max="4093" width="27.28515625" style="170" customWidth="1"/>
    <col min="4094" max="4097" width="9.140625" style="170" customWidth="1"/>
    <col min="4098" max="4339" width="9.140625" style="170"/>
    <col min="4340" max="4340" width="14.85546875" style="170" customWidth="1"/>
    <col min="4341" max="4341" width="52.28515625" style="170" bestFit="1" customWidth="1"/>
    <col min="4342" max="4342" width="7.7109375" style="170" customWidth="1"/>
    <col min="4343" max="4343" width="8" style="170" customWidth="1"/>
    <col min="4344" max="4344" width="8.85546875" style="170" customWidth="1"/>
    <col min="4345" max="4345" width="8.140625" style="170" customWidth="1"/>
    <col min="4346" max="4346" width="8.28515625" style="170" customWidth="1"/>
    <col min="4347" max="4347" width="10.42578125" style="170" customWidth="1"/>
    <col min="4348" max="4348" width="11" style="170" customWidth="1"/>
    <col min="4349" max="4349" width="27.28515625" style="170" customWidth="1"/>
    <col min="4350" max="4353" width="9.140625" style="170" customWidth="1"/>
    <col min="4354" max="4595" width="9.140625" style="170"/>
    <col min="4596" max="4596" width="14.85546875" style="170" customWidth="1"/>
    <col min="4597" max="4597" width="52.28515625" style="170" bestFit="1" customWidth="1"/>
    <col min="4598" max="4598" width="7.7109375" style="170" customWidth="1"/>
    <col min="4599" max="4599" width="8" style="170" customWidth="1"/>
    <col min="4600" max="4600" width="8.85546875" style="170" customWidth="1"/>
    <col min="4601" max="4601" width="8.140625" style="170" customWidth="1"/>
    <col min="4602" max="4602" width="8.28515625" style="170" customWidth="1"/>
    <col min="4603" max="4603" width="10.42578125" style="170" customWidth="1"/>
    <col min="4604" max="4604" width="11" style="170" customWidth="1"/>
    <col min="4605" max="4605" width="27.28515625" style="170" customWidth="1"/>
    <col min="4606" max="4609" width="9.140625" style="170" customWidth="1"/>
    <col min="4610" max="4851" width="9.140625" style="170"/>
    <col min="4852" max="4852" width="14.85546875" style="170" customWidth="1"/>
    <col min="4853" max="4853" width="52.28515625" style="170" bestFit="1" customWidth="1"/>
    <col min="4854" max="4854" width="7.7109375" style="170" customWidth="1"/>
    <col min="4855" max="4855" width="8" style="170" customWidth="1"/>
    <col min="4856" max="4856" width="8.85546875" style="170" customWidth="1"/>
    <col min="4857" max="4857" width="8.140625" style="170" customWidth="1"/>
    <col min="4858" max="4858" width="8.28515625" style="170" customWidth="1"/>
    <col min="4859" max="4859" width="10.42578125" style="170" customWidth="1"/>
    <col min="4860" max="4860" width="11" style="170" customWidth="1"/>
    <col min="4861" max="4861" width="27.28515625" style="170" customWidth="1"/>
    <col min="4862" max="4865" width="9.140625" style="170" customWidth="1"/>
    <col min="4866" max="5107" width="9.140625" style="170"/>
    <col min="5108" max="5108" width="14.85546875" style="170" customWidth="1"/>
    <col min="5109" max="5109" width="52.28515625" style="170" bestFit="1" customWidth="1"/>
    <col min="5110" max="5110" width="7.7109375" style="170" customWidth="1"/>
    <col min="5111" max="5111" width="8" style="170" customWidth="1"/>
    <col min="5112" max="5112" width="8.85546875" style="170" customWidth="1"/>
    <col min="5113" max="5113" width="8.140625" style="170" customWidth="1"/>
    <col min="5114" max="5114" width="8.28515625" style="170" customWidth="1"/>
    <col min="5115" max="5115" width="10.42578125" style="170" customWidth="1"/>
    <col min="5116" max="5116" width="11" style="170" customWidth="1"/>
    <col min="5117" max="5117" width="27.28515625" style="170" customWidth="1"/>
    <col min="5118" max="5121" width="9.140625" style="170" customWidth="1"/>
    <col min="5122" max="5363" width="9.140625" style="170"/>
    <col min="5364" max="5364" width="14.85546875" style="170" customWidth="1"/>
    <col min="5365" max="5365" width="52.28515625" style="170" bestFit="1" customWidth="1"/>
    <col min="5366" max="5366" width="7.7109375" style="170" customWidth="1"/>
    <col min="5367" max="5367" width="8" style="170" customWidth="1"/>
    <col min="5368" max="5368" width="8.85546875" style="170" customWidth="1"/>
    <col min="5369" max="5369" width="8.140625" style="170" customWidth="1"/>
    <col min="5370" max="5370" width="8.28515625" style="170" customWidth="1"/>
    <col min="5371" max="5371" width="10.42578125" style="170" customWidth="1"/>
    <col min="5372" max="5372" width="11" style="170" customWidth="1"/>
    <col min="5373" max="5373" width="27.28515625" style="170" customWidth="1"/>
    <col min="5374" max="5377" width="9.140625" style="170" customWidth="1"/>
    <col min="5378" max="5619" width="9.140625" style="170"/>
    <col min="5620" max="5620" width="14.85546875" style="170" customWidth="1"/>
    <col min="5621" max="5621" width="52.28515625" style="170" bestFit="1" customWidth="1"/>
    <col min="5622" max="5622" width="7.7109375" style="170" customWidth="1"/>
    <col min="5623" max="5623" width="8" style="170" customWidth="1"/>
    <col min="5624" max="5624" width="8.85546875" style="170" customWidth="1"/>
    <col min="5625" max="5625" width="8.140625" style="170" customWidth="1"/>
    <col min="5626" max="5626" width="8.28515625" style="170" customWidth="1"/>
    <col min="5627" max="5627" width="10.42578125" style="170" customWidth="1"/>
    <col min="5628" max="5628" width="11" style="170" customWidth="1"/>
    <col min="5629" max="5629" width="27.28515625" style="170" customWidth="1"/>
    <col min="5630" max="5633" width="9.140625" style="170" customWidth="1"/>
    <col min="5634" max="5875" width="9.140625" style="170"/>
    <col min="5876" max="5876" width="14.85546875" style="170" customWidth="1"/>
    <col min="5877" max="5877" width="52.28515625" style="170" bestFit="1" customWidth="1"/>
    <col min="5878" max="5878" width="7.7109375" style="170" customWidth="1"/>
    <col min="5879" max="5879" width="8" style="170" customWidth="1"/>
    <col min="5880" max="5880" width="8.85546875" style="170" customWidth="1"/>
    <col min="5881" max="5881" width="8.140625" style="170" customWidth="1"/>
    <col min="5882" max="5882" width="8.28515625" style="170" customWidth="1"/>
    <col min="5883" max="5883" width="10.42578125" style="170" customWidth="1"/>
    <col min="5884" max="5884" width="11" style="170" customWidth="1"/>
    <col min="5885" max="5885" width="27.28515625" style="170" customWidth="1"/>
    <col min="5886" max="5889" width="9.140625" style="170" customWidth="1"/>
    <col min="5890" max="6131" width="9.140625" style="170"/>
    <col min="6132" max="6132" width="14.85546875" style="170" customWidth="1"/>
    <col min="6133" max="6133" width="52.28515625" style="170" bestFit="1" customWidth="1"/>
    <col min="6134" max="6134" width="7.7109375" style="170" customWidth="1"/>
    <col min="6135" max="6135" width="8" style="170" customWidth="1"/>
    <col min="6136" max="6136" width="8.85546875" style="170" customWidth="1"/>
    <col min="6137" max="6137" width="8.140625" style="170" customWidth="1"/>
    <col min="6138" max="6138" width="8.28515625" style="170" customWidth="1"/>
    <col min="6139" max="6139" width="10.42578125" style="170" customWidth="1"/>
    <col min="6140" max="6140" width="11" style="170" customWidth="1"/>
    <col min="6141" max="6141" width="27.28515625" style="170" customWidth="1"/>
    <col min="6142" max="6145" width="9.140625" style="170" customWidth="1"/>
    <col min="6146" max="6387" width="9.140625" style="170"/>
    <col min="6388" max="6388" width="14.85546875" style="170" customWidth="1"/>
    <col min="6389" max="6389" width="52.28515625" style="170" bestFit="1" customWidth="1"/>
    <col min="6390" max="6390" width="7.7109375" style="170" customWidth="1"/>
    <col min="6391" max="6391" width="8" style="170" customWidth="1"/>
    <col min="6392" max="6392" width="8.85546875" style="170" customWidth="1"/>
    <col min="6393" max="6393" width="8.140625" style="170" customWidth="1"/>
    <col min="6394" max="6394" width="8.28515625" style="170" customWidth="1"/>
    <col min="6395" max="6395" width="10.42578125" style="170" customWidth="1"/>
    <col min="6396" max="6396" width="11" style="170" customWidth="1"/>
    <col min="6397" max="6397" width="27.28515625" style="170" customWidth="1"/>
    <col min="6398" max="6401" width="9.140625" style="170" customWidth="1"/>
    <col min="6402" max="6643" width="9.140625" style="170"/>
    <col min="6644" max="6644" width="14.85546875" style="170" customWidth="1"/>
    <col min="6645" max="6645" width="52.28515625" style="170" bestFit="1" customWidth="1"/>
    <col min="6646" max="6646" width="7.7109375" style="170" customWidth="1"/>
    <col min="6647" max="6647" width="8" style="170" customWidth="1"/>
    <col min="6648" max="6648" width="8.85546875" style="170" customWidth="1"/>
    <col min="6649" max="6649" width="8.140625" style="170" customWidth="1"/>
    <col min="6650" max="6650" width="8.28515625" style="170" customWidth="1"/>
    <col min="6651" max="6651" width="10.42578125" style="170" customWidth="1"/>
    <col min="6652" max="6652" width="11" style="170" customWidth="1"/>
    <col min="6653" max="6653" width="27.28515625" style="170" customWidth="1"/>
    <col min="6654" max="6657" width="9.140625" style="170" customWidth="1"/>
    <col min="6658" max="6899" width="9.140625" style="170"/>
    <col min="6900" max="6900" width="14.85546875" style="170" customWidth="1"/>
    <col min="6901" max="6901" width="52.28515625" style="170" bestFit="1" customWidth="1"/>
    <col min="6902" max="6902" width="7.7109375" style="170" customWidth="1"/>
    <col min="6903" max="6903" width="8" style="170" customWidth="1"/>
    <col min="6904" max="6904" width="8.85546875" style="170" customWidth="1"/>
    <col min="6905" max="6905" width="8.140625" style="170" customWidth="1"/>
    <col min="6906" max="6906" width="8.28515625" style="170" customWidth="1"/>
    <col min="6907" max="6907" width="10.42578125" style="170" customWidth="1"/>
    <col min="6908" max="6908" width="11" style="170" customWidth="1"/>
    <col min="6909" max="6909" width="27.28515625" style="170" customWidth="1"/>
    <col min="6910" max="6913" width="9.140625" style="170" customWidth="1"/>
    <col min="6914" max="7155" width="9.140625" style="170"/>
    <col min="7156" max="7156" width="14.85546875" style="170" customWidth="1"/>
    <col min="7157" max="7157" width="52.28515625" style="170" bestFit="1" customWidth="1"/>
    <col min="7158" max="7158" width="7.7109375" style="170" customWidth="1"/>
    <col min="7159" max="7159" width="8" style="170" customWidth="1"/>
    <col min="7160" max="7160" width="8.85546875" style="170" customWidth="1"/>
    <col min="7161" max="7161" width="8.140625" style="170" customWidth="1"/>
    <col min="7162" max="7162" width="8.28515625" style="170" customWidth="1"/>
    <col min="7163" max="7163" width="10.42578125" style="170" customWidth="1"/>
    <col min="7164" max="7164" width="11" style="170" customWidth="1"/>
    <col min="7165" max="7165" width="27.28515625" style="170" customWidth="1"/>
    <col min="7166" max="7169" width="9.140625" style="170" customWidth="1"/>
    <col min="7170" max="7411" width="9.140625" style="170"/>
    <col min="7412" max="7412" width="14.85546875" style="170" customWidth="1"/>
    <col min="7413" max="7413" width="52.28515625" style="170" bestFit="1" customWidth="1"/>
    <col min="7414" max="7414" width="7.7109375" style="170" customWidth="1"/>
    <col min="7415" max="7415" width="8" style="170" customWidth="1"/>
    <col min="7416" max="7416" width="8.85546875" style="170" customWidth="1"/>
    <col min="7417" max="7417" width="8.140625" style="170" customWidth="1"/>
    <col min="7418" max="7418" width="8.28515625" style="170" customWidth="1"/>
    <col min="7419" max="7419" width="10.42578125" style="170" customWidth="1"/>
    <col min="7420" max="7420" width="11" style="170" customWidth="1"/>
    <col min="7421" max="7421" width="27.28515625" style="170" customWidth="1"/>
    <col min="7422" max="7425" width="9.140625" style="170" customWidth="1"/>
    <col min="7426" max="7667" width="9.140625" style="170"/>
    <col min="7668" max="7668" width="14.85546875" style="170" customWidth="1"/>
    <col min="7669" max="7669" width="52.28515625" style="170" bestFit="1" customWidth="1"/>
    <col min="7670" max="7670" width="7.7109375" style="170" customWidth="1"/>
    <col min="7671" max="7671" width="8" style="170" customWidth="1"/>
    <col min="7672" max="7672" width="8.85546875" style="170" customWidth="1"/>
    <col min="7673" max="7673" width="8.140625" style="170" customWidth="1"/>
    <col min="7674" max="7674" width="8.28515625" style="170" customWidth="1"/>
    <col min="7675" max="7675" width="10.42578125" style="170" customWidth="1"/>
    <col min="7676" max="7676" width="11" style="170" customWidth="1"/>
    <col min="7677" max="7677" width="27.28515625" style="170" customWidth="1"/>
    <col min="7678" max="7681" width="9.140625" style="170" customWidth="1"/>
    <col min="7682" max="7923" width="9.140625" style="170"/>
    <col min="7924" max="7924" width="14.85546875" style="170" customWidth="1"/>
    <col min="7925" max="7925" width="52.28515625" style="170" bestFit="1" customWidth="1"/>
    <col min="7926" max="7926" width="7.7109375" style="170" customWidth="1"/>
    <col min="7927" max="7927" width="8" style="170" customWidth="1"/>
    <col min="7928" max="7928" width="8.85546875" style="170" customWidth="1"/>
    <col min="7929" max="7929" width="8.140625" style="170" customWidth="1"/>
    <col min="7930" max="7930" width="8.28515625" style="170" customWidth="1"/>
    <col min="7931" max="7931" width="10.42578125" style="170" customWidth="1"/>
    <col min="7932" max="7932" width="11" style="170" customWidth="1"/>
    <col min="7933" max="7933" width="27.28515625" style="170" customWidth="1"/>
    <col min="7934" max="7937" width="9.140625" style="170" customWidth="1"/>
    <col min="7938" max="8179" width="9.140625" style="170"/>
    <col min="8180" max="8180" width="14.85546875" style="170" customWidth="1"/>
    <col min="8181" max="8181" width="52.28515625" style="170" bestFit="1" customWidth="1"/>
    <col min="8182" max="8182" width="7.7109375" style="170" customWidth="1"/>
    <col min="8183" max="8183" width="8" style="170" customWidth="1"/>
    <col min="8184" max="8184" width="8.85546875" style="170" customWidth="1"/>
    <col min="8185" max="8185" width="8.140625" style="170" customWidth="1"/>
    <col min="8186" max="8186" width="8.28515625" style="170" customWidth="1"/>
    <col min="8187" max="8187" width="10.42578125" style="170" customWidth="1"/>
    <col min="8188" max="8188" width="11" style="170" customWidth="1"/>
    <col min="8189" max="8189" width="27.28515625" style="170" customWidth="1"/>
    <col min="8190" max="8193" width="9.140625" style="170" customWidth="1"/>
    <col min="8194" max="8435" width="9.140625" style="170"/>
    <col min="8436" max="8436" width="14.85546875" style="170" customWidth="1"/>
    <col min="8437" max="8437" width="52.28515625" style="170" bestFit="1" customWidth="1"/>
    <col min="8438" max="8438" width="7.7109375" style="170" customWidth="1"/>
    <col min="8439" max="8439" width="8" style="170" customWidth="1"/>
    <col min="8440" max="8440" width="8.85546875" style="170" customWidth="1"/>
    <col min="8441" max="8441" width="8.140625" style="170" customWidth="1"/>
    <col min="8442" max="8442" width="8.28515625" style="170" customWidth="1"/>
    <col min="8443" max="8443" width="10.42578125" style="170" customWidth="1"/>
    <col min="8444" max="8444" width="11" style="170" customWidth="1"/>
    <col min="8445" max="8445" width="27.28515625" style="170" customWidth="1"/>
    <col min="8446" max="8449" width="9.140625" style="170" customWidth="1"/>
    <col min="8450" max="8691" width="9.140625" style="170"/>
    <col min="8692" max="8692" width="14.85546875" style="170" customWidth="1"/>
    <col min="8693" max="8693" width="52.28515625" style="170" bestFit="1" customWidth="1"/>
    <col min="8694" max="8694" width="7.7109375" style="170" customWidth="1"/>
    <col min="8695" max="8695" width="8" style="170" customWidth="1"/>
    <col min="8696" max="8696" width="8.85546875" style="170" customWidth="1"/>
    <col min="8697" max="8697" width="8.140625" style="170" customWidth="1"/>
    <col min="8698" max="8698" width="8.28515625" style="170" customWidth="1"/>
    <col min="8699" max="8699" width="10.42578125" style="170" customWidth="1"/>
    <col min="8700" max="8700" width="11" style="170" customWidth="1"/>
    <col min="8701" max="8701" width="27.28515625" style="170" customWidth="1"/>
    <col min="8702" max="8705" width="9.140625" style="170" customWidth="1"/>
    <col min="8706" max="8947" width="9.140625" style="170"/>
    <col min="8948" max="8948" width="14.85546875" style="170" customWidth="1"/>
    <col min="8949" max="8949" width="52.28515625" style="170" bestFit="1" customWidth="1"/>
    <col min="8950" max="8950" width="7.7109375" style="170" customWidth="1"/>
    <col min="8951" max="8951" width="8" style="170" customWidth="1"/>
    <col min="8952" max="8952" width="8.85546875" style="170" customWidth="1"/>
    <col min="8953" max="8953" width="8.140625" style="170" customWidth="1"/>
    <col min="8954" max="8954" width="8.28515625" style="170" customWidth="1"/>
    <col min="8955" max="8955" width="10.42578125" style="170" customWidth="1"/>
    <col min="8956" max="8956" width="11" style="170" customWidth="1"/>
    <col min="8957" max="8957" width="27.28515625" style="170" customWidth="1"/>
    <col min="8958" max="8961" width="9.140625" style="170" customWidth="1"/>
    <col min="8962" max="9203" width="9.140625" style="170"/>
    <col min="9204" max="9204" width="14.85546875" style="170" customWidth="1"/>
    <col min="9205" max="9205" width="52.28515625" style="170" bestFit="1" customWidth="1"/>
    <col min="9206" max="9206" width="7.7109375" style="170" customWidth="1"/>
    <col min="9207" max="9207" width="8" style="170" customWidth="1"/>
    <col min="9208" max="9208" width="8.85546875" style="170" customWidth="1"/>
    <col min="9209" max="9209" width="8.140625" style="170" customWidth="1"/>
    <col min="9210" max="9210" width="8.28515625" style="170" customWidth="1"/>
    <col min="9211" max="9211" width="10.42578125" style="170" customWidth="1"/>
    <col min="9212" max="9212" width="11" style="170" customWidth="1"/>
    <col min="9213" max="9213" width="27.28515625" style="170" customWidth="1"/>
    <col min="9214" max="9217" width="9.140625" style="170" customWidth="1"/>
    <col min="9218" max="9459" width="9.140625" style="170"/>
    <col min="9460" max="9460" width="14.85546875" style="170" customWidth="1"/>
    <col min="9461" max="9461" width="52.28515625" style="170" bestFit="1" customWidth="1"/>
    <col min="9462" max="9462" width="7.7109375" style="170" customWidth="1"/>
    <col min="9463" max="9463" width="8" style="170" customWidth="1"/>
    <col min="9464" max="9464" width="8.85546875" style="170" customWidth="1"/>
    <col min="9465" max="9465" width="8.140625" style="170" customWidth="1"/>
    <col min="9466" max="9466" width="8.28515625" style="170" customWidth="1"/>
    <col min="9467" max="9467" width="10.42578125" style="170" customWidth="1"/>
    <col min="9468" max="9468" width="11" style="170" customWidth="1"/>
    <col min="9469" max="9469" width="27.28515625" style="170" customWidth="1"/>
    <col min="9470" max="9473" width="9.140625" style="170" customWidth="1"/>
    <col min="9474" max="9715" width="9.140625" style="170"/>
    <col min="9716" max="9716" width="14.85546875" style="170" customWidth="1"/>
    <col min="9717" max="9717" width="52.28515625" style="170" bestFit="1" customWidth="1"/>
    <col min="9718" max="9718" width="7.7109375" style="170" customWidth="1"/>
    <col min="9719" max="9719" width="8" style="170" customWidth="1"/>
    <col min="9720" max="9720" width="8.85546875" style="170" customWidth="1"/>
    <col min="9721" max="9721" width="8.140625" style="170" customWidth="1"/>
    <col min="9722" max="9722" width="8.28515625" style="170" customWidth="1"/>
    <col min="9723" max="9723" width="10.42578125" style="170" customWidth="1"/>
    <col min="9724" max="9724" width="11" style="170" customWidth="1"/>
    <col min="9725" max="9725" width="27.28515625" style="170" customWidth="1"/>
    <col min="9726" max="9729" width="9.140625" style="170" customWidth="1"/>
    <col min="9730" max="9971" width="9.140625" style="170"/>
    <col min="9972" max="9972" width="14.85546875" style="170" customWidth="1"/>
    <col min="9973" max="9973" width="52.28515625" style="170" bestFit="1" customWidth="1"/>
    <col min="9974" max="9974" width="7.7109375" style="170" customWidth="1"/>
    <col min="9975" max="9975" width="8" style="170" customWidth="1"/>
    <col min="9976" max="9976" width="8.85546875" style="170" customWidth="1"/>
    <col min="9977" max="9977" width="8.140625" style="170" customWidth="1"/>
    <col min="9978" max="9978" width="8.28515625" style="170" customWidth="1"/>
    <col min="9979" max="9979" width="10.42578125" style="170" customWidth="1"/>
    <col min="9980" max="9980" width="11" style="170" customWidth="1"/>
    <col min="9981" max="9981" width="27.28515625" style="170" customWidth="1"/>
    <col min="9982" max="9985" width="9.140625" style="170" customWidth="1"/>
    <col min="9986" max="10227" width="9.140625" style="170"/>
    <col min="10228" max="10228" width="14.85546875" style="170" customWidth="1"/>
    <col min="10229" max="10229" width="52.28515625" style="170" bestFit="1" customWidth="1"/>
    <col min="10230" max="10230" width="7.7109375" style="170" customWidth="1"/>
    <col min="10231" max="10231" width="8" style="170" customWidth="1"/>
    <col min="10232" max="10232" width="8.85546875" style="170" customWidth="1"/>
    <col min="10233" max="10233" width="8.140625" style="170" customWidth="1"/>
    <col min="10234" max="10234" width="8.28515625" style="170" customWidth="1"/>
    <col min="10235" max="10235" width="10.42578125" style="170" customWidth="1"/>
    <col min="10236" max="10236" width="11" style="170" customWidth="1"/>
    <col min="10237" max="10237" width="27.28515625" style="170" customWidth="1"/>
    <col min="10238" max="10241" width="9.140625" style="170" customWidth="1"/>
    <col min="10242" max="10483" width="9.140625" style="170"/>
    <col min="10484" max="10484" width="14.85546875" style="170" customWidth="1"/>
    <col min="10485" max="10485" width="52.28515625" style="170" bestFit="1" customWidth="1"/>
    <col min="10486" max="10486" width="7.7109375" style="170" customWidth="1"/>
    <col min="10487" max="10487" width="8" style="170" customWidth="1"/>
    <col min="10488" max="10488" width="8.85546875" style="170" customWidth="1"/>
    <col min="10489" max="10489" width="8.140625" style="170" customWidth="1"/>
    <col min="10490" max="10490" width="8.28515625" style="170" customWidth="1"/>
    <col min="10491" max="10491" width="10.42578125" style="170" customWidth="1"/>
    <col min="10492" max="10492" width="11" style="170" customWidth="1"/>
    <col min="10493" max="10493" width="27.28515625" style="170" customWidth="1"/>
    <col min="10494" max="10497" width="9.140625" style="170" customWidth="1"/>
    <col min="10498" max="10739" width="9.140625" style="170"/>
    <col min="10740" max="10740" width="14.85546875" style="170" customWidth="1"/>
    <col min="10741" max="10741" width="52.28515625" style="170" bestFit="1" customWidth="1"/>
    <col min="10742" max="10742" width="7.7109375" style="170" customWidth="1"/>
    <col min="10743" max="10743" width="8" style="170" customWidth="1"/>
    <col min="10744" max="10744" width="8.85546875" style="170" customWidth="1"/>
    <col min="10745" max="10745" width="8.140625" style="170" customWidth="1"/>
    <col min="10746" max="10746" width="8.28515625" style="170" customWidth="1"/>
    <col min="10747" max="10747" width="10.42578125" style="170" customWidth="1"/>
    <col min="10748" max="10748" width="11" style="170" customWidth="1"/>
    <col min="10749" max="10749" width="27.28515625" style="170" customWidth="1"/>
    <col min="10750" max="10753" width="9.140625" style="170" customWidth="1"/>
    <col min="10754" max="10995" width="9.140625" style="170"/>
    <col min="10996" max="10996" width="14.85546875" style="170" customWidth="1"/>
    <col min="10997" max="10997" width="52.28515625" style="170" bestFit="1" customWidth="1"/>
    <col min="10998" max="10998" width="7.7109375" style="170" customWidth="1"/>
    <col min="10999" max="10999" width="8" style="170" customWidth="1"/>
    <col min="11000" max="11000" width="8.85546875" style="170" customWidth="1"/>
    <col min="11001" max="11001" width="8.140625" style="170" customWidth="1"/>
    <col min="11002" max="11002" width="8.28515625" style="170" customWidth="1"/>
    <col min="11003" max="11003" width="10.42578125" style="170" customWidth="1"/>
    <col min="11004" max="11004" width="11" style="170" customWidth="1"/>
    <col min="11005" max="11005" width="27.28515625" style="170" customWidth="1"/>
    <col min="11006" max="11009" width="9.140625" style="170" customWidth="1"/>
    <col min="11010" max="11251" width="9.140625" style="170"/>
    <col min="11252" max="11252" width="14.85546875" style="170" customWidth="1"/>
    <col min="11253" max="11253" width="52.28515625" style="170" bestFit="1" customWidth="1"/>
    <col min="11254" max="11254" width="7.7109375" style="170" customWidth="1"/>
    <col min="11255" max="11255" width="8" style="170" customWidth="1"/>
    <col min="11256" max="11256" width="8.85546875" style="170" customWidth="1"/>
    <col min="11257" max="11257" width="8.140625" style="170" customWidth="1"/>
    <col min="11258" max="11258" width="8.28515625" style="170" customWidth="1"/>
    <col min="11259" max="11259" width="10.42578125" style="170" customWidth="1"/>
    <col min="11260" max="11260" width="11" style="170" customWidth="1"/>
    <col min="11261" max="11261" width="27.28515625" style="170" customWidth="1"/>
    <col min="11262" max="11265" width="9.140625" style="170" customWidth="1"/>
    <col min="11266" max="11507" width="9.140625" style="170"/>
    <col min="11508" max="11508" width="14.85546875" style="170" customWidth="1"/>
    <col min="11509" max="11509" width="52.28515625" style="170" bestFit="1" customWidth="1"/>
    <col min="11510" max="11510" width="7.7109375" style="170" customWidth="1"/>
    <col min="11511" max="11511" width="8" style="170" customWidth="1"/>
    <col min="11512" max="11512" width="8.85546875" style="170" customWidth="1"/>
    <col min="11513" max="11513" width="8.140625" style="170" customWidth="1"/>
    <col min="11514" max="11514" width="8.28515625" style="170" customWidth="1"/>
    <col min="11515" max="11515" width="10.42578125" style="170" customWidth="1"/>
    <col min="11516" max="11516" width="11" style="170" customWidth="1"/>
    <col min="11517" max="11517" width="27.28515625" style="170" customWidth="1"/>
    <col min="11518" max="11521" width="9.140625" style="170" customWidth="1"/>
    <col min="11522" max="11763" width="9.140625" style="170"/>
    <col min="11764" max="11764" width="14.85546875" style="170" customWidth="1"/>
    <col min="11765" max="11765" width="52.28515625" style="170" bestFit="1" customWidth="1"/>
    <col min="11766" max="11766" width="7.7109375" style="170" customWidth="1"/>
    <col min="11767" max="11767" width="8" style="170" customWidth="1"/>
    <col min="11768" max="11768" width="8.85546875" style="170" customWidth="1"/>
    <col min="11769" max="11769" width="8.140625" style="170" customWidth="1"/>
    <col min="11770" max="11770" width="8.28515625" style="170" customWidth="1"/>
    <col min="11771" max="11771" width="10.42578125" style="170" customWidth="1"/>
    <col min="11772" max="11772" width="11" style="170" customWidth="1"/>
    <col min="11773" max="11773" width="27.28515625" style="170" customWidth="1"/>
    <col min="11774" max="11777" width="9.140625" style="170" customWidth="1"/>
    <col min="11778" max="12019" width="9.140625" style="170"/>
    <col min="12020" max="12020" width="14.85546875" style="170" customWidth="1"/>
    <col min="12021" max="12021" width="52.28515625" style="170" bestFit="1" customWidth="1"/>
    <col min="12022" max="12022" width="7.7109375" style="170" customWidth="1"/>
    <col min="12023" max="12023" width="8" style="170" customWidth="1"/>
    <col min="12024" max="12024" width="8.85546875" style="170" customWidth="1"/>
    <col min="12025" max="12025" width="8.140625" style="170" customWidth="1"/>
    <col min="12026" max="12026" width="8.28515625" style="170" customWidth="1"/>
    <col min="12027" max="12027" width="10.42578125" style="170" customWidth="1"/>
    <col min="12028" max="12028" width="11" style="170" customWidth="1"/>
    <col min="12029" max="12029" width="27.28515625" style="170" customWidth="1"/>
    <col min="12030" max="12033" width="9.140625" style="170" customWidth="1"/>
    <col min="12034" max="12275" width="9.140625" style="170"/>
    <col min="12276" max="12276" width="14.85546875" style="170" customWidth="1"/>
    <col min="12277" max="12277" width="52.28515625" style="170" bestFit="1" customWidth="1"/>
    <col min="12278" max="12278" width="7.7109375" style="170" customWidth="1"/>
    <col min="12279" max="12279" width="8" style="170" customWidth="1"/>
    <col min="12280" max="12280" width="8.85546875" style="170" customWidth="1"/>
    <col min="12281" max="12281" width="8.140625" style="170" customWidth="1"/>
    <col min="12282" max="12282" width="8.28515625" style="170" customWidth="1"/>
    <col min="12283" max="12283" width="10.42578125" style="170" customWidth="1"/>
    <col min="12284" max="12284" width="11" style="170" customWidth="1"/>
    <col min="12285" max="12285" width="27.28515625" style="170" customWidth="1"/>
    <col min="12286" max="12289" width="9.140625" style="170" customWidth="1"/>
    <col min="12290" max="12531" width="9.140625" style="170"/>
    <col min="12532" max="12532" width="14.85546875" style="170" customWidth="1"/>
    <col min="12533" max="12533" width="52.28515625" style="170" bestFit="1" customWidth="1"/>
    <col min="12534" max="12534" width="7.7109375" style="170" customWidth="1"/>
    <col min="12535" max="12535" width="8" style="170" customWidth="1"/>
    <col min="12536" max="12536" width="8.85546875" style="170" customWidth="1"/>
    <col min="12537" max="12537" width="8.140625" style="170" customWidth="1"/>
    <col min="12538" max="12538" width="8.28515625" style="170" customWidth="1"/>
    <col min="12539" max="12539" width="10.42578125" style="170" customWidth="1"/>
    <col min="12540" max="12540" width="11" style="170" customWidth="1"/>
    <col min="12541" max="12541" width="27.28515625" style="170" customWidth="1"/>
    <col min="12542" max="12545" width="9.140625" style="170" customWidth="1"/>
    <col min="12546" max="12787" width="9.140625" style="170"/>
    <col min="12788" max="12788" width="14.85546875" style="170" customWidth="1"/>
    <col min="12789" max="12789" width="52.28515625" style="170" bestFit="1" customWidth="1"/>
    <col min="12790" max="12790" width="7.7109375" style="170" customWidth="1"/>
    <col min="12791" max="12791" width="8" style="170" customWidth="1"/>
    <col min="12792" max="12792" width="8.85546875" style="170" customWidth="1"/>
    <col min="12793" max="12793" width="8.140625" style="170" customWidth="1"/>
    <col min="12794" max="12794" width="8.28515625" style="170" customWidth="1"/>
    <col min="12795" max="12795" width="10.42578125" style="170" customWidth="1"/>
    <col min="12796" max="12796" width="11" style="170" customWidth="1"/>
    <col min="12797" max="12797" width="27.28515625" style="170" customWidth="1"/>
    <col min="12798" max="12801" width="9.140625" style="170" customWidth="1"/>
    <col min="12802" max="13043" width="9.140625" style="170"/>
    <col min="13044" max="13044" width="14.85546875" style="170" customWidth="1"/>
    <col min="13045" max="13045" width="52.28515625" style="170" bestFit="1" customWidth="1"/>
    <col min="13046" max="13046" width="7.7109375" style="170" customWidth="1"/>
    <col min="13047" max="13047" width="8" style="170" customWidth="1"/>
    <col min="13048" max="13048" width="8.85546875" style="170" customWidth="1"/>
    <col min="13049" max="13049" width="8.140625" style="170" customWidth="1"/>
    <col min="13050" max="13050" width="8.28515625" style="170" customWidth="1"/>
    <col min="13051" max="13051" width="10.42578125" style="170" customWidth="1"/>
    <col min="13052" max="13052" width="11" style="170" customWidth="1"/>
    <col min="13053" max="13053" width="27.28515625" style="170" customWidth="1"/>
    <col min="13054" max="13057" width="9.140625" style="170" customWidth="1"/>
    <col min="13058" max="13299" width="9.140625" style="170"/>
    <col min="13300" max="13300" width="14.85546875" style="170" customWidth="1"/>
    <col min="13301" max="13301" width="52.28515625" style="170" bestFit="1" customWidth="1"/>
    <col min="13302" max="13302" width="7.7109375" style="170" customWidth="1"/>
    <col min="13303" max="13303" width="8" style="170" customWidth="1"/>
    <col min="13304" max="13304" width="8.85546875" style="170" customWidth="1"/>
    <col min="13305" max="13305" width="8.140625" style="170" customWidth="1"/>
    <col min="13306" max="13306" width="8.28515625" style="170" customWidth="1"/>
    <col min="13307" max="13307" width="10.42578125" style="170" customWidth="1"/>
    <col min="13308" max="13308" width="11" style="170" customWidth="1"/>
    <col min="13309" max="13309" width="27.28515625" style="170" customWidth="1"/>
    <col min="13310" max="13313" width="9.140625" style="170" customWidth="1"/>
    <col min="13314" max="13555" width="9.140625" style="170"/>
    <col min="13556" max="13556" width="14.85546875" style="170" customWidth="1"/>
    <col min="13557" max="13557" width="52.28515625" style="170" bestFit="1" customWidth="1"/>
    <col min="13558" max="13558" width="7.7109375" style="170" customWidth="1"/>
    <col min="13559" max="13559" width="8" style="170" customWidth="1"/>
    <col min="13560" max="13560" width="8.85546875" style="170" customWidth="1"/>
    <col min="13561" max="13561" width="8.140625" style="170" customWidth="1"/>
    <col min="13562" max="13562" width="8.28515625" style="170" customWidth="1"/>
    <col min="13563" max="13563" width="10.42578125" style="170" customWidth="1"/>
    <col min="13564" max="13564" width="11" style="170" customWidth="1"/>
    <col min="13565" max="13565" width="27.28515625" style="170" customWidth="1"/>
    <col min="13566" max="13569" width="9.140625" style="170" customWidth="1"/>
    <col min="13570" max="13811" width="9.140625" style="170"/>
    <col min="13812" max="13812" width="14.85546875" style="170" customWidth="1"/>
    <col min="13813" max="13813" width="52.28515625" style="170" bestFit="1" customWidth="1"/>
    <col min="13814" max="13814" width="7.7109375" style="170" customWidth="1"/>
    <col min="13815" max="13815" width="8" style="170" customWidth="1"/>
    <col min="13816" max="13816" width="8.85546875" style="170" customWidth="1"/>
    <col min="13817" max="13817" width="8.140625" style="170" customWidth="1"/>
    <col min="13818" max="13818" width="8.28515625" style="170" customWidth="1"/>
    <col min="13819" max="13819" width="10.42578125" style="170" customWidth="1"/>
    <col min="13820" max="13820" width="11" style="170" customWidth="1"/>
    <col min="13821" max="13821" width="27.28515625" style="170" customWidth="1"/>
    <col min="13822" max="13825" width="9.140625" style="170" customWidth="1"/>
    <col min="13826" max="14067" width="9.140625" style="170"/>
    <col min="14068" max="14068" width="14.85546875" style="170" customWidth="1"/>
    <col min="14069" max="14069" width="52.28515625" style="170" bestFit="1" customWidth="1"/>
    <col min="14070" max="14070" width="7.7109375" style="170" customWidth="1"/>
    <col min="14071" max="14071" width="8" style="170" customWidth="1"/>
    <col min="14072" max="14072" width="8.85546875" style="170" customWidth="1"/>
    <col min="14073" max="14073" width="8.140625" style="170" customWidth="1"/>
    <col min="14074" max="14074" width="8.28515625" style="170" customWidth="1"/>
    <col min="14075" max="14075" width="10.42578125" style="170" customWidth="1"/>
    <col min="14076" max="14076" width="11" style="170" customWidth="1"/>
    <col min="14077" max="14077" width="27.28515625" style="170" customWidth="1"/>
    <col min="14078" max="14081" width="9.140625" style="170" customWidth="1"/>
    <col min="14082" max="14323" width="9.140625" style="170"/>
    <col min="14324" max="14324" width="14.85546875" style="170" customWidth="1"/>
    <col min="14325" max="14325" width="52.28515625" style="170" bestFit="1" customWidth="1"/>
    <col min="14326" max="14326" width="7.7109375" style="170" customWidth="1"/>
    <col min="14327" max="14327" width="8" style="170" customWidth="1"/>
    <col min="14328" max="14328" width="8.85546875" style="170" customWidth="1"/>
    <col min="14329" max="14329" width="8.140625" style="170" customWidth="1"/>
    <col min="14330" max="14330" width="8.28515625" style="170" customWidth="1"/>
    <col min="14331" max="14331" width="10.42578125" style="170" customWidth="1"/>
    <col min="14332" max="14332" width="11" style="170" customWidth="1"/>
    <col min="14333" max="14333" width="27.28515625" style="170" customWidth="1"/>
    <col min="14334" max="14337" width="9.140625" style="170" customWidth="1"/>
    <col min="14338" max="14579" width="9.140625" style="170"/>
    <col min="14580" max="14580" width="14.85546875" style="170" customWidth="1"/>
    <col min="14581" max="14581" width="52.28515625" style="170" bestFit="1" customWidth="1"/>
    <col min="14582" max="14582" width="7.7109375" style="170" customWidth="1"/>
    <col min="14583" max="14583" width="8" style="170" customWidth="1"/>
    <col min="14584" max="14584" width="8.85546875" style="170" customWidth="1"/>
    <col min="14585" max="14585" width="8.140625" style="170" customWidth="1"/>
    <col min="14586" max="14586" width="8.28515625" style="170" customWidth="1"/>
    <col min="14587" max="14587" width="10.42578125" style="170" customWidth="1"/>
    <col min="14588" max="14588" width="11" style="170" customWidth="1"/>
    <col min="14589" max="14589" width="27.28515625" style="170" customWidth="1"/>
    <col min="14590" max="14593" width="9.140625" style="170" customWidth="1"/>
    <col min="14594" max="14835" width="9.140625" style="170"/>
    <col min="14836" max="14836" width="14.85546875" style="170" customWidth="1"/>
    <col min="14837" max="14837" width="52.28515625" style="170" bestFit="1" customWidth="1"/>
    <col min="14838" max="14838" width="7.7109375" style="170" customWidth="1"/>
    <col min="14839" max="14839" width="8" style="170" customWidth="1"/>
    <col min="14840" max="14840" width="8.85546875" style="170" customWidth="1"/>
    <col min="14841" max="14841" width="8.140625" style="170" customWidth="1"/>
    <col min="14842" max="14842" width="8.28515625" style="170" customWidth="1"/>
    <col min="14843" max="14843" width="10.42578125" style="170" customWidth="1"/>
    <col min="14844" max="14844" width="11" style="170" customWidth="1"/>
    <col min="14845" max="14845" width="27.28515625" style="170" customWidth="1"/>
    <col min="14846" max="14849" width="9.140625" style="170" customWidth="1"/>
    <col min="14850" max="15091" width="9.140625" style="170"/>
    <col min="15092" max="15092" width="14.85546875" style="170" customWidth="1"/>
    <col min="15093" max="15093" width="52.28515625" style="170" bestFit="1" customWidth="1"/>
    <col min="15094" max="15094" width="7.7109375" style="170" customWidth="1"/>
    <col min="15095" max="15095" width="8" style="170" customWidth="1"/>
    <col min="15096" max="15096" width="8.85546875" style="170" customWidth="1"/>
    <col min="15097" max="15097" width="8.140625" style="170" customWidth="1"/>
    <col min="15098" max="15098" width="8.28515625" style="170" customWidth="1"/>
    <col min="15099" max="15099" width="10.42578125" style="170" customWidth="1"/>
    <col min="15100" max="15100" width="11" style="170" customWidth="1"/>
    <col min="15101" max="15101" width="27.28515625" style="170" customWidth="1"/>
    <col min="15102" max="15105" width="9.140625" style="170" customWidth="1"/>
    <col min="15106" max="15347" width="9.140625" style="170"/>
    <col min="15348" max="15348" width="14.85546875" style="170" customWidth="1"/>
    <col min="15349" max="15349" width="52.28515625" style="170" bestFit="1" customWidth="1"/>
    <col min="15350" max="15350" width="7.7109375" style="170" customWidth="1"/>
    <col min="15351" max="15351" width="8" style="170" customWidth="1"/>
    <col min="15352" max="15352" width="8.85546875" style="170" customWidth="1"/>
    <col min="15353" max="15353" width="8.140625" style="170" customWidth="1"/>
    <col min="15354" max="15354" width="8.28515625" style="170" customWidth="1"/>
    <col min="15355" max="15355" width="10.42578125" style="170" customWidth="1"/>
    <col min="15356" max="15356" width="11" style="170" customWidth="1"/>
    <col min="15357" max="15357" width="27.28515625" style="170" customWidth="1"/>
    <col min="15358" max="15361" width="9.140625" style="170" customWidth="1"/>
    <col min="15362" max="15603" width="9.140625" style="170"/>
    <col min="15604" max="15604" width="14.85546875" style="170" customWidth="1"/>
    <col min="15605" max="15605" width="52.28515625" style="170" bestFit="1" customWidth="1"/>
    <col min="15606" max="15606" width="7.7109375" style="170" customWidth="1"/>
    <col min="15607" max="15607" width="8" style="170" customWidth="1"/>
    <col min="15608" max="15608" width="8.85546875" style="170" customWidth="1"/>
    <col min="15609" max="15609" width="8.140625" style="170" customWidth="1"/>
    <col min="15610" max="15610" width="8.28515625" style="170" customWidth="1"/>
    <col min="15611" max="15611" width="10.42578125" style="170" customWidth="1"/>
    <col min="15612" max="15612" width="11" style="170" customWidth="1"/>
    <col min="15613" max="15613" width="27.28515625" style="170" customWidth="1"/>
    <col min="15614" max="15617" width="9.140625" style="170" customWidth="1"/>
    <col min="15618" max="15859" width="9.140625" style="170"/>
    <col min="15860" max="15860" width="14.85546875" style="170" customWidth="1"/>
    <col min="15861" max="15861" width="52.28515625" style="170" bestFit="1" customWidth="1"/>
    <col min="15862" max="15862" width="7.7109375" style="170" customWidth="1"/>
    <col min="15863" max="15863" width="8" style="170" customWidth="1"/>
    <col min="15864" max="15864" width="8.85546875" style="170" customWidth="1"/>
    <col min="15865" max="15865" width="8.140625" style="170" customWidth="1"/>
    <col min="15866" max="15866" width="8.28515625" style="170" customWidth="1"/>
    <col min="15867" max="15867" width="10.42578125" style="170" customWidth="1"/>
    <col min="15868" max="15868" width="11" style="170" customWidth="1"/>
    <col min="15869" max="15869" width="27.28515625" style="170" customWidth="1"/>
    <col min="15870" max="15873" width="9.140625" style="170" customWidth="1"/>
    <col min="15874" max="16115" width="9.140625" style="170"/>
    <col min="16116" max="16116" width="14.85546875" style="170" customWidth="1"/>
    <col min="16117" max="16117" width="52.28515625" style="170" bestFit="1" customWidth="1"/>
    <col min="16118" max="16118" width="7.7109375" style="170" customWidth="1"/>
    <col min="16119" max="16119" width="8" style="170" customWidth="1"/>
    <col min="16120" max="16120" width="8.85546875" style="170" customWidth="1"/>
    <col min="16121" max="16121" width="8.140625" style="170" customWidth="1"/>
    <col min="16122" max="16122" width="8.28515625" style="170" customWidth="1"/>
    <col min="16123" max="16123" width="10.42578125" style="170" customWidth="1"/>
    <col min="16124" max="16124" width="11" style="170" customWidth="1"/>
    <col min="16125" max="16125" width="27.28515625" style="170" customWidth="1"/>
    <col min="16126" max="16129" width="9.140625" style="170" customWidth="1"/>
    <col min="16130" max="16384" width="9.140625" style="170"/>
  </cols>
  <sheetData>
    <row r="1" spans="1:14">
      <c r="A1" s="1513" t="s">
        <v>43</v>
      </c>
      <c r="B1" s="1513"/>
      <c r="C1" s="1513"/>
      <c r="D1" s="1513"/>
      <c r="E1" s="1513"/>
      <c r="F1" s="1513"/>
      <c r="G1" s="1513"/>
      <c r="H1" s="1513"/>
      <c r="I1" s="1513"/>
      <c r="J1" s="1513"/>
      <c r="K1" s="1513"/>
    </row>
    <row r="2" spans="1:14">
      <c r="A2" s="1513" t="s">
        <v>84</v>
      </c>
      <c r="B2" s="1513"/>
      <c r="C2" s="1513"/>
      <c r="D2" s="1513"/>
      <c r="E2" s="1513"/>
      <c r="F2" s="1513"/>
      <c r="G2" s="1513"/>
      <c r="H2" s="1513"/>
      <c r="I2" s="1513"/>
      <c r="J2" s="1513"/>
      <c r="K2" s="1513"/>
    </row>
    <row r="3" spans="1:14">
      <c r="A3" s="1514" t="s">
        <v>2132</v>
      </c>
      <c r="B3" s="1514"/>
      <c r="C3" s="1514"/>
      <c r="D3" s="1514"/>
      <c r="E3" s="1514"/>
      <c r="F3" s="1514"/>
      <c r="G3" s="1514"/>
      <c r="H3" s="1514"/>
      <c r="I3" s="1514"/>
      <c r="J3" s="1514"/>
      <c r="K3" s="1514"/>
      <c r="L3" s="1162"/>
    </row>
    <row r="4" spans="1:14">
      <c r="A4" s="1515" t="s">
        <v>800</v>
      </c>
      <c r="B4" s="1515"/>
      <c r="C4" s="1515"/>
      <c r="D4" s="1515"/>
      <c r="E4" s="1515"/>
      <c r="F4" s="1515"/>
      <c r="G4" s="1515"/>
      <c r="H4" s="1515"/>
      <c r="I4" s="1515"/>
      <c r="J4" s="1515"/>
      <c r="K4" s="1515"/>
    </row>
    <row r="5" spans="1:14" s="165" customFormat="1" ht="34.5">
      <c r="A5" s="409" t="s">
        <v>45</v>
      </c>
      <c r="B5" s="4" t="s">
        <v>0</v>
      </c>
      <c r="C5" s="410" t="s">
        <v>41</v>
      </c>
      <c r="D5" s="620" t="s">
        <v>46</v>
      </c>
      <c r="E5" s="621" t="s">
        <v>47</v>
      </c>
      <c r="F5" s="622" t="s">
        <v>48</v>
      </c>
      <c r="G5" s="622" t="s">
        <v>33</v>
      </c>
      <c r="H5" s="622" t="s">
        <v>49</v>
      </c>
      <c r="I5" s="411" t="s">
        <v>50</v>
      </c>
      <c r="J5" s="412" t="s">
        <v>51</v>
      </c>
      <c r="K5" s="1211" t="s">
        <v>14</v>
      </c>
      <c r="L5" s="164"/>
      <c r="M5" s="164"/>
      <c r="N5" s="164"/>
    </row>
    <row r="6" spans="1:14">
      <c r="A6" s="1212">
        <v>1</v>
      </c>
      <c r="B6" s="1213" t="s">
        <v>103</v>
      </c>
      <c r="C6" s="1214"/>
      <c r="D6" s="1215"/>
      <c r="E6" s="1215"/>
      <c r="F6" s="1349"/>
      <c r="G6" s="1349"/>
      <c r="H6" s="1349"/>
      <c r="I6" s="1216"/>
      <c r="J6" s="1217"/>
      <c r="K6" s="1218"/>
    </row>
    <row r="7" spans="1:14" ht="103.5">
      <c r="A7" s="1219">
        <v>1</v>
      </c>
      <c r="B7" s="1207" t="s">
        <v>2170</v>
      </c>
      <c r="C7" s="1406"/>
      <c r="D7" s="1207"/>
      <c r="E7" s="1207"/>
      <c r="F7" s="1207"/>
      <c r="G7" s="1207"/>
      <c r="H7" s="1207"/>
      <c r="I7" s="1201"/>
      <c r="J7" s="1201"/>
      <c r="K7" s="1220"/>
    </row>
    <row r="8" spans="1:14" s="398" customFormat="1" hidden="1" outlineLevel="1">
      <c r="A8" s="1221"/>
      <c r="B8" s="425" t="s">
        <v>104</v>
      </c>
      <c r="C8" s="165" t="s">
        <v>2</v>
      </c>
      <c r="D8" s="392">
        <v>1</v>
      </c>
      <c r="E8" s="165"/>
      <c r="F8" s="401">
        <f>5.69+3+2+0.61*2</f>
        <v>11.910000000000002</v>
      </c>
      <c r="G8" s="401">
        <v>0.61</v>
      </c>
      <c r="H8" s="401">
        <v>0.15</v>
      </c>
      <c r="I8" s="399">
        <f t="shared" ref="I8:I71" si="0">IF(D8&lt;&gt;0,ROUND(PRODUCT(E8:H8)*D8,2),"")</f>
        <v>1.0900000000000001</v>
      </c>
      <c r="J8" s="374"/>
      <c r="K8" s="1222"/>
      <c r="L8" s="431"/>
      <c r="M8" s="431"/>
      <c r="N8" s="431"/>
    </row>
    <row r="9" spans="1:14" s="398" customFormat="1" hidden="1" outlineLevel="1">
      <c r="A9" s="1221"/>
      <c r="B9" s="425" t="s">
        <v>105</v>
      </c>
      <c r="C9" s="165" t="s">
        <v>2</v>
      </c>
      <c r="D9" s="392">
        <v>2</v>
      </c>
      <c r="E9" s="165"/>
      <c r="F9" s="401">
        <f>5.69+3+0.61</f>
        <v>9.3000000000000007</v>
      </c>
      <c r="G9" s="401">
        <v>0.61</v>
      </c>
      <c r="H9" s="401">
        <v>0.15</v>
      </c>
      <c r="I9" s="399">
        <f t="shared" si="0"/>
        <v>1.7</v>
      </c>
      <c r="J9" s="374"/>
      <c r="K9" s="1222"/>
      <c r="L9" s="431"/>
      <c r="M9" s="431"/>
      <c r="N9" s="431"/>
    </row>
    <row r="10" spans="1:14" s="398" customFormat="1" hidden="1" outlineLevel="1">
      <c r="A10" s="1221"/>
      <c r="B10" s="425"/>
      <c r="C10" s="165" t="s">
        <v>2</v>
      </c>
      <c r="D10" s="392">
        <v>1</v>
      </c>
      <c r="E10" s="165"/>
      <c r="F10" s="401">
        <f>1.8+3+3.92+0.6+0.61*2</f>
        <v>10.54</v>
      </c>
      <c r="G10" s="401">
        <v>0.61</v>
      </c>
      <c r="H10" s="401">
        <v>0.15</v>
      </c>
      <c r="I10" s="399">
        <f t="shared" si="0"/>
        <v>0.96</v>
      </c>
      <c r="J10" s="374"/>
      <c r="K10" s="1222"/>
      <c r="L10" s="431"/>
      <c r="M10" s="431"/>
      <c r="N10" s="431"/>
    </row>
    <row r="11" spans="1:14" s="398" customFormat="1" hidden="1" outlineLevel="1">
      <c r="A11" s="1221"/>
      <c r="B11" s="425"/>
      <c r="C11" s="165" t="s">
        <v>2</v>
      </c>
      <c r="D11" s="392">
        <v>2</v>
      </c>
      <c r="E11" s="165"/>
      <c r="F11" s="401">
        <f>3.29+3+0.61</f>
        <v>6.9</v>
      </c>
      <c r="G11" s="401">
        <v>0.61</v>
      </c>
      <c r="H11" s="401">
        <v>0.15</v>
      </c>
      <c r="I11" s="399">
        <f t="shared" si="0"/>
        <v>1.26</v>
      </c>
      <c r="J11" s="374"/>
      <c r="K11" s="1222"/>
      <c r="L11" s="431"/>
      <c r="M11" s="431"/>
      <c r="N11" s="431"/>
    </row>
    <row r="12" spans="1:14" s="398" customFormat="1" hidden="1" outlineLevel="1">
      <c r="A12" s="1221"/>
      <c r="B12" s="425"/>
      <c r="C12" s="165" t="s">
        <v>2</v>
      </c>
      <c r="D12" s="392">
        <v>1</v>
      </c>
      <c r="E12" s="165"/>
      <c r="F12" s="401">
        <f>1.56+2+4.43-2+0.61</f>
        <v>6.6000000000000005</v>
      </c>
      <c r="G12" s="401">
        <v>0.61</v>
      </c>
      <c r="H12" s="401">
        <v>0.15</v>
      </c>
      <c r="I12" s="399">
        <f t="shared" si="0"/>
        <v>0.6</v>
      </c>
      <c r="J12" s="374"/>
      <c r="K12" s="1222"/>
      <c r="L12" s="431"/>
      <c r="M12" s="431"/>
      <c r="N12" s="431"/>
    </row>
    <row r="13" spans="1:14" s="398" customFormat="1" hidden="1" outlineLevel="1">
      <c r="A13" s="1221"/>
      <c r="B13" s="425"/>
      <c r="C13" s="165" t="s">
        <v>2</v>
      </c>
      <c r="D13" s="392">
        <v>1</v>
      </c>
      <c r="E13" s="165"/>
      <c r="F13" s="401">
        <f>1.56+4.43+0.61*2</f>
        <v>7.21</v>
      </c>
      <c r="G13" s="401">
        <v>0.61</v>
      </c>
      <c r="H13" s="401">
        <v>0.15</v>
      </c>
      <c r="I13" s="399">
        <f t="shared" si="0"/>
        <v>0.66</v>
      </c>
      <c r="J13" s="374"/>
      <c r="K13" s="1222"/>
      <c r="L13" s="431"/>
      <c r="M13" s="431"/>
      <c r="N13" s="431"/>
    </row>
    <row r="14" spans="1:14" s="398" customFormat="1" hidden="1" outlineLevel="1">
      <c r="A14" s="1221"/>
      <c r="B14" s="425"/>
      <c r="C14" s="165" t="s">
        <v>2</v>
      </c>
      <c r="D14" s="392">
        <v>1</v>
      </c>
      <c r="E14" s="165"/>
      <c r="F14" s="401">
        <f>4.43+0.61</f>
        <v>5.04</v>
      </c>
      <c r="G14" s="401">
        <v>0.61</v>
      </c>
      <c r="H14" s="401">
        <v>0.15</v>
      </c>
      <c r="I14" s="399">
        <f t="shared" si="0"/>
        <v>0.46</v>
      </c>
      <c r="J14" s="374"/>
      <c r="K14" s="1222"/>
      <c r="L14" s="431"/>
      <c r="M14" s="431"/>
      <c r="N14" s="431"/>
    </row>
    <row r="15" spans="1:14" s="398" customFormat="1" hidden="1" outlineLevel="1">
      <c r="A15" s="1221"/>
      <c r="B15" s="425"/>
      <c r="C15" s="165" t="s">
        <v>2</v>
      </c>
      <c r="D15" s="392">
        <v>1</v>
      </c>
      <c r="E15" s="165"/>
      <c r="F15" s="401">
        <f>6.43+0.61*2</f>
        <v>7.6499999999999995</v>
      </c>
      <c r="G15" s="401">
        <v>0.61</v>
      </c>
      <c r="H15" s="401">
        <v>0.15</v>
      </c>
      <c r="I15" s="399">
        <f t="shared" si="0"/>
        <v>0.7</v>
      </c>
      <c r="J15" s="374"/>
      <c r="K15" s="1222"/>
      <c r="L15" s="431"/>
      <c r="M15" s="431"/>
      <c r="N15" s="431"/>
    </row>
    <row r="16" spans="1:14" s="398" customFormat="1" hidden="1" outlineLevel="1">
      <c r="A16" s="1221"/>
      <c r="B16" s="425" t="s">
        <v>138</v>
      </c>
      <c r="C16" s="165" t="s">
        <v>2</v>
      </c>
      <c r="D16" s="392">
        <v>5</v>
      </c>
      <c r="E16" s="165"/>
      <c r="F16" s="401">
        <v>0.61499999999999999</v>
      </c>
      <c r="G16" s="401">
        <v>0.61</v>
      </c>
      <c r="H16" s="401">
        <v>0.15</v>
      </c>
      <c r="I16" s="399">
        <f t="shared" si="0"/>
        <v>0.28000000000000003</v>
      </c>
      <c r="J16" s="374"/>
      <c r="K16" s="1222"/>
      <c r="L16" s="431"/>
      <c r="M16" s="431"/>
      <c r="N16" s="431"/>
    </row>
    <row r="17" spans="1:14" s="398" customFormat="1" hidden="1" outlineLevel="1">
      <c r="A17" s="1221"/>
      <c r="B17" s="425"/>
      <c r="C17" s="165" t="s">
        <v>2</v>
      </c>
      <c r="D17" s="392">
        <v>1</v>
      </c>
      <c r="E17" s="165"/>
      <c r="F17" s="401">
        <v>3.36</v>
      </c>
      <c r="G17" s="401">
        <v>0.61</v>
      </c>
      <c r="H17" s="401">
        <v>0.15</v>
      </c>
      <c r="I17" s="399">
        <f t="shared" si="0"/>
        <v>0.31</v>
      </c>
      <c r="J17" s="374"/>
      <c r="K17" s="1222"/>
      <c r="L17" s="431"/>
      <c r="M17" s="431"/>
      <c r="N17" s="431"/>
    </row>
    <row r="18" spans="1:14" s="398" customFormat="1" hidden="1" outlineLevel="1">
      <c r="A18" s="1221"/>
      <c r="B18" s="425"/>
      <c r="C18" s="165" t="s">
        <v>2</v>
      </c>
      <c r="D18" s="392">
        <v>4</v>
      </c>
      <c r="E18" s="165"/>
      <c r="F18" s="401">
        <f>2.13-0.61*2</f>
        <v>0.90999999999999992</v>
      </c>
      <c r="G18" s="401">
        <v>0.61</v>
      </c>
      <c r="H18" s="401">
        <v>0.15</v>
      </c>
      <c r="I18" s="399">
        <f t="shared" si="0"/>
        <v>0.33</v>
      </c>
      <c r="J18" s="374"/>
      <c r="K18" s="1222"/>
      <c r="L18" s="431"/>
      <c r="M18" s="431"/>
      <c r="N18" s="431"/>
    </row>
    <row r="19" spans="1:14" s="398" customFormat="1" hidden="1" outlineLevel="1">
      <c r="A19" s="1221"/>
      <c r="B19" s="425"/>
      <c r="C19" s="165" t="s">
        <v>2</v>
      </c>
      <c r="D19" s="392">
        <v>3</v>
      </c>
      <c r="E19" s="165"/>
      <c r="F19" s="401">
        <v>2.145</v>
      </c>
      <c r="G19" s="401">
        <v>0.61</v>
      </c>
      <c r="H19" s="401">
        <v>0.15</v>
      </c>
      <c r="I19" s="399">
        <f t="shared" si="0"/>
        <v>0.59</v>
      </c>
      <c r="J19" s="374"/>
      <c r="K19" s="1222"/>
      <c r="L19" s="431"/>
      <c r="M19" s="431"/>
      <c r="N19" s="431"/>
    </row>
    <row r="20" spans="1:14" s="398" customFormat="1" hidden="1" outlineLevel="1">
      <c r="A20" s="1221"/>
      <c r="B20" s="425" t="s">
        <v>106</v>
      </c>
      <c r="C20" s="165" t="s">
        <v>2</v>
      </c>
      <c r="D20" s="392">
        <v>1</v>
      </c>
      <c r="E20" s="165"/>
      <c r="F20" s="401">
        <f>5.53+0.61*2</f>
        <v>6.75</v>
      </c>
      <c r="G20" s="401">
        <v>0.61</v>
      </c>
      <c r="H20" s="401">
        <v>0.15</v>
      </c>
      <c r="I20" s="399">
        <f t="shared" si="0"/>
        <v>0.62</v>
      </c>
      <c r="J20" s="374"/>
      <c r="K20" s="1222"/>
      <c r="L20" s="431"/>
      <c r="M20" s="431"/>
      <c r="N20" s="431"/>
    </row>
    <row r="21" spans="1:14" s="398" customFormat="1" hidden="1" outlineLevel="1">
      <c r="A21" s="1221"/>
      <c r="B21" s="425" t="s">
        <v>107</v>
      </c>
      <c r="C21" s="165" t="s">
        <v>2</v>
      </c>
      <c r="D21" s="392">
        <v>1</v>
      </c>
      <c r="E21" s="165"/>
      <c r="F21" s="401">
        <f>1.2+2.33+0.61*2</f>
        <v>4.75</v>
      </c>
      <c r="G21" s="401">
        <v>0.61</v>
      </c>
      <c r="H21" s="401">
        <v>0.15</v>
      </c>
      <c r="I21" s="399">
        <f t="shared" si="0"/>
        <v>0.43</v>
      </c>
      <c r="J21" s="374"/>
      <c r="K21" s="1222"/>
      <c r="L21" s="431"/>
      <c r="M21" s="431"/>
      <c r="N21" s="431"/>
    </row>
    <row r="22" spans="1:14" s="398" customFormat="1" hidden="1" outlineLevel="1">
      <c r="A22" s="1221"/>
      <c r="B22" s="425"/>
      <c r="C22" s="165" t="s">
        <v>2</v>
      </c>
      <c r="D22" s="392">
        <v>2</v>
      </c>
      <c r="E22" s="165"/>
      <c r="F22" s="401">
        <v>2.33</v>
      </c>
      <c r="G22" s="401">
        <v>0.61</v>
      </c>
      <c r="H22" s="401">
        <v>0.15</v>
      </c>
      <c r="I22" s="399">
        <f t="shared" si="0"/>
        <v>0.43</v>
      </c>
      <c r="J22" s="374"/>
      <c r="K22" s="1222"/>
      <c r="L22" s="431"/>
      <c r="M22" s="431"/>
      <c r="N22" s="431"/>
    </row>
    <row r="23" spans="1:14" s="398" customFormat="1" hidden="1" outlineLevel="1">
      <c r="A23" s="1221"/>
      <c r="B23" s="425"/>
      <c r="C23" s="165" t="s">
        <v>2</v>
      </c>
      <c r="D23" s="392">
        <v>2</v>
      </c>
      <c r="E23" s="165"/>
      <c r="F23" s="401">
        <f>0.9+2+1.43-2+0.61*2</f>
        <v>3.55</v>
      </c>
      <c r="G23" s="401">
        <v>0.61</v>
      </c>
      <c r="H23" s="401">
        <v>0.15</v>
      </c>
      <c r="I23" s="399">
        <f t="shared" si="0"/>
        <v>0.65</v>
      </c>
      <c r="J23" s="374"/>
      <c r="K23" s="1222"/>
      <c r="L23" s="431"/>
      <c r="M23" s="431"/>
      <c r="N23" s="431"/>
    </row>
    <row r="24" spans="1:14" s="398" customFormat="1" hidden="1" outlineLevel="1">
      <c r="A24" s="1221"/>
      <c r="B24" s="425"/>
      <c r="C24" s="165" t="s">
        <v>2</v>
      </c>
      <c r="D24" s="392">
        <v>1</v>
      </c>
      <c r="E24" s="165"/>
      <c r="F24" s="401">
        <f>1.43+0.61</f>
        <v>2.04</v>
      </c>
      <c r="G24" s="401">
        <v>0.61</v>
      </c>
      <c r="H24" s="401">
        <v>0.15</v>
      </c>
      <c r="I24" s="399">
        <f t="shared" si="0"/>
        <v>0.19</v>
      </c>
      <c r="J24" s="374"/>
      <c r="K24" s="1222"/>
      <c r="L24" s="431"/>
      <c r="M24" s="431"/>
      <c r="N24" s="431"/>
    </row>
    <row r="25" spans="1:14" s="398" customFormat="1" hidden="1" outlineLevel="1">
      <c r="A25" s="1221"/>
      <c r="B25" s="425"/>
      <c r="C25" s="165" t="s">
        <v>2</v>
      </c>
      <c r="D25" s="392">
        <v>1</v>
      </c>
      <c r="E25" s="165"/>
      <c r="F25" s="401">
        <f>1.43+2+0.61*2</f>
        <v>4.6499999999999995</v>
      </c>
      <c r="G25" s="401">
        <v>0.61</v>
      </c>
      <c r="H25" s="401">
        <v>0.15</v>
      </c>
      <c r="I25" s="399">
        <f t="shared" si="0"/>
        <v>0.43</v>
      </c>
      <c r="J25" s="374"/>
      <c r="K25" s="1222"/>
      <c r="L25" s="431"/>
      <c r="M25" s="431"/>
      <c r="N25" s="431"/>
    </row>
    <row r="26" spans="1:14" s="398" customFormat="1" hidden="1" outlineLevel="1">
      <c r="A26" s="1221"/>
      <c r="B26" s="425" t="s">
        <v>108</v>
      </c>
      <c r="C26" s="165" t="s">
        <v>2</v>
      </c>
      <c r="D26" s="392">
        <v>5</v>
      </c>
      <c r="E26" s="165"/>
      <c r="F26" s="401">
        <v>0.61499999999999999</v>
      </c>
      <c r="G26" s="401">
        <v>0.61</v>
      </c>
      <c r="H26" s="401">
        <v>0.15</v>
      </c>
      <c r="I26" s="399">
        <f t="shared" si="0"/>
        <v>0.28000000000000003</v>
      </c>
      <c r="J26" s="374"/>
      <c r="K26" s="1222"/>
      <c r="L26" s="431"/>
      <c r="M26" s="431"/>
      <c r="N26" s="431"/>
    </row>
    <row r="27" spans="1:14" s="398" customFormat="1" hidden="1" outlineLevel="1">
      <c r="A27" s="1221"/>
      <c r="B27" s="425"/>
      <c r="C27" s="165" t="s">
        <v>2</v>
      </c>
      <c r="D27" s="392">
        <v>3</v>
      </c>
      <c r="E27" s="165"/>
      <c r="F27" s="401">
        <v>2.1549999999999998</v>
      </c>
      <c r="G27" s="401">
        <v>0.61</v>
      </c>
      <c r="H27" s="401">
        <v>0.15</v>
      </c>
      <c r="I27" s="399">
        <f t="shared" si="0"/>
        <v>0.59</v>
      </c>
      <c r="J27" s="374"/>
      <c r="K27" s="1222"/>
      <c r="L27" s="431"/>
      <c r="M27" s="431"/>
      <c r="N27" s="431"/>
    </row>
    <row r="28" spans="1:14" s="398" customFormat="1" hidden="1" outlineLevel="1">
      <c r="A28" s="1221"/>
      <c r="B28" s="425"/>
      <c r="C28" s="165" t="s">
        <v>2</v>
      </c>
      <c r="D28" s="392">
        <v>3</v>
      </c>
      <c r="E28" s="165"/>
      <c r="F28" s="401">
        <f>2.13-0.61*2</f>
        <v>0.90999999999999992</v>
      </c>
      <c r="G28" s="401">
        <v>0.61</v>
      </c>
      <c r="H28" s="401">
        <v>0.15</v>
      </c>
      <c r="I28" s="399">
        <f t="shared" si="0"/>
        <v>0.25</v>
      </c>
      <c r="J28" s="374"/>
      <c r="K28" s="1222"/>
      <c r="L28" s="431"/>
      <c r="M28" s="431"/>
      <c r="N28" s="431"/>
    </row>
    <row r="29" spans="1:14" s="398" customFormat="1" ht="34.5" hidden="1" outlineLevel="1">
      <c r="A29" s="1221"/>
      <c r="B29" s="425" t="s">
        <v>109</v>
      </c>
      <c r="C29" s="165" t="s">
        <v>2</v>
      </c>
      <c r="D29" s="392">
        <v>1</v>
      </c>
      <c r="E29" s="165"/>
      <c r="F29" s="401">
        <f>9.155+0.61*2</f>
        <v>10.375</v>
      </c>
      <c r="G29" s="401">
        <v>0.61</v>
      </c>
      <c r="H29" s="401">
        <v>0.15</v>
      </c>
      <c r="I29" s="399">
        <f t="shared" si="0"/>
        <v>0.95</v>
      </c>
      <c r="J29" s="374"/>
      <c r="K29" s="1222"/>
      <c r="L29" s="431"/>
      <c r="M29" s="431"/>
      <c r="N29" s="431"/>
    </row>
    <row r="30" spans="1:14" s="398" customFormat="1" hidden="1" outlineLevel="1">
      <c r="A30" s="1221"/>
      <c r="B30" s="425"/>
      <c r="C30" s="165" t="s">
        <v>2</v>
      </c>
      <c r="D30" s="392">
        <v>2</v>
      </c>
      <c r="E30" s="165"/>
      <c r="F30" s="401">
        <f>3+4.015+0.61</f>
        <v>7.625</v>
      </c>
      <c r="G30" s="401">
        <v>0.61</v>
      </c>
      <c r="H30" s="401">
        <v>0.15</v>
      </c>
      <c r="I30" s="399">
        <f t="shared" si="0"/>
        <v>1.4</v>
      </c>
      <c r="J30" s="374"/>
      <c r="K30" s="1222"/>
      <c r="L30" s="431"/>
      <c r="M30" s="431"/>
      <c r="N30" s="431"/>
    </row>
    <row r="31" spans="1:14" s="398" customFormat="1" hidden="1" outlineLevel="1">
      <c r="A31" s="1221"/>
      <c r="B31" s="425"/>
      <c r="C31" s="165" t="s">
        <v>2</v>
      </c>
      <c r="D31" s="392">
        <v>1</v>
      </c>
      <c r="E31" s="165"/>
      <c r="F31" s="401">
        <f>2.49+3+1.525+0.61*2</f>
        <v>8.2350000000000012</v>
      </c>
      <c r="G31" s="401">
        <v>0.61</v>
      </c>
      <c r="H31" s="401">
        <v>0.15</v>
      </c>
      <c r="I31" s="399">
        <f t="shared" si="0"/>
        <v>0.75</v>
      </c>
      <c r="J31" s="374"/>
      <c r="K31" s="1222"/>
      <c r="L31" s="431"/>
      <c r="M31" s="431"/>
      <c r="N31" s="431"/>
    </row>
    <row r="32" spans="1:14" s="398" customFormat="1" hidden="1" outlineLevel="1">
      <c r="A32" s="1221"/>
      <c r="B32" s="425"/>
      <c r="C32" s="165" t="s">
        <v>2</v>
      </c>
      <c r="D32" s="392">
        <v>1</v>
      </c>
      <c r="E32" s="165"/>
      <c r="F32" s="401">
        <f>1.2+2.14+2.44-2.14+0.61</f>
        <v>4.2499999999999991</v>
      </c>
      <c r="G32" s="401">
        <v>0.61</v>
      </c>
      <c r="H32" s="401">
        <v>0.15</v>
      </c>
      <c r="I32" s="399">
        <f t="shared" si="0"/>
        <v>0.39</v>
      </c>
      <c r="J32" s="374"/>
      <c r="K32" s="1222"/>
      <c r="L32" s="431"/>
      <c r="M32" s="431"/>
      <c r="N32" s="431"/>
    </row>
    <row r="33" spans="1:14" s="398" customFormat="1" hidden="1" outlineLevel="1">
      <c r="A33" s="1221"/>
      <c r="B33" s="425"/>
      <c r="C33" s="165" t="s">
        <v>2</v>
      </c>
      <c r="D33" s="392">
        <v>1</v>
      </c>
      <c r="E33" s="165"/>
      <c r="F33" s="401">
        <f>1.2+2.44+0.61*2</f>
        <v>4.8599999999999994</v>
      </c>
      <c r="G33" s="401">
        <v>0.61</v>
      </c>
      <c r="H33" s="401">
        <v>0.15</v>
      </c>
      <c r="I33" s="399">
        <f t="shared" si="0"/>
        <v>0.44</v>
      </c>
      <c r="J33" s="374"/>
      <c r="K33" s="1222"/>
      <c r="L33" s="431"/>
      <c r="M33" s="431"/>
      <c r="N33" s="431"/>
    </row>
    <row r="34" spans="1:14" s="398" customFormat="1" hidden="1" outlineLevel="1">
      <c r="A34" s="1221"/>
      <c r="B34" s="425"/>
      <c r="C34" s="165" t="s">
        <v>2</v>
      </c>
      <c r="D34" s="392">
        <v>2</v>
      </c>
      <c r="E34" s="165"/>
      <c r="F34" s="401">
        <f>3.965+0.61</f>
        <v>4.5750000000000002</v>
      </c>
      <c r="G34" s="401">
        <v>0.61</v>
      </c>
      <c r="H34" s="401">
        <v>0.15</v>
      </c>
      <c r="I34" s="399">
        <f t="shared" si="0"/>
        <v>0.84</v>
      </c>
      <c r="J34" s="374"/>
      <c r="K34" s="1222"/>
      <c r="L34" s="431"/>
      <c r="M34" s="431"/>
      <c r="N34" s="431"/>
    </row>
    <row r="35" spans="1:14" s="398" customFormat="1" hidden="1" outlineLevel="1">
      <c r="A35" s="1221"/>
      <c r="B35" s="425"/>
      <c r="C35" s="165" t="s">
        <v>2</v>
      </c>
      <c r="D35" s="392">
        <v>1</v>
      </c>
      <c r="E35" s="165"/>
      <c r="F35" s="401">
        <f>0.915+2.14+2.41-2.14+0.61</f>
        <v>3.9349999999999996</v>
      </c>
      <c r="G35" s="401">
        <v>0.61</v>
      </c>
      <c r="H35" s="401">
        <v>0.15</v>
      </c>
      <c r="I35" s="399">
        <f t="shared" si="0"/>
        <v>0.36</v>
      </c>
      <c r="J35" s="374"/>
      <c r="K35" s="1222"/>
      <c r="L35" s="431"/>
      <c r="M35" s="431"/>
      <c r="N35" s="431"/>
    </row>
    <row r="36" spans="1:14" s="398" customFormat="1" hidden="1" outlineLevel="1">
      <c r="A36" s="1221"/>
      <c r="B36" s="425"/>
      <c r="C36" s="165" t="s">
        <v>2</v>
      </c>
      <c r="D36" s="392">
        <v>1</v>
      </c>
      <c r="E36" s="165"/>
      <c r="F36" s="401">
        <f>0.915+2.41+0.61*2</f>
        <v>4.5449999999999999</v>
      </c>
      <c r="G36" s="401">
        <v>0.61</v>
      </c>
      <c r="H36" s="401">
        <v>0.15</v>
      </c>
      <c r="I36" s="399">
        <f t="shared" si="0"/>
        <v>0.42</v>
      </c>
      <c r="J36" s="374"/>
      <c r="K36" s="1222"/>
      <c r="L36" s="431"/>
      <c r="M36" s="431"/>
      <c r="N36" s="431"/>
    </row>
    <row r="37" spans="1:14" s="398" customFormat="1" hidden="1" outlineLevel="1">
      <c r="A37" s="1221"/>
      <c r="B37" s="425"/>
      <c r="C37" s="165" t="s">
        <v>2</v>
      </c>
      <c r="D37" s="392">
        <v>1</v>
      </c>
      <c r="E37" s="165"/>
      <c r="F37" s="401">
        <f>2.41+0.61</f>
        <v>3.02</v>
      </c>
      <c r="G37" s="401">
        <v>0.61</v>
      </c>
      <c r="H37" s="401">
        <v>0.15</v>
      </c>
      <c r="I37" s="399">
        <f t="shared" si="0"/>
        <v>0.28000000000000003</v>
      </c>
      <c r="J37" s="374"/>
      <c r="K37" s="1222"/>
      <c r="L37" s="431"/>
      <c r="M37" s="431"/>
      <c r="N37" s="431"/>
    </row>
    <row r="38" spans="1:14" s="398" customFormat="1" hidden="1" outlineLevel="1">
      <c r="A38" s="1221"/>
      <c r="B38" s="425"/>
      <c r="C38" s="165" t="s">
        <v>2</v>
      </c>
      <c r="D38" s="392">
        <v>1</v>
      </c>
      <c r="E38" s="165"/>
      <c r="F38" s="401">
        <v>3.01</v>
      </c>
      <c r="G38" s="401">
        <v>0.61</v>
      </c>
      <c r="H38" s="401">
        <v>0.15</v>
      </c>
      <c r="I38" s="399">
        <f t="shared" si="0"/>
        <v>0.28000000000000003</v>
      </c>
      <c r="J38" s="374"/>
      <c r="K38" s="1222"/>
      <c r="L38" s="431"/>
      <c r="M38" s="431"/>
      <c r="N38" s="431"/>
    </row>
    <row r="39" spans="1:14" s="398" customFormat="1" hidden="1" outlineLevel="1">
      <c r="A39" s="1221"/>
      <c r="B39" s="425"/>
      <c r="C39" s="165" t="s">
        <v>2</v>
      </c>
      <c r="D39" s="392">
        <v>2</v>
      </c>
      <c r="E39" s="165"/>
      <c r="F39" s="401">
        <v>1.4850000000000001</v>
      </c>
      <c r="G39" s="401">
        <v>0.61</v>
      </c>
      <c r="H39" s="401">
        <v>0.15</v>
      </c>
      <c r="I39" s="399">
        <f t="shared" si="0"/>
        <v>0.27</v>
      </c>
      <c r="J39" s="374"/>
      <c r="K39" s="1222"/>
      <c r="L39" s="431"/>
      <c r="M39" s="431"/>
      <c r="N39" s="431"/>
    </row>
    <row r="40" spans="1:14" s="398" customFormat="1" hidden="1" outlineLevel="1">
      <c r="A40" s="1221"/>
      <c r="B40" s="425"/>
      <c r="C40" s="165" t="s">
        <v>2</v>
      </c>
      <c r="D40" s="392">
        <v>1</v>
      </c>
      <c r="E40" s="165"/>
      <c r="F40" s="401">
        <f>2.11+0.61*2</f>
        <v>3.33</v>
      </c>
      <c r="G40" s="401">
        <v>0.61</v>
      </c>
      <c r="H40" s="401">
        <v>0.15</v>
      </c>
      <c r="I40" s="399">
        <f t="shared" si="0"/>
        <v>0.3</v>
      </c>
      <c r="J40" s="374"/>
      <c r="K40" s="1222"/>
      <c r="L40" s="431"/>
      <c r="M40" s="431"/>
      <c r="N40" s="431"/>
    </row>
    <row r="41" spans="1:14" s="398" customFormat="1" ht="34.5" hidden="1" outlineLevel="1">
      <c r="A41" s="1221"/>
      <c r="B41" s="425" t="s">
        <v>110</v>
      </c>
      <c r="C41" s="165" t="s">
        <v>2</v>
      </c>
      <c r="D41" s="392">
        <v>5</v>
      </c>
      <c r="E41" s="165"/>
      <c r="F41" s="401">
        <v>0.6</v>
      </c>
      <c r="G41" s="401">
        <v>0.61</v>
      </c>
      <c r="H41" s="401">
        <v>0.15</v>
      </c>
      <c r="I41" s="399">
        <f t="shared" si="0"/>
        <v>0.27</v>
      </c>
      <c r="J41" s="374"/>
      <c r="K41" s="1222"/>
      <c r="L41" s="431"/>
      <c r="M41" s="431"/>
      <c r="N41" s="431"/>
    </row>
    <row r="42" spans="1:14" s="398" customFormat="1" hidden="1" outlineLevel="1">
      <c r="A42" s="1221"/>
      <c r="B42" s="425"/>
      <c r="C42" s="165" t="s">
        <v>2</v>
      </c>
      <c r="D42" s="392">
        <v>6</v>
      </c>
      <c r="E42" s="165"/>
      <c r="F42" s="401">
        <f>2-0.61*2</f>
        <v>0.78</v>
      </c>
      <c r="G42" s="401">
        <v>0.61</v>
      </c>
      <c r="H42" s="401">
        <v>0.15</v>
      </c>
      <c r="I42" s="399">
        <f t="shared" si="0"/>
        <v>0.43</v>
      </c>
      <c r="J42" s="374"/>
      <c r="K42" s="1222"/>
      <c r="L42" s="431"/>
      <c r="M42" s="431"/>
      <c r="N42" s="431"/>
    </row>
    <row r="43" spans="1:14" s="398" customFormat="1" hidden="1" outlineLevel="1">
      <c r="A43" s="1221"/>
      <c r="B43" s="425"/>
      <c r="C43" s="165" t="s">
        <v>2</v>
      </c>
      <c r="D43" s="392">
        <v>1</v>
      </c>
      <c r="E43" s="165"/>
      <c r="F43" s="401">
        <v>3.2050000000000001</v>
      </c>
      <c r="G43" s="401">
        <v>0.61</v>
      </c>
      <c r="H43" s="401">
        <v>0.15</v>
      </c>
      <c r="I43" s="399">
        <f t="shared" si="0"/>
        <v>0.28999999999999998</v>
      </c>
      <c r="J43" s="374"/>
      <c r="K43" s="1222"/>
      <c r="L43" s="431"/>
      <c r="M43" s="431"/>
      <c r="N43" s="431"/>
    </row>
    <row r="44" spans="1:14" s="398" customFormat="1" hidden="1" outlineLevel="1">
      <c r="A44" s="1221"/>
      <c r="B44" s="425"/>
      <c r="C44" s="165" t="s">
        <v>2</v>
      </c>
      <c r="D44" s="392">
        <v>4</v>
      </c>
      <c r="E44" s="165"/>
      <c r="F44" s="401">
        <f>2.6-0.61</f>
        <v>1.9900000000000002</v>
      </c>
      <c r="G44" s="401">
        <v>0.61</v>
      </c>
      <c r="H44" s="401">
        <v>0.15</v>
      </c>
      <c r="I44" s="399">
        <f t="shared" si="0"/>
        <v>0.73</v>
      </c>
      <c r="J44" s="374"/>
      <c r="K44" s="1222"/>
      <c r="L44" s="431"/>
      <c r="M44" s="431"/>
      <c r="N44" s="431"/>
    </row>
    <row r="45" spans="1:14" s="398" customFormat="1" hidden="1" outlineLevel="1">
      <c r="A45" s="1221"/>
      <c r="B45" s="425"/>
      <c r="C45" s="165" t="s">
        <v>2</v>
      </c>
      <c r="D45" s="392">
        <v>1</v>
      </c>
      <c r="E45" s="165"/>
      <c r="F45" s="401">
        <f>2.6</f>
        <v>2.6</v>
      </c>
      <c r="G45" s="401">
        <v>0.61</v>
      </c>
      <c r="H45" s="401">
        <v>0.15</v>
      </c>
      <c r="I45" s="399">
        <f t="shared" si="0"/>
        <v>0.24</v>
      </c>
      <c r="J45" s="374"/>
      <c r="K45" s="1222"/>
      <c r="L45" s="431"/>
      <c r="M45" s="431"/>
      <c r="N45" s="431"/>
    </row>
    <row r="46" spans="1:14" s="398" customFormat="1" hidden="1" outlineLevel="1">
      <c r="A46" s="1221"/>
      <c r="B46" s="425"/>
      <c r="C46" s="165" t="s">
        <v>2</v>
      </c>
      <c r="D46" s="392">
        <v>1</v>
      </c>
      <c r="E46" s="165"/>
      <c r="F46" s="401">
        <v>3.2</v>
      </c>
      <c r="G46" s="401">
        <v>0.61</v>
      </c>
      <c r="H46" s="401">
        <v>0.15</v>
      </c>
      <c r="I46" s="399">
        <f t="shared" si="0"/>
        <v>0.28999999999999998</v>
      </c>
      <c r="J46" s="374"/>
      <c r="K46" s="1222"/>
      <c r="L46" s="431"/>
      <c r="M46" s="431"/>
      <c r="N46" s="431"/>
    </row>
    <row r="47" spans="1:14" s="398" customFormat="1" ht="34.5" hidden="1" outlineLevel="1">
      <c r="A47" s="1221"/>
      <c r="B47" s="425" t="s">
        <v>111</v>
      </c>
      <c r="C47" s="165" t="s">
        <v>2</v>
      </c>
      <c r="D47" s="392">
        <v>1</v>
      </c>
      <c r="E47" s="165"/>
      <c r="F47" s="401">
        <f>8.8+0.61*2</f>
        <v>10.020000000000001</v>
      </c>
      <c r="G47" s="401">
        <v>0.61</v>
      </c>
      <c r="H47" s="401">
        <v>0.15</v>
      </c>
      <c r="I47" s="399">
        <f t="shared" si="0"/>
        <v>0.92</v>
      </c>
      <c r="J47" s="374"/>
      <c r="K47" s="1222"/>
      <c r="L47" s="431"/>
      <c r="M47" s="431"/>
      <c r="N47" s="431"/>
    </row>
    <row r="48" spans="1:14" s="398" customFormat="1" hidden="1" outlineLevel="1">
      <c r="A48" s="1221"/>
      <c r="B48" s="425" t="s">
        <v>112</v>
      </c>
      <c r="C48" s="165" t="s">
        <v>2</v>
      </c>
      <c r="D48" s="392">
        <v>1</v>
      </c>
      <c r="E48" s="165"/>
      <c r="F48" s="401">
        <f>4.2+2.8+0.61*2</f>
        <v>8.2200000000000006</v>
      </c>
      <c r="G48" s="401">
        <v>0.61</v>
      </c>
      <c r="H48" s="401">
        <v>0.15</v>
      </c>
      <c r="I48" s="399">
        <f t="shared" si="0"/>
        <v>0.75</v>
      </c>
      <c r="J48" s="374"/>
      <c r="K48" s="1222"/>
      <c r="L48" s="431"/>
      <c r="M48" s="431"/>
      <c r="N48" s="431"/>
    </row>
    <row r="49" spans="1:14" s="398" customFormat="1" hidden="1" outlineLevel="1">
      <c r="A49" s="1221"/>
      <c r="B49" s="425"/>
      <c r="C49" s="165" t="s">
        <v>2</v>
      </c>
      <c r="D49" s="392">
        <v>1</v>
      </c>
      <c r="E49" s="165"/>
      <c r="F49" s="401">
        <f>2+4.2+1.8+0.61*2</f>
        <v>9.2200000000000006</v>
      </c>
      <c r="G49" s="401">
        <v>0.61</v>
      </c>
      <c r="H49" s="401">
        <v>0.15</v>
      </c>
      <c r="I49" s="399">
        <f t="shared" si="0"/>
        <v>0.84</v>
      </c>
      <c r="J49" s="374"/>
      <c r="K49" s="1222"/>
      <c r="L49" s="431"/>
      <c r="M49" s="431"/>
      <c r="N49" s="431"/>
    </row>
    <row r="50" spans="1:14" s="398" customFormat="1" hidden="1" outlineLevel="1">
      <c r="A50" s="1221"/>
      <c r="B50" s="425"/>
      <c r="C50" s="165" t="s">
        <v>2</v>
      </c>
      <c r="D50" s="392">
        <v>1</v>
      </c>
      <c r="E50" s="165"/>
      <c r="F50" s="401">
        <f>2+6+0.61</f>
        <v>8.61</v>
      </c>
      <c r="G50" s="401">
        <v>0.61</v>
      </c>
      <c r="H50" s="401">
        <v>0.15</v>
      </c>
      <c r="I50" s="399">
        <f t="shared" si="0"/>
        <v>0.79</v>
      </c>
      <c r="J50" s="374"/>
      <c r="K50" s="1222"/>
      <c r="L50" s="431"/>
      <c r="M50" s="431"/>
      <c r="N50" s="431"/>
    </row>
    <row r="51" spans="1:14" s="398" customFormat="1" hidden="1" outlineLevel="1">
      <c r="A51" s="1221"/>
      <c r="B51" s="425"/>
      <c r="C51" s="165" t="s">
        <v>2</v>
      </c>
      <c r="D51" s="392">
        <v>2</v>
      </c>
      <c r="E51" s="165"/>
      <c r="F51" s="401">
        <f>6+1+0.61*2</f>
        <v>8.2200000000000006</v>
      </c>
      <c r="G51" s="401">
        <v>0.61</v>
      </c>
      <c r="H51" s="401">
        <v>0.15</v>
      </c>
      <c r="I51" s="399">
        <f t="shared" si="0"/>
        <v>1.5</v>
      </c>
      <c r="J51" s="374"/>
      <c r="K51" s="1222"/>
      <c r="L51" s="431"/>
      <c r="M51" s="431"/>
      <c r="N51" s="431"/>
    </row>
    <row r="52" spans="1:14" s="398" customFormat="1" hidden="1" outlineLevel="1">
      <c r="A52" s="1221"/>
      <c r="B52" s="425"/>
      <c r="C52" s="165" t="s">
        <v>2</v>
      </c>
      <c r="D52" s="392">
        <v>1</v>
      </c>
      <c r="E52" s="165"/>
      <c r="F52" s="401">
        <f>2.7+1.8+0.61*2</f>
        <v>5.72</v>
      </c>
      <c r="G52" s="401">
        <v>0.61</v>
      </c>
      <c r="H52" s="401">
        <v>0.15</v>
      </c>
      <c r="I52" s="399">
        <f t="shared" si="0"/>
        <v>0.52</v>
      </c>
      <c r="J52" s="374"/>
      <c r="K52" s="1222"/>
      <c r="L52" s="431"/>
      <c r="M52" s="431"/>
      <c r="N52" s="431"/>
    </row>
    <row r="53" spans="1:14" s="398" customFormat="1" hidden="1" outlineLevel="1">
      <c r="A53" s="1221"/>
      <c r="B53" s="425"/>
      <c r="C53" s="165" t="s">
        <v>2</v>
      </c>
      <c r="D53" s="392">
        <v>2</v>
      </c>
      <c r="E53" s="165"/>
      <c r="F53" s="401">
        <f>4.5+0.61</f>
        <v>5.1100000000000003</v>
      </c>
      <c r="G53" s="401">
        <v>0.61</v>
      </c>
      <c r="H53" s="401">
        <v>0.15</v>
      </c>
      <c r="I53" s="399">
        <f t="shared" si="0"/>
        <v>0.94</v>
      </c>
      <c r="J53" s="374"/>
      <c r="K53" s="1222"/>
      <c r="L53" s="431"/>
      <c r="M53" s="431"/>
      <c r="N53" s="431"/>
    </row>
    <row r="54" spans="1:14" s="398" customFormat="1" hidden="1" outlineLevel="1">
      <c r="A54" s="1221"/>
      <c r="B54" s="425"/>
      <c r="C54" s="165" t="s">
        <v>2</v>
      </c>
      <c r="D54" s="392">
        <v>1</v>
      </c>
      <c r="E54" s="165"/>
      <c r="F54" s="401">
        <f>7.5+0.61*2</f>
        <v>8.7200000000000006</v>
      </c>
      <c r="G54" s="401">
        <v>0.61</v>
      </c>
      <c r="H54" s="401">
        <v>0.15</v>
      </c>
      <c r="I54" s="399">
        <f t="shared" si="0"/>
        <v>0.8</v>
      </c>
      <c r="J54" s="374"/>
      <c r="K54" s="1222"/>
      <c r="L54" s="431"/>
      <c r="M54" s="431"/>
      <c r="N54" s="431"/>
    </row>
    <row r="55" spans="1:14" s="398" customFormat="1" ht="34.5" hidden="1" outlineLevel="1">
      <c r="A55" s="1221"/>
      <c r="B55" s="425" t="s">
        <v>113</v>
      </c>
      <c r="C55" s="165" t="s">
        <v>2</v>
      </c>
      <c r="D55" s="392">
        <v>8</v>
      </c>
      <c r="E55" s="165"/>
      <c r="F55" s="401">
        <v>0.61499999999999999</v>
      </c>
      <c r="G55" s="401">
        <v>0.61</v>
      </c>
      <c r="H55" s="401">
        <v>0.15</v>
      </c>
      <c r="I55" s="399">
        <f t="shared" si="0"/>
        <v>0.45</v>
      </c>
      <c r="J55" s="374"/>
      <c r="K55" s="1222"/>
      <c r="L55" s="431"/>
      <c r="M55" s="431"/>
      <c r="N55" s="431"/>
    </row>
    <row r="56" spans="1:14" s="398" customFormat="1" hidden="1" outlineLevel="1">
      <c r="A56" s="1221"/>
      <c r="B56" s="425" t="s">
        <v>112</v>
      </c>
      <c r="C56" s="165" t="s">
        <v>2</v>
      </c>
      <c r="D56" s="392">
        <v>2</v>
      </c>
      <c r="E56" s="165"/>
      <c r="F56" s="401">
        <v>1.2250000000000001</v>
      </c>
      <c r="G56" s="401">
        <v>0.61</v>
      </c>
      <c r="H56" s="401">
        <v>0.15</v>
      </c>
      <c r="I56" s="399">
        <f t="shared" si="0"/>
        <v>0.22</v>
      </c>
      <c r="J56" s="374"/>
      <c r="K56" s="1222"/>
      <c r="L56" s="431"/>
      <c r="M56" s="431"/>
      <c r="N56" s="431"/>
    </row>
    <row r="57" spans="1:14" s="398" customFormat="1" hidden="1" outlineLevel="1">
      <c r="A57" s="1221"/>
      <c r="B57" s="425"/>
      <c r="C57" s="165" t="s">
        <v>2</v>
      </c>
      <c r="D57" s="392">
        <v>2</v>
      </c>
      <c r="E57" s="165"/>
      <c r="F57" s="401">
        <f>2.745-0.615</f>
        <v>2.13</v>
      </c>
      <c r="G57" s="401">
        <v>0.61</v>
      </c>
      <c r="H57" s="401">
        <v>0.15</v>
      </c>
      <c r="I57" s="399">
        <f t="shared" si="0"/>
        <v>0.39</v>
      </c>
      <c r="J57" s="374"/>
      <c r="K57" s="1222"/>
      <c r="L57" s="431"/>
      <c r="M57" s="431"/>
      <c r="N57" s="431"/>
    </row>
    <row r="58" spans="1:14" s="398" customFormat="1" hidden="1" outlineLevel="1">
      <c r="A58" s="1221"/>
      <c r="B58" s="425"/>
      <c r="C58" s="165" t="s">
        <v>2</v>
      </c>
      <c r="D58" s="392">
        <v>4</v>
      </c>
      <c r="E58" s="165"/>
      <c r="F58" s="401">
        <f>2.13-0.61*2</f>
        <v>0.90999999999999992</v>
      </c>
      <c r="G58" s="401">
        <v>0.61</v>
      </c>
      <c r="H58" s="401">
        <v>0.15</v>
      </c>
      <c r="I58" s="399">
        <f t="shared" si="0"/>
        <v>0.33</v>
      </c>
      <c r="J58" s="374"/>
      <c r="K58" s="1222"/>
      <c r="L58" s="431"/>
      <c r="M58" s="431"/>
      <c r="N58" s="431"/>
    </row>
    <row r="59" spans="1:14" s="398" customFormat="1" ht="34.5" hidden="1" outlineLevel="1">
      <c r="A59" s="1221"/>
      <c r="B59" s="425" t="s">
        <v>111</v>
      </c>
      <c r="C59" s="165" t="s">
        <v>2</v>
      </c>
      <c r="D59" s="392">
        <v>1</v>
      </c>
      <c r="E59" s="165"/>
      <c r="F59" s="401">
        <f>0.2+6+1.8+0.61*2</f>
        <v>9.2200000000000006</v>
      </c>
      <c r="G59" s="401">
        <v>0.61</v>
      </c>
      <c r="H59" s="401">
        <v>0.15</v>
      </c>
      <c r="I59" s="399">
        <f t="shared" si="0"/>
        <v>0.84</v>
      </c>
      <c r="J59" s="374"/>
      <c r="K59" s="1222"/>
      <c r="L59" s="431"/>
      <c r="M59" s="431"/>
      <c r="N59" s="431"/>
    </row>
    <row r="60" spans="1:14" s="398" customFormat="1" hidden="1" outlineLevel="1">
      <c r="A60" s="1221"/>
      <c r="B60" s="425" t="s">
        <v>114</v>
      </c>
      <c r="C60" s="165" t="s">
        <v>2</v>
      </c>
      <c r="D60" s="392">
        <v>1</v>
      </c>
      <c r="E60" s="165"/>
      <c r="F60" s="401">
        <f>6+0.2+0.61</f>
        <v>6.8100000000000005</v>
      </c>
      <c r="G60" s="401">
        <v>0.61</v>
      </c>
      <c r="H60" s="401">
        <v>0.15</v>
      </c>
      <c r="I60" s="399">
        <f t="shared" si="0"/>
        <v>0.62</v>
      </c>
      <c r="J60" s="374"/>
      <c r="K60" s="1222"/>
      <c r="L60" s="431"/>
      <c r="M60" s="431"/>
      <c r="N60" s="431"/>
    </row>
    <row r="61" spans="1:14" s="398" customFormat="1" hidden="1" outlineLevel="1">
      <c r="A61" s="1221"/>
      <c r="B61" s="425"/>
      <c r="C61" s="165" t="s">
        <v>2</v>
      </c>
      <c r="D61" s="392">
        <v>2</v>
      </c>
      <c r="E61" s="165"/>
      <c r="F61" s="401">
        <f>3.2+1.8+3-1.8+0.61*2</f>
        <v>7.42</v>
      </c>
      <c r="G61" s="401">
        <v>0.61</v>
      </c>
      <c r="H61" s="401">
        <v>0.15</v>
      </c>
      <c r="I61" s="399">
        <f t="shared" si="0"/>
        <v>1.36</v>
      </c>
      <c r="J61" s="374"/>
      <c r="K61" s="1222"/>
      <c r="L61" s="431"/>
      <c r="M61" s="431"/>
      <c r="N61" s="431"/>
    </row>
    <row r="62" spans="1:14" s="398" customFormat="1" hidden="1" outlineLevel="1">
      <c r="A62" s="1221"/>
      <c r="B62" s="425"/>
      <c r="C62" s="165" t="s">
        <v>2</v>
      </c>
      <c r="D62" s="392">
        <v>2</v>
      </c>
      <c r="E62" s="165"/>
      <c r="F62" s="401">
        <f>6+1.2+0.61*2</f>
        <v>8.42</v>
      </c>
      <c r="G62" s="401">
        <v>0.61</v>
      </c>
      <c r="H62" s="401">
        <v>0.15</v>
      </c>
      <c r="I62" s="399">
        <f t="shared" si="0"/>
        <v>1.54</v>
      </c>
      <c r="J62" s="374"/>
      <c r="K62" s="1222"/>
      <c r="L62" s="431"/>
      <c r="M62" s="431"/>
      <c r="N62" s="431"/>
    </row>
    <row r="63" spans="1:14" s="398" customFormat="1" hidden="1" outlineLevel="1">
      <c r="A63" s="1221"/>
      <c r="B63" s="425"/>
      <c r="C63" s="165" t="s">
        <v>2</v>
      </c>
      <c r="D63" s="392">
        <v>2</v>
      </c>
      <c r="E63" s="165"/>
      <c r="F63" s="401">
        <f>2+7.8-1.8+0.61*2</f>
        <v>9.2200000000000006</v>
      </c>
      <c r="G63" s="401">
        <v>0.61</v>
      </c>
      <c r="H63" s="401">
        <v>0.15</v>
      </c>
      <c r="I63" s="399">
        <f t="shared" si="0"/>
        <v>1.69</v>
      </c>
      <c r="J63" s="374"/>
      <c r="K63" s="1222"/>
      <c r="L63" s="431"/>
      <c r="M63" s="431"/>
      <c r="N63" s="431"/>
    </row>
    <row r="64" spans="1:14" s="398" customFormat="1" ht="34.5" hidden="1" outlineLevel="1">
      <c r="A64" s="1221"/>
      <c r="B64" s="425" t="s">
        <v>115</v>
      </c>
      <c r="C64" s="165" t="s">
        <v>2</v>
      </c>
      <c r="D64" s="392">
        <v>6</v>
      </c>
      <c r="E64" s="165"/>
      <c r="F64" s="401">
        <v>0.61499999999999999</v>
      </c>
      <c r="G64" s="401">
        <v>0.61</v>
      </c>
      <c r="H64" s="401">
        <v>0.15</v>
      </c>
      <c r="I64" s="399">
        <f t="shared" si="0"/>
        <v>0.34</v>
      </c>
      <c r="J64" s="374"/>
      <c r="K64" s="1222"/>
      <c r="L64" s="431"/>
      <c r="M64" s="431"/>
      <c r="N64" s="431"/>
    </row>
    <row r="65" spans="1:14" s="398" customFormat="1" hidden="1" outlineLevel="1">
      <c r="A65" s="1221"/>
      <c r="B65" s="425" t="s">
        <v>114</v>
      </c>
      <c r="C65" s="165" t="s">
        <v>2</v>
      </c>
      <c r="D65" s="392">
        <v>2</v>
      </c>
      <c r="E65" s="165"/>
      <c r="F65" s="401">
        <f>2.745-0.61</f>
        <v>2.1350000000000002</v>
      </c>
      <c r="G65" s="401">
        <v>0.61</v>
      </c>
      <c r="H65" s="401">
        <v>0.15</v>
      </c>
      <c r="I65" s="399">
        <f t="shared" si="0"/>
        <v>0.39</v>
      </c>
      <c r="J65" s="374"/>
      <c r="K65" s="1222"/>
      <c r="L65" s="431"/>
      <c r="M65" s="431"/>
      <c r="N65" s="431"/>
    </row>
    <row r="66" spans="1:14" s="398" customFormat="1" hidden="1" outlineLevel="1">
      <c r="A66" s="1221"/>
      <c r="B66" s="425"/>
      <c r="C66" s="165" t="s">
        <v>2</v>
      </c>
      <c r="D66" s="392">
        <v>4</v>
      </c>
      <c r="E66" s="165"/>
      <c r="F66" s="401">
        <f>2.13-0.61*2</f>
        <v>0.90999999999999992</v>
      </c>
      <c r="G66" s="401">
        <v>0.61</v>
      </c>
      <c r="H66" s="401">
        <v>0.15</v>
      </c>
      <c r="I66" s="399">
        <f t="shared" si="0"/>
        <v>0.33</v>
      </c>
      <c r="J66" s="374"/>
      <c r="K66" s="1222"/>
      <c r="L66" s="431"/>
      <c r="M66" s="431"/>
      <c r="N66" s="431"/>
    </row>
    <row r="67" spans="1:14" s="398" customFormat="1" ht="34.5" hidden="1" outlineLevel="1">
      <c r="A67" s="1221"/>
      <c r="B67" s="425" t="s">
        <v>111</v>
      </c>
      <c r="C67" s="165" t="s">
        <v>2</v>
      </c>
      <c r="D67" s="392">
        <v>1</v>
      </c>
      <c r="E67" s="165"/>
      <c r="F67" s="401">
        <f>6.78+0.61*2</f>
        <v>8</v>
      </c>
      <c r="G67" s="401">
        <v>0.61</v>
      </c>
      <c r="H67" s="401">
        <v>0.15</v>
      </c>
      <c r="I67" s="399">
        <f t="shared" si="0"/>
        <v>0.73</v>
      </c>
      <c r="J67" s="374"/>
      <c r="K67" s="1222"/>
      <c r="L67" s="431"/>
      <c r="M67" s="431"/>
      <c r="N67" s="431"/>
    </row>
    <row r="68" spans="1:14" s="398" customFormat="1" hidden="1" outlineLevel="1">
      <c r="A68" s="1221"/>
      <c r="B68" s="425" t="s">
        <v>116</v>
      </c>
      <c r="C68" s="165" t="s">
        <v>2</v>
      </c>
      <c r="D68" s="392">
        <v>1</v>
      </c>
      <c r="E68" s="165"/>
      <c r="F68" s="401">
        <f>5+0.61</f>
        <v>5.61</v>
      </c>
      <c r="G68" s="401">
        <v>0.61</v>
      </c>
      <c r="H68" s="401">
        <v>0.15</v>
      </c>
      <c r="I68" s="399">
        <f t="shared" si="0"/>
        <v>0.51</v>
      </c>
      <c r="J68" s="374"/>
      <c r="K68" s="1222"/>
      <c r="L68" s="431"/>
      <c r="M68" s="431"/>
      <c r="N68" s="431"/>
    </row>
    <row r="69" spans="1:14" s="398" customFormat="1" hidden="1" outlineLevel="1">
      <c r="A69" s="1221"/>
      <c r="B69" s="425"/>
      <c r="C69" s="165" t="s">
        <v>2</v>
      </c>
      <c r="D69" s="392">
        <v>1</v>
      </c>
      <c r="E69" s="165"/>
      <c r="F69" s="401">
        <f>4+0.61</f>
        <v>4.6100000000000003</v>
      </c>
      <c r="G69" s="401">
        <v>0.61</v>
      </c>
      <c r="H69" s="401">
        <v>0.15</v>
      </c>
      <c r="I69" s="399">
        <f t="shared" si="0"/>
        <v>0.42</v>
      </c>
      <c r="J69" s="374"/>
      <c r="K69" s="1222"/>
      <c r="L69" s="431"/>
      <c r="M69" s="431"/>
      <c r="N69" s="431"/>
    </row>
    <row r="70" spans="1:14" s="398" customFormat="1" hidden="1" outlineLevel="1">
      <c r="A70" s="1221"/>
      <c r="B70" s="425"/>
      <c r="C70" s="165" t="s">
        <v>2</v>
      </c>
      <c r="D70" s="392">
        <v>2</v>
      </c>
      <c r="E70" s="165"/>
      <c r="F70" s="401">
        <f>4+0.61*2</f>
        <v>5.22</v>
      </c>
      <c r="G70" s="401">
        <v>0.61</v>
      </c>
      <c r="H70" s="401">
        <v>0.15</v>
      </c>
      <c r="I70" s="399">
        <f t="shared" si="0"/>
        <v>0.96</v>
      </c>
      <c r="J70" s="374"/>
      <c r="K70" s="1222"/>
      <c r="L70" s="431"/>
      <c r="M70" s="431"/>
      <c r="N70" s="431"/>
    </row>
    <row r="71" spans="1:14" s="398" customFormat="1" hidden="1" outlineLevel="1">
      <c r="A71" s="1221"/>
      <c r="B71" s="425"/>
      <c r="C71" s="165" t="s">
        <v>2</v>
      </c>
      <c r="D71" s="392">
        <v>3</v>
      </c>
      <c r="E71" s="165"/>
      <c r="F71" s="401">
        <f>3+0.61</f>
        <v>3.61</v>
      </c>
      <c r="G71" s="401">
        <v>0.61</v>
      </c>
      <c r="H71" s="401">
        <v>0.15</v>
      </c>
      <c r="I71" s="399">
        <f t="shared" si="0"/>
        <v>0.99</v>
      </c>
      <c r="J71" s="374"/>
      <c r="K71" s="1222"/>
      <c r="L71" s="431"/>
      <c r="M71" s="431"/>
      <c r="N71" s="431"/>
    </row>
    <row r="72" spans="1:14" s="398" customFormat="1" hidden="1" outlineLevel="1">
      <c r="A72" s="1221"/>
      <c r="B72" s="425"/>
      <c r="C72" s="165" t="s">
        <v>2</v>
      </c>
      <c r="D72" s="392">
        <v>1</v>
      </c>
      <c r="E72" s="165"/>
      <c r="F72" s="401">
        <f>5+0.61</f>
        <v>5.61</v>
      </c>
      <c r="G72" s="401">
        <v>0.61</v>
      </c>
      <c r="H72" s="401">
        <v>0.15</v>
      </c>
      <c r="I72" s="399">
        <f t="shared" ref="I72:I135" si="1">IF(D72&lt;&gt;0,ROUND(PRODUCT(E72:H72)*D72,2),"")</f>
        <v>0.51</v>
      </c>
      <c r="J72" s="374"/>
      <c r="K72" s="1222"/>
      <c r="L72" s="431"/>
      <c r="M72" s="431"/>
      <c r="N72" s="431"/>
    </row>
    <row r="73" spans="1:14" s="398" customFormat="1" hidden="1" outlineLevel="1">
      <c r="A73" s="1221"/>
      <c r="B73" s="425"/>
      <c r="C73" s="165" t="s">
        <v>2</v>
      </c>
      <c r="D73" s="392">
        <v>1</v>
      </c>
      <c r="E73" s="165"/>
      <c r="F73" s="401">
        <f>3+0.2+0.61*2</f>
        <v>4.42</v>
      </c>
      <c r="G73" s="401">
        <v>0.61</v>
      </c>
      <c r="H73" s="401">
        <v>0.15</v>
      </c>
      <c r="I73" s="399">
        <f t="shared" si="1"/>
        <v>0.4</v>
      </c>
      <c r="J73" s="374"/>
      <c r="K73" s="1222"/>
      <c r="L73" s="431"/>
      <c r="M73" s="431"/>
      <c r="N73" s="431"/>
    </row>
    <row r="74" spans="1:14" s="398" customFormat="1" hidden="1" outlineLevel="1">
      <c r="A74" s="1221"/>
      <c r="B74" s="425"/>
      <c r="C74" s="165" t="s">
        <v>2</v>
      </c>
      <c r="D74" s="392">
        <v>1</v>
      </c>
      <c r="E74" s="165"/>
      <c r="F74" s="401">
        <f>4.8+0.61*2</f>
        <v>6.02</v>
      </c>
      <c r="G74" s="401">
        <v>0.61</v>
      </c>
      <c r="H74" s="401">
        <v>0.15</v>
      </c>
      <c r="I74" s="399">
        <f t="shared" si="1"/>
        <v>0.55000000000000004</v>
      </c>
      <c r="J74" s="374"/>
      <c r="K74" s="1222"/>
      <c r="L74" s="431"/>
      <c r="M74" s="431"/>
      <c r="N74" s="431"/>
    </row>
    <row r="75" spans="1:14" s="398" customFormat="1" ht="34.5" hidden="1" outlineLevel="1">
      <c r="A75" s="1221"/>
      <c r="B75" s="425" t="s">
        <v>115</v>
      </c>
      <c r="C75" s="165" t="s">
        <v>2</v>
      </c>
      <c r="D75" s="392">
        <v>5</v>
      </c>
      <c r="E75" s="165"/>
      <c r="F75" s="401">
        <v>0.61499999999999999</v>
      </c>
      <c r="G75" s="401">
        <v>0.61</v>
      </c>
      <c r="H75" s="401">
        <v>0.15</v>
      </c>
      <c r="I75" s="399">
        <f t="shared" si="1"/>
        <v>0.28000000000000003</v>
      </c>
      <c r="J75" s="374"/>
      <c r="K75" s="1222"/>
      <c r="L75" s="431"/>
      <c r="M75" s="431"/>
      <c r="N75" s="431"/>
    </row>
    <row r="76" spans="1:14" s="398" customFormat="1" hidden="1" outlineLevel="1">
      <c r="A76" s="1221"/>
      <c r="B76" s="425" t="s">
        <v>116</v>
      </c>
      <c r="C76" s="165" t="s">
        <v>2</v>
      </c>
      <c r="D76" s="392">
        <v>3</v>
      </c>
      <c r="E76" s="165"/>
      <c r="F76" s="401">
        <v>3.36</v>
      </c>
      <c r="G76" s="401">
        <v>0.61</v>
      </c>
      <c r="H76" s="401">
        <v>0.15</v>
      </c>
      <c r="I76" s="399">
        <f t="shared" si="1"/>
        <v>0.92</v>
      </c>
      <c r="J76" s="374"/>
      <c r="K76" s="1222"/>
      <c r="L76" s="431"/>
      <c r="M76" s="431"/>
      <c r="N76" s="431"/>
    </row>
    <row r="77" spans="1:14" s="398" customFormat="1" hidden="1" outlineLevel="1">
      <c r="A77" s="1221"/>
      <c r="B77" s="425"/>
      <c r="C77" s="165" t="s">
        <v>2</v>
      </c>
      <c r="D77" s="392">
        <v>6</v>
      </c>
      <c r="E77" s="165"/>
      <c r="F77" s="401">
        <f>3.36-0.615*2-0.61*2</f>
        <v>0.90999999999999992</v>
      </c>
      <c r="G77" s="401">
        <v>0.61</v>
      </c>
      <c r="H77" s="401">
        <v>0.15</v>
      </c>
      <c r="I77" s="399">
        <f t="shared" si="1"/>
        <v>0.5</v>
      </c>
      <c r="J77" s="374"/>
      <c r="K77" s="1222"/>
      <c r="L77" s="431"/>
      <c r="M77" s="431"/>
      <c r="N77" s="431"/>
    </row>
    <row r="78" spans="1:14" s="398" customFormat="1" hidden="1" outlineLevel="1">
      <c r="A78" s="1221"/>
      <c r="B78" s="425"/>
      <c r="C78" s="165" t="s">
        <v>2</v>
      </c>
      <c r="D78" s="392">
        <v>1</v>
      </c>
      <c r="E78" s="165"/>
      <c r="F78" s="401">
        <f>2.745-0.61</f>
        <v>2.1350000000000002</v>
      </c>
      <c r="G78" s="401">
        <v>0.61</v>
      </c>
      <c r="H78" s="401">
        <v>0.15</v>
      </c>
      <c r="I78" s="399">
        <f t="shared" si="1"/>
        <v>0.2</v>
      </c>
      <c r="J78" s="374"/>
      <c r="K78" s="1222"/>
      <c r="L78" s="431"/>
      <c r="M78" s="431"/>
      <c r="N78" s="431"/>
    </row>
    <row r="79" spans="1:14" s="398" customFormat="1" ht="34.5" hidden="1" outlineLevel="1">
      <c r="A79" s="1221"/>
      <c r="B79" s="425" t="s">
        <v>117</v>
      </c>
      <c r="C79" s="165" t="s">
        <v>2</v>
      </c>
      <c r="D79" s="392">
        <v>1</v>
      </c>
      <c r="E79" s="165"/>
      <c r="F79" s="401">
        <f>7.18+2+1.5+0.61*2</f>
        <v>11.9</v>
      </c>
      <c r="G79" s="401">
        <v>0.61</v>
      </c>
      <c r="H79" s="401">
        <v>0.15</v>
      </c>
      <c r="I79" s="399">
        <f t="shared" si="1"/>
        <v>1.0900000000000001</v>
      </c>
      <c r="J79" s="374"/>
      <c r="K79" s="1222"/>
      <c r="L79" s="431"/>
      <c r="M79" s="431"/>
      <c r="N79" s="431"/>
    </row>
    <row r="80" spans="1:14" s="398" customFormat="1" hidden="1" outlineLevel="1">
      <c r="A80" s="1221"/>
      <c r="B80" s="425" t="s">
        <v>118</v>
      </c>
      <c r="C80" s="165" t="s">
        <v>2</v>
      </c>
      <c r="D80" s="392">
        <v>1</v>
      </c>
      <c r="E80" s="165"/>
      <c r="F80" s="401">
        <f>7.18+0.61</f>
        <v>7.79</v>
      </c>
      <c r="G80" s="401">
        <v>0.61</v>
      </c>
      <c r="H80" s="401">
        <v>0.15</v>
      </c>
      <c r="I80" s="399">
        <f t="shared" si="1"/>
        <v>0.71</v>
      </c>
      <c r="J80" s="374"/>
      <c r="K80" s="1222"/>
      <c r="L80" s="431"/>
      <c r="M80" s="431"/>
      <c r="N80" s="431"/>
    </row>
    <row r="81" spans="1:14" s="398" customFormat="1" hidden="1" outlineLevel="1">
      <c r="A81" s="1221"/>
      <c r="B81" s="425"/>
      <c r="C81" s="165" t="s">
        <v>2</v>
      </c>
      <c r="D81" s="392">
        <v>2</v>
      </c>
      <c r="E81" s="165"/>
      <c r="F81" s="401">
        <f>5.98+0.61</f>
        <v>6.5900000000000007</v>
      </c>
      <c r="G81" s="401">
        <v>0.61</v>
      </c>
      <c r="H81" s="401">
        <v>0.15</v>
      </c>
      <c r="I81" s="399">
        <f t="shared" si="1"/>
        <v>1.21</v>
      </c>
      <c r="J81" s="374"/>
      <c r="K81" s="1222"/>
      <c r="L81" s="431"/>
      <c r="M81" s="431"/>
      <c r="N81" s="431"/>
    </row>
    <row r="82" spans="1:14" s="398" customFormat="1" hidden="1" outlineLevel="1">
      <c r="A82" s="1221"/>
      <c r="B82" s="425"/>
      <c r="C82" s="165" t="s">
        <v>2</v>
      </c>
      <c r="D82" s="392">
        <v>2</v>
      </c>
      <c r="E82" s="165"/>
      <c r="F82" s="401">
        <f>5.08+0.61</f>
        <v>5.69</v>
      </c>
      <c r="G82" s="401">
        <v>0.61</v>
      </c>
      <c r="H82" s="401">
        <v>0.15</v>
      </c>
      <c r="I82" s="399">
        <f t="shared" si="1"/>
        <v>1.04</v>
      </c>
      <c r="J82" s="374"/>
      <c r="K82" s="1222"/>
      <c r="L82" s="431"/>
      <c r="M82" s="431"/>
      <c r="N82" s="431"/>
    </row>
    <row r="83" spans="1:14" s="398" customFormat="1" hidden="1" outlineLevel="1">
      <c r="A83" s="1221"/>
      <c r="B83" s="425"/>
      <c r="C83" s="165" t="s">
        <v>2</v>
      </c>
      <c r="D83" s="392">
        <v>2</v>
      </c>
      <c r="E83" s="165"/>
      <c r="F83" s="401">
        <f>4.18+0.61</f>
        <v>4.79</v>
      </c>
      <c r="G83" s="401">
        <v>0.61</v>
      </c>
      <c r="H83" s="401">
        <v>0.15</v>
      </c>
      <c r="I83" s="399">
        <f t="shared" si="1"/>
        <v>0.88</v>
      </c>
      <c r="J83" s="374"/>
      <c r="K83" s="1222"/>
      <c r="L83" s="431"/>
      <c r="M83" s="431"/>
      <c r="N83" s="431"/>
    </row>
    <row r="84" spans="1:14" s="398" customFormat="1" hidden="1" outlineLevel="1">
      <c r="A84" s="1221"/>
      <c r="B84" s="425"/>
      <c r="C84" s="165" t="s">
        <v>2</v>
      </c>
      <c r="D84" s="392">
        <v>2</v>
      </c>
      <c r="E84" s="165"/>
      <c r="F84" s="401">
        <f>2.38+0.61</f>
        <v>2.9899999999999998</v>
      </c>
      <c r="G84" s="401">
        <v>0.61</v>
      </c>
      <c r="H84" s="401">
        <v>0.15</v>
      </c>
      <c r="I84" s="399">
        <f t="shared" si="1"/>
        <v>0.55000000000000004</v>
      </c>
      <c r="J84" s="374"/>
      <c r="K84" s="1222"/>
      <c r="L84" s="431"/>
      <c r="M84" s="431"/>
      <c r="N84" s="431"/>
    </row>
    <row r="85" spans="1:14" s="398" customFormat="1" hidden="1" outlineLevel="1">
      <c r="A85" s="1221"/>
      <c r="B85" s="425"/>
      <c r="C85" s="165" t="s">
        <v>2</v>
      </c>
      <c r="D85" s="392">
        <v>2</v>
      </c>
      <c r="E85" s="165"/>
      <c r="F85" s="401">
        <f>4.48+0.61</f>
        <v>5.0900000000000007</v>
      </c>
      <c r="G85" s="401">
        <v>0.61</v>
      </c>
      <c r="H85" s="401">
        <v>0.15</v>
      </c>
      <c r="I85" s="399">
        <f t="shared" si="1"/>
        <v>0.93</v>
      </c>
      <c r="J85" s="374"/>
      <c r="K85" s="1222"/>
      <c r="L85" s="431"/>
      <c r="M85" s="431"/>
      <c r="N85" s="431"/>
    </row>
    <row r="86" spans="1:14" s="398" customFormat="1" hidden="1" outlineLevel="1">
      <c r="A86" s="1221"/>
      <c r="B86" s="425"/>
      <c r="C86" s="165" t="s">
        <v>2</v>
      </c>
      <c r="D86" s="392">
        <v>2</v>
      </c>
      <c r="E86" s="165"/>
      <c r="F86" s="401">
        <f>2.38+0.61</f>
        <v>2.9899999999999998</v>
      </c>
      <c r="G86" s="401">
        <v>0.61</v>
      </c>
      <c r="H86" s="401">
        <v>0.15</v>
      </c>
      <c r="I86" s="399">
        <f t="shared" si="1"/>
        <v>0.55000000000000004</v>
      </c>
      <c r="J86" s="374"/>
      <c r="K86" s="1222"/>
      <c r="L86" s="431"/>
      <c r="M86" s="431"/>
      <c r="N86" s="431"/>
    </row>
    <row r="87" spans="1:14" s="398" customFormat="1" hidden="1" outlineLevel="1">
      <c r="A87" s="1221"/>
      <c r="B87" s="425"/>
      <c r="C87" s="165" t="s">
        <v>2</v>
      </c>
      <c r="D87" s="392">
        <v>1</v>
      </c>
      <c r="E87" s="165"/>
      <c r="F87" s="401">
        <f>1.48+0.61</f>
        <v>2.09</v>
      </c>
      <c r="G87" s="401">
        <v>0.61</v>
      </c>
      <c r="H87" s="401">
        <v>0.15</v>
      </c>
      <c r="I87" s="399">
        <f t="shared" si="1"/>
        <v>0.19</v>
      </c>
      <c r="J87" s="374"/>
      <c r="K87" s="1222"/>
      <c r="L87" s="431"/>
      <c r="M87" s="431"/>
      <c r="N87" s="431"/>
    </row>
    <row r="88" spans="1:14" s="398" customFormat="1" hidden="1" outlineLevel="1">
      <c r="A88" s="1221"/>
      <c r="B88" s="425"/>
      <c r="C88" s="165" t="s">
        <v>2</v>
      </c>
      <c r="D88" s="392">
        <v>1</v>
      </c>
      <c r="E88" s="165"/>
      <c r="F88" s="401">
        <f>3.48+0.61*2</f>
        <v>4.7</v>
      </c>
      <c r="G88" s="401">
        <v>0.61</v>
      </c>
      <c r="H88" s="401">
        <v>0.15</v>
      </c>
      <c r="I88" s="399">
        <f t="shared" si="1"/>
        <v>0.43</v>
      </c>
      <c r="J88" s="374"/>
      <c r="K88" s="1222"/>
      <c r="L88" s="431"/>
      <c r="M88" s="431"/>
      <c r="N88" s="431"/>
    </row>
    <row r="89" spans="1:14" s="398" customFormat="1" ht="34.5" hidden="1" outlineLevel="1">
      <c r="A89" s="1221"/>
      <c r="B89" s="425" t="s">
        <v>117</v>
      </c>
      <c r="C89" s="165" t="s">
        <v>2</v>
      </c>
      <c r="D89" s="392">
        <v>3</v>
      </c>
      <c r="E89" s="165"/>
      <c r="F89" s="401">
        <v>0.61499999999999999</v>
      </c>
      <c r="G89" s="401">
        <v>0.61</v>
      </c>
      <c r="H89" s="401">
        <v>0.15</v>
      </c>
      <c r="I89" s="399">
        <f t="shared" si="1"/>
        <v>0.17</v>
      </c>
      <c r="J89" s="374"/>
      <c r="K89" s="1222"/>
      <c r="L89" s="431"/>
      <c r="M89" s="431"/>
      <c r="N89" s="431"/>
    </row>
    <row r="90" spans="1:14" s="398" customFormat="1" hidden="1" outlineLevel="1">
      <c r="A90" s="1221"/>
      <c r="B90" s="425" t="s">
        <v>118</v>
      </c>
      <c r="C90" s="165" t="s">
        <v>2</v>
      </c>
      <c r="D90" s="392">
        <v>1</v>
      </c>
      <c r="E90" s="165"/>
      <c r="F90" s="401">
        <f>2.745-0.61</f>
        <v>2.1350000000000002</v>
      </c>
      <c r="G90" s="401">
        <v>0.61</v>
      </c>
      <c r="H90" s="401">
        <v>0.15</v>
      </c>
      <c r="I90" s="399">
        <f t="shared" si="1"/>
        <v>0.2</v>
      </c>
      <c r="J90" s="374"/>
      <c r="K90" s="1222"/>
      <c r="L90" s="431"/>
      <c r="M90" s="431"/>
      <c r="N90" s="431"/>
    </row>
    <row r="91" spans="1:14" s="398" customFormat="1" hidden="1" outlineLevel="1">
      <c r="A91" s="1221"/>
      <c r="B91" s="425"/>
      <c r="C91" s="165" t="s">
        <v>2</v>
      </c>
      <c r="D91" s="392">
        <v>7</v>
      </c>
      <c r="E91" s="165"/>
      <c r="F91" s="401">
        <f>2.13-0.61*2</f>
        <v>0.90999999999999992</v>
      </c>
      <c r="G91" s="401">
        <v>0.61</v>
      </c>
      <c r="H91" s="401">
        <v>0.15</v>
      </c>
      <c r="I91" s="399">
        <f t="shared" si="1"/>
        <v>0.57999999999999996</v>
      </c>
      <c r="J91" s="374"/>
      <c r="K91" s="1222"/>
      <c r="L91" s="431"/>
      <c r="M91" s="431"/>
      <c r="N91" s="431"/>
    </row>
    <row r="92" spans="1:14" s="398" customFormat="1" hidden="1" outlineLevel="1">
      <c r="A92" s="1221"/>
      <c r="B92" s="425"/>
      <c r="C92" s="165" t="s">
        <v>2</v>
      </c>
      <c r="D92" s="392">
        <v>6</v>
      </c>
      <c r="E92" s="165"/>
      <c r="F92" s="401">
        <f>3.36</f>
        <v>3.36</v>
      </c>
      <c r="G92" s="401">
        <v>0.61</v>
      </c>
      <c r="H92" s="401">
        <v>0.15</v>
      </c>
      <c r="I92" s="399">
        <f t="shared" si="1"/>
        <v>1.84</v>
      </c>
      <c r="J92" s="374"/>
      <c r="K92" s="1222"/>
      <c r="L92" s="431"/>
      <c r="M92" s="431"/>
      <c r="N92" s="431"/>
    </row>
    <row r="93" spans="1:14" s="398" customFormat="1" hidden="1" outlineLevel="1">
      <c r="A93" s="1221"/>
      <c r="B93" s="425" t="s">
        <v>119</v>
      </c>
      <c r="C93" s="165" t="s">
        <v>2</v>
      </c>
      <c r="D93" s="392">
        <v>1</v>
      </c>
      <c r="E93" s="165"/>
      <c r="F93" s="401">
        <f>7.4+0.61*2</f>
        <v>8.620000000000001</v>
      </c>
      <c r="G93" s="401">
        <v>0.61</v>
      </c>
      <c r="H93" s="401">
        <v>0.15</v>
      </c>
      <c r="I93" s="399">
        <f t="shared" si="1"/>
        <v>0.79</v>
      </c>
      <c r="J93" s="374"/>
      <c r="K93" s="1222"/>
      <c r="L93" s="431"/>
      <c r="M93" s="431"/>
      <c r="N93" s="431"/>
    </row>
    <row r="94" spans="1:14" s="398" customFormat="1" hidden="1" outlineLevel="1">
      <c r="A94" s="1221"/>
      <c r="B94" s="425" t="s">
        <v>120</v>
      </c>
      <c r="C94" s="165" t="s">
        <v>2</v>
      </c>
      <c r="D94" s="392">
        <v>1</v>
      </c>
      <c r="E94" s="165"/>
      <c r="F94" s="401">
        <f>2.4+3+0.61</f>
        <v>6.0100000000000007</v>
      </c>
      <c r="G94" s="401">
        <v>0.61</v>
      </c>
      <c r="H94" s="401">
        <v>0.15</v>
      </c>
      <c r="I94" s="399">
        <f t="shared" si="1"/>
        <v>0.55000000000000004</v>
      </c>
      <c r="J94" s="374"/>
      <c r="K94" s="1222"/>
      <c r="L94" s="431"/>
      <c r="M94" s="431"/>
      <c r="N94" s="431"/>
    </row>
    <row r="95" spans="1:14" s="398" customFormat="1" hidden="1" outlineLevel="1">
      <c r="A95" s="1221"/>
      <c r="B95" s="425"/>
      <c r="C95" s="165" t="s">
        <v>2</v>
      </c>
      <c r="D95" s="392">
        <v>2</v>
      </c>
      <c r="E95" s="165"/>
      <c r="F95" s="401">
        <f>3+1.8+1.2+0.61</f>
        <v>6.61</v>
      </c>
      <c r="G95" s="401">
        <v>0.61</v>
      </c>
      <c r="H95" s="401">
        <v>0.15</v>
      </c>
      <c r="I95" s="399">
        <f t="shared" si="1"/>
        <v>1.21</v>
      </c>
      <c r="J95" s="374"/>
      <c r="K95" s="1222"/>
      <c r="L95" s="431"/>
      <c r="M95" s="431"/>
      <c r="N95" s="431"/>
    </row>
    <row r="96" spans="1:14" s="398" customFormat="1" hidden="1" outlineLevel="1">
      <c r="A96" s="1221"/>
      <c r="B96" s="425"/>
      <c r="C96" s="165" t="s">
        <v>2</v>
      </c>
      <c r="D96" s="392">
        <v>2</v>
      </c>
      <c r="E96" s="165"/>
      <c r="F96" s="401">
        <f>3+1.8+0.61</f>
        <v>5.41</v>
      </c>
      <c r="G96" s="401">
        <v>0.61</v>
      </c>
      <c r="H96" s="401">
        <v>0.15</v>
      </c>
      <c r="I96" s="399">
        <f t="shared" si="1"/>
        <v>0.99</v>
      </c>
      <c r="J96" s="374"/>
      <c r="K96" s="1222"/>
      <c r="L96" s="431"/>
      <c r="M96" s="431"/>
      <c r="N96" s="431"/>
    </row>
    <row r="97" spans="1:14" s="398" customFormat="1" hidden="1" outlineLevel="1">
      <c r="A97" s="1221"/>
      <c r="B97" s="425"/>
      <c r="C97" s="165" t="s">
        <v>2</v>
      </c>
      <c r="D97" s="392">
        <v>2</v>
      </c>
      <c r="E97" s="165"/>
      <c r="F97" s="401">
        <f>1.8+3+1.2+0.61*2</f>
        <v>7.22</v>
      </c>
      <c r="G97" s="401">
        <v>0.61</v>
      </c>
      <c r="H97" s="401">
        <v>0.15</v>
      </c>
      <c r="I97" s="399">
        <f t="shared" si="1"/>
        <v>1.32</v>
      </c>
      <c r="J97" s="374"/>
      <c r="K97" s="1222"/>
      <c r="L97" s="431"/>
      <c r="M97" s="431"/>
      <c r="N97" s="431"/>
    </row>
    <row r="98" spans="1:14" s="398" customFormat="1" hidden="1" outlineLevel="1">
      <c r="A98" s="1221"/>
      <c r="B98" s="425"/>
      <c r="C98" s="165" t="s">
        <v>2</v>
      </c>
      <c r="D98" s="392">
        <v>2</v>
      </c>
      <c r="E98" s="165"/>
      <c r="F98" s="401">
        <f>3+1.2+0.61</f>
        <v>4.8100000000000005</v>
      </c>
      <c r="G98" s="401">
        <v>0.61</v>
      </c>
      <c r="H98" s="401">
        <v>0.15</v>
      </c>
      <c r="I98" s="399">
        <f t="shared" si="1"/>
        <v>0.88</v>
      </c>
      <c r="J98" s="374"/>
      <c r="K98" s="1222"/>
      <c r="L98" s="431"/>
      <c r="M98" s="431"/>
      <c r="N98" s="431"/>
    </row>
    <row r="99" spans="1:14" s="398" customFormat="1" hidden="1" outlineLevel="1">
      <c r="A99" s="1221"/>
      <c r="B99" s="425"/>
      <c r="C99" s="165" t="s">
        <v>2</v>
      </c>
      <c r="D99" s="392">
        <v>2</v>
      </c>
      <c r="E99" s="165"/>
      <c r="F99" s="401">
        <f>0.6+3+3.435-1.035-1.2+0.61</f>
        <v>5.41</v>
      </c>
      <c r="G99" s="401">
        <v>0.61</v>
      </c>
      <c r="H99" s="401">
        <v>0.15</v>
      </c>
      <c r="I99" s="399">
        <f t="shared" si="1"/>
        <v>0.99</v>
      </c>
      <c r="J99" s="374"/>
      <c r="K99" s="1222"/>
      <c r="L99" s="431"/>
      <c r="M99" s="431"/>
      <c r="N99" s="431"/>
    </row>
    <row r="100" spans="1:14" s="398" customFormat="1" hidden="1" outlineLevel="1">
      <c r="A100" s="1221"/>
      <c r="B100" s="425"/>
      <c r="C100" s="165" t="s">
        <v>2</v>
      </c>
      <c r="D100" s="392">
        <v>2</v>
      </c>
      <c r="E100" s="165"/>
      <c r="F100" s="401">
        <f>1.2+3+0.61</f>
        <v>4.8100000000000005</v>
      </c>
      <c r="G100" s="401">
        <v>0.61</v>
      </c>
      <c r="H100" s="401">
        <v>0.15</v>
      </c>
      <c r="I100" s="399">
        <f t="shared" si="1"/>
        <v>0.88</v>
      </c>
      <c r="J100" s="374"/>
      <c r="K100" s="1222"/>
      <c r="L100" s="431"/>
      <c r="M100" s="431"/>
      <c r="N100" s="431"/>
    </row>
    <row r="101" spans="1:14" s="398" customFormat="1" hidden="1" outlineLevel="1">
      <c r="A101" s="1221"/>
      <c r="B101" s="425"/>
      <c r="C101" s="165" t="s">
        <v>2</v>
      </c>
      <c r="D101" s="392">
        <v>1</v>
      </c>
      <c r="E101" s="165"/>
      <c r="F101" s="401">
        <f>0.6+1.2+3+1.2+0.61*2</f>
        <v>7.22</v>
      </c>
      <c r="G101" s="401">
        <v>0.61</v>
      </c>
      <c r="H101" s="401">
        <v>0.15</v>
      </c>
      <c r="I101" s="399">
        <f t="shared" si="1"/>
        <v>0.66</v>
      </c>
      <c r="J101" s="374"/>
      <c r="K101" s="1222"/>
      <c r="L101" s="431"/>
      <c r="M101" s="431"/>
      <c r="N101" s="431"/>
    </row>
    <row r="102" spans="1:14" s="398" customFormat="1" hidden="1" outlineLevel="1">
      <c r="A102" s="1221"/>
      <c r="B102" s="425"/>
      <c r="C102" s="165" t="s">
        <v>2</v>
      </c>
      <c r="D102" s="392">
        <v>2</v>
      </c>
      <c r="E102" s="165"/>
      <c r="F102" s="401">
        <v>6.61</v>
      </c>
      <c r="G102" s="401">
        <v>0.61</v>
      </c>
      <c r="H102" s="401">
        <v>0.15</v>
      </c>
      <c r="I102" s="399">
        <f t="shared" si="1"/>
        <v>1.21</v>
      </c>
      <c r="J102" s="374"/>
      <c r="K102" s="1222"/>
      <c r="L102" s="431"/>
      <c r="M102" s="431"/>
      <c r="N102" s="431"/>
    </row>
    <row r="103" spans="1:14" s="398" customFormat="1" hidden="1" outlineLevel="1">
      <c r="A103" s="1221"/>
      <c r="B103" s="425"/>
      <c r="C103" s="165" t="s">
        <v>2</v>
      </c>
      <c r="D103" s="392">
        <v>1</v>
      </c>
      <c r="E103" s="165"/>
      <c r="F103" s="401">
        <f>8+0.61*2</f>
        <v>9.2200000000000006</v>
      </c>
      <c r="G103" s="401">
        <v>0.61</v>
      </c>
      <c r="H103" s="401">
        <v>0.15</v>
      </c>
      <c r="I103" s="399">
        <f t="shared" si="1"/>
        <v>0.84</v>
      </c>
      <c r="J103" s="374"/>
      <c r="K103" s="1222"/>
      <c r="L103" s="431"/>
      <c r="M103" s="431"/>
      <c r="N103" s="431"/>
    </row>
    <row r="104" spans="1:14" s="398" customFormat="1" hidden="1" outlineLevel="1">
      <c r="A104" s="1221"/>
      <c r="B104" s="425" t="s">
        <v>121</v>
      </c>
      <c r="C104" s="165" t="s">
        <v>2</v>
      </c>
      <c r="D104" s="392">
        <v>6</v>
      </c>
      <c r="E104" s="165"/>
      <c r="F104" s="401">
        <v>0.61499999999999999</v>
      </c>
      <c r="G104" s="401">
        <v>0.61</v>
      </c>
      <c r="H104" s="401">
        <v>0.15</v>
      </c>
      <c r="I104" s="399">
        <f t="shared" si="1"/>
        <v>0.34</v>
      </c>
      <c r="J104" s="374"/>
      <c r="K104" s="1222"/>
      <c r="L104" s="431"/>
      <c r="M104" s="431"/>
      <c r="N104" s="431"/>
    </row>
    <row r="105" spans="1:14" s="398" customFormat="1" hidden="1" outlineLevel="1">
      <c r="A105" s="1221"/>
      <c r="B105" s="425" t="s">
        <v>120</v>
      </c>
      <c r="C105" s="165" t="s">
        <v>2</v>
      </c>
      <c r="D105" s="392">
        <v>6</v>
      </c>
      <c r="E105" s="165"/>
      <c r="F105" s="401">
        <f>2.13-0.61*2</f>
        <v>0.90999999999999992</v>
      </c>
      <c r="G105" s="401">
        <v>0.61</v>
      </c>
      <c r="H105" s="401">
        <v>0.15</v>
      </c>
      <c r="I105" s="399">
        <f t="shared" si="1"/>
        <v>0.5</v>
      </c>
      <c r="J105" s="374"/>
      <c r="K105" s="1222"/>
      <c r="L105" s="431"/>
      <c r="M105" s="431"/>
      <c r="N105" s="431"/>
    </row>
    <row r="106" spans="1:14" s="398" customFormat="1" hidden="1" outlineLevel="1">
      <c r="A106" s="1221"/>
      <c r="B106" s="425"/>
      <c r="C106" s="165" t="s">
        <v>2</v>
      </c>
      <c r="D106" s="392">
        <v>3</v>
      </c>
      <c r="E106" s="165"/>
      <c r="F106" s="401">
        <v>3.36</v>
      </c>
      <c r="G106" s="401">
        <v>0.61</v>
      </c>
      <c r="H106" s="401">
        <v>0.15</v>
      </c>
      <c r="I106" s="399">
        <f t="shared" si="1"/>
        <v>0.92</v>
      </c>
      <c r="J106" s="374"/>
      <c r="K106" s="1222"/>
      <c r="L106" s="431"/>
      <c r="M106" s="431"/>
      <c r="N106" s="431"/>
    </row>
    <row r="107" spans="1:14" s="398" customFormat="1" hidden="1" outlineLevel="1">
      <c r="A107" s="1221"/>
      <c r="B107" s="425"/>
      <c r="C107" s="165" t="s">
        <v>2</v>
      </c>
      <c r="D107" s="392">
        <v>2</v>
      </c>
      <c r="E107" s="165"/>
      <c r="F107" s="401">
        <f>2.745-0.61</f>
        <v>2.1350000000000002</v>
      </c>
      <c r="G107" s="401">
        <v>0.61</v>
      </c>
      <c r="H107" s="401">
        <v>0.15</v>
      </c>
      <c r="I107" s="399">
        <f t="shared" si="1"/>
        <v>0.39</v>
      </c>
      <c r="J107" s="374"/>
      <c r="K107" s="1222"/>
      <c r="L107" s="431"/>
      <c r="M107" s="431"/>
      <c r="N107" s="431"/>
    </row>
    <row r="108" spans="1:14" s="398" customFormat="1" hidden="1" outlineLevel="1">
      <c r="A108" s="1223"/>
      <c r="B108" s="426"/>
      <c r="C108" s="165" t="s">
        <v>2</v>
      </c>
      <c r="D108" s="392">
        <v>2</v>
      </c>
      <c r="E108" s="165"/>
      <c r="F108" s="401">
        <f>1.825+1.23-0.615-0.61</f>
        <v>1.8299999999999996</v>
      </c>
      <c r="G108" s="401">
        <v>0.61</v>
      </c>
      <c r="H108" s="401">
        <v>0.15</v>
      </c>
      <c r="I108" s="399">
        <f t="shared" si="1"/>
        <v>0.33</v>
      </c>
      <c r="J108" s="428"/>
      <c r="K108" s="1224"/>
      <c r="L108" s="431"/>
      <c r="M108" s="431"/>
      <c r="N108" s="431"/>
    </row>
    <row r="109" spans="1:14" s="398" customFormat="1" hidden="1" outlineLevel="1">
      <c r="A109" s="1221"/>
      <c r="B109" s="425"/>
      <c r="C109" s="165" t="s">
        <v>2</v>
      </c>
      <c r="D109" s="392">
        <v>3</v>
      </c>
      <c r="E109" s="165"/>
      <c r="F109" s="401">
        <f>1.825-0.61*2</f>
        <v>0.60499999999999998</v>
      </c>
      <c r="G109" s="401">
        <v>0.61</v>
      </c>
      <c r="H109" s="401">
        <v>0.15</v>
      </c>
      <c r="I109" s="399">
        <f t="shared" si="1"/>
        <v>0.17</v>
      </c>
      <c r="J109" s="374"/>
      <c r="K109" s="1222"/>
      <c r="L109" s="431"/>
      <c r="M109" s="431"/>
      <c r="N109" s="431"/>
    </row>
    <row r="110" spans="1:14" s="398" customFormat="1" ht="34.5" hidden="1" outlineLevel="1">
      <c r="A110" s="1221"/>
      <c r="B110" s="425" t="s">
        <v>122</v>
      </c>
      <c r="C110" s="165" t="s">
        <v>2</v>
      </c>
      <c r="D110" s="392">
        <v>1</v>
      </c>
      <c r="E110" s="165"/>
      <c r="F110" s="401">
        <f>7.66+2+0.61*2</f>
        <v>10.88</v>
      </c>
      <c r="G110" s="401">
        <v>0.61</v>
      </c>
      <c r="H110" s="401">
        <v>0.15</v>
      </c>
      <c r="I110" s="399">
        <f t="shared" si="1"/>
        <v>1</v>
      </c>
      <c r="J110" s="374"/>
      <c r="K110" s="1222"/>
      <c r="L110" s="431"/>
      <c r="M110" s="431"/>
      <c r="N110" s="431"/>
    </row>
    <row r="111" spans="1:14" s="398" customFormat="1" hidden="1" outlineLevel="1">
      <c r="A111" s="1221"/>
      <c r="B111" s="425" t="s">
        <v>123</v>
      </c>
      <c r="C111" s="165" t="s">
        <v>2</v>
      </c>
      <c r="D111" s="392">
        <v>1</v>
      </c>
      <c r="E111" s="165"/>
      <c r="F111" s="401">
        <f>7.66-2+0.61</f>
        <v>6.2700000000000005</v>
      </c>
      <c r="G111" s="401">
        <v>0.61</v>
      </c>
      <c r="H111" s="401">
        <v>0.15</v>
      </c>
      <c r="I111" s="399">
        <f t="shared" si="1"/>
        <v>0.56999999999999995</v>
      </c>
      <c r="J111" s="374"/>
      <c r="K111" s="1222"/>
      <c r="L111" s="431"/>
      <c r="M111" s="431"/>
      <c r="N111" s="431"/>
    </row>
    <row r="112" spans="1:14" s="398" customFormat="1" hidden="1" outlineLevel="1">
      <c r="A112" s="1221"/>
      <c r="B112" s="425"/>
      <c r="C112" s="165" t="s">
        <v>2</v>
      </c>
      <c r="D112" s="392">
        <v>2</v>
      </c>
      <c r="E112" s="165"/>
      <c r="F112" s="401">
        <f>2+3+3.16+0.61</f>
        <v>8.77</v>
      </c>
      <c r="G112" s="401">
        <v>0.61</v>
      </c>
      <c r="H112" s="401">
        <v>0.15</v>
      </c>
      <c r="I112" s="399">
        <f t="shared" si="1"/>
        <v>1.6</v>
      </c>
      <c r="J112" s="374"/>
      <c r="K112" s="1222"/>
      <c r="L112" s="431"/>
      <c r="M112" s="431"/>
      <c r="N112" s="431"/>
    </row>
    <row r="113" spans="1:14" s="398" customFormat="1" hidden="1" outlineLevel="1">
      <c r="A113" s="1221"/>
      <c r="B113" s="425"/>
      <c r="C113" s="165" t="s">
        <v>2</v>
      </c>
      <c r="D113" s="392">
        <v>2</v>
      </c>
      <c r="E113" s="165"/>
      <c r="F113" s="401">
        <f>2+4.16+0.61</f>
        <v>6.7700000000000005</v>
      </c>
      <c r="G113" s="401">
        <v>0.61</v>
      </c>
      <c r="H113" s="401">
        <v>0.15</v>
      </c>
      <c r="I113" s="399">
        <f t="shared" si="1"/>
        <v>1.24</v>
      </c>
      <c r="J113" s="374"/>
      <c r="K113" s="1222"/>
      <c r="L113" s="431"/>
      <c r="M113" s="431"/>
      <c r="N113" s="431"/>
    </row>
    <row r="114" spans="1:14" s="398" customFormat="1" hidden="1" outlineLevel="1">
      <c r="A114" s="1221"/>
      <c r="B114" s="425"/>
      <c r="C114" s="165" t="s">
        <v>2</v>
      </c>
      <c r="D114" s="392">
        <v>1</v>
      </c>
      <c r="E114" s="165"/>
      <c r="F114" s="401">
        <f>10.16-2+0.61</f>
        <v>8.77</v>
      </c>
      <c r="G114" s="401">
        <v>0.61</v>
      </c>
      <c r="H114" s="401">
        <v>0.15</v>
      </c>
      <c r="I114" s="399">
        <f t="shared" si="1"/>
        <v>0.8</v>
      </c>
      <c r="J114" s="374"/>
      <c r="K114" s="1222"/>
      <c r="L114" s="431"/>
      <c r="M114" s="431"/>
      <c r="N114" s="431"/>
    </row>
    <row r="115" spans="1:14" s="398" customFormat="1" hidden="1" outlineLevel="1">
      <c r="A115" s="1221"/>
      <c r="B115" s="425"/>
      <c r="C115" s="165" t="s">
        <v>2</v>
      </c>
      <c r="D115" s="392">
        <v>1</v>
      </c>
      <c r="E115" s="165"/>
      <c r="F115" s="401">
        <f>10.16+0.61*2</f>
        <v>11.38</v>
      </c>
      <c r="G115" s="401">
        <v>0.61</v>
      </c>
      <c r="H115" s="401">
        <v>0.15</v>
      </c>
      <c r="I115" s="399">
        <f t="shared" si="1"/>
        <v>1.04</v>
      </c>
      <c r="J115" s="374"/>
      <c r="K115" s="1222"/>
      <c r="L115" s="431"/>
      <c r="M115" s="431"/>
      <c r="N115" s="431"/>
    </row>
    <row r="116" spans="1:14" s="398" customFormat="1" ht="34.5" hidden="1" outlineLevel="1">
      <c r="A116" s="1221"/>
      <c r="B116" s="425" t="s">
        <v>124</v>
      </c>
      <c r="C116" s="165" t="s">
        <v>2</v>
      </c>
      <c r="D116" s="392">
        <v>2</v>
      </c>
      <c r="E116" s="165"/>
      <c r="F116" s="401">
        <v>0.61499999999999999</v>
      </c>
      <c r="G116" s="401">
        <v>0.61</v>
      </c>
      <c r="H116" s="401">
        <v>0.15</v>
      </c>
      <c r="I116" s="399">
        <f t="shared" si="1"/>
        <v>0.11</v>
      </c>
      <c r="J116" s="374"/>
      <c r="K116" s="1222"/>
      <c r="L116" s="431"/>
      <c r="M116" s="431"/>
      <c r="N116" s="431"/>
    </row>
    <row r="117" spans="1:14" s="398" customFormat="1" hidden="1" outlineLevel="1">
      <c r="A117" s="1221"/>
      <c r="B117" s="425" t="s">
        <v>123</v>
      </c>
      <c r="C117" s="165" t="s">
        <v>2</v>
      </c>
      <c r="D117" s="392">
        <v>3</v>
      </c>
      <c r="E117" s="165"/>
      <c r="F117" s="401">
        <v>3.36</v>
      </c>
      <c r="G117" s="401">
        <v>0.61</v>
      </c>
      <c r="H117" s="401">
        <v>0.15</v>
      </c>
      <c r="I117" s="399">
        <f t="shared" si="1"/>
        <v>0.92</v>
      </c>
      <c r="J117" s="374"/>
      <c r="K117" s="1222"/>
      <c r="L117" s="431"/>
      <c r="M117" s="431"/>
      <c r="N117" s="431"/>
    </row>
    <row r="118" spans="1:14" s="398" customFormat="1" hidden="1" outlineLevel="1">
      <c r="A118" s="1221"/>
      <c r="B118" s="425"/>
      <c r="C118" s="165" t="s">
        <v>2</v>
      </c>
      <c r="D118" s="392">
        <v>3</v>
      </c>
      <c r="E118" s="165"/>
      <c r="F118" s="401">
        <f>2.13-0.61*2</f>
        <v>0.90999999999999992</v>
      </c>
      <c r="G118" s="401">
        <v>0.61</v>
      </c>
      <c r="H118" s="401">
        <v>0.15</v>
      </c>
      <c r="I118" s="399">
        <f t="shared" si="1"/>
        <v>0.25</v>
      </c>
      <c r="J118" s="374"/>
      <c r="K118" s="1222"/>
      <c r="L118" s="431"/>
      <c r="M118" s="431"/>
      <c r="N118" s="431"/>
    </row>
    <row r="119" spans="1:14" s="398" customFormat="1" ht="34.5" hidden="1" outlineLevel="1">
      <c r="A119" s="1221"/>
      <c r="B119" s="425" t="s">
        <v>124</v>
      </c>
      <c r="C119" s="165" t="s">
        <v>2</v>
      </c>
      <c r="D119" s="392">
        <v>7</v>
      </c>
      <c r="E119" s="165"/>
      <c r="F119" s="401">
        <v>0.61499999999999999</v>
      </c>
      <c r="G119" s="401">
        <v>0.61</v>
      </c>
      <c r="H119" s="401">
        <v>0.15</v>
      </c>
      <c r="I119" s="399">
        <f t="shared" si="1"/>
        <v>0.39</v>
      </c>
      <c r="J119" s="374"/>
      <c r="K119" s="1222"/>
      <c r="L119" s="431"/>
      <c r="M119" s="431"/>
      <c r="N119" s="431"/>
    </row>
    <row r="120" spans="1:14" s="398" customFormat="1" hidden="1" outlineLevel="1">
      <c r="A120" s="1221"/>
      <c r="B120" s="425" t="s">
        <v>125</v>
      </c>
      <c r="C120" s="165" t="s">
        <v>2</v>
      </c>
      <c r="D120" s="392">
        <v>2</v>
      </c>
      <c r="E120" s="165"/>
      <c r="F120" s="401">
        <f>2.745-0.615</f>
        <v>2.13</v>
      </c>
      <c r="G120" s="401">
        <v>0.61</v>
      </c>
      <c r="H120" s="401">
        <v>0.15</v>
      </c>
      <c r="I120" s="399">
        <f t="shared" si="1"/>
        <v>0.39</v>
      </c>
      <c r="J120" s="374"/>
      <c r="K120" s="1222"/>
      <c r="L120" s="431"/>
      <c r="M120" s="431"/>
      <c r="N120" s="431"/>
    </row>
    <row r="121" spans="1:14" s="398" customFormat="1" hidden="1" outlineLevel="1">
      <c r="A121" s="1221"/>
      <c r="B121" s="425"/>
      <c r="C121" s="165" t="s">
        <v>2</v>
      </c>
      <c r="D121" s="392">
        <v>6</v>
      </c>
      <c r="E121" s="165"/>
      <c r="F121" s="401">
        <f>2.13-0.61*2</f>
        <v>0.90999999999999992</v>
      </c>
      <c r="G121" s="401">
        <v>0.61</v>
      </c>
      <c r="H121" s="401">
        <v>0.15</v>
      </c>
      <c r="I121" s="399">
        <f t="shared" si="1"/>
        <v>0.5</v>
      </c>
      <c r="J121" s="374"/>
      <c r="K121" s="1222"/>
      <c r="L121" s="431"/>
      <c r="M121" s="431"/>
      <c r="N121" s="431"/>
    </row>
    <row r="122" spans="1:14" s="398" customFormat="1" hidden="1" outlineLevel="1">
      <c r="A122" s="1221"/>
      <c r="B122" s="425"/>
      <c r="C122" s="165" t="s">
        <v>2</v>
      </c>
      <c r="D122" s="392">
        <v>1</v>
      </c>
      <c r="E122" s="165"/>
      <c r="F122" s="401">
        <f>1.52-0.61*2</f>
        <v>0.30000000000000004</v>
      </c>
      <c r="G122" s="401">
        <v>0.61</v>
      </c>
      <c r="H122" s="401">
        <v>0.15</v>
      </c>
      <c r="I122" s="399">
        <f t="shared" si="1"/>
        <v>0.03</v>
      </c>
      <c r="J122" s="374"/>
      <c r="K122" s="1222"/>
      <c r="L122" s="431"/>
      <c r="M122" s="431"/>
      <c r="N122" s="431"/>
    </row>
    <row r="123" spans="1:14" s="398" customFormat="1" hidden="1" outlineLevel="1">
      <c r="A123" s="1221"/>
      <c r="B123" s="425"/>
      <c r="C123" s="165" t="s">
        <v>2</v>
      </c>
      <c r="D123" s="392">
        <v>1</v>
      </c>
      <c r="E123" s="165"/>
      <c r="F123" s="401">
        <v>3.36</v>
      </c>
      <c r="G123" s="401">
        <v>0.61</v>
      </c>
      <c r="H123" s="401">
        <v>0.15</v>
      </c>
      <c r="I123" s="399">
        <f t="shared" si="1"/>
        <v>0.31</v>
      </c>
      <c r="J123" s="374"/>
      <c r="K123" s="1222"/>
      <c r="L123" s="431"/>
      <c r="M123" s="431"/>
      <c r="N123" s="431"/>
    </row>
    <row r="124" spans="1:14" s="398" customFormat="1" ht="34.5" hidden="1" outlineLevel="1">
      <c r="A124" s="1221"/>
      <c r="B124" s="425" t="s">
        <v>126</v>
      </c>
      <c r="C124" s="165" t="s">
        <v>2</v>
      </c>
      <c r="D124" s="392">
        <v>1</v>
      </c>
      <c r="E124" s="165"/>
      <c r="F124" s="401">
        <f>3.16+3+2+1.2+0.61*2</f>
        <v>10.58</v>
      </c>
      <c r="G124" s="401">
        <v>0.61</v>
      </c>
      <c r="H124" s="401">
        <v>0.15</v>
      </c>
      <c r="I124" s="399">
        <f t="shared" si="1"/>
        <v>0.97</v>
      </c>
      <c r="J124" s="374"/>
      <c r="K124" s="1222"/>
      <c r="L124" s="431"/>
      <c r="M124" s="431"/>
      <c r="N124" s="431"/>
    </row>
    <row r="125" spans="1:14" s="398" customFormat="1" hidden="1" outlineLevel="1">
      <c r="A125" s="1221"/>
      <c r="B125" s="425" t="s">
        <v>125</v>
      </c>
      <c r="C125" s="165" t="s">
        <v>2</v>
      </c>
      <c r="D125" s="392">
        <v>1</v>
      </c>
      <c r="E125" s="165"/>
      <c r="F125" s="401">
        <f>3.16+3-2+1.2+0.61*2</f>
        <v>6.58</v>
      </c>
      <c r="G125" s="401">
        <v>0.61</v>
      </c>
      <c r="H125" s="401">
        <v>0.15</v>
      </c>
      <c r="I125" s="399">
        <f t="shared" si="1"/>
        <v>0.6</v>
      </c>
      <c r="J125" s="374"/>
      <c r="K125" s="1222"/>
      <c r="L125" s="431"/>
      <c r="M125" s="431"/>
      <c r="N125" s="431"/>
    </row>
    <row r="126" spans="1:14" s="398" customFormat="1" hidden="1" outlineLevel="1">
      <c r="A126" s="1221"/>
      <c r="B126" s="425"/>
      <c r="C126" s="165" t="s">
        <v>2</v>
      </c>
      <c r="D126" s="392">
        <v>1</v>
      </c>
      <c r="E126" s="165"/>
      <c r="F126" s="401">
        <f>3.16+3+0.61</f>
        <v>6.7700000000000005</v>
      </c>
      <c r="G126" s="401">
        <v>0.61</v>
      </c>
      <c r="H126" s="401">
        <v>0.15</v>
      </c>
      <c r="I126" s="399">
        <f t="shared" si="1"/>
        <v>0.62</v>
      </c>
      <c r="J126" s="374"/>
      <c r="K126" s="1222"/>
      <c r="L126" s="431"/>
      <c r="M126" s="431"/>
      <c r="N126" s="431"/>
    </row>
    <row r="127" spans="1:14" s="398" customFormat="1" hidden="1" outlineLevel="1">
      <c r="A127" s="1221"/>
      <c r="B127" s="425"/>
      <c r="C127" s="165" t="s">
        <v>2</v>
      </c>
      <c r="D127" s="392">
        <v>1</v>
      </c>
      <c r="E127" s="165"/>
      <c r="F127" s="401">
        <f>2.56+3+0.6+0.61*2</f>
        <v>7.38</v>
      </c>
      <c r="G127" s="401">
        <v>0.61</v>
      </c>
      <c r="H127" s="401">
        <v>0.15</v>
      </c>
      <c r="I127" s="399">
        <f t="shared" si="1"/>
        <v>0.68</v>
      </c>
      <c r="J127" s="374"/>
      <c r="K127" s="1222"/>
      <c r="L127" s="431"/>
      <c r="M127" s="431"/>
      <c r="N127" s="431"/>
    </row>
    <row r="128" spans="1:14" s="398" customFormat="1" hidden="1" outlineLevel="1">
      <c r="A128" s="1221"/>
      <c r="B128" s="425"/>
      <c r="C128" s="165" t="s">
        <v>2</v>
      </c>
      <c r="D128" s="392">
        <v>2</v>
      </c>
      <c r="E128" s="165"/>
      <c r="F128" s="401">
        <f>3.08+2+1.28-2+0.61</f>
        <v>4.9700000000000006</v>
      </c>
      <c r="G128" s="401">
        <v>0.61</v>
      </c>
      <c r="H128" s="401">
        <v>0.15</v>
      </c>
      <c r="I128" s="399">
        <f t="shared" si="1"/>
        <v>0.91</v>
      </c>
      <c r="J128" s="374"/>
      <c r="K128" s="1222"/>
      <c r="L128" s="431"/>
      <c r="M128" s="431"/>
      <c r="N128" s="431"/>
    </row>
    <row r="129" spans="1:14" s="398" customFormat="1" hidden="1" outlineLevel="1">
      <c r="A129" s="1221"/>
      <c r="B129" s="425"/>
      <c r="C129" s="165" t="s">
        <v>2</v>
      </c>
      <c r="D129" s="392">
        <v>2</v>
      </c>
      <c r="E129" s="165"/>
      <c r="F129" s="401">
        <f>2+4.06-2+0.61*2</f>
        <v>5.2799999999999994</v>
      </c>
      <c r="G129" s="401">
        <v>0.61</v>
      </c>
      <c r="H129" s="401">
        <v>0.15</v>
      </c>
      <c r="I129" s="399">
        <f t="shared" si="1"/>
        <v>0.97</v>
      </c>
      <c r="J129" s="374"/>
      <c r="K129" s="1222"/>
      <c r="L129" s="431"/>
      <c r="M129" s="431"/>
      <c r="N129" s="431"/>
    </row>
    <row r="130" spans="1:14" s="398" customFormat="1" hidden="1" outlineLevel="1">
      <c r="A130" s="1221"/>
      <c r="B130" s="425"/>
      <c r="C130" s="165" t="s">
        <v>2</v>
      </c>
      <c r="D130" s="392">
        <v>1</v>
      </c>
      <c r="E130" s="165"/>
      <c r="F130" s="401">
        <f>4.06+0.61</f>
        <v>4.67</v>
      </c>
      <c r="G130" s="401">
        <v>0.61</v>
      </c>
      <c r="H130" s="401">
        <v>0.15</v>
      </c>
      <c r="I130" s="399">
        <f t="shared" si="1"/>
        <v>0.43</v>
      </c>
      <c r="J130" s="374"/>
      <c r="K130" s="1222"/>
      <c r="L130" s="431"/>
      <c r="M130" s="431"/>
      <c r="N130" s="431"/>
    </row>
    <row r="131" spans="1:14" s="398" customFormat="1" hidden="1" outlineLevel="1">
      <c r="A131" s="1221"/>
      <c r="B131" s="425"/>
      <c r="C131" s="165" t="s">
        <v>2</v>
      </c>
      <c r="D131" s="392">
        <v>1</v>
      </c>
      <c r="E131" s="165"/>
      <c r="F131" s="401">
        <f>0.4+3+0.66+0.61*2</f>
        <v>5.2799999999999994</v>
      </c>
      <c r="G131" s="401">
        <v>0.61</v>
      </c>
      <c r="H131" s="401">
        <v>0.15</v>
      </c>
      <c r="I131" s="399">
        <f t="shared" si="1"/>
        <v>0.48</v>
      </c>
      <c r="J131" s="374"/>
      <c r="K131" s="1222"/>
      <c r="L131" s="431"/>
      <c r="M131" s="431"/>
      <c r="N131" s="431"/>
    </row>
    <row r="132" spans="1:14" s="398" customFormat="1" hidden="1" outlineLevel="1">
      <c r="A132" s="1221"/>
      <c r="B132" s="425"/>
      <c r="C132" s="165" t="s">
        <v>2</v>
      </c>
      <c r="D132" s="392">
        <v>1</v>
      </c>
      <c r="E132" s="165"/>
      <c r="F132" s="401">
        <f>4.2-2+0.61</f>
        <v>2.81</v>
      </c>
      <c r="G132" s="401">
        <v>0.61</v>
      </c>
      <c r="H132" s="401">
        <v>0.15</v>
      </c>
      <c r="I132" s="399">
        <f t="shared" si="1"/>
        <v>0.26</v>
      </c>
      <c r="J132" s="374"/>
      <c r="K132" s="1222"/>
      <c r="L132" s="431"/>
      <c r="M132" s="431"/>
      <c r="N132" s="431"/>
    </row>
    <row r="133" spans="1:14" s="398" customFormat="1" hidden="1" outlineLevel="1">
      <c r="A133" s="1221"/>
      <c r="B133" s="425"/>
      <c r="C133" s="165" t="s">
        <v>2</v>
      </c>
      <c r="D133" s="392">
        <v>1</v>
      </c>
      <c r="E133" s="165"/>
      <c r="F133" s="401">
        <f>4.2+0.61*2</f>
        <v>5.42</v>
      </c>
      <c r="G133" s="401">
        <v>0.61</v>
      </c>
      <c r="H133" s="401">
        <v>0.15</v>
      </c>
      <c r="I133" s="399">
        <f t="shared" si="1"/>
        <v>0.5</v>
      </c>
      <c r="J133" s="374"/>
      <c r="K133" s="1222"/>
      <c r="L133" s="431"/>
      <c r="M133" s="431"/>
      <c r="N133" s="431"/>
    </row>
    <row r="134" spans="1:14" s="398" customFormat="1" ht="34.5" hidden="1" outlineLevel="1">
      <c r="A134" s="1221"/>
      <c r="B134" s="425" t="s">
        <v>127</v>
      </c>
      <c r="C134" s="165"/>
      <c r="D134" s="392"/>
      <c r="E134" s="165"/>
      <c r="F134" s="401"/>
      <c r="G134" s="401"/>
      <c r="H134" s="401"/>
      <c r="I134" s="399" t="str">
        <f t="shared" si="1"/>
        <v/>
      </c>
      <c r="J134" s="374"/>
      <c r="K134" s="1222"/>
      <c r="L134" s="431"/>
      <c r="M134" s="431"/>
      <c r="N134" s="431"/>
    </row>
    <row r="135" spans="1:14" s="398" customFormat="1" hidden="1" outlineLevel="1">
      <c r="A135" s="1221"/>
      <c r="B135" s="425" t="s">
        <v>128</v>
      </c>
      <c r="C135" s="165" t="s">
        <v>2</v>
      </c>
      <c r="D135" s="392">
        <v>1</v>
      </c>
      <c r="E135" s="165"/>
      <c r="F135" s="401">
        <f>5.985+3+1.395+3+1.395+1.5+1.5+0.775-0.23+0.6*2</f>
        <v>19.519999999999996</v>
      </c>
      <c r="G135" s="401">
        <v>0.61</v>
      </c>
      <c r="H135" s="401">
        <v>0.15</v>
      </c>
      <c r="I135" s="399">
        <f t="shared" si="1"/>
        <v>1.79</v>
      </c>
      <c r="J135" s="374"/>
      <c r="K135" s="1222"/>
      <c r="L135" s="431"/>
      <c r="M135" s="431"/>
      <c r="N135" s="431"/>
    </row>
    <row r="136" spans="1:14" s="398" customFormat="1" hidden="1" outlineLevel="1">
      <c r="A136" s="1221"/>
      <c r="B136" s="425"/>
      <c r="C136" s="165" t="s">
        <v>2</v>
      </c>
      <c r="D136" s="392">
        <v>1</v>
      </c>
      <c r="E136" s="165"/>
      <c r="F136" s="401">
        <f>1.48+0.61</f>
        <v>2.09</v>
      </c>
      <c r="G136" s="401">
        <v>0.61</v>
      </c>
      <c r="H136" s="401">
        <v>0.15</v>
      </c>
      <c r="I136" s="399">
        <f t="shared" ref="I136:I199" si="2">IF(D136&lt;&gt;0,ROUND(PRODUCT(E136:H136)*D136,2),"")</f>
        <v>0.19</v>
      </c>
      <c r="J136" s="374"/>
      <c r="K136" s="1222"/>
      <c r="L136" s="431"/>
      <c r="M136" s="431"/>
      <c r="N136" s="431"/>
    </row>
    <row r="137" spans="1:14" s="398" customFormat="1" hidden="1" outlineLevel="1">
      <c r="A137" s="1221"/>
      <c r="B137" s="425"/>
      <c r="C137" s="165" t="s">
        <v>2</v>
      </c>
      <c r="D137" s="392">
        <v>6</v>
      </c>
      <c r="E137" s="165"/>
      <c r="F137" s="401">
        <f>0.615+0.61*2</f>
        <v>1.835</v>
      </c>
      <c r="G137" s="401">
        <v>0.61</v>
      </c>
      <c r="H137" s="401">
        <v>0.15</v>
      </c>
      <c r="I137" s="399">
        <f t="shared" si="2"/>
        <v>1.01</v>
      </c>
      <c r="J137" s="374"/>
      <c r="K137" s="1222"/>
      <c r="L137" s="431"/>
      <c r="M137" s="431"/>
      <c r="N137" s="431"/>
    </row>
    <row r="138" spans="1:14" s="398" customFormat="1" hidden="1" outlineLevel="1">
      <c r="A138" s="1221"/>
      <c r="B138" s="425"/>
      <c r="C138" s="165" t="s">
        <v>2</v>
      </c>
      <c r="D138" s="392">
        <v>4</v>
      </c>
      <c r="E138" s="165"/>
      <c r="F138" s="401">
        <f>2.435-0.61*2</f>
        <v>1.2150000000000001</v>
      </c>
      <c r="G138" s="401">
        <v>0.61</v>
      </c>
      <c r="H138" s="401">
        <v>0.15</v>
      </c>
      <c r="I138" s="399">
        <f t="shared" si="2"/>
        <v>0.44</v>
      </c>
      <c r="J138" s="374"/>
      <c r="K138" s="1222"/>
      <c r="L138" s="431"/>
      <c r="M138" s="431"/>
      <c r="N138" s="431"/>
    </row>
    <row r="139" spans="1:14" s="398" customFormat="1" hidden="1" outlineLevel="1">
      <c r="A139" s="1221"/>
      <c r="B139" s="425"/>
      <c r="C139" s="165" t="s">
        <v>2</v>
      </c>
      <c r="D139" s="392">
        <v>1</v>
      </c>
      <c r="E139" s="165"/>
      <c r="F139" s="401">
        <f>2.13-0.61*2</f>
        <v>0.90999999999999992</v>
      </c>
      <c r="G139" s="401">
        <v>0.61</v>
      </c>
      <c r="H139" s="401">
        <v>0.15</v>
      </c>
      <c r="I139" s="399">
        <f t="shared" si="2"/>
        <v>0.08</v>
      </c>
      <c r="J139" s="374"/>
      <c r="K139" s="1222"/>
      <c r="L139" s="431"/>
      <c r="M139" s="431"/>
      <c r="N139" s="431"/>
    </row>
    <row r="140" spans="1:14" s="398" customFormat="1" hidden="1" outlineLevel="1">
      <c r="A140" s="1221"/>
      <c r="B140" s="425"/>
      <c r="C140" s="165" t="s">
        <v>2</v>
      </c>
      <c r="D140" s="392">
        <v>1</v>
      </c>
      <c r="E140" s="165"/>
      <c r="F140" s="401">
        <v>1.145</v>
      </c>
      <c r="G140" s="401">
        <v>0.61</v>
      </c>
      <c r="H140" s="401">
        <v>0.15</v>
      </c>
      <c r="I140" s="399">
        <f t="shared" si="2"/>
        <v>0.1</v>
      </c>
      <c r="J140" s="374"/>
      <c r="K140" s="1222"/>
      <c r="L140" s="431"/>
      <c r="M140" s="431"/>
      <c r="N140" s="431"/>
    </row>
    <row r="141" spans="1:14" s="398" customFormat="1" ht="34.5" hidden="1" outlineLevel="1">
      <c r="A141" s="1221"/>
      <c r="B141" s="425" t="s">
        <v>129</v>
      </c>
      <c r="C141" s="165"/>
      <c r="D141" s="392"/>
      <c r="E141" s="165"/>
      <c r="F141" s="401"/>
      <c r="G141" s="401"/>
      <c r="H141" s="401"/>
      <c r="I141" s="399" t="str">
        <f t="shared" si="2"/>
        <v/>
      </c>
      <c r="J141" s="374"/>
      <c r="K141" s="1222"/>
      <c r="L141" s="431"/>
      <c r="M141" s="431"/>
      <c r="N141" s="431"/>
    </row>
    <row r="142" spans="1:14" s="398" customFormat="1" hidden="1" outlineLevel="1">
      <c r="A142" s="1221"/>
      <c r="B142" s="425" t="s">
        <v>128</v>
      </c>
      <c r="C142" s="165" t="s">
        <v>2</v>
      </c>
      <c r="D142" s="392">
        <v>2</v>
      </c>
      <c r="E142" s="165"/>
      <c r="F142" s="401">
        <v>2</v>
      </c>
      <c r="G142" s="401">
        <v>0.61</v>
      </c>
      <c r="H142" s="401">
        <v>0.15</v>
      </c>
      <c r="I142" s="399">
        <f t="shared" si="2"/>
        <v>0.37</v>
      </c>
      <c r="J142" s="374"/>
      <c r="K142" s="1222"/>
      <c r="L142" s="431"/>
      <c r="M142" s="431"/>
      <c r="N142" s="431"/>
    </row>
    <row r="143" spans="1:14" s="398" customFormat="1" hidden="1" outlineLevel="1">
      <c r="A143" s="1221"/>
      <c r="B143" s="425"/>
      <c r="C143" s="165" t="s">
        <v>2</v>
      </c>
      <c r="D143" s="392">
        <v>2</v>
      </c>
      <c r="E143" s="165"/>
      <c r="F143" s="401">
        <v>3</v>
      </c>
      <c r="G143" s="401">
        <v>0.61</v>
      </c>
      <c r="H143" s="401">
        <v>0.15</v>
      </c>
      <c r="I143" s="399">
        <f t="shared" si="2"/>
        <v>0.55000000000000004</v>
      </c>
      <c r="J143" s="374"/>
      <c r="K143" s="1222"/>
      <c r="L143" s="431"/>
      <c r="M143" s="431"/>
      <c r="N143" s="431"/>
    </row>
    <row r="144" spans="1:14" s="398" customFormat="1" hidden="1" outlineLevel="1">
      <c r="A144" s="1221"/>
      <c r="B144" s="425"/>
      <c r="C144" s="165" t="s">
        <v>2</v>
      </c>
      <c r="D144" s="392">
        <v>2</v>
      </c>
      <c r="E144" s="165"/>
      <c r="F144" s="401">
        <v>4.6449999999999996</v>
      </c>
      <c r="G144" s="401">
        <v>0.61</v>
      </c>
      <c r="H144" s="401">
        <v>0.15</v>
      </c>
      <c r="I144" s="399">
        <f t="shared" si="2"/>
        <v>0.85</v>
      </c>
      <c r="J144" s="374"/>
      <c r="K144" s="1222"/>
      <c r="L144" s="431"/>
      <c r="M144" s="431"/>
      <c r="N144" s="431"/>
    </row>
    <row r="145" spans="1:14" s="398" customFormat="1" hidden="1" outlineLevel="1">
      <c r="A145" s="1221"/>
      <c r="B145" s="425"/>
      <c r="C145" s="165" t="s">
        <v>2</v>
      </c>
      <c r="D145" s="392">
        <v>2</v>
      </c>
      <c r="E145" s="165"/>
      <c r="F145" s="401">
        <v>6.12</v>
      </c>
      <c r="G145" s="401">
        <v>0.61</v>
      </c>
      <c r="H145" s="401">
        <v>0.15</v>
      </c>
      <c r="I145" s="399">
        <f t="shared" si="2"/>
        <v>1.1200000000000001</v>
      </c>
      <c r="J145" s="374"/>
      <c r="K145" s="1222"/>
      <c r="L145" s="431"/>
      <c r="M145" s="431"/>
      <c r="N145" s="431"/>
    </row>
    <row r="146" spans="1:14" s="398" customFormat="1" hidden="1" outlineLevel="1">
      <c r="A146" s="1221"/>
      <c r="B146" s="425"/>
      <c r="C146" s="165" t="s">
        <v>2</v>
      </c>
      <c r="D146" s="392">
        <v>2</v>
      </c>
      <c r="E146" s="165"/>
      <c r="F146" s="401">
        <v>6.95</v>
      </c>
      <c r="G146" s="401">
        <v>0.61</v>
      </c>
      <c r="H146" s="401">
        <v>0.15</v>
      </c>
      <c r="I146" s="399">
        <f t="shared" si="2"/>
        <v>1.27</v>
      </c>
      <c r="J146" s="374"/>
      <c r="K146" s="1222"/>
      <c r="L146" s="431"/>
      <c r="M146" s="431"/>
      <c r="N146" s="431"/>
    </row>
    <row r="147" spans="1:14" s="398" customFormat="1" hidden="1" outlineLevel="1">
      <c r="A147" s="1221"/>
      <c r="B147" s="425"/>
      <c r="C147" s="165" t="s">
        <v>2</v>
      </c>
      <c r="D147" s="392">
        <v>2</v>
      </c>
      <c r="E147" s="165"/>
      <c r="F147" s="401">
        <v>6.38</v>
      </c>
      <c r="G147" s="401">
        <v>0.61</v>
      </c>
      <c r="H147" s="401">
        <v>0.15</v>
      </c>
      <c r="I147" s="399">
        <f t="shared" si="2"/>
        <v>1.17</v>
      </c>
      <c r="J147" s="374"/>
      <c r="K147" s="1222"/>
      <c r="L147" s="431"/>
      <c r="M147" s="431"/>
      <c r="N147" s="431"/>
    </row>
    <row r="148" spans="1:14" s="398" customFormat="1" hidden="1" outlineLevel="1">
      <c r="A148" s="1221"/>
      <c r="B148" s="425"/>
      <c r="C148" s="165" t="s">
        <v>2</v>
      </c>
      <c r="D148" s="392">
        <v>2</v>
      </c>
      <c r="E148" s="165"/>
      <c r="F148" s="401">
        <v>5.3449999999999998</v>
      </c>
      <c r="G148" s="401">
        <v>0.61</v>
      </c>
      <c r="H148" s="401">
        <v>0.15</v>
      </c>
      <c r="I148" s="399">
        <f t="shared" si="2"/>
        <v>0.98</v>
      </c>
      <c r="J148" s="374"/>
      <c r="K148" s="1222"/>
      <c r="L148" s="431"/>
      <c r="M148" s="431"/>
      <c r="N148" s="431"/>
    </row>
    <row r="149" spans="1:14" s="398" customFormat="1" hidden="1" outlineLevel="1">
      <c r="A149" s="1221"/>
      <c r="B149" s="425" t="s">
        <v>130</v>
      </c>
      <c r="C149" s="165" t="s">
        <v>2</v>
      </c>
      <c r="D149" s="392">
        <v>2</v>
      </c>
      <c r="E149" s="165"/>
      <c r="F149" s="401">
        <f>27.15+0.61*2</f>
        <v>28.369999999999997</v>
      </c>
      <c r="G149" s="401">
        <v>0.61</v>
      </c>
      <c r="H149" s="401">
        <v>0.15</v>
      </c>
      <c r="I149" s="399">
        <f t="shared" si="2"/>
        <v>5.19</v>
      </c>
      <c r="J149" s="374"/>
      <c r="K149" s="1222"/>
      <c r="L149" s="431"/>
      <c r="M149" s="431"/>
      <c r="N149" s="431"/>
    </row>
    <row r="150" spans="1:14" s="398" customFormat="1" hidden="1" outlineLevel="1">
      <c r="A150" s="1221"/>
      <c r="B150" s="425" t="s">
        <v>131</v>
      </c>
      <c r="C150" s="165" t="s">
        <v>2</v>
      </c>
      <c r="D150" s="392">
        <v>2</v>
      </c>
      <c r="E150" s="165"/>
      <c r="F150" s="1154">
        <v>14.19</v>
      </c>
      <c r="G150" s="401">
        <v>0.61</v>
      </c>
      <c r="H150" s="401">
        <v>0.15</v>
      </c>
      <c r="I150" s="399">
        <f t="shared" si="2"/>
        <v>2.6</v>
      </c>
      <c r="J150" s="374"/>
      <c r="K150" s="1222"/>
      <c r="L150" s="431"/>
      <c r="M150" s="431"/>
      <c r="N150" s="431"/>
    </row>
    <row r="151" spans="1:14" s="398" customFormat="1" hidden="1" outlineLevel="1">
      <c r="A151" s="1221"/>
      <c r="B151" s="425" t="s">
        <v>132</v>
      </c>
      <c r="C151" s="165" t="s">
        <v>2</v>
      </c>
      <c r="D151" s="392">
        <v>1</v>
      </c>
      <c r="E151" s="165"/>
      <c r="F151" s="401">
        <f>34.935</f>
        <v>34.935000000000002</v>
      </c>
      <c r="G151" s="401">
        <v>0.61</v>
      </c>
      <c r="H151" s="401">
        <v>0.15</v>
      </c>
      <c r="I151" s="399">
        <f t="shared" si="2"/>
        <v>3.2</v>
      </c>
      <c r="J151" s="374"/>
      <c r="K151" s="1222"/>
      <c r="L151" s="431"/>
      <c r="M151" s="431"/>
      <c r="N151" s="431"/>
    </row>
    <row r="152" spans="1:14" s="398" customFormat="1" hidden="1" outlineLevel="1">
      <c r="A152" s="1221"/>
      <c r="B152" s="425" t="s">
        <v>132</v>
      </c>
      <c r="C152" s="165" t="s">
        <v>2</v>
      </c>
      <c r="D152" s="392">
        <v>1</v>
      </c>
      <c r="E152" s="165"/>
      <c r="F152" s="401">
        <v>15</v>
      </c>
      <c r="G152" s="401">
        <v>0.61</v>
      </c>
      <c r="H152" s="401">
        <v>0.15</v>
      </c>
      <c r="I152" s="399">
        <f t="shared" si="2"/>
        <v>1.37</v>
      </c>
      <c r="J152" s="374"/>
      <c r="K152" s="1222"/>
      <c r="L152" s="431"/>
      <c r="M152" s="431"/>
      <c r="N152" s="431"/>
    </row>
    <row r="153" spans="1:14" s="398" customFormat="1" hidden="1" outlineLevel="1">
      <c r="A153" s="1221"/>
      <c r="B153" s="425" t="s">
        <v>133</v>
      </c>
      <c r="C153" s="165" t="s">
        <v>2</v>
      </c>
      <c r="D153" s="392">
        <v>1</v>
      </c>
      <c r="E153" s="165"/>
      <c r="F153" s="401">
        <v>31.4</v>
      </c>
      <c r="G153" s="401">
        <v>0.61</v>
      </c>
      <c r="H153" s="401">
        <v>0.15</v>
      </c>
      <c r="I153" s="399">
        <f t="shared" si="2"/>
        <v>2.87</v>
      </c>
      <c r="J153" s="374"/>
      <c r="K153" s="1222"/>
      <c r="L153" s="431"/>
      <c r="M153" s="431"/>
      <c r="N153" s="431"/>
    </row>
    <row r="154" spans="1:14" s="398" customFormat="1" hidden="1" outlineLevel="1">
      <c r="A154" s="1221"/>
      <c r="B154" s="425" t="s">
        <v>134</v>
      </c>
      <c r="C154" s="165" t="s">
        <v>2</v>
      </c>
      <c r="D154" s="392">
        <v>1</v>
      </c>
      <c r="E154" s="165"/>
      <c r="F154" s="401">
        <v>42.55</v>
      </c>
      <c r="G154" s="401">
        <v>0.61</v>
      </c>
      <c r="H154" s="401">
        <v>0.15</v>
      </c>
      <c r="I154" s="399">
        <f t="shared" si="2"/>
        <v>3.89</v>
      </c>
      <c r="J154" s="374"/>
      <c r="K154" s="1222"/>
      <c r="L154" s="431"/>
      <c r="M154" s="431"/>
      <c r="N154" s="431"/>
    </row>
    <row r="155" spans="1:14" s="398" customFormat="1" hidden="1" outlineLevel="1">
      <c r="A155" s="1221"/>
      <c r="B155" s="425" t="s">
        <v>135</v>
      </c>
      <c r="C155" s="165" t="s">
        <v>2</v>
      </c>
      <c r="D155" s="392">
        <v>2</v>
      </c>
      <c r="E155" s="165"/>
      <c r="F155" s="401">
        <v>31.44</v>
      </c>
      <c r="G155" s="401">
        <v>0.61</v>
      </c>
      <c r="H155" s="401">
        <v>0.15</v>
      </c>
      <c r="I155" s="399">
        <f t="shared" si="2"/>
        <v>5.75</v>
      </c>
      <c r="J155" s="374"/>
      <c r="K155" s="1222"/>
      <c r="L155" s="431"/>
      <c r="M155" s="431"/>
      <c r="N155" s="431"/>
    </row>
    <row r="156" spans="1:14" s="398" customFormat="1" hidden="1" outlineLevel="1">
      <c r="A156" s="1221"/>
      <c r="B156" s="425" t="s">
        <v>136</v>
      </c>
      <c r="C156" s="165" t="s">
        <v>2</v>
      </c>
      <c r="D156" s="392">
        <v>6</v>
      </c>
      <c r="E156" s="165"/>
      <c r="F156" s="401">
        <f>4.5+0.15*2+0.1*2</f>
        <v>5</v>
      </c>
      <c r="G156" s="401">
        <f>1+0.15+0.1</f>
        <v>1.25</v>
      </c>
      <c r="H156" s="401">
        <v>0.1</v>
      </c>
      <c r="I156" s="399">
        <f t="shared" si="2"/>
        <v>3.75</v>
      </c>
      <c r="J156" s="374"/>
      <c r="K156" s="1222"/>
      <c r="L156" s="431"/>
      <c r="M156" s="431"/>
      <c r="N156" s="431"/>
    </row>
    <row r="157" spans="1:14" s="398" customFormat="1" hidden="1" outlineLevel="1">
      <c r="A157" s="1221"/>
      <c r="B157" s="425"/>
      <c r="C157" s="165" t="s">
        <v>2</v>
      </c>
      <c r="D157" s="392">
        <v>2</v>
      </c>
      <c r="E157" s="165"/>
      <c r="F157" s="401">
        <f>4.5+0.15*2+0.1*2</f>
        <v>5</v>
      </c>
      <c r="G157" s="401">
        <f>1+0.15*2+0.1*2</f>
        <v>1.5</v>
      </c>
      <c r="H157" s="401">
        <v>0.1</v>
      </c>
      <c r="I157" s="399">
        <f t="shared" si="2"/>
        <v>1.5</v>
      </c>
      <c r="J157" s="374"/>
      <c r="K157" s="1222"/>
      <c r="L157" s="431"/>
      <c r="M157" s="431"/>
      <c r="N157" s="431"/>
    </row>
    <row r="158" spans="1:14" s="398" customFormat="1" hidden="1" outlineLevel="1">
      <c r="A158" s="1221"/>
      <c r="B158" s="425" t="s">
        <v>137</v>
      </c>
      <c r="C158" s="165" t="s">
        <v>2</v>
      </c>
      <c r="D158" s="392">
        <v>6</v>
      </c>
      <c r="E158" s="165"/>
      <c r="F158" s="401">
        <f>4.5+0.15*2+0.1*2</f>
        <v>5</v>
      </c>
      <c r="G158" s="401">
        <f>1+0.15+0.1</f>
        <v>1.25</v>
      </c>
      <c r="H158" s="401">
        <v>0.1</v>
      </c>
      <c r="I158" s="399">
        <f t="shared" si="2"/>
        <v>3.75</v>
      </c>
      <c r="J158" s="374"/>
      <c r="K158" s="1222"/>
      <c r="L158" s="431"/>
      <c r="M158" s="431"/>
      <c r="N158" s="431"/>
    </row>
    <row r="159" spans="1:14" s="398" customFormat="1" hidden="1" outlineLevel="1">
      <c r="A159" s="1221"/>
      <c r="B159" s="425"/>
      <c r="C159" s="165" t="s">
        <v>2</v>
      </c>
      <c r="D159" s="392">
        <v>2</v>
      </c>
      <c r="E159" s="165"/>
      <c r="F159" s="401">
        <f>4.5+0.15*2+0.1*2</f>
        <v>5</v>
      </c>
      <c r="G159" s="401">
        <f>1+0.15*2+0.1*2</f>
        <v>1.5</v>
      </c>
      <c r="H159" s="401">
        <v>0.1</v>
      </c>
      <c r="I159" s="399">
        <f t="shared" si="2"/>
        <v>1.5</v>
      </c>
      <c r="J159" s="374"/>
      <c r="K159" s="1222"/>
      <c r="L159" s="431"/>
      <c r="M159" s="431"/>
      <c r="N159" s="431"/>
    </row>
    <row r="160" spans="1:14" s="263" customFormat="1" hidden="1" outlineLevel="1" collapsed="1">
      <c r="A160" s="1225"/>
      <c r="B160" s="260" t="s">
        <v>170</v>
      </c>
      <c r="C160" s="457"/>
      <c r="D160" s="460"/>
      <c r="E160" s="439"/>
      <c r="F160" s="1350"/>
      <c r="G160" s="1350"/>
      <c r="H160" s="1350"/>
      <c r="I160" s="399" t="str">
        <f t="shared" si="2"/>
        <v/>
      </c>
      <c r="J160" s="261"/>
      <c r="K160" s="1226"/>
      <c r="L160" s="262"/>
      <c r="M160" s="262"/>
      <c r="N160" s="262"/>
    </row>
    <row r="161" spans="1:14" s="263" customFormat="1" hidden="1" outlineLevel="1">
      <c r="A161" s="1225"/>
      <c r="B161" s="260"/>
      <c r="C161" s="457"/>
      <c r="D161" s="460"/>
      <c r="E161" s="439"/>
      <c r="F161" s="1350"/>
      <c r="G161" s="1350"/>
      <c r="H161" s="1350"/>
      <c r="I161" s="399" t="str">
        <f t="shared" si="2"/>
        <v/>
      </c>
      <c r="J161" s="261"/>
      <c r="K161" s="1226"/>
      <c r="L161" s="262"/>
      <c r="M161" s="262"/>
      <c r="N161" s="262"/>
    </row>
    <row r="162" spans="1:14" s="263" customFormat="1" hidden="1" outlineLevel="1">
      <c r="A162" s="1225"/>
      <c r="B162" s="260" t="s">
        <v>171</v>
      </c>
      <c r="C162" s="457" t="s">
        <v>2</v>
      </c>
      <c r="D162" s="460">
        <v>1</v>
      </c>
      <c r="E162" s="439">
        <v>1</v>
      </c>
      <c r="F162" s="1350">
        <v>4.6500000000000004</v>
      </c>
      <c r="G162" s="1350">
        <v>0.61</v>
      </c>
      <c r="H162" s="1350">
        <v>0.15</v>
      </c>
      <c r="I162" s="399">
        <f t="shared" si="2"/>
        <v>0.43</v>
      </c>
      <c r="J162" s="261"/>
      <c r="K162" s="1227"/>
      <c r="L162" s="262"/>
      <c r="M162" s="262"/>
      <c r="N162" s="262"/>
    </row>
    <row r="163" spans="1:14" s="263" customFormat="1" hidden="1" outlineLevel="1">
      <c r="A163" s="1225"/>
      <c r="B163" s="260"/>
      <c r="C163" s="457"/>
      <c r="D163" s="460"/>
      <c r="E163" s="439"/>
      <c r="F163" s="1350"/>
      <c r="G163" s="1350"/>
      <c r="H163" s="1350"/>
      <c r="I163" s="399" t="str">
        <f t="shared" si="2"/>
        <v/>
      </c>
      <c r="J163" s="261"/>
      <c r="K163" s="1227"/>
      <c r="L163" s="262"/>
      <c r="M163" s="262"/>
      <c r="N163" s="262"/>
    </row>
    <row r="164" spans="1:14" s="263" customFormat="1" hidden="1" outlineLevel="1">
      <c r="A164" s="1225"/>
      <c r="B164" s="260"/>
      <c r="C164" s="457" t="s">
        <v>2</v>
      </c>
      <c r="D164" s="460">
        <v>1</v>
      </c>
      <c r="E164" s="439">
        <v>1</v>
      </c>
      <c r="F164" s="1350">
        <v>2.04</v>
      </c>
      <c r="G164" s="1350">
        <v>0.61</v>
      </c>
      <c r="H164" s="1350">
        <v>0.15</v>
      </c>
      <c r="I164" s="399">
        <f t="shared" si="2"/>
        <v>0.19</v>
      </c>
      <c r="J164" s="261"/>
      <c r="K164" s="1227"/>
      <c r="L164" s="262"/>
      <c r="M164" s="262"/>
      <c r="N164" s="262"/>
    </row>
    <row r="165" spans="1:14" s="263" customFormat="1" hidden="1" outlineLevel="1">
      <c r="A165" s="1225"/>
      <c r="B165" s="260"/>
      <c r="C165" s="457"/>
      <c r="D165" s="460"/>
      <c r="E165" s="439"/>
      <c r="F165" s="1350"/>
      <c r="G165" s="1350"/>
      <c r="H165" s="1350"/>
      <c r="I165" s="399" t="str">
        <f t="shared" si="2"/>
        <v/>
      </c>
      <c r="J165" s="261"/>
      <c r="K165" s="1227"/>
      <c r="L165" s="262"/>
      <c r="M165" s="262"/>
      <c r="N165" s="262"/>
    </row>
    <row r="166" spans="1:14" s="263" customFormat="1" hidden="1" outlineLevel="1">
      <c r="A166" s="1225"/>
      <c r="B166" s="260" t="s">
        <v>172</v>
      </c>
      <c r="C166" s="457" t="s">
        <v>2</v>
      </c>
      <c r="D166" s="460">
        <f>1*0</f>
        <v>0</v>
      </c>
      <c r="E166" s="439">
        <v>1</v>
      </c>
      <c r="F166" s="1350">
        <v>2.61</v>
      </c>
      <c r="G166" s="1350">
        <v>0.61</v>
      </c>
      <c r="H166" s="1350">
        <v>0.15</v>
      </c>
      <c r="I166" s="399" t="str">
        <f t="shared" si="2"/>
        <v/>
      </c>
      <c r="J166" s="261"/>
      <c r="K166" s="1227"/>
      <c r="L166" s="262"/>
      <c r="M166" s="262"/>
      <c r="N166" s="262"/>
    </row>
    <row r="167" spans="1:14" s="263" customFormat="1" hidden="1" outlineLevel="1">
      <c r="A167" s="1225"/>
      <c r="B167" s="260"/>
      <c r="C167" s="457"/>
      <c r="D167" s="460"/>
      <c r="E167" s="439"/>
      <c r="F167" s="1350"/>
      <c r="G167" s="1350"/>
      <c r="H167" s="1350"/>
      <c r="I167" s="399" t="str">
        <f t="shared" si="2"/>
        <v/>
      </c>
      <c r="J167" s="261"/>
      <c r="K167" s="1227"/>
      <c r="L167" s="262"/>
      <c r="M167" s="262"/>
      <c r="N167" s="262"/>
    </row>
    <row r="168" spans="1:14" s="263" customFormat="1" hidden="1" outlineLevel="1">
      <c r="A168" s="1225"/>
      <c r="B168" s="260"/>
      <c r="C168" s="457" t="s">
        <v>2</v>
      </c>
      <c r="D168" s="460">
        <v>1</v>
      </c>
      <c r="E168" s="439">
        <v>1</v>
      </c>
      <c r="F168" s="1350">
        <v>2.04</v>
      </c>
      <c r="G168" s="1350">
        <v>0.61</v>
      </c>
      <c r="H168" s="1350">
        <v>0.15</v>
      </c>
      <c r="I168" s="399">
        <f t="shared" si="2"/>
        <v>0.19</v>
      </c>
      <c r="J168" s="261"/>
      <c r="K168" s="1227"/>
      <c r="L168" s="262"/>
      <c r="M168" s="262"/>
      <c r="N168" s="262"/>
    </row>
    <row r="169" spans="1:14" s="263" customFormat="1" hidden="1" outlineLevel="1">
      <c r="A169" s="1225"/>
      <c r="B169" s="260"/>
      <c r="C169" s="457"/>
      <c r="D169" s="460"/>
      <c r="E169" s="439"/>
      <c r="F169" s="1350"/>
      <c r="G169" s="1350"/>
      <c r="H169" s="1350"/>
      <c r="I169" s="399" t="str">
        <f t="shared" si="2"/>
        <v/>
      </c>
      <c r="J169" s="261"/>
      <c r="K169" s="1227"/>
      <c r="L169" s="262"/>
      <c r="M169" s="262"/>
      <c r="N169" s="262"/>
    </row>
    <row r="170" spans="1:14" s="263" customFormat="1" hidden="1" outlineLevel="1">
      <c r="A170" s="1225"/>
      <c r="B170" s="260"/>
      <c r="C170" s="457" t="s">
        <v>2</v>
      </c>
      <c r="D170" s="460">
        <v>1</v>
      </c>
      <c r="E170" s="439">
        <v>1</v>
      </c>
      <c r="F170" s="1350">
        <v>2.34</v>
      </c>
      <c r="G170" s="1350">
        <v>0.61</v>
      </c>
      <c r="H170" s="1350">
        <v>0.15</v>
      </c>
      <c r="I170" s="399">
        <f t="shared" si="2"/>
        <v>0.21</v>
      </c>
      <c r="J170" s="261"/>
      <c r="K170" s="1227"/>
      <c r="L170" s="262"/>
      <c r="M170" s="262"/>
      <c r="N170" s="262"/>
    </row>
    <row r="171" spans="1:14" s="263" customFormat="1" hidden="1" outlineLevel="1">
      <c r="A171" s="1225"/>
      <c r="B171" s="260"/>
      <c r="C171" s="457"/>
      <c r="D171" s="460"/>
      <c r="E171" s="439"/>
      <c r="F171" s="1350"/>
      <c r="G171" s="1350"/>
      <c r="H171" s="1350"/>
      <c r="I171" s="399" t="str">
        <f t="shared" si="2"/>
        <v/>
      </c>
      <c r="J171" s="261"/>
      <c r="K171" s="1227"/>
      <c r="L171" s="262"/>
      <c r="M171" s="262"/>
      <c r="N171" s="262"/>
    </row>
    <row r="172" spans="1:14" s="263" customFormat="1" hidden="1" outlineLevel="1">
      <c r="A172" s="1225"/>
      <c r="B172" s="260"/>
      <c r="C172" s="457" t="s">
        <v>2</v>
      </c>
      <c r="D172" s="460">
        <v>1</v>
      </c>
      <c r="E172" s="439">
        <v>1</v>
      </c>
      <c r="F172" s="1350">
        <v>1.21</v>
      </c>
      <c r="G172" s="1350">
        <v>0.61</v>
      </c>
      <c r="H172" s="1350">
        <v>0.15</v>
      </c>
      <c r="I172" s="399">
        <f t="shared" si="2"/>
        <v>0.11</v>
      </c>
      <c r="J172" s="261"/>
      <c r="K172" s="1227"/>
      <c r="L172" s="262"/>
      <c r="M172" s="262"/>
      <c r="N172" s="262"/>
    </row>
    <row r="173" spans="1:14" s="263" customFormat="1" hidden="1" outlineLevel="1">
      <c r="A173" s="1225"/>
      <c r="B173" s="260"/>
      <c r="C173" s="457"/>
      <c r="D173" s="460"/>
      <c r="E173" s="439"/>
      <c r="F173" s="1350"/>
      <c r="G173" s="1350"/>
      <c r="H173" s="1350"/>
      <c r="I173" s="399" t="str">
        <f t="shared" si="2"/>
        <v/>
      </c>
      <c r="J173" s="261"/>
      <c r="K173" s="1227"/>
      <c r="L173" s="262"/>
      <c r="M173" s="262"/>
      <c r="N173" s="262"/>
    </row>
    <row r="174" spans="1:14" s="263" customFormat="1" hidden="1" outlineLevel="1">
      <c r="A174" s="1225"/>
      <c r="B174" s="260" t="s">
        <v>173</v>
      </c>
      <c r="C174" s="457" t="s">
        <v>2</v>
      </c>
      <c r="D174" s="460">
        <v>1</v>
      </c>
      <c r="E174" s="439">
        <v>2</v>
      </c>
      <c r="F174" s="1350">
        <v>2.34</v>
      </c>
      <c r="G174" s="1350">
        <v>0.61</v>
      </c>
      <c r="H174" s="1350">
        <v>0.15</v>
      </c>
      <c r="I174" s="399">
        <f t="shared" si="2"/>
        <v>0.43</v>
      </c>
      <c r="J174" s="261"/>
      <c r="K174" s="1227"/>
      <c r="L174" s="262"/>
      <c r="M174" s="262"/>
      <c r="N174" s="262"/>
    </row>
    <row r="175" spans="1:14" s="263" customFormat="1" hidden="1" outlineLevel="1">
      <c r="A175" s="1225"/>
      <c r="B175" s="260"/>
      <c r="C175" s="457"/>
      <c r="D175" s="460"/>
      <c r="E175" s="439"/>
      <c r="F175" s="1350"/>
      <c r="G175" s="1350"/>
      <c r="H175" s="1350"/>
      <c r="I175" s="399" t="str">
        <f t="shared" si="2"/>
        <v/>
      </c>
      <c r="J175" s="261"/>
      <c r="K175" s="1227"/>
      <c r="L175" s="262"/>
      <c r="M175" s="262"/>
      <c r="N175" s="262"/>
    </row>
    <row r="176" spans="1:14" s="263" customFormat="1" hidden="1" outlineLevel="1">
      <c r="A176" s="1225"/>
      <c r="B176" s="260" t="s">
        <v>174</v>
      </c>
      <c r="C176" s="457" t="s">
        <v>2</v>
      </c>
      <c r="D176" s="460">
        <v>1</v>
      </c>
      <c r="E176" s="439">
        <v>1</v>
      </c>
      <c r="F176" s="1350">
        <v>1.81</v>
      </c>
      <c r="G176" s="1350">
        <v>0.61</v>
      </c>
      <c r="H176" s="1350">
        <v>0.15</v>
      </c>
      <c r="I176" s="399">
        <f t="shared" si="2"/>
        <v>0.17</v>
      </c>
      <c r="J176" s="261"/>
      <c r="K176" s="1227"/>
      <c r="L176" s="262"/>
      <c r="M176" s="262"/>
      <c r="N176" s="262"/>
    </row>
    <row r="177" spans="1:14" s="263" customFormat="1" hidden="1" outlineLevel="1">
      <c r="A177" s="1225"/>
      <c r="B177" s="260"/>
      <c r="C177" s="457"/>
      <c r="D177" s="460"/>
      <c r="E177" s="439"/>
      <c r="F177" s="1350"/>
      <c r="G177" s="1350"/>
      <c r="H177" s="1350"/>
      <c r="I177" s="399" t="str">
        <f t="shared" si="2"/>
        <v/>
      </c>
      <c r="J177" s="261"/>
      <c r="K177" s="1227"/>
      <c r="L177" s="262"/>
      <c r="M177" s="262"/>
      <c r="N177" s="262"/>
    </row>
    <row r="178" spans="1:14" s="263" customFormat="1" hidden="1" outlineLevel="1">
      <c r="A178" s="1225"/>
      <c r="B178" s="260"/>
      <c r="C178" s="457" t="s">
        <v>2</v>
      </c>
      <c r="D178" s="460">
        <v>1</v>
      </c>
      <c r="E178" s="439">
        <v>1</v>
      </c>
      <c r="F178" s="1350">
        <v>2.94</v>
      </c>
      <c r="G178" s="1350">
        <v>0.61</v>
      </c>
      <c r="H178" s="1350">
        <v>0.15</v>
      </c>
      <c r="I178" s="399">
        <f t="shared" si="2"/>
        <v>0.27</v>
      </c>
      <c r="J178" s="261"/>
      <c r="K178" s="1227"/>
      <c r="L178" s="262"/>
      <c r="M178" s="262"/>
      <c r="N178" s="262"/>
    </row>
    <row r="179" spans="1:14" s="263" customFormat="1" hidden="1" outlineLevel="1">
      <c r="A179" s="1225"/>
      <c r="B179" s="260"/>
      <c r="C179" s="457"/>
      <c r="D179" s="460"/>
      <c r="E179" s="439"/>
      <c r="F179" s="1350"/>
      <c r="G179" s="1350"/>
      <c r="H179" s="1350"/>
      <c r="I179" s="399" t="str">
        <f t="shared" si="2"/>
        <v/>
      </c>
      <c r="J179" s="261"/>
      <c r="K179" s="1227"/>
      <c r="L179" s="262"/>
      <c r="M179" s="262"/>
      <c r="N179" s="262"/>
    </row>
    <row r="180" spans="1:14" s="263" customFormat="1" hidden="1" outlineLevel="1">
      <c r="A180" s="1225"/>
      <c r="B180" s="260"/>
      <c r="C180" s="457" t="s">
        <v>2</v>
      </c>
      <c r="D180" s="460">
        <v>1</v>
      </c>
      <c r="E180" s="439">
        <v>1</v>
      </c>
      <c r="F180" s="1350">
        <v>6.75</v>
      </c>
      <c r="G180" s="1350">
        <v>0.61</v>
      </c>
      <c r="H180" s="1350">
        <v>0.15</v>
      </c>
      <c r="I180" s="399">
        <f t="shared" si="2"/>
        <v>0.62</v>
      </c>
      <c r="J180" s="261"/>
      <c r="K180" s="1227"/>
      <c r="L180" s="262"/>
      <c r="M180" s="262"/>
      <c r="N180" s="262"/>
    </row>
    <row r="181" spans="1:14" s="263" customFormat="1" hidden="1" outlineLevel="1">
      <c r="A181" s="1225"/>
      <c r="B181" s="260"/>
      <c r="C181" s="457"/>
      <c r="D181" s="460"/>
      <c r="E181" s="439"/>
      <c r="F181" s="1350"/>
      <c r="G181" s="1350"/>
      <c r="H181" s="1350"/>
      <c r="I181" s="399" t="str">
        <f t="shared" si="2"/>
        <v/>
      </c>
      <c r="J181" s="261"/>
      <c r="K181" s="1227"/>
      <c r="L181" s="262"/>
      <c r="M181" s="262"/>
      <c r="N181" s="262"/>
    </row>
    <row r="182" spans="1:14" s="263" customFormat="1" hidden="1" outlineLevel="1">
      <c r="A182" s="1225"/>
      <c r="B182" s="260" t="s">
        <v>175</v>
      </c>
      <c r="C182" s="457" t="s">
        <v>2</v>
      </c>
      <c r="D182" s="460">
        <v>1</v>
      </c>
      <c r="E182" s="439">
        <v>1</v>
      </c>
      <c r="F182" s="1350">
        <v>0.61</v>
      </c>
      <c r="G182" s="1350">
        <v>0.61</v>
      </c>
      <c r="H182" s="1350">
        <v>0.15</v>
      </c>
      <c r="I182" s="399">
        <f t="shared" si="2"/>
        <v>0.06</v>
      </c>
      <c r="J182" s="261"/>
      <c r="K182" s="1227"/>
      <c r="L182" s="262"/>
      <c r="M182" s="262"/>
      <c r="N182" s="262"/>
    </row>
    <row r="183" spans="1:14" s="263" customFormat="1" hidden="1" outlineLevel="1">
      <c r="A183" s="1225"/>
      <c r="B183" s="260"/>
      <c r="C183" s="457"/>
      <c r="D183" s="460"/>
      <c r="E183" s="439"/>
      <c r="F183" s="1350"/>
      <c r="G183" s="1350"/>
      <c r="H183" s="1350"/>
      <c r="I183" s="399" t="str">
        <f t="shared" si="2"/>
        <v/>
      </c>
      <c r="J183" s="261"/>
      <c r="K183" s="1227"/>
      <c r="L183" s="262"/>
      <c r="M183" s="262"/>
      <c r="N183" s="262"/>
    </row>
    <row r="184" spans="1:14" s="263" customFormat="1" hidden="1" outlineLevel="1">
      <c r="A184" s="1225" t="s">
        <v>590</v>
      </c>
      <c r="B184" s="260"/>
      <c r="C184" s="457" t="s">
        <v>2</v>
      </c>
      <c r="D184" s="460">
        <v>1</v>
      </c>
      <c r="E184" s="439">
        <v>1</v>
      </c>
      <c r="F184" s="1350">
        <v>0.90999999999999992</v>
      </c>
      <c r="G184" s="1350">
        <v>0.61</v>
      </c>
      <c r="H184" s="1350">
        <v>0.15</v>
      </c>
      <c r="I184" s="399">
        <f t="shared" si="2"/>
        <v>0.08</v>
      </c>
      <c r="J184" s="261"/>
      <c r="K184" s="1227"/>
      <c r="L184" s="262"/>
      <c r="M184" s="262"/>
      <c r="N184" s="262"/>
    </row>
    <row r="185" spans="1:14" s="263" customFormat="1" hidden="1" outlineLevel="1">
      <c r="A185" s="1225"/>
      <c r="B185" s="260"/>
      <c r="C185" s="457"/>
      <c r="D185" s="460"/>
      <c r="E185" s="439"/>
      <c r="F185" s="1350"/>
      <c r="G185" s="1350"/>
      <c r="H185" s="1350"/>
      <c r="I185" s="399" t="str">
        <f t="shared" si="2"/>
        <v/>
      </c>
      <c r="J185" s="261"/>
      <c r="K185" s="1227"/>
      <c r="L185" s="262"/>
      <c r="M185" s="262"/>
      <c r="N185" s="262"/>
    </row>
    <row r="186" spans="1:14" s="263" customFormat="1" hidden="1" outlineLevel="1">
      <c r="A186" s="1225"/>
      <c r="B186" s="260"/>
      <c r="C186" s="457" t="s">
        <v>2</v>
      </c>
      <c r="D186" s="460">
        <v>1</v>
      </c>
      <c r="E186" s="439">
        <v>1</v>
      </c>
      <c r="F186" s="1350">
        <v>2.13</v>
      </c>
      <c r="G186" s="1350">
        <v>0.61</v>
      </c>
      <c r="H186" s="1350">
        <v>0.15</v>
      </c>
      <c r="I186" s="399">
        <f t="shared" si="2"/>
        <v>0.19</v>
      </c>
      <c r="J186" s="261"/>
      <c r="K186" s="1227"/>
      <c r="L186" s="262"/>
      <c r="M186" s="262"/>
      <c r="N186" s="262"/>
    </row>
    <row r="187" spans="1:14" s="263" customFormat="1" hidden="1" outlineLevel="1">
      <c r="A187" s="1225"/>
      <c r="B187" s="260"/>
      <c r="C187" s="457"/>
      <c r="D187" s="460"/>
      <c r="E187" s="439"/>
      <c r="F187" s="1350"/>
      <c r="G187" s="1350"/>
      <c r="H187" s="1350"/>
      <c r="I187" s="399" t="str">
        <f t="shared" si="2"/>
        <v/>
      </c>
      <c r="J187" s="261"/>
      <c r="K187" s="1227"/>
      <c r="L187" s="262"/>
      <c r="M187" s="262"/>
      <c r="N187" s="262"/>
    </row>
    <row r="188" spans="1:14" s="263" customFormat="1" hidden="1" outlineLevel="1">
      <c r="A188" s="1225"/>
      <c r="B188" s="260" t="s">
        <v>176</v>
      </c>
      <c r="C188" s="457" t="s">
        <v>2</v>
      </c>
      <c r="D188" s="460">
        <v>1</v>
      </c>
      <c r="E188" s="439">
        <v>2</v>
      </c>
      <c r="F188" s="1350">
        <v>0.61499999999999999</v>
      </c>
      <c r="G188" s="1350">
        <v>0.61</v>
      </c>
      <c r="H188" s="1350">
        <v>0.15</v>
      </c>
      <c r="I188" s="399">
        <f t="shared" si="2"/>
        <v>0.11</v>
      </c>
      <c r="J188" s="261"/>
      <c r="K188" s="1227"/>
      <c r="L188" s="262"/>
      <c r="M188" s="262"/>
      <c r="N188" s="262"/>
    </row>
    <row r="189" spans="1:14" s="263" customFormat="1" hidden="1" outlineLevel="1">
      <c r="A189" s="1225"/>
      <c r="B189" s="260"/>
      <c r="C189" s="457"/>
      <c r="D189" s="460"/>
      <c r="E189" s="439"/>
      <c r="F189" s="1350"/>
      <c r="G189" s="1350"/>
      <c r="H189" s="1350"/>
      <c r="I189" s="399" t="str">
        <f t="shared" si="2"/>
        <v/>
      </c>
      <c r="J189" s="261"/>
      <c r="K189" s="1227"/>
      <c r="L189" s="262"/>
      <c r="M189" s="262"/>
      <c r="N189" s="262"/>
    </row>
    <row r="190" spans="1:14" s="263" customFormat="1" hidden="1" outlineLevel="1">
      <c r="A190" s="1225"/>
      <c r="B190" s="260"/>
      <c r="C190" s="457" t="s">
        <v>2</v>
      </c>
      <c r="D190" s="460">
        <v>1</v>
      </c>
      <c r="E190" s="439">
        <v>1</v>
      </c>
      <c r="F190" s="1350">
        <v>2.1350000000000002</v>
      </c>
      <c r="G190" s="1350">
        <v>0.61</v>
      </c>
      <c r="H190" s="1350">
        <v>0.15</v>
      </c>
      <c r="I190" s="399">
        <f t="shared" si="2"/>
        <v>0.2</v>
      </c>
      <c r="J190" s="261"/>
      <c r="K190" s="1227"/>
      <c r="L190" s="262"/>
      <c r="M190" s="262"/>
      <c r="N190" s="262"/>
    </row>
    <row r="191" spans="1:14" s="263" customFormat="1" hidden="1" outlineLevel="1">
      <c r="A191" s="1225"/>
      <c r="B191" s="260"/>
      <c r="C191" s="457"/>
      <c r="D191" s="460"/>
      <c r="E191" s="439"/>
      <c r="F191" s="1350"/>
      <c r="G191" s="1350"/>
      <c r="H191" s="1350"/>
      <c r="I191" s="399" t="str">
        <f t="shared" si="2"/>
        <v/>
      </c>
      <c r="J191" s="261"/>
      <c r="K191" s="1227"/>
      <c r="L191" s="262"/>
      <c r="M191" s="262"/>
      <c r="N191" s="262"/>
    </row>
    <row r="192" spans="1:14" s="263" customFormat="1" hidden="1" outlineLevel="1">
      <c r="A192" s="1225"/>
      <c r="B192" s="260"/>
      <c r="C192" s="457" t="s">
        <v>2</v>
      </c>
      <c r="D192" s="460">
        <f>1*0</f>
        <v>0</v>
      </c>
      <c r="E192" s="439">
        <v>1</v>
      </c>
      <c r="F192" s="1350">
        <v>1.5350000000000001</v>
      </c>
      <c r="G192" s="1350">
        <v>0.61</v>
      </c>
      <c r="H192" s="1350">
        <v>0.15</v>
      </c>
      <c r="I192" s="399" t="str">
        <f t="shared" si="2"/>
        <v/>
      </c>
      <c r="J192" s="261"/>
      <c r="K192" s="1227"/>
      <c r="L192" s="262"/>
      <c r="M192" s="262"/>
      <c r="N192" s="262"/>
    </row>
    <row r="193" spans="1:14" s="263" customFormat="1" hidden="1" outlineLevel="1">
      <c r="A193" s="1225"/>
      <c r="B193" s="260"/>
      <c r="C193" s="457"/>
      <c r="D193" s="460"/>
      <c r="E193" s="439"/>
      <c r="F193" s="1350"/>
      <c r="G193" s="1350"/>
      <c r="H193" s="1350"/>
      <c r="I193" s="399" t="str">
        <f t="shared" si="2"/>
        <v/>
      </c>
      <c r="J193" s="261"/>
      <c r="K193" s="1227"/>
      <c r="L193" s="262"/>
      <c r="M193" s="262"/>
      <c r="N193" s="262"/>
    </row>
    <row r="194" spans="1:14" s="263" customFormat="1" hidden="1" outlineLevel="1">
      <c r="A194" s="1225"/>
      <c r="B194" s="260"/>
      <c r="C194" s="457" t="s">
        <v>2</v>
      </c>
      <c r="D194" s="460">
        <v>1</v>
      </c>
      <c r="E194" s="439">
        <v>1</v>
      </c>
      <c r="F194" s="1350">
        <v>0.90999999999999992</v>
      </c>
      <c r="G194" s="1350">
        <v>0.61</v>
      </c>
      <c r="H194" s="1350">
        <v>0.15</v>
      </c>
      <c r="I194" s="399">
        <f t="shared" si="2"/>
        <v>0.08</v>
      </c>
      <c r="J194" s="261"/>
      <c r="K194" s="1227"/>
      <c r="L194" s="262"/>
      <c r="M194" s="262"/>
      <c r="N194" s="262"/>
    </row>
    <row r="195" spans="1:14" s="263" customFormat="1" hidden="1" outlineLevel="1">
      <c r="A195" s="1225"/>
      <c r="B195" s="260"/>
      <c r="C195" s="457"/>
      <c r="D195" s="460"/>
      <c r="E195" s="439"/>
      <c r="F195" s="1350"/>
      <c r="G195" s="1350"/>
      <c r="H195" s="1350"/>
      <c r="I195" s="399" t="str">
        <f t="shared" si="2"/>
        <v/>
      </c>
      <c r="J195" s="261"/>
      <c r="K195" s="1227"/>
      <c r="L195" s="262"/>
      <c r="M195" s="262"/>
      <c r="N195" s="262"/>
    </row>
    <row r="196" spans="1:14" s="263" customFormat="1" hidden="1" outlineLevel="1">
      <c r="A196" s="1225"/>
      <c r="B196" s="260"/>
      <c r="C196" s="457" t="s">
        <v>2</v>
      </c>
      <c r="D196" s="460">
        <v>1</v>
      </c>
      <c r="E196" s="439">
        <v>1</v>
      </c>
      <c r="F196" s="1350">
        <v>2.12</v>
      </c>
      <c r="G196" s="1350">
        <v>0.61</v>
      </c>
      <c r="H196" s="1350">
        <v>0.15</v>
      </c>
      <c r="I196" s="399">
        <f t="shared" si="2"/>
        <v>0.19</v>
      </c>
      <c r="J196" s="261"/>
      <c r="K196" s="1227"/>
      <c r="L196" s="262"/>
      <c r="M196" s="262"/>
      <c r="N196" s="262"/>
    </row>
    <row r="197" spans="1:14" s="263" customFormat="1" hidden="1" outlineLevel="1">
      <c r="A197" s="1225"/>
      <c r="B197" s="260"/>
      <c r="C197" s="457"/>
      <c r="D197" s="460"/>
      <c r="E197" s="439"/>
      <c r="F197" s="1350"/>
      <c r="G197" s="1350"/>
      <c r="H197" s="1350"/>
      <c r="I197" s="399" t="str">
        <f t="shared" si="2"/>
        <v/>
      </c>
      <c r="J197" s="261"/>
      <c r="K197" s="1227"/>
      <c r="L197" s="262"/>
      <c r="M197" s="262"/>
      <c r="N197" s="262"/>
    </row>
    <row r="198" spans="1:14" s="263" customFormat="1" hidden="1" outlineLevel="1">
      <c r="A198" s="1225"/>
      <c r="B198" s="260" t="s">
        <v>177</v>
      </c>
      <c r="C198" s="457" t="s">
        <v>2</v>
      </c>
      <c r="D198" s="460">
        <v>1</v>
      </c>
      <c r="E198" s="439">
        <v>2</v>
      </c>
      <c r="F198" s="1350">
        <v>0.61499999999999999</v>
      </c>
      <c r="G198" s="1350">
        <v>0.61</v>
      </c>
      <c r="H198" s="1350">
        <v>0.15</v>
      </c>
      <c r="I198" s="399">
        <f t="shared" si="2"/>
        <v>0.11</v>
      </c>
      <c r="J198" s="261"/>
      <c r="K198" s="1227"/>
      <c r="L198" s="262"/>
      <c r="M198" s="262"/>
      <c r="N198" s="262"/>
    </row>
    <row r="199" spans="1:14" s="263" customFormat="1" hidden="1" outlineLevel="1">
      <c r="A199" s="1225"/>
      <c r="B199" s="260"/>
      <c r="C199" s="457"/>
      <c r="D199" s="460"/>
      <c r="E199" s="439"/>
      <c r="F199" s="1350"/>
      <c r="G199" s="1350"/>
      <c r="H199" s="1350"/>
      <c r="I199" s="399" t="str">
        <f t="shared" si="2"/>
        <v/>
      </c>
      <c r="J199" s="261"/>
      <c r="K199" s="1227"/>
      <c r="L199" s="262"/>
      <c r="M199" s="262"/>
      <c r="N199" s="262"/>
    </row>
    <row r="200" spans="1:14" s="263" customFormat="1" hidden="1" outlineLevel="1">
      <c r="A200" s="1225"/>
      <c r="B200" s="260" t="s">
        <v>178</v>
      </c>
      <c r="C200" s="457"/>
      <c r="D200" s="460"/>
      <c r="E200" s="439"/>
      <c r="F200" s="1350"/>
      <c r="G200" s="1350"/>
      <c r="H200" s="1350"/>
      <c r="I200" s="399" t="str">
        <f t="shared" ref="I200:I263" si="3">IF(D200&lt;&gt;0,ROUND(PRODUCT(E200:H200)*D200,2),"")</f>
        <v/>
      </c>
      <c r="J200" s="261"/>
      <c r="K200" s="1227"/>
      <c r="L200" s="262"/>
      <c r="M200" s="262"/>
      <c r="N200" s="262"/>
    </row>
    <row r="201" spans="1:14" s="263" customFormat="1" hidden="1" outlineLevel="1">
      <c r="A201" s="1225"/>
      <c r="B201" s="260"/>
      <c r="C201" s="457"/>
      <c r="D201" s="460"/>
      <c r="E201" s="439"/>
      <c r="F201" s="1350"/>
      <c r="G201" s="1350"/>
      <c r="H201" s="1350"/>
      <c r="I201" s="399" t="str">
        <f t="shared" si="3"/>
        <v/>
      </c>
      <c r="J201" s="261"/>
      <c r="K201" s="1227"/>
      <c r="L201" s="262"/>
      <c r="M201" s="262"/>
      <c r="N201" s="262"/>
    </row>
    <row r="202" spans="1:14" s="263" customFormat="1" hidden="1" outlineLevel="1">
      <c r="A202" s="1225"/>
      <c r="B202" s="260" t="s">
        <v>179</v>
      </c>
      <c r="C202" s="457" t="s">
        <v>2</v>
      </c>
      <c r="D202" s="460">
        <v>1</v>
      </c>
      <c r="E202" s="439">
        <v>1</v>
      </c>
      <c r="F202" s="1350">
        <v>7.6499999999999995</v>
      </c>
      <c r="G202" s="1350">
        <v>0.61</v>
      </c>
      <c r="H202" s="1350">
        <v>0.15</v>
      </c>
      <c r="I202" s="399">
        <f t="shared" si="3"/>
        <v>0.7</v>
      </c>
      <c r="J202" s="261"/>
      <c r="K202" s="1227"/>
      <c r="L202" s="262"/>
      <c r="M202" s="262"/>
      <c r="N202" s="262"/>
    </row>
    <row r="203" spans="1:14" s="263" customFormat="1" hidden="1" outlineLevel="1">
      <c r="A203" s="1225"/>
      <c r="B203" s="260"/>
      <c r="C203" s="457"/>
      <c r="D203" s="460"/>
      <c r="E203" s="439"/>
      <c r="F203" s="1350"/>
      <c r="G203" s="1350"/>
      <c r="H203" s="1350"/>
      <c r="I203" s="399" t="str">
        <f t="shared" si="3"/>
        <v/>
      </c>
      <c r="J203" s="261"/>
      <c r="K203" s="1227"/>
      <c r="L203" s="262"/>
      <c r="M203" s="262"/>
      <c r="N203" s="262"/>
    </row>
    <row r="204" spans="1:14" s="263" customFormat="1" hidden="1" outlineLevel="1">
      <c r="A204" s="1225"/>
      <c r="B204" s="260"/>
      <c r="C204" s="457" t="s">
        <v>2</v>
      </c>
      <c r="D204" s="460">
        <v>1</v>
      </c>
      <c r="E204" s="439">
        <v>1</v>
      </c>
      <c r="F204" s="1350">
        <v>5.04</v>
      </c>
      <c r="G204" s="1350">
        <v>0.61</v>
      </c>
      <c r="H204" s="1350">
        <v>0.15</v>
      </c>
      <c r="I204" s="399">
        <f t="shared" si="3"/>
        <v>0.46</v>
      </c>
      <c r="J204" s="261"/>
      <c r="K204" s="1227"/>
      <c r="L204" s="262"/>
      <c r="M204" s="262"/>
      <c r="N204" s="262"/>
    </row>
    <row r="205" spans="1:14" s="263" customFormat="1" hidden="1" outlineLevel="1">
      <c r="A205" s="1225"/>
      <c r="B205" s="260" t="s">
        <v>180</v>
      </c>
      <c r="C205" s="457" t="s">
        <v>2</v>
      </c>
      <c r="D205" s="460">
        <v>1</v>
      </c>
      <c r="E205" s="439">
        <v>1</v>
      </c>
      <c r="F205" s="1350">
        <v>3.3</v>
      </c>
      <c r="G205" s="1350">
        <v>0.22</v>
      </c>
      <c r="H205" s="1350">
        <v>0.15</v>
      </c>
      <c r="I205" s="399">
        <f t="shared" si="3"/>
        <v>0.11</v>
      </c>
      <c r="J205" s="261"/>
      <c r="K205" s="1227"/>
      <c r="L205" s="262"/>
      <c r="M205" s="262"/>
      <c r="N205" s="262"/>
    </row>
    <row r="206" spans="1:14" s="263" customFormat="1" hidden="1" outlineLevel="1">
      <c r="A206" s="1225"/>
      <c r="B206" s="260"/>
      <c r="C206" s="457"/>
      <c r="D206" s="460"/>
      <c r="E206" s="439"/>
      <c r="F206" s="1350"/>
      <c r="G206" s="1350"/>
      <c r="H206" s="1350"/>
      <c r="I206" s="399" t="str">
        <f t="shared" si="3"/>
        <v/>
      </c>
      <c r="J206" s="261"/>
      <c r="K206" s="1227"/>
      <c r="L206" s="262"/>
      <c r="M206" s="262"/>
      <c r="N206" s="262"/>
    </row>
    <row r="207" spans="1:14" s="263" customFormat="1" hidden="1" outlineLevel="1">
      <c r="A207" s="1225"/>
      <c r="B207" s="260" t="s">
        <v>181</v>
      </c>
      <c r="C207" s="457" t="s">
        <v>2</v>
      </c>
      <c r="D207" s="460">
        <v>1</v>
      </c>
      <c r="E207" s="439">
        <v>1</v>
      </c>
      <c r="F207" s="1350">
        <v>5.04</v>
      </c>
      <c r="G207" s="1350">
        <v>0.61</v>
      </c>
      <c r="H207" s="1350">
        <v>0.15</v>
      </c>
      <c r="I207" s="399">
        <f t="shared" si="3"/>
        <v>0.46</v>
      </c>
      <c r="J207" s="261"/>
      <c r="K207" s="1227"/>
      <c r="L207" s="262"/>
      <c r="M207" s="262"/>
      <c r="N207" s="262"/>
    </row>
    <row r="208" spans="1:14" s="263" customFormat="1" hidden="1" outlineLevel="1">
      <c r="A208" s="1225"/>
      <c r="B208" s="260"/>
      <c r="C208" s="457"/>
      <c r="D208" s="460"/>
      <c r="E208" s="439"/>
      <c r="F208" s="1350"/>
      <c r="G208" s="1350"/>
      <c r="H208" s="1350"/>
      <c r="I208" s="399" t="str">
        <f t="shared" si="3"/>
        <v/>
      </c>
      <c r="J208" s="261"/>
      <c r="K208" s="1227"/>
      <c r="L208" s="262"/>
      <c r="M208" s="262"/>
      <c r="N208" s="262"/>
    </row>
    <row r="209" spans="1:14" s="263" customFormat="1" hidden="1" outlineLevel="1">
      <c r="A209" s="1225"/>
      <c r="B209" s="260"/>
      <c r="C209" s="457" t="s">
        <v>2</v>
      </c>
      <c r="D209" s="460">
        <v>1</v>
      </c>
      <c r="E209" s="439">
        <v>1</v>
      </c>
      <c r="F209" s="1350">
        <v>2.17</v>
      </c>
      <c r="G209" s="1350">
        <v>0.61</v>
      </c>
      <c r="H209" s="1350">
        <v>0.15</v>
      </c>
      <c r="I209" s="399">
        <f t="shared" si="3"/>
        <v>0.2</v>
      </c>
      <c r="J209" s="261"/>
      <c r="K209" s="1227"/>
      <c r="L209" s="262"/>
      <c r="M209" s="262"/>
      <c r="N209" s="262"/>
    </row>
    <row r="210" spans="1:14" s="263" customFormat="1" hidden="1" outlineLevel="1">
      <c r="A210" s="1225"/>
      <c r="B210" s="260"/>
      <c r="C210" s="457"/>
      <c r="D210" s="460"/>
      <c r="E210" s="439"/>
      <c r="F210" s="1350"/>
      <c r="G210" s="1350"/>
      <c r="H210" s="1350"/>
      <c r="I210" s="399" t="str">
        <f t="shared" si="3"/>
        <v/>
      </c>
      <c r="J210" s="261"/>
      <c r="K210" s="1227"/>
      <c r="L210" s="262"/>
      <c r="M210" s="262"/>
      <c r="N210" s="262"/>
    </row>
    <row r="211" spans="1:14" s="263" customFormat="1" hidden="1" outlineLevel="1">
      <c r="A211" s="1225"/>
      <c r="B211" s="260"/>
      <c r="C211" s="457" t="s">
        <v>2</v>
      </c>
      <c r="D211" s="460">
        <v>1</v>
      </c>
      <c r="E211" s="439">
        <v>1</v>
      </c>
      <c r="F211" s="1350">
        <v>6.0000000000000009</v>
      </c>
      <c r="G211" s="1350">
        <v>0.61</v>
      </c>
      <c r="H211" s="1350">
        <v>0.15</v>
      </c>
      <c r="I211" s="399">
        <f t="shared" si="3"/>
        <v>0.55000000000000004</v>
      </c>
      <c r="J211" s="261"/>
      <c r="K211" s="1227"/>
      <c r="L211" s="262"/>
      <c r="M211" s="262"/>
      <c r="N211" s="262"/>
    </row>
    <row r="212" spans="1:14" s="263" customFormat="1" hidden="1" outlineLevel="1">
      <c r="A212" s="1225"/>
      <c r="B212" s="260"/>
      <c r="C212" s="457"/>
      <c r="D212" s="460"/>
      <c r="E212" s="439"/>
      <c r="F212" s="1350"/>
      <c r="G212" s="1350"/>
      <c r="H212" s="1350"/>
      <c r="I212" s="399" t="str">
        <f t="shared" si="3"/>
        <v/>
      </c>
      <c r="J212" s="261"/>
      <c r="K212" s="1227"/>
      <c r="L212" s="262"/>
      <c r="M212" s="262"/>
      <c r="N212" s="262"/>
    </row>
    <row r="213" spans="1:14" s="263" customFormat="1" hidden="1" outlineLevel="1">
      <c r="A213" s="1225"/>
      <c r="B213" s="260"/>
      <c r="C213" s="457" t="s">
        <v>2</v>
      </c>
      <c r="D213" s="460">
        <v>1</v>
      </c>
      <c r="E213" s="439">
        <v>1</v>
      </c>
      <c r="F213" s="1350">
        <v>1.21</v>
      </c>
      <c r="G213" s="1350">
        <v>0.61</v>
      </c>
      <c r="H213" s="1350">
        <v>0.15</v>
      </c>
      <c r="I213" s="399">
        <f t="shared" si="3"/>
        <v>0.11</v>
      </c>
      <c r="J213" s="261"/>
      <c r="K213" s="1227"/>
      <c r="L213" s="262"/>
      <c r="M213" s="262"/>
      <c r="N213" s="262"/>
    </row>
    <row r="214" spans="1:14" s="263" customFormat="1" hidden="1" outlineLevel="1">
      <c r="A214" s="1225"/>
      <c r="B214" s="260"/>
      <c r="C214" s="457"/>
      <c r="D214" s="460"/>
      <c r="E214" s="439"/>
      <c r="F214" s="1350"/>
      <c r="G214" s="1350"/>
      <c r="H214" s="1350"/>
      <c r="I214" s="399" t="str">
        <f t="shared" si="3"/>
        <v/>
      </c>
      <c r="J214" s="261"/>
      <c r="K214" s="1227"/>
      <c r="L214" s="262"/>
      <c r="M214" s="262"/>
      <c r="N214" s="262"/>
    </row>
    <row r="215" spans="1:14" s="263" customFormat="1" hidden="1" outlineLevel="1">
      <c r="A215" s="1225"/>
      <c r="B215" s="260"/>
      <c r="C215" s="457" t="s">
        <v>2</v>
      </c>
      <c r="D215" s="460">
        <v>1</v>
      </c>
      <c r="E215" s="439">
        <v>1</v>
      </c>
      <c r="F215" s="1350">
        <v>6.9</v>
      </c>
      <c r="G215" s="1350">
        <v>0.61</v>
      </c>
      <c r="H215" s="1350">
        <v>0.15</v>
      </c>
      <c r="I215" s="399">
        <f t="shared" si="3"/>
        <v>0.63</v>
      </c>
      <c r="J215" s="261"/>
      <c r="K215" s="1227"/>
      <c r="L215" s="262"/>
      <c r="M215" s="262"/>
      <c r="N215" s="262"/>
    </row>
    <row r="216" spans="1:14" s="263" customFormat="1" hidden="1" outlineLevel="1">
      <c r="A216" s="1225"/>
      <c r="B216" s="260" t="s">
        <v>180</v>
      </c>
      <c r="C216" s="457" t="s">
        <v>2</v>
      </c>
      <c r="D216" s="460">
        <v>1</v>
      </c>
      <c r="E216" s="439">
        <v>1</v>
      </c>
      <c r="F216" s="1350">
        <v>3</v>
      </c>
      <c r="G216" s="1350">
        <v>0.22</v>
      </c>
      <c r="H216" s="1350">
        <v>0.61499999999999999</v>
      </c>
      <c r="I216" s="399">
        <f t="shared" si="3"/>
        <v>0.41</v>
      </c>
      <c r="J216" s="261"/>
      <c r="K216" s="1227"/>
      <c r="L216" s="262"/>
      <c r="M216" s="262"/>
      <c r="N216" s="262"/>
    </row>
    <row r="217" spans="1:14" s="263" customFormat="1" hidden="1" outlineLevel="1">
      <c r="A217" s="1225"/>
      <c r="B217" s="260"/>
      <c r="C217" s="457"/>
      <c r="D217" s="460"/>
      <c r="E217" s="439"/>
      <c r="F217" s="1350"/>
      <c r="G217" s="1350"/>
      <c r="H217" s="1350"/>
      <c r="I217" s="399" t="str">
        <f t="shared" si="3"/>
        <v/>
      </c>
      <c r="J217" s="261"/>
      <c r="K217" s="1227"/>
      <c r="L217" s="262"/>
      <c r="M217" s="262"/>
      <c r="N217" s="262"/>
    </row>
    <row r="218" spans="1:14" s="263" customFormat="1" hidden="1" outlineLevel="1">
      <c r="A218" s="1225"/>
      <c r="B218" s="260"/>
      <c r="C218" s="457" t="s">
        <v>2</v>
      </c>
      <c r="D218" s="460">
        <v>1</v>
      </c>
      <c r="E218" s="439">
        <v>1</v>
      </c>
      <c r="F218" s="1350">
        <v>6.9</v>
      </c>
      <c r="G218" s="1350">
        <v>0.61</v>
      </c>
      <c r="H218" s="1350">
        <v>0.15</v>
      </c>
      <c r="I218" s="399">
        <f t="shared" si="3"/>
        <v>0.63</v>
      </c>
      <c r="J218" s="261"/>
      <c r="K218" s="1227"/>
      <c r="L218" s="262"/>
      <c r="M218" s="262"/>
      <c r="N218" s="262"/>
    </row>
    <row r="219" spans="1:14" s="263" customFormat="1" hidden="1" outlineLevel="1">
      <c r="A219" s="1225"/>
      <c r="B219" s="260" t="s">
        <v>180</v>
      </c>
      <c r="C219" s="457" t="s">
        <v>2</v>
      </c>
      <c r="D219" s="460">
        <v>1</v>
      </c>
      <c r="E219" s="439">
        <v>1</v>
      </c>
      <c r="F219" s="1350">
        <v>3.3</v>
      </c>
      <c r="G219" s="1350">
        <v>0.22</v>
      </c>
      <c r="H219" s="1350">
        <v>0.15</v>
      </c>
      <c r="I219" s="399">
        <f t="shared" si="3"/>
        <v>0.11</v>
      </c>
      <c r="J219" s="261"/>
      <c r="K219" s="1227"/>
      <c r="L219" s="262"/>
      <c r="M219" s="262"/>
      <c r="N219" s="262"/>
    </row>
    <row r="220" spans="1:14" s="263" customFormat="1" hidden="1" outlineLevel="1">
      <c r="A220" s="1225"/>
      <c r="B220" s="260"/>
      <c r="C220" s="457"/>
      <c r="D220" s="460"/>
      <c r="E220" s="439"/>
      <c r="F220" s="1350"/>
      <c r="G220" s="1350"/>
      <c r="H220" s="1350"/>
      <c r="I220" s="399" t="str">
        <f t="shared" si="3"/>
        <v/>
      </c>
      <c r="J220" s="261"/>
      <c r="K220" s="1227"/>
      <c r="L220" s="262"/>
      <c r="M220" s="262"/>
      <c r="N220" s="262"/>
    </row>
    <row r="221" spans="1:14" s="263" customFormat="1" hidden="1" outlineLevel="1">
      <c r="A221" s="1225"/>
      <c r="B221" s="260" t="s">
        <v>182</v>
      </c>
      <c r="C221" s="457" t="s">
        <v>2</v>
      </c>
      <c r="D221" s="460">
        <v>1</v>
      </c>
      <c r="E221" s="439">
        <v>1</v>
      </c>
      <c r="F221" s="1350">
        <v>6.9</v>
      </c>
      <c r="G221" s="1350">
        <v>0.61</v>
      </c>
      <c r="H221" s="1350">
        <v>0.15</v>
      </c>
      <c r="I221" s="399">
        <f t="shared" si="3"/>
        <v>0.63</v>
      </c>
      <c r="J221" s="261"/>
      <c r="K221" s="1227"/>
      <c r="L221" s="262"/>
      <c r="M221" s="262"/>
      <c r="N221" s="262"/>
    </row>
    <row r="222" spans="1:14" s="263" customFormat="1" hidden="1" outlineLevel="1">
      <c r="A222" s="1225"/>
      <c r="B222" s="260"/>
      <c r="C222" s="457"/>
      <c r="D222" s="460"/>
      <c r="E222" s="439"/>
      <c r="F222" s="1350"/>
      <c r="G222" s="1350"/>
      <c r="H222" s="1350"/>
      <c r="I222" s="399" t="str">
        <f t="shared" si="3"/>
        <v/>
      </c>
      <c r="J222" s="261"/>
      <c r="K222" s="1227"/>
      <c r="L222" s="262"/>
      <c r="M222" s="262"/>
      <c r="N222" s="262"/>
    </row>
    <row r="223" spans="1:14" s="263" customFormat="1" hidden="1" outlineLevel="1">
      <c r="A223" s="1225"/>
      <c r="B223" s="260"/>
      <c r="C223" s="457" t="s">
        <v>2</v>
      </c>
      <c r="D223" s="460">
        <v>1</v>
      </c>
      <c r="E223" s="439">
        <v>1</v>
      </c>
      <c r="F223" s="1350">
        <v>2.41</v>
      </c>
      <c r="G223" s="1350">
        <v>0.61</v>
      </c>
      <c r="H223" s="1350">
        <v>0.15</v>
      </c>
      <c r="I223" s="399">
        <f t="shared" si="3"/>
        <v>0.22</v>
      </c>
      <c r="J223" s="261"/>
      <c r="K223" s="1227"/>
      <c r="L223" s="262"/>
      <c r="M223" s="262"/>
      <c r="N223" s="262"/>
    </row>
    <row r="224" spans="1:14" s="263" customFormat="1" hidden="1" outlineLevel="1">
      <c r="A224" s="1225"/>
      <c r="B224" s="260"/>
      <c r="C224" s="457"/>
      <c r="D224" s="460"/>
      <c r="E224" s="439"/>
      <c r="F224" s="1350"/>
      <c r="G224" s="1350"/>
      <c r="H224" s="1350"/>
      <c r="I224" s="399" t="str">
        <f t="shared" si="3"/>
        <v/>
      </c>
      <c r="J224" s="261"/>
      <c r="K224" s="1227"/>
      <c r="L224" s="262"/>
      <c r="M224" s="262"/>
      <c r="N224" s="262"/>
    </row>
    <row r="225" spans="1:14" s="263" customFormat="1" hidden="1" outlineLevel="1">
      <c r="A225" s="1225"/>
      <c r="B225" s="260"/>
      <c r="C225" s="457" t="s">
        <v>2</v>
      </c>
      <c r="D225" s="460">
        <v>1</v>
      </c>
      <c r="E225" s="439">
        <v>2</v>
      </c>
      <c r="F225" s="1350">
        <v>9.2999999999999989</v>
      </c>
      <c r="G225" s="1350">
        <v>0.61</v>
      </c>
      <c r="H225" s="1350">
        <v>0.15</v>
      </c>
      <c r="I225" s="399">
        <f t="shared" si="3"/>
        <v>1.7</v>
      </c>
      <c r="J225" s="261"/>
      <c r="K225" s="1227"/>
      <c r="L225" s="262"/>
      <c r="M225" s="262"/>
      <c r="N225" s="262"/>
    </row>
    <row r="226" spans="1:14" s="263" customFormat="1" hidden="1" outlineLevel="1">
      <c r="A226" s="1225"/>
      <c r="B226" s="260"/>
      <c r="C226" s="457"/>
      <c r="D226" s="460"/>
      <c r="E226" s="439"/>
      <c r="F226" s="1350"/>
      <c r="G226" s="1350"/>
      <c r="H226" s="1350"/>
      <c r="I226" s="399" t="str">
        <f t="shared" si="3"/>
        <v/>
      </c>
      <c r="J226" s="261"/>
      <c r="K226" s="1227"/>
      <c r="L226" s="262"/>
      <c r="M226" s="262"/>
      <c r="N226" s="262"/>
    </row>
    <row r="227" spans="1:14" s="263" customFormat="1" hidden="1" outlineLevel="1">
      <c r="A227" s="1225"/>
      <c r="B227" s="260" t="s">
        <v>183</v>
      </c>
      <c r="C227" s="457" t="s">
        <v>2</v>
      </c>
      <c r="D227" s="460">
        <v>1</v>
      </c>
      <c r="E227" s="439">
        <v>1</v>
      </c>
      <c r="F227" s="1350">
        <v>11.910000000000002</v>
      </c>
      <c r="G227" s="1350">
        <v>0.61</v>
      </c>
      <c r="H227" s="1350">
        <v>0.15</v>
      </c>
      <c r="I227" s="399">
        <f t="shared" si="3"/>
        <v>1.0900000000000001</v>
      </c>
      <c r="J227" s="261"/>
      <c r="K227" s="1227"/>
      <c r="L227" s="262"/>
      <c r="M227" s="262"/>
      <c r="N227" s="262"/>
    </row>
    <row r="228" spans="1:14" s="263" customFormat="1" hidden="1" outlineLevel="1">
      <c r="A228" s="1225"/>
      <c r="B228" s="260" t="s">
        <v>184</v>
      </c>
      <c r="C228" s="457" t="s">
        <v>2</v>
      </c>
      <c r="D228" s="460">
        <v>1</v>
      </c>
      <c r="E228" s="439">
        <v>1</v>
      </c>
      <c r="F228" s="1350">
        <v>3.15</v>
      </c>
      <c r="G228" s="1350">
        <v>0.22</v>
      </c>
      <c r="H228" s="1350">
        <v>0.15</v>
      </c>
      <c r="I228" s="399">
        <f t="shared" si="3"/>
        <v>0.1</v>
      </c>
      <c r="J228" s="261"/>
      <c r="K228" s="1227"/>
      <c r="L228" s="262"/>
      <c r="M228" s="262"/>
      <c r="N228" s="262"/>
    </row>
    <row r="229" spans="1:14" s="263" customFormat="1" hidden="1" outlineLevel="1">
      <c r="A229" s="1225"/>
      <c r="B229" s="260"/>
      <c r="C229" s="457"/>
      <c r="D229" s="460"/>
      <c r="E229" s="439"/>
      <c r="F229" s="1350"/>
      <c r="G229" s="1350"/>
      <c r="H229" s="1350"/>
      <c r="I229" s="399" t="str">
        <f t="shared" si="3"/>
        <v/>
      </c>
      <c r="J229" s="261"/>
      <c r="K229" s="1227"/>
      <c r="L229" s="262"/>
      <c r="M229" s="262"/>
      <c r="N229" s="262"/>
    </row>
    <row r="230" spans="1:14" s="263" customFormat="1" hidden="1" outlineLevel="1">
      <c r="A230" s="1225"/>
      <c r="B230" s="260" t="s">
        <v>185</v>
      </c>
      <c r="C230" s="457" t="s">
        <v>2</v>
      </c>
      <c r="D230" s="460">
        <v>1</v>
      </c>
      <c r="E230" s="439">
        <v>1</v>
      </c>
      <c r="F230" s="1350">
        <v>0.61499999999999999</v>
      </c>
      <c r="G230" s="1350">
        <v>0.61</v>
      </c>
      <c r="H230" s="1350">
        <v>0.15</v>
      </c>
      <c r="I230" s="399">
        <f t="shared" si="3"/>
        <v>0.06</v>
      </c>
      <c r="J230" s="261"/>
      <c r="K230" s="1227"/>
      <c r="L230" s="262"/>
      <c r="M230" s="262"/>
      <c r="N230" s="262"/>
    </row>
    <row r="231" spans="1:14" s="263" customFormat="1" hidden="1" outlineLevel="1">
      <c r="A231" s="1225"/>
      <c r="B231" s="260"/>
      <c r="C231" s="457"/>
      <c r="D231" s="460"/>
      <c r="E231" s="439"/>
      <c r="F231" s="1350"/>
      <c r="G231" s="1350"/>
      <c r="H231" s="1350"/>
      <c r="I231" s="399" t="str">
        <f t="shared" si="3"/>
        <v/>
      </c>
      <c r="J231" s="261"/>
      <c r="K231" s="1227"/>
      <c r="L231" s="262"/>
      <c r="M231" s="262"/>
      <c r="N231" s="262"/>
    </row>
    <row r="232" spans="1:14" s="263" customFormat="1" hidden="1" outlineLevel="1">
      <c r="A232" s="1225"/>
      <c r="B232" s="260"/>
      <c r="C232" s="457" t="s">
        <v>2</v>
      </c>
      <c r="D232" s="460">
        <v>1</v>
      </c>
      <c r="E232" s="439">
        <v>1</v>
      </c>
      <c r="F232" s="1350">
        <v>0.90999999999999992</v>
      </c>
      <c r="G232" s="1350">
        <v>0.61</v>
      </c>
      <c r="H232" s="1350">
        <v>0.15</v>
      </c>
      <c r="I232" s="399">
        <f t="shared" si="3"/>
        <v>0.08</v>
      </c>
      <c r="J232" s="261"/>
      <c r="K232" s="1227"/>
      <c r="L232" s="262"/>
      <c r="M232" s="262"/>
      <c r="N232" s="262"/>
    </row>
    <row r="233" spans="1:14" s="263" customFormat="1" hidden="1" outlineLevel="1">
      <c r="A233" s="1225"/>
      <c r="B233" s="260"/>
      <c r="C233" s="457"/>
      <c r="D233" s="460"/>
      <c r="E233" s="439"/>
      <c r="F233" s="1350"/>
      <c r="G233" s="1350"/>
      <c r="H233" s="1350"/>
      <c r="I233" s="399" t="str">
        <f t="shared" si="3"/>
        <v/>
      </c>
      <c r="J233" s="261"/>
      <c r="K233" s="1227"/>
      <c r="L233" s="262"/>
      <c r="M233" s="262"/>
      <c r="N233" s="262"/>
    </row>
    <row r="234" spans="1:14" s="263" customFormat="1" hidden="1" outlineLevel="1">
      <c r="A234" s="1225"/>
      <c r="B234" s="260"/>
      <c r="C234" s="457" t="s">
        <v>2</v>
      </c>
      <c r="D234" s="460">
        <v>1</v>
      </c>
      <c r="E234" s="439">
        <v>2</v>
      </c>
      <c r="F234" s="1350">
        <v>0.61499999999999999</v>
      </c>
      <c r="G234" s="1350">
        <v>0.61</v>
      </c>
      <c r="H234" s="1350">
        <v>0.15</v>
      </c>
      <c r="I234" s="399">
        <f t="shared" si="3"/>
        <v>0.11</v>
      </c>
      <c r="J234" s="261"/>
      <c r="K234" s="1227"/>
      <c r="L234" s="262"/>
      <c r="M234" s="262"/>
      <c r="N234" s="262"/>
    </row>
    <row r="235" spans="1:14" s="263" customFormat="1" hidden="1" outlineLevel="1">
      <c r="A235" s="1225"/>
      <c r="B235" s="260"/>
      <c r="C235" s="457"/>
      <c r="D235" s="460"/>
      <c r="E235" s="439"/>
      <c r="F235" s="1350"/>
      <c r="G235" s="1350"/>
      <c r="H235" s="1350"/>
      <c r="I235" s="399" t="str">
        <f t="shared" si="3"/>
        <v/>
      </c>
      <c r="J235" s="261"/>
      <c r="K235" s="1227"/>
      <c r="L235" s="262"/>
      <c r="M235" s="262"/>
      <c r="N235" s="262"/>
    </row>
    <row r="236" spans="1:14" s="263" customFormat="1" hidden="1" outlineLevel="1">
      <c r="A236" s="1225"/>
      <c r="B236" s="260"/>
      <c r="C236" s="457" t="s">
        <v>2</v>
      </c>
      <c r="D236" s="460">
        <v>1</v>
      </c>
      <c r="E236" s="439">
        <v>1</v>
      </c>
      <c r="F236" s="1350">
        <v>2.1350000000000002</v>
      </c>
      <c r="G236" s="1350">
        <v>0.61</v>
      </c>
      <c r="H236" s="1350">
        <v>0.15</v>
      </c>
      <c r="I236" s="399">
        <f t="shared" si="3"/>
        <v>0.2</v>
      </c>
      <c r="J236" s="261"/>
      <c r="K236" s="1227"/>
      <c r="L236" s="262"/>
      <c r="M236" s="262"/>
      <c r="N236" s="262"/>
    </row>
    <row r="237" spans="1:14" s="263" customFormat="1" hidden="1" outlineLevel="1">
      <c r="A237" s="1225"/>
      <c r="B237" s="260"/>
      <c r="C237" s="457"/>
      <c r="D237" s="460"/>
      <c r="E237" s="439"/>
      <c r="F237" s="1350"/>
      <c r="G237" s="1350"/>
      <c r="H237" s="1350"/>
      <c r="I237" s="399" t="str">
        <f t="shared" si="3"/>
        <v/>
      </c>
      <c r="J237" s="261"/>
      <c r="K237" s="1227"/>
      <c r="L237" s="262"/>
      <c r="M237" s="262"/>
      <c r="N237" s="262"/>
    </row>
    <row r="238" spans="1:14" s="263" customFormat="1" hidden="1" outlineLevel="1">
      <c r="A238" s="1225"/>
      <c r="B238" s="260"/>
      <c r="C238" s="457" t="s">
        <v>2</v>
      </c>
      <c r="D238" s="460">
        <v>1</v>
      </c>
      <c r="E238" s="439">
        <v>1</v>
      </c>
      <c r="F238" s="1350">
        <v>0.29500000000000015</v>
      </c>
      <c r="G238" s="1350">
        <v>0.61</v>
      </c>
      <c r="H238" s="1350">
        <v>0.15</v>
      </c>
      <c r="I238" s="399">
        <f t="shared" si="3"/>
        <v>0.03</v>
      </c>
      <c r="J238" s="261"/>
      <c r="K238" s="1227"/>
      <c r="L238" s="262"/>
      <c r="M238" s="262"/>
      <c r="N238" s="262"/>
    </row>
    <row r="239" spans="1:14" s="263" customFormat="1" hidden="1" outlineLevel="1">
      <c r="A239" s="1225"/>
      <c r="B239" s="260"/>
      <c r="C239" s="457"/>
      <c r="D239" s="460"/>
      <c r="E239" s="439"/>
      <c r="F239" s="1350"/>
      <c r="G239" s="1350"/>
      <c r="H239" s="1350"/>
      <c r="I239" s="399" t="str">
        <f t="shared" si="3"/>
        <v/>
      </c>
      <c r="J239" s="261"/>
      <c r="K239" s="1227"/>
      <c r="L239" s="262"/>
      <c r="M239" s="262"/>
      <c r="N239" s="262"/>
    </row>
    <row r="240" spans="1:14" s="263" customFormat="1" hidden="1" outlineLevel="1">
      <c r="A240" s="1225"/>
      <c r="B240" s="260"/>
      <c r="C240" s="457" t="s">
        <v>2</v>
      </c>
      <c r="D240" s="460">
        <v>1</v>
      </c>
      <c r="E240" s="439">
        <v>1</v>
      </c>
      <c r="F240" s="1350">
        <v>2.1350000000000002</v>
      </c>
      <c r="G240" s="1350">
        <v>0.61</v>
      </c>
      <c r="H240" s="1350">
        <v>0.15</v>
      </c>
      <c r="I240" s="399">
        <f t="shared" si="3"/>
        <v>0.2</v>
      </c>
      <c r="J240" s="261"/>
      <c r="K240" s="1227"/>
      <c r="L240" s="262"/>
      <c r="M240" s="262"/>
      <c r="N240" s="262"/>
    </row>
    <row r="241" spans="1:14" s="263" customFormat="1" hidden="1" outlineLevel="1">
      <c r="A241" s="1225"/>
      <c r="B241" s="260"/>
      <c r="C241" s="457"/>
      <c r="D241" s="460"/>
      <c r="E241" s="439"/>
      <c r="F241" s="1350"/>
      <c r="G241" s="1350"/>
      <c r="H241" s="1350"/>
      <c r="I241" s="399" t="str">
        <f t="shared" si="3"/>
        <v/>
      </c>
      <c r="J241" s="261"/>
      <c r="K241" s="1227"/>
      <c r="L241" s="262"/>
      <c r="M241" s="262"/>
      <c r="N241" s="262"/>
    </row>
    <row r="242" spans="1:14" s="263" customFormat="1" hidden="1" outlineLevel="1">
      <c r="A242" s="1225"/>
      <c r="B242" s="260"/>
      <c r="C242" s="457" t="s">
        <v>2</v>
      </c>
      <c r="D242" s="460">
        <v>1</v>
      </c>
      <c r="E242" s="439">
        <v>1</v>
      </c>
      <c r="F242" s="1350">
        <v>0.90999999999999992</v>
      </c>
      <c r="G242" s="1350">
        <v>0.61</v>
      </c>
      <c r="H242" s="1350">
        <v>0.15</v>
      </c>
      <c r="I242" s="399">
        <f t="shared" si="3"/>
        <v>0.08</v>
      </c>
      <c r="J242" s="261"/>
      <c r="K242" s="1227"/>
      <c r="L242" s="262"/>
      <c r="M242" s="262"/>
      <c r="N242" s="262"/>
    </row>
    <row r="243" spans="1:14" s="263" customFormat="1" hidden="1" outlineLevel="1">
      <c r="A243" s="1225"/>
      <c r="B243" s="260"/>
      <c r="C243" s="457"/>
      <c r="D243" s="460"/>
      <c r="E243" s="439"/>
      <c r="F243" s="1350"/>
      <c r="G243" s="1350"/>
      <c r="H243" s="1350"/>
      <c r="I243" s="399" t="str">
        <f t="shared" si="3"/>
        <v/>
      </c>
      <c r="J243" s="261"/>
      <c r="K243" s="1227"/>
      <c r="L243" s="262"/>
      <c r="M243" s="262"/>
      <c r="N243" s="262"/>
    </row>
    <row r="244" spans="1:14" s="263" customFormat="1" hidden="1" outlineLevel="1">
      <c r="A244" s="1225"/>
      <c r="B244" s="260"/>
      <c r="C244" s="457" t="s">
        <v>2</v>
      </c>
      <c r="D244" s="460">
        <v>1</v>
      </c>
      <c r="E244" s="439">
        <v>1</v>
      </c>
      <c r="F244" s="1350">
        <v>2.1350000000000002</v>
      </c>
      <c r="G244" s="1350">
        <v>0.61</v>
      </c>
      <c r="H244" s="1350">
        <v>0.15</v>
      </c>
      <c r="I244" s="399">
        <f t="shared" si="3"/>
        <v>0.2</v>
      </c>
      <c r="J244" s="261"/>
      <c r="K244" s="1227"/>
      <c r="L244" s="262"/>
      <c r="M244" s="262"/>
      <c r="N244" s="262"/>
    </row>
    <row r="245" spans="1:14" s="263" customFormat="1" hidden="1" outlineLevel="1">
      <c r="A245" s="1225"/>
      <c r="B245" s="260"/>
      <c r="C245" s="457"/>
      <c r="D245" s="460"/>
      <c r="E245" s="439"/>
      <c r="F245" s="1350"/>
      <c r="G245" s="1350"/>
      <c r="H245" s="1350"/>
      <c r="I245" s="399" t="str">
        <f t="shared" si="3"/>
        <v/>
      </c>
      <c r="J245" s="261"/>
      <c r="K245" s="1227"/>
      <c r="L245" s="262"/>
      <c r="M245" s="262"/>
      <c r="N245" s="262"/>
    </row>
    <row r="246" spans="1:14" s="263" customFormat="1" hidden="1" outlineLevel="1">
      <c r="A246" s="1225"/>
      <c r="B246" s="260"/>
      <c r="C246" s="457" t="s">
        <v>2</v>
      </c>
      <c r="D246" s="460">
        <v>1</v>
      </c>
      <c r="E246" s="439">
        <v>1</v>
      </c>
      <c r="F246" s="1350">
        <v>0.61499999999999999</v>
      </c>
      <c r="G246" s="1350">
        <v>0.61</v>
      </c>
      <c r="H246" s="1350">
        <v>0.15</v>
      </c>
      <c r="I246" s="399">
        <f t="shared" si="3"/>
        <v>0.06</v>
      </c>
      <c r="J246" s="261"/>
      <c r="K246" s="1227"/>
      <c r="L246" s="262"/>
      <c r="M246" s="262"/>
      <c r="N246" s="262"/>
    </row>
    <row r="247" spans="1:14" s="263" customFormat="1" hidden="1" outlineLevel="1">
      <c r="A247" s="1225"/>
      <c r="B247" s="260"/>
      <c r="C247" s="457"/>
      <c r="D247" s="460"/>
      <c r="E247" s="439"/>
      <c r="F247" s="1350"/>
      <c r="G247" s="1350"/>
      <c r="H247" s="1350"/>
      <c r="I247" s="399" t="str">
        <f t="shared" si="3"/>
        <v/>
      </c>
      <c r="J247" s="261"/>
      <c r="K247" s="1227"/>
      <c r="L247" s="262"/>
      <c r="M247" s="262"/>
      <c r="N247" s="262"/>
    </row>
    <row r="248" spans="1:14" s="263" customFormat="1" hidden="1" outlineLevel="1">
      <c r="A248" s="1225"/>
      <c r="B248" s="260"/>
      <c r="C248" s="457" t="s">
        <v>2</v>
      </c>
      <c r="D248" s="460">
        <v>1</v>
      </c>
      <c r="E248" s="439">
        <v>1</v>
      </c>
      <c r="F248" s="1350">
        <v>3.36</v>
      </c>
      <c r="G248" s="1350">
        <v>0.61</v>
      </c>
      <c r="H248" s="1350">
        <v>0.15</v>
      </c>
      <c r="I248" s="399">
        <f t="shared" si="3"/>
        <v>0.31</v>
      </c>
      <c r="J248" s="261"/>
      <c r="K248" s="1227"/>
      <c r="L248" s="262"/>
      <c r="M248" s="262"/>
      <c r="N248" s="262"/>
    </row>
    <row r="249" spans="1:14" s="263" customFormat="1" hidden="1" outlineLevel="1">
      <c r="A249" s="1225"/>
      <c r="B249" s="260"/>
      <c r="C249" s="457"/>
      <c r="D249" s="460"/>
      <c r="E249" s="439"/>
      <c r="F249" s="1350"/>
      <c r="G249" s="1350"/>
      <c r="H249" s="1350"/>
      <c r="I249" s="399" t="str">
        <f t="shared" si="3"/>
        <v/>
      </c>
      <c r="J249" s="261"/>
      <c r="K249" s="1227"/>
      <c r="L249" s="262"/>
      <c r="M249" s="262"/>
      <c r="N249" s="262"/>
    </row>
    <row r="250" spans="1:14" s="263" customFormat="1" hidden="1" outlineLevel="1">
      <c r="A250" s="1225"/>
      <c r="B250" s="260"/>
      <c r="C250" s="457" t="s">
        <v>2</v>
      </c>
      <c r="D250" s="460">
        <v>1</v>
      </c>
      <c r="E250" s="439">
        <v>1</v>
      </c>
      <c r="F250" s="1350">
        <v>0.90999999999999992</v>
      </c>
      <c r="G250" s="1350">
        <v>0.61</v>
      </c>
      <c r="H250" s="1350">
        <v>0.15</v>
      </c>
      <c r="I250" s="399">
        <f t="shared" si="3"/>
        <v>0.08</v>
      </c>
      <c r="J250" s="261"/>
      <c r="K250" s="1227"/>
      <c r="L250" s="262"/>
      <c r="M250" s="262"/>
      <c r="N250" s="262"/>
    </row>
    <row r="251" spans="1:14" s="263" customFormat="1" hidden="1" outlineLevel="1">
      <c r="A251" s="1225"/>
      <c r="B251" s="260"/>
      <c r="C251" s="457"/>
      <c r="D251" s="460"/>
      <c r="E251" s="439"/>
      <c r="F251" s="1350"/>
      <c r="G251" s="1350"/>
      <c r="H251" s="1350"/>
      <c r="I251" s="399" t="str">
        <f t="shared" si="3"/>
        <v/>
      </c>
      <c r="J251" s="261"/>
      <c r="K251" s="1227"/>
      <c r="L251" s="262"/>
      <c r="M251" s="262"/>
      <c r="N251" s="262"/>
    </row>
    <row r="252" spans="1:14" s="263" customFormat="1" hidden="1" outlineLevel="1">
      <c r="A252" s="1225"/>
      <c r="B252" s="260"/>
      <c r="C252" s="457" t="s">
        <v>2</v>
      </c>
      <c r="D252" s="460">
        <v>1</v>
      </c>
      <c r="E252" s="439">
        <v>1</v>
      </c>
      <c r="F252" s="1350">
        <v>0.61499999999999999</v>
      </c>
      <c r="G252" s="1350">
        <v>0.61</v>
      </c>
      <c r="H252" s="1350">
        <v>0.15</v>
      </c>
      <c r="I252" s="399">
        <f t="shared" si="3"/>
        <v>0.06</v>
      </c>
      <c r="J252" s="261"/>
      <c r="K252" s="1227"/>
      <c r="L252" s="262"/>
      <c r="M252" s="262"/>
      <c r="N252" s="262"/>
    </row>
    <row r="253" spans="1:14" s="263" customFormat="1" hidden="1" outlineLevel="1">
      <c r="A253" s="1225"/>
      <c r="B253" s="260"/>
      <c r="C253" s="457"/>
      <c r="D253" s="460"/>
      <c r="E253" s="439"/>
      <c r="F253" s="1350"/>
      <c r="G253" s="1350"/>
      <c r="H253" s="1350"/>
      <c r="I253" s="399" t="str">
        <f t="shared" si="3"/>
        <v/>
      </c>
      <c r="J253" s="261"/>
      <c r="K253" s="1227"/>
      <c r="L253" s="262"/>
      <c r="M253" s="262"/>
      <c r="N253" s="262"/>
    </row>
    <row r="254" spans="1:14" s="263" customFormat="1" hidden="1" outlineLevel="1">
      <c r="A254" s="1225"/>
      <c r="B254" s="260" t="s">
        <v>186</v>
      </c>
      <c r="C254" s="457"/>
      <c r="D254" s="460"/>
      <c r="E254" s="439"/>
      <c r="F254" s="1350"/>
      <c r="G254" s="1350"/>
      <c r="H254" s="1350"/>
      <c r="I254" s="399" t="str">
        <f t="shared" si="3"/>
        <v/>
      </c>
      <c r="J254" s="261"/>
      <c r="K254" s="1227"/>
      <c r="L254" s="262"/>
      <c r="M254" s="262"/>
      <c r="N254" s="262"/>
    </row>
    <row r="255" spans="1:14" s="263" customFormat="1" hidden="1" outlineLevel="1">
      <c r="A255" s="1225"/>
      <c r="B255" s="260"/>
      <c r="C255" s="457"/>
      <c r="D255" s="460"/>
      <c r="E255" s="439"/>
      <c r="F255" s="1350"/>
      <c r="G255" s="1350"/>
      <c r="H255" s="1350"/>
      <c r="I255" s="399" t="str">
        <f t="shared" si="3"/>
        <v/>
      </c>
      <c r="J255" s="261"/>
      <c r="K255" s="1227"/>
      <c r="L255" s="262"/>
      <c r="M255" s="262"/>
      <c r="N255" s="262"/>
    </row>
    <row r="256" spans="1:14" s="263" customFormat="1" hidden="1" outlineLevel="1">
      <c r="A256" s="1225"/>
      <c r="B256" s="260" t="s">
        <v>187</v>
      </c>
      <c r="C256" s="457" t="s">
        <v>2</v>
      </c>
      <c r="D256" s="460">
        <v>1</v>
      </c>
      <c r="E256" s="439">
        <v>1</v>
      </c>
      <c r="F256" s="1350">
        <v>10.020000000000001</v>
      </c>
      <c r="G256" s="1350">
        <v>0.61</v>
      </c>
      <c r="H256" s="1350">
        <v>0.15</v>
      </c>
      <c r="I256" s="399">
        <f t="shared" si="3"/>
        <v>0.92</v>
      </c>
      <c r="J256" s="261"/>
      <c r="K256" s="1227"/>
      <c r="L256" s="262"/>
      <c r="M256" s="262"/>
      <c r="N256" s="262"/>
    </row>
    <row r="257" spans="1:14" s="263" customFormat="1" hidden="1" outlineLevel="1">
      <c r="A257" s="1225"/>
      <c r="B257" s="260"/>
      <c r="C257" s="457"/>
      <c r="D257" s="460"/>
      <c r="E257" s="439"/>
      <c r="F257" s="1350"/>
      <c r="G257" s="1350"/>
      <c r="H257" s="1350"/>
      <c r="I257" s="399" t="str">
        <f t="shared" si="3"/>
        <v/>
      </c>
      <c r="J257" s="261"/>
      <c r="K257" s="1227"/>
      <c r="L257" s="262"/>
      <c r="M257" s="262"/>
      <c r="N257" s="262"/>
    </row>
    <row r="258" spans="1:14" s="263" customFormat="1" hidden="1" outlineLevel="1">
      <c r="A258" s="1225"/>
      <c r="B258" s="260"/>
      <c r="C258" s="457" t="s">
        <v>2</v>
      </c>
      <c r="D258" s="460">
        <v>1</v>
      </c>
      <c r="E258" s="439">
        <v>1</v>
      </c>
      <c r="F258" s="1350">
        <v>4.8100000000000005</v>
      </c>
      <c r="G258" s="1350">
        <v>0.61</v>
      </c>
      <c r="H258" s="1350">
        <v>0.15</v>
      </c>
      <c r="I258" s="399">
        <f t="shared" si="3"/>
        <v>0.44</v>
      </c>
      <c r="J258" s="261"/>
      <c r="K258" s="1227"/>
      <c r="L258" s="262"/>
      <c r="M258" s="262"/>
      <c r="N258" s="262"/>
    </row>
    <row r="259" spans="1:14" s="263" customFormat="1" hidden="1" outlineLevel="1">
      <c r="A259" s="1225"/>
      <c r="B259" s="260"/>
      <c r="C259" s="457"/>
      <c r="D259" s="460"/>
      <c r="E259" s="439"/>
      <c r="F259" s="1350"/>
      <c r="G259" s="1350"/>
      <c r="H259" s="1350"/>
      <c r="I259" s="399" t="str">
        <f t="shared" si="3"/>
        <v/>
      </c>
      <c r="J259" s="261"/>
      <c r="K259" s="1227"/>
      <c r="L259" s="262"/>
      <c r="M259" s="262"/>
      <c r="N259" s="262"/>
    </row>
    <row r="260" spans="1:14" s="263" customFormat="1" hidden="1" outlineLevel="1">
      <c r="A260" s="1225"/>
      <c r="B260" s="260"/>
      <c r="C260" s="457" t="s">
        <v>2</v>
      </c>
      <c r="D260" s="460">
        <v>1</v>
      </c>
      <c r="E260" s="439">
        <v>1</v>
      </c>
      <c r="F260" s="1350">
        <v>3.4099999999999997</v>
      </c>
      <c r="G260" s="1350">
        <v>0.61</v>
      </c>
      <c r="H260" s="1350">
        <v>0.15</v>
      </c>
      <c r="I260" s="399">
        <f t="shared" si="3"/>
        <v>0.31</v>
      </c>
      <c r="J260" s="261"/>
      <c r="K260" s="1227"/>
      <c r="L260" s="262"/>
      <c r="M260" s="262"/>
      <c r="N260" s="262"/>
    </row>
    <row r="261" spans="1:14" s="263" customFormat="1" hidden="1" outlineLevel="1">
      <c r="A261" s="1225"/>
      <c r="B261" s="260"/>
      <c r="C261" s="457"/>
      <c r="D261" s="460"/>
      <c r="E261" s="439"/>
      <c r="F261" s="1350"/>
      <c r="G261" s="1350"/>
      <c r="H261" s="1350"/>
      <c r="I261" s="399" t="str">
        <f t="shared" si="3"/>
        <v/>
      </c>
      <c r="J261" s="261"/>
      <c r="K261" s="1227"/>
      <c r="L261" s="262"/>
      <c r="M261" s="262"/>
      <c r="N261" s="262"/>
    </row>
    <row r="262" spans="1:14" s="263" customFormat="1" hidden="1" outlineLevel="1">
      <c r="A262" s="1225"/>
      <c r="B262" s="260" t="s">
        <v>188</v>
      </c>
      <c r="C262" s="457" t="s">
        <v>2</v>
      </c>
      <c r="D262" s="460">
        <v>1</v>
      </c>
      <c r="E262" s="439">
        <v>1</v>
      </c>
      <c r="F262" s="1350">
        <v>2.41</v>
      </c>
      <c r="G262" s="1350">
        <v>0.61</v>
      </c>
      <c r="H262" s="1350">
        <v>0.15</v>
      </c>
      <c r="I262" s="399">
        <f t="shared" si="3"/>
        <v>0.22</v>
      </c>
      <c r="J262" s="261"/>
      <c r="K262" s="1227"/>
      <c r="L262" s="262"/>
      <c r="M262" s="262"/>
      <c r="N262" s="262"/>
    </row>
    <row r="263" spans="1:14" s="263" customFormat="1" hidden="1" outlineLevel="1">
      <c r="A263" s="1225"/>
      <c r="B263" s="260"/>
      <c r="C263" s="457"/>
      <c r="D263" s="460"/>
      <c r="E263" s="439"/>
      <c r="F263" s="1350"/>
      <c r="G263" s="1350"/>
      <c r="H263" s="1350"/>
      <c r="I263" s="399" t="str">
        <f t="shared" si="3"/>
        <v/>
      </c>
      <c r="J263" s="261"/>
      <c r="K263" s="1227"/>
      <c r="L263" s="262"/>
      <c r="M263" s="262"/>
      <c r="N263" s="262"/>
    </row>
    <row r="264" spans="1:14" s="263" customFormat="1" hidden="1" outlineLevel="1">
      <c r="A264" s="1225"/>
      <c r="B264" s="260"/>
      <c r="C264" s="457" t="s">
        <v>2</v>
      </c>
      <c r="D264" s="460">
        <v>1</v>
      </c>
      <c r="E264" s="439">
        <v>1</v>
      </c>
      <c r="F264" s="1350">
        <v>6.8100000000000005</v>
      </c>
      <c r="G264" s="1350">
        <v>0.61</v>
      </c>
      <c r="H264" s="1350">
        <v>0.15</v>
      </c>
      <c r="I264" s="399">
        <f t="shared" ref="I264:I327" si="4">IF(D264&lt;&gt;0,ROUND(PRODUCT(E264:H264)*D264,2),"")</f>
        <v>0.62</v>
      </c>
      <c r="J264" s="261"/>
      <c r="K264" s="1227"/>
      <c r="L264" s="262"/>
      <c r="M264" s="262"/>
      <c r="N264" s="262"/>
    </row>
    <row r="265" spans="1:14" s="263" customFormat="1" hidden="1" outlineLevel="1">
      <c r="A265" s="1225"/>
      <c r="B265" s="260" t="s">
        <v>180</v>
      </c>
      <c r="C265" s="457" t="s">
        <v>2</v>
      </c>
      <c r="D265" s="460">
        <v>1</v>
      </c>
      <c r="E265" s="439">
        <v>1</v>
      </c>
      <c r="F265" s="1350">
        <v>3</v>
      </c>
      <c r="G265" s="1350">
        <v>0.22</v>
      </c>
      <c r="H265" s="1350">
        <v>0.15</v>
      </c>
      <c r="I265" s="399">
        <f t="shared" si="4"/>
        <v>0.1</v>
      </c>
      <c r="J265" s="261"/>
      <c r="K265" s="1227"/>
      <c r="L265" s="262"/>
      <c r="M265" s="262"/>
      <c r="N265" s="262"/>
    </row>
    <row r="266" spans="1:14" s="263" customFormat="1" hidden="1" outlineLevel="1">
      <c r="A266" s="1225"/>
      <c r="B266" s="260"/>
      <c r="C266" s="457"/>
      <c r="D266" s="460"/>
      <c r="E266" s="439"/>
      <c r="F266" s="1350"/>
      <c r="G266" s="1350"/>
      <c r="H266" s="1350"/>
      <c r="I266" s="399" t="str">
        <f t="shared" si="4"/>
        <v/>
      </c>
      <c r="J266" s="261"/>
      <c r="K266" s="1227"/>
      <c r="L266" s="262"/>
      <c r="M266" s="262"/>
      <c r="N266" s="262"/>
    </row>
    <row r="267" spans="1:14" s="263" customFormat="1" hidden="1" outlineLevel="1">
      <c r="A267" s="1225"/>
      <c r="B267" s="260"/>
      <c r="C267" s="457" t="s">
        <v>2</v>
      </c>
      <c r="D267" s="460">
        <v>1</v>
      </c>
      <c r="E267" s="439">
        <v>1</v>
      </c>
      <c r="F267" s="1350">
        <v>8.4600000000000009</v>
      </c>
      <c r="G267" s="1350">
        <v>0.61</v>
      </c>
      <c r="H267" s="1350">
        <v>0.15</v>
      </c>
      <c r="I267" s="399">
        <f t="shared" si="4"/>
        <v>0.77</v>
      </c>
      <c r="J267" s="261"/>
      <c r="K267" s="1227"/>
      <c r="L267" s="262"/>
      <c r="M267" s="262"/>
      <c r="N267" s="262"/>
    </row>
    <row r="268" spans="1:14" s="263" customFormat="1" hidden="1" outlineLevel="1">
      <c r="A268" s="1225"/>
      <c r="B268" s="260" t="s">
        <v>180</v>
      </c>
      <c r="C268" s="457" t="s">
        <v>2</v>
      </c>
      <c r="D268" s="460">
        <v>1</v>
      </c>
      <c r="E268" s="439">
        <v>1</v>
      </c>
      <c r="F268" s="1350">
        <v>3.3</v>
      </c>
      <c r="G268" s="1350">
        <v>0.22</v>
      </c>
      <c r="H268" s="1350">
        <v>0.15</v>
      </c>
      <c r="I268" s="399">
        <f t="shared" si="4"/>
        <v>0.11</v>
      </c>
      <c r="J268" s="261"/>
      <c r="K268" s="1227"/>
      <c r="L268" s="262"/>
      <c r="M268" s="262"/>
      <c r="N268" s="262"/>
    </row>
    <row r="269" spans="1:14" s="263" customFormat="1" hidden="1" outlineLevel="1">
      <c r="A269" s="1225"/>
      <c r="B269" s="260"/>
      <c r="C269" s="457"/>
      <c r="D269" s="460"/>
      <c r="E269" s="439"/>
      <c r="F269" s="1350"/>
      <c r="G269" s="1350"/>
      <c r="H269" s="1350"/>
      <c r="I269" s="399" t="str">
        <f t="shared" si="4"/>
        <v/>
      </c>
      <c r="J269" s="261"/>
      <c r="K269" s="1227"/>
      <c r="L269" s="262"/>
      <c r="M269" s="262"/>
      <c r="N269" s="262"/>
    </row>
    <row r="270" spans="1:14" s="263" customFormat="1" hidden="1" outlineLevel="1">
      <c r="A270" s="1225"/>
      <c r="B270" s="260"/>
      <c r="C270" s="457" t="s">
        <v>2</v>
      </c>
      <c r="D270" s="460">
        <v>1</v>
      </c>
      <c r="E270" s="439">
        <v>1</v>
      </c>
      <c r="F270" s="1350">
        <v>1.6099999999999999</v>
      </c>
      <c r="G270" s="1350">
        <v>0.61</v>
      </c>
      <c r="H270" s="1350">
        <v>0.15</v>
      </c>
      <c r="I270" s="399">
        <f t="shared" si="4"/>
        <v>0.15</v>
      </c>
      <c r="J270" s="261"/>
      <c r="K270" s="1227"/>
      <c r="L270" s="262"/>
      <c r="M270" s="262"/>
      <c r="N270" s="262"/>
    </row>
    <row r="271" spans="1:14" s="263" customFormat="1" hidden="1" outlineLevel="1">
      <c r="A271" s="1225"/>
      <c r="B271" s="260"/>
      <c r="C271" s="457"/>
      <c r="D271" s="460"/>
      <c r="E271" s="439"/>
      <c r="F271" s="1350"/>
      <c r="G271" s="1350"/>
      <c r="H271" s="1350"/>
      <c r="I271" s="399" t="str">
        <f t="shared" si="4"/>
        <v/>
      </c>
      <c r="J271" s="261"/>
      <c r="K271" s="1227"/>
      <c r="L271" s="262"/>
      <c r="M271" s="262"/>
      <c r="N271" s="262"/>
    </row>
    <row r="272" spans="1:14" s="263" customFormat="1" hidden="1" outlineLevel="1">
      <c r="A272" s="1225"/>
      <c r="B272" s="260"/>
      <c r="C272" s="457" t="s">
        <v>2</v>
      </c>
      <c r="D272" s="460">
        <v>1</v>
      </c>
      <c r="E272" s="439">
        <v>1</v>
      </c>
      <c r="F272" s="1350">
        <v>6.61</v>
      </c>
      <c r="G272" s="1350">
        <v>0.61</v>
      </c>
      <c r="H272" s="1350">
        <v>0.15</v>
      </c>
      <c r="I272" s="399">
        <f t="shared" si="4"/>
        <v>0.6</v>
      </c>
      <c r="J272" s="261"/>
      <c r="K272" s="1227"/>
      <c r="L272" s="262"/>
      <c r="M272" s="262"/>
      <c r="N272" s="262"/>
    </row>
    <row r="273" spans="1:14" s="263" customFormat="1" hidden="1" outlineLevel="1">
      <c r="A273" s="1225"/>
      <c r="B273" s="260"/>
      <c r="C273" s="457"/>
      <c r="D273" s="460"/>
      <c r="E273" s="439"/>
      <c r="F273" s="1350"/>
      <c r="G273" s="1350"/>
      <c r="H273" s="1350"/>
      <c r="I273" s="399" t="str">
        <f t="shared" si="4"/>
        <v/>
      </c>
      <c r="J273" s="261"/>
      <c r="K273" s="1227"/>
      <c r="L273" s="262"/>
      <c r="M273" s="262"/>
      <c r="N273" s="262"/>
    </row>
    <row r="274" spans="1:14" s="263" customFormat="1" hidden="1" outlineLevel="1">
      <c r="A274" s="1225"/>
      <c r="B274" s="260"/>
      <c r="C274" s="457" t="s">
        <v>2</v>
      </c>
      <c r="D274" s="460">
        <v>1</v>
      </c>
      <c r="E274" s="439">
        <v>1</v>
      </c>
      <c r="F274" s="1350">
        <v>3.4099999999999997</v>
      </c>
      <c r="G274" s="1350">
        <v>0.61</v>
      </c>
      <c r="H274" s="1350">
        <v>0.15</v>
      </c>
      <c r="I274" s="399">
        <f t="shared" si="4"/>
        <v>0.31</v>
      </c>
      <c r="J274" s="261"/>
      <c r="K274" s="1227"/>
      <c r="L274" s="262"/>
      <c r="M274" s="262"/>
      <c r="N274" s="262"/>
    </row>
    <row r="275" spans="1:14" s="263" customFormat="1" hidden="1" outlineLevel="1">
      <c r="A275" s="1225"/>
      <c r="B275" s="260"/>
      <c r="C275" s="457"/>
      <c r="D275" s="460"/>
      <c r="E275" s="439"/>
      <c r="F275" s="1350"/>
      <c r="G275" s="1350"/>
      <c r="H275" s="1350"/>
      <c r="I275" s="399" t="str">
        <f t="shared" si="4"/>
        <v/>
      </c>
      <c r="J275" s="261"/>
      <c r="K275" s="1227"/>
      <c r="L275" s="262"/>
      <c r="M275" s="262"/>
      <c r="N275" s="262"/>
    </row>
    <row r="276" spans="1:14" s="263" customFormat="1" hidden="1" outlineLevel="1">
      <c r="A276" s="1225"/>
      <c r="B276" s="260"/>
      <c r="C276" s="457" t="s">
        <v>2</v>
      </c>
      <c r="D276" s="460">
        <v>1</v>
      </c>
      <c r="E276" s="439">
        <v>1</v>
      </c>
      <c r="F276" s="1350">
        <v>4.8100000000000005</v>
      </c>
      <c r="G276" s="1350">
        <v>0.61</v>
      </c>
      <c r="H276" s="1350">
        <v>0.15</v>
      </c>
      <c r="I276" s="399">
        <f t="shared" si="4"/>
        <v>0.44</v>
      </c>
      <c r="J276" s="261"/>
      <c r="K276" s="1227"/>
      <c r="L276" s="262"/>
      <c r="M276" s="262"/>
      <c r="N276" s="262"/>
    </row>
    <row r="277" spans="1:14" s="263" customFormat="1" hidden="1" outlineLevel="1">
      <c r="A277" s="1225"/>
      <c r="B277" s="260" t="s">
        <v>189</v>
      </c>
      <c r="C277" s="457" t="s">
        <v>2</v>
      </c>
      <c r="D277" s="460">
        <v>1</v>
      </c>
      <c r="E277" s="439">
        <v>1</v>
      </c>
      <c r="F277" s="1350">
        <v>3.15</v>
      </c>
      <c r="G277" s="1350">
        <v>0.22</v>
      </c>
      <c r="H277" s="1350">
        <v>0.15</v>
      </c>
      <c r="I277" s="399">
        <f t="shared" si="4"/>
        <v>0.1</v>
      </c>
      <c r="J277" s="261"/>
      <c r="K277" s="1227"/>
      <c r="L277" s="262"/>
      <c r="M277" s="262"/>
      <c r="N277" s="262"/>
    </row>
    <row r="278" spans="1:14" s="263" customFormat="1" hidden="1" outlineLevel="1">
      <c r="A278" s="1225"/>
      <c r="B278" s="260"/>
      <c r="C278" s="457"/>
      <c r="D278" s="460"/>
      <c r="E278" s="439"/>
      <c r="F278" s="1350"/>
      <c r="G278" s="1350"/>
      <c r="H278" s="1350"/>
      <c r="I278" s="399" t="str">
        <f t="shared" si="4"/>
        <v/>
      </c>
      <c r="J278" s="261"/>
      <c r="K278" s="1227"/>
      <c r="L278" s="262"/>
      <c r="M278" s="262"/>
      <c r="N278" s="262"/>
    </row>
    <row r="279" spans="1:14" s="263" customFormat="1" hidden="1" outlineLevel="1">
      <c r="A279" s="1225"/>
      <c r="B279" s="260"/>
      <c r="C279" s="457" t="s">
        <v>2</v>
      </c>
      <c r="D279" s="460">
        <v>1</v>
      </c>
      <c r="E279" s="439">
        <v>1</v>
      </c>
      <c r="F279" s="1350">
        <v>2.41</v>
      </c>
      <c r="G279" s="1350">
        <v>0.61</v>
      </c>
      <c r="H279" s="1350">
        <v>0.15</v>
      </c>
      <c r="I279" s="399">
        <f t="shared" si="4"/>
        <v>0.22</v>
      </c>
      <c r="J279" s="261"/>
      <c r="K279" s="1227"/>
      <c r="L279" s="262"/>
      <c r="M279" s="262"/>
      <c r="N279" s="262"/>
    </row>
    <row r="280" spans="1:14" s="263" customFormat="1" hidden="1" outlineLevel="1">
      <c r="A280" s="1225"/>
      <c r="B280" s="260"/>
      <c r="C280" s="457"/>
      <c r="D280" s="460"/>
      <c r="E280" s="439"/>
      <c r="F280" s="1350"/>
      <c r="G280" s="1350"/>
      <c r="H280" s="1350"/>
      <c r="I280" s="399" t="str">
        <f t="shared" si="4"/>
        <v/>
      </c>
      <c r="J280" s="261"/>
      <c r="K280" s="1227"/>
      <c r="L280" s="262"/>
      <c r="M280" s="262"/>
      <c r="N280" s="262"/>
    </row>
    <row r="281" spans="1:14" s="263" customFormat="1" hidden="1" outlineLevel="1">
      <c r="A281" s="1225"/>
      <c r="B281" s="260"/>
      <c r="C281" s="457" t="s">
        <v>2</v>
      </c>
      <c r="D281" s="460">
        <v>1</v>
      </c>
      <c r="E281" s="439">
        <v>1</v>
      </c>
      <c r="F281" s="1350">
        <v>3.31</v>
      </c>
      <c r="G281" s="1350">
        <v>0.61</v>
      </c>
      <c r="H281" s="1350">
        <v>0.15</v>
      </c>
      <c r="I281" s="399">
        <f t="shared" si="4"/>
        <v>0.3</v>
      </c>
      <c r="J281" s="261"/>
      <c r="K281" s="1227"/>
      <c r="L281" s="262"/>
      <c r="M281" s="262"/>
      <c r="N281" s="262"/>
    </row>
    <row r="282" spans="1:14" s="263" customFormat="1" hidden="1" outlineLevel="1">
      <c r="A282" s="1225"/>
      <c r="B282" s="260"/>
      <c r="C282" s="457"/>
      <c r="D282" s="460"/>
      <c r="E282" s="439"/>
      <c r="F282" s="1350"/>
      <c r="G282" s="1350"/>
      <c r="H282" s="1350"/>
      <c r="I282" s="399" t="str">
        <f t="shared" si="4"/>
        <v/>
      </c>
      <c r="J282" s="261"/>
      <c r="K282" s="1227"/>
      <c r="L282" s="262"/>
      <c r="M282" s="262"/>
      <c r="N282" s="262"/>
    </row>
    <row r="283" spans="1:14" s="263" customFormat="1" hidden="1" outlineLevel="1">
      <c r="A283" s="1225"/>
      <c r="B283" s="260"/>
      <c r="C283" s="457" t="s">
        <v>2</v>
      </c>
      <c r="D283" s="460">
        <v>1</v>
      </c>
      <c r="E283" s="439">
        <v>1</v>
      </c>
      <c r="F283" s="1350">
        <v>5.1100000000000003</v>
      </c>
      <c r="G283" s="1350">
        <v>0.61</v>
      </c>
      <c r="H283" s="1350">
        <v>0.15</v>
      </c>
      <c r="I283" s="399">
        <f t="shared" si="4"/>
        <v>0.47</v>
      </c>
      <c r="J283" s="261"/>
      <c r="K283" s="1227"/>
      <c r="L283" s="262"/>
      <c r="M283" s="262"/>
      <c r="N283" s="262"/>
    </row>
    <row r="284" spans="1:14" s="263" customFormat="1" hidden="1" outlineLevel="1">
      <c r="A284" s="1225"/>
      <c r="B284" s="260" t="s">
        <v>189</v>
      </c>
      <c r="C284" s="457" t="s">
        <v>2</v>
      </c>
      <c r="D284" s="460">
        <v>1</v>
      </c>
      <c r="E284" s="439">
        <v>1</v>
      </c>
      <c r="F284" s="1350">
        <v>3.15</v>
      </c>
      <c r="G284" s="1350">
        <v>0.22</v>
      </c>
      <c r="H284" s="1350">
        <v>0.15</v>
      </c>
      <c r="I284" s="399">
        <f t="shared" si="4"/>
        <v>0.1</v>
      </c>
      <c r="J284" s="261"/>
      <c r="K284" s="1227"/>
      <c r="L284" s="262"/>
      <c r="M284" s="262"/>
      <c r="N284" s="262"/>
    </row>
    <row r="285" spans="1:14" s="263" customFormat="1" hidden="1" outlineLevel="1">
      <c r="A285" s="1225"/>
      <c r="B285" s="260"/>
      <c r="C285" s="457"/>
      <c r="D285" s="460"/>
      <c r="E285" s="439"/>
      <c r="F285" s="1350"/>
      <c r="G285" s="1350"/>
      <c r="H285" s="1350"/>
      <c r="I285" s="399" t="str">
        <f t="shared" si="4"/>
        <v/>
      </c>
      <c r="J285" s="261"/>
      <c r="K285" s="1227"/>
      <c r="L285" s="262"/>
      <c r="M285" s="262"/>
      <c r="N285" s="262"/>
    </row>
    <row r="286" spans="1:14" s="263" customFormat="1" hidden="1" outlineLevel="1">
      <c r="A286" s="1225"/>
      <c r="B286" s="260"/>
      <c r="C286" s="457" t="s">
        <v>2</v>
      </c>
      <c r="D286" s="460">
        <v>1</v>
      </c>
      <c r="E286" s="439">
        <v>1</v>
      </c>
      <c r="F286" s="1350">
        <v>1.2</v>
      </c>
      <c r="G286" s="1350">
        <v>0.61</v>
      </c>
      <c r="H286" s="1350">
        <v>0.15</v>
      </c>
      <c r="I286" s="399">
        <f t="shared" si="4"/>
        <v>0.11</v>
      </c>
      <c r="J286" s="261"/>
      <c r="K286" s="1227"/>
      <c r="L286" s="262"/>
      <c r="M286" s="262"/>
      <c r="N286" s="262"/>
    </row>
    <row r="287" spans="1:14" s="263" customFormat="1" hidden="1" outlineLevel="1">
      <c r="A287" s="1225"/>
      <c r="B287" s="260"/>
      <c r="C287" s="457"/>
      <c r="D287" s="460"/>
      <c r="E287" s="439"/>
      <c r="F287" s="1350"/>
      <c r="G287" s="1350"/>
      <c r="H287" s="1350"/>
      <c r="I287" s="399" t="str">
        <f t="shared" si="4"/>
        <v/>
      </c>
      <c r="J287" s="261"/>
      <c r="K287" s="1227"/>
      <c r="L287" s="262"/>
      <c r="M287" s="262"/>
      <c r="N287" s="262"/>
    </row>
    <row r="288" spans="1:14" s="263" customFormat="1" hidden="1" outlineLevel="1">
      <c r="A288" s="1225"/>
      <c r="B288" s="260" t="s">
        <v>190</v>
      </c>
      <c r="C288" s="457" t="s">
        <v>2</v>
      </c>
      <c r="D288" s="460">
        <v>1</v>
      </c>
      <c r="E288" s="439">
        <v>1</v>
      </c>
      <c r="F288" s="1350">
        <v>8.7200000000000006</v>
      </c>
      <c r="G288" s="1350">
        <v>0.61</v>
      </c>
      <c r="H288" s="1350">
        <v>0.15</v>
      </c>
      <c r="I288" s="399">
        <f t="shared" si="4"/>
        <v>0.8</v>
      </c>
      <c r="J288" s="261"/>
      <c r="K288" s="1227"/>
      <c r="L288" s="262"/>
      <c r="M288" s="262"/>
      <c r="N288" s="262"/>
    </row>
    <row r="289" spans="1:14" s="263" customFormat="1" hidden="1" outlineLevel="1">
      <c r="A289" s="1225"/>
      <c r="B289" s="260"/>
      <c r="C289" s="457"/>
      <c r="D289" s="460"/>
      <c r="E289" s="439"/>
      <c r="F289" s="1350"/>
      <c r="G289" s="1350"/>
      <c r="H289" s="1350"/>
      <c r="I289" s="399" t="str">
        <f t="shared" si="4"/>
        <v/>
      </c>
      <c r="J289" s="261"/>
      <c r="K289" s="1227"/>
      <c r="L289" s="262"/>
      <c r="M289" s="262"/>
      <c r="N289" s="262"/>
    </row>
    <row r="290" spans="1:14" s="263" customFormat="1" hidden="1" outlineLevel="1">
      <c r="A290" s="1225"/>
      <c r="B290" s="260" t="s">
        <v>191</v>
      </c>
      <c r="C290" s="457" t="s">
        <v>2</v>
      </c>
      <c r="D290" s="460">
        <v>1</v>
      </c>
      <c r="E290" s="439">
        <v>8</v>
      </c>
      <c r="F290" s="1350">
        <v>0.61499999999999999</v>
      </c>
      <c r="G290" s="1350">
        <v>0.61</v>
      </c>
      <c r="H290" s="1350">
        <v>0.15</v>
      </c>
      <c r="I290" s="399">
        <f t="shared" si="4"/>
        <v>0.45</v>
      </c>
      <c r="J290" s="261"/>
      <c r="K290" s="1227"/>
      <c r="L290" s="262"/>
      <c r="M290" s="262"/>
      <c r="N290" s="262"/>
    </row>
    <row r="291" spans="1:14" s="263" customFormat="1" hidden="1" outlineLevel="1">
      <c r="A291" s="1225"/>
      <c r="B291" s="260"/>
      <c r="C291" s="457"/>
      <c r="D291" s="460"/>
      <c r="E291" s="439"/>
      <c r="F291" s="1350"/>
      <c r="G291" s="1350"/>
      <c r="H291" s="1350"/>
      <c r="I291" s="399" t="str">
        <f t="shared" si="4"/>
        <v/>
      </c>
      <c r="J291" s="261"/>
      <c r="K291" s="1227"/>
      <c r="L291" s="262"/>
      <c r="M291" s="262"/>
      <c r="N291" s="262"/>
    </row>
    <row r="292" spans="1:14" s="263" customFormat="1" hidden="1" outlineLevel="1">
      <c r="A292" s="1225"/>
      <c r="B292" s="260"/>
      <c r="C292" s="457" t="s">
        <v>2</v>
      </c>
      <c r="D292" s="460">
        <v>1</v>
      </c>
      <c r="E292" s="439">
        <v>2</v>
      </c>
      <c r="F292" s="1350">
        <v>1.2150000000000001</v>
      </c>
      <c r="G292" s="1350">
        <v>0.61</v>
      </c>
      <c r="H292" s="1350">
        <v>0.15</v>
      </c>
      <c r="I292" s="399">
        <f t="shared" si="4"/>
        <v>0.22</v>
      </c>
      <c r="J292" s="261"/>
      <c r="K292" s="1227"/>
      <c r="L292" s="262"/>
      <c r="M292" s="262"/>
      <c r="N292" s="262"/>
    </row>
    <row r="293" spans="1:14" s="263" customFormat="1" hidden="1" outlineLevel="1">
      <c r="A293" s="1225"/>
      <c r="B293" s="260"/>
      <c r="C293" s="457"/>
      <c r="D293" s="460"/>
      <c r="E293" s="439"/>
      <c r="F293" s="1350"/>
      <c r="G293" s="1350"/>
      <c r="H293" s="1350"/>
      <c r="I293" s="399" t="str">
        <f t="shared" si="4"/>
        <v/>
      </c>
      <c r="J293" s="261"/>
      <c r="K293" s="1227"/>
      <c r="L293" s="262"/>
      <c r="M293" s="262"/>
      <c r="N293" s="262"/>
    </row>
    <row r="294" spans="1:14" s="263" customFormat="1" hidden="1" outlineLevel="1">
      <c r="A294" s="1225"/>
      <c r="B294" s="260"/>
      <c r="C294" s="457" t="s">
        <v>2</v>
      </c>
      <c r="D294" s="460">
        <v>1</v>
      </c>
      <c r="E294" s="439">
        <v>1</v>
      </c>
      <c r="F294" s="1350">
        <v>2.1350000000000002</v>
      </c>
      <c r="G294" s="1350">
        <v>0.61</v>
      </c>
      <c r="H294" s="1350">
        <v>0.15</v>
      </c>
      <c r="I294" s="399">
        <f t="shared" si="4"/>
        <v>0.2</v>
      </c>
      <c r="J294" s="261"/>
      <c r="K294" s="1227"/>
      <c r="L294" s="262"/>
      <c r="M294" s="262"/>
      <c r="N294" s="262"/>
    </row>
    <row r="295" spans="1:14" s="263" customFormat="1" hidden="1" outlineLevel="1">
      <c r="A295" s="1225"/>
      <c r="B295" s="260"/>
      <c r="C295" s="457"/>
      <c r="D295" s="460"/>
      <c r="E295" s="439"/>
      <c r="F295" s="1350"/>
      <c r="G295" s="1350"/>
      <c r="H295" s="1350"/>
      <c r="I295" s="399" t="str">
        <f t="shared" si="4"/>
        <v/>
      </c>
      <c r="J295" s="261"/>
      <c r="K295" s="1227"/>
      <c r="L295" s="262"/>
      <c r="M295" s="262"/>
      <c r="N295" s="262"/>
    </row>
    <row r="296" spans="1:14" s="263" customFormat="1" hidden="1" outlineLevel="1">
      <c r="A296" s="1225"/>
      <c r="B296" s="260"/>
      <c r="C296" s="457" t="s">
        <v>2</v>
      </c>
      <c r="D296" s="460">
        <v>1</v>
      </c>
      <c r="E296" s="439">
        <v>1</v>
      </c>
      <c r="F296" s="1350">
        <v>0.90999999999999992</v>
      </c>
      <c r="G296" s="1350">
        <v>0.61</v>
      </c>
      <c r="H296" s="1350">
        <v>0.15</v>
      </c>
      <c r="I296" s="399">
        <f t="shared" si="4"/>
        <v>0.08</v>
      </c>
      <c r="J296" s="261"/>
      <c r="K296" s="1227"/>
      <c r="L296" s="262"/>
      <c r="M296" s="262"/>
      <c r="N296" s="262"/>
    </row>
    <row r="297" spans="1:14" s="263" customFormat="1" hidden="1" outlineLevel="1">
      <c r="A297" s="1225"/>
      <c r="B297" s="260"/>
      <c r="C297" s="457"/>
      <c r="D297" s="460"/>
      <c r="E297" s="439"/>
      <c r="F297" s="1350"/>
      <c r="G297" s="1350"/>
      <c r="H297" s="1350"/>
      <c r="I297" s="399" t="str">
        <f t="shared" si="4"/>
        <v/>
      </c>
      <c r="J297" s="261"/>
      <c r="K297" s="1227"/>
      <c r="L297" s="262"/>
      <c r="M297" s="262"/>
      <c r="N297" s="262"/>
    </row>
    <row r="298" spans="1:14" s="263" customFormat="1" hidden="1" outlineLevel="1">
      <c r="A298" s="1225"/>
      <c r="B298" s="260"/>
      <c r="C298" s="457" t="s">
        <v>2</v>
      </c>
      <c r="D298" s="460">
        <v>1</v>
      </c>
      <c r="E298" s="439">
        <v>2</v>
      </c>
      <c r="F298" s="1350">
        <v>0.90999999999999992</v>
      </c>
      <c r="G298" s="1350">
        <v>0.61</v>
      </c>
      <c r="H298" s="1350">
        <v>0.15</v>
      </c>
      <c r="I298" s="399">
        <f t="shared" si="4"/>
        <v>0.17</v>
      </c>
      <c r="J298" s="261"/>
      <c r="K298" s="1227"/>
      <c r="L298" s="262"/>
      <c r="M298" s="262"/>
      <c r="N298" s="262"/>
    </row>
    <row r="299" spans="1:14" s="263" customFormat="1" hidden="1" outlineLevel="1">
      <c r="A299" s="1225"/>
      <c r="B299" s="260"/>
      <c r="C299" s="457"/>
      <c r="D299" s="460"/>
      <c r="E299" s="439"/>
      <c r="F299" s="1350"/>
      <c r="G299" s="1350"/>
      <c r="H299" s="1350"/>
      <c r="I299" s="399" t="str">
        <f t="shared" si="4"/>
        <v/>
      </c>
      <c r="J299" s="261"/>
      <c r="K299" s="1227"/>
      <c r="L299" s="262"/>
      <c r="M299" s="262"/>
      <c r="N299" s="262"/>
    </row>
    <row r="300" spans="1:14" s="263" customFormat="1" hidden="1" outlineLevel="1">
      <c r="A300" s="1225"/>
      <c r="B300" s="260"/>
      <c r="C300" s="457" t="s">
        <v>2</v>
      </c>
      <c r="D300" s="460">
        <v>1</v>
      </c>
      <c r="E300" s="439">
        <v>1</v>
      </c>
      <c r="F300" s="1350">
        <v>2.1350000000000002</v>
      </c>
      <c r="G300" s="1350">
        <v>0.61</v>
      </c>
      <c r="H300" s="1350">
        <v>0.15</v>
      </c>
      <c r="I300" s="399">
        <f t="shared" si="4"/>
        <v>0.2</v>
      </c>
      <c r="J300" s="261"/>
      <c r="K300" s="1227"/>
      <c r="L300" s="262"/>
      <c r="M300" s="262"/>
      <c r="N300" s="262"/>
    </row>
    <row r="301" spans="1:14" s="263" customFormat="1" hidden="1" outlineLevel="1">
      <c r="A301" s="1225"/>
      <c r="B301" s="260"/>
      <c r="C301" s="457"/>
      <c r="D301" s="460"/>
      <c r="E301" s="439"/>
      <c r="F301" s="1350"/>
      <c r="G301" s="1350"/>
      <c r="H301" s="1350"/>
      <c r="I301" s="399" t="str">
        <f t="shared" si="4"/>
        <v/>
      </c>
      <c r="J301" s="261"/>
      <c r="K301" s="1227"/>
      <c r="L301" s="262"/>
      <c r="M301" s="262"/>
      <c r="N301" s="262"/>
    </row>
    <row r="302" spans="1:14" s="263" customFormat="1" hidden="1" outlineLevel="1">
      <c r="A302" s="1225"/>
      <c r="B302" s="260"/>
      <c r="C302" s="457" t="s">
        <v>2</v>
      </c>
      <c r="D302" s="460">
        <v>1</v>
      </c>
      <c r="E302" s="439">
        <v>1</v>
      </c>
      <c r="F302" s="1350">
        <v>0.90999999999999992</v>
      </c>
      <c r="G302" s="1350">
        <v>0.61</v>
      </c>
      <c r="H302" s="1350">
        <v>0.15</v>
      </c>
      <c r="I302" s="399">
        <f t="shared" si="4"/>
        <v>0.08</v>
      </c>
      <c r="J302" s="261"/>
      <c r="K302" s="1227"/>
      <c r="L302" s="262"/>
      <c r="M302" s="262"/>
      <c r="N302" s="262"/>
    </row>
    <row r="303" spans="1:14" s="263" customFormat="1" hidden="1" outlineLevel="1">
      <c r="A303" s="1225"/>
      <c r="B303" s="260"/>
      <c r="C303" s="457"/>
      <c r="D303" s="460"/>
      <c r="E303" s="439"/>
      <c r="F303" s="1350"/>
      <c r="G303" s="1350"/>
      <c r="H303" s="1350"/>
      <c r="I303" s="399" t="str">
        <f t="shared" si="4"/>
        <v/>
      </c>
      <c r="J303" s="261"/>
      <c r="K303" s="1227"/>
      <c r="L303" s="262"/>
      <c r="M303" s="262"/>
      <c r="N303" s="262"/>
    </row>
    <row r="304" spans="1:14" s="263" customFormat="1" hidden="1" outlineLevel="1">
      <c r="A304" s="1225"/>
      <c r="B304" s="260" t="s">
        <v>192</v>
      </c>
      <c r="C304" s="457"/>
      <c r="D304" s="460"/>
      <c r="E304" s="439"/>
      <c r="F304" s="1350"/>
      <c r="G304" s="1350"/>
      <c r="H304" s="1350"/>
      <c r="I304" s="399" t="str">
        <f t="shared" si="4"/>
        <v/>
      </c>
      <c r="J304" s="261"/>
      <c r="K304" s="1227"/>
      <c r="L304" s="262"/>
      <c r="M304" s="262"/>
      <c r="N304" s="262"/>
    </row>
    <row r="305" spans="1:14" s="263" customFormat="1" hidden="1" outlineLevel="1">
      <c r="A305" s="1225"/>
      <c r="B305" s="260"/>
      <c r="C305" s="457"/>
      <c r="D305" s="460"/>
      <c r="E305" s="439"/>
      <c r="F305" s="1350"/>
      <c r="G305" s="1350"/>
      <c r="H305" s="1350"/>
      <c r="I305" s="399" t="str">
        <f t="shared" si="4"/>
        <v/>
      </c>
      <c r="J305" s="261"/>
      <c r="K305" s="1227"/>
      <c r="L305" s="262"/>
      <c r="M305" s="262"/>
      <c r="N305" s="262"/>
    </row>
    <row r="306" spans="1:14" s="263" customFormat="1" hidden="1" outlineLevel="1">
      <c r="A306" s="1225"/>
      <c r="B306" s="260" t="s">
        <v>187</v>
      </c>
      <c r="C306" s="457" t="s">
        <v>2</v>
      </c>
      <c r="D306" s="460">
        <v>1</v>
      </c>
      <c r="E306" s="439">
        <v>1</v>
      </c>
      <c r="F306" s="1350">
        <v>9.2200000000000006</v>
      </c>
      <c r="G306" s="1350">
        <v>0.61</v>
      </c>
      <c r="H306" s="1350">
        <v>0.15</v>
      </c>
      <c r="I306" s="399">
        <f t="shared" si="4"/>
        <v>0.84</v>
      </c>
      <c r="J306" s="261"/>
      <c r="K306" s="1227"/>
      <c r="L306" s="262"/>
      <c r="M306" s="262"/>
      <c r="N306" s="262"/>
    </row>
    <row r="307" spans="1:14" s="263" customFormat="1" hidden="1" outlineLevel="1">
      <c r="A307" s="1225"/>
      <c r="B307" s="260"/>
      <c r="C307" s="457"/>
      <c r="D307" s="460"/>
      <c r="E307" s="439"/>
      <c r="F307" s="1350"/>
      <c r="G307" s="1350"/>
      <c r="H307" s="1350"/>
      <c r="I307" s="399" t="str">
        <f t="shared" si="4"/>
        <v/>
      </c>
      <c r="J307" s="261"/>
      <c r="K307" s="1227"/>
      <c r="L307" s="262"/>
      <c r="M307" s="262"/>
      <c r="N307" s="262"/>
    </row>
    <row r="308" spans="1:14" s="263" customFormat="1" hidden="1" outlineLevel="1">
      <c r="A308" s="1225"/>
      <c r="B308" s="260"/>
      <c r="C308" s="457" t="s">
        <v>2</v>
      </c>
      <c r="D308" s="460">
        <v>1</v>
      </c>
      <c r="E308" s="439">
        <v>1</v>
      </c>
      <c r="F308" s="1350">
        <v>6.8100000000000005</v>
      </c>
      <c r="G308" s="1350">
        <v>0.61</v>
      </c>
      <c r="H308" s="1350">
        <v>0.15</v>
      </c>
      <c r="I308" s="399">
        <f t="shared" si="4"/>
        <v>0.62</v>
      </c>
      <c r="J308" s="261"/>
      <c r="K308" s="1227"/>
      <c r="L308" s="262"/>
      <c r="M308" s="262"/>
      <c r="N308" s="262"/>
    </row>
    <row r="309" spans="1:14" s="263" customFormat="1" hidden="1" outlineLevel="1">
      <c r="A309" s="1225"/>
      <c r="B309" s="260"/>
      <c r="C309" s="457"/>
      <c r="D309" s="460"/>
      <c r="E309" s="439"/>
      <c r="F309" s="1350"/>
      <c r="G309" s="1350"/>
      <c r="H309" s="1350"/>
      <c r="I309" s="399" t="str">
        <f t="shared" si="4"/>
        <v/>
      </c>
      <c r="J309" s="261"/>
      <c r="K309" s="1227"/>
      <c r="L309" s="262"/>
      <c r="M309" s="262"/>
      <c r="N309" s="262"/>
    </row>
    <row r="310" spans="1:14" s="263" customFormat="1" hidden="1" outlineLevel="1">
      <c r="A310" s="1225"/>
      <c r="B310" s="260"/>
      <c r="C310" s="457" t="s">
        <v>2</v>
      </c>
      <c r="D310" s="460">
        <v>1</v>
      </c>
      <c r="E310" s="439">
        <v>1</v>
      </c>
      <c r="F310" s="1350">
        <v>5.0100000000000007</v>
      </c>
      <c r="G310" s="1350">
        <v>0.61</v>
      </c>
      <c r="H310" s="1350">
        <v>0.15</v>
      </c>
      <c r="I310" s="399">
        <f t="shared" si="4"/>
        <v>0.46</v>
      </c>
      <c r="J310" s="261"/>
      <c r="K310" s="1227"/>
      <c r="L310" s="262"/>
      <c r="M310" s="262"/>
      <c r="N310" s="262"/>
    </row>
    <row r="311" spans="1:14" s="263" customFormat="1" hidden="1" outlineLevel="1">
      <c r="A311" s="1225"/>
      <c r="B311" s="260"/>
      <c r="C311" s="457"/>
      <c r="D311" s="460"/>
      <c r="E311" s="439"/>
      <c r="F311" s="1350"/>
      <c r="G311" s="1350"/>
      <c r="H311" s="1350"/>
      <c r="I311" s="399" t="str">
        <f t="shared" si="4"/>
        <v/>
      </c>
      <c r="J311" s="261"/>
      <c r="K311" s="1227"/>
      <c r="L311" s="262"/>
      <c r="M311" s="262"/>
      <c r="N311" s="262"/>
    </row>
    <row r="312" spans="1:14" s="263" customFormat="1" hidden="1" outlineLevel="1">
      <c r="A312" s="1225"/>
      <c r="B312" s="260"/>
      <c r="C312" s="457" t="s">
        <v>2</v>
      </c>
      <c r="D312" s="460">
        <v>1</v>
      </c>
      <c r="E312" s="439">
        <v>1</v>
      </c>
      <c r="F312" s="1350">
        <v>1.81</v>
      </c>
      <c r="G312" s="1350">
        <v>0.61</v>
      </c>
      <c r="H312" s="1350">
        <v>0.15</v>
      </c>
      <c r="I312" s="399">
        <f t="shared" si="4"/>
        <v>0.17</v>
      </c>
      <c r="J312" s="261"/>
      <c r="K312" s="1227"/>
      <c r="L312" s="262"/>
      <c r="M312" s="262"/>
      <c r="N312" s="262"/>
    </row>
    <row r="313" spans="1:14" s="263" customFormat="1" hidden="1" outlineLevel="1">
      <c r="A313" s="1225"/>
      <c r="B313" s="260"/>
      <c r="C313" s="457"/>
      <c r="D313" s="460"/>
      <c r="E313" s="439"/>
      <c r="F313" s="1350"/>
      <c r="G313" s="1350"/>
      <c r="H313" s="1350"/>
      <c r="I313" s="399" t="str">
        <f t="shared" si="4"/>
        <v/>
      </c>
      <c r="J313" s="261"/>
      <c r="K313" s="1227"/>
      <c r="L313" s="262"/>
      <c r="M313" s="262"/>
      <c r="N313" s="262"/>
    </row>
    <row r="314" spans="1:14" s="263" customFormat="1" hidden="1" outlineLevel="1">
      <c r="A314" s="1225"/>
      <c r="B314" s="260"/>
      <c r="C314" s="457" t="s">
        <v>2</v>
      </c>
      <c r="D314" s="460">
        <v>1</v>
      </c>
      <c r="E314" s="439">
        <v>1</v>
      </c>
      <c r="F314" s="1350">
        <v>3.81</v>
      </c>
      <c r="G314" s="1350">
        <v>0.61</v>
      </c>
      <c r="H314" s="1350">
        <v>0.15</v>
      </c>
      <c r="I314" s="399">
        <f t="shared" si="4"/>
        <v>0.35</v>
      </c>
      <c r="J314" s="261"/>
      <c r="K314" s="1227"/>
      <c r="L314" s="262"/>
      <c r="M314" s="262"/>
      <c r="N314" s="262"/>
    </row>
    <row r="315" spans="1:14" s="263" customFormat="1" hidden="1" outlineLevel="1">
      <c r="A315" s="1225"/>
      <c r="B315" s="260" t="s">
        <v>193</v>
      </c>
      <c r="C315" s="457" t="s">
        <v>2</v>
      </c>
      <c r="D315" s="460">
        <v>1</v>
      </c>
      <c r="E315" s="439">
        <v>1</v>
      </c>
      <c r="F315" s="1350">
        <v>3.15</v>
      </c>
      <c r="G315" s="1350">
        <v>0.22</v>
      </c>
      <c r="H315" s="1350">
        <v>0.15</v>
      </c>
      <c r="I315" s="399">
        <f t="shared" si="4"/>
        <v>0.1</v>
      </c>
      <c r="J315" s="261"/>
      <c r="K315" s="1227"/>
      <c r="L315" s="262"/>
      <c r="M315" s="262"/>
      <c r="N315" s="262"/>
    </row>
    <row r="316" spans="1:14" s="263" customFormat="1" hidden="1" outlineLevel="1">
      <c r="A316" s="1225"/>
      <c r="B316" s="260"/>
      <c r="C316" s="457"/>
      <c r="D316" s="460"/>
      <c r="E316" s="439"/>
      <c r="F316" s="1350"/>
      <c r="G316" s="1350"/>
      <c r="H316" s="1350"/>
      <c r="I316" s="399" t="str">
        <f t="shared" si="4"/>
        <v/>
      </c>
      <c r="J316" s="261"/>
      <c r="K316" s="1227"/>
      <c r="L316" s="262"/>
      <c r="M316" s="262"/>
      <c r="N316" s="262"/>
    </row>
    <row r="317" spans="1:14" s="263" customFormat="1" hidden="1" outlineLevel="1">
      <c r="A317" s="1225"/>
      <c r="B317" s="260"/>
      <c r="C317" s="457" t="s">
        <v>2</v>
      </c>
      <c r="D317" s="460">
        <v>1</v>
      </c>
      <c r="E317" s="439">
        <v>1</v>
      </c>
      <c r="F317" s="1350">
        <v>3.61</v>
      </c>
      <c r="G317" s="1350">
        <v>0.61</v>
      </c>
      <c r="H317" s="1350">
        <v>0.15</v>
      </c>
      <c r="I317" s="399">
        <f t="shared" si="4"/>
        <v>0.33</v>
      </c>
      <c r="J317" s="261"/>
      <c r="K317" s="1227"/>
      <c r="L317" s="262"/>
      <c r="M317" s="262"/>
      <c r="N317" s="262"/>
    </row>
    <row r="318" spans="1:14" s="263" customFormat="1" hidden="1" outlineLevel="1">
      <c r="A318" s="1225"/>
      <c r="B318" s="260" t="s">
        <v>180</v>
      </c>
      <c r="C318" s="457" t="s">
        <v>2</v>
      </c>
      <c r="D318" s="460">
        <v>1</v>
      </c>
      <c r="E318" s="439">
        <v>1</v>
      </c>
      <c r="F318" s="1350">
        <v>3.15</v>
      </c>
      <c r="G318" s="1350">
        <v>0.22</v>
      </c>
      <c r="H318" s="1350">
        <v>0.15</v>
      </c>
      <c r="I318" s="399">
        <f t="shared" si="4"/>
        <v>0.1</v>
      </c>
      <c r="J318" s="261"/>
      <c r="K318" s="1227"/>
      <c r="L318" s="262"/>
      <c r="M318" s="262"/>
      <c r="N318" s="262"/>
    </row>
    <row r="319" spans="1:14" s="263" customFormat="1" hidden="1" outlineLevel="1">
      <c r="A319" s="1225"/>
      <c r="B319" s="260"/>
      <c r="C319" s="457"/>
      <c r="D319" s="460"/>
      <c r="E319" s="439"/>
      <c r="F319" s="1350"/>
      <c r="G319" s="1350"/>
      <c r="H319" s="1350"/>
      <c r="I319" s="399" t="str">
        <f t="shared" si="4"/>
        <v/>
      </c>
      <c r="J319" s="261"/>
      <c r="K319" s="1227"/>
      <c r="L319" s="262"/>
      <c r="M319" s="262"/>
      <c r="N319" s="262"/>
    </row>
    <row r="320" spans="1:14" s="263" customFormat="1" hidden="1" outlineLevel="1">
      <c r="A320" s="1225"/>
      <c r="B320" s="260"/>
      <c r="C320" s="457" t="s">
        <v>2</v>
      </c>
      <c r="D320" s="460">
        <v>1</v>
      </c>
      <c r="E320" s="439">
        <v>1</v>
      </c>
      <c r="F320" s="1350">
        <v>4.8100000000000005</v>
      </c>
      <c r="G320" s="1350">
        <v>0.61</v>
      </c>
      <c r="H320" s="1350">
        <v>0.15</v>
      </c>
      <c r="I320" s="399">
        <f t="shared" si="4"/>
        <v>0.44</v>
      </c>
      <c r="J320" s="261"/>
      <c r="K320" s="1227"/>
      <c r="L320" s="262"/>
      <c r="M320" s="262"/>
      <c r="N320" s="262"/>
    </row>
    <row r="321" spans="1:14" s="263" customFormat="1" hidden="1" outlineLevel="1">
      <c r="A321" s="1225"/>
      <c r="B321" s="260"/>
      <c r="C321" s="457"/>
      <c r="D321" s="460"/>
      <c r="E321" s="439"/>
      <c r="F321" s="1350"/>
      <c r="G321" s="1350"/>
      <c r="H321" s="1350"/>
      <c r="I321" s="399" t="str">
        <f t="shared" si="4"/>
        <v/>
      </c>
      <c r="J321" s="261"/>
      <c r="K321" s="1227"/>
      <c r="L321" s="262"/>
      <c r="M321" s="262"/>
      <c r="N321" s="262"/>
    </row>
    <row r="322" spans="1:14" s="263" customFormat="1" hidden="1" outlineLevel="1">
      <c r="A322" s="1225"/>
      <c r="B322" s="260"/>
      <c r="C322" s="457" t="s">
        <v>2</v>
      </c>
      <c r="D322" s="460">
        <v>1</v>
      </c>
      <c r="E322" s="439">
        <v>1</v>
      </c>
      <c r="F322" s="1350">
        <v>3.61</v>
      </c>
      <c r="G322" s="1350">
        <v>0.61</v>
      </c>
      <c r="H322" s="1350">
        <v>0.15</v>
      </c>
      <c r="I322" s="399">
        <f t="shared" si="4"/>
        <v>0.33</v>
      </c>
      <c r="J322" s="261"/>
      <c r="K322" s="1227"/>
      <c r="L322" s="262"/>
      <c r="M322" s="262"/>
      <c r="N322" s="262"/>
    </row>
    <row r="323" spans="1:14" s="263" customFormat="1" hidden="1" outlineLevel="1">
      <c r="A323" s="1225"/>
      <c r="B323" s="260"/>
      <c r="C323" s="457"/>
      <c r="D323" s="460"/>
      <c r="E323" s="439"/>
      <c r="F323" s="1350"/>
      <c r="G323" s="1350"/>
      <c r="H323" s="1350"/>
      <c r="I323" s="399" t="str">
        <f t="shared" si="4"/>
        <v/>
      </c>
      <c r="J323" s="261"/>
      <c r="K323" s="1227"/>
      <c r="L323" s="262"/>
      <c r="M323" s="262"/>
      <c r="N323" s="262"/>
    </row>
    <row r="324" spans="1:14" s="263" customFormat="1" hidden="1" outlineLevel="1">
      <c r="A324" s="1225"/>
      <c r="B324" s="260"/>
      <c r="C324" s="457" t="s">
        <v>2</v>
      </c>
      <c r="D324" s="460">
        <f>1*0</f>
        <v>0</v>
      </c>
      <c r="E324" s="439">
        <v>1</v>
      </c>
      <c r="F324" s="1350">
        <v>4.8100000000000005</v>
      </c>
      <c r="G324" s="1350">
        <v>0.61</v>
      </c>
      <c r="H324" s="1350">
        <v>0.15</v>
      </c>
      <c r="I324" s="399" t="str">
        <f t="shared" si="4"/>
        <v/>
      </c>
      <c r="J324" s="261"/>
      <c r="K324" s="1227"/>
      <c r="L324" s="262"/>
      <c r="M324" s="262"/>
      <c r="N324" s="262"/>
    </row>
    <row r="325" spans="1:14" s="263" customFormat="1" hidden="1" outlineLevel="1">
      <c r="A325" s="1225"/>
      <c r="B325" s="260"/>
      <c r="C325" s="457"/>
      <c r="D325" s="460"/>
      <c r="E325" s="439"/>
      <c r="F325" s="1350"/>
      <c r="G325" s="1350"/>
      <c r="H325" s="1350"/>
      <c r="I325" s="399" t="str">
        <f t="shared" si="4"/>
        <v/>
      </c>
      <c r="J325" s="261"/>
      <c r="K325" s="1227"/>
      <c r="L325" s="262"/>
      <c r="M325" s="262"/>
      <c r="N325" s="262"/>
    </row>
    <row r="326" spans="1:14" s="263" customFormat="1" hidden="1" outlineLevel="1">
      <c r="A326" s="1225"/>
      <c r="B326" s="260"/>
      <c r="C326" s="457" t="s">
        <v>2</v>
      </c>
      <c r="D326" s="460">
        <v>1</v>
      </c>
      <c r="E326" s="439">
        <v>1</v>
      </c>
      <c r="F326" s="1350">
        <v>1.81</v>
      </c>
      <c r="G326" s="1350">
        <v>0.61</v>
      </c>
      <c r="H326" s="1350">
        <v>0.15</v>
      </c>
      <c r="I326" s="399">
        <f t="shared" si="4"/>
        <v>0.17</v>
      </c>
      <c r="J326" s="261"/>
      <c r="K326" s="1227"/>
      <c r="L326" s="262"/>
      <c r="M326" s="262"/>
      <c r="N326" s="262"/>
    </row>
    <row r="327" spans="1:14" s="263" customFormat="1" hidden="1" outlineLevel="1">
      <c r="A327" s="1225"/>
      <c r="B327" s="260"/>
      <c r="C327" s="457"/>
      <c r="D327" s="460"/>
      <c r="E327" s="439"/>
      <c r="F327" s="1350"/>
      <c r="G327" s="1350"/>
      <c r="H327" s="1350"/>
      <c r="I327" s="399" t="str">
        <f t="shared" si="4"/>
        <v/>
      </c>
      <c r="J327" s="261"/>
      <c r="K327" s="1227"/>
      <c r="L327" s="262"/>
      <c r="M327" s="262"/>
      <c r="N327" s="262"/>
    </row>
    <row r="328" spans="1:14" s="263" customFormat="1" hidden="1" outlineLevel="1">
      <c r="A328" s="1225"/>
      <c r="B328" s="260"/>
      <c r="C328" s="457" t="s">
        <v>2</v>
      </c>
      <c r="D328" s="460">
        <v>1</v>
      </c>
      <c r="E328" s="439">
        <v>1</v>
      </c>
      <c r="F328" s="1350">
        <v>6.61</v>
      </c>
      <c r="G328" s="1350">
        <v>0.61</v>
      </c>
      <c r="H328" s="1350">
        <v>0.15</v>
      </c>
      <c r="I328" s="399">
        <f t="shared" ref="I328:I391" si="5">IF(D328&lt;&gt;0,ROUND(PRODUCT(E328:H328)*D328,2),"")</f>
        <v>0.6</v>
      </c>
      <c r="J328" s="261"/>
      <c r="K328" s="1227"/>
      <c r="L328" s="262"/>
      <c r="M328" s="262"/>
      <c r="N328" s="262"/>
    </row>
    <row r="329" spans="1:14" s="263" customFormat="1" hidden="1" outlineLevel="1">
      <c r="A329" s="1225"/>
      <c r="B329" s="260"/>
      <c r="C329" s="457"/>
      <c r="D329" s="460"/>
      <c r="E329" s="439"/>
      <c r="F329" s="1350"/>
      <c r="G329" s="1350"/>
      <c r="H329" s="1350"/>
      <c r="I329" s="399" t="str">
        <f t="shared" si="5"/>
        <v/>
      </c>
      <c r="J329" s="261"/>
      <c r="K329" s="1227"/>
      <c r="L329" s="262"/>
      <c r="M329" s="262"/>
      <c r="N329" s="262"/>
    </row>
    <row r="330" spans="1:14" s="263" customFormat="1" hidden="1" outlineLevel="1">
      <c r="A330" s="1225"/>
      <c r="B330" s="260"/>
      <c r="C330" s="457" t="s">
        <v>2</v>
      </c>
      <c r="D330" s="460">
        <v>1</v>
      </c>
      <c r="E330" s="439">
        <v>1</v>
      </c>
      <c r="F330" s="1350">
        <v>8.61</v>
      </c>
      <c r="G330" s="1350">
        <v>0.61</v>
      </c>
      <c r="H330" s="1350">
        <v>0.15</v>
      </c>
      <c r="I330" s="399">
        <f t="shared" si="5"/>
        <v>0.79</v>
      </c>
      <c r="J330" s="261"/>
      <c r="K330" s="1227"/>
      <c r="L330" s="262"/>
      <c r="M330" s="262"/>
      <c r="N330" s="262"/>
    </row>
    <row r="331" spans="1:14" s="263" customFormat="1" hidden="1" outlineLevel="1">
      <c r="A331" s="1225"/>
      <c r="B331" s="260"/>
      <c r="C331" s="457"/>
      <c r="D331" s="460"/>
      <c r="E331" s="439"/>
      <c r="F331" s="1350"/>
      <c r="G331" s="1350"/>
      <c r="H331" s="1350"/>
      <c r="I331" s="399" t="str">
        <f t="shared" si="5"/>
        <v/>
      </c>
      <c r="J331" s="261"/>
      <c r="K331" s="1227"/>
      <c r="L331" s="262"/>
      <c r="M331" s="262"/>
      <c r="N331" s="262"/>
    </row>
    <row r="332" spans="1:14" s="263" customFormat="1" hidden="1" outlineLevel="1">
      <c r="A332" s="1225"/>
      <c r="B332" s="260"/>
      <c r="C332" s="457" t="s">
        <v>2</v>
      </c>
      <c r="D332" s="460">
        <v>1</v>
      </c>
      <c r="E332" s="439">
        <v>1</v>
      </c>
      <c r="F332" s="1350">
        <v>11.020000000000001</v>
      </c>
      <c r="G332" s="1350">
        <v>0.61</v>
      </c>
      <c r="H332" s="1350">
        <v>0.15</v>
      </c>
      <c r="I332" s="399">
        <f t="shared" si="5"/>
        <v>1.01</v>
      </c>
      <c r="J332" s="261"/>
      <c r="K332" s="1227"/>
      <c r="L332" s="262"/>
      <c r="M332" s="262"/>
      <c r="N332" s="262"/>
    </row>
    <row r="333" spans="1:14" s="263" customFormat="1" hidden="1" outlineLevel="1">
      <c r="A333" s="1225"/>
      <c r="B333" s="260"/>
      <c r="C333" s="457"/>
      <c r="D333" s="460"/>
      <c r="E333" s="439"/>
      <c r="F333" s="1350"/>
      <c r="G333" s="1350"/>
      <c r="H333" s="1350"/>
      <c r="I333" s="399" t="str">
        <f t="shared" si="5"/>
        <v/>
      </c>
      <c r="J333" s="261"/>
      <c r="K333" s="1227"/>
      <c r="L333" s="262"/>
      <c r="M333" s="262"/>
      <c r="N333" s="262"/>
    </row>
    <row r="334" spans="1:14" s="263" customFormat="1" hidden="1" outlineLevel="1">
      <c r="A334" s="1225"/>
      <c r="B334" s="260" t="s">
        <v>194</v>
      </c>
      <c r="C334" s="457" t="s">
        <v>2</v>
      </c>
      <c r="D334" s="460">
        <v>1</v>
      </c>
      <c r="E334" s="439">
        <v>6</v>
      </c>
      <c r="F334" s="1350">
        <v>0.61499999999999999</v>
      </c>
      <c r="G334" s="1350">
        <v>0.61</v>
      </c>
      <c r="H334" s="1350">
        <v>0.15</v>
      </c>
      <c r="I334" s="399">
        <f t="shared" si="5"/>
        <v>0.34</v>
      </c>
      <c r="J334" s="261"/>
      <c r="K334" s="1227"/>
      <c r="L334" s="262"/>
      <c r="M334" s="262"/>
      <c r="N334" s="262"/>
    </row>
    <row r="335" spans="1:14" s="263" customFormat="1" hidden="1" outlineLevel="1">
      <c r="A335" s="1225"/>
      <c r="B335" s="260"/>
      <c r="C335" s="457"/>
      <c r="D335" s="460"/>
      <c r="E335" s="439"/>
      <c r="F335" s="1350"/>
      <c r="G335" s="1350"/>
      <c r="H335" s="1350"/>
      <c r="I335" s="399" t="str">
        <f t="shared" si="5"/>
        <v/>
      </c>
      <c r="J335" s="261"/>
      <c r="K335" s="1227"/>
      <c r="L335" s="262"/>
      <c r="M335" s="262"/>
      <c r="N335" s="262"/>
    </row>
    <row r="336" spans="1:14" s="263" customFormat="1" hidden="1" outlineLevel="1">
      <c r="A336" s="1225"/>
      <c r="B336" s="260"/>
      <c r="C336" s="457" t="s">
        <v>2</v>
      </c>
      <c r="D336" s="460">
        <v>1</v>
      </c>
      <c r="E336" s="439">
        <v>1</v>
      </c>
      <c r="F336" s="1350">
        <v>2.1350000000000002</v>
      </c>
      <c r="G336" s="1350">
        <v>0.61</v>
      </c>
      <c r="H336" s="1350">
        <v>0.15</v>
      </c>
      <c r="I336" s="399">
        <f t="shared" si="5"/>
        <v>0.2</v>
      </c>
      <c r="J336" s="261"/>
      <c r="K336" s="1227"/>
      <c r="L336" s="262"/>
      <c r="M336" s="262"/>
      <c r="N336" s="262"/>
    </row>
    <row r="337" spans="1:14" s="263" customFormat="1" hidden="1" outlineLevel="1">
      <c r="A337" s="1225"/>
      <c r="B337" s="260"/>
      <c r="C337" s="457"/>
      <c r="D337" s="460"/>
      <c r="E337" s="439"/>
      <c r="F337" s="1350"/>
      <c r="G337" s="1350"/>
      <c r="H337" s="1350"/>
      <c r="I337" s="399" t="str">
        <f t="shared" si="5"/>
        <v/>
      </c>
      <c r="J337" s="261"/>
      <c r="K337" s="1227"/>
      <c r="L337" s="262"/>
      <c r="M337" s="262"/>
      <c r="N337" s="262"/>
    </row>
    <row r="338" spans="1:14" s="263" customFormat="1" hidden="1" outlineLevel="1">
      <c r="A338" s="1225"/>
      <c r="B338" s="260"/>
      <c r="C338" s="457" t="s">
        <v>2</v>
      </c>
      <c r="D338" s="460">
        <v>1</v>
      </c>
      <c r="E338" s="439">
        <v>1</v>
      </c>
      <c r="F338" s="1350">
        <v>0.90999999999999992</v>
      </c>
      <c r="G338" s="1350">
        <v>0.61</v>
      </c>
      <c r="H338" s="1350">
        <v>0.15</v>
      </c>
      <c r="I338" s="399">
        <f t="shared" si="5"/>
        <v>0.08</v>
      </c>
      <c r="J338" s="261"/>
      <c r="K338" s="1227"/>
      <c r="L338" s="262"/>
      <c r="M338" s="262"/>
      <c r="N338" s="262"/>
    </row>
    <row r="339" spans="1:14" s="263" customFormat="1" hidden="1" outlineLevel="1">
      <c r="A339" s="1225"/>
      <c r="B339" s="260"/>
      <c r="C339" s="457"/>
      <c r="D339" s="460"/>
      <c r="E339" s="439"/>
      <c r="F339" s="1350"/>
      <c r="G339" s="1350"/>
      <c r="H339" s="1350"/>
      <c r="I339" s="399" t="str">
        <f t="shared" si="5"/>
        <v/>
      </c>
      <c r="J339" s="261"/>
      <c r="K339" s="1227"/>
      <c r="L339" s="262"/>
      <c r="M339" s="262"/>
      <c r="N339" s="262"/>
    </row>
    <row r="340" spans="1:14" s="263" customFormat="1" hidden="1" outlineLevel="1">
      <c r="A340" s="1225"/>
      <c r="B340" s="260"/>
      <c r="C340" s="457" t="s">
        <v>2</v>
      </c>
      <c r="D340" s="460">
        <v>1</v>
      </c>
      <c r="E340" s="439">
        <v>2</v>
      </c>
      <c r="F340" s="1350">
        <v>0.90999999999999992</v>
      </c>
      <c r="G340" s="1350">
        <v>0.61</v>
      </c>
      <c r="H340" s="1350">
        <v>0.15</v>
      </c>
      <c r="I340" s="399">
        <f t="shared" si="5"/>
        <v>0.17</v>
      </c>
      <c r="J340" s="261"/>
      <c r="K340" s="1227"/>
      <c r="L340" s="262"/>
      <c r="M340" s="262"/>
      <c r="N340" s="262"/>
    </row>
    <row r="341" spans="1:14" s="263" customFormat="1" hidden="1" outlineLevel="1">
      <c r="A341" s="1225"/>
      <c r="B341" s="260"/>
      <c r="C341" s="457"/>
      <c r="D341" s="460"/>
      <c r="E341" s="439"/>
      <c r="F341" s="1350"/>
      <c r="G341" s="1350"/>
      <c r="H341" s="1350"/>
      <c r="I341" s="399" t="str">
        <f t="shared" si="5"/>
        <v/>
      </c>
      <c r="J341" s="261"/>
      <c r="K341" s="1227"/>
      <c r="L341" s="262"/>
      <c r="M341" s="262"/>
      <c r="N341" s="262"/>
    </row>
    <row r="342" spans="1:14" s="263" customFormat="1" hidden="1" outlineLevel="1">
      <c r="A342" s="1225"/>
      <c r="B342" s="260"/>
      <c r="C342" s="457" t="s">
        <v>2</v>
      </c>
      <c r="D342" s="460">
        <v>1</v>
      </c>
      <c r="E342" s="439">
        <v>1</v>
      </c>
      <c r="F342" s="1350">
        <v>2.1350000000000002</v>
      </c>
      <c r="G342" s="1350">
        <v>0.61</v>
      </c>
      <c r="H342" s="1350">
        <v>0.15</v>
      </c>
      <c r="I342" s="399">
        <f t="shared" si="5"/>
        <v>0.2</v>
      </c>
      <c r="J342" s="261"/>
      <c r="K342" s="1227"/>
      <c r="L342" s="262"/>
      <c r="M342" s="262"/>
      <c r="N342" s="262"/>
    </row>
    <row r="343" spans="1:14" s="263" customFormat="1" hidden="1" outlineLevel="1">
      <c r="A343" s="1225"/>
      <c r="B343" s="260"/>
      <c r="C343" s="457"/>
      <c r="D343" s="460"/>
      <c r="E343" s="439"/>
      <c r="F343" s="1350"/>
      <c r="G343" s="1350"/>
      <c r="H343" s="1350"/>
      <c r="I343" s="399" t="str">
        <f t="shared" si="5"/>
        <v/>
      </c>
      <c r="J343" s="261"/>
      <c r="K343" s="1227"/>
      <c r="L343" s="262"/>
      <c r="M343" s="262"/>
      <c r="N343" s="262"/>
    </row>
    <row r="344" spans="1:14" s="263" customFormat="1" hidden="1" outlineLevel="1">
      <c r="A344" s="1225"/>
      <c r="B344" s="260"/>
      <c r="C344" s="457" t="s">
        <v>2</v>
      </c>
      <c r="D344" s="460">
        <v>1</v>
      </c>
      <c r="E344" s="439">
        <v>1</v>
      </c>
      <c r="F344" s="1350">
        <v>0.90999999999999992</v>
      </c>
      <c r="G344" s="1350">
        <v>0.61</v>
      </c>
      <c r="H344" s="1350">
        <v>0.15</v>
      </c>
      <c r="I344" s="399">
        <f t="shared" si="5"/>
        <v>0.08</v>
      </c>
      <c r="J344" s="261"/>
      <c r="K344" s="1227"/>
      <c r="L344" s="262"/>
      <c r="M344" s="262"/>
      <c r="N344" s="262"/>
    </row>
    <row r="345" spans="1:14" s="263" customFormat="1" hidden="1" outlineLevel="1">
      <c r="A345" s="1225"/>
      <c r="B345" s="260"/>
      <c r="C345" s="457"/>
      <c r="D345" s="460"/>
      <c r="E345" s="439"/>
      <c r="F345" s="1350"/>
      <c r="G345" s="1350"/>
      <c r="H345" s="1350"/>
      <c r="I345" s="399" t="str">
        <f t="shared" si="5"/>
        <v/>
      </c>
      <c r="J345" s="261"/>
      <c r="K345" s="1227"/>
      <c r="L345" s="262"/>
      <c r="M345" s="262"/>
      <c r="N345" s="262"/>
    </row>
    <row r="346" spans="1:14" s="263" customFormat="1" hidden="1" outlineLevel="1">
      <c r="A346" s="1225"/>
      <c r="B346" s="260" t="s">
        <v>195</v>
      </c>
      <c r="C346" s="457"/>
      <c r="D346" s="460"/>
      <c r="E346" s="439"/>
      <c r="F346" s="1350"/>
      <c r="G346" s="1350"/>
      <c r="H346" s="1350"/>
      <c r="I346" s="399" t="str">
        <f t="shared" si="5"/>
        <v/>
      </c>
      <c r="J346" s="261"/>
      <c r="K346" s="1227"/>
      <c r="L346" s="262"/>
      <c r="M346" s="262"/>
      <c r="N346" s="262"/>
    </row>
    <row r="347" spans="1:14" s="263" customFormat="1" hidden="1" outlineLevel="1">
      <c r="A347" s="1225"/>
      <c r="B347" s="260"/>
      <c r="C347" s="457"/>
      <c r="D347" s="460"/>
      <c r="E347" s="439"/>
      <c r="F347" s="1350"/>
      <c r="G347" s="1350"/>
      <c r="H347" s="1350"/>
      <c r="I347" s="399" t="str">
        <f t="shared" si="5"/>
        <v/>
      </c>
      <c r="J347" s="261"/>
      <c r="K347" s="1227"/>
      <c r="L347" s="262"/>
      <c r="M347" s="262"/>
      <c r="N347" s="262"/>
    </row>
    <row r="348" spans="1:14" s="263" customFormat="1" hidden="1" outlineLevel="1">
      <c r="A348" s="1225"/>
      <c r="B348" s="260" t="s">
        <v>196</v>
      </c>
      <c r="C348" s="457" t="s">
        <v>2</v>
      </c>
      <c r="D348" s="460">
        <v>1</v>
      </c>
      <c r="E348" s="439">
        <v>1</v>
      </c>
      <c r="F348" s="1350">
        <v>8</v>
      </c>
      <c r="G348" s="1350">
        <v>0.61</v>
      </c>
      <c r="H348" s="1350">
        <v>0.15</v>
      </c>
      <c r="I348" s="399">
        <f t="shared" si="5"/>
        <v>0.73</v>
      </c>
      <c r="J348" s="261"/>
      <c r="K348" s="1227"/>
      <c r="L348" s="262"/>
      <c r="M348" s="262"/>
      <c r="N348" s="262"/>
    </row>
    <row r="349" spans="1:14" s="263" customFormat="1" hidden="1" outlineLevel="1">
      <c r="A349" s="1225"/>
      <c r="B349" s="260"/>
      <c r="C349" s="457"/>
      <c r="D349" s="460"/>
      <c r="E349" s="439"/>
      <c r="F349" s="1350"/>
      <c r="G349" s="1350"/>
      <c r="H349" s="1350"/>
      <c r="I349" s="399" t="str">
        <f t="shared" si="5"/>
        <v/>
      </c>
      <c r="J349" s="261"/>
      <c r="K349" s="1227"/>
      <c r="L349" s="262"/>
      <c r="M349" s="262"/>
      <c r="N349" s="262"/>
    </row>
    <row r="350" spans="1:14" s="263" customFormat="1" hidden="1" outlineLevel="1">
      <c r="A350" s="1225"/>
      <c r="B350" s="260"/>
      <c r="C350" s="457" t="s">
        <v>2</v>
      </c>
      <c r="D350" s="460">
        <v>1</v>
      </c>
      <c r="E350" s="439">
        <v>1</v>
      </c>
      <c r="F350" s="1350">
        <v>5.61</v>
      </c>
      <c r="G350" s="1350">
        <v>0.61</v>
      </c>
      <c r="H350" s="1350">
        <v>0.15</v>
      </c>
      <c r="I350" s="399">
        <f t="shared" si="5"/>
        <v>0.51</v>
      </c>
      <c r="J350" s="261"/>
      <c r="K350" s="1227"/>
      <c r="L350" s="262"/>
      <c r="M350" s="262"/>
      <c r="N350" s="262"/>
    </row>
    <row r="351" spans="1:14" s="263" customFormat="1" hidden="1" outlineLevel="1">
      <c r="A351" s="1225"/>
      <c r="B351" s="260"/>
      <c r="C351" s="457"/>
      <c r="D351" s="460"/>
      <c r="E351" s="439"/>
      <c r="F351" s="1350"/>
      <c r="G351" s="1350"/>
      <c r="H351" s="1350"/>
      <c r="I351" s="399" t="str">
        <f t="shared" si="5"/>
        <v/>
      </c>
      <c r="J351" s="261"/>
      <c r="K351" s="1227"/>
      <c r="L351" s="262"/>
      <c r="M351" s="262"/>
      <c r="N351" s="262"/>
    </row>
    <row r="352" spans="1:14" s="263" customFormat="1" hidden="1" outlineLevel="1">
      <c r="A352" s="1225"/>
      <c r="B352" s="260"/>
      <c r="C352" s="457" t="s">
        <v>2</v>
      </c>
      <c r="D352" s="460">
        <v>1</v>
      </c>
      <c r="E352" s="439">
        <v>1</v>
      </c>
      <c r="F352" s="1350">
        <v>4.6100000000000003</v>
      </c>
      <c r="G352" s="1350">
        <v>0.61</v>
      </c>
      <c r="H352" s="1350">
        <v>0.15</v>
      </c>
      <c r="I352" s="399">
        <f t="shared" si="5"/>
        <v>0.42</v>
      </c>
      <c r="J352" s="261"/>
      <c r="K352" s="1227"/>
      <c r="L352" s="262"/>
      <c r="M352" s="262"/>
      <c r="N352" s="262"/>
    </row>
    <row r="353" spans="1:14" s="263" customFormat="1" hidden="1" outlineLevel="1">
      <c r="A353" s="1225"/>
      <c r="B353" s="260" t="s">
        <v>184</v>
      </c>
      <c r="C353" s="457" t="s">
        <v>2</v>
      </c>
      <c r="D353" s="460">
        <v>1</v>
      </c>
      <c r="E353" s="439">
        <v>1</v>
      </c>
      <c r="F353" s="1350">
        <v>3.15</v>
      </c>
      <c r="G353" s="1350">
        <v>0.22</v>
      </c>
      <c r="H353" s="1350">
        <v>0.15</v>
      </c>
      <c r="I353" s="399">
        <f t="shared" si="5"/>
        <v>0.1</v>
      </c>
      <c r="J353" s="261"/>
      <c r="K353" s="1227"/>
      <c r="L353" s="262"/>
      <c r="M353" s="262"/>
      <c r="N353" s="262"/>
    </row>
    <row r="354" spans="1:14" s="263" customFormat="1" hidden="1" outlineLevel="1">
      <c r="A354" s="1225"/>
      <c r="B354" s="260"/>
      <c r="C354" s="457"/>
      <c r="D354" s="460"/>
      <c r="E354" s="439"/>
      <c r="F354" s="1350"/>
      <c r="G354" s="1350"/>
      <c r="H354" s="1350"/>
      <c r="I354" s="399" t="str">
        <f t="shared" si="5"/>
        <v/>
      </c>
      <c r="J354" s="261"/>
      <c r="K354" s="1227"/>
      <c r="L354" s="262"/>
      <c r="M354" s="262"/>
      <c r="N354" s="262"/>
    </row>
    <row r="355" spans="1:14" s="263" customFormat="1" hidden="1" outlineLevel="1">
      <c r="A355" s="1225"/>
      <c r="B355" s="260"/>
      <c r="C355" s="457" t="s">
        <v>2</v>
      </c>
      <c r="D355" s="460">
        <v>1</v>
      </c>
      <c r="E355" s="439">
        <v>1</v>
      </c>
      <c r="F355" s="1350">
        <v>1.6099999999999999</v>
      </c>
      <c r="G355" s="1350">
        <v>0.61</v>
      </c>
      <c r="H355" s="1350">
        <v>0.15</v>
      </c>
      <c r="I355" s="399">
        <f t="shared" si="5"/>
        <v>0.15</v>
      </c>
      <c r="J355" s="261"/>
      <c r="K355" s="1227"/>
      <c r="L355" s="262"/>
      <c r="M355" s="262"/>
      <c r="N355" s="262"/>
    </row>
    <row r="356" spans="1:14" s="263" customFormat="1" hidden="1" outlineLevel="1">
      <c r="A356" s="1225"/>
      <c r="B356" s="260"/>
      <c r="C356" s="457"/>
      <c r="D356" s="460"/>
      <c r="E356" s="439"/>
      <c r="F356" s="1350"/>
      <c r="G356" s="1350"/>
      <c r="H356" s="1350"/>
      <c r="I356" s="399" t="str">
        <f t="shared" si="5"/>
        <v/>
      </c>
      <c r="J356" s="261"/>
      <c r="K356" s="1227"/>
      <c r="L356" s="262"/>
      <c r="M356" s="262"/>
      <c r="N356" s="262"/>
    </row>
    <row r="357" spans="1:14" s="263" customFormat="1" hidden="1" outlineLevel="1">
      <c r="A357" s="1225"/>
      <c r="B357" s="260"/>
      <c r="C357" s="457" t="s">
        <v>2</v>
      </c>
      <c r="D357" s="460">
        <v>1</v>
      </c>
      <c r="E357" s="439">
        <v>6</v>
      </c>
      <c r="F357" s="1350">
        <v>3.61</v>
      </c>
      <c r="G357" s="1350">
        <v>0.61</v>
      </c>
      <c r="H357" s="1350">
        <v>0.15</v>
      </c>
      <c r="I357" s="399">
        <f t="shared" si="5"/>
        <v>1.98</v>
      </c>
      <c r="J357" s="261"/>
      <c r="K357" s="1227"/>
      <c r="L357" s="262"/>
      <c r="M357" s="262"/>
      <c r="N357" s="262"/>
    </row>
    <row r="358" spans="1:14" s="263" customFormat="1" hidden="1" outlineLevel="1">
      <c r="A358" s="1225"/>
      <c r="B358" s="260"/>
      <c r="C358" s="457"/>
      <c r="D358" s="460"/>
      <c r="E358" s="439"/>
      <c r="F358" s="1350"/>
      <c r="G358" s="1350"/>
      <c r="H358" s="1350"/>
      <c r="I358" s="399" t="str">
        <f t="shared" si="5"/>
        <v/>
      </c>
      <c r="J358" s="261"/>
      <c r="K358" s="1227"/>
      <c r="L358" s="262"/>
      <c r="M358" s="262"/>
      <c r="N358" s="262"/>
    </row>
    <row r="359" spans="1:14" s="263" customFormat="1" hidden="1" outlineLevel="1">
      <c r="A359" s="1225"/>
      <c r="B359" s="260"/>
      <c r="C359" s="457" t="s">
        <v>2</v>
      </c>
      <c r="D359" s="460">
        <v>1</v>
      </c>
      <c r="E359" s="439">
        <v>1</v>
      </c>
      <c r="F359" s="1350">
        <v>5.61</v>
      </c>
      <c r="G359" s="1350">
        <v>0.61</v>
      </c>
      <c r="H359" s="1350">
        <v>0.15</v>
      </c>
      <c r="I359" s="399">
        <f t="shared" si="5"/>
        <v>0.51</v>
      </c>
      <c r="J359" s="261"/>
      <c r="K359" s="1227"/>
      <c r="L359" s="262"/>
      <c r="M359" s="262"/>
      <c r="N359" s="262"/>
    </row>
    <row r="360" spans="1:14" s="263" customFormat="1" hidden="1" outlineLevel="1">
      <c r="A360" s="1225"/>
      <c r="B360" s="260" t="s">
        <v>184</v>
      </c>
      <c r="C360" s="457" t="s">
        <v>2</v>
      </c>
      <c r="D360" s="460">
        <v>1</v>
      </c>
      <c r="E360" s="439">
        <v>3</v>
      </c>
      <c r="F360" s="1350">
        <v>3.15</v>
      </c>
      <c r="G360" s="1350">
        <v>0.22</v>
      </c>
      <c r="H360" s="1350">
        <v>0.15</v>
      </c>
      <c r="I360" s="399">
        <f t="shared" si="5"/>
        <v>0.31</v>
      </c>
      <c r="J360" s="261"/>
      <c r="K360" s="1227"/>
      <c r="L360" s="262"/>
      <c r="M360" s="262"/>
      <c r="N360" s="262"/>
    </row>
    <row r="361" spans="1:14" s="263" customFormat="1" hidden="1" outlineLevel="1">
      <c r="A361" s="1225"/>
      <c r="B361" s="260"/>
      <c r="C361" s="457"/>
      <c r="D361" s="460"/>
      <c r="E361" s="439"/>
      <c r="F361" s="1350"/>
      <c r="G361" s="1350"/>
      <c r="H361" s="1350"/>
      <c r="I361" s="399" t="str">
        <f t="shared" si="5"/>
        <v/>
      </c>
      <c r="J361" s="261"/>
      <c r="K361" s="1227"/>
      <c r="L361" s="262"/>
      <c r="M361" s="262"/>
      <c r="N361" s="262"/>
    </row>
    <row r="362" spans="1:14" s="263" customFormat="1" hidden="1" outlineLevel="1">
      <c r="A362" s="1225"/>
      <c r="B362" s="260"/>
      <c r="C362" s="457" t="s">
        <v>2</v>
      </c>
      <c r="D362" s="460">
        <v>1</v>
      </c>
      <c r="E362" s="439">
        <v>1</v>
      </c>
      <c r="F362" s="1350">
        <v>4.6100000000000003</v>
      </c>
      <c r="G362" s="1350">
        <v>0.61</v>
      </c>
      <c r="H362" s="1350">
        <v>0.15</v>
      </c>
      <c r="I362" s="399">
        <f t="shared" si="5"/>
        <v>0.42</v>
      </c>
      <c r="J362" s="261"/>
      <c r="K362" s="1227"/>
      <c r="L362" s="262"/>
      <c r="M362" s="262"/>
      <c r="N362" s="262"/>
    </row>
    <row r="363" spans="1:14" s="263" customFormat="1" hidden="1" outlineLevel="1">
      <c r="A363" s="1225"/>
      <c r="B363" s="260"/>
      <c r="C363" s="457"/>
      <c r="D363" s="460"/>
      <c r="E363" s="439"/>
      <c r="F363" s="1350"/>
      <c r="G363" s="1350"/>
      <c r="H363" s="1350"/>
      <c r="I363" s="399" t="str">
        <f t="shared" si="5"/>
        <v/>
      </c>
      <c r="J363" s="261"/>
      <c r="K363" s="1227"/>
      <c r="L363" s="262"/>
      <c r="M363" s="262"/>
      <c r="N363" s="262"/>
    </row>
    <row r="364" spans="1:14" s="263" customFormat="1" hidden="1" outlineLevel="1">
      <c r="A364" s="1225"/>
      <c r="B364" s="260" t="s">
        <v>197</v>
      </c>
      <c r="C364" s="457" t="s">
        <v>2</v>
      </c>
      <c r="D364" s="460">
        <v>1</v>
      </c>
      <c r="E364" s="439">
        <v>1</v>
      </c>
      <c r="F364" s="1350">
        <v>6.02</v>
      </c>
      <c r="G364" s="1350">
        <v>0.61</v>
      </c>
      <c r="H364" s="1350">
        <v>0.15</v>
      </c>
      <c r="I364" s="399">
        <f t="shared" si="5"/>
        <v>0.55000000000000004</v>
      </c>
      <c r="J364" s="261"/>
      <c r="K364" s="1227"/>
      <c r="L364" s="262"/>
      <c r="M364" s="262"/>
      <c r="N364" s="262"/>
    </row>
    <row r="365" spans="1:14" s="263" customFormat="1" hidden="1" outlineLevel="1">
      <c r="A365" s="1225"/>
      <c r="B365" s="260"/>
      <c r="C365" s="457"/>
      <c r="D365" s="460"/>
      <c r="E365" s="439"/>
      <c r="F365" s="1350"/>
      <c r="G365" s="1350"/>
      <c r="H365" s="1350"/>
      <c r="I365" s="399" t="str">
        <f t="shared" si="5"/>
        <v/>
      </c>
      <c r="J365" s="261"/>
      <c r="K365" s="1227"/>
      <c r="L365" s="262"/>
      <c r="M365" s="262"/>
      <c r="N365" s="262"/>
    </row>
    <row r="366" spans="1:14" s="263" customFormat="1" hidden="1" outlineLevel="1">
      <c r="A366" s="1225"/>
      <c r="B366" s="260" t="s">
        <v>198</v>
      </c>
      <c r="C366" s="457" t="s">
        <v>2</v>
      </c>
      <c r="D366" s="460">
        <v>1</v>
      </c>
      <c r="E366" s="439">
        <v>3</v>
      </c>
      <c r="F366" s="1350">
        <v>3.1560000000000001</v>
      </c>
      <c r="G366" s="1350">
        <v>0.61</v>
      </c>
      <c r="H366" s="1350">
        <v>0.15</v>
      </c>
      <c r="I366" s="399">
        <f t="shared" si="5"/>
        <v>0.87</v>
      </c>
      <c r="J366" s="261"/>
      <c r="K366" s="1227"/>
      <c r="L366" s="262"/>
      <c r="M366" s="262"/>
      <c r="N366" s="262"/>
    </row>
    <row r="367" spans="1:14" s="263" customFormat="1" hidden="1" outlineLevel="1">
      <c r="A367" s="1225"/>
      <c r="B367" s="260"/>
      <c r="C367" s="457"/>
      <c r="D367" s="460"/>
      <c r="E367" s="439"/>
      <c r="F367" s="1350"/>
      <c r="G367" s="1350"/>
      <c r="H367" s="1350"/>
      <c r="I367" s="399" t="str">
        <f t="shared" si="5"/>
        <v/>
      </c>
      <c r="J367" s="261"/>
      <c r="K367" s="1227"/>
      <c r="L367" s="262"/>
      <c r="M367" s="262"/>
      <c r="N367" s="262"/>
    </row>
    <row r="368" spans="1:14" s="263" customFormat="1" hidden="1" outlineLevel="1">
      <c r="A368" s="1225"/>
      <c r="B368" s="260"/>
      <c r="C368" s="457" t="s">
        <v>2</v>
      </c>
      <c r="D368" s="460">
        <v>1</v>
      </c>
      <c r="E368" s="439">
        <v>3</v>
      </c>
      <c r="F368" s="1350">
        <v>0.90999999999999992</v>
      </c>
      <c r="G368" s="1350">
        <v>0.61</v>
      </c>
      <c r="H368" s="1350">
        <v>0.15</v>
      </c>
      <c r="I368" s="399">
        <f t="shared" si="5"/>
        <v>0.25</v>
      </c>
      <c r="J368" s="261"/>
      <c r="K368" s="1227"/>
      <c r="L368" s="262"/>
      <c r="M368" s="262"/>
      <c r="N368" s="262"/>
    </row>
    <row r="369" spans="1:14" s="263" customFormat="1" hidden="1" outlineLevel="1">
      <c r="A369" s="1225"/>
      <c r="B369" s="260"/>
      <c r="C369" s="457"/>
      <c r="D369" s="460"/>
      <c r="E369" s="439"/>
      <c r="F369" s="1350"/>
      <c r="G369" s="1350"/>
      <c r="H369" s="1350"/>
      <c r="I369" s="399" t="str">
        <f t="shared" si="5"/>
        <v/>
      </c>
      <c r="J369" s="261"/>
      <c r="K369" s="1227"/>
      <c r="L369" s="262"/>
      <c r="M369" s="262"/>
      <c r="N369" s="262"/>
    </row>
    <row r="370" spans="1:14" s="263" customFormat="1" hidden="1" outlineLevel="1">
      <c r="A370" s="1225"/>
      <c r="B370" s="260"/>
      <c r="C370" s="457" t="s">
        <v>2</v>
      </c>
      <c r="D370" s="460">
        <v>1</v>
      </c>
      <c r="E370" s="439">
        <v>1</v>
      </c>
      <c r="F370" s="1350">
        <v>0.90999999999999992</v>
      </c>
      <c r="G370" s="1350">
        <v>0.61</v>
      </c>
      <c r="H370" s="1350">
        <v>0.15</v>
      </c>
      <c r="I370" s="399">
        <f t="shared" si="5"/>
        <v>0.08</v>
      </c>
      <c r="J370" s="261"/>
      <c r="K370" s="1227"/>
      <c r="L370" s="262"/>
      <c r="M370" s="262"/>
      <c r="N370" s="262"/>
    </row>
    <row r="371" spans="1:14" s="263" customFormat="1" hidden="1" outlineLevel="1">
      <c r="A371" s="1225"/>
      <c r="B371" s="260"/>
      <c r="C371" s="457"/>
      <c r="D371" s="460"/>
      <c r="E371" s="439"/>
      <c r="F371" s="1350"/>
      <c r="G371" s="1350"/>
      <c r="H371" s="1350"/>
      <c r="I371" s="399" t="str">
        <f t="shared" si="5"/>
        <v/>
      </c>
      <c r="J371" s="261"/>
      <c r="K371" s="1227"/>
      <c r="L371" s="262"/>
      <c r="M371" s="262"/>
      <c r="N371" s="262"/>
    </row>
    <row r="372" spans="1:14" s="263" customFormat="1" hidden="1" outlineLevel="1">
      <c r="A372" s="1225"/>
      <c r="B372" s="260"/>
      <c r="C372" s="457" t="s">
        <v>2</v>
      </c>
      <c r="D372" s="460">
        <v>1</v>
      </c>
      <c r="E372" s="439">
        <v>1</v>
      </c>
      <c r="F372" s="1350">
        <v>2.1350000000000002</v>
      </c>
      <c r="G372" s="1350">
        <v>0.61</v>
      </c>
      <c r="H372" s="1350">
        <v>0.15</v>
      </c>
      <c r="I372" s="399">
        <f t="shared" si="5"/>
        <v>0.2</v>
      </c>
      <c r="J372" s="261"/>
      <c r="K372" s="1227"/>
      <c r="L372" s="262"/>
      <c r="M372" s="262"/>
      <c r="N372" s="262"/>
    </row>
    <row r="373" spans="1:14" s="263" customFormat="1" hidden="1" outlineLevel="1">
      <c r="A373" s="1225"/>
      <c r="B373" s="260"/>
      <c r="C373" s="457"/>
      <c r="D373" s="460"/>
      <c r="E373" s="439"/>
      <c r="F373" s="1350"/>
      <c r="G373" s="1350"/>
      <c r="H373" s="1350"/>
      <c r="I373" s="399" t="str">
        <f t="shared" si="5"/>
        <v/>
      </c>
      <c r="J373" s="261"/>
      <c r="K373" s="1227"/>
      <c r="L373" s="262"/>
      <c r="M373" s="262"/>
      <c r="N373" s="262"/>
    </row>
    <row r="374" spans="1:14" s="263" customFormat="1" hidden="1" outlineLevel="1">
      <c r="A374" s="1225"/>
      <c r="B374" s="260"/>
      <c r="C374" s="457" t="s">
        <v>2</v>
      </c>
      <c r="D374" s="460">
        <v>1</v>
      </c>
      <c r="E374" s="439">
        <v>2</v>
      </c>
      <c r="F374" s="1350">
        <v>0.90999999999999992</v>
      </c>
      <c r="G374" s="1350">
        <v>0.61</v>
      </c>
      <c r="H374" s="1350">
        <v>0.15</v>
      </c>
      <c r="I374" s="399">
        <f t="shared" si="5"/>
        <v>0.17</v>
      </c>
      <c r="J374" s="261"/>
      <c r="K374" s="1227"/>
      <c r="L374" s="262"/>
      <c r="M374" s="262"/>
      <c r="N374" s="262"/>
    </row>
    <row r="375" spans="1:14" s="263" customFormat="1" hidden="1" outlineLevel="1">
      <c r="A375" s="1225"/>
      <c r="B375" s="260"/>
      <c r="C375" s="457"/>
      <c r="D375" s="460"/>
      <c r="E375" s="439"/>
      <c r="F375" s="1350"/>
      <c r="G375" s="1350"/>
      <c r="H375" s="1350"/>
      <c r="I375" s="399" t="str">
        <f t="shared" si="5"/>
        <v/>
      </c>
      <c r="J375" s="261"/>
      <c r="K375" s="1227"/>
      <c r="L375" s="262"/>
      <c r="M375" s="262"/>
      <c r="N375" s="262"/>
    </row>
    <row r="376" spans="1:14" s="263" customFormat="1" hidden="1" outlineLevel="1">
      <c r="A376" s="1225"/>
      <c r="B376" s="260"/>
      <c r="C376" s="457" t="s">
        <v>2</v>
      </c>
      <c r="D376" s="460">
        <v>1</v>
      </c>
      <c r="E376" s="439">
        <v>5</v>
      </c>
      <c r="F376" s="1350">
        <v>0.61499999999999999</v>
      </c>
      <c r="G376" s="1350">
        <v>0.61</v>
      </c>
      <c r="H376" s="1350">
        <v>0.15</v>
      </c>
      <c r="I376" s="399">
        <f t="shared" si="5"/>
        <v>0.28000000000000003</v>
      </c>
      <c r="J376" s="261"/>
      <c r="K376" s="1227"/>
      <c r="L376" s="262"/>
      <c r="M376" s="262"/>
      <c r="N376" s="262"/>
    </row>
    <row r="377" spans="1:14" s="263" customFormat="1" hidden="1" outlineLevel="1">
      <c r="A377" s="1225"/>
      <c r="B377" s="260" t="s">
        <v>184</v>
      </c>
      <c r="C377" s="457" t="s">
        <v>2</v>
      </c>
      <c r="D377" s="460">
        <v>1</v>
      </c>
      <c r="E377" s="439">
        <v>4</v>
      </c>
      <c r="F377" s="1350">
        <v>3.15</v>
      </c>
      <c r="G377" s="1350">
        <v>0.22</v>
      </c>
      <c r="H377" s="1350">
        <v>0.15</v>
      </c>
      <c r="I377" s="399">
        <f t="shared" si="5"/>
        <v>0.42</v>
      </c>
      <c r="J377" s="261"/>
      <c r="K377" s="1227"/>
      <c r="L377" s="262"/>
      <c r="M377" s="262"/>
      <c r="N377" s="262"/>
    </row>
    <row r="378" spans="1:14" s="263" customFormat="1" hidden="1" outlineLevel="1">
      <c r="A378" s="1225"/>
      <c r="B378" s="260"/>
      <c r="C378" s="457"/>
      <c r="D378" s="460"/>
      <c r="E378" s="439"/>
      <c r="F378" s="1350"/>
      <c r="G378" s="1350"/>
      <c r="H378" s="1350"/>
      <c r="I378" s="399" t="str">
        <f t="shared" si="5"/>
        <v/>
      </c>
      <c r="J378" s="261"/>
      <c r="K378" s="1227"/>
      <c r="L378" s="262"/>
      <c r="M378" s="262"/>
      <c r="N378" s="262"/>
    </row>
    <row r="379" spans="1:14" s="263" customFormat="1" hidden="1" outlineLevel="1">
      <c r="A379" s="1225"/>
      <c r="B379" s="260" t="s">
        <v>199</v>
      </c>
      <c r="C379" s="457"/>
      <c r="D379" s="460"/>
      <c r="E379" s="439"/>
      <c r="F379" s="1350"/>
      <c r="G379" s="1350"/>
      <c r="H379" s="1350"/>
      <c r="I379" s="399" t="str">
        <f t="shared" si="5"/>
        <v/>
      </c>
      <c r="J379" s="261"/>
      <c r="K379" s="1227"/>
      <c r="L379" s="262"/>
      <c r="M379" s="262"/>
      <c r="N379" s="262"/>
    </row>
    <row r="380" spans="1:14" s="263" customFormat="1" hidden="1" outlineLevel="1">
      <c r="A380" s="1225"/>
      <c r="B380" s="260"/>
      <c r="C380" s="457"/>
      <c r="D380" s="460"/>
      <c r="E380" s="439"/>
      <c r="F380" s="1350"/>
      <c r="G380" s="1350"/>
      <c r="H380" s="1350"/>
      <c r="I380" s="399" t="str">
        <f t="shared" si="5"/>
        <v/>
      </c>
      <c r="J380" s="261"/>
      <c r="K380" s="1227"/>
      <c r="L380" s="262"/>
      <c r="M380" s="262"/>
      <c r="N380" s="262"/>
    </row>
    <row r="381" spans="1:14" s="263" customFormat="1" hidden="1" outlineLevel="1">
      <c r="A381" s="1225"/>
      <c r="B381" s="260" t="s">
        <v>200</v>
      </c>
      <c r="C381" s="457" t="s">
        <v>2</v>
      </c>
      <c r="D381" s="460">
        <v>1</v>
      </c>
      <c r="E381" s="439">
        <v>1</v>
      </c>
      <c r="F381" s="1350">
        <v>3.8200000000000003</v>
      </c>
      <c r="G381" s="1350">
        <v>0.61</v>
      </c>
      <c r="H381" s="1350">
        <v>0.15</v>
      </c>
      <c r="I381" s="399">
        <f t="shared" si="5"/>
        <v>0.35</v>
      </c>
      <c r="J381" s="261"/>
      <c r="K381" s="1227"/>
      <c r="L381" s="262"/>
      <c r="M381" s="262"/>
      <c r="N381" s="262"/>
    </row>
    <row r="382" spans="1:14" s="263" customFormat="1" hidden="1" outlineLevel="1">
      <c r="A382" s="1225"/>
      <c r="B382" s="260"/>
      <c r="C382" s="457"/>
      <c r="D382" s="460"/>
      <c r="E382" s="439"/>
      <c r="F382" s="1350"/>
      <c r="G382" s="1350"/>
      <c r="H382" s="1350"/>
      <c r="I382" s="399" t="str">
        <f t="shared" si="5"/>
        <v/>
      </c>
      <c r="J382" s="261"/>
      <c r="K382" s="1227"/>
      <c r="L382" s="262"/>
      <c r="M382" s="262"/>
      <c r="N382" s="262"/>
    </row>
    <row r="383" spans="1:14" s="263" customFormat="1" hidden="1" outlineLevel="1">
      <c r="A383" s="1225"/>
      <c r="B383" s="260"/>
      <c r="C383" s="457" t="s">
        <v>2</v>
      </c>
      <c r="D383" s="460">
        <v>1</v>
      </c>
      <c r="E383" s="439">
        <v>3</v>
      </c>
      <c r="F383" s="1350">
        <v>1.627</v>
      </c>
      <c r="G383" s="1350">
        <v>0.61</v>
      </c>
      <c r="H383" s="1350">
        <v>0.15</v>
      </c>
      <c r="I383" s="399">
        <f t="shared" si="5"/>
        <v>0.45</v>
      </c>
      <c r="J383" s="261"/>
      <c r="K383" s="1227"/>
      <c r="L383" s="262"/>
      <c r="M383" s="262"/>
      <c r="N383" s="262"/>
    </row>
    <row r="384" spans="1:14" s="263" customFormat="1" hidden="1" outlineLevel="1">
      <c r="A384" s="1225"/>
      <c r="B384" s="260"/>
      <c r="C384" s="457"/>
      <c r="D384" s="460"/>
      <c r="E384" s="439"/>
      <c r="F384" s="1350"/>
      <c r="G384" s="1350"/>
      <c r="H384" s="1350"/>
      <c r="I384" s="399" t="str">
        <f t="shared" si="5"/>
        <v/>
      </c>
      <c r="J384" s="261"/>
      <c r="K384" s="1227"/>
      <c r="L384" s="262"/>
      <c r="M384" s="262"/>
      <c r="N384" s="262"/>
    </row>
    <row r="385" spans="1:14" s="263" customFormat="1" hidden="1" outlineLevel="1">
      <c r="A385" s="1225"/>
      <c r="B385" s="260"/>
      <c r="C385" s="457" t="s">
        <v>2</v>
      </c>
      <c r="D385" s="460">
        <v>1</v>
      </c>
      <c r="E385" s="439">
        <v>1</v>
      </c>
      <c r="F385" s="1350">
        <v>4.42</v>
      </c>
      <c r="G385" s="1350">
        <v>0.61</v>
      </c>
      <c r="H385" s="1350">
        <v>0.15</v>
      </c>
      <c r="I385" s="399">
        <f t="shared" si="5"/>
        <v>0.4</v>
      </c>
      <c r="J385" s="261"/>
      <c r="K385" s="1227"/>
      <c r="L385" s="262"/>
      <c r="M385" s="262"/>
      <c r="N385" s="262"/>
    </row>
    <row r="386" spans="1:14" s="263" customFormat="1" hidden="1" outlineLevel="1">
      <c r="A386" s="1225"/>
      <c r="B386" s="260"/>
      <c r="C386" s="457"/>
      <c r="D386" s="460"/>
      <c r="E386" s="439"/>
      <c r="F386" s="1350"/>
      <c r="G386" s="1350"/>
      <c r="H386" s="1350"/>
      <c r="I386" s="399" t="str">
        <f t="shared" si="5"/>
        <v/>
      </c>
      <c r="J386" s="261"/>
      <c r="K386" s="1227"/>
      <c r="L386" s="262"/>
      <c r="M386" s="262"/>
      <c r="N386" s="262"/>
    </row>
    <row r="387" spans="1:14" s="263" customFormat="1" hidden="1" outlineLevel="1">
      <c r="A387" s="1225"/>
      <c r="B387" s="260"/>
      <c r="C387" s="457" t="s">
        <v>2</v>
      </c>
      <c r="D387" s="460">
        <v>1</v>
      </c>
      <c r="E387" s="439">
        <v>1</v>
      </c>
      <c r="F387" s="1350">
        <v>3.21</v>
      </c>
      <c r="G387" s="1350">
        <v>0.61</v>
      </c>
      <c r="H387" s="1350">
        <v>0.15</v>
      </c>
      <c r="I387" s="399">
        <f t="shared" si="5"/>
        <v>0.28999999999999998</v>
      </c>
      <c r="J387" s="261"/>
      <c r="K387" s="1227"/>
      <c r="L387" s="262"/>
      <c r="M387" s="262"/>
      <c r="N387" s="262"/>
    </row>
    <row r="388" spans="1:14" s="263" customFormat="1" hidden="1" outlineLevel="1">
      <c r="A388" s="1225"/>
      <c r="B388" s="260"/>
      <c r="C388" s="457"/>
      <c r="D388" s="460"/>
      <c r="E388" s="439"/>
      <c r="F388" s="1350"/>
      <c r="G388" s="1350"/>
      <c r="H388" s="1350"/>
      <c r="I388" s="399" t="str">
        <f t="shared" si="5"/>
        <v/>
      </c>
      <c r="J388" s="261"/>
      <c r="K388" s="1227"/>
      <c r="L388" s="262"/>
      <c r="M388" s="262"/>
      <c r="N388" s="262"/>
    </row>
    <row r="389" spans="1:14" s="263" customFormat="1" hidden="1" outlineLevel="1">
      <c r="A389" s="1225"/>
      <c r="B389" s="260"/>
      <c r="C389" s="457" t="s">
        <v>2</v>
      </c>
      <c r="D389" s="460">
        <v>1</v>
      </c>
      <c r="E389" s="439">
        <v>4</v>
      </c>
      <c r="F389" s="1350">
        <v>0.78</v>
      </c>
      <c r="G389" s="1350">
        <v>0.61</v>
      </c>
      <c r="H389" s="1350">
        <v>0.15</v>
      </c>
      <c r="I389" s="399">
        <f t="shared" si="5"/>
        <v>0.28999999999999998</v>
      </c>
      <c r="J389" s="261"/>
      <c r="K389" s="1227"/>
      <c r="L389" s="262"/>
      <c r="M389" s="262"/>
      <c r="N389" s="262"/>
    </row>
    <row r="390" spans="1:14" s="263" customFormat="1" hidden="1" outlineLevel="1">
      <c r="A390" s="1225"/>
      <c r="B390" s="260"/>
      <c r="C390" s="457"/>
      <c r="D390" s="460"/>
      <c r="E390" s="439"/>
      <c r="F390" s="1350"/>
      <c r="G390" s="1350"/>
      <c r="H390" s="1350"/>
      <c r="I390" s="399" t="str">
        <f t="shared" si="5"/>
        <v/>
      </c>
      <c r="J390" s="261"/>
      <c r="K390" s="1227"/>
      <c r="L390" s="262"/>
      <c r="M390" s="262"/>
      <c r="N390" s="262"/>
    </row>
    <row r="391" spans="1:14" s="263" customFormat="1" hidden="1" outlineLevel="1">
      <c r="A391" s="1225"/>
      <c r="B391" s="260" t="s">
        <v>201</v>
      </c>
      <c r="C391" s="457"/>
      <c r="D391" s="460"/>
      <c r="E391" s="439"/>
      <c r="F391" s="1350"/>
      <c r="G391" s="1350"/>
      <c r="H391" s="1350"/>
      <c r="I391" s="399" t="str">
        <f t="shared" si="5"/>
        <v/>
      </c>
      <c r="J391" s="261"/>
      <c r="K391" s="1227"/>
      <c r="L391" s="262"/>
      <c r="M391" s="262"/>
      <c r="N391" s="262"/>
    </row>
    <row r="392" spans="1:14" s="263" customFormat="1" hidden="1" outlineLevel="1">
      <c r="A392" s="1225"/>
      <c r="B392" s="260" t="s">
        <v>202</v>
      </c>
      <c r="C392" s="457" t="s">
        <v>2</v>
      </c>
      <c r="D392" s="460">
        <v>1</v>
      </c>
      <c r="E392" s="439">
        <v>1</v>
      </c>
      <c r="F392" s="1350">
        <v>4.4249999999999998</v>
      </c>
      <c r="G392" s="1350">
        <v>0.61</v>
      </c>
      <c r="H392" s="1350">
        <v>0.15</v>
      </c>
      <c r="I392" s="399">
        <f t="shared" ref="I392:I455" si="6">IF(D392&lt;&gt;0,ROUND(PRODUCT(E392:H392)*D392,2),"")</f>
        <v>0.4</v>
      </c>
      <c r="J392" s="261"/>
      <c r="K392" s="1227"/>
      <c r="L392" s="262"/>
      <c r="M392" s="262"/>
      <c r="N392" s="262"/>
    </row>
    <row r="393" spans="1:14" s="263" customFormat="1" hidden="1" outlineLevel="1">
      <c r="A393" s="1225"/>
      <c r="B393" s="260"/>
      <c r="C393" s="457"/>
      <c r="D393" s="460"/>
      <c r="E393" s="439"/>
      <c r="F393" s="1350"/>
      <c r="G393" s="1350"/>
      <c r="H393" s="1350"/>
      <c r="I393" s="399" t="str">
        <f t="shared" si="6"/>
        <v/>
      </c>
      <c r="J393" s="261"/>
      <c r="K393" s="1227"/>
      <c r="L393" s="262"/>
      <c r="M393" s="262"/>
      <c r="N393" s="262"/>
    </row>
    <row r="394" spans="1:14" s="263" customFormat="1" hidden="1" outlineLevel="1">
      <c r="A394" s="1225"/>
      <c r="B394" s="260"/>
      <c r="C394" s="457" t="s">
        <v>2</v>
      </c>
      <c r="D394" s="460">
        <v>1</v>
      </c>
      <c r="E394" s="439">
        <v>2</v>
      </c>
      <c r="F394" s="1350">
        <v>1.4950000000000001</v>
      </c>
      <c r="G394" s="1350">
        <v>0.61</v>
      </c>
      <c r="H394" s="1350">
        <v>0.15</v>
      </c>
      <c r="I394" s="399">
        <f t="shared" si="6"/>
        <v>0.27</v>
      </c>
      <c r="J394" s="261"/>
      <c r="K394" s="1227"/>
      <c r="L394" s="262"/>
      <c r="M394" s="262"/>
      <c r="N394" s="262"/>
    </row>
    <row r="395" spans="1:14" s="263" customFormat="1" hidden="1" outlineLevel="1">
      <c r="A395" s="1225"/>
      <c r="B395" s="260"/>
      <c r="C395" s="457"/>
      <c r="D395" s="460"/>
      <c r="E395" s="439"/>
      <c r="F395" s="1350"/>
      <c r="G395" s="1350"/>
      <c r="H395" s="1350"/>
      <c r="I395" s="399" t="str">
        <f t="shared" si="6"/>
        <v/>
      </c>
      <c r="J395" s="261"/>
      <c r="K395" s="1227"/>
      <c r="L395" s="262"/>
      <c r="M395" s="262"/>
      <c r="N395" s="262"/>
    </row>
    <row r="396" spans="1:14" s="263" customFormat="1" hidden="1" outlineLevel="1">
      <c r="A396" s="1225"/>
      <c r="B396" s="260" t="s">
        <v>203</v>
      </c>
      <c r="C396" s="457" t="s">
        <v>2</v>
      </c>
      <c r="D396" s="460">
        <v>1</v>
      </c>
      <c r="E396" s="439">
        <v>3</v>
      </c>
      <c r="F396" s="1350">
        <v>3.21</v>
      </c>
      <c r="G396" s="1350">
        <v>0.61</v>
      </c>
      <c r="H396" s="1350">
        <v>0.15</v>
      </c>
      <c r="I396" s="399">
        <f t="shared" si="6"/>
        <v>0.88</v>
      </c>
      <c r="J396" s="261"/>
      <c r="K396" s="1227"/>
      <c r="L396" s="262"/>
      <c r="M396" s="262"/>
      <c r="N396" s="262"/>
    </row>
    <row r="397" spans="1:14" s="263" customFormat="1" hidden="1" outlineLevel="1">
      <c r="A397" s="1225"/>
      <c r="B397" s="260"/>
      <c r="C397" s="457"/>
      <c r="D397" s="460"/>
      <c r="E397" s="439"/>
      <c r="F397" s="1350"/>
      <c r="G397" s="1350"/>
      <c r="H397" s="1350"/>
      <c r="I397" s="399" t="str">
        <f t="shared" si="6"/>
        <v/>
      </c>
      <c r="J397" s="261"/>
      <c r="K397" s="1227"/>
      <c r="L397" s="262"/>
      <c r="M397" s="262"/>
      <c r="N397" s="262"/>
    </row>
    <row r="398" spans="1:14" s="263" customFormat="1" hidden="1" outlineLevel="1">
      <c r="A398" s="1225"/>
      <c r="B398" s="260"/>
      <c r="C398" s="457" t="s">
        <v>2</v>
      </c>
      <c r="D398" s="460">
        <v>1</v>
      </c>
      <c r="E398" s="439">
        <v>2</v>
      </c>
      <c r="F398" s="1350">
        <v>2</v>
      </c>
      <c r="G398" s="1350">
        <v>0.61</v>
      </c>
      <c r="H398" s="1350">
        <v>0.15</v>
      </c>
      <c r="I398" s="399">
        <f t="shared" si="6"/>
        <v>0.37</v>
      </c>
      <c r="J398" s="261"/>
      <c r="K398" s="1227"/>
      <c r="L398" s="262"/>
      <c r="M398" s="262"/>
      <c r="N398" s="262"/>
    </row>
    <row r="399" spans="1:14" s="263" customFormat="1" hidden="1" outlineLevel="1">
      <c r="A399" s="1225"/>
      <c r="B399" s="260"/>
      <c r="C399" s="457"/>
      <c r="D399" s="460"/>
      <c r="E399" s="439"/>
      <c r="F399" s="1350"/>
      <c r="G399" s="1350"/>
      <c r="H399" s="1350"/>
      <c r="I399" s="399" t="str">
        <f t="shared" si="6"/>
        <v/>
      </c>
      <c r="J399" s="261"/>
      <c r="K399" s="1227"/>
      <c r="L399" s="262"/>
      <c r="M399" s="262"/>
      <c r="N399" s="262"/>
    </row>
    <row r="400" spans="1:14" s="263" customFormat="1" hidden="1" outlineLevel="1">
      <c r="A400" s="1225"/>
      <c r="B400" s="260"/>
      <c r="C400" s="457" t="s">
        <v>2</v>
      </c>
      <c r="D400" s="460">
        <v>1</v>
      </c>
      <c r="E400" s="439">
        <v>1</v>
      </c>
      <c r="F400" s="1350">
        <v>2.61</v>
      </c>
      <c r="G400" s="1350">
        <v>0.61</v>
      </c>
      <c r="H400" s="1350">
        <v>0.15</v>
      </c>
      <c r="I400" s="399">
        <f t="shared" si="6"/>
        <v>0.24</v>
      </c>
      <c r="J400" s="261"/>
      <c r="K400" s="1227"/>
      <c r="L400" s="262"/>
      <c r="M400" s="262"/>
      <c r="N400" s="262"/>
    </row>
    <row r="401" spans="1:14" s="263" customFormat="1" hidden="1" outlineLevel="1">
      <c r="A401" s="1225"/>
      <c r="B401" s="260"/>
      <c r="C401" s="457"/>
      <c r="D401" s="460"/>
      <c r="E401" s="439"/>
      <c r="F401" s="1350"/>
      <c r="G401" s="1350"/>
      <c r="H401" s="1350"/>
      <c r="I401" s="399" t="str">
        <f t="shared" si="6"/>
        <v/>
      </c>
      <c r="J401" s="261"/>
      <c r="K401" s="1227"/>
      <c r="L401" s="262"/>
      <c r="M401" s="262"/>
      <c r="N401" s="262"/>
    </row>
    <row r="402" spans="1:14" s="263" customFormat="1" hidden="1" outlineLevel="1">
      <c r="A402" s="1225"/>
      <c r="B402" s="260" t="s">
        <v>204</v>
      </c>
      <c r="C402" s="457"/>
      <c r="D402" s="460"/>
      <c r="E402" s="439"/>
      <c r="F402" s="1350"/>
      <c r="G402" s="1350"/>
      <c r="H402" s="1350"/>
      <c r="I402" s="399" t="str">
        <f t="shared" si="6"/>
        <v/>
      </c>
      <c r="J402" s="261"/>
      <c r="K402" s="1227"/>
      <c r="L402" s="262"/>
      <c r="M402" s="262"/>
      <c r="N402" s="262"/>
    </row>
    <row r="403" spans="1:14" s="263" customFormat="1" hidden="1" outlineLevel="1">
      <c r="A403" s="1225"/>
      <c r="B403" s="260" t="s">
        <v>205</v>
      </c>
      <c r="C403" s="457" t="s">
        <v>2</v>
      </c>
      <c r="D403" s="460">
        <v>1</v>
      </c>
      <c r="E403" s="439">
        <v>1</v>
      </c>
      <c r="F403" s="1350">
        <v>9.1549999999999994</v>
      </c>
      <c r="G403" s="1350">
        <v>0.61</v>
      </c>
      <c r="H403" s="1350">
        <v>0.15</v>
      </c>
      <c r="I403" s="399">
        <f t="shared" si="6"/>
        <v>0.84</v>
      </c>
      <c r="J403" s="261"/>
      <c r="K403" s="1227"/>
      <c r="L403" s="262"/>
      <c r="M403" s="262"/>
      <c r="N403" s="262"/>
    </row>
    <row r="404" spans="1:14" s="263" customFormat="1" hidden="1" outlineLevel="1">
      <c r="A404" s="1225"/>
      <c r="B404" s="260"/>
      <c r="C404" s="457"/>
      <c r="D404" s="460"/>
      <c r="E404" s="439"/>
      <c r="F404" s="1350"/>
      <c r="G404" s="1350"/>
      <c r="H404" s="1350"/>
      <c r="I404" s="399" t="str">
        <f t="shared" si="6"/>
        <v/>
      </c>
      <c r="J404" s="261"/>
      <c r="K404" s="1227"/>
      <c r="L404" s="262"/>
      <c r="M404" s="262"/>
      <c r="N404" s="262"/>
    </row>
    <row r="405" spans="1:14" s="263" customFormat="1" hidden="1" outlineLevel="1">
      <c r="A405" s="1225"/>
      <c r="B405" s="260"/>
      <c r="C405" s="457" t="s">
        <v>2</v>
      </c>
      <c r="D405" s="460">
        <v>1</v>
      </c>
      <c r="E405" s="439">
        <v>2</v>
      </c>
      <c r="F405" s="1350">
        <v>6.4049999999999994</v>
      </c>
      <c r="G405" s="1350">
        <v>0.61</v>
      </c>
      <c r="H405" s="1350">
        <v>0.15</v>
      </c>
      <c r="I405" s="399">
        <f t="shared" si="6"/>
        <v>1.17</v>
      </c>
      <c r="J405" s="261"/>
      <c r="K405" s="1227"/>
      <c r="L405" s="262"/>
      <c r="M405" s="262"/>
      <c r="N405" s="262"/>
    </row>
    <row r="406" spans="1:14" s="263" customFormat="1" hidden="1" outlineLevel="1">
      <c r="A406" s="1225"/>
      <c r="B406" s="260" t="s">
        <v>206</v>
      </c>
      <c r="C406" s="457" t="s">
        <v>2</v>
      </c>
      <c r="D406" s="460">
        <v>1</v>
      </c>
      <c r="E406" s="439">
        <v>4</v>
      </c>
      <c r="F406" s="1350">
        <v>3.15</v>
      </c>
      <c r="G406" s="1350">
        <v>0.22</v>
      </c>
      <c r="H406" s="1350">
        <v>0.15</v>
      </c>
      <c r="I406" s="399">
        <f t="shared" si="6"/>
        <v>0.42</v>
      </c>
      <c r="J406" s="261"/>
      <c r="K406" s="1227"/>
      <c r="L406" s="262"/>
      <c r="M406" s="262"/>
      <c r="N406" s="262"/>
    </row>
    <row r="407" spans="1:14" s="263" customFormat="1" hidden="1" outlineLevel="1">
      <c r="A407" s="1225"/>
      <c r="B407" s="260"/>
      <c r="C407" s="457"/>
      <c r="D407" s="460"/>
      <c r="E407" s="439"/>
      <c r="F407" s="1350"/>
      <c r="G407" s="1350"/>
      <c r="H407" s="1350"/>
      <c r="I407" s="399" t="str">
        <f t="shared" si="6"/>
        <v/>
      </c>
      <c r="J407" s="261"/>
      <c r="K407" s="1227"/>
      <c r="L407" s="262"/>
      <c r="M407" s="262"/>
      <c r="N407" s="262"/>
    </row>
    <row r="408" spans="1:14" s="263" customFormat="1" hidden="1" outlineLevel="1">
      <c r="A408" s="1225"/>
      <c r="B408" s="260"/>
      <c r="C408" s="457" t="s">
        <v>2</v>
      </c>
      <c r="D408" s="460">
        <v>1</v>
      </c>
      <c r="E408" s="439">
        <v>1</v>
      </c>
      <c r="F408" s="1350">
        <v>4.88</v>
      </c>
      <c r="G408" s="1350">
        <v>0.61</v>
      </c>
      <c r="H408" s="1350">
        <v>0.15</v>
      </c>
      <c r="I408" s="399">
        <f t="shared" si="6"/>
        <v>0.45</v>
      </c>
      <c r="J408" s="261"/>
      <c r="K408" s="1227"/>
      <c r="L408" s="262"/>
      <c r="M408" s="262"/>
      <c r="N408" s="262"/>
    </row>
    <row r="409" spans="1:14" s="263" customFormat="1" hidden="1" outlineLevel="1">
      <c r="A409" s="1225"/>
      <c r="B409" s="260"/>
      <c r="C409" s="457"/>
      <c r="D409" s="460"/>
      <c r="E409" s="439"/>
      <c r="F409" s="1350"/>
      <c r="G409" s="1350"/>
      <c r="H409" s="1350"/>
      <c r="I409" s="399" t="str">
        <f t="shared" si="6"/>
        <v/>
      </c>
      <c r="J409" s="261"/>
      <c r="K409" s="1227"/>
      <c r="L409" s="262"/>
      <c r="M409" s="262"/>
      <c r="N409" s="262"/>
    </row>
    <row r="410" spans="1:14" s="263" customFormat="1" hidden="1" outlineLevel="1">
      <c r="A410" s="1225"/>
      <c r="B410" s="260"/>
      <c r="C410" s="457" t="s">
        <v>2</v>
      </c>
      <c r="D410" s="460">
        <v>1</v>
      </c>
      <c r="E410" s="439">
        <v>1</v>
      </c>
      <c r="F410" s="1350">
        <v>0.78</v>
      </c>
      <c r="G410" s="1350">
        <v>0.61</v>
      </c>
      <c r="H410" s="1350">
        <v>0.15</v>
      </c>
      <c r="I410" s="399">
        <f t="shared" si="6"/>
        <v>7.0000000000000007E-2</v>
      </c>
      <c r="J410" s="261"/>
      <c r="K410" s="1227"/>
      <c r="L410" s="262"/>
      <c r="M410" s="262"/>
      <c r="N410" s="262"/>
    </row>
    <row r="411" spans="1:14" s="263" customFormat="1" hidden="1" outlineLevel="1">
      <c r="A411" s="1225"/>
      <c r="B411" s="260"/>
      <c r="C411" s="457"/>
      <c r="D411" s="460"/>
      <c r="E411" s="439"/>
      <c r="F411" s="1350"/>
      <c r="G411" s="1350"/>
      <c r="H411" s="1350"/>
      <c r="I411" s="399" t="str">
        <f t="shared" si="6"/>
        <v/>
      </c>
      <c r="J411" s="261"/>
      <c r="K411" s="1227"/>
      <c r="L411" s="262"/>
      <c r="M411" s="262"/>
      <c r="N411" s="262"/>
    </row>
    <row r="412" spans="1:14" s="263" customFormat="1" hidden="1" outlineLevel="1">
      <c r="A412" s="1225"/>
      <c r="B412" s="260" t="s">
        <v>207</v>
      </c>
      <c r="C412" s="457" t="s">
        <v>2</v>
      </c>
      <c r="D412" s="460">
        <v>1</v>
      </c>
      <c r="E412" s="439">
        <v>1</v>
      </c>
      <c r="F412" s="1350">
        <v>1.83</v>
      </c>
      <c r="G412" s="1350">
        <v>0.61</v>
      </c>
      <c r="H412" s="1350">
        <v>0.15</v>
      </c>
      <c r="I412" s="399">
        <f t="shared" si="6"/>
        <v>0.17</v>
      </c>
      <c r="J412" s="261"/>
      <c r="K412" s="1227"/>
      <c r="L412" s="262"/>
      <c r="M412" s="262"/>
      <c r="N412" s="262"/>
    </row>
    <row r="413" spans="1:14" s="263" customFormat="1" hidden="1" outlineLevel="1">
      <c r="A413" s="1225"/>
      <c r="B413" s="260"/>
      <c r="C413" s="457"/>
      <c r="D413" s="460"/>
      <c r="E413" s="439"/>
      <c r="F413" s="1350"/>
      <c r="G413" s="1350"/>
      <c r="H413" s="1350"/>
      <c r="I413" s="399" t="str">
        <f t="shared" si="6"/>
        <v/>
      </c>
      <c r="J413" s="261"/>
      <c r="K413" s="1227"/>
      <c r="L413" s="262"/>
      <c r="M413" s="262"/>
      <c r="N413" s="262"/>
    </row>
    <row r="414" spans="1:14" s="263" customFormat="1" hidden="1" outlineLevel="1">
      <c r="A414" s="1225"/>
      <c r="B414" s="260"/>
      <c r="C414" s="457" t="s">
        <v>2</v>
      </c>
      <c r="D414" s="460">
        <v>1</v>
      </c>
      <c r="E414" s="439">
        <v>1</v>
      </c>
      <c r="F414" s="1350">
        <v>0.61</v>
      </c>
      <c r="G414" s="1350">
        <v>0.61</v>
      </c>
      <c r="H414" s="1350">
        <v>0.15</v>
      </c>
      <c r="I414" s="399">
        <f t="shared" si="6"/>
        <v>0.06</v>
      </c>
      <c r="J414" s="261"/>
      <c r="K414" s="1227"/>
      <c r="L414" s="262"/>
      <c r="M414" s="262"/>
      <c r="N414" s="262"/>
    </row>
    <row r="415" spans="1:14" s="263" customFormat="1" hidden="1" outlineLevel="1">
      <c r="A415" s="1225"/>
      <c r="B415" s="260"/>
      <c r="C415" s="457"/>
      <c r="D415" s="460"/>
      <c r="E415" s="439"/>
      <c r="F415" s="1350"/>
      <c r="G415" s="1350"/>
      <c r="H415" s="1350"/>
      <c r="I415" s="399" t="str">
        <f t="shared" si="6"/>
        <v/>
      </c>
      <c r="J415" s="261"/>
      <c r="K415" s="1227"/>
      <c r="L415" s="262"/>
      <c r="M415" s="262"/>
      <c r="N415" s="262"/>
    </row>
    <row r="416" spans="1:14" s="263" customFormat="1" hidden="1" outlineLevel="1">
      <c r="A416" s="1225"/>
      <c r="B416" s="260"/>
      <c r="C416" s="457" t="s">
        <v>2</v>
      </c>
      <c r="D416" s="460">
        <v>1</v>
      </c>
      <c r="E416" s="439">
        <v>1</v>
      </c>
      <c r="F416" s="1350">
        <v>3.3649999999999998</v>
      </c>
      <c r="G416" s="1350">
        <v>0.61</v>
      </c>
      <c r="H416" s="1350">
        <v>0.15</v>
      </c>
      <c r="I416" s="399">
        <f t="shared" si="6"/>
        <v>0.31</v>
      </c>
      <c r="J416" s="261"/>
      <c r="K416" s="1227"/>
      <c r="L416" s="262"/>
      <c r="M416" s="262"/>
      <c r="N416" s="262"/>
    </row>
    <row r="417" spans="1:14" s="263" customFormat="1" hidden="1" outlineLevel="1">
      <c r="A417" s="1225"/>
      <c r="B417" s="260"/>
      <c r="C417" s="457"/>
      <c r="D417" s="460"/>
      <c r="E417" s="439"/>
      <c r="F417" s="1350"/>
      <c r="G417" s="1350"/>
      <c r="H417" s="1350"/>
      <c r="I417" s="399" t="str">
        <f t="shared" si="6"/>
        <v/>
      </c>
      <c r="J417" s="261"/>
      <c r="K417" s="1227"/>
      <c r="L417" s="262"/>
      <c r="M417" s="262"/>
      <c r="N417" s="262"/>
    </row>
    <row r="418" spans="1:14" s="263" customFormat="1" hidden="1" outlineLevel="1">
      <c r="A418" s="1225"/>
      <c r="B418" s="260"/>
      <c r="C418" s="457" t="s">
        <v>2</v>
      </c>
      <c r="D418" s="460">
        <v>1</v>
      </c>
      <c r="E418" s="439">
        <v>2</v>
      </c>
      <c r="F418" s="1350">
        <v>3.355</v>
      </c>
      <c r="G418" s="1350">
        <v>0.61</v>
      </c>
      <c r="H418" s="1350">
        <v>0.15</v>
      </c>
      <c r="I418" s="399">
        <f t="shared" si="6"/>
        <v>0.61</v>
      </c>
      <c r="J418" s="261"/>
      <c r="K418" s="1227"/>
      <c r="L418" s="262"/>
      <c r="M418" s="262"/>
      <c r="N418" s="262"/>
    </row>
    <row r="419" spans="1:14" s="263" customFormat="1" hidden="1" outlineLevel="1">
      <c r="A419" s="1225"/>
      <c r="B419" s="260"/>
      <c r="C419" s="457"/>
      <c r="D419" s="460"/>
      <c r="E419" s="439"/>
      <c r="F419" s="1350"/>
      <c r="G419" s="1350"/>
      <c r="H419" s="1350"/>
      <c r="I419" s="399" t="str">
        <f t="shared" si="6"/>
        <v/>
      </c>
      <c r="J419" s="261"/>
      <c r="K419" s="1227"/>
      <c r="L419" s="262"/>
      <c r="M419" s="262"/>
      <c r="N419" s="262"/>
    </row>
    <row r="420" spans="1:14" s="263" customFormat="1" hidden="1" outlineLevel="1">
      <c r="A420" s="1225"/>
      <c r="B420" s="260"/>
      <c r="C420" s="457" t="s">
        <v>2</v>
      </c>
      <c r="D420" s="460">
        <v>1</v>
      </c>
      <c r="E420" s="439">
        <v>1</v>
      </c>
      <c r="F420" s="1350">
        <v>3.05</v>
      </c>
      <c r="G420" s="1350">
        <v>0.61</v>
      </c>
      <c r="H420" s="1350">
        <v>0.15</v>
      </c>
      <c r="I420" s="399">
        <f t="shared" si="6"/>
        <v>0.28000000000000003</v>
      </c>
      <c r="J420" s="261"/>
      <c r="K420" s="1227"/>
      <c r="L420" s="262"/>
      <c r="M420" s="262"/>
      <c r="N420" s="262"/>
    </row>
    <row r="421" spans="1:14" s="263" customFormat="1" hidden="1" outlineLevel="1">
      <c r="A421" s="1225"/>
      <c r="B421" s="260"/>
      <c r="C421" s="457"/>
      <c r="D421" s="460"/>
      <c r="E421" s="439"/>
      <c r="F421" s="1350"/>
      <c r="G421" s="1350"/>
      <c r="H421" s="1350"/>
      <c r="I421" s="399" t="str">
        <f t="shared" si="6"/>
        <v/>
      </c>
      <c r="J421" s="261"/>
      <c r="K421" s="1227"/>
      <c r="L421" s="262"/>
      <c r="M421" s="262"/>
      <c r="N421" s="262"/>
    </row>
    <row r="422" spans="1:14" s="263" customFormat="1" hidden="1" outlineLevel="1">
      <c r="A422" s="1225"/>
      <c r="B422" s="260"/>
      <c r="C422" s="457" t="s">
        <v>2</v>
      </c>
      <c r="D422" s="460">
        <v>1</v>
      </c>
      <c r="E422" s="439">
        <v>1</v>
      </c>
      <c r="F422" s="1350">
        <v>0.30500000000000005</v>
      </c>
      <c r="G422" s="1350">
        <v>0.61</v>
      </c>
      <c r="H422" s="1350">
        <v>0.15</v>
      </c>
      <c r="I422" s="399">
        <f t="shared" si="6"/>
        <v>0.03</v>
      </c>
      <c r="J422" s="261"/>
      <c r="K422" s="1227"/>
      <c r="L422" s="262"/>
      <c r="M422" s="262"/>
      <c r="N422" s="262"/>
    </row>
    <row r="423" spans="1:14" s="263" customFormat="1" hidden="1" outlineLevel="1">
      <c r="A423" s="1225"/>
      <c r="B423" s="260"/>
      <c r="C423" s="457"/>
      <c r="D423" s="460"/>
      <c r="E423" s="439"/>
      <c r="F423" s="1350"/>
      <c r="G423" s="1350"/>
      <c r="H423" s="1350"/>
      <c r="I423" s="399" t="str">
        <f t="shared" si="6"/>
        <v/>
      </c>
      <c r="J423" s="261"/>
      <c r="K423" s="1227"/>
      <c r="L423" s="262"/>
      <c r="M423" s="262"/>
      <c r="N423" s="262"/>
    </row>
    <row r="424" spans="1:14" s="263" customFormat="1" hidden="1" outlineLevel="1">
      <c r="A424" s="1225"/>
      <c r="B424" s="260"/>
      <c r="C424" s="457" t="s">
        <v>2</v>
      </c>
      <c r="D424" s="460">
        <v>1</v>
      </c>
      <c r="E424" s="439">
        <v>1</v>
      </c>
      <c r="F424" s="1350">
        <v>0.91499999999999992</v>
      </c>
      <c r="G424" s="1350">
        <v>0.61</v>
      </c>
      <c r="H424" s="1350">
        <v>0.15</v>
      </c>
      <c r="I424" s="399">
        <f t="shared" si="6"/>
        <v>0.08</v>
      </c>
      <c r="J424" s="261"/>
      <c r="K424" s="1227"/>
      <c r="L424" s="262"/>
      <c r="M424" s="262"/>
      <c r="N424" s="262"/>
    </row>
    <row r="425" spans="1:14" s="263" customFormat="1" hidden="1" outlineLevel="1">
      <c r="A425" s="1225"/>
      <c r="B425" s="260"/>
      <c r="C425" s="457"/>
      <c r="D425" s="460"/>
      <c r="E425" s="439"/>
      <c r="F425" s="1350"/>
      <c r="G425" s="1350"/>
      <c r="H425" s="1350"/>
      <c r="I425" s="399" t="str">
        <f t="shared" si="6"/>
        <v/>
      </c>
      <c r="J425" s="261"/>
      <c r="K425" s="1227"/>
      <c r="L425" s="262"/>
      <c r="M425" s="262"/>
      <c r="N425" s="262"/>
    </row>
    <row r="426" spans="1:14" s="263" customFormat="1" hidden="1" outlineLevel="1">
      <c r="A426" s="1225"/>
      <c r="B426" s="260"/>
      <c r="C426" s="457" t="s">
        <v>2</v>
      </c>
      <c r="D426" s="460">
        <v>1</v>
      </c>
      <c r="E426" s="439">
        <v>1</v>
      </c>
      <c r="F426" s="1350">
        <v>2.11</v>
      </c>
      <c r="G426" s="1350">
        <v>0.61</v>
      </c>
      <c r="H426" s="1350">
        <v>0.15</v>
      </c>
      <c r="I426" s="399">
        <f t="shared" si="6"/>
        <v>0.19</v>
      </c>
      <c r="J426" s="261"/>
      <c r="K426" s="1227"/>
      <c r="L426" s="262"/>
      <c r="M426" s="262"/>
      <c r="N426" s="262"/>
    </row>
    <row r="427" spans="1:14" s="263" customFormat="1" hidden="1" outlineLevel="1">
      <c r="A427" s="1225"/>
      <c r="B427" s="260"/>
      <c r="C427" s="457"/>
      <c r="D427" s="460"/>
      <c r="E427" s="439"/>
      <c r="F427" s="1350"/>
      <c r="G427" s="1350"/>
      <c r="H427" s="1350"/>
      <c r="I427" s="399" t="str">
        <f t="shared" si="6"/>
        <v/>
      </c>
      <c r="J427" s="261"/>
      <c r="K427" s="1227"/>
      <c r="L427" s="262"/>
      <c r="M427" s="262"/>
      <c r="N427" s="262"/>
    </row>
    <row r="428" spans="1:14" s="263" customFormat="1" hidden="1" outlineLevel="1">
      <c r="A428" s="1225"/>
      <c r="B428" s="260" t="s">
        <v>208</v>
      </c>
      <c r="C428" s="457"/>
      <c r="D428" s="460"/>
      <c r="E428" s="439"/>
      <c r="F428" s="1350"/>
      <c r="G428" s="1350"/>
      <c r="H428" s="1350"/>
      <c r="I428" s="399" t="str">
        <f t="shared" si="6"/>
        <v/>
      </c>
      <c r="J428" s="261"/>
      <c r="K428" s="1227"/>
      <c r="L428" s="262"/>
      <c r="M428" s="262"/>
      <c r="N428" s="262"/>
    </row>
    <row r="429" spans="1:14" s="263" customFormat="1" hidden="1" outlineLevel="1">
      <c r="A429" s="1225"/>
      <c r="B429" s="260"/>
      <c r="C429" s="457"/>
      <c r="D429" s="460"/>
      <c r="E429" s="439"/>
      <c r="F429" s="1350"/>
      <c r="G429" s="1350"/>
      <c r="H429" s="1350"/>
      <c r="I429" s="399" t="str">
        <f t="shared" si="6"/>
        <v/>
      </c>
      <c r="J429" s="261"/>
      <c r="K429" s="1227"/>
      <c r="L429" s="262"/>
      <c r="M429" s="262"/>
      <c r="N429" s="262"/>
    </row>
    <row r="430" spans="1:14" s="263" customFormat="1" hidden="1" outlineLevel="1">
      <c r="A430" s="1225"/>
      <c r="B430" s="260" t="s">
        <v>209</v>
      </c>
      <c r="C430" s="457" t="s">
        <v>2</v>
      </c>
      <c r="D430" s="460">
        <v>1</v>
      </c>
      <c r="E430" s="439">
        <v>2</v>
      </c>
      <c r="F430" s="1350">
        <v>30.47</v>
      </c>
      <c r="G430" s="1350">
        <v>0.61</v>
      </c>
      <c r="H430" s="1350">
        <v>0.15</v>
      </c>
      <c r="I430" s="399">
        <f t="shared" si="6"/>
        <v>5.58</v>
      </c>
      <c r="J430" s="261"/>
      <c r="K430" s="1227"/>
      <c r="L430" s="262"/>
      <c r="M430" s="262"/>
      <c r="N430" s="262"/>
    </row>
    <row r="431" spans="1:14" s="263" customFormat="1" hidden="1" outlineLevel="1">
      <c r="A431" s="1225"/>
      <c r="B431" s="260"/>
      <c r="C431" s="457"/>
      <c r="D431" s="460"/>
      <c r="E431" s="439"/>
      <c r="F431" s="1350"/>
      <c r="G431" s="1350"/>
      <c r="H431" s="1350"/>
      <c r="I431" s="399" t="str">
        <f t="shared" si="6"/>
        <v/>
      </c>
      <c r="J431" s="261"/>
      <c r="K431" s="1227"/>
      <c r="L431" s="262"/>
      <c r="M431" s="262"/>
      <c r="N431" s="262"/>
    </row>
    <row r="432" spans="1:14" s="263" customFormat="1" hidden="1" outlineLevel="1">
      <c r="A432" s="1225"/>
      <c r="B432" s="260"/>
      <c r="C432" s="457" t="s">
        <v>2</v>
      </c>
      <c r="D432" s="460">
        <v>1</v>
      </c>
      <c r="E432" s="439">
        <v>2</v>
      </c>
      <c r="F432" s="1350">
        <v>0.6</v>
      </c>
      <c r="G432" s="1350">
        <v>0.61</v>
      </c>
      <c r="H432" s="1350">
        <v>0.15</v>
      </c>
      <c r="I432" s="399">
        <f t="shared" si="6"/>
        <v>0.11</v>
      </c>
      <c r="J432" s="261"/>
      <c r="K432" s="1227"/>
      <c r="L432" s="262"/>
      <c r="M432" s="262"/>
      <c r="N432" s="262"/>
    </row>
    <row r="433" spans="1:14" s="263" customFormat="1" hidden="1" outlineLevel="1">
      <c r="A433" s="1225"/>
      <c r="B433" s="260"/>
      <c r="C433" s="457"/>
      <c r="D433" s="460"/>
      <c r="E433" s="439"/>
      <c r="F433" s="1350"/>
      <c r="G433" s="1350"/>
      <c r="H433" s="1350"/>
      <c r="I433" s="399" t="str">
        <f t="shared" si="6"/>
        <v/>
      </c>
      <c r="J433" s="261"/>
      <c r="K433" s="1227"/>
      <c r="L433" s="262"/>
      <c r="M433" s="262"/>
      <c r="N433" s="262"/>
    </row>
    <row r="434" spans="1:14" s="263" customFormat="1" hidden="1" outlineLevel="1">
      <c r="A434" s="1225"/>
      <c r="B434" s="260" t="s">
        <v>210</v>
      </c>
      <c r="C434" s="457" t="s">
        <v>2</v>
      </c>
      <c r="D434" s="460">
        <v>1</v>
      </c>
      <c r="E434" s="439">
        <v>2</v>
      </c>
      <c r="F434" s="1350">
        <v>6.2450000000000001</v>
      </c>
      <c r="G434" s="1350">
        <v>0.61</v>
      </c>
      <c r="H434" s="1350">
        <v>0.15</v>
      </c>
      <c r="I434" s="399">
        <f t="shared" si="6"/>
        <v>1.1399999999999999</v>
      </c>
      <c r="J434" s="261"/>
      <c r="K434" s="1227"/>
      <c r="L434" s="262"/>
      <c r="M434" s="262"/>
      <c r="N434" s="262"/>
    </row>
    <row r="435" spans="1:14" s="263" customFormat="1" hidden="1" outlineLevel="1">
      <c r="A435" s="1225"/>
      <c r="B435" s="260"/>
      <c r="C435" s="457"/>
      <c r="D435" s="460"/>
      <c r="E435" s="439"/>
      <c r="F435" s="1350"/>
      <c r="G435" s="1350"/>
      <c r="H435" s="1350"/>
      <c r="I435" s="399" t="str">
        <f t="shared" si="6"/>
        <v/>
      </c>
      <c r="J435" s="261"/>
      <c r="K435" s="1227"/>
      <c r="L435" s="262"/>
      <c r="M435" s="262"/>
      <c r="N435" s="262"/>
    </row>
    <row r="436" spans="1:14" s="263" customFormat="1" hidden="1" outlineLevel="1">
      <c r="A436" s="1225"/>
      <c r="B436" s="260"/>
      <c r="C436" s="457" t="s">
        <v>2</v>
      </c>
      <c r="D436" s="460">
        <v>1</v>
      </c>
      <c r="E436" s="439">
        <v>2</v>
      </c>
      <c r="F436" s="1350">
        <v>1.1950000000000001</v>
      </c>
      <c r="G436" s="1350">
        <v>0.61</v>
      </c>
      <c r="H436" s="1350">
        <v>0.15</v>
      </c>
      <c r="I436" s="399">
        <f t="shared" si="6"/>
        <v>0.22</v>
      </c>
      <c r="J436" s="261"/>
      <c r="K436" s="1227"/>
      <c r="L436" s="262"/>
      <c r="M436" s="262"/>
      <c r="N436" s="262"/>
    </row>
    <row r="437" spans="1:14" s="263" customFormat="1" hidden="1" outlineLevel="1">
      <c r="A437" s="1225"/>
      <c r="B437" s="260"/>
      <c r="C437" s="457"/>
      <c r="D437" s="460"/>
      <c r="E437" s="439"/>
      <c r="F437" s="1350"/>
      <c r="G437" s="1350"/>
      <c r="H437" s="1350"/>
      <c r="I437" s="399" t="str">
        <f t="shared" si="6"/>
        <v/>
      </c>
      <c r="J437" s="261"/>
      <c r="K437" s="1227"/>
      <c r="L437" s="262"/>
      <c r="M437" s="262"/>
      <c r="N437" s="262"/>
    </row>
    <row r="438" spans="1:14" s="263" customFormat="1" hidden="1" outlineLevel="1">
      <c r="A438" s="1225"/>
      <c r="B438" s="260" t="s">
        <v>211</v>
      </c>
      <c r="C438" s="457" t="s">
        <v>2</v>
      </c>
      <c r="D438" s="460">
        <v>1</v>
      </c>
      <c r="E438" s="439">
        <v>2</v>
      </c>
      <c r="F438" s="1350">
        <v>7.0699999999999994</v>
      </c>
      <c r="G438" s="1350">
        <v>0.61</v>
      </c>
      <c r="H438" s="1350">
        <v>0.15</v>
      </c>
      <c r="I438" s="399">
        <f t="shared" si="6"/>
        <v>1.29</v>
      </c>
      <c r="J438" s="261"/>
      <c r="K438" s="1227"/>
      <c r="L438" s="262"/>
      <c r="M438" s="262"/>
      <c r="N438" s="262"/>
    </row>
    <row r="439" spans="1:14" s="263" customFormat="1" hidden="1" outlineLevel="1">
      <c r="A439" s="1225"/>
      <c r="B439" s="260"/>
      <c r="C439" s="457"/>
      <c r="D439" s="460"/>
      <c r="E439" s="439"/>
      <c r="F439" s="1350"/>
      <c r="G439" s="1350"/>
      <c r="H439" s="1350"/>
      <c r="I439" s="399" t="str">
        <f t="shared" si="6"/>
        <v/>
      </c>
      <c r="J439" s="261"/>
      <c r="K439" s="1227"/>
      <c r="L439" s="262"/>
      <c r="M439" s="262"/>
      <c r="N439" s="262"/>
    </row>
    <row r="440" spans="1:14" s="263" customFormat="1" hidden="1" outlineLevel="1">
      <c r="A440" s="1225"/>
      <c r="B440" s="260"/>
      <c r="C440" s="457" t="s">
        <v>2</v>
      </c>
      <c r="D440" s="460">
        <v>1</v>
      </c>
      <c r="E440" s="439">
        <v>2</v>
      </c>
      <c r="F440" s="1350">
        <v>1.1950000000000001</v>
      </c>
      <c r="G440" s="1350">
        <v>0.61</v>
      </c>
      <c r="H440" s="1350">
        <v>0.15</v>
      </c>
      <c r="I440" s="399">
        <f t="shared" si="6"/>
        <v>0.22</v>
      </c>
      <c r="J440" s="261"/>
      <c r="K440" s="1227"/>
      <c r="L440" s="262"/>
      <c r="M440" s="262"/>
      <c r="N440" s="262"/>
    </row>
    <row r="441" spans="1:14" s="263" customFormat="1" hidden="1" outlineLevel="1">
      <c r="A441" s="1225"/>
      <c r="B441" s="260"/>
      <c r="C441" s="457"/>
      <c r="D441" s="460"/>
      <c r="E441" s="439"/>
      <c r="F441" s="1350"/>
      <c r="G441" s="1350"/>
      <c r="H441" s="1350"/>
      <c r="I441" s="399" t="str">
        <f t="shared" si="6"/>
        <v/>
      </c>
      <c r="J441" s="261"/>
      <c r="K441" s="1227"/>
      <c r="L441" s="262"/>
      <c r="M441" s="262"/>
      <c r="N441" s="262"/>
    </row>
    <row r="442" spans="1:14" s="263" customFormat="1" hidden="1" outlineLevel="1">
      <c r="A442" s="1225"/>
      <c r="B442" s="260" t="s">
        <v>199</v>
      </c>
      <c r="C442" s="457"/>
      <c r="D442" s="460"/>
      <c r="E442" s="439"/>
      <c r="F442" s="1350"/>
      <c r="G442" s="1350"/>
      <c r="H442" s="1350"/>
      <c r="I442" s="399" t="str">
        <f t="shared" si="6"/>
        <v/>
      </c>
      <c r="J442" s="261"/>
      <c r="K442" s="1227"/>
      <c r="L442" s="262"/>
      <c r="M442" s="262"/>
      <c r="N442" s="262"/>
    </row>
    <row r="443" spans="1:14" s="263" customFormat="1" hidden="1" outlineLevel="1">
      <c r="A443" s="1225"/>
      <c r="B443" s="260"/>
      <c r="C443" s="457"/>
      <c r="D443" s="460"/>
      <c r="E443" s="439"/>
      <c r="F443" s="1350"/>
      <c r="G443" s="1350"/>
      <c r="H443" s="1350"/>
      <c r="I443" s="399" t="str">
        <f t="shared" si="6"/>
        <v/>
      </c>
      <c r="J443" s="261"/>
      <c r="K443" s="1227"/>
      <c r="L443" s="262"/>
      <c r="M443" s="262"/>
      <c r="N443" s="262"/>
    </row>
    <row r="444" spans="1:14" s="263" customFormat="1" hidden="1" outlineLevel="1">
      <c r="A444" s="1225"/>
      <c r="B444" s="260" t="s">
        <v>212</v>
      </c>
      <c r="C444" s="457" t="s">
        <v>2</v>
      </c>
      <c r="D444" s="460">
        <v>1</v>
      </c>
      <c r="E444" s="439">
        <v>1</v>
      </c>
      <c r="F444" s="1350">
        <v>5.42</v>
      </c>
      <c r="G444" s="1350">
        <v>0.61</v>
      </c>
      <c r="H444" s="1350">
        <v>0.15</v>
      </c>
      <c r="I444" s="399">
        <f t="shared" si="6"/>
        <v>0.5</v>
      </c>
      <c r="J444" s="261"/>
      <c r="K444" s="1227"/>
      <c r="L444" s="262"/>
      <c r="M444" s="262"/>
      <c r="N444" s="262"/>
    </row>
    <row r="445" spans="1:14" s="263" customFormat="1" hidden="1" outlineLevel="1">
      <c r="A445" s="1225"/>
      <c r="B445" s="260"/>
      <c r="C445" s="457"/>
      <c r="D445" s="460"/>
      <c r="E445" s="439"/>
      <c r="F445" s="1350"/>
      <c r="G445" s="1350"/>
      <c r="H445" s="1350"/>
      <c r="I445" s="399" t="str">
        <f t="shared" si="6"/>
        <v/>
      </c>
      <c r="J445" s="261"/>
      <c r="K445" s="1227"/>
      <c r="L445" s="262"/>
      <c r="M445" s="262"/>
      <c r="N445" s="262"/>
    </row>
    <row r="446" spans="1:14" s="263" customFormat="1" hidden="1" outlineLevel="1">
      <c r="A446" s="1225"/>
      <c r="B446" s="260"/>
      <c r="C446" s="457" t="s">
        <v>2</v>
      </c>
      <c r="D446" s="460">
        <v>1</v>
      </c>
      <c r="E446" s="439">
        <v>1</v>
      </c>
      <c r="F446" s="1350">
        <v>2.81</v>
      </c>
      <c r="G446" s="1350">
        <v>0.61</v>
      </c>
      <c r="H446" s="1350">
        <v>0.15</v>
      </c>
      <c r="I446" s="399">
        <f t="shared" si="6"/>
        <v>0.26</v>
      </c>
      <c r="J446" s="261"/>
      <c r="K446" s="1227"/>
      <c r="L446" s="262"/>
      <c r="M446" s="262"/>
      <c r="N446" s="262"/>
    </row>
    <row r="447" spans="1:14" s="263" customFormat="1" hidden="1" outlineLevel="1">
      <c r="A447" s="1225"/>
      <c r="B447" s="260"/>
      <c r="C447" s="457"/>
      <c r="D447" s="460"/>
      <c r="E447" s="439"/>
      <c r="F447" s="1350"/>
      <c r="G447" s="1350"/>
      <c r="H447" s="1350"/>
      <c r="I447" s="399" t="str">
        <f t="shared" si="6"/>
        <v/>
      </c>
      <c r="J447" s="261"/>
      <c r="K447" s="1227"/>
      <c r="L447" s="262"/>
      <c r="M447" s="262"/>
      <c r="N447" s="262"/>
    </row>
    <row r="448" spans="1:14" s="263" customFormat="1" hidden="1" outlineLevel="1">
      <c r="A448" s="1225"/>
      <c r="B448" s="260"/>
      <c r="C448" s="457" t="s">
        <v>2</v>
      </c>
      <c r="D448" s="460">
        <v>1</v>
      </c>
      <c r="E448" s="439">
        <v>1</v>
      </c>
      <c r="F448" s="1350">
        <v>4.01</v>
      </c>
      <c r="G448" s="1350">
        <v>0.61</v>
      </c>
      <c r="H448" s="1350">
        <v>0.15</v>
      </c>
      <c r="I448" s="399">
        <f t="shared" si="6"/>
        <v>0.37</v>
      </c>
      <c r="J448" s="261"/>
      <c r="K448" s="1227"/>
      <c r="L448" s="262"/>
      <c r="M448" s="262"/>
      <c r="N448" s="262"/>
    </row>
    <row r="449" spans="1:14" s="263" customFormat="1" hidden="1" outlineLevel="1">
      <c r="A449" s="1225"/>
      <c r="B449" s="260"/>
      <c r="C449" s="457"/>
      <c r="D449" s="460"/>
      <c r="E449" s="439"/>
      <c r="F449" s="1350"/>
      <c r="G449" s="1350"/>
      <c r="H449" s="1350"/>
      <c r="I449" s="399" t="str">
        <f t="shared" si="6"/>
        <v/>
      </c>
      <c r="J449" s="261"/>
      <c r="K449" s="1227"/>
      <c r="L449" s="262"/>
      <c r="M449" s="262"/>
      <c r="N449" s="262"/>
    </row>
    <row r="450" spans="1:14" s="263" customFormat="1" hidden="1" outlineLevel="1">
      <c r="A450" s="1225"/>
      <c r="B450" s="260"/>
      <c r="C450" s="457" t="s">
        <v>2</v>
      </c>
      <c r="D450" s="460">
        <v>1</v>
      </c>
      <c r="E450" s="439">
        <v>1</v>
      </c>
      <c r="F450" s="1350">
        <v>1.27</v>
      </c>
      <c r="G450" s="1350">
        <v>0.61</v>
      </c>
      <c r="H450" s="1350">
        <v>0.15</v>
      </c>
      <c r="I450" s="399">
        <f t="shared" si="6"/>
        <v>0.12</v>
      </c>
      <c r="J450" s="261"/>
      <c r="K450" s="1227"/>
      <c r="L450" s="262"/>
      <c r="M450" s="262"/>
      <c r="N450" s="262"/>
    </row>
    <row r="451" spans="1:14" s="263" customFormat="1" hidden="1" outlineLevel="1">
      <c r="A451" s="1225"/>
      <c r="B451" s="260"/>
      <c r="C451" s="457"/>
      <c r="D451" s="460"/>
      <c r="E451" s="439"/>
      <c r="F451" s="1350"/>
      <c r="G451" s="1350"/>
      <c r="H451" s="1350"/>
      <c r="I451" s="399" t="str">
        <f t="shared" si="6"/>
        <v/>
      </c>
      <c r="J451" s="261"/>
      <c r="K451" s="1227"/>
      <c r="L451" s="262"/>
      <c r="M451" s="262"/>
      <c r="N451" s="262"/>
    </row>
    <row r="452" spans="1:14" s="263" customFormat="1" hidden="1" outlineLevel="1">
      <c r="A452" s="1225"/>
      <c r="B452" s="260"/>
      <c r="C452" s="457" t="s">
        <v>2</v>
      </c>
      <c r="D452" s="460">
        <v>1</v>
      </c>
      <c r="E452" s="439">
        <v>2</v>
      </c>
      <c r="F452" s="1350">
        <v>4.6700000000000008</v>
      </c>
      <c r="G452" s="1350">
        <v>0.61</v>
      </c>
      <c r="H452" s="1350">
        <v>0.15</v>
      </c>
      <c r="I452" s="399">
        <f t="shared" si="6"/>
        <v>0.85</v>
      </c>
      <c r="J452" s="261"/>
      <c r="K452" s="1227"/>
      <c r="L452" s="262"/>
      <c r="M452" s="262"/>
      <c r="N452" s="262"/>
    </row>
    <row r="453" spans="1:14" s="263" customFormat="1" hidden="1" outlineLevel="1">
      <c r="A453" s="1225"/>
      <c r="B453" s="260"/>
      <c r="C453" s="457"/>
      <c r="D453" s="460"/>
      <c r="E453" s="439"/>
      <c r="F453" s="1350"/>
      <c r="G453" s="1350"/>
      <c r="H453" s="1350"/>
      <c r="I453" s="399" t="str">
        <f t="shared" si="6"/>
        <v/>
      </c>
      <c r="J453" s="261"/>
      <c r="K453" s="1227"/>
      <c r="L453" s="262"/>
      <c r="M453" s="262"/>
      <c r="N453" s="262"/>
    </row>
    <row r="454" spans="1:14" s="263" customFormat="1" hidden="1" outlineLevel="1">
      <c r="A454" s="1225"/>
      <c r="B454" s="260"/>
      <c r="C454" s="457" t="s">
        <v>2</v>
      </c>
      <c r="D454" s="460">
        <v>1</v>
      </c>
      <c r="E454" s="439">
        <v>1</v>
      </c>
      <c r="F454" s="1350">
        <v>0.99</v>
      </c>
      <c r="G454" s="1350">
        <v>0.61</v>
      </c>
      <c r="H454" s="1350">
        <v>0.15</v>
      </c>
      <c r="I454" s="399">
        <f t="shared" si="6"/>
        <v>0.09</v>
      </c>
      <c r="J454" s="261"/>
      <c r="K454" s="1227"/>
      <c r="L454" s="262"/>
      <c r="M454" s="262"/>
      <c r="N454" s="262"/>
    </row>
    <row r="455" spans="1:14" s="263" customFormat="1" hidden="1" outlineLevel="1">
      <c r="A455" s="1225"/>
      <c r="B455" s="260"/>
      <c r="C455" s="457"/>
      <c r="D455" s="460"/>
      <c r="E455" s="439"/>
      <c r="F455" s="1350"/>
      <c r="G455" s="1350"/>
      <c r="H455" s="1350"/>
      <c r="I455" s="399" t="str">
        <f t="shared" si="6"/>
        <v/>
      </c>
      <c r="J455" s="261"/>
      <c r="K455" s="1227"/>
      <c r="L455" s="262"/>
      <c r="M455" s="262"/>
      <c r="N455" s="262"/>
    </row>
    <row r="456" spans="1:14" s="263" customFormat="1" hidden="1" outlineLevel="1">
      <c r="A456" s="1225"/>
      <c r="B456" s="260"/>
      <c r="C456" s="457" t="s">
        <v>2</v>
      </c>
      <c r="D456" s="460">
        <v>1</v>
      </c>
      <c r="E456" s="439">
        <v>1</v>
      </c>
      <c r="F456" s="1350">
        <v>4.29</v>
      </c>
      <c r="G456" s="1350">
        <v>0.61</v>
      </c>
      <c r="H456" s="1350">
        <v>0.15</v>
      </c>
      <c r="I456" s="399">
        <f t="shared" ref="I456:I519" si="7">IF(D456&lt;&gt;0,ROUND(PRODUCT(E456:H456)*D456,2),"")</f>
        <v>0.39</v>
      </c>
      <c r="J456" s="261"/>
      <c r="K456" s="1227"/>
      <c r="L456" s="262"/>
      <c r="M456" s="262"/>
      <c r="N456" s="262"/>
    </row>
    <row r="457" spans="1:14" s="263" customFormat="1" hidden="1" outlineLevel="1">
      <c r="A457" s="1225"/>
      <c r="B457" s="260"/>
      <c r="C457" s="457"/>
      <c r="D457" s="460"/>
      <c r="E457" s="439"/>
      <c r="F457" s="1350"/>
      <c r="G457" s="1350"/>
      <c r="H457" s="1350"/>
      <c r="I457" s="399" t="str">
        <f t="shared" si="7"/>
        <v/>
      </c>
      <c r="J457" s="261"/>
      <c r="K457" s="1227"/>
      <c r="L457" s="262"/>
      <c r="M457" s="262"/>
      <c r="N457" s="262"/>
    </row>
    <row r="458" spans="1:14" s="263" customFormat="1" hidden="1" outlineLevel="1">
      <c r="A458" s="1225"/>
      <c r="B458" s="260" t="s">
        <v>213</v>
      </c>
      <c r="C458" s="457" t="s">
        <v>2</v>
      </c>
      <c r="D458" s="460">
        <v>1</v>
      </c>
      <c r="E458" s="439">
        <v>1</v>
      </c>
      <c r="F458" s="1350">
        <v>1.8900000000000001</v>
      </c>
      <c r="G458" s="1350">
        <v>0.61</v>
      </c>
      <c r="H458" s="1350">
        <v>0.15</v>
      </c>
      <c r="I458" s="399">
        <f t="shared" si="7"/>
        <v>0.17</v>
      </c>
      <c r="J458" s="261"/>
      <c r="K458" s="1227"/>
      <c r="L458" s="262"/>
      <c r="M458" s="262"/>
      <c r="N458" s="262"/>
    </row>
    <row r="459" spans="1:14" s="263" customFormat="1" hidden="1" outlineLevel="1">
      <c r="A459" s="1225"/>
      <c r="B459" s="260"/>
      <c r="C459" s="457"/>
      <c r="D459" s="460"/>
      <c r="E459" s="439"/>
      <c r="F459" s="1350"/>
      <c r="G459" s="1350"/>
      <c r="H459" s="1350"/>
      <c r="I459" s="399" t="str">
        <f t="shared" si="7"/>
        <v/>
      </c>
      <c r="J459" s="261"/>
      <c r="K459" s="1227"/>
      <c r="L459" s="262"/>
      <c r="M459" s="262"/>
      <c r="N459" s="262"/>
    </row>
    <row r="460" spans="1:14" s="263" customFormat="1" hidden="1" outlineLevel="1">
      <c r="A460" s="1225"/>
      <c r="B460" s="260"/>
      <c r="C460" s="457" t="s">
        <v>2</v>
      </c>
      <c r="D460" s="460">
        <v>1</v>
      </c>
      <c r="E460" s="439">
        <v>1</v>
      </c>
      <c r="F460" s="1350">
        <v>3.69</v>
      </c>
      <c r="G460" s="1350">
        <v>0.61</v>
      </c>
      <c r="H460" s="1350">
        <v>0.15</v>
      </c>
      <c r="I460" s="399">
        <f t="shared" si="7"/>
        <v>0.34</v>
      </c>
      <c r="J460" s="261"/>
      <c r="K460" s="1227"/>
      <c r="L460" s="262"/>
      <c r="M460" s="262"/>
      <c r="N460" s="262"/>
    </row>
    <row r="461" spans="1:14" s="263" customFormat="1" hidden="1" outlineLevel="1">
      <c r="A461" s="1225"/>
      <c r="B461" s="260"/>
      <c r="C461" s="457"/>
      <c r="D461" s="460"/>
      <c r="E461" s="439"/>
      <c r="F461" s="1350"/>
      <c r="G461" s="1350"/>
      <c r="H461" s="1350"/>
      <c r="I461" s="399" t="str">
        <f t="shared" si="7"/>
        <v/>
      </c>
      <c r="J461" s="261"/>
      <c r="K461" s="1227"/>
      <c r="L461" s="262"/>
      <c r="M461" s="262"/>
      <c r="N461" s="262"/>
    </row>
    <row r="462" spans="1:14" s="263" customFormat="1" hidden="1" outlineLevel="1">
      <c r="A462" s="1225"/>
      <c r="B462" s="260"/>
      <c r="C462" s="457" t="s">
        <v>2</v>
      </c>
      <c r="D462" s="460">
        <v>1</v>
      </c>
      <c r="E462" s="439">
        <v>1</v>
      </c>
      <c r="F462" s="1350">
        <v>4.8900000000000006</v>
      </c>
      <c r="G462" s="1350">
        <v>0.61</v>
      </c>
      <c r="H462" s="1350">
        <v>0.15</v>
      </c>
      <c r="I462" s="399">
        <f t="shared" si="7"/>
        <v>0.45</v>
      </c>
      <c r="J462" s="261"/>
      <c r="K462" s="1227"/>
      <c r="L462" s="262"/>
      <c r="M462" s="262"/>
      <c r="N462" s="262"/>
    </row>
    <row r="463" spans="1:14" s="263" customFormat="1" hidden="1" outlineLevel="1">
      <c r="A463" s="1225"/>
      <c r="B463" s="260"/>
      <c r="C463" s="457"/>
      <c r="D463" s="460"/>
      <c r="E463" s="439"/>
      <c r="F463" s="1350"/>
      <c r="G463" s="1350"/>
      <c r="H463" s="1350"/>
      <c r="I463" s="399" t="str">
        <f t="shared" si="7"/>
        <v/>
      </c>
      <c r="J463" s="261"/>
      <c r="K463" s="1227"/>
      <c r="L463" s="262"/>
      <c r="M463" s="262"/>
      <c r="N463" s="262"/>
    </row>
    <row r="464" spans="1:14" s="263" customFormat="1" hidden="1" outlineLevel="1">
      <c r="A464" s="1225"/>
      <c r="B464" s="260" t="s">
        <v>214</v>
      </c>
      <c r="C464" s="457" t="s">
        <v>2</v>
      </c>
      <c r="D464" s="460">
        <v>1</v>
      </c>
      <c r="E464" s="439">
        <v>1</v>
      </c>
      <c r="F464" s="1350">
        <v>6.1700000000000008</v>
      </c>
      <c r="G464" s="1350">
        <v>0.61</v>
      </c>
      <c r="H464" s="1350">
        <v>0.15</v>
      </c>
      <c r="I464" s="399">
        <f t="shared" si="7"/>
        <v>0.56000000000000005</v>
      </c>
      <c r="J464" s="261"/>
      <c r="K464" s="1227"/>
      <c r="L464" s="262"/>
      <c r="M464" s="262"/>
      <c r="N464" s="262"/>
    </row>
    <row r="465" spans="1:14" s="263" customFormat="1" hidden="1" outlineLevel="1">
      <c r="A465" s="1225"/>
      <c r="B465" s="260"/>
      <c r="C465" s="457"/>
      <c r="D465" s="460"/>
      <c r="E465" s="439"/>
      <c r="F465" s="1350"/>
      <c r="G465" s="1350"/>
      <c r="H465" s="1350"/>
      <c r="I465" s="399" t="str">
        <f t="shared" si="7"/>
        <v/>
      </c>
      <c r="J465" s="261"/>
      <c r="K465" s="1227"/>
      <c r="L465" s="262"/>
      <c r="M465" s="262"/>
      <c r="N465" s="262"/>
    </row>
    <row r="466" spans="1:14" s="263" customFormat="1" hidden="1" outlineLevel="1">
      <c r="A466" s="1225"/>
      <c r="B466" s="260"/>
      <c r="C466" s="457" t="s">
        <v>2</v>
      </c>
      <c r="D466" s="460">
        <v>1</v>
      </c>
      <c r="E466" s="439">
        <v>1</v>
      </c>
      <c r="F466" s="1350">
        <v>1.21</v>
      </c>
      <c r="G466" s="1350">
        <v>0.61</v>
      </c>
      <c r="H466" s="1350">
        <v>0.15</v>
      </c>
      <c r="I466" s="399">
        <f t="shared" si="7"/>
        <v>0.11</v>
      </c>
      <c r="J466" s="261"/>
      <c r="K466" s="1227"/>
      <c r="L466" s="262"/>
      <c r="M466" s="262"/>
      <c r="N466" s="262"/>
    </row>
    <row r="467" spans="1:14" s="263" customFormat="1" hidden="1" outlineLevel="1">
      <c r="A467" s="1225"/>
      <c r="B467" s="260"/>
      <c r="C467" s="457"/>
      <c r="D467" s="460"/>
      <c r="E467" s="439"/>
      <c r="F467" s="1350"/>
      <c r="G467" s="1350"/>
      <c r="H467" s="1350"/>
      <c r="I467" s="399" t="str">
        <f t="shared" si="7"/>
        <v/>
      </c>
      <c r="J467" s="261"/>
      <c r="K467" s="1227"/>
      <c r="L467" s="262"/>
      <c r="M467" s="262"/>
      <c r="N467" s="262"/>
    </row>
    <row r="468" spans="1:14" s="263" customFormat="1" hidden="1" outlineLevel="1">
      <c r="A468" s="1225"/>
      <c r="B468" s="260"/>
      <c r="C468" s="457" t="s">
        <v>2</v>
      </c>
      <c r="D468" s="460">
        <v>1</v>
      </c>
      <c r="E468" s="439">
        <v>2</v>
      </c>
      <c r="F468" s="1350">
        <v>6.7700000000000005</v>
      </c>
      <c r="G468" s="1350">
        <v>0.61</v>
      </c>
      <c r="H468" s="1350">
        <v>0.15</v>
      </c>
      <c r="I468" s="399">
        <f t="shared" si="7"/>
        <v>1.24</v>
      </c>
      <c r="J468" s="261"/>
      <c r="K468" s="1227"/>
      <c r="L468" s="262"/>
      <c r="M468" s="262"/>
      <c r="N468" s="262"/>
    </row>
    <row r="469" spans="1:14" s="263" customFormat="1" hidden="1" outlineLevel="1">
      <c r="A469" s="1225"/>
      <c r="B469" s="260"/>
      <c r="C469" s="457"/>
      <c r="D469" s="460"/>
      <c r="E469" s="439"/>
      <c r="F469" s="1350"/>
      <c r="G469" s="1350"/>
      <c r="H469" s="1350"/>
      <c r="I469" s="399" t="str">
        <f t="shared" si="7"/>
        <v/>
      </c>
      <c r="J469" s="261"/>
      <c r="K469" s="1227"/>
      <c r="L469" s="262"/>
      <c r="M469" s="262"/>
      <c r="N469" s="262"/>
    </row>
    <row r="470" spans="1:14" s="263" customFormat="1" hidden="1" outlineLevel="1">
      <c r="A470" s="1225"/>
      <c r="B470" s="260"/>
      <c r="C470" s="457" t="s">
        <v>2</v>
      </c>
      <c r="D470" s="460">
        <v>1</v>
      </c>
      <c r="E470" s="439">
        <v>1</v>
      </c>
      <c r="F470" s="1350">
        <v>1.81</v>
      </c>
      <c r="G470" s="1350">
        <v>0.61</v>
      </c>
      <c r="H470" s="1350">
        <v>0.15</v>
      </c>
      <c r="I470" s="399">
        <f t="shared" si="7"/>
        <v>0.17</v>
      </c>
      <c r="J470" s="261"/>
      <c r="K470" s="1227"/>
      <c r="L470" s="262"/>
      <c r="M470" s="262"/>
      <c r="N470" s="262"/>
    </row>
    <row r="471" spans="1:14" s="263" customFormat="1" hidden="1" outlineLevel="1">
      <c r="A471" s="1225"/>
      <c r="B471" s="260"/>
      <c r="C471" s="457"/>
      <c r="D471" s="460"/>
      <c r="E471" s="439"/>
      <c r="F471" s="1350"/>
      <c r="G471" s="1350"/>
      <c r="H471" s="1350"/>
      <c r="I471" s="399" t="str">
        <f t="shared" si="7"/>
        <v/>
      </c>
      <c r="J471" s="261"/>
      <c r="K471" s="1227"/>
      <c r="L471" s="262"/>
      <c r="M471" s="262"/>
      <c r="N471" s="262"/>
    </row>
    <row r="472" spans="1:14" s="263" customFormat="1" hidden="1" outlineLevel="1">
      <c r="A472" s="1225"/>
      <c r="B472" s="260"/>
      <c r="C472" s="457" t="s">
        <v>2</v>
      </c>
      <c r="D472" s="460">
        <v>1</v>
      </c>
      <c r="E472" s="439">
        <v>1</v>
      </c>
      <c r="F472" s="1350">
        <v>10.58</v>
      </c>
      <c r="G472" s="1350">
        <v>0.61</v>
      </c>
      <c r="H472" s="1350">
        <v>0.15</v>
      </c>
      <c r="I472" s="399">
        <f t="shared" si="7"/>
        <v>0.97</v>
      </c>
      <c r="J472" s="261"/>
      <c r="K472" s="1227"/>
      <c r="L472" s="262"/>
      <c r="M472" s="262"/>
      <c r="N472" s="262"/>
    </row>
    <row r="473" spans="1:14" s="263" customFormat="1" hidden="1" outlineLevel="1">
      <c r="A473" s="1225"/>
      <c r="B473" s="260" t="s">
        <v>184</v>
      </c>
      <c r="C473" s="457" t="s">
        <v>2</v>
      </c>
      <c r="D473" s="460">
        <v>1</v>
      </c>
      <c r="E473" s="439">
        <v>5</v>
      </c>
      <c r="F473" s="1350">
        <v>3.05</v>
      </c>
      <c r="G473" s="1350">
        <v>0.22</v>
      </c>
      <c r="H473" s="1350">
        <v>0.15</v>
      </c>
      <c r="I473" s="399">
        <f t="shared" si="7"/>
        <v>0.5</v>
      </c>
      <c r="J473" s="261"/>
      <c r="K473" s="1227"/>
      <c r="L473" s="262"/>
      <c r="M473" s="262"/>
      <c r="N473" s="262"/>
    </row>
    <row r="474" spans="1:14" s="263" customFormat="1" hidden="1" outlineLevel="1">
      <c r="A474" s="1225"/>
      <c r="B474" s="260"/>
      <c r="C474" s="457"/>
      <c r="D474" s="460"/>
      <c r="E474" s="439"/>
      <c r="F474" s="1350"/>
      <c r="G474" s="1350"/>
      <c r="H474" s="1350"/>
      <c r="I474" s="399" t="str">
        <f t="shared" si="7"/>
        <v/>
      </c>
      <c r="J474" s="261"/>
      <c r="K474" s="1227"/>
      <c r="L474" s="262"/>
      <c r="M474" s="262"/>
      <c r="N474" s="262"/>
    </row>
    <row r="475" spans="1:14" s="263" customFormat="1" hidden="1" outlineLevel="1">
      <c r="A475" s="1225"/>
      <c r="B475" s="260" t="s">
        <v>215</v>
      </c>
      <c r="C475" s="457"/>
      <c r="D475" s="460"/>
      <c r="E475" s="439"/>
      <c r="F475" s="1350"/>
      <c r="G475" s="1350"/>
      <c r="H475" s="1350"/>
      <c r="I475" s="399" t="str">
        <f t="shared" si="7"/>
        <v/>
      </c>
      <c r="J475" s="261"/>
      <c r="K475" s="1227"/>
      <c r="L475" s="262"/>
      <c r="M475" s="262"/>
      <c r="N475" s="262"/>
    </row>
    <row r="476" spans="1:14" s="263" customFormat="1" hidden="1" outlineLevel="1">
      <c r="A476" s="1225"/>
      <c r="B476" s="260"/>
      <c r="C476" s="457" t="s">
        <v>2</v>
      </c>
      <c r="D476" s="460">
        <v>1</v>
      </c>
      <c r="E476" s="439">
        <v>7</v>
      </c>
      <c r="F476" s="1350">
        <v>0.61499999999999999</v>
      </c>
      <c r="G476" s="1350">
        <v>0.61</v>
      </c>
      <c r="H476" s="1350">
        <v>0.15</v>
      </c>
      <c r="I476" s="399">
        <f t="shared" si="7"/>
        <v>0.39</v>
      </c>
      <c r="J476" s="261"/>
      <c r="K476" s="1227"/>
      <c r="L476" s="262"/>
      <c r="M476" s="262"/>
      <c r="N476" s="262"/>
    </row>
    <row r="477" spans="1:14" s="263" customFormat="1" hidden="1" outlineLevel="1">
      <c r="A477" s="1225"/>
      <c r="B477" s="260"/>
      <c r="C477" s="457"/>
      <c r="D477" s="460"/>
      <c r="E477" s="439"/>
      <c r="F477" s="1350"/>
      <c r="G477" s="1350"/>
      <c r="H477" s="1350"/>
      <c r="I477" s="399" t="str">
        <f t="shared" si="7"/>
        <v/>
      </c>
      <c r="J477" s="261"/>
      <c r="K477" s="1227"/>
      <c r="L477" s="262"/>
      <c r="M477" s="262"/>
      <c r="N477" s="262"/>
    </row>
    <row r="478" spans="1:14" s="263" customFormat="1" hidden="1" outlineLevel="1">
      <c r="A478" s="1225"/>
      <c r="B478" s="260"/>
      <c r="C478" s="457" t="s">
        <v>2</v>
      </c>
      <c r="D478" s="460">
        <v>1</v>
      </c>
      <c r="E478" s="439">
        <v>1</v>
      </c>
      <c r="F478" s="1350">
        <v>1.5249999999999999</v>
      </c>
      <c r="G478" s="1350">
        <v>0.61</v>
      </c>
      <c r="H478" s="1350">
        <v>0.15</v>
      </c>
      <c r="I478" s="399">
        <f t="shared" si="7"/>
        <v>0.14000000000000001</v>
      </c>
      <c r="J478" s="261"/>
      <c r="K478" s="1227"/>
      <c r="L478" s="262"/>
      <c r="M478" s="262"/>
      <c r="N478" s="262"/>
    </row>
    <row r="479" spans="1:14" s="263" customFormat="1" hidden="1" outlineLevel="1">
      <c r="A479" s="1225"/>
      <c r="B479" s="260"/>
      <c r="C479" s="457"/>
      <c r="D479" s="460"/>
      <c r="E479" s="439"/>
      <c r="F479" s="1350"/>
      <c r="G479" s="1350"/>
      <c r="H479" s="1350"/>
      <c r="I479" s="399" t="str">
        <f t="shared" si="7"/>
        <v/>
      </c>
      <c r="J479" s="261"/>
      <c r="K479" s="1227"/>
      <c r="L479" s="262"/>
      <c r="M479" s="262"/>
      <c r="N479" s="262"/>
    </row>
    <row r="480" spans="1:14" s="263" customFormat="1" hidden="1" outlineLevel="1">
      <c r="A480" s="1225"/>
      <c r="B480" s="260"/>
      <c r="C480" s="457" t="s">
        <v>2</v>
      </c>
      <c r="D480" s="460">
        <v>1</v>
      </c>
      <c r="E480" s="439">
        <v>1</v>
      </c>
      <c r="F480" s="1350">
        <v>0.30000000000000004</v>
      </c>
      <c r="G480" s="1350">
        <v>0.61</v>
      </c>
      <c r="H480" s="1350">
        <v>0.15</v>
      </c>
      <c r="I480" s="399">
        <f t="shared" si="7"/>
        <v>0.03</v>
      </c>
      <c r="J480" s="261"/>
      <c r="K480" s="1227"/>
      <c r="L480" s="262"/>
      <c r="M480" s="262"/>
      <c r="N480" s="262"/>
    </row>
    <row r="481" spans="1:14" s="263" customFormat="1" hidden="1" outlineLevel="1">
      <c r="A481" s="1225"/>
      <c r="B481" s="260"/>
      <c r="C481" s="457"/>
      <c r="D481" s="460"/>
      <c r="E481" s="439"/>
      <c r="F481" s="1350"/>
      <c r="G481" s="1350"/>
      <c r="H481" s="1350"/>
      <c r="I481" s="399" t="str">
        <f t="shared" si="7"/>
        <v/>
      </c>
      <c r="J481" s="261"/>
      <c r="K481" s="1227"/>
      <c r="L481" s="262"/>
      <c r="M481" s="262"/>
      <c r="N481" s="262"/>
    </row>
    <row r="482" spans="1:14" s="263" customFormat="1" hidden="1" outlineLevel="1">
      <c r="A482" s="1225"/>
      <c r="B482" s="260"/>
      <c r="C482" s="457" t="s">
        <v>2</v>
      </c>
      <c r="D482" s="460">
        <v>1</v>
      </c>
      <c r="E482" s="439">
        <v>5</v>
      </c>
      <c r="F482" s="1350">
        <v>0.90999999999999992</v>
      </c>
      <c r="G482" s="1350">
        <v>0.61</v>
      </c>
      <c r="H482" s="1350">
        <v>0.15</v>
      </c>
      <c r="I482" s="399">
        <f t="shared" si="7"/>
        <v>0.42</v>
      </c>
      <c r="J482" s="261"/>
      <c r="K482" s="1227"/>
      <c r="L482" s="262"/>
      <c r="M482" s="262"/>
      <c r="N482" s="262"/>
    </row>
    <row r="483" spans="1:14" s="263" customFormat="1" hidden="1" outlineLevel="1">
      <c r="A483" s="1225"/>
      <c r="B483" s="260"/>
      <c r="C483" s="457"/>
      <c r="D483" s="460"/>
      <c r="E483" s="439"/>
      <c r="F483" s="1350"/>
      <c r="G483" s="1350"/>
      <c r="H483" s="1350"/>
      <c r="I483" s="399" t="str">
        <f t="shared" si="7"/>
        <v/>
      </c>
      <c r="J483" s="261"/>
      <c r="K483" s="1227"/>
      <c r="L483" s="262"/>
      <c r="M483" s="262"/>
      <c r="N483" s="262"/>
    </row>
    <row r="484" spans="1:14" s="263" customFormat="1" hidden="1" outlineLevel="1">
      <c r="A484" s="1225"/>
      <c r="B484" s="260"/>
      <c r="C484" s="457" t="s">
        <v>2</v>
      </c>
      <c r="D484" s="460">
        <v>1</v>
      </c>
      <c r="E484" s="439">
        <v>1</v>
      </c>
      <c r="F484" s="1350">
        <v>3.36</v>
      </c>
      <c r="G484" s="1350">
        <v>0.61</v>
      </c>
      <c r="H484" s="1350">
        <v>0.15</v>
      </c>
      <c r="I484" s="399">
        <f t="shared" si="7"/>
        <v>0.31</v>
      </c>
      <c r="J484" s="261"/>
      <c r="K484" s="1227"/>
      <c r="L484" s="262"/>
      <c r="M484" s="262"/>
      <c r="N484" s="262"/>
    </row>
    <row r="485" spans="1:14" s="263" customFormat="1" hidden="1" outlineLevel="1">
      <c r="A485" s="1225"/>
      <c r="B485" s="260"/>
      <c r="C485" s="457"/>
      <c r="D485" s="460"/>
      <c r="E485" s="439"/>
      <c r="F485" s="1350"/>
      <c r="G485" s="1350"/>
      <c r="H485" s="1350"/>
      <c r="I485" s="399" t="str">
        <f t="shared" si="7"/>
        <v/>
      </c>
      <c r="J485" s="261"/>
      <c r="K485" s="1227"/>
      <c r="L485" s="262"/>
      <c r="M485" s="262"/>
      <c r="N485" s="262"/>
    </row>
    <row r="486" spans="1:14" s="263" customFormat="1" hidden="1" outlineLevel="1">
      <c r="A486" s="1225"/>
      <c r="B486" s="260"/>
      <c r="C486" s="457" t="s">
        <v>2</v>
      </c>
      <c r="D486" s="460">
        <v>1</v>
      </c>
      <c r="E486" s="439">
        <v>2</v>
      </c>
      <c r="F486" s="1350">
        <v>2.1349999999999998</v>
      </c>
      <c r="G486" s="1350">
        <v>0.61</v>
      </c>
      <c r="H486" s="1350">
        <v>0.15</v>
      </c>
      <c r="I486" s="399">
        <f t="shared" si="7"/>
        <v>0.39</v>
      </c>
      <c r="J486" s="261"/>
      <c r="K486" s="1227"/>
      <c r="L486" s="262"/>
      <c r="M486" s="262"/>
      <c r="N486" s="262"/>
    </row>
    <row r="487" spans="1:14" s="263" customFormat="1" hidden="1" outlineLevel="1">
      <c r="A487" s="1225"/>
      <c r="B487" s="260"/>
      <c r="C487" s="457"/>
      <c r="D487" s="460"/>
      <c r="E487" s="439"/>
      <c r="F487" s="1350"/>
      <c r="G487" s="1350"/>
      <c r="H487" s="1350"/>
      <c r="I487" s="399" t="str">
        <f t="shared" si="7"/>
        <v/>
      </c>
      <c r="J487" s="261"/>
      <c r="K487" s="1227"/>
      <c r="L487" s="262"/>
      <c r="M487" s="262"/>
      <c r="N487" s="262"/>
    </row>
    <row r="488" spans="1:14" s="263" customFormat="1" hidden="1" outlineLevel="1">
      <c r="A488" s="1225"/>
      <c r="B488" s="260"/>
      <c r="C488" s="457"/>
      <c r="D488" s="460"/>
      <c r="E488" s="439"/>
      <c r="F488" s="1350"/>
      <c r="G488" s="1350"/>
      <c r="H488" s="1350"/>
      <c r="I488" s="399" t="str">
        <f t="shared" si="7"/>
        <v/>
      </c>
      <c r="J488" s="261"/>
      <c r="K488" s="1227"/>
      <c r="L488" s="262"/>
      <c r="M488" s="262"/>
      <c r="N488" s="262"/>
    </row>
    <row r="489" spans="1:14" s="263" customFormat="1" hidden="1" outlineLevel="1">
      <c r="A489" s="1225"/>
      <c r="B489" s="260" t="s">
        <v>216</v>
      </c>
      <c r="C489" s="457"/>
      <c r="D489" s="460"/>
      <c r="E489" s="439"/>
      <c r="F489" s="1350"/>
      <c r="G489" s="1350"/>
      <c r="H489" s="1350"/>
      <c r="I489" s="399" t="str">
        <f t="shared" si="7"/>
        <v/>
      </c>
      <c r="J489" s="261"/>
      <c r="K489" s="1227"/>
      <c r="L489" s="262"/>
      <c r="M489" s="262"/>
      <c r="N489" s="262"/>
    </row>
    <row r="490" spans="1:14" s="263" customFormat="1" hidden="1" outlineLevel="1">
      <c r="A490" s="1225"/>
      <c r="B490" s="260"/>
      <c r="C490" s="457"/>
      <c r="D490" s="460"/>
      <c r="E490" s="439"/>
      <c r="F490" s="1350"/>
      <c r="G490" s="1350"/>
      <c r="H490" s="1350"/>
      <c r="I490" s="399" t="str">
        <f t="shared" si="7"/>
        <v/>
      </c>
      <c r="J490" s="261"/>
      <c r="K490" s="1227"/>
      <c r="L490" s="262"/>
      <c r="M490" s="262"/>
      <c r="N490" s="262"/>
    </row>
    <row r="491" spans="1:14" s="263" customFormat="1" hidden="1" outlineLevel="1">
      <c r="A491" s="1225"/>
      <c r="B491" s="260" t="s">
        <v>217</v>
      </c>
      <c r="C491" s="457" t="s">
        <v>2</v>
      </c>
      <c r="D491" s="460">
        <v>1</v>
      </c>
      <c r="E491" s="439">
        <v>1</v>
      </c>
      <c r="F491" s="1350">
        <v>11.38</v>
      </c>
      <c r="G491" s="1350">
        <v>0.61</v>
      </c>
      <c r="H491" s="1350">
        <v>0.15</v>
      </c>
      <c r="I491" s="399">
        <f t="shared" si="7"/>
        <v>1.04</v>
      </c>
      <c r="J491" s="261"/>
      <c r="K491" s="1227"/>
      <c r="L491" s="262"/>
      <c r="M491" s="262"/>
      <c r="N491" s="262"/>
    </row>
    <row r="492" spans="1:14" s="263" customFormat="1" hidden="1" outlineLevel="1">
      <c r="A492" s="1225"/>
      <c r="B492" s="260"/>
      <c r="C492" s="457"/>
      <c r="D492" s="460"/>
      <c r="E492" s="439"/>
      <c r="F492" s="1350"/>
      <c r="G492" s="1350"/>
      <c r="H492" s="1350"/>
      <c r="I492" s="399" t="str">
        <f t="shared" si="7"/>
        <v/>
      </c>
      <c r="J492" s="261"/>
      <c r="K492" s="1227"/>
      <c r="L492" s="262"/>
      <c r="M492" s="262"/>
      <c r="N492" s="262"/>
    </row>
    <row r="493" spans="1:14" s="263" customFormat="1" hidden="1" outlineLevel="1">
      <c r="A493" s="1225"/>
      <c r="B493" s="260"/>
      <c r="C493" s="457" t="s">
        <v>2</v>
      </c>
      <c r="D493" s="460">
        <v>1</v>
      </c>
      <c r="E493" s="439">
        <v>1</v>
      </c>
      <c r="F493" s="1350">
        <v>8.77</v>
      </c>
      <c r="G493" s="1350">
        <v>0.61</v>
      </c>
      <c r="H493" s="1350">
        <v>0.15</v>
      </c>
      <c r="I493" s="399">
        <f t="shared" si="7"/>
        <v>0.8</v>
      </c>
      <c r="J493" s="261"/>
      <c r="K493" s="1227"/>
      <c r="L493" s="262"/>
      <c r="M493" s="262"/>
      <c r="N493" s="262"/>
    </row>
    <row r="494" spans="1:14" s="263" customFormat="1" hidden="1" outlineLevel="1">
      <c r="A494" s="1225"/>
      <c r="B494" s="260"/>
      <c r="C494" s="457"/>
      <c r="D494" s="460"/>
      <c r="E494" s="439"/>
      <c r="F494" s="1350"/>
      <c r="G494" s="1350"/>
      <c r="H494" s="1350"/>
      <c r="I494" s="399" t="str">
        <f t="shared" si="7"/>
        <v/>
      </c>
      <c r="J494" s="261"/>
      <c r="K494" s="1227"/>
      <c r="L494" s="262"/>
      <c r="M494" s="262"/>
      <c r="N494" s="262"/>
    </row>
    <row r="495" spans="1:14" s="263" customFormat="1" hidden="1" outlineLevel="1">
      <c r="A495" s="1225"/>
      <c r="B495" s="260" t="s">
        <v>218</v>
      </c>
      <c r="C495" s="457" t="s">
        <v>2</v>
      </c>
      <c r="D495" s="460">
        <v>1</v>
      </c>
      <c r="E495" s="439">
        <v>2</v>
      </c>
      <c r="F495" s="1350">
        <v>6.7700000000000005</v>
      </c>
      <c r="G495" s="1350">
        <v>0.61</v>
      </c>
      <c r="H495" s="1350">
        <v>0.15</v>
      </c>
      <c r="I495" s="399">
        <f t="shared" si="7"/>
        <v>1.24</v>
      </c>
      <c r="J495" s="261"/>
      <c r="K495" s="1227"/>
      <c r="L495" s="262"/>
      <c r="M495" s="262"/>
      <c r="N495" s="262"/>
    </row>
    <row r="496" spans="1:14" s="263" customFormat="1" hidden="1" outlineLevel="1">
      <c r="A496" s="1225"/>
      <c r="B496" s="260"/>
      <c r="C496" s="457"/>
      <c r="D496" s="460"/>
      <c r="E496" s="439"/>
      <c r="F496" s="1350"/>
      <c r="G496" s="1350"/>
      <c r="H496" s="1350"/>
      <c r="I496" s="399" t="str">
        <f t="shared" si="7"/>
        <v/>
      </c>
      <c r="J496" s="261"/>
      <c r="K496" s="1227"/>
      <c r="L496" s="262"/>
      <c r="M496" s="262"/>
      <c r="N496" s="262"/>
    </row>
    <row r="497" spans="1:14" s="263" customFormat="1" hidden="1" outlineLevel="1">
      <c r="A497" s="1225"/>
      <c r="B497" s="260" t="s">
        <v>219</v>
      </c>
      <c r="C497" s="457" t="s">
        <v>2</v>
      </c>
      <c r="D497" s="460">
        <v>1</v>
      </c>
      <c r="E497" s="439">
        <v>2</v>
      </c>
      <c r="F497" s="1350">
        <v>9.17</v>
      </c>
      <c r="G497" s="1350">
        <v>0.61</v>
      </c>
      <c r="H497" s="1350">
        <v>0.15</v>
      </c>
      <c r="I497" s="399">
        <f t="shared" si="7"/>
        <v>1.68</v>
      </c>
      <c r="J497" s="261"/>
      <c r="K497" s="1227"/>
      <c r="L497" s="262"/>
      <c r="M497" s="262"/>
      <c r="N497" s="262"/>
    </row>
    <row r="498" spans="1:14" s="263" customFormat="1" hidden="1" outlineLevel="1">
      <c r="A498" s="1225"/>
      <c r="B498" s="260"/>
      <c r="C498" s="457"/>
      <c r="D498" s="460"/>
      <c r="E498" s="439"/>
      <c r="F498" s="1350"/>
      <c r="G498" s="1350"/>
      <c r="H498" s="1350"/>
      <c r="I498" s="399" t="str">
        <f t="shared" si="7"/>
        <v/>
      </c>
      <c r="J498" s="261"/>
      <c r="K498" s="1227"/>
      <c r="L498" s="262"/>
      <c r="M498" s="262"/>
      <c r="N498" s="262"/>
    </row>
    <row r="499" spans="1:14" s="263" customFormat="1" hidden="1" outlineLevel="1">
      <c r="A499" s="1225"/>
      <c r="B499" s="260"/>
      <c r="C499" s="457" t="s">
        <v>2</v>
      </c>
      <c r="D499" s="460">
        <v>1</v>
      </c>
      <c r="E499" s="439">
        <v>1</v>
      </c>
      <c r="F499" s="1350">
        <v>8.27</v>
      </c>
      <c r="G499" s="1350">
        <v>0.61</v>
      </c>
      <c r="H499" s="1350">
        <v>0.15</v>
      </c>
      <c r="I499" s="399">
        <f t="shared" si="7"/>
        <v>0.76</v>
      </c>
      <c r="J499" s="261"/>
      <c r="K499" s="1227"/>
      <c r="L499" s="262"/>
      <c r="M499" s="262"/>
      <c r="N499" s="262"/>
    </row>
    <row r="500" spans="1:14" s="263" customFormat="1" hidden="1" outlineLevel="1">
      <c r="A500" s="1225"/>
      <c r="B500" s="260"/>
      <c r="C500" s="457"/>
      <c r="D500" s="460"/>
      <c r="E500" s="439"/>
      <c r="F500" s="1350"/>
      <c r="G500" s="1350"/>
      <c r="H500" s="1350"/>
      <c r="I500" s="399" t="str">
        <f t="shared" si="7"/>
        <v/>
      </c>
      <c r="J500" s="261"/>
      <c r="K500" s="1227"/>
      <c r="L500" s="262"/>
      <c r="M500" s="262"/>
      <c r="N500" s="262"/>
    </row>
    <row r="501" spans="1:14" s="263" customFormat="1" hidden="1" outlineLevel="1">
      <c r="A501" s="1225"/>
      <c r="B501" s="260" t="s">
        <v>220</v>
      </c>
      <c r="C501" s="457" t="s">
        <v>2</v>
      </c>
      <c r="D501" s="460">
        <v>1</v>
      </c>
      <c r="E501" s="439">
        <v>1</v>
      </c>
      <c r="F501" s="1350">
        <v>10.88</v>
      </c>
      <c r="G501" s="1350">
        <v>0.61</v>
      </c>
      <c r="H501" s="1350">
        <v>0.15</v>
      </c>
      <c r="I501" s="399">
        <f t="shared" si="7"/>
        <v>1</v>
      </c>
      <c r="J501" s="261"/>
      <c r="K501" s="1227"/>
      <c r="L501" s="262"/>
      <c r="M501" s="262"/>
      <c r="N501" s="262"/>
    </row>
    <row r="502" spans="1:14" s="263" customFormat="1" hidden="1" outlineLevel="1">
      <c r="A502" s="1225"/>
      <c r="B502" s="260" t="s">
        <v>184</v>
      </c>
      <c r="C502" s="457" t="s">
        <v>2</v>
      </c>
      <c r="D502" s="460">
        <v>1</v>
      </c>
      <c r="E502" s="439">
        <v>3</v>
      </c>
      <c r="F502" s="1350">
        <v>3.3</v>
      </c>
      <c r="G502" s="1350">
        <v>0.22</v>
      </c>
      <c r="H502" s="1350">
        <v>0.15</v>
      </c>
      <c r="I502" s="399">
        <f t="shared" si="7"/>
        <v>0.33</v>
      </c>
      <c r="J502" s="261"/>
      <c r="K502" s="1227"/>
      <c r="L502" s="262"/>
      <c r="M502" s="262"/>
      <c r="N502" s="262"/>
    </row>
    <row r="503" spans="1:14" s="263" customFormat="1" hidden="1" outlineLevel="1">
      <c r="A503" s="1225"/>
      <c r="B503" s="260"/>
      <c r="C503" s="457"/>
      <c r="D503" s="460"/>
      <c r="E503" s="439"/>
      <c r="F503" s="1350"/>
      <c r="G503" s="1350"/>
      <c r="H503" s="1350"/>
      <c r="I503" s="399" t="str">
        <f t="shared" si="7"/>
        <v/>
      </c>
      <c r="J503" s="261"/>
      <c r="K503" s="1227"/>
      <c r="L503" s="262"/>
      <c r="M503" s="262"/>
      <c r="N503" s="262"/>
    </row>
    <row r="504" spans="1:14" s="263" customFormat="1" hidden="1" outlineLevel="1">
      <c r="A504" s="1225"/>
      <c r="B504" s="260" t="s">
        <v>221</v>
      </c>
      <c r="C504" s="457" t="s">
        <v>2</v>
      </c>
      <c r="D504" s="460">
        <v>1</v>
      </c>
      <c r="E504" s="439">
        <v>2</v>
      </c>
      <c r="F504" s="1350">
        <v>0.61499999999999999</v>
      </c>
      <c r="G504" s="1350">
        <v>0.61</v>
      </c>
      <c r="H504" s="1350">
        <v>0.15</v>
      </c>
      <c r="I504" s="399">
        <f t="shared" si="7"/>
        <v>0.11</v>
      </c>
      <c r="J504" s="261"/>
      <c r="K504" s="1227"/>
      <c r="L504" s="262"/>
      <c r="M504" s="262"/>
      <c r="N504" s="262"/>
    </row>
    <row r="505" spans="1:14" s="263" customFormat="1" hidden="1" outlineLevel="1">
      <c r="A505" s="1225"/>
      <c r="B505" s="260"/>
      <c r="C505" s="457"/>
      <c r="D505" s="460"/>
      <c r="E505" s="439"/>
      <c r="F505" s="1350"/>
      <c r="G505" s="1350"/>
      <c r="H505" s="1350"/>
      <c r="I505" s="399" t="str">
        <f t="shared" si="7"/>
        <v/>
      </c>
      <c r="J505" s="261"/>
      <c r="K505" s="1227"/>
      <c r="L505" s="262"/>
      <c r="M505" s="262"/>
      <c r="N505" s="262"/>
    </row>
    <row r="506" spans="1:14" s="263" customFormat="1" hidden="1" outlineLevel="1">
      <c r="A506" s="1225"/>
      <c r="B506" s="260" t="s">
        <v>222</v>
      </c>
      <c r="C506" s="457" t="s">
        <v>2</v>
      </c>
      <c r="D506" s="460">
        <v>1</v>
      </c>
      <c r="E506" s="439">
        <v>3</v>
      </c>
      <c r="F506" s="1350">
        <v>0.88000000000000012</v>
      </c>
      <c r="G506" s="1350">
        <v>0.61</v>
      </c>
      <c r="H506" s="1350">
        <v>0.15</v>
      </c>
      <c r="I506" s="399">
        <f t="shared" si="7"/>
        <v>0.24</v>
      </c>
      <c r="J506" s="261"/>
      <c r="K506" s="1227"/>
      <c r="L506" s="262"/>
      <c r="M506" s="262"/>
      <c r="N506" s="262"/>
    </row>
    <row r="507" spans="1:14" s="263" customFormat="1" hidden="1" outlineLevel="1">
      <c r="A507" s="1225"/>
      <c r="B507" s="260"/>
      <c r="C507" s="457"/>
      <c r="D507" s="460"/>
      <c r="E507" s="439"/>
      <c r="F507" s="1350"/>
      <c r="G507" s="1350"/>
      <c r="H507" s="1350"/>
      <c r="I507" s="399" t="str">
        <f t="shared" si="7"/>
        <v/>
      </c>
      <c r="J507" s="261"/>
      <c r="K507" s="1227"/>
      <c r="L507" s="262"/>
      <c r="M507" s="262"/>
      <c r="N507" s="262"/>
    </row>
    <row r="508" spans="1:14" s="263" customFormat="1" hidden="1" outlineLevel="1">
      <c r="A508" s="1225"/>
      <c r="B508" s="260"/>
      <c r="C508" s="457" t="s">
        <v>2</v>
      </c>
      <c r="D508" s="460">
        <v>1</v>
      </c>
      <c r="E508" s="439">
        <v>3</v>
      </c>
      <c r="F508" s="1350">
        <v>3.36</v>
      </c>
      <c r="G508" s="1350">
        <v>0.61</v>
      </c>
      <c r="H508" s="1350">
        <v>0.15</v>
      </c>
      <c r="I508" s="399">
        <f t="shared" si="7"/>
        <v>0.92</v>
      </c>
      <c r="J508" s="261"/>
      <c r="K508" s="1227"/>
      <c r="L508" s="262"/>
      <c r="M508" s="262"/>
      <c r="N508" s="262"/>
    </row>
    <row r="509" spans="1:14" s="263" customFormat="1" hidden="1" outlineLevel="1">
      <c r="A509" s="1225"/>
      <c r="B509" s="260"/>
      <c r="C509" s="457"/>
      <c r="D509" s="460"/>
      <c r="E509" s="439"/>
      <c r="F509" s="1350"/>
      <c r="G509" s="1350"/>
      <c r="H509" s="1350"/>
      <c r="I509" s="399" t="str">
        <f t="shared" si="7"/>
        <v/>
      </c>
      <c r="J509" s="261"/>
      <c r="K509" s="1227"/>
      <c r="L509" s="262"/>
      <c r="M509" s="262"/>
      <c r="N509" s="262"/>
    </row>
    <row r="510" spans="1:14" s="263" customFormat="1" ht="34.5" hidden="1" outlineLevel="1">
      <c r="A510" s="1225"/>
      <c r="B510" s="260" t="s">
        <v>223</v>
      </c>
      <c r="C510" s="457"/>
      <c r="D510" s="460"/>
      <c r="E510" s="439"/>
      <c r="F510" s="1350"/>
      <c r="G510" s="1350"/>
      <c r="H510" s="1350"/>
      <c r="I510" s="399" t="str">
        <f t="shared" si="7"/>
        <v/>
      </c>
      <c r="J510" s="261"/>
      <c r="K510" s="1227"/>
      <c r="L510" s="262"/>
      <c r="M510" s="262"/>
      <c r="N510" s="262"/>
    </row>
    <row r="511" spans="1:14" s="263" customFormat="1" hidden="1" outlineLevel="1">
      <c r="A511" s="1225"/>
      <c r="B511" s="260"/>
      <c r="C511" s="457"/>
      <c r="D511" s="460"/>
      <c r="E511" s="439"/>
      <c r="F511" s="1350"/>
      <c r="G511" s="1350"/>
      <c r="H511" s="1350"/>
      <c r="I511" s="399" t="str">
        <f t="shared" si="7"/>
        <v/>
      </c>
      <c r="J511" s="261"/>
      <c r="K511" s="1227"/>
      <c r="L511" s="262"/>
      <c r="M511" s="262"/>
      <c r="N511" s="262"/>
    </row>
    <row r="512" spans="1:14" s="263" customFormat="1" hidden="1" outlineLevel="1">
      <c r="A512" s="1225"/>
      <c r="B512" s="260" t="s">
        <v>224</v>
      </c>
      <c r="C512" s="457" t="s">
        <v>2</v>
      </c>
      <c r="D512" s="460">
        <v>1</v>
      </c>
      <c r="E512" s="439">
        <v>1</v>
      </c>
      <c r="F512" s="1350">
        <v>33.919999999999995</v>
      </c>
      <c r="G512" s="1350">
        <v>0.61</v>
      </c>
      <c r="H512" s="1350">
        <v>0.15</v>
      </c>
      <c r="I512" s="399">
        <f t="shared" si="7"/>
        <v>3.1</v>
      </c>
      <c r="J512" s="261"/>
      <c r="K512" s="1227"/>
      <c r="L512" s="262"/>
      <c r="M512" s="262"/>
      <c r="N512" s="262"/>
    </row>
    <row r="513" spans="1:14" s="263" customFormat="1" hidden="1" outlineLevel="1">
      <c r="A513" s="1225"/>
      <c r="B513" s="260"/>
      <c r="C513" s="457"/>
      <c r="D513" s="460"/>
      <c r="E513" s="439"/>
      <c r="F513" s="1350"/>
      <c r="G513" s="1350"/>
      <c r="H513" s="1350"/>
      <c r="I513" s="399" t="str">
        <f t="shared" si="7"/>
        <v/>
      </c>
      <c r="J513" s="261"/>
      <c r="K513" s="1227"/>
      <c r="L513" s="262"/>
      <c r="M513" s="262"/>
      <c r="N513" s="262"/>
    </row>
    <row r="514" spans="1:14" s="263" customFormat="1" hidden="1" outlineLevel="1">
      <c r="A514" s="1225"/>
      <c r="B514" s="260"/>
      <c r="C514" s="457" t="s">
        <v>2</v>
      </c>
      <c r="D514" s="460">
        <v>1</v>
      </c>
      <c r="E514" s="439">
        <v>1</v>
      </c>
      <c r="F514" s="1350">
        <v>30.129999999999995</v>
      </c>
      <c r="G514" s="1350">
        <v>0.61</v>
      </c>
      <c r="H514" s="1350">
        <v>0.15</v>
      </c>
      <c r="I514" s="399">
        <f t="shared" si="7"/>
        <v>2.76</v>
      </c>
      <c r="J514" s="261"/>
      <c r="K514" s="1227"/>
      <c r="L514" s="262"/>
      <c r="M514" s="262"/>
      <c r="N514" s="262"/>
    </row>
    <row r="515" spans="1:14" s="263" customFormat="1" hidden="1" outlineLevel="1">
      <c r="A515" s="1225"/>
      <c r="B515" s="260"/>
      <c r="C515" s="457"/>
      <c r="D515" s="460"/>
      <c r="E515" s="439"/>
      <c r="F515" s="1350"/>
      <c r="G515" s="1350"/>
      <c r="H515" s="1350"/>
      <c r="I515" s="399" t="str">
        <f t="shared" si="7"/>
        <v/>
      </c>
      <c r="J515" s="261"/>
      <c r="K515" s="1227"/>
      <c r="L515" s="262"/>
      <c r="M515" s="262"/>
      <c r="N515" s="262"/>
    </row>
    <row r="516" spans="1:14" s="263" customFormat="1" ht="34.5" hidden="1" outlineLevel="1">
      <c r="A516" s="1225"/>
      <c r="B516" s="260" t="s">
        <v>225</v>
      </c>
      <c r="C516" s="457" t="s">
        <v>2</v>
      </c>
      <c r="D516" s="460">
        <v>1</v>
      </c>
      <c r="E516" s="439">
        <v>1</v>
      </c>
      <c r="F516" s="1350">
        <v>1.5249999999999999</v>
      </c>
      <c r="G516" s="1350">
        <v>0.61</v>
      </c>
      <c r="H516" s="1350">
        <v>0.15</v>
      </c>
      <c r="I516" s="399">
        <f t="shared" si="7"/>
        <v>0.14000000000000001</v>
      </c>
      <c r="J516" s="261"/>
      <c r="K516" s="1227"/>
      <c r="L516" s="262"/>
      <c r="M516" s="262"/>
      <c r="N516" s="262"/>
    </row>
    <row r="517" spans="1:14" s="263" customFormat="1" hidden="1" outlineLevel="1">
      <c r="A517" s="1225"/>
      <c r="B517" s="260"/>
      <c r="C517" s="457"/>
      <c r="D517" s="460"/>
      <c r="E517" s="439"/>
      <c r="F517" s="1350"/>
      <c r="G517" s="1350"/>
      <c r="H517" s="1350"/>
      <c r="I517" s="399" t="str">
        <f t="shared" si="7"/>
        <v/>
      </c>
      <c r="J517" s="261"/>
      <c r="K517" s="1227"/>
      <c r="L517" s="262"/>
      <c r="M517" s="262"/>
      <c r="N517" s="262"/>
    </row>
    <row r="518" spans="1:14" s="263" customFormat="1" hidden="1" outlineLevel="1">
      <c r="A518" s="1225"/>
      <c r="B518" s="260"/>
      <c r="C518" s="457" t="s">
        <v>2</v>
      </c>
      <c r="D518" s="460">
        <v>1</v>
      </c>
      <c r="E518" s="439">
        <v>1</v>
      </c>
      <c r="F518" s="1350">
        <v>1.075</v>
      </c>
      <c r="G518" s="1350">
        <v>0.61</v>
      </c>
      <c r="H518" s="1350">
        <v>0.15</v>
      </c>
      <c r="I518" s="399">
        <f t="shared" si="7"/>
        <v>0.1</v>
      </c>
      <c r="J518" s="261"/>
      <c r="K518" s="1227"/>
      <c r="L518" s="262"/>
      <c r="M518" s="262"/>
      <c r="N518" s="262"/>
    </row>
    <row r="519" spans="1:14" s="263" customFormat="1" hidden="1" outlineLevel="1">
      <c r="A519" s="1225"/>
      <c r="B519" s="260"/>
      <c r="C519" s="457"/>
      <c r="D519" s="460"/>
      <c r="E519" s="439"/>
      <c r="F519" s="1350"/>
      <c r="G519" s="1350"/>
      <c r="H519" s="1350"/>
      <c r="I519" s="399" t="str">
        <f t="shared" si="7"/>
        <v/>
      </c>
      <c r="J519" s="261"/>
      <c r="K519" s="1227"/>
      <c r="L519" s="262"/>
      <c r="M519" s="262"/>
      <c r="N519" s="262"/>
    </row>
    <row r="520" spans="1:14" s="263" customFormat="1" hidden="1" outlineLevel="1">
      <c r="A520" s="1225"/>
      <c r="B520" s="260"/>
      <c r="C520" s="457" t="s">
        <v>2</v>
      </c>
      <c r="D520" s="460">
        <v>1</v>
      </c>
      <c r="E520" s="439">
        <v>1</v>
      </c>
      <c r="F520" s="1350">
        <v>2.6</v>
      </c>
      <c r="G520" s="1350">
        <v>0.61</v>
      </c>
      <c r="H520" s="1350">
        <v>0.15</v>
      </c>
      <c r="I520" s="399">
        <f t="shared" ref="I520:I583" si="8">IF(D520&lt;&gt;0,ROUND(PRODUCT(E520:H520)*D520,2),"")</f>
        <v>0.24</v>
      </c>
      <c r="J520" s="261"/>
      <c r="K520" s="1227"/>
      <c r="L520" s="262"/>
      <c r="M520" s="262"/>
      <c r="N520" s="262"/>
    </row>
    <row r="521" spans="1:14" s="263" customFormat="1" hidden="1" outlineLevel="1">
      <c r="A521" s="1225"/>
      <c r="B521" s="260"/>
      <c r="C521" s="457"/>
      <c r="D521" s="460"/>
      <c r="E521" s="439"/>
      <c r="F521" s="1350"/>
      <c r="G521" s="1350"/>
      <c r="H521" s="1350"/>
      <c r="I521" s="399" t="str">
        <f t="shared" si="8"/>
        <v/>
      </c>
      <c r="J521" s="261"/>
      <c r="K521" s="1227"/>
      <c r="L521" s="262"/>
      <c r="M521" s="262"/>
      <c r="N521" s="262"/>
    </row>
    <row r="522" spans="1:14" s="263" customFormat="1" hidden="1" outlineLevel="1">
      <c r="A522" s="1225"/>
      <c r="B522" s="260"/>
      <c r="C522" s="457" t="s">
        <v>2</v>
      </c>
      <c r="D522" s="460">
        <v>1</v>
      </c>
      <c r="E522" s="439">
        <v>1</v>
      </c>
      <c r="F522" s="1350">
        <v>1.1000000000000001</v>
      </c>
      <c r="G522" s="1350">
        <v>0.61</v>
      </c>
      <c r="H522" s="1350">
        <v>0.15</v>
      </c>
      <c r="I522" s="399">
        <f t="shared" si="8"/>
        <v>0.1</v>
      </c>
      <c r="J522" s="261"/>
      <c r="K522" s="1227"/>
      <c r="L522" s="262"/>
      <c r="M522" s="262"/>
      <c r="N522" s="262"/>
    </row>
    <row r="523" spans="1:14" s="263" customFormat="1" hidden="1" outlineLevel="1">
      <c r="A523" s="1225"/>
      <c r="B523" s="260"/>
      <c r="C523" s="457"/>
      <c r="D523" s="460"/>
      <c r="E523" s="439"/>
      <c r="F523" s="1350"/>
      <c r="G523" s="1350"/>
      <c r="H523" s="1350"/>
      <c r="I523" s="399" t="str">
        <f t="shared" si="8"/>
        <v/>
      </c>
      <c r="J523" s="261"/>
      <c r="K523" s="1227"/>
      <c r="L523" s="262"/>
      <c r="M523" s="262"/>
      <c r="N523" s="262"/>
    </row>
    <row r="524" spans="1:14" s="263" customFormat="1" hidden="1" outlineLevel="1">
      <c r="A524" s="1225"/>
      <c r="B524" s="260"/>
      <c r="C524" s="457" t="s">
        <v>2</v>
      </c>
      <c r="D524" s="460">
        <v>1</v>
      </c>
      <c r="E524" s="439">
        <v>1</v>
      </c>
      <c r="F524" s="1350">
        <v>3.9400000000000004</v>
      </c>
      <c r="G524" s="1350">
        <v>0.61</v>
      </c>
      <c r="H524" s="1350">
        <v>0.15</v>
      </c>
      <c r="I524" s="399">
        <f t="shared" si="8"/>
        <v>0.36</v>
      </c>
      <c r="J524" s="261"/>
      <c r="K524" s="1227"/>
      <c r="L524" s="262"/>
      <c r="M524" s="262"/>
      <c r="N524" s="262"/>
    </row>
    <row r="525" spans="1:14" s="263" customFormat="1" hidden="1" outlineLevel="1">
      <c r="A525" s="1225"/>
      <c r="B525" s="260"/>
      <c r="C525" s="457"/>
      <c r="D525" s="460"/>
      <c r="E525" s="439"/>
      <c r="F525" s="1350"/>
      <c r="G525" s="1350"/>
      <c r="H525" s="1350"/>
      <c r="I525" s="399" t="str">
        <f t="shared" si="8"/>
        <v/>
      </c>
      <c r="J525" s="261"/>
      <c r="K525" s="1227"/>
      <c r="L525" s="262"/>
      <c r="M525" s="262"/>
      <c r="N525" s="262"/>
    </row>
    <row r="526" spans="1:14" s="263" customFormat="1" ht="34.5" hidden="1" outlineLevel="1">
      <c r="A526" s="1225"/>
      <c r="B526" s="260" t="s">
        <v>226</v>
      </c>
      <c r="C526" s="457" t="s">
        <v>2</v>
      </c>
      <c r="D526" s="460">
        <v>1</v>
      </c>
      <c r="E526" s="439">
        <v>1</v>
      </c>
      <c r="F526" s="1350">
        <v>1.3900000000000001</v>
      </c>
      <c r="G526" s="1350">
        <v>0.61</v>
      </c>
      <c r="H526" s="1350">
        <v>0.15</v>
      </c>
      <c r="I526" s="399">
        <f t="shared" si="8"/>
        <v>0.13</v>
      </c>
      <c r="J526" s="261"/>
      <c r="K526" s="1227"/>
      <c r="L526" s="262"/>
      <c r="M526" s="262"/>
      <c r="N526" s="262"/>
    </row>
    <row r="527" spans="1:14" s="263" customFormat="1" hidden="1" outlineLevel="1">
      <c r="A527" s="1225"/>
      <c r="B527" s="260"/>
      <c r="C527" s="457"/>
      <c r="D527" s="460"/>
      <c r="E527" s="439"/>
      <c r="F527" s="1350"/>
      <c r="G527" s="1350"/>
      <c r="H527" s="1350"/>
      <c r="I527" s="399" t="str">
        <f t="shared" si="8"/>
        <v/>
      </c>
      <c r="J527" s="261"/>
      <c r="K527" s="1227"/>
      <c r="L527" s="262"/>
      <c r="M527" s="262"/>
      <c r="N527" s="262"/>
    </row>
    <row r="528" spans="1:14" s="263" customFormat="1" hidden="1" outlineLevel="1">
      <c r="A528" s="1225"/>
      <c r="B528" s="260"/>
      <c r="C528" s="457" t="s">
        <v>2</v>
      </c>
      <c r="D528" s="460">
        <v>1</v>
      </c>
      <c r="E528" s="439">
        <v>1</v>
      </c>
      <c r="F528" s="1350">
        <v>2</v>
      </c>
      <c r="G528" s="1350">
        <v>0.61</v>
      </c>
      <c r="H528" s="1350">
        <v>0.15</v>
      </c>
      <c r="I528" s="399">
        <f t="shared" si="8"/>
        <v>0.18</v>
      </c>
      <c r="J528" s="261"/>
      <c r="K528" s="1227"/>
      <c r="L528" s="262"/>
      <c r="M528" s="262"/>
      <c r="N528" s="262"/>
    </row>
    <row r="529" spans="1:14" s="263" customFormat="1" hidden="1" outlineLevel="1">
      <c r="A529" s="1225"/>
      <c r="B529" s="260"/>
      <c r="C529" s="457"/>
      <c r="D529" s="460"/>
      <c r="E529" s="439"/>
      <c r="F529" s="1350"/>
      <c r="G529" s="1350"/>
      <c r="H529" s="1350"/>
      <c r="I529" s="399" t="str">
        <f t="shared" si="8"/>
        <v/>
      </c>
      <c r="J529" s="261"/>
      <c r="K529" s="1227"/>
      <c r="L529" s="262"/>
      <c r="M529" s="262"/>
      <c r="N529" s="262"/>
    </row>
    <row r="530" spans="1:14" s="263" customFormat="1" hidden="1" outlineLevel="1">
      <c r="A530" s="1225"/>
      <c r="B530" s="260"/>
      <c r="C530" s="457" t="s">
        <v>2</v>
      </c>
      <c r="D530" s="460">
        <v>1</v>
      </c>
      <c r="E530" s="439">
        <v>1</v>
      </c>
      <c r="F530" s="1350">
        <v>-0.21999999999999997</v>
      </c>
      <c r="G530" s="1350">
        <v>0.61</v>
      </c>
      <c r="H530" s="1350">
        <v>0.15</v>
      </c>
      <c r="I530" s="399">
        <f t="shared" si="8"/>
        <v>-0.02</v>
      </c>
      <c r="J530" s="261"/>
      <c r="K530" s="1227"/>
      <c r="L530" s="262"/>
      <c r="M530" s="262"/>
      <c r="N530" s="262"/>
    </row>
    <row r="531" spans="1:14" s="263" customFormat="1" hidden="1" outlineLevel="1">
      <c r="A531" s="1225"/>
      <c r="B531" s="260"/>
      <c r="C531" s="457"/>
      <c r="D531" s="460"/>
      <c r="E531" s="439"/>
      <c r="F531" s="1350"/>
      <c r="G531" s="1350"/>
      <c r="H531" s="1350"/>
      <c r="I531" s="399" t="str">
        <f t="shared" si="8"/>
        <v/>
      </c>
      <c r="J531" s="261"/>
      <c r="K531" s="1227"/>
      <c r="L531" s="262"/>
      <c r="M531" s="262"/>
      <c r="N531" s="262"/>
    </row>
    <row r="532" spans="1:14" s="263" customFormat="1" hidden="1" outlineLevel="1">
      <c r="A532" s="1225"/>
      <c r="B532" s="260"/>
      <c r="C532" s="457" t="s">
        <v>2</v>
      </c>
      <c r="D532" s="460">
        <v>1</v>
      </c>
      <c r="E532" s="439">
        <v>1</v>
      </c>
      <c r="F532" s="1350">
        <v>1</v>
      </c>
      <c r="G532" s="1350">
        <v>0.61</v>
      </c>
      <c r="H532" s="1350">
        <v>0.15</v>
      </c>
      <c r="I532" s="399">
        <f t="shared" si="8"/>
        <v>0.09</v>
      </c>
      <c r="J532" s="261"/>
      <c r="K532" s="1227"/>
      <c r="L532" s="262"/>
      <c r="M532" s="262"/>
      <c r="N532" s="262"/>
    </row>
    <row r="533" spans="1:14" s="263" customFormat="1" hidden="1" outlineLevel="1">
      <c r="A533" s="1225"/>
      <c r="B533" s="260"/>
      <c r="C533" s="457"/>
      <c r="D533" s="460"/>
      <c r="E533" s="439"/>
      <c r="F533" s="1350"/>
      <c r="G533" s="1350"/>
      <c r="H533" s="1350"/>
      <c r="I533" s="399" t="str">
        <f t="shared" si="8"/>
        <v/>
      </c>
      <c r="J533" s="261"/>
      <c r="K533" s="1227"/>
      <c r="L533" s="262"/>
      <c r="M533" s="262"/>
      <c r="N533" s="262"/>
    </row>
    <row r="534" spans="1:14" s="263" customFormat="1" hidden="1" outlineLevel="1">
      <c r="A534" s="1225"/>
      <c r="B534" s="260"/>
      <c r="C534" s="457" t="s">
        <v>2</v>
      </c>
      <c r="D534" s="460">
        <v>1</v>
      </c>
      <c r="E534" s="439">
        <v>1</v>
      </c>
      <c r="F534" s="1350">
        <v>1.3599999999999999</v>
      </c>
      <c r="G534" s="1350">
        <v>0.61</v>
      </c>
      <c r="H534" s="1350">
        <v>0.15</v>
      </c>
      <c r="I534" s="399">
        <f t="shared" si="8"/>
        <v>0.12</v>
      </c>
      <c r="J534" s="261"/>
      <c r="K534" s="1227"/>
      <c r="L534" s="262"/>
      <c r="M534" s="262"/>
      <c r="N534" s="262"/>
    </row>
    <row r="535" spans="1:14" s="263" customFormat="1" hidden="1" outlineLevel="1">
      <c r="A535" s="1225"/>
      <c r="B535" s="260"/>
      <c r="C535" s="457"/>
      <c r="D535" s="460"/>
      <c r="E535" s="439"/>
      <c r="F535" s="1350"/>
      <c r="G535" s="1350"/>
      <c r="H535" s="1350"/>
      <c r="I535" s="399" t="str">
        <f t="shared" si="8"/>
        <v/>
      </c>
      <c r="J535" s="261"/>
      <c r="K535" s="1227"/>
      <c r="L535" s="262"/>
      <c r="M535" s="262"/>
      <c r="N535" s="262"/>
    </row>
    <row r="536" spans="1:14" s="263" customFormat="1" hidden="1" outlineLevel="1">
      <c r="A536" s="1225"/>
      <c r="B536" s="260"/>
      <c r="C536" s="457" t="s">
        <v>2</v>
      </c>
      <c r="D536" s="460">
        <v>1</v>
      </c>
      <c r="E536" s="439">
        <v>1</v>
      </c>
      <c r="F536" s="1350">
        <v>5.56</v>
      </c>
      <c r="G536" s="1350">
        <v>0.61</v>
      </c>
      <c r="H536" s="1350">
        <v>0.15</v>
      </c>
      <c r="I536" s="399">
        <f t="shared" si="8"/>
        <v>0.51</v>
      </c>
      <c r="J536" s="261"/>
      <c r="K536" s="1227"/>
      <c r="L536" s="262"/>
      <c r="M536" s="262"/>
      <c r="N536" s="262"/>
    </row>
    <row r="537" spans="1:14" s="263" customFormat="1" hidden="1" outlineLevel="1">
      <c r="A537" s="1225"/>
      <c r="B537" s="260"/>
      <c r="C537" s="457"/>
      <c r="D537" s="460"/>
      <c r="E537" s="439"/>
      <c r="F537" s="1350"/>
      <c r="G537" s="1350"/>
      <c r="H537" s="1350"/>
      <c r="I537" s="399" t="str">
        <f t="shared" si="8"/>
        <v/>
      </c>
      <c r="J537" s="261"/>
      <c r="K537" s="1227"/>
      <c r="L537" s="262"/>
      <c r="M537" s="262"/>
      <c r="N537" s="262"/>
    </row>
    <row r="538" spans="1:14" s="263" customFormat="1" ht="34.5" hidden="1" outlineLevel="1">
      <c r="A538" s="1225"/>
      <c r="B538" s="260" t="s">
        <v>227</v>
      </c>
      <c r="C538" s="457" t="s">
        <v>2</v>
      </c>
      <c r="D538" s="460">
        <f>1*0</f>
        <v>0</v>
      </c>
      <c r="E538" s="439">
        <v>1</v>
      </c>
      <c r="F538" s="1350">
        <v>3</v>
      </c>
      <c r="G538" s="1350">
        <v>0.61</v>
      </c>
      <c r="H538" s="1350">
        <v>0.15</v>
      </c>
      <c r="I538" s="399" t="str">
        <f t="shared" si="8"/>
        <v/>
      </c>
      <c r="J538" s="261"/>
      <c r="K538" s="1227"/>
      <c r="L538" s="262"/>
      <c r="M538" s="262"/>
      <c r="N538" s="262"/>
    </row>
    <row r="539" spans="1:14" s="263" customFormat="1" hidden="1" outlineLevel="1">
      <c r="A539" s="1225"/>
      <c r="B539" s="260"/>
      <c r="C539" s="457"/>
      <c r="D539" s="460"/>
      <c r="E539" s="439"/>
      <c r="F539" s="1350"/>
      <c r="G539" s="1350"/>
      <c r="H539" s="1350"/>
      <c r="I539" s="399" t="str">
        <f t="shared" si="8"/>
        <v/>
      </c>
      <c r="J539" s="261"/>
      <c r="K539" s="1227"/>
      <c r="L539" s="262"/>
      <c r="M539" s="262"/>
      <c r="N539" s="262"/>
    </row>
    <row r="540" spans="1:14" s="263" customFormat="1" ht="34.5" hidden="1" outlineLevel="1">
      <c r="A540" s="1225"/>
      <c r="B540" s="260" t="s">
        <v>228</v>
      </c>
      <c r="C540" s="457" t="s">
        <v>2</v>
      </c>
      <c r="D540" s="460">
        <f>1*0</f>
        <v>0</v>
      </c>
      <c r="E540" s="439">
        <v>1</v>
      </c>
      <c r="F540" s="1350">
        <v>4.415</v>
      </c>
      <c r="G540" s="1350">
        <v>0.61</v>
      </c>
      <c r="H540" s="1350">
        <v>0.15</v>
      </c>
      <c r="I540" s="399" t="str">
        <f t="shared" si="8"/>
        <v/>
      </c>
      <c r="J540" s="261"/>
      <c r="K540" s="1227"/>
      <c r="L540" s="262"/>
      <c r="M540" s="262"/>
      <c r="N540" s="262"/>
    </row>
    <row r="541" spans="1:14" s="263" customFormat="1" hidden="1" outlineLevel="1">
      <c r="A541" s="1225"/>
      <c r="B541" s="260"/>
      <c r="C541" s="457"/>
      <c r="D541" s="460"/>
      <c r="E541" s="439"/>
      <c r="F541" s="1350"/>
      <c r="G541" s="1350"/>
      <c r="H541" s="1350"/>
      <c r="I541" s="399" t="str">
        <f t="shared" si="8"/>
        <v/>
      </c>
      <c r="J541" s="261"/>
      <c r="K541" s="1227"/>
      <c r="L541" s="262"/>
      <c r="M541" s="262"/>
      <c r="N541" s="262"/>
    </row>
    <row r="542" spans="1:14" s="263" customFormat="1" hidden="1" outlineLevel="1">
      <c r="A542" s="1225"/>
      <c r="B542" s="260" t="s">
        <v>229</v>
      </c>
      <c r="C542" s="457" t="s">
        <v>2</v>
      </c>
      <c r="D542" s="460">
        <f>1*0</f>
        <v>0</v>
      </c>
      <c r="E542" s="439">
        <v>1</v>
      </c>
      <c r="F542" s="1350">
        <v>1.61</v>
      </c>
      <c r="G542" s="1350">
        <v>0.61</v>
      </c>
      <c r="H542" s="1350">
        <v>0.15</v>
      </c>
      <c r="I542" s="399" t="str">
        <f t="shared" si="8"/>
        <v/>
      </c>
      <c r="J542" s="261"/>
      <c r="K542" s="1227"/>
      <c r="L542" s="262"/>
      <c r="M542" s="262"/>
      <c r="N542" s="262"/>
    </row>
    <row r="543" spans="1:14" s="263" customFormat="1" hidden="1" outlineLevel="1">
      <c r="A543" s="1225"/>
      <c r="B543" s="260"/>
      <c r="C543" s="457"/>
      <c r="D543" s="460"/>
      <c r="E543" s="439"/>
      <c r="F543" s="1350"/>
      <c r="G543" s="1350"/>
      <c r="H543" s="1350"/>
      <c r="I543" s="399" t="str">
        <f t="shared" si="8"/>
        <v/>
      </c>
      <c r="J543" s="261"/>
      <c r="K543" s="1227"/>
      <c r="L543" s="262"/>
      <c r="M543" s="262"/>
      <c r="N543" s="262"/>
    </row>
    <row r="544" spans="1:14" s="263" customFormat="1" ht="34.5" hidden="1" outlineLevel="1">
      <c r="A544" s="1225"/>
      <c r="B544" s="260" t="s">
        <v>230</v>
      </c>
      <c r="C544" s="457"/>
      <c r="D544" s="460"/>
      <c r="E544" s="439"/>
      <c r="F544" s="1350"/>
      <c r="G544" s="1350"/>
      <c r="H544" s="1350"/>
      <c r="I544" s="399" t="str">
        <f t="shared" si="8"/>
        <v/>
      </c>
      <c r="J544" s="261"/>
      <c r="K544" s="1227"/>
      <c r="L544" s="262"/>
      <c r="M544" s="262"/>
      <c r="N544" s="262"/>
    </row>
    <row r="545" spans="1:14" s="263" customFormat="1" hidden="1" outlineLevel="1">
      <c r="A545" s="1225"/>
      <c r="B545" s="260"/>
      <c r="C545" s="457"/>
      <c r="D545" s="460"/>
      <c r="E545" s="439"/>
      <c r="F545" s="1350"/>
      <c r="G545" s="1350"/>
      <c r="H545" s="1350"/>
      <c r="I545" s="399" t="str">
        <f t="shared" si="8"/>
        <v/>
      </c>
      <c r="J545" s="261"/>
      <c r="K545" s="1227"/>
      <c r="L545" s="262"/>
      <c r="M545" s="262"/>
      <c r="N545" s="262"/>
    </row>
    <row r="546" spans="1:14" s="263" customFormat="1" hidden="1" outlineLevel="1">
      <c r="A546" s="1225"/>
      <c r="B546" s="260" t="s">
        <v>231</v>
      </c>
      <c r="C546" s="457" t="s">
        <v>2</v>
      </c>
      <c r="D546" s="460">
        <v>1</v>
      </c>
      <c r="E546" s="439">
        <v>2</v>
      </c>
      <c r="F546" s="1350">
        <v>33.04</v>
      </c>
      <c r="G546" s="1350">
        <v>0.61</v>
      </c>
      <c r="H546" s="1350">
        <v>0.15</v>
      </c>
      <c r="I546" s="399">
        <f t="shared" si="8"/>
        <v>6.05</v>
      </c>
      <c r="J546" s="261"/>
      <c r="K546" s="1227"/>
      <c r="L546" s="262"/>
      <c r="M546" s="262"/>
      <c r="N546" s="262"/>
    </row>
    <row r="547" spans="1:14" s="263" customFormat="1" hidden="1" outlineLevel="1">
      <c r="A547" s="1225"/>
      <c r="B547" s="260"/>
      <c r="C547" s="457"/>
      <c r="D547" s="460"/>
      <c r="E547" s="439"/>
      <c r="F547" s="1350"/>
      <c r="G547" s="1350"/>
      <c r="H547" s="1350"/>
      <c r="I547" s="399" t="str">
        <f t="shared" si="8"/>
        <v/>
      </c>
      <c r="J547" s="261"/>
      <c r="K547" s="1227"/>
      <c r="L547" s="262"/>
      <c r="M547" s="262"/>
      <c r="N547" s="262"/>
    </row>
    <row r="548" spans="1:14" s="263" customFormat="1" hidden="1" outlineLevel="1">
      <c r="A548" s="1225"/>
      <c r="B548" s="260"/>
      <c r="C548" s="457" t="s">
        <v>2</v>
      </c>
      <c r="D548" s="460">
        <v>1</v>
      </c>
      <c r="E548" s="439">
        <v>2</v>
      </c>
      <c r="F548" s="1350">
        <v>1.36</v>
      </c>
      <c r="G548" s="1350">
        <v>0.61</v>
      </c>
      <c r="H548" s="1350">
        <v>0.15</v>
      </c>
      <c r="I548" s="399">
        <f t="shared" si="8"/>
        <v>0.25</v>
      </c>
      <c r="J548" s="261"/>
      <c r="K548" s="1227"/>
      <c r="L548" s="262"/>
      <c r="M548" s="262"/>
      <c r="N548" s="262"/>
    </row>
    <row r="549" spans="1:14" s="263" customFormat="1" hidden="1" outlineLevel="1">
      <c r="A549" s="1225"/>
      <c r="B549" s="260"/>
      <c r="C549" s="457"/>
      <c r="D549" s="460"/>
      <c r="E549" s="439"/>
      <c r="F549" s="1350"/>
      <c r="G549" s="1350"/>
      <c r="H549" s="1350"/>
      <c r="I549" s="399" t="str">
        <f t="shared" si="8"/>
        <v/>
      </c>
      <c r="J549" s="261"/>
      <c r="K549" s="1227"/>
      <c r="L549" s="262"/>
      <c r="M549" s="262"/>
      <c r="N549" s="262"/>
    </row>
    <row r="550" spans="1:14" s="263" customFormat="1" hidden="1" outlineLevel="1">
      <c r="A550" s="1225"/>
      <c r="B550" s="260"/>
      <c r="C550" s="457"/>
      <c r="D550" s="460"/>
      <c r="E550" s="439"/>
      <c r="F550" s="1350"/>
      <c r="G550" s="1350"/>
      <c r="H550" s="1350"/>
      <c r="I550" s="399" t="str">
        <f t="shared" si="8"/>
        <v/>
      </c>
      <c r="J550" s="261"/>
      <c r="K550" s="1227"/>
      <c r="L550" s="262"/>
      <c r="M550" s="262"/>
      <c r="N550" s="262"/>
    </row>
    <row r="551" spans="1:14" s="263" customFormat="1" ht="34.5" hidden="1" outlineLevel="1">
      <c r="A551" s="1225"/>
      <c r="B551" s="260" t="s">
        <v>232</v>
      </c>
      <c r="C551" s="457"/>
      <c r="D551" s="460"/>
      <c r="E551" s="439"/>
      <c r="F551" s="1350"/>
      <c r="G551" s="1350"/>
      <c r="H551" s="1350"/>
      <c r="I551" s="399" t="str">
        <f t="shared" si="8"/>
        <v/>
      </c>
      <c r="J551" s="261"/>
      <c r="K551" s="1227"/>
      <c r="L551" s="262"/>
      <c r="M551" s="262"/>
      <c r="N551" s="262"/>
    </row>
    <row r="552" spans="1:14" s="263" customFormat="1" hidden="1" outlineLevel="1">
      <c r="A552" s="1225"/>
      <c r="B552" s="260"/>
      <c r="C552" s="457"/>
      <c r="D552" s="460"/>
      <c r="E552" s="439"/>
      <c r="F552" s="1350"/>
      <c r="G552" s="1350"/>
      <c r="H552" s="1350"/>
      <c r="I552" s="399" t="str">
        <f t="shared" si="8"/>
        <v/>
      </c>
      <c r="J552" s="261"/>
      <c r="K552" s="1227"/>
      <c r="L552" s="262"/>
      <c r="M552" s="262"/>
      <c r="N552" s="262"/>
    </row>
    <row r="553" spans="1:14" s="263" customFormat="1" hidden="1" outlineLevel="1">
      <c r="A553" s="1225"/>
      <c r="B553" s="260" t="s">
        <v>233</v>
      </c>
      <c r="C553" s="457"/>
      <c r="D553" s="460"/>
      <c r="E553" s="439"/>
      <c r="F553" s="1350"/>
      <c r="G553" s="1350"/>
      <c r="H553" s="1350"/>
      <c r="I553" s="399" t="str">
        <f t="shared" si="8"/>
        <v/>
      </c>
      <c r="J553" s="261"/>
      <c r="K553" s="1227"/>
      <c r="L553" s="262"/>
      <c r="M553" s="262"/>
      <c r="N553" s="262"/>
    </row>
    <row r="554" spans="1:14" s="263" customFormat="1" hidden="1" outlineLevel="1">
      <c r="A554" s="1225"/>
      <c r="B554" s="260" t="s">
        <v>234</v>
      </c>
      <c r="C554" s="457" t="s">
        <v>2</v>
      </c>
      <c r="D554" s="460">
        <v>1</v>
      </c>
      <c r="E554" s="439">
        <v>1</v>
      </c>
      <c r="F554" s="1350">
        <v>4.7</v>
      </c>
      <c r="G554" s="1350">
        <v>0.61</v>
      </c>
      <c r="H554" s="1350">
        <v>0.15</v>
      </c>
      <c r="I554" s="399">
        <f t="shared" si="8"/>
        <v>0.43</v>
      </c>
      <c r="J554" s="261"/>
      <c r="K554" s="1227"/>
      <c r="L554" s="262"/>
      <c r="M554" s="262"/>
      <c r="N554" s="262"/>
    </row>
    <row r="555" spans="1:14" s="263" customFormat="1" hidden="1" outlineLevel="1">
      <c r="A555" s="1225"/>
      <c r="B555" s="260"/>
      <c r="C555" s="457"/>
      <c r="D555" s="460"/>
      <c r="E555" s="439"/>
      <c r="F555" s="1350"/>
      <c r="G555" s="1350"/>
      <c r="H555" s="1350"/>
      <c r="I555" s="399" t="str">
        <f t="shared" si="8"/>
        <v/>
      </c>
      <c r="J555" s="261"/>
      <c r="K555" s="1227"/>
      <c r="L555" s="262"/>
      <c r="M555" s="262"/>
      <c r="N555" s="262"/>
    </row>
    <row r="556" spans="1:14" s="263" customFormat="1" hidden="1" outlineLevel="1">
      <c r="A556" s="1225"/>
      <c r="B556" s="260"/>
      <c r="C556" s="457" t="s">
        <v>2</v>
      </c>
      <c r="D556" s="460">
        <v>1</v>
      </c>
      <c r="E556" s="439">
        <v>1</v>
      </c>
      <c r="F556" s="1350">
        <v>2.09</v>
      </c>
      <c r="G556" s="1350">
        <v>0.61</v>
      </c>
      <c r="H556" s="1350">
        <v>0.15</v>
      </c>
      <c r="I556" s="399">
        <f t="shared" si="8"/>
        <v>0.19</v>
      </c>
      <c r="J556" s="261"/>
      <c r="K556" s="1227"/>
      <c r="L556" s="262"/>
      <c r="M556" s="262"/>
      <c r="N556" s="262"/>
    </row>
    <row r="557" spans="1:14" s="263" customFormat="1" hidden="1" outlineLevel="1">
      <c r="A557" s="1225"/>
      <c r="B557" s="260"/>
      <c r="C557" s="457"/>
      <c r="D557" s="460"/>
      <c r="E557" s="439"/>
      <c r="F557" s="1350"/>
      <c r="G557" s="1350"/>
      <c r="H557" s="1350"/>
      <c r="I557" s="399" t="str">
        <f t="shared" si="8"/>
        <v/>
      </c>
      <c r="J557" s="261"/>
      <c r="K557" s="1227"/>
      <c r="L557" s="262"/>
      <c r="M557" s="262"/>
      <c r="N557" s="262"/>
    </row>
    <row r="558" spans="1:14" s="263" customFormat="1" hidden="1" outlineLevel="1">
      <c r="A558" s="1225"/>
      <c r="B558" s="260"/>
      <c r="C558" s="457" t="s">
        <v>2</v>
      </c>
      <c r="D558" s="460">
        <v>1</v>
      </c>
      <c r="E558" s="439">
        <v>4</v>
      </c>
      <c r="F558" s="1350">
        <v>2.9899999999999998</v>
      </c>
      <c r="G558" s="1350">
        <v>0.61</v>
      </c>
      <c r="H558" s="1350">
        <v>0.15</v>
      </c>
      <c r="I558" s="399">
        <f t="shared" si="8"/>
        <v>1.0900000000000001</v>
      </c>
      <c r="J558" s="261"/>
      <c r="K558" s="1227"/>
      <c r="L558" s="262"/>
      <c r="M558" s="262"/>
      <c r="N558" s="262"/>
    </row>
    <row r="559" spans="1:14" s="263" customFormat="1" hidden="1" outlineLevel="1">
      <c r="A559" s="1225"/>
      <c r="B559" s="260"/>
      <c r="C559" s="457"/>
      <c r="D559" s="460"/>
      <c r="E559" s="439"/>
      <c r="F559" s="1350"/>
      <c r="G559" s="1350"/>
      <c r="H559" s="1350"/>
      <c r="I559" s="399" t="str">
        <f t="shared" si="8"/>
        <v/>
      </c>
      <c r="J559" s="261"/>
      <c r="K559" s="1227"/>
      <c r="L559" s="262"/>
      <c r="M559" s="262"/>
      <c r="N559" s="262"/>
    </row>
    <row r="560" spans="1:14" s="263" customFormat="1" hidden="1" outlineLevel="1">
      <c r="A560" s="1225"/>
      <c r="B560" s="260"/>
      <c r="C560" s="457" t="s">
        <v>2</v>
      </c>
      <c r="D560" s="460">
        <v>1</v>
      </c>
      <c r="E560" s="439">
        <v>2</v>
      </c>
      <c r="F560" s="1350">
        <v>5.0900000000000007</v>
      </c>
      <c r="G560" s="1350">
        <v>0.61</v>
      </c>
      <c r="H560" s="1350">
        <v>0.15</v>
      </c>
      <c r="I560" s="399">
        <f t="shared" si="8"/>
        <v>0.93</v>
      </c>
      <c r="J560" s="261"/>
      <c r="K560" s="1227"/>
      <c r="L560" s="262"/>
      <c r="M560" s="262"/>
      <c r="N560" s="262"/>
    </row>
    <row r="561" spans="1:14" s="263" customFormat="1" hidden="1" outlineLevel="1">
      <c r="A561" s="1225"/>
      <c r="B561" s="260"/>
      <c r="C561" s="457"/>
      <c r="D561" s="460"/>
      <c r="E561" s="439"/>
      <c r="F561" s="1350"/>
      <c r="G561" s="1350"/>
      <c r="H561" s="1350"/>
      <c r="I561" s="399" t="str">
        <f t="shared" si="8"/>
        <v/>
      </c>
      <c r="J561" s="261"/>
      <c r="K561" s="1227"/>
      <c r="L561" s="262"/>
      <c r="M561" s="262"/>
      <c r="N561" s="262"/>
    </row>
    <row r="562" spans="1:14" s="263" customFormat="1" hidden="1" outlineLevel="1">
      <c r="A562" s="1225"/>
      <c r="B562" s="260"/>
      <c r="C562" s="457" t="s">
        <v>2</v>
      </c>
      <c r="D562" s="460">
        <v>1</v>
      </c>
      <c r="E562" s="439">
        <v>2</v>
      </c>
      <c r="F562" s="1350">
        <v>4.79</v>
      </c>
      <c r="G562" s="1350">
        <v>0.61</v>
      </c>
      <c r="H562" s="1350">
        <v>0.15</v>
      </c>
      <c r="I562" s="399">
        <f t="shared" si="8"/>
        <v>0.88</v>
      </c>
      <c r="J562" s="261"/>
      <c r="K562" s="1227"/>
      <c r="L562" s="262"/>
      <c r="M562" s="262"/>
      <c r="N562" s="262"/>
    </row>
    <row r="563" spans="1:14" s="263" customFormat="1" hidden="1" outlineLevel="1">
      <c r="A563" s="1225"/>
      <c r="B563" s="260"/>
      <c r="C563" s="457"/>
      <c r="D563" s="460"/>
      <c r="E563" s="439"/>
      <c r="F563" s="1350"/>
      <c r="G563" s="1350"/>
      <c r="H563" s="1350"/>
      <c r="I563" s="399" t="str">
        <f t="shared" si="8"/>
        <v/>
      </c>
      <c r="J563" s="261"/>
      <c r="K563" s="1227"/>
      <c r="L563" s="262"/>
      <c r="M563" s="262"/>
      <c r="N563" s="262"/>
    </row>
    <row r="564" spans="1:14" s="263" customFormat="1" hidden="1" outlineLevel="1">
      <c r="A564" s="1225"/>
      <c r="B564" s="260"/>
      <c r="C564" s="457" t="s">
        <v>2</v>
      </c>
      <c r="D564" s="460">
        <v>1</v>
      </c>
      <c r="E564" s="439">
        <v>2</v>
      </c>
      <c r="F564" s="1350">
        <v>5.69</v>
      </c>
      <c r="G564" s="1350">
        <v>0.61</v>
      </c>
      <c r="H564" s="1350">
        <v>0.15</v>
      </c>
      <c r="I564" s="399">
        <f t="shared" si="8"/>
        <v>1.04</v>
      </c>
      <c r="J564" s="261"/>
      <c r="K564" s="1227"/>
      <c r="L564" s="262"/>
      <c r="M564" s="262"/>
      <c r="N564" s="262"/>
    </row>
    <row r="565" spans="1:14" s="263" customFormat="1" hidden="1" outlineLevel="1">
      <c r="A565" s="1225"/>
      <c r="B565" s="260"/>
      <c r="C565" s="457"/>
      <c r="D565" s="460"/>
      <c r="E565" s="439"/>
      <c r="F565" s="1350"/>
      <c r="G565" s="1350"/>
      <c r="H565" s="1350"/>
      <c r="I565" s="399" t="str">
        <f t="shared" si="8"/>
        <v/>
      </c>
      <c r="J565" s="261"/>
      <c r="K565" s="1227"/>
      <c r="L565" s="262"/>
      <c r="M565" s="262"/>
      <c r="N565" s="262"/>
    </row>
    <row r="566" spans="1:14" s="263" customFormat="1" hidden="1" outlineLevel="1">
      <c r="A566" s="1225"/>
      <c r="B566" s="260"/>
      <c r="C566" s="457" t="s">
        <v>2</v>
      </c>
      <c r="D566" s="460">
        <v>1</v>
      </c>
      <c r="E566" s="439">
        <v>2</v>
      </c>
      <c r="F566" s="1350">
        <v>6.5900000000000007</v>
      </c>
      <c r="G566" s="1350">
        <v>0.61</v>
      </c>
      <c r="H566" s="1350">
        <v>0.15</v>
      </c>
      <c r="I566" s="399">
        <f t="shared" si="8"/>
        <v>1.21</v>
      </c>
      <c r="J566" s="261"/>
      <c r="K566" s="1227"/>
      <c r="L566" s="262"/>
      <c r="M566" s="262"/>
      <c r="N566" s="262"/>
    </row>
    <row r="567" spans="1:14" s="263" customFormat="1" hidden="1" outlineLevel="1">
      <c r="A567" s="1225"/>
      <c r="B567" s="260"/>
      <c r="C567" s="457"/>
      <c r="D567" s="460"/>
      <c r="E567" s="439"/>
      <c r="F567" s="1350"/>
      <c r="G567" s="1350"/>
      <c r="H567" s="1350"/>
      <c r="I567" s="399" t="str">
        <f t="shared" si="8"/>
        <v/>
      </c>
      <c r="J567" s="261"/>
      <c r="K567" s="1227"/>
      <c r="L567" s="262"/>
      <c r="M567" s="262"/>
      <c r="N567" s="262"/>
    </row>
    <row r="568" spans="1:14" s="263" customFormat="1" hidden="1" outlineLevel="1">
      <c r="A568" s="1225"/>
      <c r="B568" s="260"/>
      <c r="C568" s="457" t="s">
        <v>2</v>
      </c>
      <c r="D568" s="460">
        <v>1</v>
      </c>
      <c r="E568" s="439">
        <v>1</v>
      </c>
      <c r="F568" s="1350">
        <v>7.79</v>
      </c>
      <c r="G568" s="1350">
        <v>0.61</v>
      </c>
      <c r="H568" s="1350">
        <v>0.15</v>
      </c>
      <c r="I568" s="399">
        <f t="shared" si="8"/>
        <v>0.71</v>
      </c>
      <c r="J568" s="261"/>
      <c r="K568" s="1227"/>
      <c r="L568" s="262"/>
      <c r="M568" s="262"/>
      <c r="N568" s="262"/>
    </row>
    <row r="569" spans="1:14" s="263" customFormat="1" hidden="1" outlineLevel="1">
      <c r="A569" s="1225"/>
      <c r="B569" s="260"/>
      <c r="C569" s="457"/>
      <c r="D569" s="460"/>
      <c r="E569" s="439"/>
      <c r="F569" s="1350"/>
      <c r="G569" s="1350"/>
      <c r="H569" s="1350"/>
      <c r="I569" s="399" t="str">
        <f t="shared" si="8"/>
        <v/>
      </c>
      <c r="J569" s="261"/>
      <c r="K569" s="1227"/>
      <c r="L569" s="262"/>
      <c r="M569" s="262"/>
      <c r="N569" s="262"/>
    </row>
    <row r="570" spans="1:14" s="263" customFormat="1" hidden="1" outlineLevel="1">
      <c r="A570" s="1225"/>
      <c r="B570" s="260"/>
      <c r="C570" s="457" t="s">
        <v>2</v>
      </c>
      <c r="D570" s="460">
        <v>1</v>
      </c>
      <c r="E570" s="439">
        <v>1</v>
      </c>
      <c r="F570" s="1350">
        <v>2.11</v>
      </c>
      <c r="G570" s="1350">
        <v>0.61</v>
      </c>
      <c r="H570" s="1350">
        <v>0.15</v>
      </c>
      <c r="I570" s="399">
        <f t="shared" si="8"/>
        <v>0.19</v>
      </c>
      <c r="J570" s="261"/>
      <c r="K570" s="1227"/>
      <c r="L570" s="262"/>
      <c r="M570" s="262"/>
      <c r="N570" s="262"/>
    </row>
    <row r="571" spans="1:14" s="263" customFormat="1" hidden="1" outlineLevel="1">
      <c r="A571" s="1225"/>
      <c r="B571" s="260"/>
      <c r="C571" s="457"/>
      <c r="D571" s="460"/>
      <c r="E571" s="439"/>
      <c r="F571" s="1350"/>
      <c r="G571" s="1350"/>
      <c r="H571" s="1350"/>
      <c r="I571" s="399" t="str">
        <f t="shared" si="8"/>
        <v/>
      </c>
      <c r="J571" s="261"/>
      <c r="K571" s="1227"/>
      <c r="L571" s="262"/>
      <c r="M571" s="262"/>
      <c r="N571" s="262"/>
    </row>
    <row r="572" spans="1:14" s="263" customFormat="1" hidden="1" outlineLevel="1">
      <c r="A572" s="1225"/>
      <c r="B572" s="260" t="s">
        <v>235</v>
      </c>
      <c r="C572" s="457" t="s">
        <v>2</v>
      </c>
      <c r="D572" s="460">
        <v>1</v>
      </c>
      <c r="E572" s="439">
        <v>1</v>
      </c>
      <c r="F572" s="1350">
        <v>11.38</v>
      </c>
      <c r="G572" s="1350">
        <v>0.61</v>
      </c>
      <c r="H572" s="1350">
        <v>0.15</v>
      </c>
      <c r="I572" s="399">
        <f t="shared" si="8"/>
        <v>1.04</v>
      </c>
      <c r="J572" s="261"/>
      <c r="K572" s="1227"/>
      <c r="L572" s="262"/>
      <c r="M572" s="262"/>
      <c r="N572" s="262"/>
    </row>
    <row r="573" spans="1:14" s="263" customFormat="1" hidden="1" outlineLevel="1">
      <c r="A573" s="1225"/>
      <c r="B573" s="260" t="s">
        <v>184</v>
      </c>
      <c r="C573" s="457" t="s">
        <v>2</v>
      </c>
      <c r="D573" s="460">
        <v>1</v>
      </c>
      <c r="E573" s="439">
        <v>4</v>
      </c>
      <c r="F573" s="1350">
        <v>3.15</v>
      </c>
      <c r="G573" s="1350">
        <v>0.22</v>
      </c>
      <c r="H573" s="1350">
        <v>0.15</v>
      </c>
      <c r="I573" s="399">
        <f t="shared" si="8"/>
        <v>0.42</v>
      </c>
      <c r="J573" s="261"/>
      <c r="K573" s="1227"/>
      <c r="L573" s="262"/>
      <c r="M573" s="262"/>
      <c r="N573" s="262"/>
    </row>
    <row r="574" spans="1:14" s="263" customFormat="1" hidden="1" outlineLevel="1">
      <c r="A574" s="1225"/>
      <c r="B574" s="260"/>
      <c r="C574" s="457"/>
      <c r="D574" s="460"/>
      <c r="E574" s="439"/>
      <c r="F574" s="1350"/>
      <c r="G574" s="1350"/>
      <c r="H574" s="1350"/>
      <c r="I574" s="399" t="str">
        <f t="shared" si="8"/>
        <v/>
      </c>
      <c r="J574" s="261"/>
      <c r="K574" s="1227"/>
      <c r="L574" s="262"/>
      <c r="M574" s="262"/>
      <c r="N574" s="262"/>
    </row>
    <row r="575" spans="1:14" s="263" customFormat="1" hidden="1" outlineLevel="1">
      <c r="A575" s="1225"/>
      <c r="B575" s="260" t="s">
        <v>236</v>
      </c>
      <c r="C575" s="457" t="s">
        <v>2</v>
      </c>
      <c r="D575" s="460">
        <v>1</v>
      </c>
      <c r="E575" s="439">
        <v>3</v>
      </c>
      <c r="F575" s="1350">
        <v>0.61499999999999999</v>
      </c>
      <c r="G575" s="1350">
        <v>0.61</v>
      </c>
      <c r="H575" s="1350">
        <v>0.15</v>
      </c>
      <c r="I575" s="399">
        <f t="shared" si="8"/>
        <v>0.17</v>
      </c>
      <c r="J575" s="261"/>
      <c r="K575" s="1227"/>
      <c r="L575" s="262"/>
      <c r="M575" s="262"/>
      <c r="N575" s="262"/>
    </row>
    <row r="576" spans="1:14" s="263" customFormat="1" hidden="1" outlineLevel="1">
      <c r="A576" s="1225"/>
      <c r="B576" s="260"/>
      <c r="C576" s="457"/>
      <c r="D576" s="460"/>
      <c r="E576" s="439"/>
      <c r="F576" s="1350"/>
      <c r="G576" s="1350"/>
      <c r="H576" s="1350"/>
      <c r="I576" s="399" t="str">
        <f t="shared" si="8"/>
        <v/>
      </c>
      <c r="J576" s="261"/>
      <c r="K576" s="1227"/>
      <c r="L576" s="262"/>
      <c r="M576" s="262"/>
      <c r="N576" s="262"/>
    </row>
    <row r="577" spans="1:14" s="263" customFormat="1" hidden="1" outlineLevel="1">
      <c r="A577" s="1225"/>
      <c r="B577" s="260"/>
      <c r="C577" s="457" t="s">
        <v>2</v>
      </c>
      <c r="D577" s="460">
        <v>1</v>
      </c>
      <c r="E577" s="439">
        <v>6</v>
      </c>
      <c r="F577" s="1350">
        <v>3.36</v>
      </c>
      <c r="G577" s="1350">
        <v>0.61</v>
      </c>
      <c r="H577" s="1350">
        <v>0.15</v>
      </c>
      <c r="I577" s="399">
        <f t="shared" si="8"/>
        <v>1.84</v>
      </c>
      <c r="J577" s="261"/>
      <c r="K577" s="1227"/>
      <c r="L577" s="262"/>
      <c r="M577" s="262"/>
      <c r="N577" s="262"/>
    </row>
    <row r="578" spans="1:14" s="263" customFormat="1" hidden="1" outlineLevel="1">
      <c r="A578" s="1225"/>
      <c r="B578" s="260"/>
      <c r="C578" s="457"/>
      <c r="D578" s="460"/>
      <c r="E578" s="439"/>
      <c r="F578" s="1350"/>
      <c r="G578" s="1350"/>
      <c r="H578" s="1350"/>
      <c r="I578" s="399" t="str">
        <f t="shared" si="8"/>
        <v/>
      </c>
      <c r="J578" s="261"/>
      <c r="K578" s="1227"/>
      <c r="L578" s="262"/>
      <c r="M578" s="262"/>
      <c r="N578" s="262"/>
    </row>
    <row r="579" spans="1:14" s="263" customFormat="1" hidden="1" outlineLevel="1">
      <c r="A579" s="1225"/>
      <c r="B579" s="260"/>
      <c r="C579" s="457" t="s">
        <v>2</v>
      </c>
      <c r="D579" s="460">
        <v>1</v>
      </c>
      <c r="E579" s="439">
        <v>7</v>
      </c>
      <c r="F579" s="1350">
        <v>0.90999999999999992</v>
      </c>
      <c r="G579" s="1350">
        <v>0.61</v>
      </c>
      <c r="H579" s="1350">
        <v>0.15</v>
      </c>
      <c r="I579" s="399">
        <f t="shared" si="8"/>
        <v>0.57999999999999996</v>
      </c>
      <c r="J579" s="261"/>
      <c r="K579" s="1227"/>
      <c r="L579" s="262"/>
      <c r="M579" s="262"/>
      <c r="N579" s="262"/>
    </row>
    <row r="580" spans="1:14" s="263" customFormat="1" hidden="1" outlineLevel="1">
      <c r="A580" s="1225"/>
      <c r="B580" s="260"/>
      <c r="C580" s="457"/>
      <c r="D580" s="460"/>
      <c r="E580" s="439"/>
      <c r="F580" s="1350"/>
      <c r="G580" s="1350"/>
      <c r="H580" s="1350"/>
      <c r="I580" s="399" t="str">
        <f t="shared" si="8"/>
        <v/>
      </c>
      <c r="J580" s="261"/>
      <c r="K580" s="1227"/>
      <c r="L580" s="262"/>
      <c r="M580" s="262"/>
      <c r="N580" s="262"/>
    </row>
    <row r="581" spans="1:14" s="263" customFormat="1" hidden="1" outlineLevel="1">
      <c r="A581" s="1225"/>
      <c r="B581" s="260"/>
      <c r="C581" s="457" t="s">
        <v>2</v>
      </c>
      <c r="D581" s="460">
        <v>1</v>
      </c>
      <c r="E581" s="439">
        <v>1</v>
      </c>
      <c r="F581" s="1350">
        <v>2.1350000000000002</v>
      </c>
      <c r="G581" s="1350">
        <v>0.61</v>
      </c>
      <c r="H581" s="1350">
        <v>0.15</v>
      </c>
      <c r="I581" s="399">
        <f t="shared" si="8"/>
        <v>0.2</v>
      </c>
      <c r="J581" s="261"/>
      <c r="K581" s="1227"/>
      <c r="L581" s="262"/>
      <c r="M581" s="262"/>
      <c r="N581" s="262"/>
    </row>
    <row r="582" spans="1:14" s="263" customFormat="1" ht="51.75" hidden="1" outlineLevel="1">
      <c r="A582" s="1225"/>
      <c r="B582" s="260" t="s">
        <v>237</v>
      </c>
      <c r="C582" s="457"/>
      <c r="D582" s="460"/>
      <c r="E582" s="439"/>
      <c r="F582" s="1350"/>
      <c r="G582" s="1350"/>
      <c r="H582" s="1350"/>
      <c r="I582" s="399" t="str">
        <f t="shared" si="8"/>
        <v/>
      </c>
      <c r="J582" s="261"/>
      <c r="K582" s="1227"/>
      <c r="L582" s="262"/>
      <c r="M582" s="262"/>
      <c r="N582" s="262"/>
    </row>
    <row r="583" spans="1:14" s="263" customFormat="1" hidden="1" outlineLevel="1">
      <c r="A583" s="1225"/>
      <c r="B583" s="260" t="s">
        <v>238</v>
      </c>
      <c r="C583" s="457" t="s">
        <v>2</v>
      </c>
      <c r="D583" s="460">
        <v>1</v>
      </c>
      <c r="E583" s="439">
        <v>1</v>
      </c>
      <c r="F583" s="1350">
        <v>19.75</v>
      </c>
      <c r="G583" s="1350">
        <v>0.61</v>
      </c>
      <c r="H583" s="1350">
        <v>0.15</v>
      </c>
      <c r="I583" s="399">
        <f t="shared" si="8"/>
        <v>1.81</v>
      </c>
      <c r="J583" s="261"/>
      <c r="K583" s="1227"/>
      <c r="L583" s="262"/>
      <c r="M583" s="262"/>
      <c r="N583" s="262"/>
    </row>
    <row r="584" spans="1:14" s="263" customFormat="1" hidden="1" outlineLevel="1">
      <c r="A584" s="1225"/>
      <c r="B584" s="260" t="s">
        <v>239</v>
      </c>
      <c r="C584" s="457" t="s">
        <v>2</v>
      </c>
      <c r="D584" s="460">
        <v>1</v>
      </c>
      <c r="E584" s="439">
        <v>3</v>
      </c>
      <c r="F584" s="1350">
        <v>3.3</v>
      </c>
      <c r="G584" s="1350">
        <v>0.22</v>
      </c>
      <c r="H584" s="1350">
        <v>0.15</v>
      </c>
      <c r="I584" s="399">
        <f t="shared" ref="I584:I647" si="9">IF(D584&lt;&gt;0,ROUND(PRODUCT(E584:H584)*D584,2),"")</f>
        <v>0.33</v>
      </c>
      <c r="J584" s="261"/>
      <c r="K584" s="1227"/>
      <c r="L584" s="262"/>
      <c r="M584" s="262"/>
      <c r="N584" s="262"/>
    </row>
    <row r="585" spans="1:14" s="263" customFormat="1" hidden="1" outlineLevel="1">
      <c r="A585" s="1225"/>
      <c r="B585" s="260"/>
      <c r="C585" s="457"/>
      <c r="D585" s="460"/>
      <c r="E585" s="439"/>
      <c r="F585" s="1350"/>
      <c r="G585" s="1350"/>
      <c r="H585" s="1350"/>
      <c r="I585" s="399" t="str">
        <f t="shared" si="9"/>
        <v/>
      </c>
      <c r="J585" s="261"/>
      <c r="K585" s="1227"/>
      <c r="L585" s="262"/>
      <c r="M585" s="262"/>
      <c r="N585" s="262"/>
    </row>
    <row r="586" spans="1:14" s="263" customFormat="1" hidden="1" outlineLevel="1">
      <c r="A586" s="1225"/>
      <c r="B586" s="260" t="s">
        <v>240</v>
      </c>
      <c r="C586" s="457" t="s">
        <v>2</v>
      </c>
      <c r="D586" s="460">
        <v>2</v>
      </c>
      <c r="E586" s="439">
        <v>1</v>
      </c>
      <c r="F586" s="1350">
        <v>2</v>
      </c>
      <c r="G586" s="1350">
        <v>0.61</v>
      </c>
      <c r="H586" s="1350">
        <v>0.15</v>
      </c>
      <c r="I586" s="399">
        <f t="shared" si="9"/>
        <v>0.37</v>
      </c>
      <c r="J586" s="261"/>
      <c r="K586" s="1227"/>
      <c r="L586" s="262"/>
      <c r="M586" s="262"/>
      <c r="N586" s="262"/>
    </row>
    <row r="587" spans="1:14" s="263" customFormat="1" hidden="1" outlineLevel="1">
      <c r="A587" s="1225"/>
      <c r="B587" s="260"/>
      <c r="C587" s="457"/>
      <c r="D587" s="460"/>
      <c r="E587" s="439"/>
      <c r="F587" s="1350"/>
      <c r="G587" s="1350"/>
      <c r="H587" s="1350"/>
      <c r="I587" s="399" t="str">
        <f t="shared" si="9"/>
        <v/>
      </c>
      <c r="J587" s="261"/>
      <c r="K587" s="1227"/>
      <c r="L587" s="262"/>
      <c r="M587" s="262"/>
      <c r="N587" s="262"/>
    </row>
    <row r="588" spans="1:14" s="263" customFormat="1" hidden="1" outlineLevel="1">
      <c r="A588" s="1225"/>
      <c r="B588" s="260"/>
      <c r="C588" s="457" t="s">
        <v>2</v>
      </c>
      <c r="D588" s="460">
        <v>1</v>
      </c>
      <c r="E588" s="439">
        <v>3</v>
      </c>
      <c r="F588" s="1350">
        <v>2.4350000000000001</v>
      </c>
      <c r="G588" s="1350">
        <v>0.61</v>
      </c>
      <c r="H588" s="1350">
        <v>0.15</v>
      </c>
      <c r="I588" s="399">
        <f t="shared" si="9"/>
        <v>0.67</v>
      </c>
      <c r="J588" s="261"/>
      <c r="K588" s="1227"/>
      <c r="L588" s="262"/>
      <c r="M588" s="262"/>
      <c r="N588" s="262"/>
    </row>
    <row r="589" spans="1:14" s="263" customFormat="1" hidden="1" outlineLevel="1">
      <c r="A589" s="1225"/>
      <c r="B589" s="260"/>
      <c r="C589" s="457"/>
      <c r="D589" s="460"/>
      <c r="E589" s="439"/>
      <c r="F589" s="1350"/>
      <c r="G589" s="1350"/>
      <c r="H589" s="1350"/>
      <c r="I589" s="399" t="str">
        <f t="shared" si="9"/>
        <v/>
      </c>
      <c r="J589" s="261"/>
      <c r="K589" s="1227"/>
      <c r="L589" s="262"/>
      <c r="M589" s="262"/>
      <c r="N589" s="262"/>
    </row>
    <row r="590" spans="1:14" s="263" customFormat="1" hidden="1" outlineLevel="1">
      <c r="A590" s="1225"/>
      <c r="B590" s="260"/>
      <c r="C590" s="457" t="s">
        <v>2</v>
      </c>
      <c r="D590" s="460">
        <v>1</v>
      </c>
      <c r="E590" s="439">
        <v>1</v>
      </c>
      <c r="F590" s="1350">
        <v>2.44</v>
      </c>
      <c r="G590" s="1350">
        <v>0.61</v>
      </c>
      <c r="H590" s="1350">
        <v>0.15</v>
      </c>
      <c r="I590" s="399">
        <f t="shared" si="9"/>
        <v>0.22</v>
      </c>
      <c r="J590" s="261"/>
      <c r="K590" s="1227"/>
      <c r="L590" s="262"/>
      <c r="M590" s="262"/>
      <c r="N590" s="262"/>
    </row>
    <row r="591" spans="1:14" s="263" customFormat="1" hidden="1" outlineLevel="1">
      <c r="A591" s="1225"/>
      <c r="B591" s="260"/>
      <c r="C591" s="457"/>
      <c r="D591" s="460"/>
      <c r="E591" s="439"/>
      <c r="F591" s="1350"/>
      <c r="G591" s="1350"/>
      <c r="H591" s="1350"/>
      <c r="I591" s="399" t="str">
        <f t="shared" si="9"/>
        <v/>
      </c>
      <c r="J591" s="261"/>
      <c r="K591" s="1227"/>
      <c r="L591" s="262"/>
      <c r="M591" s="262"/>
      <c r="N591" s="262"/>
    </row>
    <row r="592" spans="1:14" s="263" customFormat="1" hidden="1" outlineLevel="1">
      <c r="A592" s="1225"/>
      <c r="B592" s="260"/>
      <c r="C592" s="457" t="s">
        <v>2</v>
      </c>
      <c r="D592" s="460">
        <v>1</v>
      </c>
      <c r="E592" s="439">
        <v>1</v>
      </c>
      <c r="F592" s="1350">
        <v>2.13</v>
      </c>
      <c r="G592" s="1350">
        <v>0.61</v>
      </c>
      <c r="H592" s="1350">
        <v>0.15</v>
      </c>
      <c r="I592" s="399">
        <f t="shared" si="9"/>
        <v>0.19</v>
      </c>
      <c r="J592" s="261"/>
      <c r="K592" s="1227"/>
      <c r="L592" s="262"/>
      <c r="M592" s="262"/>
      <c r="N592" s="262"/>
    </row>
    <row r="593" spans="1:14" s="263" customFormat="1" hidden="1" outlineLevel="1">
      <c r="A593" s="1225"/>
      <c r="B593" s="260"/>
      <c r="C593" s="457"/>
      <c r="D593" s="460"/>
      <c r="E593" s="439"/>
      <c r="F593" s="1350"/>
      <c r="G593" s="1350"/>
      <c r="H593" s="1350"/>
      <c r="I593" s="399" t="str">
        <f t="shared" si="9"/>
        <v/>
      </c>
      <c r="J593" s="261"/>
      <c r="K593" s="1227"/>
      <c r="L593" s="262"/>
      <c r="M593" s="262"/>
      <c r="N593" s="262"/>
    </row>
    <row r="594" spans="1:14" s="263" customFormat="1" hidden="1" outlineLevel="1">
      <c r="A594" s="1225"/>
      <c r="B594" s="260"/>
      <c r="C594" s="457" t="s">
        <v>2</v>
      </c>
      <c r="D594" s="460">
        <v>1</v>
      </c>
      <c r="E594" s="439">
        <v>1</v>
      </c>
      <c r="F594" s="1350">
        <v>2.09</v>
      </c>
      <c r="G594" s="1350">
        <v>0.61</v>
      </c>
      <c r="H594" s="1350">
        <v>0.15</v>
      </c>
      <c r="I594" s="399">
        <f t="shared" si="9"/>
        <v>0.19</v>
      </c>
      <c r="J594" s="261"/>
      <c r="K594" s="1227"/>
      <c r="L594" s="262"/>
      <c r="M594" s="262"/>
      <c r="N594" s="262"/>
    </row>
    <row r="595" spans="1:14" s="263" customFormat="1" hidden="1" outlineLevel="1">
      <c r="A595" s="1225"/>
      <c r="B595" s="260"/>
      <c r="C595" s="457"/>
      <c r="D595" s="460"/>
      <c r="E595" s="439"/>
      <c r="F595" s="1350"/>
      <c r="G595" s="1350"/>
      <c r="H595" s="1350"/>
      <c r="I595" s="399" t="str">
        <f t="shared" si="9"/>
        <v/>
      </c>
      <c r="J595" s="261"/>
      <c r="K595" s="1227"/>
      <c r="L595" s="262"/>
      <c r="M595" s="262"/>
      <c r="N595" s="262"/>
    </row>
    <row r="596" spans="1:14" s="263" customFormat="1" hidden="1" outlineLevel="1">
      <c r="A596" s="1225"/>
      <c r="B596" s="260"/>
      <c r="C596" s="457" t="s">
        <v>2</v>
      </c>
      <c r="D596" s="460">
        <v>1</v>
      </c>
      <c r="E596" s="439">
        <v>2</v>
      </c>
      <c r="F596" s="1350">
        <v>5.3449999999999998</v>
      </c>
      <c r="G596" s="1350">
        <v>0.61</v>
      </c>
      <c r="H596" s="1350">
        <v>0.15</v>
      </c>
      <c r="I596" s="399">
        <f t="shared" si="9"/>
        <v>0.98</v>
      </c>
      <c r="J596" s="261"/>
      <c r="K596" s="1227"/>
      <c r="L596" s="262"/>
      <c r="M596" s="262"/>
      <c r="N596" s="262"/>
    </row>
    <row r="597" spans="1:14" s="263" customFormat="1" hidden="1" outlineLevel="1">
      <c r="A597" s="1225"/>
      <c r="B597" s="260"/>
      <c r="C597" s="457"/>
      <c r="D597" s="460"/>
      <c r="E597" s="439"/>
      <c r="F597" s="1350"/>
      <c r="G597" s="1350"/>
      <c r="H597" s="1350"/>
      <c r="I597" s="399" t="str">
        <f t="shared" si="9"/>
        <v/>
      </c>
      <c r="J597" s="261"/>
      <c r="K597" s="1227"/>
      <c r="L597" s="262"/>
      <c r="M597" s="262"/>
      <c r="N597" s="262"/>
    </row>
    <row r="598" spans="1:14" s="263" customFormat="1" hidden="1" outlineLevel="1">
      <c r="A598" s="1225"/>
      <c r="B598" s="260"/>
      <c r="C598" s="457" t="s">
        <v>2</v>
      </c>
      <c r="D598" s="460">
        <v>1</v>
      </c>
      <c r="E598" s="439">
        <v>2</v>
      </c>
      <c r="F598" s="1350">
        <v>6.38</v>
      </c>
      <c r="G598" s="1350">
        <v>0.61</v>
      </c>
      <c r="H598" s="1350">
        <v>0.15</v>
      </c>
      <c r="I598" s="399">
        <f t="shared" si="9"/>
        <v>1.17</v>
      </c>
      <c r="J598" s="261"/>
      <c r="K598" s="1227"/>
      <c r="L598" s="262"/>
      <c r="M598" s="262"/>
      <c r="N598" s="262"/>
    </row>
    <row r="599" spans="1:14" s="263" customFormat="1" hidden="1" outlineLevel="1">
      <c r="A599" s="1225"/>
      <c r="B599" s="260"/>
      <c r="C599" s="457"/>
      <c r="D599" s="460"/>
      <c r="E599" s="439"/>
      <c r="F599" s="1350"/>
      <c r="G599" s="1350"/>
      <c r="H599" s="1350"/>
      <c r="I599" s="399" t="str">
        <f t="shared" si="9"/>
        <v/>
      </c>
      <c r="J599" s="261"/>
      <c r="K599" s="1227"/>
      <c r="L599" s="262"/>
      <c r="M599" s="262"/>
      <c r="N599" s="262"/>
    </row>
    <row r="600" spans="1:14" s="263" customFormat="1" hidden="1" outlineLevel="1">
      <c r="A600" s="1225"/>
      <c r="B600" s="260"/>
      <c r="C600" s="457" t="s">
        <v>2</v>
      </c>
      <c r="D600" s="460">
        <v>1</v>
      </c>
      <c r="E600" s="439">
        <v>2</v>
      </c>
      <c r="F600" s="1350">
        <v>6.95</v>
      </c>
      <c r="G600" s="1350">
        <v>0.61</v>
      </c>
      <c r="H600" s="1350">
        <v>0.15</v>
      </c>
      <c r="I600" s="399">
        <f t="shared" si="9"/>
        <v>1.27</v>
      </c>
      <c r="J600" s="261"/>
      <c r="K600" s="1227"/>
      <c r="L600" s="262"/>
      <c r="M600" s="262"/>
      <c r="N600" s="262"/>
    </row>
    <row r="601" spans="1:14" s="263" customFormat="1" hidden="1" outlineLevel="1">
      <c r="A601" s="1225"/>
      <c r="B601" s="260"/>
      <c r="C601" s="457"/>
      <c r="D601" s="460"/>
      <c r="E601" s="439"/>
      <c r="F601" s="1350"/>
      <c r="G601" s="1350"/>
      <c r="H601" s="1350"/>
      <c r="I601" s="399" t="str">
        <f t="shared" si="9"/>
        <v/>
      </c>
      <c r="J601" s="261"/>
      <c r="K601" s="1227"/>
      <c r="L601" s="262"/>
      <c r="M601" s="262"/>
      <c r="N601" s="262"/>
    </row>
    <row r="602" spans="1:14" s="263" customFormat="1" hidden="1" outlineLevel="1">
      <c r="A602" s="1225"/>
      <c r="B602" s="260"/>
      <c r="C602" s="457" t="s">
        <v>2</v>
      </c>
      <c r="D602" s="460">
        <v>1</v>
      </c>
      <c r="E602" s="439">
        <v>2</v>
      </c>
      <c r="F602" s="1350">
        <v>6.12</v>
      </c>
      <c r="G602" s="1350">
        <v>0.61</v>
      </c>
      <c r="H602" s="1350">
        <v>0.15</v>
      </c>
      <c r="I602" s="399">
        <f t="shared" si="9"/>
        <v>1.1200000000000001</v>
      </c>
      <c r="J602" s="261"/>
      <c r="K602" s="1227"/>
      <c r="L602" s="262"/>
      <c r="M602" s="262"/>
      <c r="N602" s="262"/>
    </row>
    <row r="603" spans="1:14" s="263" customFormat="1" hidden="1" outlineLevel="1">
      <c r="A603" s="1225"/>
      <c r="B603" s="260"/>
      <c r="C603" s="457"/>
      <c r="D603" s="460"/>
      <c r="E603" s="439"/>
      <c r="F603" s="1350"/>
      <c r="G603" s="1350"/>
      <c r="H603" s="1350"/>
      <c r="I603" s="399" t="str">
        <f t="shared" si="9"/>
        <v/>
      </c>
      <c r="J603" s="261"/>
      <c r="K603" s="1227"/>
      <c r="L603" s="262"/>
      <c r="M603" s="262"/>
      <c r="N603" s="262"/>
    </row>
    <row r="604" spans="1:14" s="263" customFormat="1" hidden="1" outlineLevel="1">
      <c r="A604" s="1225"/>
      <c r="B604" s="260"/>
      <c r="C604" s="457" t="s">
        <v>2</v>
      </c>
      <c r="D604" s="460">
        <v>1</v>
      </c>
      <c r="E604" s="439">
        <v>2</v>
      </c>
      <c r="F604" s="1350">
        <v>4.6449999999999996</v>
      </c>
      <c r="G604" s="1350">
        <v>0.61</v>
      </c>
      <c r="H604" s="1350">
        <v>0.15</v>
      </c>
      <c r="I604" s="399">
        <f t="shared" si="9"/>
        <v>0.85</v>
      </c>
      <c r="J604" s="261"/>
      <c r="K604" s="1227"/>
      <c r="L604" s="262"/>
      <c r="M604" s="262"/>
      <c r="N604" s="262"/>
    </row>
    <row r="605" spans="1:14" s="263" customFormat="1" hidden="1" outlineLevel="1">
      <c r="A605" s="1225"/>
      <c r="B605" s="260"/>
      <c r="C605" s="457"/>
      <c r="D605" s="460"/>
      <c r="E605" s="439"/>
      <c r="F605" s="1350"/>
      <c r="G605" s="1350"/>
      <c r="H605" s="1350"/>
      <c r="I605" s="399" t="str">
        <f t="shared" si="9"/>
        <v/>
      </c>
      <c r="J605" s="261"/>
      <c r="K605" s="1227"/>
      <c r="L605" s="262"/>
      <c r="M605" s="262"/>
      <c r="N605" s="262"/>
    </row>
    <row r="606" spans="1:14" s="263" customFormat="1" hidden="1" outlineLevel="1">
      <c r="A606" s="1225"/>
      <c r="B606" s="260"/>
      <c r="C606" s="457" t="s">
        <v>2</v>
      </c>
      <c r="D606" s="460">
        <v>1</v>
      </c>
      <c r="E606" s="439">
        <v>2</v>
      </c>
      <c r="F606" s="1350">
        <v>3</v>
      </c>
      <c r="G606" s="1350">
        <v>0.61</v>
      </c>
      <c r="H606" s="1350">
        <v>0.15</v>
      </c>
      <c r="I606" s="399">
        <f t="shared" si="9"/>
        <v>0.55000000000000004</v>
      </c>
      <c r="J606" s="261"/>
      <c r="K606" s="1227"/>
      <c r="L606" s="262"/>
      <c r="M606" s="262"/>
      <c r="N606" s="262"/>
    </row>
    <row r="607" spans="1:14" s="263" customFormat="1" hidden="1" outlineLevel="1">
      <c r="A607" s="1225"/>
      <c r="B607" s="260"/>
      <c r="C607" s="457"/>
      <c r="D607" s="460"/>
      <c r="E607" s="439"/>
      <c r="F607" s="1350"/>
      <c r="G607" s="1350"/>
      <c r="H607" s="1350"/>
      <c r="I607" s="399" t="str">
        <f t="shared" si="9"/>
        <v/>
      </c>
      <c r="J607" s="261"/>
      <c r="K607" s="1227"/>
      <c r="L607" s="262"/>
      <c r="M607" s="262"/>
      <c r="N607" s="262"/>
    </row>
    <row r="608" spans="1:14" s="263" customFormat="1" hidden="1" outlineLevel="1">
      <c r="A608" s="1225"/>
      <c r="B608" s="260"/>
      <c r="C608" s="457" t="s">
        <v>2</v>
      </c>
      <c r="D608" s="460">
        <v>1</v>
      </c>
      <c r="E608" s="439">
        <v>4</v>
      </c>
      <c r="F608" s="1350">
        <v>0.61499999999999999</v>
      </c>
      <c r="G608" s="1350">
        <v>0.61</v>
      </c>
      <c r="H608" s="1350">
        <v>0.15</v>
      </c>
      <c r="I608" s="399">
        <f t="shared" si="9"/>
        <v>0.23</v>
      </c>
      <c r="J608" s="261"/>
      <c r="K608" s="1227"/>
      <c r="L608" s="262"/>
      <c r="M608" s="262"/>
      <c r="N608" s="262"/>
    </row>
    <row r="609" spans="1:14" s="263" customFormat="1" hidden="1" outlineLevel="1">
      <c r="A609" s="1225"/>
      <c r="B609" s="260"/>
      <c r="C609" s="457"/>
      <c r="D609" s="460"/>
      <c r="E609" s="439"/>
      <c r="F609" s="1350"/>
      <c r="G609" s="1350"/>
      <c r="H609" s="1350"/>
      <c r="I609" s="399" t="str">
        <f t="shared" si="9"/>
        <v/>
      </c>
      <c r="J609" s="261"/>
      <c r="K609" s="1227"/>
      <c r="L609" s="262"/>
      <c r="M609" s="262"/>
      <c r="N609" s="262"/>
    </row>
    <row r="610" spans="1:14" s="263" customFormat="1" hidden="1" outlineLevel="1">
      <c r="A610" s="1225"/>
      <c r="B610" s="260"/>
      <c r="C610" s="457" t="s">
        <v>2</v>
      </c>
      <c r="D610" s="460">
        <v>1</v>
      </c>
      <c r="E610" s="439">
        <v>2</v>
      </c>
      <c r="F610" s="1350">
        <v>0.61</v>
      </c>
      <c r="G610" s="1350">
        <v>0.61</v>
      </c>
      <c r="H610" s="1350">
        <v>0.15</v>
      </c>
      <c r="I610" s="399">
        <f t="shared" si="9"/>
        <v>0.11</v>
      </c>
      <c r="J610" s="261"/>
      <c r="K610" s="1227"/>
      <c r="L610" s="262"/>
      <c r="M610" s="262"/>
      <c r="N610" s="262"/>
    </row>
    <row r="611" spans="1:14" s="263" customFormat="1" hidden="1" outlineLevel="1">
      <c r="A611" s="1225"/>
      <c r="B611" s="260"/>
      <c r="C611" s="457"/>
      <c r="D611" s="460"/>
      <c r="E611" s="439"/>
      <c r="F611" s="1350"/>
      <c r="G611" s="1350"/>
      <c r="H611" s="1350"/>
      <c r="I611" s="399" t="str">
        <f t="shared" si="9"/>
        <v/>
      </c>
      <c r="J611" s="261"/>
      <c r="K611" s="1227"/>
      <c r="L611" s="262"/>
      <c r="M611" s="262"/>
      <c r="N611" s="262"/>
    </row>
    <row r="612" spans="1:14" s="263" customFormat="1" ht="34.5" hidden="1" outlineLevel="1">
      <c r="A612" s="1225"/>
      <c r="B612" s="260" t="s">
        <v>241</v>
      </c>
      <c r="C612" s="457"/>
      <c r="D612" s="460"/>
      <c r="E612" s="439"/>
      <c r="F612" s="1350"/>
      <c r="G612" s="1350"/>
      <c r="H612" s="1350"/>
      <c r="I612" s="399" t="str">
        <f t="shared" si="9"/>
        <v/>
      </c>
      <c r="J612" s="261"/>
      <c r="K612" s="1227"/>
      <c r="L612" s="262"/>
      <c r="M612" s="262"/>
      <c r="N612" s="262"/>
    </row>
    <row r="613" spans="1:14" s="263" customFormat="1" ht="34.5" hidden="1" outlineLevel="1">
      <c r="A613" s="1225"/>
      <c r="B613" s="260" t="s">
        <v>242</v>
      </c>
      <c r="C613" s="457"/>
      <c r="D613" s="460"/>
      <c r="E613" s="439"/>
      <c r="F613" s="1350"/>
      <c r="G613" s="1350"/>
      <c r="H613" s="1350"/>
      <c r="I613" s="399" t="str">
        <f t="shared" si="9"/>
        <v/>
      </c>
      <c r="J613" s="261"/>
      <c r="K613" s="1227"/>
      <c r="L613" s="262"/>
      <c r="M613" s="262"/>
      <c r="N613" s="262"/>
    </row>
    <row r="614" spans="1:14" s="263" customFormat="1" hidden="1" outlineLevel="1">
      <c r="A614" s="1225"/>
      <c r="B614" s="260" t="s">
        <v>243</v>
      </c>
      <c r="C614" s="457" t="s">
        <v>2</v>
      </c>
      <c r="D614" s="460">
        <v>1</v>
      </c>
      <c r="E614" s="439">
        <v>1</v>
      </c>
      <c r="F614" s="1350">
        <v>8.620000000000001</v>
      </c>
      <c r="G614" s="1350">
        <v>0.61</v>
      </c>
      <c r="H614" s="1350">
        <v>0.15</v>
      </c>
      <c r="I614" s="399">
        <f t="shared" si="9"/>
        <v>0.79</v>
      </c>
      <c r="J614" s="261"/>
      <c r="K614" s="1227"/>
      <c r="L614" s="262"/>
      <c r="M614" s="262"/>
      <c r="N614" s="262"/>
    </row>
    <row r="615" spans="1:14" s="263" customFormat="1" hidden="1" outlineLevel="1">
      <c r="A615" s="1225"/>
      <c r="B615" s="260"/>
      <c r="C615" s="457"/>
      <c r="D615" s="460"/>
      <c r="E615" s="439"/>
      <c r="F615" s="1350"/>
      <c r="G615" s="1350"/>
      <c r="H615" s="1350"/>
      <c r="I615" s="399" t="str">
        <f t="shared" si="9"/>
        <v/>
      </c>
      <c r="J615" s="261"/>
      <c r="K615" s="1227"/>
      <c r="L615" s="262"/>
      <c r="M615" s="262"/>
      <c r="N615" s="262"/>
    </row>
    <row r="616" spans="1:14" s="263" customFormat="1" hidden="1" outlineLevel="1">
      <c r="A616" s="1225"/>
      <c r="B616" s="260"/>
      <c r="C616" s="457" t="s">
        <v>2</v>
      </c>
      <c r="D616" s="460">
        <v>1</v>
      </c>
      <c r="E616" s="439">
        <v>1</v>
      </c>
      <c r="F616" s="1350">
        <v>6.0100000000000007</v>
      </c>
      <c r="G616" s="1350">
        <v>0.61</v>
      </c>
      <c r="H616" s="1350">
        <v>0.15</v>
      </c>
      <c r="I616" s="399">
        <f t="shared" si="9"/>
        <v>0.55000000000000004</v>
      </c>
      <c r="J616" s="261"/>
      <c r="K616" s="1227"/>
      <c r="L616" s="262"/>
      <c r="M616" s="262"/>
      <c r="N616" s="262"/>
    </row>
    <row r="617" spans="1:14" s="263" customFormat="1" hidden="1" outlineLevel="1">
      <c r="A617" s="1225"/>
      <c r="B617" s="260"/>
      <c r="C617" s="457"/>
      <c r="D617" s="460"/>
      <c r="E617" s="439"/>
      <c r="F617" s="1350"/>
      <c r="G617" s="1350"/>
      <c r="H617" s="1350"/>
      <c r="I617" s="399" t="str">
        <f t="shared" si="9"/>
        <v/>
      </c>
      <c r="J617" s="261"/>
      <c r="K617" s="1227"/>
      <c r="L617" s="262"/>
      <c r="M617" s="262"/>
      <c r="N617" s="262"/>
    </row>
    <row r="618" spans="1:14" s="263" customFormat="1" hidden="1" outlineLevel="1">
      <c r="A618" s="1225"/>
      <c r="B618" s="260"/>
      <c r="C618" s="457" t="s">
        <v>2</v>
      </c>
      <c r="D618" s="460">
        <v>1</v>
      </c>
      <c r="E618" s="439">
        <v>2</v>
      </c>
      <c r="F618" s="1350">
        <v>6.61</v>
      </c>
      <c r="G618" s="1350">
        <v>0.61</v>
      </c>
      <c r="H618" s="1350">
        <v>0.15</v>
      </c>
      <c r="I618" s="399">
        <f t="shared" si="9"/>
        <v>1.21</v>
      </c>
      <c r="J618" s="261"/>
      <c r="K618" s="1227"/>
      <c r="L618" s="262"/>
      <c r="M618" s="262"/>
      <c r="N618" s="262"/>
    </row>
    <row r="619" spans="1:14" s="263" customFormat="1" hidden="1" outlineLevel="1">
      <c r="A619" s="1225"/>
      <c r="B619" s="260"/>
      <c r="C619" s="457"/>
      <c r="D619" s="460"/>
      <c r="E619" s="439"/>
      <c r="F619" s="1350"/>
      <c r="G619" s="1350"/>
      <c r="H619" s="1350"/>
      <c r="I619" s="399" t="str">
        <f t="shared" si="9"/>
        <v/>
      </c>
      <c r="J619" s="261"/>
      <c r="K619" s="1227"/>
      <c r="L619" s="262"/>
      <c r="M619" s="262"/>
      <c r="N619" s="262"/>
    </row>
    <row r="620" spans="1:14" s="263" customFormat="1" hidden="1" outlineLevel="1">
      <c r="A620" s="1225"/>
      <c r="B620" s="260"/>
      <c r="C620" s="457" t="s">
        <v>2</v>
      </c>
      <c r="D620" s="460">
        <v>1</v>
      </c>
      <c r="E620" s="439">
        <v>3</v>
      </c>
      <c r="F620" s="1350">
        <v>5.41</v>
      </c>
      <c r="G620" s="1350">
        <v>0.61</v>
      </c>
      <c r="H620" s="1350">
        <v>0.15</v>
      </c>
      <c r="I620" s="399">
        <f t="shared" si="9"/>
        <v>1.49</v>
      </c>
      <c r="J620" s="261"/>
      <c r="K620" s="1227"/>
      <c r="L620" s="262"/>
      <c r="M620" s="262"/>
      <c r="N620" s="262"/>
    </row>
    <row r="621" spans="1:14" s="263" customFormat="1" hidden="1" outlineLevel="1">
      <c r="A621" s="1225"/>
      <c r="B621" s="260"/>
      <c r="C621" s="457"/>
      <c r="D621" s="460"/>
      <c r="E621" s="439"/>
      <c r="F621" s="1350"/>
      <c r="G621" s="1350"/>
      <c r="H621" s="1350"/>
      <c r="I621" s="399" t="str">
        <f t="shared" si="9"/>
        <v/>
      </c>
      <c r="J621" s="261"/>
      <c r="K621" s="1227"/>
      <c r="L621" s="262"/>
      <c r="M621" s="262"/>
      <c r="N621" s="262"/>
    </row>
    <row r="622" spans="1:14" s="263" customFormat="1" hidden="1" outlineLevel="1">
      <c r="A622" s="1225"/>
      <c r="B622" s="260"/>
      <c r="C622" s="457" t="s">
        <v>2</v>
      </c>
      <c r="D622" s="460">
        <v>1</v>
      </c>
      <c r="E622" s="439">
        <v>1</v>
      </c>
      <c r="F622" s="1350">
        <v>1.81</v>
      </c>
      <c r="G622" s="1350">
        <v>0.61</v>
      </c>
      <c r="H622" s="1350">
        <v>0.15</v>
      </c>
      <c r="I622" s="399">
        <f t="shared" si="9"/>
        <v>0.17</v>
      </c>
      <c r="J622" s="261"/>
      <c r="K622" s="1227"/>
      <c r="L622" s="262"/>
      <c r="M622" s="262"/>
      <c r="N622" s="262"/>
    </row>
    <row r="623" spans="1:14" s="263" customFormat="1" hidden="1" outlineLevel="1">
      <c r="A623" s="1225"/>
      <c r="B623" s="260"/>
      <c r="C623" s="457"/>
      <c r="D623" s="460"/>
      <c r="E623" s="439"/>
      <c r="F623" s="1350"/>
      <c r="G623" s="1350"/>
      <c r="H623" s="1350"/>
      <c r="I623" s="399" t="str">
        <f t="shared" si="9"/>
        <v/>
      </c>
      <c r="J623" s="261"/>
      <c r="K623" s="1227"/>
      <c r="L623" s="262"/>
      <c r="M623" s="262"/>
      <c r="N623" s="262"/>
    </row>
    <row r="624" spans="1:14" s="263" customFormat="1" hidden="1" outlineLevel="1">
      <c r="A624" s="1225"/>
      <c r="B624" s="260"/>
      <c r="C624" s="457" t="s">
        <v>2</v>
      </c>
      <c r="D624" s="460">
        <v>1</v>
      </c>
      <c r="E624" s="439">
        <v>1</v>
      </c>
      <c r="F624" s="1350">
        <v>6.01</v>
      </c>
      <c r="G624" s="1350">
        <v>0.61</v>
      </c>
      <c r="H624" s="1350">
        <v>0.15</v>
      </c>
      <c r="I624" s="399">
        <f t="shared" si="9"/>
        <v>0.55000000000000004</v>
      </c>
      <c r="J624" s="261"/>
      <c r="K624" s="1227"/>
      <c r="L624" s="262"/>
      <c r="M624" s="262"/>
      <c r="N624" s="262"/>
    </row>
    <row r="625" spans="1:14" s="263" customFormat="1" hidden="1" outlineLevel="1">
      <c r="A625" s="1225"/>
      <c r="B625" s="260"/>
      <c r="C625" s="457"/>
      <c r="D625" s="460"/>
      <c r="E625" s="439"/>
      <c r="F625" s="1350"/>
      <c r="G625" s="1350"/>
      <c r="H625" s="1350"/>
      <c r="I625" s="399" t="str">
        <f t="shared" si="9"/>
        <v/>
      </c>
      <c r="J625" s="261"/>
      <c r="K625" s="1227"/>
      <c r="L625" s="262"/>
      <c r="M625" s="262"/>
      <c r="N625" s="262"/>
    </row>
    <row r="626" spans="1:14" s="263" customFormat="1" hidden="1" outlineLevel="1">
      <c r="A626" s="1225"/>
      <c r="B626" s="260"/>
      <c r="C626" s="457" t="s">
        <v>2</v>
      </c>
      <c r="D626" s="460">
        <v>1</v>
      </c>
      <c r="E626" s="439">
        <v>1</v>
      </c>
      <c r="F626" s="1350">
        <v>1.21</v>
      </c>
      <c r="G626" s="1350">
        <v>0.61</v>
      </c>
      <c r="H626" s="1350">
        <v>0.15</v>
      </c>
      <c r="I626" s="399">
        <f t="shared" si="9"/>
        <v>0.11</v>
      </c>
      <c r="J626" s="261"/>
      <c r="K626" s="1227"/>
      <c r="L626" s="262"/>
      <c r="M626" s="262"/>
      <c r="N626" s="262"/>
    </row>
    <row r="627" spans="1:14" s="263" customFormat="1" hidden="1" outlineLevel="1">
      <c r="A627" s="1225"/>
      <c r="B627" s="260"/>
      <c r="C627" s="457"/>
      <c r="D627" s="460"/>
      <c r="E627" s="439"/>
      <c r="F627" s="1350"/>
      <c r="G627" s="1350"/>
      <c r="H627" s="1350"/>
      <c r="I627" s="399" t="str">
        <f t="shared" si="9"/>
        <v/>
      </c>
      <c r="J627" s="261"/>
      <c r="K627" s="1227"/>
      <c r="L627" s="262"/>
      <c r="M627" s="262"/>
      <c r="N627" s="262"/>
    </row>
    <row r="628" spans="1:14" s="263" customFormat="1" hidden="1" outlineLevel="1">
      <c r="A628" s="1225"/>
      <c r="B628" s="260"/>
      <c r="C628" s="457" t="s">
        <v>2</v>
      </c>
      <c r="D628" s="460">
        <v>1</v>
      </c>
      <c r="E628" s="439">
        <v>5</v>
      </c>
      <c r="F628" s="1350">
        <v>4.8100000000000005</v>
      </c>
      <c r="G628" s="1350">
        <v>0.61</v>
      </c>
      <c r="H628" s="1350">
        <v>0.15</v>
      </c>
      <c r="I628" s="399">
        <f t="shared" si="9"/>
        <v>2.2000000000000002</v>
      </c>
      <c r="J628" s="261"/>
      <c r="K628" s="1227"/>
      <c r="L628" s="262"/>
      <c r="M628" s="262"/>
      <c r="N628" s="262"/>
    </row>
    <row r="629" spans="1:14" s="263" customFormat="1" hidden="1" outlineLevel="1">
      <c r="A629" s="1225"/>
      <c r="B629" s="260"/>
      <c r="C629" s="457"/>
      <c r="D629" s="460"/>
      <c r="E629" s="439"/>
      <c r="F629" s="1350"/>
      <c r="G629" s="1350"/>
      <c r="H629" s="1350"/>
      <c r="I629" s="399" t="str">
        <f t="shared" si="9"/>
        <v/>
      </c>
      <c r="J629" s="261"/>
      <c r="K629" s="1227"/>
      <c r="L629" s="262"/>
      <c r="M629" s="262"/>
      <c r="N629" s="262"/>
    </row>
    <row r="630" spans="1:14" s="263" customFormat="1" hidden="1" outlineLevel="1">
      <c r="A630" s="1225"/>
      <c r="B630" s="260"/>
      <c r="C630" s="457" t="s">
        <v>2</v>
      </c>
      <c r="D630" s="460">
        <v>1</v>
      </c>
      <c r="E630" s="439">
        <v>1</v>
      </c>
      <c r="F630" s="1350">
        <v>1.21</v>
      </c>
      <c r="G630" s="1350">
        <v>0.61</v>
      </c>
      <c r="H630" s="1350">
        <v>0.15</v>
      </c>
      <c r="I630" s="399">
        <f t="shared" si="9"/>
        <v>0.11</v>
      </c>
      <c r="J630" s="261"/>
      <c r="K630" s="1227"/>
      <c r="L630" s="262"/>
      <c r="M630" s="262"/>
      <c r="N630" s="262"/>
    </row>
    <row r="631" spans="1:14" s="263" customFormat="1" hidden="1" outlineLevel="1">
      <c r="A631" s="1225"/>
      <c r="B631" s="260"/>
      <c r="C631" s="457"/>
      <c r="D631" s="460"/>
      <c r="E631" s="439"/>
      <c r="F631" s="1350"/>
      <c r="G631" s="1350"/>
      <c r="H631" s="1350"/>
      <c r="I631" s="399" t="str">
        <f t="shared" si="9"/>
        <v/>
      </c>
      <c r="J631" s="261"/>
      <c r="K631" s="1227"/>
      <c r="L631" s="262"/>
      <c r="M631" s="262"/>
      <c r="N631" s="262"/>
    </row>
    <row r="632" spans="1:14" s="263" customFormat="1" hidden="1" outlineLevel="1">
      <c r="A632" s="1225"/>
      <c r="B632" s="260"/>
      <c r="C632" s="457" t="s">
        <v>2</v>
      </c>
      <c r="D632" s="460">
        <v>1</v>
      </c>
      <c r="E632" s="439">
        <v>1</v>
      </c>
      <c r="F632" s="1350">
        <v>5.41</v>
      </c>
      <c r="G632" s="1350">
        <v>0.61</v>
      </c>
      <c r="H632" s="1350">
        <v>0.15</v>
      </c>
      <c r="I632" s="399">
        <f t="shared" si="9"/>
        <v>0.5</v>
      </c>
      <c r="J632" s="261"/>
      <c r="K632" s="1227"/>
      <c r="L632" s="262"/>
      <c r="M632" s="262"/>
      <c r="N632" s="262"/>
    </row>
    <row r="633" spans="1:14" s="263" customFormat="1" hidden="1" outlineLevel="1">
      <c r="A633" s="1225"/>
      <c r="B633" s="260"/>
      <c r="C633" s="457"/>
      <c r="D633" s="460"/>
      <c r="E633" s="439"/>
      <c r="F633" s="1350"/>
      <c r="G633" s="1350"/>
      <c r="H633" s="1350"/>
      <c r="I633" s="399" t="str">
        <f t="shared" si="9"/>
        <v/>
      </c>
      <c r="J633" s="261"/>
      <c r="K633" s="1227"/>
      <c r="L633" s="262"/>
      <c r="M633" s="262"/>
      <c r="N633" s="262"/>
    </row>
    <row r="634" spans="1:14" s="263" customFormat="1" hidden="1" outlineLevel="1">
      <c r="A634" s="1225"/>
      <c r="B634" s="260"/>
      <c r="C634" s="457" t="s">
        <v>2</v>
      </c>
      <c r="D634" s="460">
        <v>1</v>
      </c>
      <c r="E634" s="439">
        <v>1</v>
      </c>
      <c r="F634" s="1350">
        <v>1.81</v>
      </c>
      <c r="G634" s="1350">
        <v>0.61</v>
      </c>
      <c r="H634" s="1350">
        <v>0.15</v>
      </c>
      <c r="I634" s="399">
        <f t="shared" si="9"/>
        <v>0.17</v>
      </c>
      <c r="J634" s="261"/>
      <c r="K634" s="1227"/>
      <c r="L634" s="262"/>
      <c r="M634" s="262"/>
      <c r="N634" s="262"/>
    </row>
    <row r="635" spans="1:14" s="263" customFormat="1" hidden="1" outlineLevel="1">
      <c r="A635" s="1225"/>
      <c r="B635" s="260"/>
      <c r="C635" s="457"/>
      <c r="D635" s="460"/>
      <c r="E635" s="439"/>
      <c r="F635" s="1350"/>
      <c r="G635" s="1350"/>
      <c r="H635" s="1350"/>
      <c r="I635" s="399" t="str">
        <f t="shared" si="9"/>
        <v/>
      </c>
      <c r="J635" s="261"/>
      <c r="K635" s="1227"/>
      <c r="L635" s="262"/>
      <c r="M635" s="262"/>
      <c r="N635" s="262"/>
    </row>
    <row r="636" spans="1:14" s="263" customFormat="1" hidden="1" outlineLevel="1">
      <c r="A636" s="1225"/>
      <c r="B636" s="260" t="s">
        <v>244</v>
      </c>
      <c r="C636" s="457" t="s">
        <v>2</v>
      </c>
      <c r="D636" s="460">
        <v>1</v>
      </c>
      <c r="E636" s="439">
        <v>2</v>
      </c>
      <c r="F636" s="1350">
        <v>6.61</v>
      </c>
      <c r="G636" s="1350">
        <v>0.61</v>
      </c>
      <c r="H636" s="1350">
        <v>0.15</v>
      </c>
      <c r="I636" s="399">
        <f t="shared" si="9"/>
        <v>1.21</v>
      </c>
      <c r="J636" s="261"/>
      <c r="K636" s="1227"/>
      <c r="L636" s="262"/>
      <c r="M636" s="262"/>
      <c r="N636" s="262"/>
    </row>
    <row r="637" spans="1:14" s="263" customFormat="1" hidden="1" outlineLevel="1">
      <c r="A637" s="1225"/>
      <c r="B637" s="260"/>
      <c r="C637" s="457"/>
      <c r="D637" s="460"/>
      <c r="E637" s="439"/>
      <c r="F637" s="1350"/>
      <c r="G637" s="1350"/>
      <c r="H637" s="1350"/>
      <c r="I637" s="399" t="str">
        <f t="shared" si="9"/>
        <v/>
      </c>
      <c r="J637" s="261"/>
      <c r="K637" s="1227"/>
      <c r="L637" s="262"/>
      <c r="M637" s="262"/>
      <c r="N637" s="262"/>
    </row>
    <row r="638" spans="1:14" s="263" customFormat="1" hidden="1" outlineLevel="1">
      <c r="A638" s="1225"/>
      <c r="B638" s="260"/>
      <c r="C638" s="457" t="s">
        <v>2</v>
      </c>
      <c r="D638" s="460">
        <v>1</v>
      </c>
      <c r="E638" s="439">
        <v>1</v>
      </c>
      <c r="F638" s="1350">
        <v>9.2200000000000006</v>
      </c>
      <c r="G638" s="1350">
        <v>0.61</v>
      </c>
      <c r="H638" s="1350">
        <v>0.15</v>
      </c>
      <c r="I638" s="399">
        <f t="shared" si="9"/>
        <v>0.84</v>
      </c>
      <c r="J638" s="261"/>
      <c r="K638" s="1227"/>
      <c r="L638" s="262"/>
      <c r="M638" s="262"/>
      <c r="N638" s="262"/>
    </row>
    <row r="639" spans="1:14" s="263" customFormat="1" hidden="1" outlineLevel="1">
      <c r="A639" s="1225"/>
      <c r="B639" s="260" t="s">
        <v>245</v>
      </c>
      <c r="C639" s="457" t="s">
        <v>2</v>
      </c>
      <c r="D639" s="460">
        <v>1</v>
      </c>
      <c r="E639" s="439">
        <v>8</v>
      </c>
      <c r="F639" s="1350">
        <v>3.15</v>
      </c>
      <c r="G639" s="1350">
        <v>0.22</v>
      </c>
      <c r="H639" s="1350">
        <v>0.15</v>
      </c>
      <c r="I639" s="399">
        <f t="shared" si="9"/>
        <v>0.83</v>
      </c>
      <c r="J639" s="261"/>
      <c r="K639" s="1227"/>
      <c r="L639" s="262"/>
      <c r="M639" s="262"/>
      <c r="N639" s="262"/>
    </row>
    <row r="640" spans="1:14" s="263" customFormat="1" hidden="1" outlineLevel="1">
      <c r="A640" s="1225"/>
      <c r="B640" s="260"/>
      <c r="C640" s="457"/>
      <c r="D640" s="460"/>
      <c r="E640" s="439"/>
      <c r="F640" s="1350"/>
      <c r="G640" s="1350"/>
      <c r="H640" s="1350"/>
      <c r="I640" s="399" t="str">
        <f t="shared" si="9"/>
        <v/>
      </c>
      <c r="J640" s="261"/>
      <c r="K640" s="1227"/>
      <c r="L640" s="262"/>
      <c r="M640" s="262"/>
      <c r="N640" s="262"/>
    </row>
    <row r="641" spans="1:14" s="263" customFormat="1" hidden="1" outlineLevel="1">
      <c r="A641" s="1225"/>
      <c r="B641" s="260" t="s">
        <v>246</v>
      </c>
      <c r="C641" s="457"/>
      <c r="D641" s="460"/>
      <c r="E641" s="439"/>
      <c r="F641" s="1350"/>
      <c r="G641" s="1350"/>
      <c r="H641" s="1350"/>
      <c r="I641" s="399" t="str">
        <f t="shared" si="9"/>
        <v/>
      </c>
      <c r="J641" s="261"/>
      <c r="K641" s="1227"/>
      <c r="L641" s="262"/>
      <c r="M641" s="262"/>
      <c r="N641" s="262"/>
    </row>
    <row r="642" spans="1:14" s="263" customFormat="1" hidden="1" outlineLevel="1">
      <c r="A642" s="1225"/>
      <c r="B642" s="260"/>
      <c r="C642" s="457" t="s">
        <v>2</v>
      </c>
      <c r="D642" s="460">
        <v>1</v>
      </c>
      <c r="E642" s="439">
        <v>6</v>
      </c>
      <c r="F642" s="1350">
        <v>0.61499999999999999</v>
      </c>
      <c r="G642" s="1350">
        <v>0.61</v>
      </c>
      <c r="H642" s="1350">
        <v>0.15</v>
      </c>
      <c r="I642" s="399">
        <f t="shared" si="9"/>
        <v>0.34</v>
      </c>
      <c r="J642" s="261"/>
      <c r="K642" s="1227"/>
      <c r="L642" s="262"/>
      <c r="M642" s="262"/>
      <c r="N642" s="262"/>
    </row>
    <row r="643" spans="1:14" s="263" customFormat="1" hidden="1" outlineLevel="1">
      <c r="A643" s="1225"/>
      <c r="B643" s="260"/>
      <c r="C643" s="457"/>
      <c r="D643" s="460"/>
      <c r="E643" s="439"/>
      <c r="F643" s="1350"/>
      <c r="G643" s="1350"/>
      <c r="H643" s="1350"/>
      <c r="I643" s="399" t="str">
        <f t="shared" si="9"/>
        <v/>
      </c>
      <c r="J643" s="261"/>
      <c r="K643" s="1227"/>
      <c r="L643" s="262"/>
      <c r="M643" s="262"/>
      <c r="N643" s="262"/>
    </row>
    <row r="644" spans="1:14" s="263" customFormat="1" hidden="1" outlineLevel="1">
      <c r="A644" s="1225"/>
      <c r="B644" s="260"/>
      <c r="C644" s="457" t="s">
        <v>2</v>
      </c>
      <c r="D644" s="460">
        <v>1</v>
      </c>
      <c r="E644" s="439">
        <v>4</v>
      </c>
      <c r="F644" s="1350">
        <v>0.90999999999999992</v>
      </c>
      <c r="G644" s="1350">
        <v>0.61</v>
      </c>
      <c r="H644" s="1350">
        <v>0.15</v>
      </c>
      <c r="I644" s="399">
        <f t="shared" si="9"/>
        <v>0.33</v>
      </c>
      <c r="J644" s="261"/>
      <c r="K644" s="1227"/>
      <c r="L644" s="262"/>
      <c r="M644" s="262"/>
      <c r="N644" s="262"/>
    </row>
    <row r="645" spans="1:14" s="263" customFormat="1" hidden="1" outlineLevel="1">
      <c r="A645" s="1225"/>
      <c r="B645" s="260"/>
      <c r="C645" s="457"/>
      <c r="D645" s="460"/>
      <c r="E645" s="439"/>
      <c r="F645" s="1350"/>
      <c r="G645" s="1350"/>
      <c r="H645" s="1350"/>
      <c r="I645" s="399" t="str">
        <f t="shared" si="9"/>
        <v/>
      </c>
      <c r="J645" s="261"/>
      <c r="K645" s="1227"/>
      <c r="L645" s="262"/>
      <c r="M645" s="262"/>
      <c r="N645" s="262"/>
    </row>
    <row r="646" spans="1:14" s="263" customFormat="1" hidden="1" outlineLevel="1">
      <c r="A646" s="1225"/>
      <c r="B646" s="260"/>
      <c r="C646" s="457" t="s">
        <v>2</v>
      </c>
      <c r="D646" s="460">
        <v>1</v>
      </c>
      <c r="E646" s="439">
        <v>2</v>
      </c>
      <c r="F646" s="1350">
        <v>3.36</v>
      </c>
      <c r="G646" s="1350">
        <v>0.61</v>
      </c>
      <c r="H646" s="1350">
        <v>0.15</v>
      </c>
      <c r="I646" s="399">
        <f t="shared" si="9"/>
        <v>0.61</v>
      </c>
      <c r="J646" s="261"/>
      <c r="K646" s="1227"/>
      <c r="L646" s="262"/>
      <c r="M646" s="262"/>
      <c r="N646" s="262"/>
    </row>
    <row r="647" spans="1:14" s="263" customFormat="1" hidden="1" outlineLevel="1">
      <c r="A647" s="1225"/>
      <c r="B647" s="260"/>
      <c r="C647" s="457"/>
      <c r="D647" s="460"/>
      <c r="E647" s="439"/>
      <c r="F647" s="1350"/>
      <c r="G647" s="1350"/>
      <c r="H647" s="1350"/>
      <c r="I647" s="399" t="str">
        <f t="shared" si="9"/>
        <v/>
      </c>
      <c r="J647" s="261"/>
      <c r="K647" s="1227"/>
      <c r="L647" s="262"/>
      <c r="M647" s="262"/>
      <c r="N647" s="262"/>
    </row>
    <row r="648" spans="1:14" s="263" customFormat="1" hidden="1" outlineLevel="1">
      <c r="A648" s="1225"/>
      <c r="B648" s="260"/>
      <c r="C648" s="457" t="s">
        <v>2</v>
      </c>
      <c r="D648" s="460">
        <v>1</v>
      </c>
      <c r="E648" s="439">
        <v>3</v>
      </c>
      <c r="F648" s="1350">
        <v>0.60499999999999998</v>
      </c>
      <c r="G648" s="1350">
        <v>0.61</v>
      </c>
      <c r="H648" s="1350">
        <v>0.15</v>
      </c>
      <c r="I648" s="399">
        <f t="shared" ref="I648:I711" si="10">IF(D648&lt;&gt;0,ROUND(PRODUCT(E648:H648)*D648,2),"")</f>
        <v>0.17</v>
      </c>
      <c r="J648" s="261"/>
      <c r="K648" s="1227"/>
      <c r="L648" s="262"/>
      <c r="M648" s="262"/>
      <c r="N648" s="262"/>
    </row>
    <row r="649" spans="1:14" s="263" customFormat="1" hidden="1" outlineLevel="1">
      <c r="A649" s="1225"/>
      <c r="B649" s="260"/>
      <c r="C649" s="457"/>
      <c r="D649" s="460"/>
      <c r="E649" s="439"/>
      <c r="F649" s="1350"/>
      <c r="G649" s="1350"/>
      <c r="H649" s="1350"/>
      <c r="I649" s="399" t="str">
        <f t="shared" si="10"/>
        <v/>
      </c>
      <c r="J649" s="261"/>
      <c r="K649" s="1227"/>
      <c r="L649" s="262"/>
      <c r="M649" s="262"/>
      <c r="N649" s="262"/>
    </row>
    <row r="650" spans="1:14" s="263" customFormat="1" hidden="1" outlineLevel="1">
      <c r="A650" s="1225"/>
      <c r="B650" s="260"/>
      <c r="C650" s="457" t="s">
        <v>2</v>
      </c>
      <c r="D650" s="460">
        <v>1</v>
      </c>
      <c r="E650" s="439">
        <v>2</v>
      </c>
      <c r="F650" s="1350">
        <v>1.83</v>
      </c>
      <c r="G650" s="1350">
        <v>0.61</v>
      </c>
      <c r="H650" s="1350">
        <v>0.15</v>
      </c>
      <c r="I650" s="399">
        <f t="shared" si="10"/>
        <v>0.33</v>
      </c>
      <c r="J650" s="261"/>
      <c r="K650" s="1227"/>
      <c r="L650" s="262"/>
      <c r="M650" s="262"/>
      <c r="N650" s="262"/>
    </row>
    <row r="651" spans="1:14" s="263" customFormat="1" hidden="1" outlineLevel="1">
      <c r="A651" s="1225"/>
      <c r="B651" s="260"/>
      <c r="C651" s="457"/>
      <c r="D651" s="460"/>
      <c r="E651" s="439"/>
      <c r="F651" s="1350"/>
      <c r="G651" s="1350"/>
      <c r="H651" s="1350"/>
      <c r="I651" s="399" t="str">
        <f t="shared" si="10"/>
        <v/>
      </c>
      <c r="J651" s="261"/>
      <c r="K651" s="1227"/>
      <c r="L651" s="262"/>
      <c r="M651" s="262"/>
      <c r="N651" s="262"/>
    </row>
    <row r="652" spans="1:14" s="263" customFormat="1" hidden="1" outlineLevel="1">
      <c r="A652" s="1225"/>
      <c r="B652" s="260"/>
      <c r="C652" s="457" t="s">
        <v>2</v>
      </c>
      <c r="D652" s="460">
        <v>1</v>
      </c>
      <c r="E652" s="439">
        <v>2</v>
      </c>
      <c r="F652" s="1350">
        <v>2.1350000000000002</v>
      </c>
      <c r="G652" s="1350">
        <v>0.61</v>
      </c>
      <c r="H652" s="1350">
        <v>0.15</v>
      </c>
      <c r="I652" s="399">
        <f t="shared" si="10"/>
        <v>0.39</v>
      </c>
      <c r="J652" s="261"/>
      <c r="K652" s="1227"/>
      <c r="L652" s="262"/>
      <c r="M652" s="262"/>
      <c r="N652" s="262"/>
    </row>
    <row r="653" spans="1:14" s="263" customFormat="1" hidden="1" outlineLevel="1">
      <c r="A653" s="1225"/>
      <c r="B653" s="260"/>
      <c r="C653" s="457"/>
      <c r="D653" s="460"/>
      <c r="E653" s="439"/>
      <c r="F653" s="1350"/>
      <c r="G653" s="1350"/>
      <c r="H653" s="1350"/>
      <c r="I653" s="399" t="str">
        <f t="shared" si="10"/>
        <v/>
      </c>
      <c r="J653" s="261"/>
      <c r="K653" s="1227"/>
      <c r="L653" s="262"/>
      <c r="M653" s="262"/>
      <c r="N653" s="262"/>
    </row>
    <row r="654" spans="1:14" s="263" customFormat="1" hidden="1" outlineLevel="1">
      <c r="A654" s="1225"/>
      <c r="B654" s="260"/>
      <c r="C654" s="457" t="s">
        <v>2</v>
      </c>
      <c r="D654" s="460">
        <v>1</v>
      </c>
      <c r="E654" s="439">
        <v>1</v>
      </c>
      <c r="F654" s="1350">
        <v>3.0549999999999997</v>
      </c>
      <c r="G654" s="1350">
        <v>0.61</v>
      </c>
      <c r="H654" s="1350">
        <v>0.15</v>
      </c>
      <c r="I654" s="399">
        <f t="shared" si="10"/>
        <v>0.28000000000000003</v>
      </c>
      <c r="J654" s="261"/>
      <c r="K654" s="1227"/>
      <c r="L654" s="262"/>
      <c r="M654" s="262"/>
      <c r="N654" s="262"/>
    </row>
    <row r="655" spans="1:14" s="263" customFormat="1" hidden="1" outlineLevel="1">
      <c r="A655" s="1225"/>
      <c r="B655" s="260"/>
      <c r="C655" s="457"/>
      <c r="D655" s="460"/>
      <c r="E655" s="439"/>
      <c r="F655" s="1350"/>
      <c r="G655" s="1350"/>
      <c r="H655" s="1350"/>
      <c r="I655" s="399" t="str">
        <f t="shared" si="10"/>
        <v/>
      </c>
      <c r="J655" s="261"/>
      <c r="K655" s="1227"/>
      <c r="L655" s="262"/>
      <c r="M655" s="262"/>
      <c r="N655" s="262"/>
    </row>
    <row r="656" spans="1:14" s="263" customFormat="1" hidden="1" outlineLevel="1">
      <c r="A656" s="1225"/>
      <c r="B656" s="260"/>
      <c r="C656" s="457" t="s">
        <v>2</v>
      </c>
      <c r="D656" s="460">
        <v>1</v>
      </c>
      <c r="E656" s="439">
        <v>1</v>
      </c>
      <c r="F656" s="1350">
        <v>3.165</v>
      </c>
      <c r="G656" s="1350">
        <v>0.61</v>
      </c>
      <c r="H656" s="1350">
        <v>0.15</v>
      </c>
      <c r="I656" s="399">
        <f t="shared" si="10"/>
        <v>0.28999999999999998</v>
      </c>
      <c r="J656" s="261"/>
      <c r="K656" s="1227"/>
      <c r="L656" s="262"/>
      <c r="M656" s="262"/>
      <c r="N656" s="262"/>
    </row>
    <row r="657" spans="1:14" s="263" customFormat="1" hidden="1" outlineLevel="1">
      <c r="A657" s="1225"/>
      <c r="B657" s="260"/>
      <c r="C657" s="457"/>
      <c r="D657" s="460"/>
      <c r="E657" s="439"/>
      <c r="F657" s="1350"/>
      <c r="G657" s="1350"/>
      <c r="H657" s="1350"/>
      <c r="I657" s="399" t="str">
        <f t="shared" si="10"/>
        <v/>
      </c>
      <c r="J657" s="261"/>
      <c r="K657" s="1227"/>
      <c r="L657" s="262"/>
      <c r="M657" s="262"/>
      <c r="N657" s="262"/>
    </row>
    <row r="658" spans="1:14" s="263" customFormat="1" hidden="1" outlineLevel="1">
      <c r="A658" s="1225"/>
      <c r="B658" s="260"/>
      <c r="C658" s="457" t="s">
        <v>2</v>
      </c>
      <c r="D658" s="460">
        <v>1</v>
      </c>
      <c r="E658" s="439">
        <v>1</v>
      </c>
      <c r="F658" s="1350">
        <v>0.71499999999999986</v>
      </c>
      <c r="G658" s="1350">
        <v>0.61</v>
      </c>
      <c r="H658" s="1350">
        <v>0.15</v>
      </c>
      <c r="I658" s="399">
        <f t="shared" si="10"/>
        <v>7.0000000000000007E-2</v>
      </c>
      <c r="J658" s="261"/>
      <c r="K658" s="1227"/>
      <c r="L658" s="262"/>
      <c r="M658" s="262"/>
      <c r="N658" s="262"/>
    </row>
    <row r="659" spans="1:14" s="263" customFormat="1" hidden="1" outlineLevel="1">
      <c r="A659" s="1225"/>
      <c r="B659" s="260"/>
      <c r="C659" s="457"/>
      <c r="D659" s="460"/>
      <c r="E659" s="439"/>
      <c r="F659" s="1350"/>
      <c r="G659" s="1350"/>
      <c r="H659" s="1350"/>
      <c r="I659" s="399" t="str">
        <f t="shared" si="10"/>
        <v/>
      </c>
      <c r="J659" s="261"/>
      <c r="K659" s="1227"/>
      <c r="L659" s="262"/>
      <c r="M659" s="262"/>
      <c r="N659" s="262"/>
    </row>
    <row r="660" spans="1:14" s="263" customFormat="1" hidden="1" outlineLevel="1">
      <c r="A660" s="1225"/>
      <c r="B660" s="260"/>
      <c r="C660" s="457"/>
      <c r="D660" s="460"/>
      <c r="E660" s="439"/>
      <c r="F660" s="1350"/>
      <c r="G660" s="1350"/>
      <c r="H660" s="1350"/>
      <c r="I660" s="399" t="str">
        <f t="shared" si="10"/>
        <v/>
      </c>
      <c r="J660" s="261"/>
      <c r="K660" s="1227"/>
      <c r="L660" s="262"/>
      <c r="M660" s="262"/>
      <c r="N660" s="262"/>
    </row>
    <row r="661" spans="1:14" s="263" customFormat="1" ht="34.5" hidden="1" outlineLevel="1">
      <c r="A661" s="1225"/>
      <c r="B661" s="260" t="s">
        <v>247</v>
      </c>
      <c r="C661" s="457"/>
      <c r="D661" s="460"/>
      <c r="E661" s="439"/>
      <c r="F661" s="1350"/>
      <c r="G661" s="1350"/>
      <c r="H661" s="1350"/>
      <c r="I661" s="399" t="str">
        <f t="shared" si="10"/>
        <v/>
      </c>
      <c r="J661" s="261"/>
      <c r="K661" s="1227"/>
      <c r="L661" s="262"/>
      <c r="M661" s="262"/>
      <c r="N661" s="262"/>
    </row>
    <row r="662" spans="1:14" s="263" customFormat="1" ht="34.5" hidden="1" outlineLevel="1">
      <c r="A662" s="1225"/>
      <c r="B662" s="260" t="s">
        <v>248</v>
      </c>
      <c r="C662" s="457" t="s">
        <v>2</v>
      </c>
      <c r="D662" s="460">
        <v>1</v>
      </c>
      <c r="E662" s="439">
        <v>1</v>
      </c>
      <c r="F662" s="1350">
        <v>34.935000000000002</v>
      </c>
      <c r="G662" s="1350">
        <v>0.61</v>
      </c>
      <c r="H662" s="1350">
        <v>0.15</v>
      </c>
      <c r="I662" s="399">
        <f t="shared" si="10"/>
        <v>3.2</v>
      </c>
      <c r="J662" s="261"/>
      <c r="K662" s="1227"/>
      <c r="L662" s="262"/>
      <c r="M662" s="262"/>
      <c r="N662" s="262"/>
    </row>
    <row r="663" spans="1:14" s="263" customFormat="1" hidden="1" outlineLevel="1">
      <c r="A663" s="1225"/>
      <c r="B663" s="260"/>
      <c r="C663" s="457"/>
      <c r="D663" s="460"/>
      <c r="E663" s="439"/>
      <c r="F663" s="1350"/>
      <c r="G663" s="1350"/>
      <c r="H663" s="1350"/>
      <c r="I663" s="399" t="str">
        <f t="shared" si="10"/>
        <v/>
      </c>
      <c r="J663" s="261"/>
      <c r="K663" s="1227"/>
      <c r="L663" s="262"/>
      <c r="M663" s="262"/>
      <c r="N663" s="262"/>
    </row>
    <row r="664" spans="1:14" s="263" customFormat="1" ht="34.5" hidden="1" outlineLevel="1">
      <c r="A664" s="1225"/>
      <c r="B664" s="260" t="s">
        <v>249</v>
      </c>
      <c r="C664" s="457" t="s">
        <v>2</v>
      </c>
      <c r="D664" s="460">
        <v>1</v>
      </c>
      <c r="E664" s="439">
        <v>1</v>
      </c>
      <c r="F664" s="1350">
        <v>15</v>
      </c>
      <c r="G664" s="1350">
        <v>0.61</v>
      </c>
      <c r="H664" s="1350">
        <v>0.15</v>
      </c>
      <c r="I664" s="399">
        <f t="shared" si="10"/>
        <v>1.37</v>
      </c>
      <c r="J664" s="261"/>
      <c r="K664" s="1227"/>
      <c r="L664" s="262"/>
      <c r="M664" s="262"/>
      <c r="N664" s="262"/>
    </row>
    <row r="665" spans="1:14" s="263" customFormat="1" hidden="1" outlineLevel="1">
      <c r="A665" s="1225"/>
      <c r="B665" s="260"/>
      <c r="C665" s="457"/>
      <c r="D665" s="460"/>
      <c r="E665" s="439"/>
      <c r="F665" s="1350"/>
      <c r="G665" s="1350"/>
      <c r="H665" s="1350"/>
      <c r="I665" s="399" t="str">
        <f t="shared" si="10"/>
        <v/>
      </c>
      <c r="J665" s="261"/>
      <c r="K665" s="1227"/>
      <c r="L665" s="262"/>
      <c r="M665" s="262"/>
      <c r="N665" s="262"/>
    </row>
    <row r="666" spans="1:14" s="263" customFormat="1" ht="34.5" hidden="1" outlineLevel="1">
      <c r="A666" s="1225"/>
      <c r="B666" s="260" t="s">
        <v>250</v>
      </c>
      <c r="C666" s="457"/>
      <c r="D666" s="460"/>
      <c r="E666" s="439"/>
      <c r="F666" s="1350"/>
      <c r="G666" s="1350"/>
      <c r="H666" s="1350"/>
      <c r="I666" s="399" t="str">
        <f t="shared" si="10"/>
        <v/>
      </c>
      <c r="J666" s="261"/>
      <c r="K666" s="1227"/>
      <c r="L666" s="262"/>
      <c r="M666" s="262"/>
      <c r="N666" s="262"/>
    </row>
    <row r="667" spans="1:14" s="263" customFormat="1" hidden="1" outlineLevel="1">
      <c r="A667" s="1225"/>
      <c r="B667" s="260" t="s">
        <v>251</v>
      </c>
      <c r="C667" s="457" t="s">
        <v>2</v>
      </c>
      <c r="D667" s="460">
        <v>1</v>
      </c>
      <c r="E667" s="439">
        <v>2</v>
      </c>
      <c r="F667" s="1350">
        <v>28.759999999999998</v>
      </c>
      <c r="G667" s="1350">
        <v>0.61</v>
      </c>
      <c r="H667" s="1350">
        <v>0.15</v>
      </c>
      <c r="I667" s="399">
        <f t="shared" si="10"/>
        <v>5.26</v>
      </c>
      <c r="J667" s="261"/>
      <c r="K667" s="1227"/>
      <c r="L667" s="262"/>
      <c r="M667" s="262"/>
      <c r="N667" s="262"/>
    </row>
    <row r="668" spans="1:14" s="263" customFormat="1" hidden="1" outlineLevel="1">
      <c r="A668" s="1225"/>
      <c r="B668" s="260"/>
      <c r="C668" s="457"/>
      <c r="D668" s="460"/>
      <c r="E668" s="439"/>
      <c r="F668" s="1350"/>
      <c r="G668" s="1350"/>
      <c r="H668" s="1350"/>
      <c r="I668" s="399" t="str">
        <f t="shared" si="10"/>
        <v/>
      </c>
      <c r="J668" s="261"/>
      <c r="K668" s="1227"/>
      <c r="L668" s="262"/>
      <c r="M668" s="262"/>
      <c r="N668" s="262"/>
    </row>
    <row r="669" spans="1:14" s="263" customFormat="1" hidden="1" outlineLevel="1">
      <c r="A669" s="1225"/>
      <c r="B669" s="260" t="s">
        <v>131</v>
      </c>
      <c r="C669" s="457" t="s">
        <v>2</v>
      </c>
      <c r="D669" s="460">
        <v>1</v>
      </c>
      <c r="E669" s="439">
        <v>2</v>
      </c>
      <c r="F669" s="1350">
        <v>14.19</v>
      </c>
      <c r="G669" s="1350">
        <v>0.61</v>
      </c>
      <c r="H669" s="1350">
        <v>0.15</v>
      </c>
      <c r="I669" s="399">
        <f t="shared" si="10"/>
        <v>2.6</v>
      </c>
      <c r="J669" s="261"/>
      <c r="K669" s="1227"/>
      <c r="L669" s="262"/>
      <c r="M669" s="262"/>
      <c r="N669" s="262"/>
    </row>
    <row r="670" spans="1:14" s="263" customFormat="1" hidden="1" outlineLevel="1">
      <c r="A670" s="1225"/>
      <c r="B670" s="260"/>
      <c r="C670" s="457"/>
      <c r="D670" s="460"/>
      <c r="E670" s="439"/>
      <c r="F670" s="1350"/>
      <c r="G670" s="1350"/>
      <c r="H670" s="1350"/>
      <c r="I670" s="399" t="str">
        <f t="shared" si="10"/>
        <v/>
      </c>
      <c r="J670" s="261"/>
      <c r="K670" s="1227"/>
      <c r="L670" s="262"/>
      <c r="M670" s="262"/>
      <c r="N670" s="262"/>
    </row>
    <row r="671" spans="1:14" s="263" customFormat="1" hidden="1" outlineLevel="1">
      <c r="A671" s="1225"/>
      <c r="B671" s="260" t="s">
        <v>140</v>
      </c>
      <c r="C671" s="457" t="s">
        <v>2</v>
      </c>
      <c r="D671" s="460">
        <v>1</v>
      </c>
      <c r="E671" s="439">
        <v>2</v>
      </c>
      <c r="F671" s="1350">
        <v>3.3</v>
      </c>
      <c r="G671" s="1350">
        <v>0.22</v>
      </c>
      <c r="H671" s="1350">
        <v>0.15</v>
      </c>
      <c r="I671" s="399">
        <f t="shared" si="10"/>
        <v>0.22</v>
      </c>
      <c r="J671" s="261"/>
      <c r="K671" s="1227"/>
      <c r="L671" s="262"/>
      <c r="M671" s="262"/>
      <c r="N671" s="262"/>
    </row>
    <row r="672" spans="1:14" s="263" customFormat="1" hidden="1" outlineLevel="1">
      <c r="A672" s="1225"/>
      <c r="B672" s="260"/>
      <c r="C672" s="457"/>
      <c r="D672" s="460"/>
      <c r="E672" s="439"/>
      <c r="F672" s="1350"/>
      <c r="G672" s="1350"/>
      <c r="H672" s="1350"/>
      <c r="I672" s="399" t="str">
        <f t="shared" si="10"/>
        <v/>
      </c>
      <c r="J672" s="261"/>
      <c r="K672" s="1227"/>
      <c r="L672" s="262"/>
      <c r="M672" s="262"/>
      <c r="N672" s="262"/>
    </row>
    <row r="673" spans="1:14" s="263" customFormat="1" hidden="1" outlineLevel="1">
      <c r="A673" s="1225"/>
      <c r="B673" s="260"/>
      <c r="C673" s="457"/>
      <c r="D673" s="460"/>
      <c r="E673" s="439"/>
      <c r="F673" s="1350"/>
      <c r="G673" s="1350"/>
      <c r="H673" s="1350"/>
      <c r="I673" s="399" t="str">
        <f t="shared" si="10"/>
        <v/>
      </c>
      <c r="J673" s="261"/>
      <c r="K673" s="1227"/>
      <c r="L673" s="262"/>
      <c r="M673" s="262"/>
      <c r="N673" s="262"/>
    </row>
    <row r="674" spans="1:14" s="263" customFormat="1" ht="34.5" hidden="1" outlineLevel="1">
      <c r="A674" s="1225"/>
      <c r="B674" s="260" t="s">
        <v>250</v>
      </c>
      <c r="C674" s="457"/>
      <c r="D674" s="460"/>
      <c r="E674" s="439"/>
      <c r="F674" s="1350"/>
      <c r="G674" s="1350"/>
      <c r="H674" s="1350"/>
      <c r="I674" s="399" t="str">
        <f t="shared" si="10"/>
        <v/>
      </c>
      <c r="J674" s="261"/>
      <c r="K674" s="1227"/>
      <c r="L674" s="262"/>
      <c r="M674" s="262"/>
      <c r="N674" s="262"/>
    </row>
    <row r="675" spans="1:14" s="263" customFormat="1" hidden="1" outlineLevel="1">
      <c r="A675" s="1225"/>
      <c r="B675" s="260"/>
      <c r="C675" s="457"/>
      <c r="D675" s="460"/>
      <c r="E675" s="439"/>
      <c r="F675" s="1350"/>
      <c r="G675" s="1350"/>
      <c r="H675" s="1350"/>
      <c r="I675" s="399" t="str">
        <f t="shared" si="10"/>
        <v/>
      </c>
      <c r="J675" s="261"/>
      <c r="K675" s="1227"/>
      <c r="L675" s="262"/>
      <c r="M675" s="262"/>
      <c r="N675" s="262"/>
    </row>
    <row r="676" spans="1:14" s="263" customFormat="1" hidden="1" outlineLevel="1">
      <c r="A676" s="1225"/>
      <c r="B676" s="260" t="s">
        <v>146</v>
      </c>
      <c r="C676" s="457"/>
      <c r="D676" s="460">
        <v>1</v>
      </c>
      <c r="E676" s="439">
        <v>1</v>
      </c>
      <c r="F676" s="1350">
        <v>31.4</v>
      </c>
      <c r="G676" s="1350">
        <v>0.61</v>
      </c>
      <c r="H676" s="1350">
        <v>0.15</v>
      </c>
      <c r="I676" s="399">
        <f t="shared" si="10"/>
        <v>2.87</v>
      </c>
      <c r="J676" s="261"/>
      <c r="K676" s="1227"/>
      <c r="L676" s="262"/>
      <c r="M676" s="262"/>
      <c r="N676" s="262"/>
    </row>
    <row r="677" spans="1:14" s="263" customFormat="1" hidden="1" outlineLevel="1">
      <c r="A677" s="1225"/>
      <c r="B677" s="260"/>
      <c r="C677" s="457"/>
      <c r="D677" s="460"/>
      <c r="E677" s="439"/>
      <c r="F677" s="1350"/>
      <c r="G677" s="1350"/>
      <c r="H677" s="1350"/>
      <c r="I677" s="399" t="str">
        <f t="shared" si="10"/>
        <v/>
      </c>
      <c r="J677" s="261"/>
      <c r="K677" s="1227"/>
      <c r="L677" s="262"/>
      <c r="M677" s="262"/>
      <c r="N677" s="262"/>
    </row>
    <row r="678" spans="1:14" s="263" customFormat="1" hidden="1" outlineLevel="1">
      <c r="A678" s="1225"/>
      <c r="B678" s="260" t="s">
        <v>147</v>
      </c>
      <c r="C678" s="457"/>
      <c r="D678" s="460">
        <v>1</v>
      </c>
      <c r="E678" s="439">
        <v>1</v>
      </c>
      <c r="F678" s="1350">
        <v>42.55</v>
      </c>
      <c r="G678" s="1350">
        <v>0.61</v>
      </c>
      <c r="H678" s="1350">
        <v>0.15</v>
      </c>
      <c r="I678" s="399">
        <f t="shared" si="10"/>
        <v>3.89</v>
      </c>
      <c r="J678" s="261"/>
      <c r="K678" s="1227"/>
      <c r="L678" s="262"/>
      <c r="M678" s="262"/>
      <c r="N678" s="262"/>
    </row>
    <row r="679" spans="1:14" s="263" customFormat="1" hidden="1" outlineLevel="1">
      <c r="A679" s="1225"/>
      <c r="B679" s="260" t="s">
        <v>252</v>
      </c>
      <c r="C679" s="457"/>
      <c r="D679" s="460"/>
      <c r="E679" s="439"/>
      <c r="F679" s="1350"/>
      <c r="G679" s="1350"/>
      <c r="H679" s="1350"/>
      <c r="I679" s="399" t="str">
        <f t="shared" si="10"/>
        <v/>
      </c>
      <c r="J679" s="261"/>
      <c r="K679" s="1227"/>
      <c r="L679" s="262"/>
      <c r="M679" s="262"/>
      <c r="N679" s="262"/>
    </row>
    <row r="680" spans="1:14" s="263" customFormat="1" hidden="1" outlineLevel="1">
      <c r="A680" s="1225"/>
      <c r="B680" s="260"/>
      <c r="C680" s="457"/>
      <c r="D680" s="460"/>
      <c r="E680" s="439"/>
      <c r="F680" s="1350"/>
      <c r="G680" s="1350"/>
      <c r="H680" s="1350"/>
      <c r="I680" s="399" t="str">
        <f t="shared" si="10"/>
        <v/>
      </c>
      <c r="J680" s="261"/>
      <c r="K680" s="1227"/>
      <c r="L680" s="262"/>
      <c r="M680" s="262"/>
      <c r="N680" s="262"/>
    </row>
    <row r="681" spans="1:14" s="263" customFormat="1" ht="34.5" hidden="1" outlineLevel="1">
      <c r="A681" s="1225"/>
      <c r="B681" s="260" t="s">
        <v>253</v>
      </c>
      <c r="C681" s="457" t="s">
        <v>2</v>
      </c>
      <c r="D681" s="460">
        <v>1</v>
      </c>
      <c r="E681" s="439">
        <v>2</v>
      </c>
      <c r="F681" s="1350">
        <v>30.54</v>
      </c>
      <c r="G681" s="1350">
        <v>0.61</v>
      </c>
      <c r="H681" s="1350">
        <v>0.15</v>
      </c>
      <c r="I681" s="399">
        <f t="shared" si="10"/>
        <v>5.59</v>
      </c>
      <c r="J681" s="261"/>
      <c r="K681" s="1227"/>
      <c r="L681" s="262"/>
      <c r="M681" s="262"/>
      <c r="N681" s="262"/>
    </row>
    <row r="682" spans="1:14" s="263" customFormat="1" hidden="1" outlineLevel="1">
      <c r="A682" s="1225"/>
      <c r="B682" s="260"/>
      <c r="C682" s="457"/>
      <c r="D682" s="460"/>
      <c r="E682" s="439"/>
      <c r="F682" s="1350"/>
      <c r="G682" s="1350"/>
      <c r="H682" s="1350"/>
      <c r="I682" s="399" t="str">
        <f t="shared" si="10"/>
        <v/>
      </c>
      <c r="J682" s="261"/>
      <c r="K682" s="1227"/>
      <c r="L682" s="262"/>
      <c r="M682" s="262"/>
      <c r="N682" s="262"/>
    </row>
    <row r="683" spans="1:14" s="263" customFormat="1" hidden="1" outlineLevel="1">
      <c r="A683" s="1225"/>
      <c r="B683" s="260"/>
      <c r="C683" s="457" t="s">
        <v>2</v>
      </c>
      <c r="D683" s="460">
        <v>1</v>
      </c>
      <c r="E683" s="439">
        <v>2</v>
      </c>
      <c r="F683" s="1350">
        <v>0.67</v>
      </c>
      <c r="G683" s="1350">
        <v>0.61</v>
      </c>
      <c r="H683" s="1350">
        <v>0.15</v>
      </c>
      <c r="I683" s="399">
        <f t="shared" si="10"/>
        <v>0.12</v>
      </c>
      <c r="J683" s="261"/>
      <c r="K683" s="1227"/>
      <c r="L683" s="262"/>
      <c r="M683" s="262"/>
      <c r="N683" s="262"/>
    </row>
    <row r="684" spans="1:14" s="263" customFormat="1" ht="34.5" hidden="1" outlineLevel="1">
      <c r="A684" s="1225"/>
      <c r="B684" s="260" t="s">
        <v>254</v>
      </c>
      <c r="C684" s="457"/>
      <c r="D684" s="460"/>
      <c r="E684" s="439"/>
      <c r="F684" s="1350"/>
      <c r="G684" s="1350"/>
      <c r="H684" s="1350"/>
      <c r="I684" s="399" t="str">
        <f t="shared" si="10"/>
        <v/>
      </c>
      <c r="J684" s="261"/>
      <c r="K684" s="1227"/>
      <c r="L684" s="262"/>
      <c r="M684" s="262"/>
      <c r="N684" s="262"/>
    </row>
    <row r="685" spans="1:14" s="263" customFormat="1" hidden="1" outlineLevel="1">
      <c r="A685" s="1225"/>
      <c r="B685" s="260"/>
      <c r="C685" s="457"/>
      <c r="D685" s="460"/>
      <c r="E685" s="439"/>
      <c r="F685" s="1350"/>
      <c r="G685" s="1350"/>
      <c r="H685" s="1350"/>
      <c r="I685" s="399" t="str">
        <f t="shared" si="10"/>
        <v/>
      </c>
      <c r="J685" s="261"/>
      <c r="K685" s="1227"/>
      <c r="L685" s="262"/>
      <c r="M685" s="262"/>
      <c r="N685" s="262"/>
    </row>
    <row r="686" spans="1:14" s="263" customFormat="1" hidden="1" outlineLevel="1">
      <c r="A686" s="1225"/>
      <c r="B686" s="260"/>
      <c r="C686" s="457" t="s">
        <v>2</v>
      </c>
      <c r="D686" s="460">
        <v>1</v>
      </c>
      <c r="E686" s="439">
        <v>2</v>
      </c>
      <c r="F686" s="1350">
        <v>6.3149999999999995</v>
      </c>
      <c r="G686" s="1350">
        <v>0.61</v>
      </c>
      <c r="H686" s="1350">
        <v>0.15</v>
      </c>
      <c r="I686" s="399">
        <f t="shared" si="10"/>
        <v>1.1599999999999999</v>
      </c>
      <c r="J686" s="261"/>
      <c r="K686" s="1227"/>
      <c r="L686" s="262"/>
      <c r="M686" s="262"/>
      <c r="N686" s="262"/>
    </row>
    <row r="687" spans="1:14" s="263" customFormat="1" hidden="1" outlineLevel="1">
      <c r="A687" s="1225"/>
      <c r="B687" s="260"/>
      <c r="C687" s="457"/>
      <c r="D687" s="460"/>
      <c r="E687" s="439"/>
      <c r="F687" s="1350"/>
      <c r="G687" s="1350"/>
      <c r="H687" s="1350"/>
      <c r="I687" s="399" t="str">
        <f t="shared" si="10"/>
        <v/>
      </c>
      <c r="J687" s="261"/>
      <c r="K687" s="1227"/>
      <c r="L687" s="262"/>
      <c r="M687" s="262"/>
      <c r="N687" s="262"/>
    </row>
    <row r="688" spans="1:14" s="263" customFormat="1" hidden="1" outlineLevel="1">
      <c r="A688" s="1225"/>
      <c r="B688" s="260"/>
      <c r="C688" s="457" t="s">
        <v>2</v>
      </c>
      <c r="D688" s="460">
        <v>1</v>
      </c>
      <c r="E688" s="439">
        <v>2</v>
      </c>
      <c r="F688" s="1350">
        <v>1.2649999999999999</v>
      </c>
      <c r="G688" s="1350">
        <v>0.61</v>
      </c>
      <c r="H688" s="1350">
        <v>0.15</v>
      </c>
      <c r="I688" s="399">
        <f t="shared" si="10"/>
        <v>0.23</v>
      </c>
      <c r="J688" s="261"/>
      <c r="K688" s="1227"/>
      <c r="L688" s="262"/>
      <c r="M688" s="262"/>
      <c r="N688" s="262"/>
    </row>
    <row r="689" spans="1:14" s="263" customFormat="1" hidden="1" outlineLevel="1">
      <c r="A689" s="1225"/>
      <c r="B689" s="260"/>
      <c r="C689" s="457"/>
      <c r="D689" s="460"/>
      <c r="E689" s="439"/>
      <c r="F689" s="1350"/>
      <c r="G689" s="1350"/>
      <c r="H689" s="1350"/>
      <c r="I689" s="399" t="str">
        <f t="shared" si="10"/>
        <v/>
      </c>
      <c r="J689" s="261"/>
      <c r="K689" s="1227"/>
      <c r="L689" s="262"/>
      <c r="M689" s="262"/>
      <c r="N689" s="262"/>
    </row>
    <row r="690" spans="1:14" s="263" customFormat="1" hidden="1" outlineLevel="1">
      <c r="A690" s="1225"/>
      <c r="B690" s="260"/>
      <c r="C690" s="457" t="s">
        <v>2</v>
      </c>
      <c r="D690" s="460">
        <v>1</v>
      </c>
      <c r="E690" s="439">
        <v>2</v>
      </c>
      <c r="F690" s="1350">
        <v>7.14</v>
      </c>
      <c r="G690" s="1350">
        <v>0.61</v>
      </c>
      <c r="H690" s="1350">
        <v>0.15</v>
      </c>
      <c r="I690" s="399">
        <f t="shared" si="10"/>
        <v>1.31</v>
      </c>
      <c r="J690" s="261"/>
      <c r="K690" s="1227"/>
      <c r="L690" s="262"/>
      <c r="M690" s="262"/>
      <c r="N690" s="262"/>
    </row>
    <row r="691" spans="1:14" s="263" customFormat="1" hidden="1" outlineLevel="1">
      <c r="A691" s="1225"/>
      <c r="B691" s="260"/>
      <c r="C691" s="457"/>
      <c r="D691" s="460"/>
      <c r="E691" s="439"/>
      <c r="F691" s="1350"/>
      <c r="G691" s="1350"/>
      <c r="H691" s="1350"/>
      <c r="I691" s="399" t="str">
        <f t="shared" si="10"/>
        <v/>
      </c>
      <c r="J691" s="261"/>
      <c r="K691" s="1227"/>
      <c r="L691" s="262"/>
      <c r="M691" s="262"/>
      <c r="N691" s="262"/>
    </row>
    <row r="692" spans="1:14" s="263" customFormat="1" hidden="1" outlineLevel="1">
      <c r="A692" s="1225"/>
      <c r="B692" s="260"/>
      <c r="C692" s="457" t="s">
        <v>2</v>
      </c>
      <c r="D692" s="460">
        <v>1</v>
      </c>
      <c r="E692" s="439">
        <v>2</v>
      </c>
      <c r="F692" s="1350">
        <v>1.2649999999999999</v>
      </c>
      <c r="G692" s="1350">
        <v>0.61</v>
      </c>
      <c r="H692" s="1350">
        <v>0.15</v>
      </c>
      <c r="I692" s="399">
        <f t="shared" si="10"/>
        <v>0.23</v>
      </c>
      <c r="J692" s="261"/>
      <c r="K692" s="1227"/>
      <c r="L692" s="262"/>
      <c r="M692" s="262"/>
      <c r="N692" s="262"/>
    </row>
    <row r="693" spans="1:14" s="263" customFormat="1" hidden="1" outlineLevel="1">
      <c r="A693" s="1225"/>
      <c r="B693" s="260"/>
      <c r="C693" s="457"/>
      <c r="D693" s="460"/>
      <c r="E693" s="439"/>
      <c r="F693" s="1350"/>
      <c r="G693" s="1350"/>
      <c r="H693" s="1350"/>
      <c r="I693" s="399" t="str">
        <f t="shared" si="10"/>
        <v/>
      </c>
      <c r="J693" s="261"/>
      <c r="K693" s="1227"/>
      <c r="L693" s="262"/>
      <c r="M693" s="262"/>
      <c r="N693" s="262"/>
    </row>
    <row r="694" spans="1:14" s="263" customFormat="1" hidden="1" outlineLevel="1">
      <c r="A694" s="1225"/>
      <c r="B694" s="260"/>
      <c r="C694" s="457"/>
      <c r="D694" s="460"/>
      <c r="E694" s="439"/>
      <c r="F694" s="1350"/>
      <c r="G694" s="1350"/>
      <c r="H694" s="1350"/>
      <c r="I694" s="399" t="str">
        <f t="shared" si="10"/>
        <v/>
      </c>
      <c r="J694" s="261"/>
      <c r="K694" s="1227"/>
      <c r="L694" s="262"/>
      <c r="M694" s="262"/>
      <c r="N694" s="262"/>
    </row>
    <row r="695" spans="1:14" s="263" customFormat="1" ht="34.5" hidden="1" outlineLevel="1">
      <c r="A695" s="1225"/>
      <c r="B695" s="260" t="s">
        <v>255</v>
      </c>
      <c r="C695" s="457"/>
      <c r="D695" s="460"/>
      <c r="E695" s="439"/>
      <c r="F695" s="1350"/>
      <c r="G695" s="1350"/>
      <c r="H695" s="1350"/>
      <c r="I695" s="399" t="str">
        <f t="shared" si="10"/>
        <v/>
      </c>
      <c r="J695" s="261"/>
      <c r="K695" s="1227"/>
      <c r="L695" s="262"/>
      <c r="M695" s="262"/>
      <c r="N695" s="262"/>
    </row>
    <row r="696" spans="1:14" s="263" customFormat="1" hidden="1" outlineLevel="1">
      <c r="A696" s="1225"/>
      <c r="B696" s="260"/>
      <c r="C696" s="457"/>
      <c r="D696" s="460"/>
      <c r="E696" s="439"/>
      <c r="F696" s="1350"/>
      <c r="G696" s="1350"/>
      <c r="H696" s="1350"/>
      <c r="I696" s="399" t="str">
        <f t="shared" si="10"/>
        <v/>
      </c>
      <c r="J696" s="261"/>
      <c r="K696" s="1227"/>
      <c r="L696" s="262"/>
      <c r="M696" s="262"/>
      <c r="N696" s="262"/>
    </row>
    <row r="697" spans="1:14" s="263" customFormat="1" hidden="1" outlineLevel="1">
      <c r="A697" s="1225"/>
      <c r="B697" s="260"/>
      <c r="C697" s="457"/>
      <c r="D697" s="460">
        <v>1</v>
      </c>
      <c r="E697" s="439">
        <v>3</v>
      </c>
      <c r="F697" s="1350">
        <v>7.625</v>
      </c>
      <c r="G697" s="1350">
        <v>0.61</v>
      </c>
      <c r="H697" s="1350">
        <v>0.15</v>
      </c>
      <c r="I697" s="399">
        <f t="shared" si="10"/>
        <v>2.09</v>
      </c>
      <c r="J697" s="261"/>
      <c r="K697" s="1227"/>
      <c r="L697" s="262"/>
      <c r="M697" s="262"/>
      <c r="N697" s="262"/>
    </row>
    <row r="698" spans="1:14" s="263" customFormat="1" hidden="1" outlineLevel="1">
      <c r="A698" s="1225"/>
      <c r="B698" s="260"/>
      <c r="C698" s="457"/>
      <c r="D698" s="460"/>
      <c r="E698" s="439"/>
      <c r="F698" s="1350"/>
      <c r="G698" s="1350"/>
      <c r="H698" s="1350"/>
      <c r="I698" s="399" t="str">
        <f t="shared" si="10"/>
        <v/>
      </c>
      <c r="J698" s="261"/>
      <c r="K698" s="1227"/>
      <c r="L698" s="262"/>
      <c r="M698" s="262"/>
      <c r="N698" s="262"/>
    </row>
    <row r="699" spans="1:14" s="263" customFormat="1" ht="34.5" hidden="1" outlineLevel="1">
      <c r="A699" s="1225"/>
      <c r="B699" s="260" t="s">
        <v>256</v>
      </c>
      <c r="C699" s="457"/>
      <c r="D699" s="460"/>
      <c r="E699" s="439"/>
      <c r="F699" s="1350"/>
      <c r="G699" s="1350"/>
      <c r="H699" s="1350"/>
      <c r="I699" s="399" t="str">
        <f t="shared" si="10"/>
        <v/>
      </c>
      <c r="J699" s="261"/>
      <c r="K699" s="1227"/>
      <c r="L699" s="262"/>
      <c r="M699" s="262"/>
      <c r="N699" s="262"/>
    </row>
    <row r="700" spans="1:14" s="263" customFormat="1" hidden="1" outlineLevel="1">
      <c r="A700" s="1225"/>
      <c r="B700" s="260"/>
      <c r="C700" s="457"/>
      <c r="D700" s="460"/>
      <c r="E700" s="439"/>
      <c r="F700" s="1350"/>
      <c r="G700" s="1350"/>
      <c r="H700" s="1350"/>
      <c r="I700" s="399" t="str">
        <f t="shared" si="10"/>
        <v/>
      </c>
      <c r="J700" s="261"/>
      <c r="K700" s="1227"/>
      <c r="L700" s="262"/>
      <c r="M700" s="262"/>
      <c r="N700" s="262"/>
    </row>
    <row r="701" spans="1:14" s="263" customFormat="1" hidden="1" outlineLevel="1">
      <c r="A701" s="1225"/>
      <c r="B701" s="260"/>
      <c r="C701" s="457" t="s">
        <v>2</v>
      </c>
      <c r="D701" s="460">
        <v>1</v>
      </c>
      <c r="E701" s="439">
        <v>8</v>
      </c>
      <c r="F701" s="1350">
        <v>7.625</v>
      </c>
      <c r="G701" s="1350">
        <v>0.61</v>
      </c>
      <c r="H701" s="1350">
        <v>0.15</v>
      </c>
      <c r="I701" s="399">
        <f t="shared" si="10"/>
        <v>5.58</v>
      </c>
      <c r="J701" s="261"/>
      <c r="K701" s="1227"/>
      <c r="L701" s="262"/>
      <c r="M701" s="262"/>
      <c r="N701" s="262"/>
    </row>
    <row r="702" spans="1:14" s="263" customFormat="1" hidden="1" outlineLevel="1">
      <c r="A702" s="1225"/>
      <c r="B702" s="260"/>
      <c r="C702" s="457"/>
      <c r="D702" s="460"/>
      <c r="E702" s="439"/>
      <c r="F702" s="1350"/>
      <c r="G702" s="1350"/>
      <c r="H702" s="1350"/>
      <c r="I702" s="399" t="str">
        <f t="shared" si="10"/>
        <v/>
      </c>
      <c r="J702" s="261"/>
      <c r="K702" s="1227"/>
      <c r="L702" s="262"/>
      <c r="M702" s="262"/>
      <c r="N702" s="262"/>
    </row>
    <row r="703" spans="1:14" s="263" customFormat="1" hidden="1" outlineLevel="1">
      <c r="A703" s="1225"/>
      <c r="B703" s="260"/>
      <c r="C703" s="457" t="s">
        <v>2</v>
      </c>
      <c r="D703" s="460">
        <v>1</v>
      </c>
      <c r="E703" s="439">
        <v>1</v>
      </c>
      <c r="F703" s="1350">
        <v>9.35</v>
      </c>
      <c r="G703" s="1350">
        <v>0.61</v>
      </c>
      <c r="H703" s="1350">
        <v>0.15</v>
      </c>
      <c r="I703" s="399">
        <f t="shared" si="10"/>
        <v>0.86</v>
      </c>
      <c r="J703" s="261"/>
      <c r="K703" s="1227"/>
      <c r="L703" s="262"/>
      <c r="M703" s="262"/>
      <c r="N703" s="262"/>
    </row>
    <row r="704" spans="1:14" s="263" customFormat="1" hidden="1" outlineLevel="1">
      <c r="A704" s="1225"/>
      <c r="B704" s="260"/>
      <c r="C704" s="457"/>
      <c r="D704" s="460"/>
      <c r="E704" s="439"/>
      <c r="F704" s="1350"/>
      <c r="G704" s="1350"/>
      <c r="H704" s="1350"/>
      <c r="I704" s="399" t="str">
        <f t="shared" si="10"/>
        <v/>
      </c>
      <c r="J704" s="261"/>
      <c r="K704" s="1227"/>
      <c r="L704" s="262"/>
      <c r="M704" s="262"/>
      <c r="N704" s="262"/>
    </row>
    <row r="705" spans="1:14" s="263" customFormat="1" hidden="1" outlineLevel="1">
      <c r="A705" s="1225"/>
      <c r="B705" s="260" t="s">
        <v>257</v>
      </c>
      <c r="C705" s="457"/>
      <c r="D705" s="460"/>
      <c r="E705" s="439"/>
      <c r="F705" s="1350"/>
      <c r="G705" s="1350"/>
      <c r="H705" s="1350"/>
      <c r="I705" s="399" t="str">
        <f t="shared" si="10"/>
        <v/>
      </c>
      <c r="J705" s="261"/>
      <c r="K705" s="1227"/>
      <c r="L705" s="262"/>
      <c r="M705" s="262"/>
      <c r="N705" s="262"/>
    </row>
    <row r="706" spans="1:14" s="263" customFormat="1" hidden="1" outlineLevel="1">
      <c r="A706" s="1225"/>
      <c r="B706" s="260"/>
      <c r="C706" s="457"/>
      <c r="D706" s="460"/>
      <c r="E706" s="439"/>
      <c r="F706" s="1350"/>
      <c r="G706" s="1350"/>
      <c r="H706" s="1350"/>
      <c r="I706" s="399" t="str">
        <f t="shared" si="10"/>
        <v/>
      </c>
      <c r="J706" s="261"/>
      <c r="K706" s="1227"/>
      <c r="L706" s="262"/>
      <c r="M706" s="262"/>
      <c r="N706" s="262"/>
    </row>
    <row r="707" spans="1:14" s="263" customFormat="1" ht="34.5" hidden="1" outlineLevel="1">
      <c r="A707" s="1225"/>
      <c r="B707" s="260" t="s">
        <v>258</v>
      </c>
      <c r="C707" s="457"/>
      <c r="D707" s="460"/>
      <c r="E707" s="439"/>
      <c r="F707" s="1350"/>
      <c r="G707" s="1350"/>
      <c r="H707" s="1350"/>
      <c r="I707" s="399" t="str">
        <f t="shared" si="10"/>
        <v/>
      </c>
      <c r="J707" s="261"/>
      <c r="K707" s="1227"/>
      <c r="L707" s="262"/>
      <c r="M707" s="262"/>
      <c r="N707" s="262"/>
    </row>
    <row r="708" spans="1:14" s="263" customFormat="1" hidden="1" outlineLevel="1">
      <c r="A708" s="1225"/>
      <c r="B708" s="260"/>
      <c r="C708" s="457" t="s">
        <v>2</v>
      </c>
      <c r="D708" s="460">
        <v>1</v>
      </c>
      <c r="E708" s="439">
        <v>1</v>
      </c>
      <c r="F708" s="1350">
        <v>27.54</v>
      </c>
      <c r="G708" s="1350">
        <v>14.19</v>
      </c>
      <c r="H708" s="1350">
        <v>7.4999999999999997E-2</v>
      </c>
      <c r="I708" s="399">
        <f t="shared" si="10"/>
        <v>29.31</v>
      </c>
      <c r="J708" s="261"/>
      <c r="K708" s="1227"/>
      <c r="L708" s="262"/>
      <c r="M708" s="262"/>
      <c r="N708" s="262"/>
    </row>
    <row r="709" spans="1:14" s="263" customFormat="1" hidden="1" outlineLevel="1">
      <c r="A709" s="1225"/>
      <c r="B709" s="260"/>
      <c r="C709" s="457"/>
      <c r="D709" s="460"/>
      <c r="E709" s="439"/>
      <c r="F709" s="1350"/>
      <c r="G709" s="1350"/>
      <c r="H709" s="1350"/>
      <c r="I709" s="399" t="str">
        <f t="shared" si="10"/>
        <v/>
      </c>
      <c r="J709" s="261"/>
      <c r="K709" s="1227"/>
      <c r="L709" s="262"/>
      <c r="M709" s="262"/>
      <c r="N709" s="262"/>
    </row>
    <row r="710" spans="1:14" s="263" customFormat="1" hidden="1" outlineLevel="1">
      <c r="A710" s="1225"/>
      <c r="B710" s="260" t="s">
        <v>259</v>
      </c>
      <c r="C710" s="457"/>
      <c r="D710" s="460"/>
      <c r="E710" s="439"/>
      <c r="F710" s="1350"/>
      <c r="G710" s="1350"/>
      <c r="H710" s="1350"/>
      <c r="I710" s="399" t="str">
        <f t="shared" si="10"/>
        <v/>
      </c>
      <c r="J710" s="261"/>
      <c r="K710" s="1227"/>
      <c r="L710" s="262"/>
      <c r="M710" s="262"/>
      <c r="N710" s="262"/>
    </row>
    <row r="711" spans="1:14" s="263" customFormat="1" hidden="1" outlineLevel="1">
      <c r="A711" s="1225"/>
      <c r="B711" s="260" t="s">
        <v>260</v>
      </c>
      <c r="C711" s="457" t="s">
        <v>2</v>
      </c>
      <c r="D711" s="460">
        <v>1</v>
      </c>
      <c r="E711" s="439">
        <v>1</v>
      </c>
      <c r="F711" s="1350">
        <v>29.2</v>
      </c>
      <c r="G711" s="1350">
        <v>6</v>
      </c>
      <c r="H711" s="1350">
        <v>7.4999999999999997E-2</v>
      </c>
      <c r="I711" s="399">
        <f t="shared" si="10"/>
        <v>13.14</v>
      </c>
      <c r="J711" s="261"/>
      <c r="K711" s="1227"/>
      <c r="L711" s="262"/>
      <c r="M711" s="262"/>
      <c r="N711" s="262"/>
    </row>
    <row r="712" spans="1:14" s="263" customFormat="1" hidden="1" outlineLevel="1">
      <c r="A712" s="1225"/>
      <c r="B712" s="260"/>
      <c r="C712" s="457" t="s">
        <v>2</v>
      </c>
      <c r="D712" s="460">
        <v>1</v>
      </c>
      <c r="E712" s="439">
        <v>1</v>
      </c>
      <c r="F712" s="1350">
        <v>8.32</v>
      </c>
      <c r="G712" s="1350">
        <v>6.78</v>
      </c>
      <c r="H712" s="1350">
        <v>7.4999999999999997E-2</v>
      </c>
      <c r="I712" s="399">
        <f t="shared" ref="I712:I775" si="11">IF(D712&lt;&gt;0,ROUND(PRODUCT(E712:H712)*D712,2),"")</f>
        <v>4.2300000000000004</v>
      </c>
      <c r="J712" s="261"/>
      <c r="K712" s="1227"/>
      <c r="L712" s="262"/>
      <c r="M712" s="262"/>
      <c r="N712" s="262"/>
    </row>
    <row r="713" spans="1:14" s="263" customFormat="1" hidden="1" outlineLevel="1">
      <c r="A713" s="1225"/>
      <c r="B713" s="260" t="s">
        <v>261</v>
      </c>
      <c r="C713" s="457" t="s">
        <v>2</v>
      </c>
      <c r="D713" s="460">
        <v>1</v>
      </c>
      <c r="E713" s="439">
        <v>1</v>
      </c>
      <c r="F713" s="1350">
        <v>23.234999999999999</v>
      </c>
      <c r="G713" s="1350">
        <v>6</v>
      </c>
      <c r="H713" s="1350">
        <v>7.4999999999999997E-2</v>
      </c>
      <c r="I713" s="399">
        <f t="shared" si="11"/>
        <v>10.46</v>
      </c>
      <c r="J713" s="261"/>
      <c r="K713" s="1227"/>
      <c r="L713" s="262"/>
      <c r="M713" s="262"/>
      <c r="N713" s="262"/>
    </row>
    <row r="714" spans="1:14" s="263" customFormat="1" hidden="1" outlineLevel="1">
      <c r="A714" s="1225"/>
      <c r="B714" s="260" t="s">
        <v>261</v>
      </c>
      <c r="C714" s="457" t="s">
        <v>2</v>
      </c>
      <c r="D714" s="460">
        <v>1</v>
      </c>
      <c r="E714" s="439">
        <v>1</v>
      </c>
      <c r="F714" s="1350">
        <v>2.2749999999999999</v>
      </c>
      <c r="G714" s="1350">
        <v>6</v>
      </c>
      <c r="H714" s="1350">
        <v>7.4999999999999997E-2</v>
      </c>
      <c r="I714" s="399">
        <f t="shared" si="11"/>
        <v>1.02</v>
      </c>
      <c r="J714" s="261"/>
      <c r="K714" s="1227"/>
      <c r="L714" s="262"/>
      <c r="M714" s="262"/>
      <c r="N714" s="262"/>
    </row>
    <row r="715" spans="1:14" s="263" customFormat="1" hidden="1" outlineLevel="1">
      <c r="A715" s="1225"/>
      <c r="B715" s="260" t="s">
        <v>261</v>
      </c>
      <c r="C715" s="457" t="s">
        <v>2</v>
      </c>
      <c r="D715" s="460">
        <v>1</v>
      </c>
      <c r="E715" s="439">
        <v>1</v>
      </c>
      <c r="F715" s="1350">
        <v>32.39</v>
      </c>
      <c r="G715" s="1350">
        <v>6</v>
      </c>
      <c r="H715" s="1350">
        <v>7.4999999999999997E-2</v>
      </c>
      <c r="I715" s="399">
        <f t="shared" si="11"/>
        <v>14.58</v>
      </c>
      <c r="J715" s="261"/>
      <c r="K715" s="1227"/>
      <c r="L715" s="262"/>
      <c r="M715" s="262"/>
      <c r="N715" s="262"/>
    </row>
    <row r="716" spans="1:14" s="263" customFormat="1" hidden="1" outlineLevel="1">
      <c r="A716" s="1225"/>
      <c r="B716" s="260" t="s">
        <v>261</v>
      </c>
      <c r="C716" s="457" t="s">
        <v>2</v>
      </c>
      <c r="D716" s="460">
        <v>1</v>
      </c>
      <c r="E716" s="439">
        <v>1</v>
      </c>
      <c r="F716" s="1350">
        <v>5.2949999999999999</v>
      </c>
      <c r="G716" s="1350">
        <v>6</v>
      </c>
      <c r="H716" s="1350">
        <v>7.4999999999999997E-2</v>
      </c>
      <c r="I716" s="399">
        <f t="shared" si="11"/>
        <v>2.38</v>
      </c>
      <c r="J716" s="261"/>
      <c r="K716" s="1227"/>
      <c r="L716" s="262"/>
      <c r="M716" s="262"/>
      <c r="N716" s="262"/>
    </row>
    <row r="717" spans="1:14" s="263" customFormat="1" hidden="1" outlineLevel="1">
      <c r="A717" s="1225"/>
      <c r="B717" s="260"/>
      <c r="C717" s="457"/>
      <c r="D717" s="460"/>
      <c r="E717" s="439"/>
      <c r="F717" s="1350"/>
      <c r="G717" s="1350"/>
      <c r="H717" s="1350"/>
      <c r="I717" s="399" t="str">
        <f t="shared" si="11"/>
        <v/>
      </c>
      <c r="J717" s="261"/>
      <c r="K717" s="1227"/>
      <c r="L717" s="262"/>
      <c r="M717" s="262"/>
      <c r="N717" s="262"/>
    </row>
    <row r="718" spans="1:14" s="263" customFormat="1" hidden="1" outlineLevel="1">
      <c r="A718" s="1225"/>
      <c r="B718" s="260"/>
      <c r="C718" s="457"/>
      <c r="D718" s="460"/>
      <c r="E718" s="439"/>
      <c r="F718" s="1350"/>
      <c r="G718" s="1350"/>
      <c r="H718" s="1350"/>
      <c r="I718" s="399" t="str">
        <f t="shared" si="11"/>
        <v/>
      </c>
      <c r="J718" s="261"/>
      <c r="K718" s="1227"/>
      <c r="L718" s="262"/>
      <c r="M718" s="262"/>
      <c r="N718" s="262"/>
    </row>
    <row r="719" spans="1:14" s="263" customFormat="1" ht="34.5" hidden="1" outlineLevel="1">
      <c r="A719" s="1225"/>
      <c r="B719" s="260" t="s">
        <v>262</v>
      </c>
      <c r="C719" s="457"/>
      <c r="D719" s="460"/>
      <c r="E719" s="439"/>
      <c r="F719" s="1350"/>
      <c r="G719" s="1350"/>
      <c r="H719" s="1350"/>
      <c r="I719" s="399" t="str">
        <f t="shared" si="11"/>
        <v/>
      </c>
      <c r="J719" s="261"/>
      <c r="K719" s="1227"/>
      <c r="L719" s="262"/>
      <c r="M719" s="262"/>
      <c r="N719" s="262"/>
    </row>
    <row r="720" spans="1:14" s="263" customFormat="1" hidden="1" outlineLevel="1">
      <c r="A720" s="1225"/>
      <c r="B720" s="260"/>
      <c r="C720" s="457"/>
      <c r="D720" s="460"/>
      <c r="E720" s="439"/>
      <c r="F720" s="1350"/>
      <c r="G720" s="1350"/>
      <c r="H720" s="1350"/>
      <c r="I720" s="399" t="str">
        <f t="shared" si="11"/>
        <v/>
      </c>
      <c r="J720" s="261"/>
      <c r="K720" s="1227"/>
      <c r="L720" s="262"/>
      <c r="M720" s="262"/>
      <c r="N720" s="262"/>
    </row>
    <row r="721" spans="1:14" s="263" customFormat="1" hidden="1" outlineLevel="1">
      <c r="A721" s="1225"/>
      <c r="B721" s="260" t="s">
        <v>263</v>
      </c>
      <c r="C721" s="457" t="s">
        <v>2</v>
      </c>
      <c r="D721" s="460">
        <v>1</v>
      </c>
      <c r="E721" s="439">
        <v>6</v>
      </c>
      <c r="F721" s="1350">
        <v>5</v>
      </c>
      <c r="G721" s="1350">
        <v>1.25</v>
      </c>
      <c r="H721" s="1350">
        <v>0.1</v>
      </c>
      <c r="I721" s="399">
        <f t="shared" si="11"/>
        <v>3.75</v>
      </c>
      <c r="J721" s="261"/>
      <c r="K721" s="1227"/>
      <c r="L721" s="262"/>
      <c r="M721" s="262"/>
      <c r="N721" s="262"/>
    </row>
    <row r="722" spans="1:14" s="263" customFormat="1" hidden="1" outlineLevel="1">
      <c r="A722" s="1225"/>
      <c r="B722" s="260"/>
      <c r="C722" s="457" t="s">
        <v>2</v>
      </c>
      <c r="D722" s="460">
        <v>1</v>
      </c>
      <c r="E722" s="439">
        <v>2</v>
      </c>
      <c r="F722" s="1350">
        <v>5</v>
      </c>
      <c r="G722" s="1350">
        <v>1.5</v>
      </c>
      <c r="H722" s="1350">
        <v>0.1</v>
      </c>
      <c r="I722" s="399">
        <f t="shared" si="11"/>
        <v>1.5</v>
      </c>
      <c r="J722" s="261"/>
      <c r="K722" s="1227"/>
      <c r="L722" s="262"/>
      <c r="M722" s="262"/>
      <c r="N722" s="262"/>
    </row>
    <row r="723" spans="1:14" s="263" customFormat="1" hidden="1" outlineLevel="1">
      <c r="A723" s="1225"/>
      <c r="B723" s="260"/>
      <c r="C723" s="457"/>
      <c r="D723" s="460"/>
      <c r="E723" s="439"/>
      <c r="F723" s="1350"/>
      <c r="G723" s="1350"/>
      <c r="H723" s="1350"/>
      <c r="I723" s="399" t="str">
        <f t="shared" si="11"/>
        <v/>
      </c>
      <c r="J723" s="261"/>
      <c r="K723" s="1227"/>
      <c r="L723" s="262"/>
      <c r="M723" s="262"/>
      <c r="N723" s="262"/>
    </row>
    <row r="724" spans="1:14" s="263" customFormat="1" hidden="1" outlineLevel="1">
      <c r="A724" s="1225"/>
      <c r="B724" s="260"/>
      <c r="C724" s="457"/>
      <c r="D724" s="460"/>
      <c r="E724" s="439"/>
      <c r="F724" s="1350"/>
      <c r="G724" s="1350"/>
      <c r="H724" s="1350"/>
      <c r="I724" s="399" t="str">
        <f t="shared" si="11"/>
        <v/>
      </c>
      <c r="J724" s="261"/>
      <c r="K724" s="1227"/>
      <c r="L724" s="262"/>
      <c r="M724" s="262"/>
      <c r="N724" s="262"/>
    </row>
    <row r="725" spans="1:14" s="263" customFormat="1" ht="34.5" hidden="1" outlineLevel="1">
      <c r="A725" s="1225"/>
      <c r="B725" s="260" t="s">
        <v>264</v>
      </c>
      <c r="C725" s="457"/>
      <c r="D725" s="460"/>
      <c r="E725" s="439"/>
      <c r="F725" s="1350"/>
      <c r="G725" s="1350"/>
      <c r="H725" s="1350"/>
      <c r="I725" s="399" t="str">
        <f t="shared" si="11"/>
        <v/>
      </c>
      <c r="J725" s="261"/>
      <c r="K725" s="1227"/>
      <c r="L725" s="262"/>
      <c r="M725" s="262"/>
      <c r="N725" s="262"/>
    </row>
    <row r="726" spans="1:14" s="263" customFormat="1" hidden="1" outlineLevel="1">
      <c r="A726" s="1225"/>
      <c r="B726" s="260"/>
      <c r="C726" s="457"/>
      <c r="D726" s="460"/>
      <c r="E726" s="439"/>
      <c r="F726" s="1350"/>
      <c r="G726" s="1350"/>
      <c r="H726" s="1350"/>
      <c r="I726" s="399" t="str">
        <f t="shared" si="11"/>
        <v/>
      </c>
      <c r="J726" s="261"/>
      <c r="K726" s="1227"/>
      <c r="L726" s="262"/>
      <c r="M726" s="262"/>
      <c r="N726" s="262"/>
    </row>
    <row r="727" spans="1:14" s="263" customFormat="1" hidden="1" outlineLevel="1">
      <c r="A727" s="1225"/>
      <c r="B727" s="260" t="s">
        <v>263</v>
      </c>
      <c r="C727" s="457" t="s">
        <v>2</v>
      </c>
      <c r="D727" s="460">
        <v>1</v>
      </c>
      <c r="E727" s="439">
        <v>6</v>
      </c>
      <c r="F727" s="1350">
        <v>5</v>
      </c>
      <c r="G727" s="1350">
        <v>1.25</v>
      </c>
      <c r="H727" s="1350">
        <v>0.1</v>
      </c>
      <c r="I727" s="399">
        <f t="shared" si="11"/>
        <v>3.75</v>
      </c>
      <c r="J727" s="261"/>
      <c r="K727" s="1227"/>
      <c r="L727" s="262"/>
      <c r="M727" s="262"/>
      <c r="N727" s="262"/>
    </row>
    <row r="728" spans="1:14" s="263" customFormat="1" hidden="1" outlineLevel="1">
      <c r="A728" s="1225"/>
      <c r="B728" s="260"/>
      <c r="C728" s="457" t="s">
        <v>2</v>
      </c>
      <c r="D728" s="460">
        <v>1</v>
      </c>
      <c r="E728" s="439">
        <v>2</v>
      </c>
      <c r="F728" s="1350">
        <v>5</v>
      </c>
      <c r="G728" s="1350">
        <v>1.5</v>
      </c>
      <c r="H728" s="1350">
        <v>0.1</v>
      </c>
      <c r="I728" s="399">
        <f t="shared" si="11"/>
        <v>1.5</v>
      </c>
      <c r="J728" s="261"/>
      <c r="K728" s="1227"/>
      <c r="L728" s="262"/>
      <c r="M728" s="262"/>
      <c r="N728" s="262"/>
    </row>
    <row r="729" spans="1:14" s="263" customFormat="1" hidden="1" outlineLevel="1">
      <c r="A729" s="1225"/>
      <c r="B729" s="260"/>
      <c r="C729" s="457"/>
      <c r="D729" s="460"/>
      <c r="E729" s="439"/>
      <c r="F729" s="1350"/>
      <c r="G729" s="1350"/>
      <c r="H729" s="1350"/>
      <c r="I729" s="399" t="str">
        <f t="shared" si="11"/>
        <v/>
      </c>
      <c r="J729" s="261"/>
      <c r="K729" s="1227"/>
      <c r="L729" s="262"/>
      <c r="M729" s="262"/>
      <c r="N729" s="262"/>
    </row>
    <row r="730" spans="1:14" s="263" customFormat="1" hidden="1" outlineLevel="1">
      <c r="A730" s="1225"/>
      <c r="B730" s="260" t="s">
        <v>265</v>
      </c>
      <c r="C730" s="457"/>
      <c r="D730" s="460"/>
      <c r="E730" s="439"/>
      <c r="F730" s="1350"/>
      <c r="G730" s="1350"/>
      <c r="H730" s="1350"/>
      <c r="I730" s="399" t="str">
        <f t="shared" si="11"/>
        <v/>
      </c>
      <c r="J730" s="261"/>
      <c r="K730" s="1227"/>
      <c r="L730" s="262"/>
      <c r="M730" s="262"/>
      <c r="N730" s="262"/>
    </row>
    <row r="731" spans="1:14" s="263" customFormat="1" ht="34.5" hidden="1" outlineLevel="1">
      <c r="A731" s="1225"/>
      <c r="B731" s="260" t="s">
        <v>266</v>
      </c>
      <c r="C731" s="457" t="s">
        <v>2</v>
      </c>
      <c r="D731" s="460">
        <v>1</v>
      </c>
      <c r="E731" s="439">
        <v>1</v>
      </c>
      <c r="F731" s="1350">
        <v>6.38</v>
      </c>
      <c r="G731" s="1350">
        <v>1.9750000000000001</v>
      </c>
      <c r="H731" s="1350">
        <v>7.4999999999999997E-2</v>
      </c>
      <c r="I731" s="399">
        <f t="shared" si="11"/>
        <v>0.95</v>
      </c>
      <c r="J731" s="261"/>
      <c r="K731" s="1227"/>
      <c r="L731" s="262"/>
      <c r="M731" s="262"/>
      <c r="N731" s="262"/>
    </row>
    <row r="732" spans="1:14" s="263" customFormat="1" hidden="1" outlineLevel="1">
      <c r="A732" s="1225"/>
      <c r="B732" s="260"/>
      <c r="C732" s="457" t="s">
        <v>2</v>
      </c>
      <c r="D732" s="460">
        <v>1</v>
      </c>
      <c r="E732" s="439">
        <v>2</v>
      </c>
      <c r="F732" s="1350">
        <v>6.95</v>
      </c>
      <c r="G732" s="1350">
        <v>1.9750000000000001</v>
      </c>
      <c r="H732" s="1350">
        <v>7.4999999999999997E-2</v>
      </c>
      <c r="I732" s="399">
        <f t="shared" si="11"/>
        <v>2.06</v>
      </c>
      <c r="J732" s="261"/>
      <c r="K732" s="1227"/>
      <c r="L732" s="262"/>
      <c r="M732" s="262"/>
      <c r="N732" s="262"/>
    </row>
    <row r="733" spans="1:14" s="263" customFormat="1" hidden="1" outlineLevel="1">
      <c r="A733" s="1225"/>
      <c r="B733" s="260"/>
      <c r="C733" s="457" t="s">
        <v>2</v>
      </c>
      <c r="D733" s="460">
        <v>1</v>
      </c>
      <c r="E733" s="439">
        <v>1</v>
      </c>
      <c r="F733" s="1350">
        <v>6.12</v>
      </c>
      <c r="G733" s="1350">
        <v>1.67</v>
      </c>
      <c r="H733" s="1350">
        <v>7.4999999999999997E-2</v>
      </c>
      <c r="I733" s="399">
        <f t="shared" si="11"/>
        <v>0.77</v>
      </c>
      <c r="J733" s="261"/>
      <c r="K733" s="1227"/>
      <c r="L733" s="262"/>
      <c r="M733" s="262"/>
      <c r="N733" s="262"/>
    </row>
    <row r="734" spans="1:14" s="263" customFormat="1" hidden="1" outlineLevel="1">
      <c r="A734" s="1225"/>
      <c r="B734" s="260"/>
      <c r="C734" s="457" t="s">
        <v>2</v>
      </c>
      <c r="D734" s="460">
        <v>1</v>
      </c>
      <c r="E734" s="439">
        <v>1</v>
      </c>
      <c r="F734" s="1350">
        <v>4.6449999999999996</v>
      </c>
      <c r="G734" s="1350">
        <v>1.9750000000000001</v>
      </c>
      <c r="H734" s="1350">
        <v>7.4999999999999997E-2</v>
      </c>
      <c r="I734" s="399">
        <f t="shared" si="11"/>
        <v>0.69</v>
      </c>
      <c r="J734" s="261"/>
      <c r="K734" s="1227"/>
      <c r="L734" s="262"/>
      <c r="M734" s="262"/>
      <c r="N734" s="262"/>
    </row>
    <row r="735" spans="1:14" s="263" customFormat="1" hidden="1" outlineLevel="1">
      <c r="A735" s="1225"/>
      <c r="B735" s="260"/>
      <c r="C735" s="457"/>
      <c r="D735" s="460"/>
      <c r="E735" s="439"/>
      <c r="F735" s="1350"/>
      <c r="G735" s="1350"/>
      <c r="H735" s="1350"/>
      <c r="I735" s="399" t="str">
        <f t="shared" si="11"/>
        <v/>
      </c>
      <c r="J735" s="261"/>
      <c r="K735" s="1227"/>
      <c r="L735" s="262"/>
      <c r="M735" s="262"/>
      <c r="N735" s="262"/>
    </row>
    <row r="736" spans="1:14" s="263" customFormat="1" hidden="1" outlineLevel="1">
      <c r="A736" s="1225"/>
      <c r="B736" s="260"/>
      <c r="C736" s="457" t="s">
        <v>2</v>
      </c>
      <c r="D736" s="460">
        <v>1</v>
      </c>
      <c r="E736" s="439">
        <v>1</v>
      </c>
      <c r="F736" s="1350">
        <v>6.8849999999999998</v>
      </c>
      <c r="G736" s="1350">
        <v>1.27</v>
      </c>
      <c r="H736" s="1350">
        <v>7.4999999999999997E-2</v>
      </c>
      <c r="I736" s="399">
        <f t="shared" si="11"/>
        <v>0.66</v>
      </c>
      <c r="J736" s="261"/>
      <c r="K736" s="1227"/>
      <c r="L736" s="262"/>
      <c r="M736" s="262"/>
      <c r="N736" s="262"/>
    </row>
    <row r="737" spans="1:14" s="263" customFormat="1" hidden="1" outlineLevel="1">
      <c r="A737" s="1225"/>
      <c r="B737" s="260"/>
      <c r="C737" s="457" t="s">
        <v>2</v>
      </c>
      <c r="D737" s="460">
        <v>1</v>
      </c>
      <c r="E737" s="439">
        <v>1</v>
      </c>
      <c r="F737" s="1350">
        <v>2.3849999999999998</v>
      </c>
      <c r="G737" s="1350">
        <v>2.2599999999999998</v>
      </c>
      <c r="H737" s="1350">
        <v>7.4999999999999997E-2</v>
      </c>
      <c r="I737" s="399">
        <f t="shared" si="11"/>
        <v>0.4</v>
      </c>
      <c r="J737" s="261"/>
      <c r="K737" s="1227"/>
      <c r="L737" s="262"/>
      <c r="M737" s="262"/>
      <c r="N737" s="262"/>
    </row>
    <row r="738" spans="1:14" s="263" customFormat="1" hidden="1" outlineLevel="1">
      <c r="A738" s="1225"/>
      <c r="B738" s="260" t="s">
        <v>267</v>
      </c>
      <c r="C738" s="457" t="s">
        <v>2</v>
      </c>
      <c r="D738" s="460">
        <v>1</v>
      </c>
      <c r="E738" s="439">
        <v>1</v>
      </c>
      <c r="F738" s="1350">
        <v>20.170000000000002</v>
      </c>
      <c r="G738" s="1350">
        <v>2.125</v>
      </c>
      <c r="H738" s="1350">
        <v>7.4999999999999997E-2</v>
      </c>
      <c r="I738" s="399">
        <f t="shared" si="11"/>
        <v>3.21</v>
      </c>
      <c r="J738" s="261"/>
      <c r="K738" s="1227"/>
      <c r="L738" s="262"/>
      <c r="M738" s="262"/>
      <c r="N738" s="262"/>
    </row>
    <row r="739" spans="1:14" s="263" customFormat="1" hidden="1" outlineLevel="1">
      <c r="A739" s="1225"/>
      <c r="B739" s="260"/>
      <c r="C739" s="457"/>
      <c r="D739" s="460"/>
      <c r="E739" s="439"/>
      <c r="F739" s="1350"/>
      <c r="G739" s="1350"/>
      <c r="H739" s="1350"/>
      <c r="I739" s="399" t="str">
        <f t="shared" si="11"/>
        <v/>
      </c>
      <c r="J739" s="261"/>
      <c r="K739" s="1227"/>
      <c r="L739" s="262"/>
      <c r="M739" s="262"/>
      <c r="N739" s="262"/>
    </row>
    <row r="740" spans="1:14" s="263" customFormat="1" hidden="1" outlineLevel="1">
      <c r="A740" s="1225"/>
      <c r="B740" s="260" t="s">
        <v>268</v>
      </c>
      <c r="C740" s="457" t="s">
        <v>2</v>
      </c>
      <c r="D740" s="460">
        <v>1</v>
      </c>
      <c r="E740" s="439">
        <v>1</v>
      </c>
      <c r="F740" s="1350">
        <v>12.58</v>
      </c>
      <c r="G740" s="1350">
        <v>1.19</v>
      </c>
      <c r="H740" s="1350">
        <v>7.4999999999999997E-2</v>
      </c>
      <c r="I740" s="399">
        <f t="shared" si="11"/>
        <v>1.1200000000000001</v>
      </c>
      <c r="J740" s="261"/>
      <c r="K740" s="1227"/>
      <c r="L740" s="262"/>
      <c r="M740" s="262"/>
      <c r="N740" s="262"/>
    </row>
    <row r="741" spans="1:14" s="263" customFormat="1" hidden="1" outlineLevel="1">
      <c r="A741" s="1225"/>
      <c r="B741" s="260"/>
      <c r="C741" s="457" t="s">
        <v>2</v>
      </c>
      <c r="D741" s="460">
        <v>1</v>
      </c>
      <c r="E741" s="439">
        <v>1</v>
      </c>
      <c r="F741" s="1350">
        <v>7.09</v>
      </c>
      <c r="G741" s="1350">
        <v>0.9</v>
      </c>
      <c r="H741" s="1350">
        <v>7.4999999999999997E-2</v>
      </c>
      <c r="I741" s="399">
        <f t="shared" si="11"/>
        <v>0.48</v>
      </c>
      <c r="J741" s="261"/>
      <c r="K741" s="1227"/>
      <c r="L741" s="262"/>
      <c r="M741" s="262"/>
      <c r="N741" s="262"/>
    </row>
    <row r="742" spans="1:14" s="263" customFormat="1" hidden="1" outlineLevel="1">
      <c r="A742" s="1225"/>
      <c r="B742" s="260"/>
      <c r="C742" s="457" t="s">
        <v>2</v>
      </c>
      <c r="D742" s="460">
        <v>1</v>
      </c>
      <c r="E742" s="439">
        <v>1</v>
      </c>
      <c r="F742" s="1350">
        <v>1.6</v>
      </c>
      <c r="G742" s="1350">
        <v>5.98</v>
      </c>
      <c r="H742" s="1350">
        <v>7.4999999999999997E-2</v>
      </c>
      <c r="I742" s="399">
        <f t="shared" si="11"/>
        <v>0.72</v>
      </c>
      <c r="J742" s="261"/>
      <c r="K742" s="1227"/>
      <c r="L742" s="262"/>
      <c r="M742" s="262"/>
      <c r="N742" s="262"/>
    </row>
    <row r="743" spans="1:14" s="263" customFormat="1" hidden="1" outlineLevel="1">
      <c r="A743" s="1225"/>
      <c r="B743" s="260"/>
      <c r="C743" s="457" t="s">
        <v>2</v>
      </c>
      <c r="D743" s="460">
        <v>1</v>
      </c>
      <c r="E743" s="439">
        <v>1</v>
      </c>
      <c r="F743" s="1350">
        <v>1.6</v>
      </c>
      <c r="G743" s="1350">
        <v>4.18</v>
      </c>
      <c r="H743" s="1350">
        <v>7.4999999999999997E-2</v>
      </c>
      <c r="I743" s="399">
        <f t="shared" si="11"/>
        <v>0.5</v>
      </c>
      <c r="J743" s="261"/>
      <c r="K743" s="1227"/>
      <c r="L743" s="262"/>
      <c r="M743" s="262"/>
      <c r="N743" s="262"/>
    </row>
    <row r="744" spans="1:14" s="263" customFormat="1" hidden="1" outlineLevel="1">
      <c r="A744" s="1225"/>
      <c r="B744" s="260"/>
      <c r="C744" s="457" t="s">
        <v>2</v>
      </c>
      <c r="D744" s="460">
        <v>1</v>
      </c>
      <c r="E744" s="439">
        <v>2</v>
      </c>
      <c r="F744" s="1350">
        <v>1.6</v>
      </c>
      <c r="G744" s="1350">
        <v>2.38</v>
      </c>
      <c r="H744" s="1350">
        <v>7.4999999999999997E-2</v>
      </c>
      <c r="I744" s="399">
        <f t="shared" si="11"/>
        <v>0.56999999999999995</v>
      </c>
      <c r="J744" s="261"/>
      <c r="K744" s="1227"/>
      <c r="L744" s="262"/>
      <c r="M744" s="262"/>
      <c r="N744" s="262"/>
    </row>
    <row r="745" spans="1:14" s="263" customFormat="1" hidden="1" outlineLevel="1">
      <c r="A745" s="1225"/>
      <c r="B745" s="260"/>
      <c r="C745" s="457" t="s">
        <v>2</v>
      </c>
      <c r="D745" s="460">
        <v>1</v>
      </c>
      <c r="E745" s="439">
        <v>1</v>
      </c>
      <c r="F745" s="1350">
        <v>1.145</v>
      </c>
      <c r="G745" s="1350">
        <v>0.9</v>
      </c>
      <c r="H745" s="1350">
        <v>7.4999999999999997E-2</v>
      </c>
      <c r="I745" s="399">
        <f t="shared" si="11"/>
        <v>0.08</v>
      </c>
      <c r="J745" s="261"/>
      <c r="K745" s="1227"/>
      <c r="L745" s="262"/>
      <c r="M745" s="262"/>
      <c r="N745" s="262"/>
    </row>
    <row r="746" spans="1:14" s="263" customFormat="1" hidden="1" outlineLevel="1">
      <c r="A746" s="1225"/>
      <c r="B746" s="260"/>
      <c r="C746" s="457"/>
      <c r="D746" s="460"/>
      <c r="E746" s="439"/>
      <c r="F746" s="1350"/>
      <c r="G746" s="1350"/>
      <c r="H746" s="1350"/>
      <c r="I746" s="399" t="str">
        <f t="shared" si="11"/>
        <v/>
      </c>
      <c r="J746" s="261"/>
      <c r="K746" s="1227"/>
      <c r="L746" s="262"/>
      <c r="M746" s="262"/>
      <c r="N746" s="262"/>
    </row>
    <row r="747" spans="1:14" s="263" customFormat="1" hidden="1" outlineLevel="1">
      <c r="A747" s="1225"/>
      <c r="B747" s="260"/>
      <c r="C747" s="457" t="s">
        <v>2</v>
      </c>
      <c r="D747" s="460">
        <v>1</v>
      </c>
      <c r="E747" s="439">
        <v>1</v>
      </c>
      <c r="F747" s="1350">
        <v>2.7450000000000001</v>
      </c>
      <c r="G747" s="1350">
        <v>1.5</v>
      </c>
      <c r="H747" s="1350">
        <v>7.4999999999999997E-2</v>
      </c>
      <c r="I747" s="399">
        <f t="shared" si="11"/>
        <v>0.31</v>
      </c>
      <c r="J747" s="261"/>
      <c r="K747" s="1227"/>
      <c r="L747" s="262"/>
      <c r="M747" s="262"/>
      <c r="N747" s="262"/>
    </row>
    <row r="748" spans="1:14" s="263" customFormat="1" hidden="1" outlineLevel="1">
      <c r="A748" s="1225"/>
      <c r="B748" s="260"/>
      <c r="C748" s="457" t="s">
        <v>2</v>
      </c>
      <c r="D748" s="460">
        <v>1</v>
      </c>
      <c r="E748" s="439">
        <v>1</v>
      </c>
      <c r="F748" s="1350">
        <v>1.6</v>
      </c>
      <c r="G748" s="1350">
        <v>6.6749999999999998</v>
      </c>
      <c r="H748" s="1350">
        <v>7.4999999999999997E-2</v>
      </c>
      <c r="I748" s="399">
        <f t="shared" si="11"/>
        <v>0.8</v>
      </c>
      <c r="J748" s="261"/>
      <c r="K748" s="1227"/>
      <c r="L748" s="262"/>
      <c r="M748" s="262"/>
      <c r="N748" s="262"/>
    </row>
    <row r="749" spans="1:14" s="263" customFormat="1" hidden="1" outlineLevel="1">
      <c r="A749" s="1225"/>
      <c r="B749" s="260"/>
      <c r="C749" s="457" t="s">
        <v>2</v>
      </c>
      <c r="D749" s="460">
        <v>0.5</v>
      </c>
      <c r="E749" s="439">
        <v>1</v>
      </c>
      <c r="F749" s="1350">
        <v>3.07</v>
      </c>
      <c r="G749" s="1350">
        <v>1.0649999999999999</v>
      </c>
      <c r="H749" s="1350">
        <v>7.4999999999999997E-2</v>
      </c>
      <c r="I749" s="399">
        <f t="shared" si="11"/>
        <v>0.12</v>
      </c>
      <c r="J749" s="261"/>
      <c r="K749" s="1227"/>
      <c r="L749" s="262"/>
      <c r="M749" s="262"/>
      <c r="N749" s="262"/>
    </row>
    <row r="750" spans="1:14" s="263" customFormat="1" hidden="1" outlineLevel="1">
      <c r="A750" s="1225"/>
      <c r="B750" s="260"/>
      <c r="C750" s="457" t="s">
        <v>2</v>
      </c>
      <c r="D750" s="460">
        <v>1</v>
      </c>
      <c r="E750" s="439">
        <v>1</v>
      </c>
      <c r="F750" s="1350">
        <v>1.6</v>
      </c>
      <c r="G750" s="1350">
        <v>3.9</v>
      </c>
      <c r="H750" s="1350">
        <v>7.4999999999999997E-2</v>
      </c>
      <c r="I750" s="399">
        <f t="shared" si="11"/>
        <v>0.47</v>
      </c>
      <c r="J750" s="261"/>
      <c r="K750" s="1227"/>
      <c r="L750" s="262"/>
      <c r="M750" s="262"/>
      <c r="N750" s="262"/>
    </row>
    <row r="751" spans="1:14" s="263" customFormat="1" hidden="1" outlineLevel="1">
      <c r="A751" s="1225"/>
      <c r="B751" s="260"/>
      <c r="C751" s="457" t="s">
        <v>2</v>
      </c>
      <c r="D751" s="460">
        <v>0.5</v>
      </c>
      <c r="E751" s="439">
        <v>1</v>
      </c>
      <c r="F751" s="1350">
        <v>2.77</v>
      </c>
      <c r="G751" s="1350">
        <v>0.96</v>
      </c>
      <c r="H751" s="1350">
        <v>7.4999999999999997E-2</v>
      </c>
      <c r="I751" s="399">
        <f t="shared" si="11"/>
        <v>0.1</v>
      </c>
      <c r="J751" s="261"/>
      <c r="K751" s="1227"/>
      <c r="L751" s="262"/>
      <c r="M751" s="262"/>
      <c r="N751" s="262"/>
    </row>
    <row r="752" spans="1:14" s="263" customFormat="1" hidden="1" outlineLevel="1">
      <c r="A752" s="1225"/>
      <c r="B752" s="260"/>
      <c r="C752" s="457" t="s">
        <v>2</v>
      </c>
      <c r="D752" s="460">
        <v>1</v>
      </c>
      <c r="E752" s="439">
        <v>1</v>
      </c>
      <c r="F752" s="1350">
        <v>1.6</v>
      </c>
      <c r="G752" s="1350">
        <v>4.09</v>
      </c>
      <c r="H752" s="1350">
        <v>7.4999999999999997E-2</v>
      </c>
      <c r="I752" s="399">
        <f t="shared" si="11"/>
        <v>0.49</v>
      </c>
      <c r="J752" s="261"/>
      <c r="K752" s="1227"/>
      <c r="L752" s="262"/>
      <c r="M752" s="262"/>
      <c r="N752" s="262"/>
    </row>
    <row r="753" spans="1:14" s="263" customFormat="1" hidden="1" outlineLevel="1">
      <c r="A753" s="1225"/>
      <c r="B753" s="260"/>
      <c r="C753" s="457" t="s">
        <v>2</v>
      </c>
      <c r="D753" s="460">
        <v>0.5</v>
      </c>
      <c r="E753" s="439">
        <v>1</v>
      </c>
      <c r="F753" s="1350">
        <v>3.25</v>
      </c>
      <c r="G753" s="1350">
        <v>1.095</v>
      </c>
      <c r="H753" s="1350">
        <v>7.4999999999999997E-2</v>
      </c>
      <c r="I753" s="399">
        <f t="shared" si="11"/>
        <v>0.13</v>
      </c>
      <c r="J753" s="261"/>
      <c r="K753" s="1227"/>
      <c r="L753" s="262"/>
      <c r="M753" s="262"/>
      <c r="N753" s="262"/>
    </row>
    <row r="754" spans="1:14" s="263" customFormat="1" hidden="1" outlineLevel="1">
      <c r="A754" s="1225"/>
      <c r="B754" s="260"/>
      <c r="C754" s="457" t="s">
        <v>2</v>
      </c>
      <c r="D754" s="460">
        <v>0.5</v>
      </c>
      <c r="E754" s="439">
        <v>1</v>
      </c>
      <c r="F754" s="1350">
        <v>8.61</v>
      </c>
      <c r="G754" s="1350">
        <v>4.6150000000000002</v>
      </c>
      <c r="H754" s="1350">
        <v>7.4999999999999997E-2</v>
      </c>
      <c r="I754" s="399">
        <f t="shared" si="11"/>
        <v>1.49</v>
      </c>
      <c r="J754" s="261"/>
      <c r="K754" s="1227"/>
      <c r="L754" s="262"/>
      <c r="M754" s="262"/>
      <c r="N754" s="262"/>
    </row>
    <row r="755" spans="1:14" s="263" customFormat="1" hidden="1" outlineLevel="1">
      <c r="A755" s="1225"/>
      <c r="B755" s="260"/>
      <c r="C755" s="457"/>
      <c r="D755" s="460"/>
      <c r="E755" s="439"/>
      <c r="F755" s="1350"/>
      <c r="G755" s="1350"/>
      <c r="H755" s="1350"/>
      <c r="I755" s="399" t="str">
        <f t="shared" si="11"/>
        <v/>
      </c>
      <c r="J755" s="261"/>
      <c r="K755" s="1227"/>
      <c r="L755" s="262"/>
      <c r="M755" s="262"/>
      <c r="N755" s="262"/>
    </row>
    <row r="756" spans="1:14" s="263" customFormat="1" ht="34.5" hidden="1" outlineLevel="1">
      <c r="A756" s="1225"/>
      <c r="B756" s="260" t="s">
        <v>269</v>
      </c>
      <c r="C756" s="457"/>
      <c r="D756" s="460"/>
      <c r="E756" s="439"/>
      <c r="F756" s="1350"/>
      <c r="G756" s="1350"/>
      <c r="H756" s="1350"/>
      <c r="I756" s="399" t="str">
        <f t="shared" si="11"/>
        <v/>
      </c>
      <c r="J756" s="261"/>
      <c r="K756" s="1227"/>
      <c r="L756" s="262"/>
      <c r="M756" s="262"/>
      <c r="N756" s="262"/>
    </row>
    <row r="757" spans="1:14" s="263" customFormat="1" hidden="1" outlineLevel="1">
      <c r="A757" s="1225"/>
      <c r="B757" s="260"/>
      <c r="C757" s="457" t="s">
        <v>2</v>
      </c>
      <c r="D757" s="460">
        <v>1</v>
      </c>
      <c r="E757" s="439">
        <v>1</v>
      </c>
      <c r="F757" s="1350">
        <v>21</v>
      </c>
      <c r="G757" s="1350">
        <v>6.2</v>
      </c>
      <c r="H757" s="1350">
        <v>7.4999999999999997E-2</v>
      </c>
      <c r="I757" s="399">
        <f t="shared" si="11"/>
        <v>9.77</v>
      </c>
      <c r="J757" s="261"/>
      <c r="K757" s="1227"/>
      <c r="L757" s="262"/>
      <c r="M757" s="262"/>
      <c r="N757" s="262"/>
    </row>
    <row r="758" spans="1:14" s="263" customFormat="1" hidden="1" outlineLevel="1">
      <c r="A758" s="1225"/>
      <c r="B758" s="260" t="s">
        <v>270</v>
      </c>
      <c r="C758" s="457" t="s">
        <v>2</v>
      </c>
      <c r="D758" s="460">
        <v>-1</v>
      </c>
      <c r="E758" s="439">
        <v>1</v>
      </c>
      <c r="F758" s="1350">
        <v>128.47</v>
      </c>
      <c r="G758" s="1350"/>
      <c r="H758" s="1350"/>
      <c r="I758" s="399">
        <f t="shared" si="11"/>
        <v>-128.47</v>
      </c>
      <c r="J758" s="261"/>
      <c r="K758" s="1226"/>
      <c r="L758" s="262"/>
      <c r="M758" s="262"/>
      <c r="N758" s="262"/>
    </row>
    <row r="759" spans="1:14" ht="51.75" hidden="1" outlineLevel="1" collapsed="1">
      <c r="A759" s="1228"/>
      <c r="B759" s="589" t="s">
        <v>598</v>
      </c>
      <c r="C759" s="298"/>
      <c r="D759" s="302"/>
      <c r="E759" s="298"/>
      <c r="F759" s="1156"/>
      <c r="G759" s="1156"/>
      <c r="H759" s="1156"/>
      <c r="I759" s="399" t="str">
        <f t="shared" si="11"/>
        <v/>
      </c>
      <c r="J759" s="162"/>
      <c r="K759" s="1229"/>
    </row>
    <row r="760" spans="1:14" hidden="1" outlineLevel="1">
      <c r="A760" s="1228"/>
      <c r="B760" s="299" t="s">
        <v>599</v>
      </c>
      <c r="C760" s="298"/>
      <c r="D760" s="302"/>
      <c r="E760" s="298"/>
      <c r="F760" s="1156"/>
      <c r="G760" s="1156"/>
      <c r="H760" s="1156"/>
      <c r="I760" s="399" t="str">
        <f t="shared" si="11"/>
        <v/>
      </c>
      <c r="J760" s="162"/>
      <c r="K760" s="1229"/>
    </row>
    <row r="761" spans="1:14" hidden="1" outlineLevel="1">
      <c r="A761" s="1228"/>
      <c r="B761" s="299" t="s">
        <v>600</v>
      </c>
      <c r="C761" s="298" t="s">
        <v>2</v>
      </c>
      <c r="D761" s="302">
        <v>1</v>
      </c>
      <c r="E761" s="298">
        <v>1</v>
      </c>
      <c r="F761" s="1156">
        <f>1.4+1.4+1.53+1.53+4.89+G761*2</f>
        <v>11.97</v>
      </c>
      <c r="G761" s="1156">
        <f t="shared" ref="G761:G779" si="12">0.46+0.15</f>
        <v>0.61</v>
      </c>
      <c r="H761" s="1156">
        <v>0.15</v>
      </c>
      <c r="I761" s="399">
        <f t="shared" si="11"/>
        <v>1.1000000000000001</v>
      </c>
      <c r="J761" s="162"/>
      <c r="K761" s="1229"/>
    </row>
    <row r="762" spans="1:14" hidden="1" outlineLevel="1">
      <c r="A762" s="1228"/>
      <c r="B762" s="296"/>
      <c r="C762" s="298" t="s">
        <v>2</v>
      </c>
      <c r="D762" s="302">
        <v>1</v>
      </c>
      <c r="E762" s="298">
        <v>1</v>
      </c>
      <c r="F762" s="1156">
        <f>1.4+G762</f>
        <v>2.0099999999999998</v>
      </c>
      <c r="G762" s="1156">
        <f t="shared" si="12"/>
        <v>0.61</v>
      </c>
      <c r="H762" s="1156">
        <v>0.15</v>
      </c>
      <c r="I762" s="399">
        <f t="shared" si="11"/>
        <v>0.18</v>
      </c>
      <c r="J762" s="162"/>
      <c r="K762" s="1229"/>
    </row>
    <row r="763" spans="1:14" hidden="1" outlineLevel="1">
      <c r="A763" s="1228"/>
      <c r="B763" s="296"/>
      <c r="C763" s="298" t="s">
        <v>2</v>
      </c>
      <c r="D763" s="302">
        <v>1</v>
      </c>
      <c r="E763" s="298">
        <v>1</v>
      </c>
      <c r="F763" s="1156">
        <f>7.355+G763</f>
        <v>7.9650000000000007</v>
      </c>
      <c r="G763" s="1156">
        <f t="shared" si="12"/>
        <v>0.61</v>
      </c>
      <c r="H763" s="1156">
        <v>0.15</v>
      </c>
      <c r="I763" s="399">
        <f t="shared" si="11"/>
        <v>0.73</v>
      </c>
      <c r="J763" s="162"/>
      <c r="K763" s="1229"/>
    </row>
    <row r="764" spans="1:14" hidden="1" outlineLevel="1">
      <c r="A764" s="1228"/>
      <c r="B764" s="299" t="s">
        <v>601</v>
      </c>
      <c r="C764" s="298" t="s">
        <v>2</v>
      </c>
      <c r="D764" s="302">
        <v>1</v>
      </c>
      <c r="E764" s="298">
        <v>1</v>
      </c>
      <c r="F764" s="1156">
        <f>7.355+G764</f>
        <v>7.9650000000000007</v>
      </c>
      <c r="G764" s="1156">
        <f t="shared" si="12"/>
        <v>0.61</v>
      </c>
      <c r="H764" s="1156">
        <v>0.15</v>
      </c>
      <c r="I764" s="399">
        <f t="shared" si="11"/>
        <v>0.73</v>
      </c>
      <c r="J764" s="162"/>
      <c r="K764" s="1229"/>
    </row>
    <row r="765" spans="1:14" hidden="1" outlineLevel="1">
      <c r="A765" s="1228"/>
      <c r="B765" s="296"/>
      <c r="C765" s="298" t="s">
        <v>2</v>
      </c>
      <c r="D765" s="302">
        <v>1</v>
      </c>
      <c r="E765" s="298">
        <v>1</v>
      </c>
      <c r="F765" s="1156">
        <f>1.4+G765</f>
        <v>2.0099999999999998</v>
      </c>
      <c r="G765" s="1156">
        <f t="shared" si="12"/>
        <v>0.61</v>
      </c>
      <c r="H765" s="1156">
        <v>0.15</v>
      </c>
      <c r="I765" s="399">
        <f t="shared" si="11"/>
        <v>0.18</v>
      </c>
      <c r="J765" s="162"/>
      <c r="K765" s="1229"/>
    </row>
    <row r="766" spans="1:14" hidden="1" outlineLevel="1">
      <c r="A766" s="1228"/>
      <c r="B766" s="296"/>
      <c r="C766" s="298" t="s">
        <v>2</v>
      </c>
      <c r="D766" s="302">
        <v>1</v>
      </c>
      <c r="E766" s="298">
        <v>1</v>
      </c>
      <c r="F766" s="1156">
        <f>5.955+G766</f>
        <v>6.5650000000000004</v>
      </c>
      <c r="G766" s="1156">
        <f t="shared" si="12"/>
        <v>0.61</v>
      </c>
      <c r="H766" s="1156">
        <v>0.15</v>
      </c>
      <c r="I766" s="399">
        <f t="shared" si="11"/>
        <v>0.6</v>
      </c>
      <c r="J766" s="162"/>
      <c r="K766" s="1229"/>
    </row>
    <row r="767" spans="1:14" hidden="1" outlineLevel="1">
      <c r="A767" s="1228"/>
      <c r="B767" s="299" t="s">
        <v>602</v>
      </c>
      <c r="C767" s="298" t="s">
        <v>2</v>
      </c>
      <c r="D767" s="302">
        <v>1</v>
      </c>
      <c r="E767" s="298">
        <v>1</v>
      </c>
      <c r="F767" s="1156">
        <f>5.955+G767</f>
        <v>6.5650000000000004</v>
      </c>
      <c r="G767" s="1156">
        <f t="shared" si="12"/>
        <v>0.61</v>
      </c>
      <c r="H767" s="1156">
        <v>0.15</v>
      </c>
      <c r="I767" s="399">
        <f t="shared" si="11"/>
        <v>0.6</v>
      </c>
      <c r="J767" s="162"/>
      <c r="K767" s="1229"/>
    </row>
    <row r="768" spans="1:14" hidden="1" outlineLevel="1">
      <c r="A768" s="1228"/>
      <c r="B768" s="296"/>
      <c r="C768" s="298" t="s">
        <v>2</v>
      </c>
      <c r="D768" s="302">
        <v>1</v>
      </c>
      <c r="E768" s="298">
        <v>1</v>
      </c>
      <c r="F768" s="1156">
        <f>1.53+G768</f>
        <v>2.14</v>
      </c>
      <c r="G768" s="1156">
        <f t="shared" si="12"/>
        <v>0.61</v>
      </c>
      <c r="H768" s="1156">
        <v>0.15</v>
      </c>
      <c r="I768" s="399">
        <f t="shared" si="11"/>
        <v>0.2</v>
      </c>
      <c r="J768" s="162"/>
      <c r="K768" s="1229"/>
    </row>
    <row r="769" spans="1:11" hidden="1" outlineLevel="1">
      <c r="A769" s="1228"/>
      <c r="B769" s="296"/>
      <c r="C769" s="298" t="s">
        <v>2</v>
      </c>
      <c r="D769" s="302">
        <v>1</v>
      </c>
      <c r="E769" s="298">
        <v>1</v>
      </c>
      <c r="F769" s="1156">
        <f>4.425+G769</f>
        <v>5.0350000000000001</v>
      </c>
      <c r="G769" s="1156">
        <f t="shared" si="12"/>
        <v>0.61</v>
      </c>
      <c r="H769" s="1156">
        <v>0.15</v>
      </c>
      <c r="I769" s="399">
        <f t="shared" si="11"/>
        <v>0.46</v>
      </c>
      <c r="J769" s="162"/>
      <c r="K769" s="1229"/>
    </row>
    <row r="770" spans="1:11" hidden="1" outlineLevel="1">
      <c r="A770" s="1228"/>
      <c r="B770" s="299" t="s">
        <v>603</v>
      </c>
      <c r="C770" s="298" t="s">
        <v>2</v>
      </c>
      <c r="D770" s="302">
        <v>1</v>
      </c>
      <c r="E770" s="298">
        <v>1</v>
      </c>
      <c r="F770" s="1156">
        <f>4.425+G770</f>
        <v>5.0350000000000001</v>
      </c>
      <c r="G770" s="1156">
        <f t="shared" si="12"/>
        <v>0.61</v>
      </c>
      <c r="H770" s="1156">
        <v>0.15</v>
      </c>
      <c r="I770" s="399">
        <f t="shared" si="11"/>
        <v>0.46</v>
      </c>
      <c r="J770" s="162"/>
      <c r="K770" s="1229"/>
    </row>
    <row r="771" spans="1:11" hidden="1" outlineLevel="1">
      <c r="A771" s="1228"/>
      <c r="B771" s="296"/>
      <c r="C771" s="298" t="s">
        <v>2</v>
      </c>
      <c r="D771" s="302">
        <v>1</v>
      </c>
      <c r="E771" s="298">
        <v>1</v>
      </c>
      <c r="F771" s="1156">
        <f>1.53+G771</f>
        <v>2.14</v>
      </c>
      <c r="G771" s="1156">
        <f t="shared" si="12"/>
        <v>0.61</v>
      </c>
      <c r="H771" s="1156">
        <v>0.15</v>
      </c>
      <c r="I771" s="399">
        <f t="shared" si="11"/>
        <v>0.2</v>
      </c>
      <c r="J771" s="162"/>
      <c r="K771" s="1229"/>
    </row>
    <row r="772" spans="1:11" hidden="1" outlineLevel="1">
      <c r="A772" s="1228"/>
      <c r="B772" s="296"/>
      <c r="C772" s="298" t="s">
        <v>2</v>
      </c>
      <c r="D772" s="302">
        <v>1</v>
      </c>
      <c r="E772" s="298">
        <v>1</v>
      </c>
      <c r="F772" s="1156">
        <f>2.89+G772</f>
        <v>3.5</v>
      </c>
      <c r="G772" s="1156">
        <f t="shared" si="12"/>
        <v>0.61</v>
      </c>
      <c r="H772" s="1156">
        <v>0.15</v>
      </c>
      <c r="I772" s="399">
        <f t="shared" si="11"/>
        <v>0.32</v>
      </c>
      <c r="J772" s="162"/>
      <c r="K772" s="1229"/>
    </row>
    <row r="773" spans="1:11" hidden="1" outlineLevel="1">
      <c r="A773" s="1228"/>
      <c r="B773" s="299" t="s">
        <v>603</v>
      </c>
      <c r="C773" s="298" t="s">
        <v>2</v>
      </c>
      <c r="D773" s="302">
        <v>1</v>
      </c>
      <c r="E773" s="298">
        <v>1</v>
      </c>
      <c r="F773" s="1156">
        <f>2.89+G773</f>
        <v>3.5</v>
      </c>
      <c r="G773" s="1156">
        <f t="shared" si="12"/>
        <v>0.61</v>
      </c>
      <c r="H773" s="1156">
        <v>0.15</v>
      </c>
      <c r="I773" s="399">
        <f t="shared" si="11"/>
        <v>0.32</v>
      </c>
      <c r="J773" s="162"/>
      <c r="K773" s="1229"/>
    </row>
    <row r="774" spans="1:11" hidden="1" outlineLevel="1">
      <c r="A774" s="1228"/>
      <c r="B774" s="296"/>
      <c r="C774" s="298" t="s">
        <v>2</v>
      </c>
      <c r="D774" s="302">
        <v>1</v>
      </c>
      <c r="E774" s="298">
        <v>1</v>
      </c>
      <c r="F774" s="1156">
        <f>4.89+G774</f>
        <v>5.5</v>
      </c>
      <c r="G774" s="1156">
        <f t="shared" si="12"/>
        <v>0.61</v>
      </c>
      <c r="H774" s="1156">
        <v>0.15</v>
      </c>
      <c r="I774" s="399">
        <f t="shared" si="11"/>
        <v>0.5</v>
      </c>
      <c r="J774" s="162"/>
      <c r="K774" s="1229"/>
    </row>
    <row r="775" spans="1:11" hidden="1" outlineLevel="1">
      <c r="A775" s="1228"/>
      <c r="B775" s="590" t="s">
        <v>604</v>
      </c>
      <c r="C775" s="298" t="s">
        <v>2</v>
      </c>
      <c r="D775" s="302">
        <v>1</v>
      </c>
      <c r="E775" s="298">
        <v>6</v>
      </c>
      <c r="F775" s="1156">
        <v>0.61499999999999999</v>
      </c>
      <c r="G775" s="1156">
        <f t="shared" si="12"/>
        <v>0.61</v>
      </c>
      <c r="H775" s="1156">
        <v>0.15</v>
      </c>
      <c r="I775" s="399">
        <f t="shared" si="11"/>
        <v>0.34</v>
      </c>
      <c r="J775" s="162"/>
      <c r="K775" s="1229"/>
    </row>
    <row r="776" spans="1:11" hidden="1" outlineLevel="1">
      <c r="A776" s="1228"/>
      <c r="B776" s="296"/>
      <c r="C776" s="298" t="s">
        <v>2</v>
      </c>
      <c r="D776" s="302">
        <v>1</v>
      </c>
      <c r="E776" s="298">
        <v>3</v>
      </c>
      <c r="F776" s="1156">
        <f>2.745-G776</f>
        <v>2.1350000000000002</v>
      </c>
      <c r="G776" s="1156">
        <f t="shared" si="12"/>
        <v>0.61</v>
      </c>
      <c r="H776" s="1156">
        <v>0.15</v>
      </c>
      <c r="I776" s="399">
        <f t="shared" ref="I776:I839" si="13">IF(D776&lt;&gt;0,ROUND(PRODUCT(E776:H776)*D776,2),"")</f>
        <v>0.59</v>
      </c>
      <c r="J776" s="162"/>
      <c r="K776" s="1229"/>
    </row>
    <row r="777" spans="1:11" hidden="1" outlineLevel="1">
      <c r="A777" s="1228"/>
      <c r="B777" s="296"/>
      <c r="C777" s="298" t="s">
        <v>2</v>
      </c>
      <c r="D777" s="302">
        <v>1</v>
      </c>
      <c r="E777" s="298">
        <v>1</v>
      </c>
      <c r="F777" s="1156">
        <f>2.44-G777</f>
        <v>1.83</v>
      </c>
      <c r="G777" s="1156">
        <f t="shared" si="12"/>
        <v>0.61</v>
      </c>
      <c r="H777" s="1156">
        <v>0.15</v>
      </c>
      <c r="I777" s="399">
        <f t="shared" si="13"/>
        <v>0.17</v>
      </c>
      <c r="J777" s="162"/>
      <c r="K777" s="1229"/>
    </row>
    <row r="778" spans="1:11" hidden="1" outlineLevel="1">
      <c r="A778" s="1228"/>
      <c r="B778" s="296"/>
      <c r="C778" s="298" t="s">
        <v>2</v>
      </c>
      <c r="D778" s="302">
        <v>1</v>
      </c>
      <c r="E778" s="298">
        <v>3</v>
      </c>
      <c r="F778" s="1156">
        <f>2.13-G778*2</f>
        <v>0.90999999999999992</v>
      </c>
      <c r="G778" s="1156">
        <f t="shared" si="12"/>
        <v>0.61</v>
      </c>
      <c r="H778" s="1156">
        <v>0.15</v>
      </c>
      <c r="I778" s="399">
        <f t="shared" si="13"/>
        <v>0.25</v>
      </c>
      <c r="J778" s="162"/>
      <c r="K778" s="1229"/>
    </row>
    <row r="779" spans="1:11" hidden="1" outlineLevel="1">
      <c r="A779" s="1228"/>
      <c r="B779" s="296"/>
      <c r="C779" s="298" t="s">
        <v>2</v>
      </c>
      <c r="D779" s="302">
        <v>1</v>
      </c>
      <c r="E779" s="298">
        <v>1</v>
      </c>
      <c r="F779" s="1156">
        <f>1.825-G779*2</f>
        <v>0.60499999999999998</v>
      </c>
      <c r="G779" s="1156">
        <f t="shared" si="12"/>
        <v>0.61</v>
      </c>
      <c r="H779" s="1156">
        <v>0.15</v>
      </c>
      <c r="I779" s="399">
        <f t="shared" si="13"/>
        <v>0.06</v>
      </c>
      <c r="J779" s="162"/>
      <c r="K779" s="1229"/>
    </row>
    <row r="780" spans="1:11" ht="51.75" hidden="1" outlineLevel="1">
      <c r="A780" s="1228"/>
      <c r="B780" s="589" t="s">
        <v>605</v>
      </c>
      <c r="C780" s="298"/>
      <c r="D780" s="302"/>
      <c r="E780" s="298"/>
      <c r="F780" s="1156"/>
      <c r="G780" s="1156"/>
      <c r="H780" s="1156"/>
      <c r="I780" s="399" t="str">
        <f t="shared" si="13"/>
        <v/>
      </c>
      <c r="J780" s="162"/>
      <c r="K780" s="1229"/>
    </row>
    <row r="781" spans="1:11" hidden="1" outlineLevel="1">
      <c r="A781" s="1228"/>
      <c r="B781" s="299" t="s">
        <v>606</v>
      </c>
      <c r="C781" s="298"/>
      <c r="D781" s="302"/>
      <c r="E781" s="298"/>
      <c r="F781" s="1156"/>
      <c r="G781" s="1156"/>
      <c r="H781" s="1156"/>
      <c r="I781" s="399" t="str">
        <f t="shared" si="13"/>
        <v/>
      </c>
      <c r="J781" s="162"/>
      <c r="K781" s="1229"/>
    </row>
    <row r="782" spans="1:11" hidden="1" outlineLevel="1">
      <c r="A782" s="1228"/>
      <c r="B782" s="299" t="s">
        <v>607</v>
      </c>
      <c r="C782" s="298" t="s">
        <v>2</v>
      </c>
      <c r="D782" s="302">
        <v>1</v>
      </c>
      <c r="E782" s="298">
        <v>1</v>
      </c>
      <c r="F782" s="1156">
        <f>29.85</f>
        <v>29.85</v>
      </c>
      <c r="G782" s="1156">
        <f t="shared" ref="G782:G797" si="14">0.46+0.15</f>
        <v>0.61</v>
      </c>
      <c r="H782" s="1156">
        <v>0.15</v>
      </c>
      <c r="I782" s="399">
        <f t="shared" si="13"/>
        <v>2.73</v>
      </c>
      <c r="J782" s="162"/>
      <c r="K782" s="1229"/>
    </row>
    <row r="783" spans="1:11" hidden="1" outlineLevel="1">
      <c r="A783" s="1228"/>
      <c r="B783" s="296"/>
      <c r="C783" s="298" t="s">
        <v>2</v>
      </c>
      <c r="D783" s="302">
        <v>1</v>
      </c>
      <c r="E783" s="298">
        <v>1</v>
      </c>
      <c r="F783" s="1156">
        <f>2.3-G783*2</f>
        <v>1.0799999999999998</v>
      </c>
      <c r="G783" s="1156">
        <f t="shared" si="14"/>
        <v>0.61</v>
      </c>
      <c r="H783" s="1156">
        <v>0.15</v>
      </c>
      <c r="I783" s="399">
        <f t="shared" si="13"/>
        <v>0.1</v>
      </c>
      <c r="J783" s="162"/>
      <c r="K783" s="1229"/>
    </row>
    <row r="784" spans="1:11" hidden="1" outlineLevel="1">
      <c r="A784" s="1228"/>
      <c r="B784" s="296"/>
      <c r="C784" s="298" t="s">
        <v>2</v>
      </c>
      <c r="D784" s="302">
        <v>1</v>
      </c>
      <c r="E784" s="329">
        <v>6</v>
      </c>
      <c r="F784" s="1156">
        <f>2-G784*2</f>
        <v>0.78</v>
      </c>
      <c r="G784" s="1156">
        <f t="shared" si="14"/>
        <v>0.61</v>
      </c>
      <c r="H784" s="1156">
        <v>0.15</v>
      </c>
      <c r="I784" s="399">
        <f t="shared" si="13"/>
        <v>0.43</v>
      </c>
      <c r="J784" s="162"/>
      <c r="K784" s="1229"/>
    </row>
    <row r="785" spans="1:14" hidden="1" outlineLevel="1">
      <c r="A785" s="1228"/>
      <c r="B785" s="296"/>
      <c r="C785" s="298" t="s">
        <v>2</v>
      </c>
      <c r="D785" s="302">
        <v>1</v>
      </c>
      <c r="E785" s="298">
        <v>1</v>
      </c>
      <c r="F785" s="1156">
        <f>2.25-G785*2</f>
        <v>1.03</v>
      </c>
      <c r="G785" s="1156">
        <f t="shared" si="14"/>
        <v>0.61</v>
      </c>
      <c r="H785" s="1156">
        <v>0.15</v>
      </c>
      <c r="I785" s="399">
        <f t="shared" si="13"/>
        <v>0.09</v>
      </c>
      <c r="J785" s="162"/>
      <c r="K785" s="1229"/>
    </row>
    <row r="786" spans="1:14" hidden="1" outlineLevel="1">
      <c r="A786" s="1228"/>
      <c r="B786" s="296"/>
      <c r="C786" s="298" t="s">
        <v>2</v>
      </c>
      <c r="D786" s="302">
        <v>1</v>
      </c>
      <c r="E786" s="298">
        <v>1</v>
      </c>
      <c r="F786" s="1156">
        <f>1.75-G786*2</f>
        <v>0.53</v>
      </c>
      <c r="G786" s="1156">
        <f t="shared" si="14"/>
        <v>0.61</v>
      </c>
      <c r="H786" s="1156">
        <v>0.15</v>
      </c>
      <c r="I786" s="399">
        <f t="shared" si="13"/>
        <v>0.05</v>
      </c>
      <c r="J786" s="162"/>
      <c r="K786" s="1229"/>
    </row>
    <row r="787" spans="1:14" hidden="1" outlineLevel="1">
      <c r="A787" s="1228"/>
      <c r="B787" s="296"/>
      <c r="C787" s="298" t="s">
        <v>2</v>
      </c>
      <c r="D787" s="302">
        <v>1</v>
      </c>
      <c r="E787" s="298">
        <v>12</v>
      </c>
      <c r="F787" s="1156">
        <v>0.6</v>
      </c>
      <c r="G787" s="1156">
        <f t="shared" si="14"/>
        <v>0.61</v>
      </c>
      <c r="H787" s="1156">
        <v>0.15</v>
      </c>
      <c r="I787" s="399">
        <f t="shared" si="13"/>
        <v>0.66</v>
      </c>
      <c r="J787" s="162"/>
      <c r="K787" s="1229"/>
    </row>
    <row r="788" spans="1:14" hidden="1" outlineLevel="1">
      <c r="A788" s="1228"/>
      <c r="B788" s="590" t="s">
        <v>608</v>
      </c>
      <c r="C788" s="298" t="s">
        <v>2</v>
      </c>
      <c r="D788" s="302">
        <v>1</v>
      </c>
      <c r="E788" s="298">
        <v>1</v>
      </c>
      <c r="F788" s="1156">
        <f>10.315+G788*2</f>
        <v>11.535</v>
      </c>
      <c r="G788" s="1156">
        <f t="shared" si="14"/>
        <v>0.61</v>
      </c>
      <c r="H788" s="1156">
        <v>0.15</v>
      </c>
      <c r="I788" s="399">
        <f t="shared" si="13"/>
        <v>1.06</v>
      </c>
      <c r="J788" s="162"/>
      <c r="K788" s="1229"/>
    </row>
    <row r="789" spans="1:14" hidden="1" outlineLevel="1">
      <c r="A789" s="1228"/>
      <c r="B789" s="296" t="s">
        <v>609</v>
      </c>
      <c r="C789" s="298" t="s">
        <v>2</v>
      </c>
      <c r="D789" s="302">
        <v>1</v>
      </c>
      <c r="E789" s="298">
        <v>1</v>
      </c>
      <c r="F789" s="1156">
        <f>9.315+G789</f>
        <v>9.9249999999999989</v>
      </c>
      <c r="G789" s="1156">
        <f t="shared" si="14"/>
        <v>0.61</v>
      </c>
      <c r="H789" s="1156">
        <v>0.15</v>
      </c>
      <c r="I789" s="399">
        <f t="shared" si="13"/>
        <v>0.91</v>
      </c>
      <c r="J789" s="162"/>
      <c r="K789" s="1229"/>
    </row>
    <row r="790" spans="1:14" hidden="1" outlineLevel="1">
      <c r="A790" s="1228"/>
      <c r="B790" s="296" t="s">
        <v>610</v>
      </c>
      <c r="C790" s="298" t="s">
        <v>2</v>
      </c>
      <c r="D790" s="302">
        <v>1</v>
      </c>
      <c r="E790" s="298">
        <v>2</v>
      </c>
      <c r="F790" s="1156">
        <f>7.79+G790</f>
        <v>8.4</v>
      </c>
      <c r="G790" s="1156">
        <f t="shared" si="14"/>
        <v>0.61</v>
      </c>
      <c r="H790" s="1156">
        <v>0.15</v>
      </c>
      <c r="I790" s="399">
        <f t="shared" si="13"/>
        <v>1.54</v>
      </c>
      <c r="J790" s="162"/>
      <c r="K790" s="1229"/>
    </row>
    <row r="791" spans="1:14" hidden="1" outlineLevel="1">
      <c r="A791" s="1228"/>
      <c r="B791" s="296" t="s">
        <v>611</v>
      </c>
      <c r="C791" s="298" t="s">
        <v>2</v>
      </c>
      <c r="D791" s="302">
        <v>1</v>
      </c>
      <c r="E791" s="298">
        <v>2</v>
      </c>
      <c r="F791" s="1156">
        <f>6.265+G791</f>
        <v>6.875</v>
      </c>
      <c r="G791" s="1156">
        <f t="shared" si="14"/>
        <v>0.61</v>
      </c>
      <c r="H791" s="1156">
        <v>0.15</v>
      </c>
      <c r="I791" s="399">
        <f t="shared" si="13"/>
        <v>1.26</v>
      </c>
      <c r="J791" s="162"/>
      <c r="K791" s="1229"/>
    </row>
    <row r="792" spans="1:14" s="342" customFormat="1" hidden="1" outlineLevel="1">
      <c r="A792" s="1230"/>
      <c r="B792" s="335" t="s">
        <v>612</v>
      </c>
      <c r="C792" s="337" t="s">
        <v>2</v>
      </c>
      <c r="D792" s="336">
        <f>1*0</f>
        <v>0</v>
      </c>
      <c r="E792" s="337">
        <v>2</v>
      </c>
      <c r="F792" s="1157">
        <f>6.265+G792</f>
        <v>6.875</v>
      </c>
      <c r="G792" s="1157">
        <f t="shared" si="14"/>
        <v>0.61</v>
      </c>
      <c r="H792" s="1157">
        <v>0.15</v>
      </c>
      <c r="I792" s="399" t="str">
        <f t="shared" si="13"/>
        <v/>
      </c>
      <c r="J792" s="339"/>
      <c r="K792" s="1231"/>
      <c r="L792" s="341"/>
      <c r="M792" s="341"/>
      <c r="N792" s="341"/>
    </row>
    <row r="793" spans="1:14" hidden="1" outlineLevel="1">
      <c r="A793" s="1228"/>
      <c r="B793" s="296"/>
      <c r="C793" s="298" t="s">
        <v>2</v>
      </c>
      <c r="D793" s="302">
        <v>1</v>
      </c>
      <c r="E793" s="298">
        <v>2</v>
      </c>
      <c r="F793" s="1156">
        <f>4.74+G793</f>
        <v>5.3500000000000005</v>
      </c>
      <c r="G793" s="1156">
        <f t="shared" si="14"/>
        <v>0.61</v>
      </c>
      <c r="H793" s="1156">
        <v>0.15</v>
      </c>
      <c r="I793" s="399">
        <f t="shared" si="13"/>
        <v>0.98</v>
      </c>
      <c r="J793" s="162"/>
      <c r="K793" s="1229"/>
    </row>
    <row r="794" spans="1:14" hidden="1" outlineLevel="1">
      <c r="A794" s="1228"/>
      <c r="B794" s="296"/>
      <c r="C794" s="298" t="s">
        <v>2</v>
      </c>
      <c r="D794" s="302">
        <v>1</v>
      </c>
      <c r="E794" s="298">
        <v>2</v>
      </c>
      <c r="F794" s="1156">
        <f>3.52+G794</f>
        <v>4.13</v>
      </c>
      <c r="G794" s="1156">
        <f t="shared" si="14"/>
        <v>0.61</v>
      </c>
      <c r="H794" s="1156">
        <v>0.15</v>
      </c>
      <c r="I794" s="399">
        <f t="shared" si="13"/>
        <v>0.76</v>
      </c>
      <c r="J794" s="162"/>
      <c r="K794" s="1229"/>
    </row>
    <row r="795" spans="1:14" hidden="1" outlineLevel="1">
      <c r="A795" s="1228"/>
      <c r="B795" s="296"/>
      <c r="C795" s="298" t="s">
        <v>2</v>
      </c>
      <c r="D795" s="302">
        <v>6</v>
      </c>
      <c r="E795" s="298">
        <v>2</v>
      </c>
      <c r="F795" s="1156">
        <f>3.215+G795</f>
        <v>3.8249999999999997</v>
      </c>
      <c r="G795" s="1156">
        <f t="shared" si="14"/>
        <v>0.61</v>
      </c>
      <c r="H795" s="1156">
        <v>0.15</v>
      </c>
      <c r="I795" s="399">
        <f t="shared" si="13"/>
        <v>4.2</v>
      </c>
      <c r="J795" s="162"/>
      <c r="K795" s="1229"/>
    </row>
    <row r="796" spans="1:14" hidden="1" outlineLevel="1">
      <c r="A796" s="1228"/>
      <c r="B796" s="296"/>
      <c r="C796" s="298" t="s">
        <v>2</v>
      </c>
      <c r="D796" s="302">
        <v>1</v>
      </c>
      <c r="E796" s="298">
        <v>1</v>
      </c>
      <c r="F796" s="1156">
        <f>3.215+G796</f>
        <v>3.8249999999999997</v>
      </c>
      <c r="G796" s="1156">
        <f t="shared" si="14"/>
        <v>0.61</v>
      </c>
      <c r="H796" s="1156">
        <v>0.15</v>
      </c>
      <c r="I796" s="399">
        <f t="shared" si="13"/>
        <v>0.35</v>
      </c>
      <c r="J796" s="162"/>
      <c r="K796" s="1229"/>
    </row>
    <row r="797" spans="1:14" hidden="1" outlineLevel="1">
      <c r="A797" s="1228"/>
      <c r="B797" s="296"/>
      <c r="C797" s="298" t="s">
        <v>2</v>
      </c>
      <c r="D797" s="302">
        <v>1</v>
      </c>
      <c r="E797" s="298">
        <v>1</v>
      </c>
      <c r="F797" s="1156">
        <f>4.215+G797*2</f>
        <v>5.4349999999999996</v>
      </c>
      <c r="G797" s="1156">
        <f t="shared" si="14"/>
        <v>0.61</v>
      </c>
      <c r="H797" s="1156">
        <v>0.15</v>
      </c>
      <c r="I797" s="399">
        <f t="shared" si="13"/>
        <v>0.5</v>
      </c>
      <c r="J797" s="162"/>
      <c r="K797" s="1229"/>
    </row>
    <row r="798" spans="1:14" hidden="1" outlineLevel="1">
      <c r="A798" s="1228"/>
      <c r="B798" s="296" t="s">
        <v>613</v>
      </c>
      <c r="C798" s="298" t="s">
        <v>2</v>
      </c>
      <c r="D798" s="302">
        <v>1</v>
      </c>
      <c r="E798" s="298">
        <v>11</v>
      </c>
      <c r="F798" s="1156">
        <v>3</v>
      </c>
      <c r="G798" s="1156">
        <v>0.115</v>
      </c>
      <c r="H798" s="1156">
        <v>0.15</v>
      </c>
      <c r="I798" s="399">
        <f t="shared" si="13"/>
        <v>0.56999999999999995</v>
      </c>
      <c r="J798" s="162"/>
      <c r="K798" s="1229"/>
    </row>
    <row r="799" spans="1:14" ht="51.75" hidden="1" outlineLevel="1">
      <c r="A799" s="1228"/>
      <c r="B799" s="589" t="s">
        <v>614</v>
      </c>
      <c r="C799" s="298"/>
      <c r="D799" s="302"/>
      <c r="E799" s="298"/>
      <c r="F799" s="1156"/>
      <c r="G799" s="1156"/>
      <c r="H799" s="1156"/>
      <c r="I799" s="399" t="str">
        <f t="shared" si="13"/>
        <v/>
      </c>
      <c r="J799" s="162"/>
      <c r="K799" s="1229"/>
    </row>
    <row r="800" spans="1:14" hidden="1" outlineLevel="1">
      <c r="A800" s="1228"/>
      <c r="B800" s="299" t="s">
        <v>615</v>
      </c>
      <c r="C800" s="298"/>
      <c r="D800" s="302"/>
      <c r="E800" s="298"/>
      <c r="F800" s="1156"/>
      <c r="G800" s="1156"/>
      <c r="H800" s="1156"/>
      <c r="I800" s="399" t="str">
        <f t="shared" si="13"/>
        <v/>
      </c>
      <c r="J800" s="162"/>
      <c r="K800" s="1229"/>
    </row>
    <row r="801" spans="1:11" hidden="1" outlineLevel="1">
      <c r="A801" s="1228"/>
      <c r="B801" s="299" t="s">
        <v>616</v>
      </c>
      <c r="C801" s="298" t="s">
        <v>2</v>
      </c>
      <c r="D801" s="302">
        <v>1</v>
      </c>
      <c r="E801" s="298">
        <v>2</v>
      </c>
      <c r="F801" s="1156">
        <f>3.59+G801</f>
        <v>4.2</v>
      </c>
      <c r="G801" s="1156">
        <f>0.46+0.15</f>
        <v>0.61</v>
      </c>
      <c r="H801" s="1156">
        <v>0.15</v>
      </c>
      <c r="I801" s="399">
        <f t="shared" si="13"/>
        <v>0.77</v>
      </c>
      <c r="J801" s="162"/>
      <c r="K801" s="1229"/>
    </row>
    <row r="802" spans="1:11" hidden="1" outlineLevel="1">
      <c r="A802" s="1228"/>
      <c r="B802" s="296"/>
      <c r="C802" s="298" t="s">
        <v>2</v>
      </c>
      <c r="D802" s="302">
        <v>1</v>
      </c>
      <c r="E802" s="298">
        <v>2</v>
      </c>
      <c r="F802" s="1156">
        <f>5.725+G802</f>
        <v>6.335</v>
      </c>
      <c r="G802" s="1156">
        <f>0.46+0.15</f>
        <v>0.61</v>
      </c>
      <c r="H802" s="1156">
        <v>0.15</v>
      </c>
      <c r="I802" s="399">
        <f t="shared" si="13"/>
        <v>1.1599999999999999</v>
      </c>
      <c r="J802" s="162"/>
      <c r="K802" s="1229"/>
    </row>
    <row r="803" spans="1:11" hidden="1" outlineLevel="1">
      <c r="A803" s="1228"/>
      <c r="B803" s="296"/>
      <c r="C803" s="298" t="s">
        <v>2</v>
      </c>
      <c r="D803" s="302">
        <v>1</v>
      </c>
      <c r="E803" s="298">
        <v>2</v>
      </c>
      <c r="F803" s="1156">
        <f>6.64+G803</f>
        <v>7.25</v>
      </c>
      <c r="G803" s="1156">
        <f>0.46+0.15</f>
        <v>0.61</v>
      </c>
      <c r="H803" s="1156">
        <v>0.15</v>
      </c>
      <c r="I803" s="399">
        <f t="shared" si="13"/>
        <v>1.33</v>
      </c>
      <c r="J803" s="162"/>
      <c r="K803" s="1229"/>
    </row>
    <row r="804" spans="1:11" hidden="1" outlineLevel="1">
      <c r="A804" s="1228"/>
      <c r="B804" s="296"/>
      <c r="C804" s="298" t="s">
        <v>2</v>
      </c>
      <c r="D804" s="302">
        <v>1</v>
      </c>
      <c r="E804" s="298">
        <v>2</v>
      </c>
      <c r="F804" s="1156">
        <f>6.03+G804</f>
        <v>6.6400000000000006</v>
      </c>
      <c r="G804" s="1156">
        <f>0.46+0.15</f>
        <v>0.61</v>
      </c>
      <c r="H804" s="1156">
        <v>0.15</v>
      </c>
      <c r="I804" s="399">
        <f t="shared" si="13"/>
        <v>1.22</v>
      </c>
      <c r="J804" s="162"/>
      <c r="K804" s="1229"/>
    </row>
    <row r="805" spans="1:11" hidden="1" outlineLevel="1">
      <c r="A805" s="1228"/>
      <c r="B805" s="296"/>
      <c r="C805" s="298" t="s">
        <v>2</v>
      </c>
      <c r="D805" s="302">
        <v>1</v>
      </c>
      <c r="E805" s="298">
        <v>5</v>
      </c>
      <c r="F805" s="1156">
        <v>0.6</v>
      </c>
      <c r="G805" s="1156">
        <f>0.46+0.15</f>
        <v>0.61</v>
      </c>
      <c r="H805" s="1156">
        <v>0.15</v>
      </c>
      <c r="I805" s="399">
        <f t="shared" si="13"/>
        <v>0.27</v>
      </c>
      <c r="J805" s="162"/>
      <c r="K805" s="1229"/>
    </row>
    <row r="806" spans="1:11" ht="51.75" hidden="1" outlineLevel="1">
      <c r="A806" s="1228"/>
      <c r="B806" s="589" t="s">
        <v>617</v>
      </c>
      <c r="C806" s="298" t="s">
        <v>2</v>
      </c>
      <c r="D806" s="302"/>
      <c r="E806" s="298"/>
      <c r="F806" s="1156"/>
      <c r="G806" s="1156"/>
      <c r="H806" s="1156"/>
      <c r="I806" s="399" t="str">
        <f t="shared" si="13"/>
        <v/>
      </c>
      <c r="J806" s="162"/>
      <c r="K806" s="1229"/>
    </row>
    <row r="807" spans="1:11" hidden="1" outlineLevel="1">
      <c r="A807" s="1228"/>
      <c r="B807" s="299" t="s">
        <v>618</v>
      </c>
      <c r="C807" s="298" t="s">
        <v>2</v>
      </c>
      <c r="D807" s="302">
        <v>1</v>
      </c>
      <c r="E807" s="298">
        <v>1</v>
      </c>
      <c r="F807" s="1156">
        <v>4.6349999999999998</v>
      </c>
      <c r="G807" s="1156">
        <f t="shared" ref="G807:G814" si="15">0.46+0.15</f>
        <v>0.61</v>
      </c>
      <c r="H807" s="1156">
        <v>0.15</v>
      </c>
      <c r="I807" s="399">
        <f t="shared" si="13"/>
        <v>0.42</v>
      </c>
      <c r="J807" s="162"/>
      <c r="K807" s="1229"/>
    </row>
    <row r="808" spans="1:11" hidden="1" outlineLevel="1">
      <c r="A808" s="1228"/>
      <c r="B808" s="296"/>
      <c r="C808" s="298" t="s">
        <v>2</v>
      </c>
      <c r="D808" s="302">
        <v>1</v>
      </c>
      <c r="E808" s="329">
        <v>8</v>
      </c>
      <c r="F808" s="1156">
        <v>7.625</v>
      </c>
      <c r="G808" s="1156">
        <f t="shared" si="15"/>
        <v>0.61</v>
      </c>
      <c r="H808" s="1156">
        <v>0.15</v>
      </c>
      <c r="I808" s="399">
        <f t="shared" si="13"/>
        <v>5.58</v>
      </c>
      <c r="J808" s="162"/>
      <c r="K808" s="1229"/>
    </row>
    <row r="809" spans="1:11" hidden="1" outlineLevel="1">
      <c r="A809" s="1228"/>
      <c r="B809" s="296"/>
      <c r="C809" s="298" t="s">
        <v>2</v>
      </c>
      <c r="D809" s="302">
        <v>1</v>
      </c>
      <c r="E809" s="298">
        <v>1</v>
      </c>
      <c r="F809" s="1156">
        <v>10.14</v>
      </c>
      <c r="G809" s="1156">
        <f t="shared" si="15"/>
        <v>0.61</v>
      </c>
      <c r="H809" s="1156">
        <v>0.15</v>
      </c>
      <c r="I809" s="399">
        <f t="shared" si="13"/>
        <v>0.93</v>
      </c>
      <c r="J809" s="162"/>
      <c r="K809" s="1229"/>
    </row>
    <row r="810" spans="1:11" hidden="1" outlineLevel="1">
      <c r="A810" s="1228"/>
      <c r="B810" s="299" t="s">
        <v>619</v>
      </c>
      <c r="C810" s="298" t="s">
        <v>2</v>
      </c>
      <c r="D810" s="302">
        <v>1</v>
      </c>
      <c r="E810" s="298">
        <v>1</v>
      </c>
      <c r="F810" s="1156">
        <f>14.67-G810</f>
        <v>14.06</v>
      </c>
      <c r="G810" s="1156">
        <f t="shared" si="15"/>
        <v>0.61</v>
      </c>
      <c r="H810" s="1156">
        <v>0.15</v>
      </c>
      <c r="I810" s="399">
        <f t="shared" si="13"/>
        <v>1.29</v>
      </c>
      <c r="J810" s="162"/>
      <c r="K810" s="1229"/>
    </row>
    <row r="811" spans="1:11" hidden="1" outlineLevel="1">
      <c r="A811" s="1228"/>
      <c r="B811" s="296"/>
      <c r="C811" s="298" t="s">
        <v>2</v>
      </c>
      <c r="D811" s="302">
        <v>1</v>
      </c>
      <c r="E811" s="298">
        <f>13-8</f>
        <v>5</v>
      </c>
      <c r="F811" s="1156">
        <v>7.625</v>
      </c>
      <c r="G811" s="1156">
        <f t="shared" si="15"/>
        <v>0.61</v>
      </c>
      <c r="H811" s="1156">
        <v>0.15</v>
      </c>
      <c r="I811" s="399">
        <f t="shared" si="13"/>
        <v>3.49</v>
      </c>
      <c r="J811" s="162"/>
      <c r="K811" s="1229"/>
    </row>
    <row r="812" spans="1:11" hidden="1" outlineLevel="1">
      <c r="A812" s="1228"/>
      <c r="B812" s="296"/>
      <c r="C812" s="298" t="s">
        <v>2</v>
      </c>
      <c r="D812" s="302">
        <v>1</v>
      </c>
      <c r="E812" s="298">
        <v>1</v>
      </c>
      <c r="F812" s="1156">
        <f>10.215-9.95</f>
        <v>0.26500000000000057</v>
      </c>
      <c r="G812" s="1156">
        <f t="shared" si="15"/>
        <v>0.61</v>
      </c>
      <c r="H812" s="1156">
        <v>0.15</v>
      </c>
      <c r="I812" s="399">
        <f t="shared" si="13"/>
        <v>0.02</v>
      </c>
      <c r="J812" s="162"/>
      <c r="K812" s="1229"/>
    </row>
    <row r="813" spans="1:11" hidden="1" outlineLevel="1">
      <c r="A813" s="1228"/>
      <c r="B813" s="299" t="s">
        <v>620</v>
      </c>
      <c r="C813" s="298" t="s">
        <v>2</v>
      </c>
      <c r="D813" s="302">
        <v>1</v>
      </c>
      <c r="E813" s="298">
        <v>1</v>
      </c>
      <c r="F813" s="1156">
        <f>8.14-G813</f>
        <v>7.53</v>
      </c>
      <c r="G813" s="1156">
        <f t="shared" si="15"/>
        <v>0.61</v>
      </c>
      <c r="H813" s="1156">
        <v>0.15</v>
      </c>
      <c r="I813" s="399">
        <f t="shared" si="13"/>
        <v>0.69</v>
      </c>
      <c r="J813" s="162"/>
      <c r="K813" s="1229"/>
    </row>
    <row r="814" spans="1:11" hidden="1" outlineLevel="1">
      <c r="A814" s="1228"/>
      <c r="B814" s="296"/>
      <c r="C814" s="298" t="s">
        <v>2</v>
      </c>
      <c r="D814" s="302">
        <v>1</v>
      </c>
      <c r="E814" s="298">
        <v>2</v>
      </c>
      <c r="F814" s="1156">
        <v>7.625</v>
      </c>
      <c r="G814" s="1156">
        <f t="shared" si="15"/>
        <v>0.61</v>
      </c>
      <c r="H814" s="1156">
        <v>0.15</v>
      </c>
      <c r="I814" s="399">
        <f t="shared" si="13"/>
        <v>1.4</v>
      </c>
      <c r="J814" s="162"/>
      <c r="K814" s="1229"/>
    </row>
    <row r="815" spans="1:11" ht="34.5" hidden="1" outlineLevel="1">
      <c r="A815" s="1228"/>
      <c r="B815" s="589" t="s">
        <v>621</v>
      </c>
      <c r="C815" s="298" t="s">
        <v>2</v>
      </c>
      <c r="D815" s="302"/>
      <c r="E815" s="298"/>
      <c r="F815" s="1156"/>
      <c r="G815" s="1156"/>
      <c r="H815" s="1156"/>
      <c r="I815" s="399" t="str">
        <f t="shared" si="13"/>
        <v/>
      </c>
      <c r="J815" s="162"/>
      <c r="K815" s="1229"/>
    </row>
    <row r="816" spans="1:11" hidden="1" outlineLevel="1">
      <c r="A816" s="1228"/>
      <c r="B816" s="296"/>
      <c r="C816" s="298" t="s">
        <v>2</v>
      </c>
      <c r="D816" s="302"/>
      <c r="E816" s="298"/>
      <c r="F816" s="1156"/>
      <c r="G816" s="1156"/>
      <c r="H816" s="1156"/>
      <c r="I816" s="399" t="str">
        <f t="shared" si="13"/>
        <v/>
      </c>
      <c r="J816" s="162"/>
      <c r="K816" s="1229"/>
    </row>
    <row r="817" spans="1:14" s="342" customFormat="1" hidden="1" outlineLevel="1">
      <c r="A817" s="1230"/>
      <c r="B817" s="335" t="s">
        <v>263</v>
      </c>
      <c r="C817" s="337" t="s">
        <v>2</v>
      </c>
      <c r="D817" s="336">
        <f t="shared" ref="D817:D818" si="16">1*0</f>
        <v>0</v>
      </c>
      <c r="E817" s="337">
        <v>6</v>
      </c>
      <c r="F817" s="1157">
        <f>4.5+0.15+0.15+0.1+0.1</f>
        <v>5</v>
      </c>
      <c r="G817" s="1157">
        <f>1+0.15+0.1</f>
        <v>1.25</v>
      </c>
      <c r="H817" s="1157">
        <v>0.1</v>
      </c>
      <c r="I817" s="399" t="str">
        <f t="shared" si="13"/>
        <v/>
      </c>
      <c r="J817" s="339"/>
      <c r="K817" s="1231"/>
      <c r="L817" s="341"/>
      <c r="M817" s="341"/>
      <c r="N817" s="341"/>
    </row>
    <row r="818" spans="1:14" s="342" customFormat="1" hidden="1" outlineLevel="1">
      <c r="A818" s="1230"/>
      <c r="B818" s="335"/>
      <c r="C818" s="337" t="s">
        <v>2</v>
      </c>
      <c r="D818" s="336">
        <f t="shared" si="16"/>
        <v>0</v>
      </c>
      <c r="E818" s="337">
        <v>3</v>
      </c>
      <c r="F818" s="1157">
        <f>4.5+0.15+0.15+0.1+0.1</f>
        <v>5</v>
      </c>
      <c r="G818" s="1157">
        <f>1+0.15+0.15+0.1+0.1</f>
        <v>1.5</v>
      </c>
      <c r="H818" s="1157">
        <v>0.1</v>
      </c>
      <c r="I818" s="399" t="str">
        <f t="shared" si="13"/>
        <v/>
      </c>
      <c r="J818" s="339"/>
      <c r="K818" s="1231"/>
      <c r="L818" s="341"/>
      <c r="M818" s="341"/>
      <c r="N818" s="341"/>
    </row>
    <row r="819" spans="1:14" ht="34.5" hidden="1" outlineLevel="1">
      <c r="A819" s="1228"/>
      <c r="B819" s="589" t="s">
        <v>622</v>
      </c>
      <c r="C819" s="298" t="s">
        <v>2</v>
      </c>
      <c r="D819" s="302"/>
      <c r="E819" s="298"/>
      <c r="F819" s="1156"/>
      <c r="G819" s="1156"/>
      <c r="H819" s="1156"/>
      <c r="I819" s="399" t="str">
        <f t="shared" si="13"/>
        <v/>
      </c>
      <c r="J819" s="162"/>
      <c r="K819" s="1229"/>
    </row>
    <row r="820" spans="1:14" hidden="1" outlineLevel="1">
      <c r="A820" s="1228"/>
      <c r="B820" s="296" t="s">
        <v>263</v>
      </c>
      <c r="C820" s="298" t="s">
        <v>2</v>
      </c>
      <c r="D820" s="302">
        <v>1</v>
      </c>
      <c r="E820" s="298">
        <v>6</v>
      </c>
      <c r="F820" s="1156">
        <f>4.5+0.15+0.15+0.1+0.1</f>
        <v>5</v>
      </c>
      <c r="G820" s="1156">
        <f>1+0.15+0.1</f>
        <v>1.25</v>
      </c>
      <c r="H820" s="1156">
        <v>0.1</v>
      </c>
      <c r="I820" s="399">
        <f t="shared" si="13"/>
        <v>3.75</v>
      </c>
      <c r="J820" s="162"/>
      <c r="K820" s="1229"/>
    </row>
    <row r="821" spans="1:14" hidden="1" outlineLevel="1">
      <c r="A821" s="1228"/>
      <c r="B821" s="296"/>
      <c r="C821" s="298" t="s">
        <v>2</v>
      </c>
      <c r="D821" s="302">
        <v>1</v>
      </c>
      <c r="E821" s="298">
        <v>2</v>
      </c>
      <c r="F821" s="1156">
        <f>4.5+0.15+0.15+0.1+0.1</f>
        <v>5</v>
      </c>
      <c r="G821" s="1156">
        <f>1+0.15+0.15+0.1+0.1</f>
        <v>1.5</v>
      </c>
      <c r="H821" s="1156">
        <v>0.1</v>
      </c>
      <c r="I821" s="399">
        <f t="shared" si="13"/>
        <v>1.5</v>
      </c>
      <c r="J821" s="162"/>
      <c r="K821" s="1229"/>
    </row>
    <row r="822" spans="1:14" ht="69" hidden="1" outlineLevel="1">
      <c r="A822" s="1228"/>
      <c r="B822" s="299" t="s">
        <v>623</v>
      </c>
      <c r="C822" s="298" t="s">
        <v>2</v>
      </c>
      <c r="D822" s="302"/>
      <c r="E822" s="298"/>
      <c r="F822" s="1156" t="s">
        <v>624</v>
      </c>
      <c r="G822" s="1156"/>
      <c r="H822" s="1156"/>
      <c r="I822" s="399" t="str">
        <f t="shared" si="13"/>
        <v/>
      </c>
      <c r="J822" s="162"/>
      <c r="K822" s="1229"/>
    </row>
    <row r="823" spans="1:14" hidden="1" outlineLevel="1">
      <c r="A823" s="1228"/>
      <c r="B823" s="296"/>
      <c r="C823" s="298" t="s">
        <v>2</v>
      </c>
      <c r="D823" s="302">
        <v>1</v>
      </c>
      <c r="E823" s="298">
        <v>1</v>
      </c>
      <c r="F823" s="1156">
        <f>3.14*11.06^2</f>
        <v>384.09610400000008</v>
      </c>
      <c r="G823" s="1156"/>
      <c r="H823" s="1156">
        <v>0.1</v>
      </c>
      <c r="I823" s="399">
        <f t="shared" si="13"/>
        <v>38.409999999999997</v>
      </c>
      <c r="J823" s="162"/>
      <c r="K823" s="1229"/>
    </row>
    <row r="824" spans="1:14" hidden="1" outlineLevel="1">
      <c r="A824" s="1228"/>
      <c r="B824" s="296"/>
      <c r="C824" s="298" t="s">
        <v>2</v>
      </c>
      <c r="D824" s="302"/>
      <c r="E824" s="298"/>
      <c r="F824" s="1156"/>
      <c r="G824" s="1156"/>
      <c r="H824" s="1156"/>
      <c r="I824" s="399" t="str">
        <f t="shared" si="13"/>
        <v/>
      </c>
      <c r="J824" s="162"/>
      <c r="K824" s="1229"/>
    </row>
    <row r="825" spans="1:14" hidden="1" outlineLevel="1">
      <c r="A825" s="1228"/>
      <c r="B825" s="590" t="s">
        <v>625</v>
      </c>
      <c r="C825" s="298" t="s">
        <v>2</v>
      </c>
      <c r="D825" s="302"/>
      <c r="E825" s="298"/>
      <c r="F825" s="1156"/>
      <c r="G825" s="1156"/>
      <c r="H825" s="1156"/>
      <c r="I825" s="399" t="str">
        <f t="shared" si="13"/>
        <v/>
      </c>
      <c r="J825" s="162"/>
      <c r="K825" s="1229"/>
    </row>
    <row r="826" spans="1:14" hidden="1" outlineLevel="1">
      <c r="A826" s="1228"/>
      <c r="B826" s="299" t="s">
        <v>626</v>
      </c>
      <c r="C826" s="298" t="s">
        <v>2</v>
      </c>
      <c r="D826" s="302">
        <v>1</v>
      </c>
      <c r="E826" s="298">
        <v>1</v>
      </c>
      <c r="F826" s="1351">
        <v>514.70000000000005</v>
      </c>
      <c r="G826" s="1156"/>
      <c r="H826" s="1156">
        <v>7.4999999999999997E-2</v>
      </c>
      <c r="I826" s="399">
        <f t="shared" si="13"/>
        <v>38.6</v>
      </c>
      <c r="J826" s="162"/>
      <c r="K826" s="1229"/>
    </row>
    <row r="827" spans="1:14" ht="34.5" hidden="1" outlineLevel="1">
      <c r="A827" s="1228"/>
      <c r="B827" s="299" t="s">
        <v>627</v>
      </c>
      <c r="C827" s="298" t="s">
        <v>2</v>
      </c>
      <c r="D827" s="302">
        <v>1</v>
      </c>
      <c r="E827" s="298">
        <v>1</v>
      </c>
      <c r="F827" s="1351">
        <v>169.79</v>
      </c>
      <c r="G827" s="1156"/>
      <c r="H827" s="1156">
        <v>7.4999999999999997E-2</v>
      </c>
      <c r="I827" s="399">
        <f t="shared" si="13"/>
        <v>12.73</v>
      </c>
      <c r="J827" s="162"/>
      <c r="K827" s="1229"/>
    </row>
    <row r="828" spans="1:14" hidden="1" outlineLevel="1">
      <c r="A828" s="1228"/>
      <c r="B828" s="299" t="s">
        <v>628</v>
      </c>
      <c r="C828" s="298" t="s">
        <v>2</v>
      </c>
      <c r="D828" s="302">
        <v>-1</v>
      </c>
      <c r="E828" s="298">
        <v>1</v>
      </c>
      <c r="F828" s="1351">
        <v>580.42999999999995</v>
      </c>
      <c r="G828" s="1156">
        <v>6</v>
      </c>
      <c r="H828" s="1156">
        <v>7.4999999999999997E-2</v>
      </c>
      <c r="I828" s="399">
        <f t="shared" si="13"/>
        <v>-261.19</v>
      </c>
      <c r="J828" s="162"/>
      <c r="K828" s="1229"/>
    </row>
    <row r="829" spans="1:14" ht="34.5" hidden="1" outlineLevel="1">
      <c r="A829" s="1228"/>
      <c r="B829" s="299" t="s">
        <v>629</v>
      </c>
      <c r="C829" s="298" t="s">
        <v>2</v>
      </c>
      <c r="D829" s="302">
        <v>1</v>
      </c>
      <c r="E829" s="298">
        <v>1</v>
      </c>
      <c r="F829" s="1156">
        <v>584.13</v>
      </c>
      <c r="G829" s="1156"/>
      <c r="H829" s="1156">
        <v>7.4999999999999997E-2</v>
      </c>
      <c r="I829" s="399">
        <f t="shared" si="13"/>
        <v>43.81</v>
      </c>
      <c r="J829" s="162"/>
      <c r="K829" s="1229"/>
    </row>
    <row r="830" spans="1:14" hidden="1" outlineLevel="1">
      <c r="A830" s="1228"/>
      <c r="B830" s="299" t="s">
        <v>630</v>
      </c>
      <c r="C830" s="298" t="s">
        <v>2</v>
      </c>
      <c r="D830" s="302">
        <v>1</v>
      </c>
      <c r="E830" s="298">
        <v>1</v>
      </c>
      <c r="F830" s="1156">
        <v>628.19000000000005</v>
      </c>
      <c r="G830" s="1156"/>
      <c r="H830" s="1156">
        <v>7.4999999999999997E-2</v>
      </c>
      <c r="I830" s="399">
        <f t="shared" si="13"/>
        <v>47.11</v>
      </c>
      <c r="J830" s="162"/>
      <c r="K830" s="1229"/>
    </row>
    <row r="831" spans="1:14" ht="34.5" hidden="1" outlineLevel="1">
      <c r="A831" s="1228"/>
      <c r="B831" s="299" t="s">
        <v>631</v>
      </c>
      <c r="C831" s="298" t="s">
        <v>2</v>
      </c>
      <c r="D831" s="302">
        <v>1</v>
      </c>
      <c r="E831" s="298">
        <v>1</v>
      </c>
      <c r="F831" s="1156">
        <v>303.47000000000003</v>
      </c>
      <c r="G831" s="1156"/>
      <c r="H831" s="1156">
        <v>7.4999999999999997E-2</v>
      </c>
      <c r="I831" s="399">
        <f t="shared" si="13"/>
        <v>22.76</v>
      </c>
      <c r="J831" s="162"/>
      <c r="K831" s="1229"/>
    </row>
    <row r="832" spans="1:14" hidden="1" outlineLevel="1">
      <c r="A832" s="1228"/>
      <c r="B832" s="299" t="s">
        <v>632</v>
      </c>
      <c r="C832" s="298" t="s">
        <v>2</v>
      </c>
      <c r="D832" s="302">
        <v>1</v>
      </c>
      <c r="E832" s="298">
        <v>1</v>
      </c>
      <c r="F832" s="1156">
        <v>165.9</v>
      </c>
      <c r="G832" s="1156"/>
      <c r="H832" s="1156">
        <v>7.4999999999999997E-2</v>
      </c>
      <c r="I832" s="399">
        <f t="shared" si="13"/>
        <v>12.44</v>
      </c>
      <c r="J832" s="162"/>
      <c r="K832" s="1229"/>
    </row>
    <row r="833" spans="1:11" hidden="1" outlineLevel="1">
      <c r="A833" s="1228"/>
      <c r="B833" s="300"/>
      <c r="C833" s="298" t="s">
        <v>2</v>
      </c>
      <c r="D833" s="302"/>
      <c r="E833" s="298"/>
      <c r="F833" s="1156" t="s">
        <v>48</v>
      </c>
      <c r="G833" s="1156" t="s">
        <v>33</v>
      </c>
      <c r="H833" s="1156" t="s">
        <v>633</v>
      </c>
      <c r="I833" s="399" t="str">
        <f t="shared" si="13"/>
        <v/>
      </c>
      <c r="J833" s="162"/>
      <c r="K833" s="1229"/>
    </row>
    <row r="834" spans="1:11" hidden="1" outlineLevel="1">
      <c r="A834" s="1228"/>
      <c r="B834" s="300" t="s">
        <v>634</v>
      </c>
      <c r="C834" s="298" t="s">
        <v>2</v>
      </c>
      <c r="D834" s="302">
        <v>1</v>
      </c>
      <c r="E834" s="298">
        <v>1</v>
      </c>
      <c r="F834" s="1156">
        <v>36.715000000000003</v>
      </c>
      <c r="G834" s="1156">
        <v>8.48</v>
      </c>
      <c r="H834" s="1156">
        <v>7.4999999999999997E-2</v>
      </c>
      <c r="I834" s="399">
        <f t="shared" si="13"/>
        <v>23.35</v>
      </c>
      <c r="J834" s="162"/>
      <c r="K834" s="1229"/>
    </row>
    <row r="835" spans="1:11" hidden="1" outlineLevel="1">
      <c r="A835" s="1228"/>
      <c r="B835" s="299" t="s">
        <v>635</v>
      </c>
      <c r="C835" s="298" t="s">
        <v>2</v>
      </c>
      <c r="D835" s="302">
        <v>1</v>
      </c>
      <c r="E835" s="298">
        <v>1</v>
      </c>
      <c r="F835" s="1156">
        <v>18.100000000000001</v>
      </c>
      <c r="G835" s="1156">
        <v>34.68</v>
      </c>
      <c r="H835" s="1156">
        <v>7.4999999999999997E-2</v>
      </c>
      <c r="I835" s="399">
        <f t="shared" si="13"/>
        <v>47.08</v>
      </c>
      <c r="J835" s="162"/>
      <c r="K835" s="1229"/>
    </row>
    <row r="836" spans="1:11" hidden="1" outlineLevel="1">
      <c r="A836" s="1228"/>
      <c r="B836" s="296"/>
      <c r="C836" s="298" t="s">
        <v>2</v>
      </c>
      <c r="D836" s="302"/>
      <c r="E836" s="298"/>
      <c r="F836" s="1156" t="s">
        <v>624</v>
      </c>
      <c r="G836" s="1156"/>
      <c r="H836" s="1156"/>
      <c r="I836" s="399" t="str">
        <f t="shared" si="13"/>
        <v/>
      </c>
      <c r="J836" s="162"/>
      <c r="K836" s="1229"/>
    </row>
    <row r="837" spans="1:11" ht="34.5" hidden="1" outlineLevel="1">
      <c r="A837" s="1228"/>
      <c r="B837" s="299" t="s">
        <v>636</v>
      </c>
      <c r="C837" s="298" t="s">
        <v>2</v>
      </c>
      <c r="D837" s="302">
        <v>1</v>
      </c>
      <c r="E837" s="298">
        <v>1</v>
      </c>
      <c r="F837" s="1155">
        <v>40.53</v>
      </c>
      <c r="G837" s="1156"/>
      <c r="H837" s="1156">
        <v>7.4999999999999997E-2</v>
      </c>
      <c r="I837" s="399">
        <f t="shared" si="13"/>
        <v>3.04</v>
      </c>
      <c r="J837" s="162"/>
      <c r="K837" s="1229"/>
    </row>
    <row r="838" spans="1:11" hidden="1" outlineLevel="1">
      <c r="A838" s="1228"/>
      <c r="B838" s="296" t="s">
        <v>637</v>
      </c>
      <c r="C838" s="298" t="s">
        <v>2</v>
      </c>
      <c r="D838" s="302">
        <v>-1</v>
      </c>
      <c r="E838" s="298">
        <v>5</v>
      </c>
      <c r="F838" s="1156">
        <v>4.6399999999999997</v>
      </c>
      <c r="G838" s="1156"/>
      <c r="H838" s="1156">
        <v>7.4999999999999997E-2</v>
      </c>
      <c r="I838" s="399">
        <f t="shared" si="13"/>
        <v>-1.74</v>
      </c>
      <c r="J838" s="162"/>
      <c r="K838" s="1229"/>
    </row>
    <row r="839" spans="1:11" hidden="1" outlineLevel="1">
      <c r="A839" s="1228"/>
      <c r="B839" s="296" t="s">
        <v>638</v>
      </c>
      <c r="C839" s="298" t="s">
        <v>2</v>
      </c>
      <c r="D839" s="302">
        <v>-1</v>
      </c>
      <c r="E839" s="298">
        <v>6</v>
      </c>
      <c r="F839" s="1156">
        <v>4.49</v>
      </c>
      <c r="G839" s="1156"/>
      <c r="H839" s="1156">
        <v>7.4999999999999997E-2</v>
      </c>
      <c r="I839" s="399">
        <f t="shared" si="13"/>
        <v>-2.02</v>
      </c>
      <c r="J839" s="162"/>
      <c r="K839" s="1229"/>
    </row>
    <row r="840" spans="1:11" hidden="1" outlineLevel="1">
      <c r="A840" s="1228"/>
      <c r="B840" s="296"/>
      <c r="C840" s="298" t="s">
        <v>2</v>
      </c>
      <c r="D840" s="302">
        <v>-1</v>
      </c>
      <c r="E840" s="298">
        <v>3</v>
      </c>
      <c r="F840" s="1156">
        <v>4.5</v>
      </c>
      <c r="G840" s="1156"/>
      <c r="H840" s="1156">
        <v>7.4999999999999997E-2</v>
      </c>
      <c r="I840" s="399">
        <f t="shared" ref="I840:I903" si="17">IF(D840&lt;&gt;0,ROUND(PRODUCT(E840:H840)*D840,2),"")</f>
        <v>-1.01</v>
      </c>
      <c r="J840" s="162"/>
      <c r="K840" s="1229"/>
    </row>
    <row r="841" spans="1:11" hidden="1" outlineLevel="1">
      <c r="A841" s="1228"/>
      <c r="B841" s="296" t="s">
        <v>639</v>
      </c>
      <c r="C841" s="298" t="s">
        <v>2</v>
      </c>
      <c r="D841" s="302">
        <v>-1</v>
      </c>
      <c r="E841" s="298">
        <v>6</v>
      </c>
      <c r="F841" s="1156">
        <v>1.349</v>
      </c>
      <c r="G841" s="1156"/>
      <c r="H841" s="1156">
        <v>7.4999999999999997E-2</v>
      </c>
      <c r="I841" s="399">
        <f t="shared" si="17"/>
        <v>-0.61</v>
      </c>
      <c r="J841" s="162"/>
      <c r="K841" s="1229"/>
    </row>
    <row r="842" spans="1:11" hidden="1" outlineLevel="1">
      <c r="A842" s="1228"/>
      <c r="B842" s="296" t="s">
        <v>640</v>
      </c>
      <c r="C842" s="298" t="s">
        <v>2</v>
      </c>
      <c r="D842" s="302">
        <v>-1</v>
      </c>
      <c r="E842" s="298">
        <v>2</v>
      </c>
      <c r="F842" s="1156">
        <v>1.47</v>
      </c>
      <c r="G842" s="1156">
        <v>5.5549999999999997</v>
      </c>
      <c r="H842" s="1156">
        <v>7.4999999999999997E-2</v>
      </c>
      <c r="I842" s="399">
        <f t="shared" si="17"/>
        <v>-1.22</v>
      </c>
      <c r="J842" s="162"/>
      <c r="K842" s="1229"/>
    </row>
    <row r="843" spans="1:11" hidden="1" outlineLevel="1">
      <c r="A843" s="1228"/>
      <c r="B843" s="296"/>
      <c r="C843" s="298" t="s">
        <v>2</v>
      </c>
      <c r="D843" s="302"/>
      <c r="E843" s="298"/>
      <c r="F843" s="1156"/>
      <c r="G843" s="1156"/>
      <c r="H843" s="1156"/>
      <c r="I843" s="399" t="str">
        <f t="shared" si="17"/>
        <v/>
      </c>
      <c r="J843" s="162"/>
      <c r="K843" s="1229"/>
    </row>
    <row r="844" spans="1:11" hidden="1" outlineLevel="1">
      <c r="A844" s="1228"/>
      <c r="B844" s="296" t="s">
        <v>641</v>
      </c>
      <c r="C844" s="298" t="s">
        <v>2</v>
      </c>
      <c r="D844" s="302">
        <v>1</v>
      </c>
      <c r="E844" s="298">
        <v>1</v>
      </c>
      <c r="F844" s="1156">
        <v>364.85</v>
      </c>
      <c r="G844" s="1156"/>
      <c r="H844" s="1156">
        <v>7.4999999999999997E-2</v>
      </c>
      <c r="I844" s="399">
        <f t="shared" si="17"/>
        <v>27.36</v>
      </c>
      <c r="J844" s="162"/>
      <c r="K844" s="1229"/>
    </row>
    <row r="845" spans="1:11" hidden="1" outlineLevel="1">
      <c r="A845" s="1228"/>
      <c r="B845" s="296" t="s">
        <v>642</v>
      </c>
      <c r="C845" s="298" t="s">
        <v>2</v>
      </c>
      <c r="D845" s="302">
        <v>-1</v>
      </c>
      <c r="E845" s="298">
        <v>1</v>
      </c>
      <c r="F845" s="1156">
        <v>34.049999999999997</v>
      </c>
      <c r="G845" s="1156"/>
      <c r="H845" s="1156">
        <v>7.4999999999999997E-2</v>
      </c>
      <c r="I845" s="399">
        <f t="shared" si="17"/>
        <v>-2.5499999999999998</v>
      </c>
      <c r="J845" s="162"/>
      <c r="K845" s="1229"/>
    </row>
    <row r="846" spans="1:11" hidden="1" outlineLevel="1">
      <c r="A846" s="1228"/>
      <c r="B846" s="296"/>
      <c r="C846" s="298" t="s">
        <v>2</v>
      </c>
      <c r="D846" s="302">
        <v>-1</v>
      </c>
      <c r="E846" s="298">
        <v>1</v>
      </c>
      <c r="F846" s="1156">
        <v>70.8</v>
      </c>
      <c r="G846" s="1156"/>
      <c r="H846" s="1156">
        <v>7.4999999999999997E-2</v>
      </c>
      <c r="I846" s="399">
        <f t="shared" si="17"/>
        <v>-5.31</v>
      </c>
      <c r="J846" s="162"/>
      <c r="K846" s="1229"/>
    </row>
    <row r="847" spans="1:11" hidden="1" outlineLevel="1">
      <c r="A847" s="1228"/>
      <c r="B847" s="296"/>
      <c r="C847" s="298" t="s">
        <v>2</v>
      </c>
      <c r="D847" s="302"/>
      <c r="E847" s="298"/>
      <c r="F847" s="1156" t="s">
        <v>624</v>
      </c>
      <c r="G847" s="1156"/>
      <c r="H847" s="1156"/>
      <c r="I847" s="399" t="str">
        <f t="shared" si="17"/>
        <v/>
      </c>
      <c r="J847" s="162"/>
      <c r="K847" s="1229"/>
    </row>
    <row r="848" spans="1:11" hidden="1" outlineLevel="1">
      <c r="A848" s="1228"/>
      <c r="B848" s="296" t="s">
        <v>643</v>
      </c>
      <c r="C848" s="298" t="s">
        <v>2</v>
      </c>
      <c r="D848" s="302">
        <v>1</v>
      </c>
      <c r="E848" s="298">
        <v>1</v>
      </c>
      <c r="F848" s="1155">
        <v>478.10300000000001</v>
      </c>
      <c r="G848" s="1156"/>
      <c r="H848" s="1156">
        <v>7.4999999999999997E-2</v>
      </c>
      <c r="I848" s="399">
        <f t="shared" si="17"/>
        <v>35.86</v>
      </c>
      <c r="J848" s="162"/>
      <c r="K848" s="1229"/>
    </row>
    <row r="849" spans="1:16" hidden="1" outlineLevel="1">
      <c r="A849" s="1228"/>
      <c r="B849" s="296" t="s">
        <v>644</v>
      </c>
      <c r="C849" s="298" t="s">
        <v>2</v>
      </c>
      <c r="D849" s="302">
        <v>-1</v>
      </c>
      <c r="E849" s="298">
        <v>6</v>
      </c>
      <c r="F849" s="1156">
        <v>1.35</v>
      </c>
      <c r="G849" s="1156"/>
      <c r="H849" s="1156">
        <v>7.4999999999999997E-2</v>
      </c>
      <c r="I849" s="399">
        <f t="shared" si="17"/>
        <v>-0.61</v>
      </c>
      <c r="J849" s="162"/>
      <c r="K849" s="1229"/>
    </row>
    <row r="850" spans="1:16" hidden="1" outlineLevel="1">
      <c r="A850" s="1228"/>
      <c r="B850" s="296"/>
      <c r="C850" s="298"/>
      <c r="D850" s="302"/>
      <c r="E850" s="298"/>
      <c r="F850" s="1156"/>
      <c r="G850" s="1156"/>
      <c r="H850" s="1156"/>
      <c r="I850" s="399" t="str">
        <f t="shared" si="17"/>
        <v/>
      </c>
      <c r="J850" s="162"/>
      <c r="K850" s="1229"/>
    </row>
    <row r="851" spans="1:16" hidden="1" outlineLevel="1">
      <c r="A851" s="1228"/>
      <c r="B851" s="296" t="s">
        <v>645</v>
      </c>
      <c r="C851" s="298" t="s">
        <v>2</v>
      </c>
      <c r="D851" s="302">
        <v>-1</v>
      </c>
      <c r="E851" s="298">
        <v>1</v>
      </c>
      <c r="F851" s="1156">
        <v>2.625</v>
      </c>
      <c r="G851" s="1156">
        <v>1.2</v>
      </c>
      <c r="H851" s="1156">
        <v>7.4999999999999997E-2</v>
      </c>
      <c r="I851" s="399">
        <f t="shared" si="17"/>
        <v>-0.24</v>
      </c>
      <c r="J851" s="162"/>
      <c r="K851" s="1229"/>
    </row>
    <row r="852" spans="1:16" hidden="1" outlineLevel="1">
      <c r="A852" s="1228"/>
      <c r="B852" s="296"/>
      <c r="C852" s="298" t="s">
        <v>2</v>
      </c>
      <c r="D852" s="302">
        <v>-1</v>
      </c>
      <c r="E852" s="298">
        <v>1</v>
      </c>
      <c r="F852" s="1156">
        <v>5.85</v>
      </c>
      <c r="G852" s="1156">
        <v>1.2</v>
      </c>
      <c r="H852" s="1156">
        <v>7.4999999999999997E-2</v>
      </c>
      <c r="I852" s="399">
        <f t="shared" si="17"/>
        <v>-0.53</v>
      </c>
      <c r="J852" s="162"/>
      <c r="K852" s="1229"/>
    </row>
    <row r="853" spans="1:16" hidden="1" outlineLevel="1">
      <c r="A853" s="1228"/>
      <c r="B853" s="296"/>
      <c r="C853" s="298" t="s">
        <v>2</v>
      </c>
      <c r="D853" s="302">
        <v>-1</v>
      </c>
      <c r="E853" s="298">
        <v>1</v>
      </c>
      <c r="F853" s="1156">
        <v>5.0250000000000004</v>
      </c>
      <c r="G853" s="1156">
        <v>1.2</v>
      </c>
      <c r="H853" s="1156">
        <v>7.4999999999999997E-2</v>
      </c>
      <c r="I853" s="399">
        <f t="shared" si="17"/>
        <v>-0.45</v>
      </c>
      <c r="J853" s="162"/>
      <c r="K853" s="1229"/>
    </row>
    <row r="854" spans="1:16" hidden="1" outlineLevel="1">
      <c r="A854" s="1228"/>
      <c r="B854" s="296"/>
      <c r="C854" s="298" t="s">
        <v>2</v>
      </c>
      <c r="D854" s="302">
        <v>-1</v>
      </c>
      <c r="E854" s="298">
        <v>1</v>
      </c>
      <c r="F854" s="1156">
        <v>2.4</v>
      </c>
      <c r="G854" s="1156">
        <v>1.2</v>
      </c>
      <c r="H854" s="1156">
        <v>7.4999999999999997E-2</v>
      </c>
      <c r="I854" s="399">
        <f t="shared" si="17"/>
        <v>-0.22</v>
      </c>
      <c r="J854" s="162"/>
      <c r="K854" s="1229"/>
    </row>
    <row r="855" spans="1:16" hidden="1" outlineLevel="1">
      <c r="A855" s="1228"/>
      <c r="B855" s="296"/>
      <c r="C855" s="298" t="s">
        <v>2</v>
      </c>
      <c r="D855" s="623">
        <v>-4</v>
      </c>
      <c r="E855" s="329">
        <v>1</v>
      </c>
      <c r="F855" s="1155">
        <v>0.8</v>
      </c>
      <c r="G855" s="1155">
        <v>5.8</v>
      </c>
      <c r="H855" s="1155">
        <v>7.4999999999999997E-2</v>
      </c>
      <c r="I855" s="399">
        <f t="shared" si="17"/>
        <v>-1.39</v>
      </c>
      <c r="J855" s="162"/>
      <c r="K855" s="1229"/>
    </row>
    <row r="856" spans="1:16" hidden="1" outlineLevel="1">
      <c r="A856" s="1228"/>
      <c r="B856" s="296"/>
      <c r="C856" s="298" t="s">
        <v>2</v>
      </c>
      <c r="D856" s="623">
        <v>-1</v>
      </c>
      <c r="E856" s="329">
        <v>1</v>
      </c>
      <c r="F856" s="1155">
        <v>5.92</v>
      </c>
      <c r="G856" s="1155"/>
      <c r="H856" s="1155">
        <v>7.4999999999999997E-2</v>
      </c>
      <c r="I856" s="399">
        <f t="shared" si="17"/>
        <v>-0.44</v>
      </c>
      <c r="J856" s="162"/>
      <c r="K856" s="1229"/>
    </row>
    <row r="857" spans="1:16" hidden="1" outlineLevel="1">
      <c r="A857" s="1228"/>
      <c r="B857" s="296"/>
      <c r="C857" s="298" t="s">
        <v>2</v>
      </c>
      <c r="D857" s="623">
        <v>-7</v>
      </c>
      <c r="E857" s="329">
        <v>1</v>
      </c>
      <c r="F857" s="1155">
        <v>4.0999999999999996</v>
      </c>
      <c r="G857" s="1155">
        <v>0.6</v>
      </c>
      <c r="H857" s="1155">
        <v>7.4999999999999997E-2</v>
      </c>
      <c r="I857" s="399">
        <f t="shared" si="17"/>
        <v>-1.29</v>
      </c>
      <c r="J857" s="162"/>
      <c r="K857" s="1229"/>
    </row>
    <row r="858" spans="1:16" hidden="1" outlineLevel="1">
      <c r="A858" s="1228"/>
      <c r="B858" s="296"/>
      <c r="C858" s="298" t="s">
        <v>2</v>
      </c>
      <c r="D858" s="623">
        <v>-1</v>
      </c>
      <c r="E858" s="329">
        <v>1</v>
      </c>
      <c r="F858" s="1155">
        <v>2.137</v>
      </c>
      <c r="G858" s="1155"/>
      <c r="H858" s="1155">
        <v>7.4999999999999997E-2</v>
      </c>
      <c r="I858" s="399">
        <f t="shared" si="17"/>
        <v>-0.16</v>
      </c>
      <c r="J858" s="162"/>
      <c r="K858" s="1229"/>
    </row>
    <row r="859" spans="1:16" hidden="1" outlineLevel="1">
      <c r="A859" s="1228"/>
      <c r="B859" s="590" t="s">
        <v>646</v>
      </c>
      <c r="C859" s="298" t="s">
        <v>2</v>
      </c>
      <c r="D859" s="302"/>
      <c r="E859" s="298"/>
      <c r="F859" s="1156"/>
      <c r="G859" s="1156"/>
      <c r="H859" s="1156"/>
      <c r="I859" s="399" t="str">
        <f t="shared" si="17"/>
        <v/>
      </c>
      <c r="J859" s="162"/>
      <c r="K859" s="1229"/>
    </row>
    <row r="860" spans="1:16" hidden="1" outlineLevel="1">
      <c r="A860" s="1228"/>
      <c r="B860" s="296"/>
      <c r="C860" s="298"/>
      <c r="D860" s="302"/>
      <c r="E860" s="298"/>
      <c r="F860" s="1156"/>
      <c r="G860" s="1156"/>
      <c r="H860" s="1156"/>
      <c r="I860" s="399" t="str">
        <f t="shared" si="17"/>
        <v/>
      </c>
      <c r="J860" s="162"/>
      <c r="K860" s="1229"/>
    </row>
    <row r="861" spans="1:16" ht="34.5" hidden="1" outlineLevel="1">
      <c r="A861" s="1228"/>
      <c r="B861" s="299" t="s">
        <v>647</v>
      </c>
      <c r="C861" s="298" t="s">
        <v>2</v>
      </c>
      <c r="D861" s="302">
        <v>1</v>
      </c>
      <c r="E861" s="298">
        <v>1</v>
      </c>
      <c r="F861" s="1156">
        <f>35.915-8</f>
        <v>27.914999999999999</v>
      </c>
      <c r="G861" s="1156">
        <f>35.775-8</f>
        <v>27.774999999999999</v>
      </c>
      <c r="H861" s="1156">
        <v>0.1</v>
      </c>
      <c r="I861" s="399">
        <f t="shared" si="17"/>
        <v>77.53</v>
      </c>
      <c r="J861" s="162"/>
      <c r="K861" s="1229"/>
    </row>
    <row r="862" spans="1:16" s="398" customFormat="1" hidden="1" outlineLevel="1">
      <c r="A862" s="1232"/>
      <c r="B862" s="592" t="s">
        <v>807</v>
      </c>
      <c r="C862" s="388"/>
      <c r="D862" s="392"/>
      <c r="E862" s="392"/>
      <c r="F862" s="1352"/>
      <c r="G862" s="1352"/>
      <c r="H862" s="1352"/>
      <c r="I862" s="399" t="str">
        <f t="shared" si="17"/>
        <v/>
      </c>
      <c r="J862" s="394"/>
      <c r="K862" s="1233"/>
      <c r="L862" s="431"/>
      <c r="M862" s="431"/>
      <c r="N862" s="431"/>
    </row>
    <row r="863" spans="1:16" s="398" customFormat="1" hidden="1" outlineLevel="1">
      <c r="A863" s="1232"/>
      <c r="B863" s="592"/>
      <c r="C863" s="388"/>
      <c r="D863" s="548"/>
      <c r="E863" s="307"/>
      <c r="F863" s="401"/>
      <c r="G863" s="401"/>
      <c r="H863" s="401"/>
      <c r="I863" s="399" t="str">
        <f t="shared" si="17"/>
        <v/>
      </c>
      <c r="J863" s="403"/>
      <c r="K863" s="1234"/>
      <c r="L863" s="431"/>
      <c r="M863" s="431"/>
      <c r="N863" s="431"/>
      <c r="O863" s="431"/>
      <c r="P863" s="431"/>
    </row>
    <row r="864" spans="1:16" s="398" customFormat="1" ht="51.75" hidden="1" outlineLevel="1">
      <c r="A864" s="1232"/>
      <c r="B864" s="592" t="s">
        <v>808</v>
      </c>
      <c r="C864" s="388"/>
      <c r="D864" s="548"/>
      <c r="E864" s="307"/>
      <c r="F864" s="401"/>
      <c r="G864" s="401"/>
      <c r="H864" s="401"/>
      <c r="I864" s="399" t="str">
        <f t="shared" si="17"/>
        <v/>
      </c>
      <c r="J864" s="403"/>
      <c r="K864" s="1234"/>
      <c r="L864" s="431"/>
      <c r="M864" s="431"/>
      <c r="N864" s="431"/>
      <c r="O864" s="431"/>
      <c r="P864" s="431"/>
    </row>
    <row r="865" spans="1:16" s="526" customFormat="1" hidden="1" outlineLevel="1">
      <c r="A865" s="1235"/>
      <c r="B865" s="395" t="s">
        <v>809</v>
      </c>
      <c r="C865" s="530"/>
      <c r="D865" s="389"/>
      <c r="E865" s="356"/>
      <c r="F865" s="1203"/>
      <c r="G865" s="1203"/>
      <c r="H865" s="1203"/>
      <c r="I865" s="399" t="str">
        <f t="shared" si="17"/>
        <v/>
      </c>
      <c r="J865" s="396"/>
      <c r="K865" s="1236"/>
    </row>
    <row r="866" spans="1:16" s="526" customFormat="1" hidden="1" outlineLevel="1">
      <c r="A866" s="1235"/>
      <c r="B866" s="395" t="s">
        <v>810</v>
      </c>
      <c r="C866" s="530" t="s">
        <v>167</v>
      </c>
      <c r="D866" s="389">
        <v>1</v>
      </c>
      <c r="E866" s="356">
        <v>1</v>
      </c>
      <c r="F866" s="1202">
        <v>10.57</v>
      </c>
      <c r="G866" s="1203">
        <f t="shared" ref="G866:G872" si="18">0.46+0.15</f>
        <v>0.61</v>
      </c>
      <c r="H866" s="1203">
        <v>0.15</v>
      </c>
      <c r="I866" s="399">
        <f t="shared" si="17"/>
        <v>0.97</v>
      </c>
      <c r="J866" s="396"/>
      <c r="K866" s="1236"/>
    </row>
    <row r="867" spans="1:16" s="398" customFormat="1" hidden="1" outlineLevel="1">
      <c r="A867" s="1232"/>
      <c r="B867" s="592"/>
      <c r="C867" s="530" t="s">
        <v>167</v>
      </c>
      <c r="D867" s="389">
        <v>1</v>
      </c>
      <c r="E867" s="356">
        <v>1</v>
      </c>
      <c r="F867" s="1203">
        <f>9.395+G867+0.15</f>
        <v>10.154999999999999</v>
      </c>
      <c r="G867" s="1203">
        <f t="shared" si="18"/>
        <v>0.61</v>
      </c>
      <c r="H867" s="1203">
        <v>0.15</v>
      </c>
      <c r="I867" s="399">
        <f t="shared" si="17"/>
        <v>0.93</v>
      </c>
      <c r="J867" s="403"/>
      <c r="K867" s="1234"/>
      <c r="L867" s="431"/>
      <c r="M867" s="431"/>
      <c r="N867" s="431"/>
      <c r="O867" s="431"/>
      <c r="P867" s="431"/>
    </row>
    <row r="868" spans="1:16" s="526" customFormat="1" hidden="1" outlineLevel="1">
      <c r="A868" s="1235"/>
      <c r="B868" s="395" t="s">
        <v>811</v>
      </c>
      <c r="C868" s="530" t="s">
        <v>167</v>
      </c>
      <c r="D868" s="389">
        <v>1</v>
      </c>
      <c r="E868" s="356">
        <v>2</v>
      </c>
      <c r="F868" s="1203">
        <f>8.175+G868+0.15</f>
        <v>8.9350000000000005</v>
      </c>
      <c r="G868" s="1203">
        <f t="shared" si="18"/>
        <v>0.61</v>
      </c>
      <c r="H868" s="1203">
        <v>0.15</v>
      </c>
      <c r="I868" s="399">
        <f t="shared" si="17"/>
        <v>1.64</v>
      </c>
      <c r="J868" s="396"/>
      <c r="K868" s="1236"/>
    </row>
    <row r="869" spans="1:16" s="526" customFormat="1" hidden="1" outlineLevel="1">
      <c r="A869" s="1235"/>
      <c r="B869" s="395" t="s">
        <v>812</v>
      </c>
      <c r="C869" s="530" t="s">
        <v>167</v>
      </c>
      <c r="D869" s="389">
        <v>1</v>
      </c>
      <c r="E869" s="356">
        <v>2</v>
      </c>
      <c r="F869" s="1203">
        <f>6.65+G869+0.15</f>
        <v>7.410000000000001</v>
      </c>
      <c r="G869" s="1203">
        <f t="shared" si="18"/>
        <v>0.61</v>
      </c>
      <c r="H869" s="1203">
        <v>0.15</v>
      </c>
      <c r="I869" s="399">
        <f t="shared" si="17"/>
        <v>1.36</v>
      </c>
      <c r="J869" s="396"/>
      <c r="K869" s="1236"/>
    </row>
    <row r="870" spans="1:16" s="526" customFormat="1" hidden="1" outlineLevel="1">
      <c r="A870" s="1235"/>
      <c r="B870" s="395" t="s">
        <v>813</v>
      </c>
      <c r="C870" s="530" t="s">
        <v>167</v>
      </c>
      <c r="D870" s="389">
        <v>1</v>
      </c>
      <c r="E870" s="356">
        <v>2</v>
      </c>
      <c r="F870" s="1203">
        <f>4.82+G870+0.15</f>
        <v>5.580000000000001</v>
      </c>
      <c r="G870" s="1203">
        <f t="shared" si="18"/>
        <v>0.61</v>
      </c>
      <c r="H870" s="1203">
        <v>0.15</v>
      </c>
      <c r="I870" s="399">
        <f t="shared" si="17"/>
        <v>1.02</v>
      </c>
      <c r="J870" s="396"/>
      <c r="K870" s="1236"/>
    </row>
    <row r="871" spans="1:16" s="526" customFormat="1" hidden="1" outlineLevel="1">
      <c r="A871" s="1235"/>
      <c r="B871" s="395" t="s">
        <v>814</v>
      </c>
      <c r="C871" s="530" t="s">
        <v>167</v>
      </c>
      <c r="D871" s="389">
        <v>1</v>
      </c>
      <c r="E871" s="356">
        <v>1</v>
      </c>
      <c r="F871" s="1203">
        <f>3.295+G871+0.15</f>
        <v>4.0549999999999997</v>
      </c>
      <c r="G871" s="1203">
        <f t="shared" si="18"/>
        <v>0.61</v>
      </c>
      <c r="H871" s="1203">
        <v>0.15</v>
      </c>
      <c r="I871" s="399">
        <f t="shared" si="17"/>
        <v>0.37</v>
      </c>
      <c r="J871" s="396"/>
      <c r="K871" s="1236"/>
    </row>
    <row r="872" spans="1:16" s="398" customFormat="1" hidden="1" outlineLevel="1">
      <c r="A872" s="1232"/>
      <c r="B872" s="592"/>
      <c r="C872" s="530" t="s">
        <v>167</v>
      </c>
      <c r="D872" s="389">
        <v>1</v>
      </c>
      <c r="E872" s="356">
        <v>1</v>
      </c>
      <c r="F872" s="1203">
        <f>3.33+G872*2+0.15*2</f>
        <v>4.8499999999999996</v>
      </c>
      <c r="G872" s="1203">
        <f t="shared" si="18"/>
        <v>0.61</v>
      </c>
      <c r="H872" s="1203">
        <v>0.15</v>
      </c>
      <c r="I872" s="399">
        <f t="shared" si="17"/>
        <v>0.44</v>
      </c>
      <c r="J872" s="403"/>
      <c r="K872" s="1234"/>
      <c r="L872" s="431"/>
      <c r="M872" s="431"/>
      <c r="N872" s="431"/>
      <c r="O872" s="431"/>
      <c r="P872" s="431"/>
    </row>
    <row r="873" spans="1:16" s="398" customFormat="1" hidden="1" outlineLevel="1">
      <c r="A873" s="1232"/>
      <c r="B873" s="592"/>
      <c r="C873" s="388"/>
      <c r="D873" s="548"/>
      <c r="E873" s="307"/>
      <c r="F873" s="401"/>
      <c r="G873" s="401"/>
      <c r="H873" s="401"/>
      <c r="I873" s="399" t="str">
        <f t="shared" si="17"/>
        <v/>
      </c>
      <c r="J873" s="403"/>
      <c r="K873" s="1234"/>
      <c r="L873" s="431"/>
      <c r="M873" s="431"/>
      <c r="N873" s="431"/>
    </row>
    <row r="874" spans="1:16" s="398" customFormat="1" hidden="1" outlineLevel="1">
      <c r="A874" s="1232"/>
      <c r="B874" s="592" t="s">
        <v>815</v>
      </c>
      <c r="C874" s="530" t="s">
        <v>167</v>
      </c>
      <c r="D874" s="389">
        <v>1</v>
      </c>
      <c r="E874" s="397">
        <v>5</v>
      </c>
      <c r="F874" s="1202">
        <v>0.6</v>
      </c>
      <c r="G874" s="1203">
        <f>0.46+0.15</f>
        <v>0.61</v>
      </c>
      <c r="H874" s="1203">
        <v>0.15</v>
      </c>
      <c r="I874" s="399">
        <f t="shared" si="17"/>
        <v>0.27</v>
      </c>
      <c r="J874" s="404"/>
      <c r="K874" s="1234"/>
      <c r="L874" s="431"/>
      <c r="M874" s="431"/>
      <c r="N874" s="431"/>
    </row>
    <row r="875" spans="1:16" s="398" customFormat="1" hidden="1" outlineLevel="1">
      <c r="A875" s="1232"/>
      <c r="B875" s="592"/>
      <c r="C875" s="388"/>
      <c r="D875" s="400"/>
      <c r="E875" s="170"/>
      <c r="F875" s="401"/>
      <c r="G875" s="401"/>
      <c r="H875" s="401"/>
      <c r="I875" s="399" t="str">
        <f t="shared" si="17"/>
        <v/>
      </c>
      <c r="J875" s="404"/>
      <c r="K875" s="1234"/>
      <c r="L875" s="431"/>
      <c r="M875" s="431"/>
      <c r="N875" s="431"/>
    </row>
    <row r="876" spans="1:16" s="398" customFormat="1" ht="34.5" hidden="1" outlineLevel="1">
      <c r="A876" s="1232"/>
      <c r="B876" s="592" t="s">
        <v>816</v>
      </c>
      <c r="C876" s="165"/>
      <c r="D876" s="400"/>
      <c r="E876" s="170"/>
      <c r="F876" s="1512" t="s">
        <v>817</v>
      </c>
      <c r="G876" s="1512"/>
      <c r="H876" s="1512"/>
      <c r="I876" s="399" t="str">
        <f t="shared" si="17"/>
        <v/>
      </c>
      <c r="J876" s="404"/>
      <c r="K876" s="1234"/>
      <c r="L876" s="431"/>
      <c r="M876" s="431"/>
      <c r="N876" s="431"/>
    </row>
    <row r="877" spans="1:16" s="398" customFormat="1" hidden="1" outlineLevel="1">
      <c r="A877" s="1232"/>
      <c r="B877" s="311"/>
      <c r="C877" s="530" t="s">
        <v>167</v>
      </c>
      <c r="D877" s="389">
        <v>1</v>
      </c>
      <c r="E877" s="397">
        <v>2</v>
      </c>
      <c r="F877" s="401">
        <v>6</v>
      </c>
      <c r="G877" s="401">
        <f>0.345+0.15*2</f>
        <v>0.64500000000000002</v>
      </c>
      <c r="H877" s="401">
        <v>0.15</v>
      </c>
      <c r="I877" s="399">
        <f t="shared" si="17"/>
        <v>1.1599999999999999</v>
      </c>
      <c r="J877" s="404"/>
      <c r="K877" s="1234"/>
      <c r="L877" s="431"/>
      <c r="M877" s="431"/>
      <c r="N877" s="431"/>
    </row>
    <row r="878" spans="1:16" s="398" customFormat="1" hidden="1" outlineLevel="1">
      <c r="A878" s="1232"/>
      <c r="B878" s="311"/>
      <c r="C878" s="530" t="s">
        <v>167</v>
      </c>
      <c r="D878" s="400">
        <v>1</v>
      </c>
      <c r="E878" s="402">
        <v>1</v>
      </c>
      <c r="F878" s="662">
        <v>2.9249999999999998</v>
      </c>
      <c r="G878" s="401">
        <f>0.345+0.15*2</f>
        <v>0.64500000000000002</v>
      </c>
      <c r="H878" s="401">
        <v>0.15</v>
      </c>
      <c r="I878" s="399">
        <f t="shared" si="17"/>
        <v>0.28000000000000003</v>
      </c>
      <c r="J878" s="404"/>
      <c r="K878" s="1234"/>
      <c r="L878" s="431"/>
      <c r="M878" s="431"/>
      <c r="N878" s="431"/>
    </row>
    <row r="879" spans="1:16" s="398" customFormat="1" hidden="1" outlineLevel="1">
      <c r="A879" s="1232"/>
      <c r="B879" s="311"/>
      <c r="C879" s="530" t="s">
        <v>167</v>
      </c>
      <c r="D879" s="400">
        <v>1</v>
      </c>
      <c r="E879" s="402">
        <v>1</v>
      </c>
      <c r="F879" s="401">
        <v>1.08</v>
      </c>
      <c r="G879" s="401">
        <f>0.345+0.15*2</f>
        <v>0.64500000000000002</v>
      </c>
      <c r="H879" s="401">
        <v>0.15</v>
      </c>
      <c r="I879" s="399">
        <f t="shared" si="17"/>
        <v>0.1</v>
      </c>
      <c r="J879" s="404"/>
      <c r="K879" s="1234"/>
      <c r="L879" s="431"/>
      <c r="M879" s="431"/>
      <c r="N879" s="431"/>
    </row>
    <row r="880" spans="1:16" s="398" customFormat="1" hidden="1" outlineLevel="1">
      <c r="A880" s="1232"/>
      <c r="B880" s="311"/>
      <c r="C880" s="530" t="s">
        <v>167</v>
      </c>
      <c r="D880" s="400">
        <v>1</v>
      </c>
      <c r="E880" s="402">
        <v>1</v>
      </c>
      <c r="F880" s="401">
        <v>2</v>
      </c>
      <c r="G880" s="401">
        <f>0.345+0.15*2</f>
        <v>0.64500000000000002</v>
      </c>
      <c r="H880" s="401">
        <v>0.15</v>
      </c>
      <c r="I880" s="399">
        <f t="shared" si="17"/>
        <v>0.19</v>
      </c>
      <c r="J880" s="404"/>
      <c r="K880" s="1234"/>
      <c r="L880" s="431"/>
      <c r="M880" s="431"/>
      <c r="N880" s="431"/>
    </row>
    <row r="881" spans="1:14" s="398" customFormat="1" hidden="1" outlineLevel="1">
      <c r="A881" s="1232"/>
      <c r="B881" s="311" t="s">
        <v>818</v>
      </c>
      <c r="C881" s="530" t="s">
        <v>167</v>
      </c>
      <c r="D881" s="400">
        <v>1</v>
      </c>
      <c r="E881" s="170">
        <v>1</v>
      </c>
      <c r="F881" s="401">
        <v>3</v>
      </c>
      <c r="G881" s="401">
        <f>0.9+0.15*2</f>
        <v>1.2</v>
      </c>
      <c r="H881" s="401">
        <v>0.15</v>
      </c>
      <c r="I881" s="399">
        <f t="shared" si="17"/>
        <v>0.54</v>
      </c>
      <c r="J881" s="404"/>
      <c r="K881" s="1234"/>
      <c r="L881" s="431"/>
      <c r="M881" s="431"/>
      <c r="N881" s="431"/>
    </row>
    <row r="882" spans="1:14" s="398" customFormat="1" hidden="1" outlineLevel="1">
      <c r="A882" s="1232"/>
      <c r="B882" s="311" t="s">
        <v>819</v>
      </c>
      <c r="C882" s="530" t="s">
        <v>167</v>
      </c>
      <c r="D882" s="400">
        <v>1</v>
      </c>
      <c r="E882" s="170">
        <v>1</v>
      </c>
      <c r="F882" s="401">
        <v>0.6</v>
      </c>
      <c r="G882" s="401">
        <f>0.345+0.15*2</f>
        <v>0.64500000000000002</v>
      </c>
      <c r="H882" s="401">
        <v>0.15</v>
      </c>
      <c r="I882" s="399">
        <f t="shared" si="17"/>
        <v>0.06</v>
      </c>
      <c r="J882" s="404"/>
      <c r="K882" s="1234"/>
      <c r="L882" s="431"/>
      <c r="M882" s="431"/>
      <c r="N882" s="431"/>
    </row>
    <row r="883" spans="1:14" s="398" customFormat="1" hidden="1" outlineLevel="1">
      <c r="A883" s="1232"/>
      <c r="B883" s="311"/>
      <c r="C883" s="530"/>
      <c r="D883" s="400"/>
      <c r="E883" s="170"/>
      <c r="F883" s="401"/>
      <c r="G883" s="401"/>
      <c r="H883" s="401"/>
      <c r="I883" s="399" t="str">
        <f t="shared" si="17"/>
        <v/>
      </c>
      <c r="J883" s="404"/>
      <c r="K883" s="1234"/>
      <c r="L883" s="431"/>
      <c r="M883" s="431"/>
      <c r="N883" s="431"/>
    </row>
    <row r="884" spans="1:14" s="398" customFormat="1" ht="34.5" hidden="1" outlineLevel="1">
      <c r="A884" s="1232"/>
      <c r="B884" s="311" t="s">
        <v>820</v>
      </c>
      <c r="C884" s="530" t="s">
        <v>167</v>
      </c>
      <c r="D884" s="389">
        <v>1</v>
      </c>
      <c r="E884" s="397">
        <v>1</v>
      </c>
      <c r="F884" s="401">
        <v>6</v>
      </c>
      <c r="G884" s="401">
        <f>2-0.46</f>
        <v>1.54</v>
      </c>
      <c r="H884" s="401">
        <v>7.4999999999999997E-2</v>
      </c>
      <c r="I884" s="399">
        <f t="shared" si="17"/>
        <v>0.69</v>
      </c>
      <c r="J884" s="404"/>
      <c r="K884" s="1234"/>
      <c r="L884" s="431"/>
      <c r="M884" s="431"/>
      <c r="N884" s="431"/>
    </row>
    <row r="885" spans="1:14" s="398" customFormat="1" hidden="1" outlineLevel="1">
      <c r="A885" s="1232"/>
      <c r="B885" s="311"/>
      <c r="C885" s="530" t="s">
        <v>167</v>
      </c>
      <c r="D885" s="400">
        <v>1</v>
      </c>
      <c r="E885" s="402">
        <v>1</v>
      </c>
      <c r="F885" s="401">
        <v>3.2250000000000001</v>
      </c>
      <c r="G885" s="401">
        <v>3</v>
      </c>
      <c r="H885" s="401">
        <v>7.4999999999999997E-2</v>
      </c>
      <c r="I885" s="399">
        <f t="shared" si="17"/>
        <v>0.73</v>
      </c>
      <c r="J885" s="404"/>
      <c r="K885" s="1234"/>
      <c r="L885" s="431"/>
      <c r="M885" s="431"/>
      <c r="N885" s="431"/>
    </row>
    <row r="886" spans="1:14" s="398" customFormat="1" hidden="1" outlineLevel="1">
      <c r="A886" s="1232"/>
      <c r="B886" s="311"/>
      <c r="C886" s="530"/>
      <c r="D886" s="400"/>
      <c r="E886" s="170"/>
      <c r="F886" s="401"/>
      <c r="G886" s="401"/>
      <c r="H886" s="401"/>
      <c r="I886" s="399" t="str">
        <f t="shared" si="17"/>
        <v/>
      </c>
      <c r="J886" s="404"/>
      <c r="K886" s="1234"/>
      <c r="L886" s="431"/>
      <c r="M886" s="431"/>
      <c r="N886" s="431"/>
    </row>
    <row r="887" spans="1:14" s="398" customFormat="1" hidden="1" outlineLevel="1">
      <c r="A887" s="1232"/>
      <c r="B887" s="311" t="s">
        <v>821</v>
      </c>
      <c r="C887" s="530"/>
      <c r="D887" s="400"/>
      <c r="E887" s="170"/>
      <c r="F887" s="401"/>
      <c r="G887" s="401"/>
      <c r="H887" s="401"/>
      <c r="I887" s="399" t="str">
        <f t="shared" si="17"/>
        <v/>
      </c>
      <c r="J887" s="404"/>
      <c r="K887" s="1234"/>
      <c r="L887" s="431"/>
      <c r="M887" s="431"/>
      <c r="N887" s="431"/>
    </row>
    <row r="888" spans="1:14" s="398" customFormat="1" hidden="1" outlineLevel="1">
      <c r="A888" s="1232"/>
      <c r="B888" s="311" t="s">
        <v>822</v>
      </c>
      <c r="C888" s="530" t="s">
        <v>167</v>
      </c>
      <c r="D888" s="400">
        <v>1</v>
      </c>
      <c r="E888" s="170">
        <v>1</v>
      </c>
      <c r="F888" s="401">
        <v>5.42</v>
      </c>
      <c r="G888" s="401">
        <f>1.42*3</f>
        <v>4.26</v>
      </c>
      <c r="H888" s="401">
        <v>7.4999999999999997E-2</v>
      </c>
      <c r="I888" s="399">
        <f t="shared" si="17"/>
        <v>1.73</v>
      </c>
      <c r="J888" s="404"/>
      <c r="K888" s="1234"/>
      <c r="L888" s="431"/>
      <c r="M888" s="431"/>
      <c r="N888" s="431"/>
    </row>
    <row r="889" spans="1:14" s="398" customFormat="1" hidden="1" outlineLevel="1">
      <c r="A889" s="1232"/>
      <c r="B889" s="311"/>
      <c r="C889" s="530"/>
      <c r="D889" s="400"/>
      <c r="E889" s="170"/>
      <c r="F889" s="401" t="s">
        <v>624</v>
      </c>
      <c r="G889" s="401"/>
      <c r="H889" s="401"/>
      <c r="I889" s="399" t="str">
        <f t="shared" si="17"/>
        <v/>
      </c>
      <c r="J889" s="404"/>
      <c r="K889" s="1234"/>
      <c r="L889" s="431"/>
      <c r="M889" s="431"/>
      <c r="N889" s="431"/>
    </row>
    <row r="890" spans="1:14" s="398" customFormat="1" hidden="1" outlineLevel="1">
      <c r="A890" s="1232"/>
      <c r="B890" s="311" t="s">
        <v>823</v>
      </c>
      <c r="C890" s="530" t="s">
        <v>167</v>
      </c>
      <c r="D890" s="400">
        <v>1</v>
      </c>
      <c r="E890" s="170">
        <v>1</v>
      </c>
      <c r="F890" s="401">
        <v>16</v>
      </c>
      <c r="G890" s="401"/>
      <c r="H890" s="401">
        <v>7.4999999999999997E-2</v>
      </c>
      <c r="I890" s="399">
        <f t="shared" si="17"/>
        <v>1.2</v>
      </c>
      <c r="J890" s="404"/>
      <c r="K890" s="1234" t="s">
        <v>624</v>
      </c>
      <c r="L890" s="431"/>
      <c r="M890" s="431"/>
      <c r="N890" s="431"/>
    </row>
    <row r="891" spans="1:14" s="398" customFormat="1" hidden="1" outlineLevel="1">
      <c r="A891" s="1232"/>
      <c r="B891" s="311"/>
      <c r="C891" s="530"/>
      <c r="D891" s="400"/>
      <c r="E891" s="170"/>
      <c r="F891" s="401"/>
      <c r="G891" s="401"/>
      <c r="H891" s="401"/>
      <c r="I891" s="399" t="str">
        <f t="shared" si="17"/>
        <v/>
      </c>
      <c r="J891" s="404"/>
      <c r="K891" s="1234"/>
      <c r="L891" s="431"/>
      <c r="M891" s="431"/>
      <c r="N891" s="431"/>
    </row>
    <row r="892" spans="1:14" s="398" customFormat="1" ht="34.5" hidden="1" outlineLevel="1">
      <c r="A892" s="1232"/>
      <c r="B892" s="592" t="s">
        <v>824</v>
      </c>
      <c r="C892" s="165"/>
      <c r="D892" s="400"/>
      <c r="E892" s="170"/>
      <c r="F892" s="401"/>
      <c r="G892" s="401"/>
      <c r="H892" s="401"/>
      <c r="I892" s="399" t="str">
        <f t="shared" si="17"/>
        <v/>
      </c>
      <c r="J892" s="404"/>
      <c r="K892" s="1234"/>
      <c r="L892" s="431"/>
      <c r="M892" s="431"/>
      <c r="N892" s="431"/>
    </row>
    <row r="893" spans="1:14" s="398" customFormat="1" hidden="1" outlineLevel="1">
      <c r="A893" s="1232"/>
      <c r="B893" s="311"/>
      <c r="C893" s="530" t="s">
        <v>167</v>
      </c>
      <c r="D893" s="389">
        <v>1</v>
      </c>
      <c r="E893" s="397">
        <v>2</v>
      </c>
      <c r="F893" s="401">
        <v>6</v>
      </c>
      <c r="G893" s="401">
        <f>0.345+0.15*2</f>
        <v>0.64500000000000002</v>
      </c>
      <c r="H893" s="401">
        <v>0.15</v>
      </c>
      <c r="I893" s="399">
        <f t="shared" si="17"/>
        <v>1.1599999999999999</v>
      </c>
      <c r="J893" s="404"/>
      <c r="K893" s="1234"/>
      <c r="L893" s="431"/>
      <c r="M893" s="431"/>
      <c r="N893" s="431"/>
    </row>
    <row r="894" spans="1:14" s="398" customFormat="1" hidden="1" outlineLevel="1">
      <c r="A894" s="1232"/>
      <c r="B894" s="311"/>
      <c r="C894" s="530" t="s">
        <v>167</v>
      </c>
      <c r="D894" s="400">
        <v>1</v>
      </c>
      <c r="E894" s="402">
        <v>1</v>
      </c>
      <c r="F894" s="662">
        <v>2.9249999999999998</v>
      </c>
      <c r="G894" s="401">
        <f>0.345+0.15*2</f>
        <v>0.64500000000000002</v>
      </c>
      <c r="H894" s="401">
        <v>0.15</v>
      </c>
      <c r="I894" s="399">
        <f t="shared" si="17"/>
        <v>0.28000000000000003</v>
      </c>
      <c r="J894" s="404"/>
      <c r="K894" s="1234"/>
      <c r="L894" s="431"/>
      <c r="M894" s="431"/>
      <c r="N894" s="431"/>
    </row>
    <row r="895" spans="1:14" s="398" customFormat="1" hidden="1" outlineLevel="1">
      <c r="A895" s="1232"/>
      <c r="B895" s="311"/>
      <c r="C895" s="530" t="s">
        <v>167</v>
      </c>
      <c r="D895" s="400">
        <v>1</v>
      </c>
      <c r="E895" s="402">
        <v>1</v>
      </c>
      <c r="F895" s="401">
        <v>1.08</v>
      </c>
      <c r="G895" s="401">
        <f>0.345+0.15*2</f>
        <v>0.64500000000000002</v>
      </c>
      <c r="H895" s="401">
        <v>0.15</v>
      </c>
      <c r="I895" s="399">
        <f t="shared" si="17"/>
        <v>0.1</v>
      </c>
      <c r="J895" s="404"/>
      <c r="K895" s="1234"/>
      <c r="L895" s="431"/>
      <c r="M895" s="431"/>
      <c r="N895" s="431"/>
    </row>
    <row r="896" spans="1:14" s="398" customFormat="1" hidden="1" outlineLevel="1">
      <c r="A896" s="1232"/>
      <c r="B896" s="311"/>
      <c r="C896" s="530" t="s">
        <v>167</v>
      </c>
      <c r="D896" s="400">
        <v>1</v>
      </c>
      <c r="E896" s="402">
        <v>1</v>
      </c>
      <c r="F896" s="401">
        <v>2</v>
      </c>
      <c r="G896" s="401">
        <f>0.345+0.15*2</f>
        <v>0.64500000000000002</v>
      </c>
      <c r="H896" s="401">
        <v>0.15</v>
      </c>
      <c r="I896" s="399">
        <f t="shared" si="17"/>
        <v>0.19</v>
      </c>
      <c r="J896" s="404"/>
      <c r="K896" s="1234"/>
      <c r="L896" s="431"/>
      <c r="M896" s="431"/>
      <c r="N896" s="431"/>
    </row>
    <row r="897" spans="1:14" s="398" customFormat="1" hidden="1" outlineLevel="1">
      <c r="A897" s="1232"/>
      <c r="B897" s="311" t="s">
        <v>825</v>
      </c>
      <c r="C897" s="530" t="s">
        <v>167</v>
      </c>
      <c r="D897" s="400">
        <v>1</v>
      </c>
      <c r="E897" s="170">
        <v>1</v>
      </c>
      <c r="F897" s="401">
        <v>3</v>
      </c>
      <c r="G897" s="401">
        <f>0.9+0.15*2</f>
        <v>1.2</v>
      </c>
      <c r="H897" s="401">
        <v>0.15</v>
      </c>
      <c r="I897" s="399">
        <f t="shared" si="17"/>
        <v>0.54</v>
      </c>
      <c r="J897" s="404"/>
      <c r="K897" s="1234"/>
      <c r="L897" s="431"/>
      <c r="M897" s="431"/>
      <c r="N897" s="431"/>
    </row>
    <row r="898" spans="1:14" s="398" customFormat="1" hidden="1" outlineLevel="1">
      <c r="A898" s="1232"/>
      <c r="B898" s="311" t="s">
        <v>819</v>
      </c>
      <c r="C898" s="530" t="s">
        <v>167</v>
      </c>
      <c r="D898" s="400">
        <v>1</v>
      </c>
      <c r="E898" s="170">
        <v>1</v>
      </c>
      <c r="F898" s="401">
        <v>0.6</v>
      </c>
      <c r="G898" s="401">
        <f>0.345+0.15*2</f>
        <v>0.64500000000000002</v>
      </c>
      <c r="H898" s="401">
        <v>0.15</v>
      </c>
      <c r="I898" s="399">
        <f t="shared" si="17"/>
        <v>0.06</v>
      </c>
      <c r="J898" s="404"/>
      <c r="K898" s="1234"/>
      <c r="L898" s="431"/>
      <c r="M898" s="431"/>
      <c r="N898" s="431"/>
    </row>
    <row r="899" spans="1:14" s="398" customFormat="1" hidden="1" outlineLevel="1">
      <c r="A899" s="1232"/>
      <c r="B899" s="311"/>
      <c r="C899" s="530"/>
      <c r="D899" s="400"/>
      <c r="E899" s="170"/>
      <c r="F899" s="401"/>
      <c r="G899" s="401"/>
      <c r="H899" s="401"/>
      <c r="I899" s="399" t="str">
        <f t="shared" si="17"/>
        <v/>
      </c>
      <c r="J899" s="404"/>
      <c r="K899" s="1234"/>
      <c r="L899" s="431"/>
      <c r="M899" s="431"/>
      <c r="N899" s="431"/>
    </row>
    <row r="900" spans="1:14" s="398" customFormat="1" ht="34.5" hidden="1" outlineLevel="1">
      <c r="A900" s="1232"/>
      <c r="B900" s="311" t="s">
        <v>820</v>
      </c>
      <c r="C900" s="530" t="s">
        <v>167</v>
      </c>
      <c r="D900" s="389">
        <v>1</v>
      </c>
      <c r="E900" s="397">
        <v>1</v>
      </c>
      <c r="F900" s="401">
        <v>6</v>
      </c>
      <c r="G900" s="401">
        <f>2-0.46</f>
        <v>1.54</v>
      </c>
      <c r="H900" s="401">
        <v>7.4999999999999997E-2</v>
      </c>
      <c r="I900" s="399">
        <f t="shared" si="17"/>
        <v>0.69</v>
      </c>
      <c r="J900" s="404"/>
      <c r="K900" s="1234"/>
      <c r="L900" s="431"/>
      <c r="M900" s="431"/>
      <c r="N900" s="431"/>
    </row>
    <row r="901" spans="1:14" s="398" customFormat="1" hidden="1" outlineLevel="1">
      <c r="A901" s="1232"/>
      <c r="B901" s="311"/>
      <c r="C901" s="530" t="s">
        <v>167</v>
      </c>
      <c r="D901" s="400">
        <v>1</v>
      </c>
      <c r="E901" s="402">
        <v>1</v>
      </c>
      <c r="F901" s="401">
        <v>3.2250000000000001</v>
      </c>
      <c r="G901" s="401">
        <v>3</v>
      </c>
      <c r="H901" s="401">
        <v>7.4999999999999997E-2</v>
      </c>
      <c r="I901" s="399">
        <f t="shared" si="17"/>
        <v>0.73</v>
      </c>
      <c r="J901" s="404"/>
      <c r="K901" s="1234"/>
      <c r="L901" s="431"/>
      <c r="M901" s="431"/>
      <c r="N901" s="431"/>
    </row>
    <row r="902" spans="1:14" s="398" customFormat="1" hidden="1" outlineLevel="1">
      <c r="A902" s="1232"/>
      <c r="B902" s="311"/>
      <c r="C902" s="530"/>
      <c r="D902" s="400"/>
      <c r="E902" s="170"/>
      <c r="F902" s="401"/>
      <c r="G902" s="401"/>
      <c r="H902" s="401"/>
      <c r="I902" s="399" t="str">
        <f t="shared" si="17"/>
        <v/>
      </c>
      <c r="J902" s="404"/>
      <c r="K902" s="1234"/>
      <c r="L902" s="431"/>
      <c r="M902" s="431"/>
      <c r="N902" s="431"/>
    </row>
    <row r="903" spans="1:14" s="398" customFormat="1" hidden="1" outlineLevel="1">
      <c r="A903" s="1232"/>
      <c r="B903" s="311" t="s">
        <v>826</v>
      </c>
      <c r="C903" s="530"/>
      <c r="D903" s="400"/>
      <c r="E903" s="170"/>
      <c r="F903" s="401"/>
      <c r="G903" s="401"/>
      <c r="H903" s="401"/>
      <c r="I903" s="399" t="str">
        <f t="shared" si="17"/>
        <v/>
      </c>
      <c r="J903" s="404"/>
      <c r="K903" s="1234"/>
      <c r="L903" s="431"/>
      <c r="M903" s="431"/>
      <c r="N903" s="431"/>
    </row>
    <row r="904" spans="1:14" s="398" customFormat="1" hidden="1" outlineLevel="1">
      <c r="A904" s="1232"/>
      <c r="B904" s="311" t="s">
        <v>822</v>
      </c>
      <c r="C904" s="530" t="s">
        <v>167</v>
      </c>
      <c r="D904" s="400">
        <v>1</v>
      </c>
      <c r="E904" s="170">
        <v>1</v>
      </c>
      <c r="F904" s="401">
        <v>5.42</v>
      </c>
      <c r="G904" s="401">
        <f>1.42*3</f>
        <v>4.26</v>
      </c>
      <c r="H904" s="401">
        <v>7.4999999999999997E-2</v>
      </c>
      <c r="I904" s="399">
        <f t="shared" ref="I904:I967" si="19">IF(D904&lt;&gt;0,ROUND(PRODUCT(E904:H904)*D904,2),"")</f>
        <v>1.73</v>
      </c>
      <c r="J904" s="404"/>
      <c r="K904" s="1234"/>
      <c r="L904" s="431"/>
      <c r="M904" s="431"/>
      <c r="N904" s="431"/>
    </row>
    <row r="905" spans="1:14" s="398" customFormat="1" hidden="1" outlineLevel="1">
      <c r="A905" s="1232"/>
      <c r="B905" s="311"/>
      <c r="C905" s="530"/>
      <c r="D905" s="400"/>
      <c r="E905" s="170"/>
      <c r="F905" s="401" t="s">
        <v>624</v>
      </c>
      <c r="G905" s="401"/>
      <c r="H905" s="401"/>
      <c r="I905" s="399" t="str">
        <f t="shared" si="19"/>
        <v/>
      </c>
      <c r="J905" s="404"/>
      <c r="K905" s="1234"/>
      <c r="L905" s="431"/>
      <c r="M905" s="431"/>
      <c r="N905" s="431"/>
    </row>
    <row r="906" spans="1:14" s="398" customFormat="1" hidden="1" outlineLevel="1">
      <c r="A906" s="1232"/>
      <c r="B906" s="311" t="s">
        <v>823</v>
      </c>
      <c r="C906" s="530" t="s">
        <v>167</v>
      </c>
      <c r="D906" s="400">
        <v>1</v>
      </c>
      <c r="E906" s="170">
        <v>1</v>
      </c>
      <c r="F906" s="401">
        <v>16</v>
      </c>
      <c r="G906" s="401"/>
      <c r="H906" s="401">
        <v>7.4999999999999997E-2</v>
      </c>
      <c r="I906" s="399">
        <f t="shared" si="19"/>
        <v>1.2</v>
      </c>
      <c r="J906" s="404"/>
      <c r="K906" s="1234" t="s">
        <v>624</v>
      </c>
      <c r="L906" s="431"/>
      <c r="M906" s="431"/>
      <c r="N906" s="431"/>
    </row>
    <row r="907" spans="1:14" s="398" customFormat="1" hidden="1" outlineLevel="1">
      <c r="A907" s="1232"/>
      <c r="B907" s="311"/>
      <c r="C907" s="530"/>
      <c r="D907" s="400"/>
      <c r="E907" s="170"/>
      <c r="F907" s="401"/>
      <c r="G907" s="401"/>
      <c r="H907" s="401"/>
      <c r="I907" s="399" t="str">
        <f t="shared" si="19"/>
        <v/>
      </c>
      <c r="J907" s="404"/>
      <c r="K907" s="1234"/>
      <c r="L907" s="431"/>
      <c r="M907" s="431"/>
      <c r="N907" s="431"/>
    </row>
    <row r="908" spans="1:14" s="398" customFormat="1" ht="34.5" hidden="1" outlineLevel="1">
      <c r="A908" s="1232"/>
      <c r="B908" s="592" t="s">
        <v>827</v>
      </c>
      <c r="C908" s="165"/>
      <c r="D908" s="400"/>
      <c r="E908" s="170"/>
      <c r="F908" s="1512"/>
      <c r="G908" s="1512"/>
      <c r="H908" s="1512"/>
      <c r="I908" s="399" t="str">
        <f t="shared" si="19"/>
        <v/>
      </c>
      <c r="J908" s="404"/>
      <c r="K908" s="1234"/>
      <c r="L908" s="431"/>
      <c r="M908" s="431"/>
      <c r="N908" s="431"/>
    </row>
    <row r="909" spans="1:14" s="398" customFormat="1" hidden="1" outlineLevel="1">
      <c r="A909" s="1232"/>
      <c r="B909" s="311"/>
      <c r="C909" s="530" t="s">
        <v>167</v>
      </c>
      <c r="D909" s="389">
        <v>1</v>
      </c>
      <c r="E909" s="397">
        <v>2</v>
      </c>
      <c r="F909" s="401">
        <v>6</v>
      </c>
      <c r="G909" s="401">
        <f>0.345+0.15*2</f>
        <v>0.64500000000000002</v>
      </c>
      <c r="H909" s="401">
        <v>0.15</v>
      </c>
      <c r="I909" s="399">
        <f t="shared" si="19"/>
        <v>1.1599999999999999</v>
      </c>
      <c r="J909" s="404"/>
      <c r="K909" s="1234"/>
      <c r="L909" s="431"/>
      <c r="M909" s="431"/>
      <c r="N909" s="431"/>
    </row>
    <row r="910" spans="1:14" s="398" customFormat="1" hidden="1" outlineLevel="1">
      <c r="A910" s="1232"/>
      <c r="B910" s="311"/>
      <c r="C910" s="530" t="s">
        <v>167</v>
      </c>
      <c r="D910" s="400">
        <v>1</v>
      </c>
      <c r="E910" s="402">
        <v>1</v>
      </c>
      <c r="F910" s="401">
        <v>3.2250000000000001</v>
      </c>
      <c r="G910" s="401">
        <f>0.345+0.15*2</f>
        <v>0.64500000000000002</v>
      </c>
      <c r="H910" s="401">
        <v>0.15</v>
      </c>
      <c r="I910" s="399">
        <f t="shared" si="19"/>
        <v>0.31</v>
      </c>
      <c r="J910" s="404"/>
      <c r="K910" s="1234"/>
      <c r="L910" s="431"/>
      <c r="M910" s="431"/>
      <c r="N910" s="431"/>
    </row>
    <row r="911" spans="1:14" s="398" customFormat="1" hidden="1" outlineLevel="1">
      <c r="A911" s="1232"/>
      <c r="B911" s="311"/>
      <c r="C911" s="530" t="s">
        <v>167</v>
      </c>
      <c r="D911" s="400">
        <v>1</v>
      </c>
      <c r="E911" s="402">
        <v>1</v>
      </c>
      <c r="F911" s="401">
        <v>1.08</v>
      </c>
      <c r="G911" s="401">
        <f>0.345+0.15*2</f>
        <v>0.64500000000000002</v>
      </c>
      <c r="H911" s="401">
        <v>0.15</v>
      </c>
      <c r="I911" s="399">
        <f t="shared" si="19"/>
        <v>0.1</v>
      </c>
      <c r="J911" s="404"/>
      <c r="K911" s="1234"/>
      <c r="L911" s="431"/>
      <c r="M911" s="431"/>
      <c r="N911" s="431"/>
    </row>
    <row r="912" spans="1:14" s="398" customFormat="1" hidden="1" outlineLevel="1">
      <c r="A912" s="1232"/>
      <c r="B912" s="311"/>
      <c r="C912" s="530" t="s">
        <v>167</v>
      </c>
      <c r="D912" s="400">
        <v>1</v>
      </c>
      <c r="E912" s="402">
        <v>1</v>
      </c>
      <c r="F912" s="401">
        <v>2</v>
      </c>
      <c r="G912" s="401">
        <f>0.345+0.15*2</f>
        <v>0.64500000000000002</v>
      </c>
      <c r="H912" s="401">
        <v>0.15</v>
      </c>
      <c r="I912" s="399">
        <f t="shared" si="19"/>
        <v>0.19</v>
      </c>
      <c r="J912" s="404"/>
      <c r="K912" s="1234"/>
      <c r="L912" s="431"/>
      <c r="M912" s="431"/>
      <c r="N912" s="431"/>
    </row>
    <row r="913" spans="1:14" s="398" customFormat="1" hidden="1" outlineLevel="1">
      <c r="A913" s="1232"/>
      <c r="B913" s="311" t="s">
        <v>825</v>
      </c>
      <c r="C913" s="530" t="s">
        <v>167</v>
      </c>
      <c r="D913" s="400">
        <v>1</v>
      </c>
      <c r="E913" s="170">
        <v>1</v>
      </c>
      <c r="F913" s="401">
        <v>3</v>
      </c>
      <c r="G913" s="401">
        <f>0.9+0.15*2</f>
        <v>1.2</v>
      </c>
      <c r="H913" s="401">
        <v>0.15</v>
      </c>
      <c r="I913" s="399">
        <f t="shared" si="19"/>
        <v>0.54</v>
      </c>
      <c r="J913" s="404"/>
      <c r="K913" s="1234"/>
      <c r="L913" s="431"/>
      <c r="M913" s="431"/>
      <c r="N913" s="431"/>
    </row>
    <row r="914" spans="1:14" s="398" customFormat="1" hidden="1" outlineLevel="1">
      <c r="A914" s="1232"/>
      <c r="B914" s="311" t="s">
        <v>819</v>
      </c>
      <c r="C914" s="530" t="s">
        <v>167</v>
      </c>
      <c r="D914" s="400">
        <v>1</v>
      </c>
      <c r="E914" s="170">
        <v>1</v>
      </c>
      <c r="F914" s="401">
        <v>0.6</v>
      </c>
      <c r="G914" s="401">
        <f>0.345+0.15*2</f>
        <v>0.64500000000000002</v>
      </c>
      <c r="H914" s="401">
        <v>0.15</v>
      </c>
      <c r="I914" s="399">
        <f t="shared" si="19"/>
        <v>0.06</v>
      </c>
      <c r="J914" s="404"/>
      <c r="K914" s="1234"/>
      <c r="L914" s="431"/>
      <c r="M914" s="431"/>
      <c r="N914" s="431"/>
    </row>
    <row r="915" spans="1:14" s="398" customFormat="1" hidden="1" outlineLevel="1">
      <c r="A915" s="1232"/>
      <c r="B915" s="311"/>
      <c r="C915" s="530"/>
      <c r="D915" s="400"/>
      <c r="E915" s="170"/>
      <c r="F915" s="401"/>
      <c r="G915" s="401"/>
      <c r="H915" s="401"/>
      <c r="I915" s="399" t="str">
        <f t="shared" si="19"/>
        <v/>
      </c>
      <c r="J915" s="404"/>
      <c r="K915" s="1234"/>
      <c r="L915" s="431"/>
      <c r="M915" s="431"/>
      <c r="N915" s="431"/>
    </row>
    <row r="916" spans="1:14" s="398" customFormat="1" ht="34.5" hidden="1" outlineLevel="1">
      <c r="A916" s="1232"/>
      <c r="B916" s="311" t="s">
        <v>820</v>
      </c>
      <c r="C916" s="530" t="s">
        <v>167</v>
      </c>
      <c r="D916" s="389">
        <v>1</v>
      </c>
      <c r="E916" s="397">
        <v>1</v>
      </c>
      <c r="F916" s="401">
        <v>6</v>
      </c>
      <c r="G916" s="401">
        <f>2-0.46</f>
        <v>1.54</v>
      </c>
      <c r="H916" s="401">
        <v>7.4999999999999997E-2</v>
      </c>
      <c r="I916" s="399">
        <f t="shared" si="19"/>
        <v>0.69</v>
      </c>
      <c r="J916" s="404"/>
      <c r="K916" s="1234"/>
      <c r="L916" s="431"/>
      <c r="M916" s="431"/>
      <c r="N916" s="431"/>
    </row>
    <row r="917" spans="1:14" s="398" customFormat="1" hidden="1" outlineLevel="1">
      <c r="A917" s="1232"/>
      <c r="B917" s="311"/>
      <c r="C917" s="530" t="s">
        <v>167</v>
      </c>
      <c r="D917" s="400">
        <v>1</v>
      </c>
      <c r="E917" s="402">
        <v>1</v>
      </c>
      <c r="F917" s="401">
        <v>3.2250000000000001</v>
      </c>
      <c r="G917" s="401">
        <v>3</v>
      </c>
      <c r="H917" s="401">
        <v>7.4999999999999997E-2</v>
      </c>
      <c r="I917" s="399">
        <f t="shared" si="19"/>
        <v>0.73</v>
      </c>
      <c r="J917" s="404"/>
      <c r="K917" s="1234"/>
      <c r="L917" s="431"/>
      <c r="M917" s="431"/>
      <c r="N917" s="431"/>
    </row>
    <row r="918" spans="1:14" s="398" customFormat="1" hidden="1" outlineLevel="1">
      <c r="A918" s="1232"/>
      <c r="B918" s="311"/>
      <c r="C918" s="530"/>
      <c r="D918" s="400"/>
      <c r="E918" s="170"/>
      <c r="F918" s="401"/>
      <c r="G918" s="401"/>
      <c r="H918" s="401"/>
      <c r="I918" s="399" t="str">
        <f t="shared" si="19"/>
        <v/>
      </c>
      <c r="J918" s="404"/>
      <c r="K918" s="1234"/>
      <c r="L918" s="431"/>
      <c r="M918" s="431"/>
      <c r="N918" s="431"/>
    </row>
    <row r="919" spans="1:14" s="398" customFormat="1" hidden="1" outlineLevel="1">
      <c r="A919" s="1232"/>
      <c r="B919" s="311" t="s">
        <v>828</v>
      </c>
      <c r="C919" s="530"/>
      <c r="D919" s="400"/>
      <c r="E919" s="170"/>
      <c r="F919" s="401"/>
      <c r="G919" s="401"/>
      <c r="H919" s="401"/>
      <c r="I919" s="399" t="str">
        <f t="shared" si="19"/>
        <v/>
      </c>
      <c r="J919" s="404"/>
      <c r="K919" s="1234"/>
      <c r="L919" s="431"/>
      <c r="M919" s="431"/>
      <c r="N919" s="431"/>
    </row>
    <row r="920" spans="1:14" s="398" customFormat="1" hidden="1" outlineLevel="1">
      <c r="A920" s="1232"/>
      <c r="B920" s="311" t="s">
        <v>822</v>
      </c>
      <c r="C920" s="530" t="s">
        <v>167</v>
      </c>
      <c r="D920" s="400">
        <v>1</v>
      </c>
      <c r="E920" s="170">
        <v>1</v>
      </c>
      <c r="F920" s="401">
        <v>5.42</v>
      </c>
      <c r="G920" s="401">
        <f>1.42*3</f>
        <v>4.26</v>
      </c>
      <c r="H920" s="401">
        <v>7.4999999999999997E-2</v>
      </c>
      <c r="I920" s="399">
        <f t="shared" si="19"/>
        <v>1.73</v>
      </c>
      <c r="J920" s="404"/>
      <c r="K920" s="1234"/>
      <c r="L920" s="431"/>
      <c r="M920" s="431"/>
      <c r="N920" s="431"/>
    </row>
    <row r="921" spans="1:14" s="398" customFormat="1" hidden="1" outlineLevel="1">
      <c r="A921" s="1232"/>
      <c r="B921" s="311"/>
      <c r="C921" s="530"/>
      <c r="D921" s="400"/>
      <c r="E921" s="170"/>
      <c r="F921" s="401" t="s">
        <v>624</v>
      </c>
      <c r="G921" s="401"/>
      <c r="H921" s="401"/>
      <c r="I921" s="399" t="str">
        <f t="shared" si="19"/>
        <v/>
      </c>
      <c r="J921" s="404"/>
      <c r="K921" s="1234"/>
      <c r="L921" s="431"/>
      <c r="M921" s="431"/>
      <c r="N921" s="431"/>
    </row>
    <row r="922" spans="1:14" s="398" customFormat="1" hidden="1" outlineLevel="1">
      <c r="A922" s="1232"/>
      <c r="B922" s="311" t="s">
        <v>823</v>
      </c>
      <c r="C922" s="530" t="s">
        <v>167</v>
      </c>
      <c r="D922" s="400">
        <v>1</v>
      </c>
      <c r="E922" s="170">
        <v>1</v>
      </c>
      <c r="F922" s="401">
        <v>16</v>
      </c>
      <c r="G922" s="401"/>
      <c r="H922" s="401">
        <v>7.4999999999999997E-2</v>
      </c>
      <c r="I922" s="399">
        <f t="shared" si="19"/>
        <v>1.2</v>
      </c>
      <c r="J922" s="404"/>
      <c r="K922" s="1234" t="s">
        <v>624</v>
      </c>
      <c r="L922" s="431"/>
      <c r="M922" s="431"/>
      <c r="N922" s="431"/>
    </row>
    <row r="923" spans="1:14" s="398" customFormat="1" hidden="1" outlineLevel="1">
      <c r="A923" s="1232"/>
      <c r="B923" s="311"/>
      <c r="C923" s="530"/>
      <c r="D923" s="400"/>
      <c r="E923" s="170"/>
      <c r="F923" s="401"/>
      <c r="G923" s="401"/>
      <c r="H923" s="401"/>
      <c r="I923" s="399" t="str">
        <f t="shared" si="19"/>
        <v/>
      </c>
      <c r="J923" s="404"/>
      <c r="K923" s="1234"/>
      <c r="L923" s="431"/>
      <c r="M923" s="431"/>
      <c r="N923" s="431"/>
    </row>
    <row r="924" spans="1:14" s="398" customFormat="1" hidden="1" outlineLevel="1">
      <c r="A924" s="1232"/>
      <c r="B924" s="311"/>
      <c r="C924" s="530"/>
      <c r="D924" s="400"/>
      <c r="E924" s="170"/>
      <c r="F924" s="401"/>
      <c r="G924" s="401"/>
      <c r="H924" s="401"/>
      <c r="I924" s="399" t="str">
        <f t="shared" si="19"/>
        <v/>
      </c>
      <c r="J924" s="404"/>
      <c r="K924" s="1234"/>
      <c r="L924" s="431"/>
      <c r="M924" s="431"/>
      <c r="N924" s="431"/>
    </row>
    <row r="925" spans="1:14" s="398" customFormat="1" ht="34.5" hidden="1" outlineLevel="1">
      <c r="A925" s="1232"/>
      <c r="B925" s="592" t="s">
        <v>829</v>
      </c>
      <c r="C925" s="165"/>
      <c r="D925" s="400"/>
      <c r="E925" s="170"/>
      <c r="F925" s="401"/>
      <c r="G925" s="401"/>
      <c r="H925" s="401"/>
      <c r="I925" s="399" t="str">
        <f t="shared" si="19"/>
        <v/>
      </c>
      <c r="J925" s="404"/>
      <c r="K925" s="1234"/>
      <c r="L925" s="431"/>
      <c r="M925" s="431"/>
      <c r="N925" s="431"/>
    </row>
    <row r="926" spans="1:14" s="398" customFormat="1" hidden="1" outlineLevel="1">
      <c r="A926" s="1232"/>
      <c r="B926" s="311"/>
      <c r="C926" s="530" t="s">
        <v>167</v>
      </c>
      <c r="D926" s="389">
        <v>1</v>
      </c>
      <c r="E926" s="397">
        <v>2</v>
      </c>
      <c r="F926" s="401">
        <v>6</v>
      </c>
      <c r="G926" s="401">
        <f>0.345+0.15*2</f>
        <v>0.64500000000000002</v>
      </c>
      <c r="H926" s="401">
        <v>0.15</v>
      </c>
      <c r="I926" s="399">
        <f t="shared" si="19"/>
        <v>1.1599999999999999</v>
      </c>
      <c r="J926" s="404"/>
      <c r="K926" s="1234"/>
      <c r="L926" s="431"/>
      <c r="M926" s="431"/>
      <c r="N926" s="431"/>
    </row>
    <row r="927" spans="1:14" s="398" customFormat="1" hidden="1" outlineLevel="1">
      <c r="A927" s="1232"/>
      <c r="B927" s="311"/>
      <c r="C927" s="530" t="s">
        <v>167</v>
      </c>
      <c r="D927" s="400">
        <v>1</v>
      </c>
      <c r="E927" s="402">
        <v>1</v>
      </c>
      <c r="F927" s="662">
        <v>2.9249999999999998</v>
      </c>
      <c r="G927" s="401">
        <f>0.345+0.15*2</f>
        <v>0.64500000000000002</v>
      </c>
      <c r="H927" s="401">
        <v>0.15</v>
      </c>
      <c r="I927" s="399">
        <f t="shared" si="19"/>
        <v>0.28000000000000003</v>
      </c>
      <c r="J927" s="404"/>
      <c r="K927" s="1234"/>
      <c r="L927" s="431"/>
      <c r="M927" s="431"/>
      <c r="N927" s="431"/>
    </row>
    <row r="928" spans="1:14" s="398" customFormat="1" hidden="1" outlineLevel="1">
      <c r="A928" s="1232"/>
      <c r="B928" s="311"/>
      <c r="C928" s="530" t="s">
        <v>167</v>
      </c>
      <c r="D928" s="400">
        <v>1</v>
      </c>
      <c r="E928" s="402">
        <v>1</v>
      </c>
      <c r="F928" s="401">
        <v>1.08</v>
      </c>
      <c r="G928" s="401">
        <f>0.345+0.15*2</f>
        <v>0.64500000000000002</v>
      </c>
      <c r="H928" s="401">
        <v>0.15</v>
      </c>
      <c r="I928" s="399">
        <f t="shared" si="19"/>
        <v>0.1</v>
      </c>
      <c r="J928" s="404"/>
      <c r="K928" s="1234"/>
      <c r="L928" s="431"/>
      <c r="M928" s="431"/>
      <c r="N928" s="431"/>
    </row>
    <row r="929" spans="1:14" s="398" customFormat="1" hidden="1" outlineLevel="1">
      <c r="A929" s="1232"/>
      <c r="B929" s="311"/>
      <c r="C929" s="530" t="s">
        <v>167</v>
      </c>
      <c r="D929" s="400">
        <v>1</v>
      </c>
      <c r="E929" s="402">
        <v>1</v>
      </c>
      <c r="F929" s="401">
        <v>2</v>
      </c>
      <c r="G929" s="401">
        <f>0.345+0.15*2</f>
        <v>0.64500000000000002</v>
      </c>
      <c r="H929" s="401">
        <v>0.15</v>
      </c>
      <c r="I929" s="399">
        <f t="shared" si="19"/>
        <v>0.19</v>
      </c>
      <c r="J929" s="404"/>
      <c r="K929" s="1234"/>
      <c r="L929" s="431"/>
      <c r="M929" s="431"/>
      <c r="N929" s="431"/>
    </row>
    <row r="930" spans="1:14" s="398" customFormat="1" hidden="1" outlineLevel="1">
      <c r="A930" s="1232"/>
      <c r="B930" s="311" t="s">
        <v>825</v>
      </c>
      <c r="C930" s="530" t="s">
        <v>167</v>
      </c>
      <c r="D930" s="400">
        <v>1</v>
      </c>
      <c r="E930" s="170">
        <v>1</v>
      </c>
      <c r="F930" s="401">
        <v>3</v>
      </c>
      <c r="G930" s="401">
        <f>0.9+0.15*2</f>
        <v>1.2</v>
      </c>
      <c r="H930" s="401">
        <v>0.15</v>
      </c>
      <c r="I930" s="399">
        <f t="shared" si="19"/>
        <v>0.54</v>
      </c>
      <c r="J930" s="404"/>
      <c r="K930" s="1234"/>
      <c r="L930" s="431"/>
      <c r="M930" s="431"/>
      <c r="N930" s="431"/>
    </row>
    <row r="931" spans="1:14" s="398" customFormat="1" hidden="1" outlineLevel="1">
      <c r="A931" s="1232"/>
      <c r="B931" s="311" t="s">
        <v>819</v>
      </c>
      <c r="C931" s="530" t="s">
        <v>167</v>
      </c>
      <c r="D931" s="400">
        <v>1</v>
      </c>
      <c r="E931" s="170">
        <v>1</v>
      </c>
      <c r="F931" s="401">
        <v>0.6</v>
      </c>
      <c r="G931" s="401">
        <f>0.345+0.15*2</f>
        <v>0.64500000000000002</v>
      </c>
      <c r="H931" s="401">
        <v>0.15</v>
      </c>
      <c r="I931" s="399">
        <f t="shared" si="19"/>
        <v>0.06</v>
      </c>
      <c r="J931" s="404"/>
      <c r="K931" s="1234"/>
      <c r="L931" s="431"/>
      <c r="M931" s="431"/>
      <c r="N931" s="431"/>
    </row>
    <row r="932" spans="1:14" s="398" customFormat="1" hidden="1" outlineLevel="1">
      <c r="A932" s="1232"/>
      <c r="B932" s="311"/>
      <c r="C932" s="530"/>
      <c r="D932" s="400"/>
      <c r="E932" s="170"/>
      <c r="F932" s="401"/>
      <c r="G932" s="401"/>
      <c r="H932" s="401"/>
      <c r="I932" s="399" t="str">
        <f t="shared" si="19"/>
        <v/>
      </c>
      <c r="J932" s="404"/>
      <c r="K932" s="1234"/>
      <c r="L932" s="431"/>
      <c r="M932" s="431"/>
      <c r="N932" s="431"/>
    </row>
    <row r="933" spans="1:14" s="398" customFormat="1" ht="34.5" hidden="1" outlineLevel="1">
      <c r="A933" s="1232"/>
      <c r="B933" s="311" t="s">
        <v>820</v>
      </c>
      <c r="C933" s="530" t="s">
        <v>167</v>
      </c>
      <c r="D933" s="389">
        <v>1</v>
      </c>
      <c r="E933" s="397">
        <v>1</v>
      </c>
      <c r="F933" s="401">
        <v>6</v>
      </c>
      <c r="G933" s="401">
        <f>2-0.46</f>
        <v>1.54</v>
      </c>
      <c r="H933" s="401">
        <v>7.4999999999999997E-2</v>
      </c>
      <c r="I933" s="399">
        <f t="shared" si="19"/>
        <v>0.69</v>
      </c>
      <c r="J933" s="404"/>
      <c r="K933" s="1234"/>
      <c r="L933" s="431"/>
      <c r="M933" s="431"/>
      <c r="N933" s="431"/>
    </row>
    <row r="934" spans="1:14" s="398" customFormat="1" hidden="1" outlineLevel="1">
      <c r="A934" s="1232"/>
      <c r="B934" s="311"/>
      <c r="C934" s="530" t="s">
        <v>167</v>
      </c>
      <c r="D934" s="400">
        <v>1</v>
      </c>
      <c r="E934" s="402">
        <v>1</v>
      </c>
      <c r="F934" s="401">
        <v>3.2250000000000001</v>
      </c>
      <c r="G934" s="401">
        <v>3</v>
      </c>
      <c r="H934" s="401">
        <v>7.4999999999999997E-2</v>
      </c>
      <c r="I934" s="399">
        <f t="shared" si="19"/>
        <v>0.73</v>
      </c>
      <c r="J934" s="404"/>
      <c r="K934" s="1234"/>
      <c r="L934" s="431"/>
      <c r="M934" s="431"/>
      <c r="N934" s="431"/>
    </row>
    <row r="935" spans="1:14" s="398" customFormat="1" hidden="1" outlineLevel="1">
      <c r="A935" s="1232"/>
      <c r="B935" s="311"/>
      <c r="C935" s="530"/>
      <c r="D935" s="400"/>
      <c r="E935" s="170"/>
      <c r="F935" s="401"/>
      <c r="G935" s="401"/>
      <c r="H935" s="401"/>
      <c r="I935" s="399" t="str">
        <f t="shared" si="19"/>
        <v/>
      </c>
      <c r="J935" s="404"/>
      <c r="K935" s="1234"/>
      <c r="L935" s="431"/>
      <c r="M935" s="431"/>
      <c r="N935" s="431"/>
    </row>
    <row r="936" spans="1:14" s="398" customFormat="1" hidden="1" outlineLevel="1">
      <c r="A936" s="1232"/>
      <c r="B936" s="311" t="s">
        <v>830</v>
      </c>
      <c r="C936" s="530"/>
      <c r="D936" s="400"/>
      <c r="E936" s="170"/>
      <c r="F936" s="401"/>
      <c r="G936" s="401"/>
      <c r="H936" s="401"/>
      <c r="I936" s="399" t="str">
        <f t="shared" si="19"/>
        <v/>
      </c>
      <c r="J936" s="404"/>
      <c r="K936" s="1234"/>
      <c r="L936" s="431"/>
      <c r="M936" s="431"/>
      <c r="N936" s="431"/>
    </row>
    <row r="937" spans="1:14" s="398" customFormat="1" hidden="1" outlineLevel="1">
      <c r="A937" s="1232"/>
      <c r="B937" s="311" t="s">
        <v>822</v>
      </c>
      <c r="C937" s="530" t="s">
        <v>167</v>
      </c>
      <c r="D937" s="400">
        <v>1</v>
      </c>
      <c r="E937" s="170">
        <v>1</v>
      </c>
      <c r="F937" s="401">
        <v>5.42</v>
      </c>
      <c r="G937" s="401">
        <f>1.42*3</f>
        <v>4.26</v>
      </c>
      <c r="H937" s="401">
        <v>7.4999999999999997E-2</v>
      </c>
      <c r="I937" s="399">
        <f t="shared" si="19"/>
        <v>1.73</v>
      </c>
      <c r="J937" s="404"/>
      <c r="K937" s="1234"/>
      <c r="L937" s="431"/>
      <c r="M937" s="431"/>
      <c r="N937" s="431"/>
    </row>
    <row r="938" spans="1:14" s="398" customFormat="1" hidden="1" outlineLevel="1">
      <c r="A938" s="1232"/>
      <c r="B938" s="311"/>
      <c r="C938" s="530"/>
      <c r="D938" s="400"/>
      <c r="E938" s="170"/>
      <c r="F938" s="401" t="s">
        <v>624</v>
      </c>
      <c r="G938" s="401"/>
      <c r="H938" s="401"/>
      <c r="I938" s="399" t="str">
        <f t="shared" si="19"/>
        <v/>
      </c>
      <c r="J938" s="404"/>
      <c r="K938" s="1234"/>
      <c r="L938" s="431"/>
      <c r="M938" s="431"/>
      <c r="N938" s="431"/>
    </row>
    <row r="939" spans="1:14" s="398" customFormat="1" hidden="1" outlineLevel="1">
      <c r="A939" s="1232"/>
      <c r="B939" s="311" t="s">
        <v>823</v>
      </c>
      <c r="C939" s="530" t="s">
        <v>167</v>
      </c>
      <c r="D939" s="400">
        <v>1</v>
      </c>
      <c r="E939" s="170">
        <v>1</v>
      </c>
      <c r="F939" s="401">
        <v>16</v>
      </c>
      <c r="G939" s="401"/>
      <c r="H939" s="401">
        <v>7.4999999999999997E-2</v>
      </c>
      <c r="I939" s="399">
        <f t="shared" si="19"/>
        <v>1.2</v>
      </c>
      <c r="J939" s="404"/>
      <c r="K939" s="1234" t="s">
        <v>624</v>
      </c>
      <c r="L939" s="431"/>
      <c r="M939" s="431"/>
      <c r="N939" s="431"/>
    </row>
    <row r="940" spans="1:14" s="398" customFormat="1" hidden="1" outlineLevel="1">
      <c r="A940" s="1232"/>
      <c r="B940" s="311"/>
      <c r="C940" s="530"/>
      <c r="D940" s="400"/>
      <c r="E940" s="170"/>
      <c r="F940" s="401"/>
      <c r="G940" s="401"/>
      <c r="H940" s="401"/>
      <c r="I940" s="399" t="str">
        <f t="shared" si="19"/>
        <v/>
      </c>
      <c r="J940" s="404"/>
      <c r="K940" s="1234"/>
      <c r="L940" s="431"/>
      <c r="M940" s="431"/>
      <c r="N940" s="431"/>
    </row>
    <row r="941" spans="1:14" s="398" customFormat="1" ht="34.5" hidden="1" outlineLevel="1">
      <c r="A941" s="1232"/>
      <c r="B941" s="593" t="s">
        <v>831</v>
      </c>
      <c r="C941" s="530"/>
      <c r="D941" s="400"/>
      <c r="E941" s="170"/>
      <c r="F941" s="401"/>
      <c r="G941" s="401"/>
      <c r="H941" s="401"/>
      <c r="I941" s="399" t="str">
        <f t="shared" si="19"/>
        <v/>
      </c>
      <c r="J941" s="404"/>
      <c r="K941" s="1234"/>
      <c r="L941" s="431"/>
      <c r="M941" s="431"/>
      <c r="N941" s="431"/>
    </row>
    <row r="942" spans="1:14" s="322" customFormat="1" hidden="1" outlineLevel="1">
      <c r="A942" s="1235"/>
      <c r="B942" s="356"/>
      <c r="C942" s="530"/>
      <c r="D942" s="389"/>
      <c r="E942" s="386"/>
      <c r="F942" s="1353"/>
      <c r="G942" s="1353"/>
      <c r="H942" s="1353"/>
      <c r="I942" s="399" t="str">
        <f t="shared" si="19"/>
        <v/>
      </c>
      <c r="J942" s="396"/>
      <c r="K942" s="1236"/>
    </row>
    <row r="943" spans="1:14" s="322" customFormat="1" hidden="1" outlineLevel="1">
      <c r="A943" s="1235"/>
      <c r="B943" s="356"/>
      <c r="C943" s="530" t="s">
        <v>167</v>
      </c>
      <c r="D943" s="389">
        <v>1</v>
      </c>
      <c r="E943" s="386">
        <v>1</v>
      </c>
      <c r="F943" s="1353">
        <v>7.625</v>
      </c>
      <c r="G943" s="1353">
        <f>0.46+0.15+0.15</f>
        <v>0.76</v>
      </c>
      <c r="H943" s="1353">
        <v>0.15</v>
      </c>
      <c r="I943" s="399">
        <f t="shared" si="19"/>
        <v>0.87</v>
      </c>
      <c r="J943" s="396"/>
      <c r="K943" s="1236"/>
    </row>
    <row r="944" spans="1:14" s="322" customFormat="1" hidden="1" outlineLevel="1">
      <c r="A944" s="1235"/>
      <c r="B944" s="356"/>
      <c r="C944" s="530" t="s">
        <v>167</v>
      </c>
      <c r="D944" s="389">
        <v>1</v>
      </c>
      <c r="E944" s="386">
        <v>1</v>
      </c>
      <c r="F944" s="1353">
        <v>1.1000000000000001</v>
      </c>
      <c r="G944" s="1353">
        <f>0.46+0.15+0.15</f>
        <v>0.76</v>
      </c>
      <c r="H944" s="1353">
        <v>0.15</v>
      </c>
      <c r="I944" s="399">
        <f t="shared" si="19"/>
        <v>0.13</v>
      </c>
      <c r="J944" s="396"/>
      <c r="K944" s="1236"/>
    </row>
    <row r="945" spans="1:14" s="398" customFormat="1" ht="51.75" hidden="1" outlineLevel="1">
      <c r="A945" s="1232"/>
      <c r="B945" s="593" t="s">
        <v>832</v>
      </c>
      <c r="C945" s="530"/>
      <c r="D945" s="400"/>
      <c r="E945" s="170"/>
      <c r="F945" s="401"/>
      <c r="G945" s="401"/>
      <c r="H945" s="401"/>
      <c r="I945" s="399" t="str">
        <f t="shared" si="19"/>
        <v/>
      </c>
      <c r="J945" s="404"/>
      <c r="K945" s="1234"/>
      <c r="L945" s="431"/>
      <c r="M945" s="431"/>
      <c r="N945" s="431"/>
    </row>
    <row r="946" spans="1:14" s="322" customFormat="1" hidden="1" outlineLevel="1">
      <c r="A946" s="1235"/>
      <c r="B946" s="356"/>
      <c r="C946" s="530"/>
      <c r="D946" s="389"/>
      <c r="E946" s="386"/>
      <c r="F946" s="1353"/>
      <c r="G946" s="1353"/>
      <c r="H946" s="1353"/>
      <c r="I946" s="399" t="str">
        <f t="shared" si="19"/>
        <v/>
      </c>
      <c r="J946" s="396"/>
      <c r="K946" s="1236"/>
    </row>
    <row r="947" spans="1:14" s="322" customFormat="1" hidden="1" outlineLevel="1">
      <c r="A947" s="1235"/>
      <c r="B947" s="356"/>
      <c r="C947" s="530" t="s">
        <v>167</v>
      </c>
      <c r="D947" s="389">
        <v>1</v>
      </c>
      <c r="E947" s="386">
        <v>1</v>
      </c>
      <c r="F947" s="1353">
        <v>7.625</v>
      </c>
      <c r="G947" s="1353">
        <f>0.46+0.15+0.15</f>
        <v>0.76</v>
      </c>
      <c r="H947" s="1353">
        <v>0.15</v>
      </c>
      <c r="I947" s="399">
        <f t="shared" si="19"/>
        <v>0.87</v>
      </c>
      <c r="J947" s="396"/>
      <c r="K947" s="1236"/>
    </row>
    <row r="948" spans="1:14" s="322" customFormat="1" hidden="1" outlineLevel="1">
      <c r="A948" s="1235"/>
      <c r="B948" s="356"/>
      <c r="C948" s="530" t="s">
        <v>167</v>
      </c>
      <c r="D948" s="389">
        <v>1</v>
      </c>
      <c r="E948" s="386">
        <v>1</v>
      </c>
      <c r="F948" s="1353">
        <v>7.125</v>
      </c>
      <c r="G948" s="1353">
        <f>0.46+0.15+0.15</f>
        <v>0.76</v>
      </c>
      <c r="H948" s="1353">
        <v>0.15</v>
      </c>
      <c r="I948" s="399">
        <f t="shared" si="19"/>
        <v>0.81</v>
      </c>
      <c r="J948" s="396"/>
      <c r="K948" s="1236"/>
    </row>
    <row r="949" spans="1:14" s="322" customFormat="1" hidden="1" outlineLevel="1">
      <c r="A949" s="1235"/>
      <c r="B949" s="356"/>
      <c r="C949" s="530"/>
      <c r="D949" s="389"/>
      <c r="E949" s="386"/>
      <c r="F949" s="1353"/>
      <c r="G949" s="1353"/>
      <c r="H949" s="1353"/>
      <c r="I949" s="399" t="str">
        <f t="shared" si="19"/>
        <v/>
      </c>
      <c r="J949" s="396"/>
      <c r="K949" s="1236"/>
    </row>
    <row r="950" spans="1:14" s="398" customFormat="1" ht="34.5" hidden="1" outlineLevel="1">
      <c r="A950" s="1232"/>
      <c r="B950" s="592" t="s">
        <v>833</v>
      </c>
      <c r="C950" s="530"/>
      <c r="D950" s="400"/>
      <c r="E950" s="170"/>
      <c r="F950" s="401"/>
      <c r="G950" s="401"/>
      <c r="H950" s="401"/>
      <c r="I950" s="399" t="str">
        <f t="shared" si="19"/>
        <v/>
      </c>
      <c r="J950" s="404"/>
      <c r="K950" s="1234"/>
      <c r="L950" s="431"/>
      <c r="M950" s="431"/>
      <c r="N950" s="431"/>
    </row>
    <row r="951" spans="1:14" s="398" customFormat="1" ht="51.75" hidden="1" outlineLevel="1">
      <c r="A951" s="1232"/>
      <c r="B951" s="311" t="s">
        <v>834</v>
      </c>
      <c r="C951" s="530"/>
      <c r="D951" s="400"/>
      <c r="E951" s="170"/>
      <c r="F951" s="401"/>
      <c r="G951" s="401"/>
      <c r="H951" s="401"/>
      <c r="I951" s="399" t="str">
        <f t="shared" si="19"/>
        <v/>
      </c>
      <c r="J951" s="404"/>
      <c r="K951" s="1234"/>
      <c r="L951" s="431"/>
      <c r="M951" s="431"/>
      <c r="N951" s="431"/>
    </row>
    <row r="952" spans="1:14" s="398" customFormat="1" hidden="1" outlineLevel="1">
      <c r="A952" s="1232"/>
      <c r="B952" s="311" t="s">
        <v>835</v>
      </c>
      <c r="C952" s="530" t="s">
        <v>167</v>
      </c>
      <c r="D952" s="389">
        <v>1</v>
      </c>
      <c r="E952" s="386">
        <v>7</v>
      </c>
      <c r="F952" s="1354">
        <v>3.5259999999999998</v>
      </c>
      <c r="G952" s="1353">
        <f>0.46+0.15+0.15</f>
        <v>0.76</v>
      </c>
      <c r="H952" s="1353">
        <v>0.15</v>
      </c>
      <c r="I952" s="399">
        <f t="shared" si="19"/>
        <v>2.81</v>
      </c>
      <c r="J952" s="404"/>
      <c r="K952" s="1234"/>
      <c r="L952" s="431"/>
      <c r="M952" s="431"/>
      <c r="N952" s="431"/>
    </row>
    <row r="953" spans="1:14" s="398" customFormat="1" hidden="1" outlineLevel="1">
      <c r="A953" s="1232"/>
      <c r="B953" s="311"/>
      <c r="C953" s="530"/>
      <c r="D953" s="400"/>
      <c r="E953" s="170"/>
      <c r="F953" s="401"/>
      <c r="G953" s="401"/>
      <c r="H953" s="401"/>
      <c r="I953" s="399" t="str">
        <f t="shared" si="19"/>
        <v/>
      </c>
      <c r="J953" s="404"/>
      <c r="K953" s="1234"/>
      <c r="L953" s="431"/>
      <c r="M953" s="431"/>
      <c r="N953" s="431"/>
    </row>
    <row r="954" spans="1:14" s="398" customFormat="1" ht="34.5" hidden="1" outlineLevel="1">
      <c r="A954" s="1232"/>
      <c r="B954" s="311" t="s">
        <v>836</v>
      </c>
      <c r="C954" s="530"/>
      <c r="D954" s="400"/>
      <c r="E954" s="170"/>
      <c r="F954" s="401"/>
      <c r="G954" s="401"/>
      <c r="H954" s="401"/>
      <c r="I954" s="399" t="str">
        <f t="shared" si="19"/>
        <v/>
      </c>
      <c r="J954" s="404"/>
      <c r="K954" s="1234"/>
      <c r="L954" s="431"/>
      <c r="M954" s="431"/>
      <c r="N954" s="431"/>
    </row>
    <row r="955" spans="1:14" s="398" customFormat="1" hidden="1" outlineLevel="1">
      <c r="A955" s="1232"/>
      <c r="B955" s="311" t="s">
        <v>835</v>
      </c>
      <c r="C955" s="530" t="s">
        <v>167</v>
      </c>
      <c r="D955" s="389">
        <v>1</v>
      </c>
      <c r="E955" s="386">
        <v>8</v>
      </c>
      <c r="F955" s="1354">
        <v>3.5259999999999998</v>
      </c>
      <c r="G955" s="1353">
        <f>0.46+0.15+0.15</f>
        <v>0.76</v>
      </c>
      <c r="H955" s="1353">
        <v>0.15</v>
      </c>
      <c r="I955" s="399">
        <f t="shared" si="19"/>
        <v>3.22</v>
      </c>
      <c r="J955" s="404"/>
      <c r="K955" s="1234"/>
      <c r="L955" s="431"/>
      <c r="M955" s="431"/>
      <c r="N955" s="431"/>
    </row>
    <row r="956" spans="1:14" s="398" customFormat="1" hidden="1" outlineLevel="1">
      <c r="A956" s="1232"/>
      <c r="B956" s="311"/>
      <c r="C956" s="530"/>
      <c r="D956" s="400"/>
      <c r="E956" s="170"/>
      <c r="F956" s="401"/>
      <c r="G956" s="401"/>
      <c r="H956" s="401"/>
      <c r="I956" s="399" t="str">
        <f t="shared" si="19"/>
        <v/>
      </c>
      <c r="J956" s="404"/>
      <c r="K956" s="1234"/>
      <c r="L956" s="431"/>
      <c r="M956" s="431"/>
      <c r="N956" s="431"/>
    </row>
    <row r="957" spans="1:14" s="398" customFormat="1" ht="34.5" hidden="1" outlineLevel="1">
      <c r="A957" s="1232"/>
      <c r="B957" s="311" t="s">
        <v>837</v>
      </c>
      <c r="C957" s="530"/>
      <c r="D957" s="400"/>
      <c r="E957" s="170"/>
      <c r="F957" s="401"/>
      <c r="G957" s="401"/>
      <c r="H957" s="401"/>
      <c r="I957" s="399" t="str">
        <f t="shared" si="19"/>
        <v/>
      </c>
      <c r="J957" s="404"/>
      <c r="K957" s="1234"/>
      <c r="L957" s="431"/>
      <c r="M957" s="431"/>
      <c r="N957" s="431"/>
    </row>
    <row r="958" spans="1:14" s="398" customFormat="1" hidden="1" outlineLevel="1">
      <c r="A958" s="1232"/>
      <c r="B958" s="311" t="s">
        <v>835</v>
      </c>
      <c r="C958" s="530" t="s">
        <v>167</v>
      </c>
      <c r="D958" s="389">
        <v>1</v>
      </c>
      <c r="E958" s="386">
        <v>6</v>
      </c>
      <c r="F958" s="1354">
        <v>3.5259999999999998</v>
      </c>
      <c r="G958" s="1353">
        <f>0.46+0.15+0.15</f>
        <v>0.76</v>
      </c>
      <c r="H958" s="1353">
        <v>0.15</v>
      </c>
      <c r="I958" s="399">
        <f t="shared" si="19"/>
        <v>2.41</v>
      </c>
      <c r="J958" s="404"/>
      <c r="K958" s="1234"/>
      <c r="L958" s="431"/>
      <c r="M958" s="431"/>
      <c r="N958" s="431"/>
    </row>
    <row r="959" spans="1:14" s="398" customFormat="1" hidden="1" outlineLevel="1">
      <c r="A959" s="1232"/>
      <c r="B959" s="311"/>
      <c r="C959" s="530"/>
      <c r="D959" s="400"/>
      <c r="E959" s="170"/>
      <c r="F959" s="401"/>
      <c r="G959" s="401"/>
      <c r="H959" s="401"/>
      <c r="I959" s="399" t="str">
        <f t="shared" si="19"/>
        <v/>
      </c>
      <c r="J959" s="404"/>
      <c r="K959" s="1234"/>
      <c r="L959" s="431"/>
      <c r="M959" s="431"/>
      <c r="N959" s="431"/>
    </row>
    <row r="960" spans="1:14" s="398" customFormat="1" ht="34.5" hidden="1" outlineLevel="1">
      <c r="A960" s="1232"/>
      <c r="B960" s="311" t="s">
        <v>838</v>
      </c>
      <c r="C960" s="530"/>
      <c r="D960" s="389"/>
      <c r="E960" s="386"/>
      <c r="F960" s="1353"/>
      <c r="G960" s="1353"/>
      <c r="H960" s="1353"/>
      <c r="I960" s="399" t="str">
        <f t="shared" si="19"/>
        <v/>
      </c>
      <c r="J960" s="404"/>
      <c r="K960" s="1234"/>
      <c r="L960" s="431"/>
      <c r="M960" s="431"/>
      <c r="N960" s="431"/>
    </row>
    <row r="961" spans="1:14" s="398" customFormat="1" hidden="1" outlineLevel="1">
      <c r="A961" s="1232"/>
      <c r="B961" s="311" t="s">
        <v>839</v>
      </c>
      <c r="C961" s="165" t="s">
        <v>2</v>
      </c>
      <c r="D961" s="392">
        <v>1</v>
      </c>
      <c r="E961" s="165">
        <v>1</v>
      </c>
      <c r="F961" s="1353">
        <v>24.945</v>
      </c>
      <c r="G961" s="401">
        <f t="shared" ref="G961:G989" si="20">0.46+0.15+0.15</f>
        <v>0.76</v>
      </c>
      <c r="H961" s="1353">
        <v>0.15</v>
      </c>
      <c r="I961" s="399">
        <f t="shared" si="19"/>
        <v>2.84</v>
      </c>
      <c r="J961" s="404"/>
      <c r="K961" s="1234"/>
      <c r="L961" s="431"/>
      <c r="M961" s="431"/>
      <c r="N961" s="431"/>
    </row>
    <row r="962" spans="1:14" s="398" customFormat="1" hidden="1" outlineLevel="1">
      <c r="A962" s="1232"/>
      <c r="B962" s="311"/>
      <c r="C962" s="165" t="s">
        <v>2</v>
      </c>
      <c r="D962" s="392">
        <v>1</v>
      </c>
      <c r="E962" s="165">
        <v>1</v>
      </c>
      <c r="F962" s="1354">
        <v>13.605</v>
      </c>
      <c r="G962" s="401">
        <f t="shared" si="20"/>
        <v>0.76</v>
      </c>
      <c r="H962" s="1353">
        <v>0.15</v>
      </c>
      <c r="I962" s="399">
        <f t="shared" si="19"/>
        <v>1.55</v>
      </c>
      <c r="J962" s="404"/>
      <c r="K962" s="1234"/>
      <c r="L962" s="431"/>
      <c r="M962" s="431"/>
      <c r="N962" s="431"/>
    </row>
    <row r="963" spans="1:14" s="398" customFormat="1" hidden="1" outlineLevel="1">
      <c r="A963" s="1232"/>
      <c r="B963" s="311"/>
      <c r="C963" s="165" t="s">
        <v>2</v>
      </c>
      <c r="D963" s="392">
        <v>1</v>
      </c>
      <c r="E963" s="165">
        <v>1</v>
      </c>
      <c r="F963" s="1353">
        <v>4.343</v>
      </c>
      <c r="G963" s="401">
        <f t="shared" si="20"/>
        <v>0.76</v>
      </c>
      <c r="H963" s="1353">
        <v>0.15</v>
      </c>
      <c r="I963" s="399">
        <f t="shared" si="19"/>
        <v>0.5</v>
      </c>
      <c r="J963" s="404"/>
      <c r="K963" s="1234"/>
      <c r="L963" s="431"/>
      <c r="M963" s="431"/>
      <c r="N963" s="431"/>
    </row>
    <row r="964" spans="1:14" s="398" customFormat="1" hidden="1" outlineLevel="1">
      <c r="A964" s="1232"/>
      <c r="B964" s="311"/>
      <c r="C964" s="165" t="s">
        <v>2</v>
      </c>
      <c r="D964" s="392">
        <v>1</v>
      </c>
      <c r="E964" s="165">
        <v>1</v>
      </c>
      <c r="F964" s="1353">
        <v>4.7480000000000002</v>
      </c>
      <c r="G964" s="401">
        <f t="shared" si="20"/>
        <v>0.76</v>
      </c>
      <c r="H964" s="1353">
        <v>0.15</v>
      </c>
      <c r="I964" s="399">
        <f t="shared" si="19"/>
        <v>0.54</v>
      </c>
      <c r="J964" s="404"/>
      <c r="K964" s="1234"/>
      <c r="L964" s="431"/>
      <c r="M964" s="431"/>
      <c r="N964" s="431"/>
    </row>
    <row r="965" spans="1:14" s="398" customFormat="1" hidden="1" outlineLevel="1">
      <c r="A965" s="1232"/>
      <c r="B965" s="311"/>
      <c r="C965" s="165" t="s">
        <v>2</v>
      </c>
      <c r="D965" s="392">
        <v>1</v>
      </c>
      <c r="E965" s="165">
        <v>1</v>
      </c>
      <c r="F965" s="1353">
        <f>(0.374)</f>
        <v>0.374</v>
      </c>
      <c r="G965" s="401">
        <f t="shared" si="20"/>
        <v>0.76</v>
      </c>
      <c r="H965" s="1353">
        <v>0.15</v>
      </c>
      <c r="I965" s="399">
        <f t="shared" si="19"/>
        <v>0.04</v>
      </c>
      <c r="J965" s="404"/>
      <c r="K965" s="1234"/>
      <c r="L965" s="431"/>
      <c r="M965" s="431"/>
      <c r="N965" s="431"/>
    </row>
    <row r="966" spans="1:14" s="398" customFormat="1" ht="34.5" hidden="1" outlineLevel="1">
      <c r="A966" s="1232"/>
      <c r="B966" s="311" t="s">
        <v>840</v>
      </c>
      <c r="C966" s="165" t="s">
        <v>2</v>
      </c>
      <c r="D966" s="392">
        <v>1</v>
      </c>
      <c r="E966" s="165">
        <v>1</v>
      </c>
      <c r="F966" s="1353">
        <v>1.359</v>
      </c>
      <c r="G966" s="401">
        <f t="shared" si="20"/>
        <v>0.76</v>
      </c>
      <c r="H966" s="1353">
        <v>0.15</v>
      </c>
      <c r="I966" s="399">
        <f t="shared" si="19"/>
        <v>0.15</v>
      </c>
      <c r="J966" s="404"/>
      <c r="K966" s="1234"/>
      <c r="L966" s="431"/>
      <c r="M966" s="431"/>
      <c r="N966" s="431"/>
    </row>
    <row r="967" spans="1:14" s="398" customFormat="1" hidden="1" outlineLevel="1">
      <c r="A967" s="1232"/>
      <c r="B967" s="311"/>
      <c r="C967" s="165" t="s">
        <v>2</v>
      </c>
      <c r="D967" s="392">
        <v>1</v>
      </c>
      <c r="E967" s="165">
        <v>1</v>
      </c>
      <c r="F967" s="1353">
        <v>26.228999999999999</v>
      </c>
      <c r="G967" s="401">
        <f t="shared" si="20"/>
        <v>0.76</v>
      </c>
      <c r="H967" s="1353">
        <v>0.15</v>
      </c>
      <c r="I967" s="399">
        <f t="shared" si="19"/>
        <v>2.99</v>
      </c>
      <c r="J967" s="404"/>
      <c r="K967" s="1234"/>
      <c r="L967" s="431"/>
      <c r="M967" s="431"/>
      <c r="N967" s="431"/>
    </row>
    <row r="968" spans="1:14" s="398" customFormat="1" hidden="1" outlineLevel="1">
      <c r="A968" s="1232"/>
      <c r="B968" s="311" t="s">
        <v>841</v>
      </c>
      <c r="C968" s="165" t="s">
        <v>2</v>
      </c>
      <c r="D968" s="392">
        <v>1</v>
      </c>
      <c r="E968" s="165">
        <v>1</v>
      </c>
      <c r="F968" s="1353">
        <v>10.507999999999999</v>
      </c>
      <c r="G968" s="401">
        <f t="shared" si="20"/>
        <v>0.76</v>
      </c>
      <c r="H968" s="1353">
        <v>0.15</v>
      </c>
      <c r="I968" s="399">
        <f t="shared" ref="I968:I1031" si="21">IF(D968&lt;&gt;0,ROUND(PRODUCT(E968:H968)*D968,2),"")</f>
        <v>1.2</v>
      </c>
      <c r="J968" s="404"/>
      <c r="K968" s="1234"/>
      <c r="L968" s="431"/>
      <c r="M968" s="431"/>
      <c r="N968" s="431"/>
    </row>
    <row r="969" spans="1:14" s="398" customFormat="1" hidden="1" outlineLevel="1">
      <c r="A969" s="1232"/>
      <c r="B969" s="311"/>
      <c r="C969" s="165" t="s">
        <v>2</v>
      </c>
      <c r="D969" s="392">
        <v>1</v>
      </c>
      <c r="E969" s="165">
        <v>1</v>
      </c>
      <c r="F969" s="1354">
        <v>1.6080000000000001</v>
      </c>
      <c r="G969" s="401">
        <f t="shared" si="20"/>
        <v>0.76</v>
      </c>
      <c r="H969" s="1353">
        <v>0.15</v>
      </c>
      <c r="I969" s="399">
        <f t="shared" si="21"/>
        <v>0.18</v>
      </c>
      <c r="J969" s="404"/>
      <c r="K969" s="1234"/>
      <c r="L969" s="431"/>
      <c r="M969" s="431"/>
      <c r="N969" s="431"/>
    </row>
    <row r="970" spans="1:14" s="398" customFormat="1" hidden="1" outlineLevel="1">
      <c r="A970" s="1232"/>
      <c r="B970" s="311"/>
      <c r="C970" s="165" t="s">
        <v>2</v>
      </c>
      <c r="D970" s="392">
        <v>1</v>
      </c>
      <c r="E970" s="165">
        <v>1</v>
      </c>
      <c r="F970" s="1354">
        <v>2.0590000000000002</v>
      </c>
      <c r="G970" s="401">
        <f t="shared" si="20"/>
        <v>0.76</v>
      </c>
      <c r="H970" s="1353">
        <v>0.15</v>
      </c>
      <c r="I970" s="399">
        <f t="shared" si="21"/>
        <v>0.23</v>
      </c>
      <c r="J970" s="404"/>
      <c r="K970" s="1234"/>
      <c r="L970" s="431"/>
      <c r="M970" s="431"/>
      <c r="N970" s="431"/>
    </row>
    <row r="971" spans="1:14" s="398" customFormat="1" hidden="1" outlineLevel="1">
      <c r="A971" s="1232"/>
      <c r="B971" s="311"/>
      <c r="C971" s="165" t="s">
        <v>2</v>
      </c>
      <c r="D971" s="392">
        <v>1</v>
      </c>
      <c r="E971" s="165">
        <v>1</v>
      </c>
      <c r="F971" s="1354">
        <v>2.9380000000000002</v>
      </c>
      <c r="G971" s="401">
        <f t="shared" si="20"/>
        <v>0.76</v>
      </c>
      <c r="H971" s="1353">
        <v>0.15</v>
      </c>
      <c r="I971" s="399">
        <f t="shared" si="21"/>
        <v>0.33</v>
      </c>
      <c r="J971" s="404"/>
      <c r="K971" s="1234"/>
      <c r="L971" s="431"/>
      <c r="M971" s="431"/>
      <c r="N971" s="431"/>
    </row>
    <row r="972" spans="1:14" s="398" customFormat="1" hidden="1" outlineLevel="1">
      <c r="A972" s="1232"/>
      <c r="B972" s="311"/>
      <c r="C972" s="165" t="s">
        <v>2</v>
      </c>
      <c r="D972" s="392">
        <v>1</v>
      </c>
      <c r="E972" s="165">
        <v>1</v>
      </c>
      <c r="F972" s="1354">
        <v>7.7949999999999999</v>
      </c>
      <c r="G972" s="401">
        <f t="shared" si="20"/>
        <v>0.76</v>
      </c>
      <c r="H972" s="1353">
        <v>0.15</v>
      </c>
      <c r="I972" s="399">
        <f t="shared" si="21"/>
        <v>0.89</v>
      </c>
      <c r="J972" s="404"/>
      <c r="K972" s="1234"/>
      <c r="L972" s="431"/>
      <c r="M972" s="431"/>
      <c r="N972" s="431"/>
    </row>
    <row r="973" spans="1:14" s="398" customFormat="1" hidden="1" outlineLevel="1">
      <c r="A973" s="1232"/>
      <c r="B973" s="311"/>
      <c r="C973" s="165" t="s">
        <v>2</v>
      </c>
      <c r="D973" s="392">
        <v>1</v>
      </c>
      <c r="E973" s="165">
        <v>1</v>
      </c>
      <c r="F973" s="1354">
        <v>2.0630000000000002</v>
      </c>
      <c r="G973" s="401">
        <f t="shared" si="20"/>
        <v>0.76</v>
      </c>
      <c r="H973" s="1353">
        <v>0.15</v>
      </c>
      <c r="I973" s="399">
        <f t="shared" si="21"/>
        <v>0.24</v>
      </c>
      <c r="J973" s="404"/>
      <c r="K973" s="1234"/>
      <c r="L973" s="431"/>
      <c r="M973" s="431"/>
      <c r="N973" s="431"/>
    </row>
    <row r="974" spans="1:14" s="398" customFormat="1" hidden="1" outlineLevel="1">
      <c r="A974" s="1232"/>
      <c r="B974" s="311"/>
      <c r="C974" s="165" t="s">
        <v>2</v>
      </c>
      <c r="D974" s="392">
        <v>1</v>
      </c>
      <c r="E974" s="165">
        <v>1</v>
      </c>
      <c r="F974" s="1354">
        <v>1.079</v>
      </c>
      <c r="G974" s="401">
        <f t="shared" si="20"/>
        <v>0.76</v>
      </c>
      <c r="H974" s="1353">
        <v>0.15</v>
      </c>
      <c r="I974" s="399">
        <f t="shared" si="21"/>
        <v>0.12</v>
      </c>
      <c r="J974" s="404"/>
      <c r="K974" s="1234"/>
      <c r="L974" s="431"/>
      <c r="M974" s="431"/>
      <c r="N974" s="431"/>
    </row>
    <row r="975" spans="1:14" s="398" customFormat="1" hidden="1" outlineLevel="1">
      <c r="A975" s="1232"/>
      <c r="B975" s="311"/>
      <c r="C975" s="165" t="s">
        <v>2</v>
      </c>
      <c r="D975" s="392">
        <v>1</v>
      </c>
      <c r="E975" s="165">
        <v>1</v>
      </c>
      <c r="F975" s="1354">
        <v>3.2730000000000001</v>
      </c>
      <c r="G975" s="401">
        <f t="shared" si="20"/>
        <v>0.76</v>
      </c>
      <c r="H975" s="1353">
        <v>0.15</v>
      </c>
      <c r="I975" s="399">
        <f t="shared" si="21"/>
        <v>0.37</v>
      </c>
      <c r="J975" s="404"/>
      <c r="K975" s="1234"/>
      <c r="L975" s="431"/>
      <c r="M975" s="431"/>
      <c r="N975" s="431"/>
    </row>
    <row r="976" spans="1:14" s="398" customFormat="1" hidden="1" outlineLevel="1">
      <c r="A976" s="1232"/>
      <c r="B976" s="311"/>
      <c r="C976" s="165" t="s">
        <v>2</v>
      </c>
      <c r="D976" s="392">
        <v>1</v>
      </c>
      <c r="E976" s="165">
        <v>1</v>
      </c>
      <c r="F976" s="1354">
        <v>5.0839999999999996</v>
      </c>
      <c r="G976" s="401">
        <f t="shared" si="20"/>
        <v>0.76</v>
      </c>
      <c r="H976" s="1353">
        <v>0.15</v>
      </c>
      <c r="I976" s="399">
        <f t="shared" si="21"/>
        <v>0.57999999999999996</v>
      </c>
      <c r="J976" s="404"/>
      <c r="K976" s="1234"/>
      <c r="L976" s="431"/>
      <c r="M976" s="431"/>
      <c r="N976" s="431"/>
    </row>
    <row r="977" spans="1:14" s="398" customFormat="1" ht="51.75" hidden="1" outlineLevel="1">
      <c r="A977" s="1232"/>
      <c r="B977" s="592" t="s">
        <v>842</v>
      </c>
      <c r="C977" s="345" t="s">
        <v>2</v>
      </c>
      <c r="D977" s="638">
        <f t="shared" ref="D977:D980" si="22">1*0</f>
        <v>0</v>
      </c>
      <c r="E977" s="345">
        <v>1</v>
      </c>
      <c r="F977" s="1355">
        <v>1.3979999999999999</v>
      </c>
      <c r="G977" s="1356">
        <f t="shared" si="20"/>
        <v>0.76</v>
      </c>
      <c r="H977" s="1355">
        <v>0.15</v>
      </c>
      <c r="I977" s="399" t="str">
        <f t="shared" si="21"/>
        <v/>
      </c>
      <c r="J977" s="404"/>
      <c r="K977" s="1234"/>
      <c r="L977" s="431"/>
      <c r="M977" s="431"/>
      <c r="N977" s="431"/>
    </row>
    <row r="978" spans="1:14" s="398" customFormat="1" hidden="1" outlineLevel="1">
      <c r="A978" s="1232"/>
      <c r="B978" s="311"/>
      <c r="C978" s="345" t="s">
        <v>2</v>
      </c>
      <c r="D978" s="638">
        <f t="shared" si="22"/>
        <v>0</v>
      </c>
      <c r="E978" s="345">
        <v>1</v>
      </c>
      <c r="F978" s="1355">
        <v>6.1820000000000004</v>
      </c>
      <c r="G978" s="1356">
        <f t="shared" si="20"/>
        <v>0.76</v>
      </c>
      <c r="H978" s="1355">
        <v>0.15</v>
      </c>
      <c r="I978" s="399" t="str">
        <f t="shared" si="21"/>
        <v/>
      </c>
      <c r="J978" s="404"/>
      <c r="K978" s="1234"/>
      <c r="L978" s="431"/>
      <c r="M978" s="431"/>
      <c r="N978" s="431"/>
    </row>
    <row r="979" spans="1:14" s="398" customFormat="1" hidden="1" outlineLevel="1">
      <c r="A979" s="1232"/>
      <c r="B979" s="311"/>
      <c r="C979" s="345" t="s">
        <v>2</v>
      </c>
      <c r="D979" s="638">
        <f t="shared" si="22"/>
        <v>0</v>
      </c>
      <c r="E979" s="345">
        <v>1</v>
      </c>
      <c r="F979" s="1355">
        <v>0.23</v>
      </c>
      <c r="G979" s="1356">
        <f t="shared" si="20"/>
        <v>0.76</v>
      </c>
      <c r="H979" s="1355">
        <v>0.15</v>
      </c>
      <c r="I979" s="399" t="str">
        <f t="shared" si="21"/>
        <v/>
      </c>
      <c r="J979" s="404"/>
      <c r="K979" s="1234"/>
      <c r="L979" s="431"/>
      <c r="M979" s="431"/>
      <c r="N979" s="431"/>
    </row>
    <row r="980" spans="1:14" s="398" customFormat="1" hidden="1" outlineLevel="1">
      <c r="A980" s="1232"/>
      <c r="B980" s="311"/>
      <c r="C980" s="345" t="s">
        <v>2</v>
      </c>
      <c r="D980" s="638">
        <f t="shared" si="22"/>
        <v>0</v>
      </c>
      <c r="E980" s="345">
        <v>1</v>
      </c>
      <c r="F980" s="1355">
        <v>8.6950000000000003</v>
      </c>
      <c r="G980" s="1356">
        <f t="shared" si="20"/>
        <v>0.76</v>
      </c>
      <c r="H980" s="1355">
        <v>0.15</v>
      </c>
      <c r="I980" s="399" t="str">
        <f t="shared" si="21"/>
        <v/>
      </c>
      <c r="J980" s="404"/>
      <c r="K980" s="1234"/>
      <c r="L980" s="431"/>
      <c r="M980" s="431"/>
      <c r="N980" s="431"/>
    </row>
    <row r="981" spans="1:14" s="398" customFormat="1" hidden="1" outlineLevel="1">
      <c r="A981" s="1232"/>
      <c r="B981" s="311"/>
      <c r="C981" s="165" t="s">
        <v>167</v>
      </c>
      <c r="D981" s="438">
        <v>1</v>
      </c>
      <c r="E981" s="333">
        <v>1</v>
      </c>
      <c r="F981" s="1354">
        <v>16.408999999999999</v>
      </c>
      <c r="G981" s="662">
        <v>0.76</v>
      </c>
      <c r="H981" s="1354">
        <v>0.15</v>
      </c>
      <c r="I981" s="399">
        <f t="shared" si="21"/>
        <v>1.87</v>
      </c>
      <c r="J981" s="404"/>
      <c r="K981" s="1234"/>
      <c r="L981" s="431"/>
      <c r="M981" s="431"/>
      <c r="N981" s="431"/>
    </row>
    <row r="982" spans="1:14" s="398" customFormat="1" ht="34.5" hidden="1" outlineLevel="1">
      <c r="A982" s="1232"/>
      <c r="B982" s="592" t="s">
        <v>843</v>
      </c>
      <c r="C982" s="345" t="s">
        <v>2</v>
      </c>
      <c r="D982" s="638">
        <f t="shared" ref="D982:D989" si="23">1*0</f>
        <v>0</v>
      </c>
      <c r="E982" s="345">
        <v>1</v>
      </c>
      <c r="F982" s="1355">
        <v>0.89800000000000002</v>
      </c>
      <c r="G982" s="1356">
        <f t="shared" si="20"/>
        <v>0.76</v>
      </c>
      <c r="H982" s="1355">
        <v>0.15</v>
      </c>
      <c r="I982" s="399" t="str">
        <f t="shared" si="21"/>
        <v/>
      </c>
      <c r="J982" s="404"/>
      <c r="K982" s="1234"/>
      <c r="L982" s="431"/>
      <c r="M982" s="431"/>
      <c r="N982" s="431"/>
    </row>
    <row r="983" spans="1:14" s="398" customFormat="1" hidden="1" outlineLevel="1">
      <c r="A983" s="1232"/>
      <c r="B983" s="311"/>
      <c r="C983" s="345" t="s">
        <v>2</v>
      </c>
      <c r="D983" s="638">
        <f t="shared" si="23"/>
        <v>0</v>
      </c>
      <c r="E983" s="345">
        <v>1</v>
      </c>
      <c r="F983" s="1355">
        <v>1.4970000000000001</v>
      </c>
      <c r="G983" s="1356">
        <f t="shared" si="20"/>
        <v>0.76</v>
      </c>
      <c r="H983" s="1355">
        <v>0.15</v>
      </c>
      <c r="I983" s="399" t="str">
        <f t="shared" si="21"/>
        <v/>
      </c>
      <c r="J983" s="404"/>
      <c r="K983" s="1234"/>
      <c r="L983" s="431"/>
      <c r="M983" s="431"/>
      <c r="N983" s="431"/>
    </row>
    <row r="984" spans="1:14" s="398" customFormat="1" hidden="1" outlineLevel="1">
      <c r="A984" s="1232"/>
      <c r="B984" s="311"/>
      <c r="C984" s="345" t="s">
        <v>2</v>
      </c>
      <c r="D984" s="638">
        <f t="shared" si="23"/>
        <v>0</v>
      </c>
      <c r="E984" s="345">
        <v>1</v>
      </c>
      <c r="F984" s="1355">
        <v>1.6020000000000001</v>
      </c>
      <c r="G984" s="1356">
        <f t="shared" si="20"/>
        <v>0.76</v>
      </c>
      <c r="H984" s="1355">
        <v>0.15</v>
      </c>
      <c r="I984" s="399" t="str">
        <f t="shared" si="21"/>
        <v/>
      </c>
      <c r="J984" s="404"/>
      <c r="K984" s="1234"/>
      <c r="L984" s="431"/>
      <c r="M984" s="431"/>
      <c r="N984" s="431"/>
    </row>
    <row r="985" spans="1:14" s="398" customFormat="1" hidden="1" outlineLevel="1">
      <c r="A985" s="1232"/>
      <c r="B985" s="311"/>
      <c r="C985" s="345" t="s">
        <v>2</v>
      </c>
      <c r="D985" s="638">
        <f t="shared" si="23"/>
        <v>0</v>
      </c>
      <c r="E985" s="345">
        <v>1</v>
      </c>
      <c r="F985" s="1355">
        <v>1.012</v>
      </c>
      <c r="G985" s="1356">
        <f t="shared" si="20"/>
        <v>0.76</v>
      </c>
      <c r="H985" s="1355">
        <v>0.15</v>
      </c>
      <c r="I985" s="399" t="str">
        <f t="shared" si="21"/>
        <v/>
      </c>
      <c r="J985" s="404"/>
      <c r="K985" s="1234"/>
      <c r="L985" s="431"/>
      <c r="M985" s="431"/>
      <c r="N985" s="431"/>
    </row>
    <row r="986" spans="1:14" s="398" customFormat="1" hidden="1" outlineLevel="1">
      <c r="A986" s="1232"/>
      <c r="B986" s="311"/>
      <c r="C986" s="345" t="s">
        <v>2</v>
      </c>
      <c r="D986" s="638">
        <f t="shared" si="23"/>
        <v>0</v>
      </c>
      <c r="E986" s="345">
        <v>1</v>
      </c>
      <c r="F986" s="1355">
        <v>4.1719999999999997</v>
      </c>
      <c r="G986" s="1356">
        <f t="shared" si="20"/>
        <v>0.76</v>
      </c>
      <c r="H986" s="1355">
        <v>0.15</v>
      </c>
      <c r="I986" s="399" t="str">
        <f t="shared" si="21"/>
        <v/>
      </c>
      <c r="J986" s="404"/>
      <c r="K986" s="1234"/>
      <c r="L986" s="431"/>
      <c r="M986" s="431"/>
      <c r="N986" s="431"/>
    </row>
    <row r="987" spans="1:14" s="398" customFormat="1" hidden="1" outlineLevel="1">
      <c r="A987" s="1232"/>
      <c r="B987" s="311"/>
      <c r="C987" s="345" t="s">
        <v>2</v>
      </c>
      <c r="D987" s="638">
        <f t="shared" si="23"/>
        <v>0</v>
      </c>
      <c r="E987" s="345">
        <v>1</v>
      </c>
      <c r="F987" s="1355">
        <v>10.42</v>
      </c>
      <c r="G987" s="1356">
        <f t="shared" si="20"/>
        <v>0.76</v>
      </c>
      <c r="H987" s="1355">
        <v>0.15</v>
      </c>
      <c r="I987" s="399" t="str">
        <f t="shared" si="21"/>
        <v/>
      </c>
      <c r="J987" s="404"/>
      <c r="K987" s="1234"/>
      <c r="L987" s="431"/>
      <c r="M987" s="431"/>
      <c r="N987" s="431"/>
    </row>
    <row r="988" spans="1:14" s="398" customFormat="1" hidden="1" outlineLevel="1">
      <c r="A988" s="1232"/>
      <c r="B988" s="311"/>
      <c r="C988" s="345" t="s">
        <v>2</v>
      </c>
      <c r="D988" s="638">
        <f t="shared" si="23"/>
        <v>0</v>
      </c>
      <c r="E988" s="345">
        <v>1</v>
      </c>
      <c r="F988" s="1355">
        <v>0.217</v>
      </c>
      <c r="G988" s="1356">
        <f t="shared" si="20"/>
        <v>0.76</v>
      </c>
      <c r="H988" s="1355">
        <v>0.15</v>
      </c>
      <c r="I988" s="399" t="str">
        <f t="shared" si="21"/>
        <v/>
      </c>
      <c r="J988" s="404"/>
      <c r="K988" s="1234"/>
      <c r="L988" s="431"/>
      <c r="M988" s="431"/>
      <c r="N988" s="431"/>
    </row>
    <row r="989" spans="1:14" s="398" customFormat="1" hidden="1" outlineLevel="1">
      <c r="A989" s="1232"/>
      <c r="B989" s="311"/>
      <c r="C989" s="345" t="s">
        <v>2</v>
      </c>
      <c r="D989" s="638">
        <f t="shared" si="23"/>
        <v>0</v>
      </c>
      <c r="E989" s="345">
        <v>1</v>
      </c>
      <c r="F989" s="1355">
        <v>4.0110000000000001</v>
      </c>
      <c r="G989" s="1356">
        <f t="shared" si="20"/>
        <v>0.76</v>
      </c>
      <c r="H989" s="1355">
        <v>0.15</v>
      </c>
      <c r="I989" s="399" t="str">
        <f t="shared" si="21"/>
        <v/>
      </c>
      <c r="J989" s="404"/>
      <c r="K989" s="1234"/>
      <c r="L989" s="431"/>
      <c r="M989" s="431"/>
      <c r="N989" s="431"/>
    </row>
    <row r="990" spans="1:14" s="398" customFormat="1" hidden="1" outlineLevel="1">
      <c r="A990" s="1232"/>
      <c r="B990" s="311"/>
      <c r="C990" s="530" t="s">
        <v>167</v>
      </c>
      <c r="D990" s="848">
        <v>1</v>
      </c>
      <c r="E990" s="637">
        <v>1</v>
      </c>
      <c r="F990" s="1354">
        <v>23.472000000000001</v>
      </c>
      <c r="G990" s="1354">
        <v>0.76</v>
      </c>
      <c r="H990" s="1354">
        <v>0.15</v>
      </c>
      <c r="I990" s="399">
        <f t="shared" si="21"/>
        <v>2.68</v>
      </c>
      <c r="J990" s="404"/>
      <c r="K990" s="1234"/>
      <c r="L990" s="431"/>
      <c r="M990" s="431"/>
      <c r="N990" s="431"/>
    </row>
    <row r="991" spans="1:14" s="398" customFormat="1" ht="51.75" hidden="1" outlineLevel="1">
      <c r="A991" s="1232"/>
      <c r="B991" s="592" t="s">
        <v>844</v>
      </c>
      <c r="C991" s="165" t="s">
        <v>2</v>
      </c>
      <c r="D991" s="392">
        <v>1</v>
      </c>
      <c r="E991" s="165">
        <v>1</v>
      </c>
      <c r="F991" s="1353">
        <v>15.694000000000001</v>
      </c>
      <c r="G991" s="401">
        <f t="shared" ref="G991:G1004" si="24">0.46+0.15+0.15</f>
        <v>0.76</v>
      </c>
      <c r="H991" s="1353">
        <v>0.15</v>
      </c>
      <c r="I991" s="399">
        <f t="shared" si="21"/>
        <v>1.79</v>
      </c>
      <c r="J991" s="404"/>
      <c r="K991" s="1234"/>
      <c r="L991" s="431"/>
      <c r="M991" s="431"/>
      <c r="N991" s="431"/>
    </row>
    <row r="992" spans="1:14" s="398" customFormat="1" hidden="1" outlineLevel="1">
      <c r="A992" s="1232"/>
      <c r="B992" s="311"/>
      <c r="C992" s="165" t="s">
        <v>2</v>
      </c>
      <c r="D992" s="392">
        <v>1</v>
      </c>
      <c r="E992" s="165">
        <v>1</v>
      </c>
      <c r="F992" s="1353">
        <v>0.22500000000000001</v>
      </c>
      <c r="G992" s="401">
        <f t="shared" si="24"/>
        <v>0.76</v>
      </c>
      <c r="H992" s="1353">
        <v>0.15</v>
      </c>
      <c r="I992" s="399">
        <f t="shared" si="21"/>
        <v>0.03</v>
      </c>
      <c r="J992" s="404"/>
      <c r="K992" s="1234"/>
      <c r="L992" s="431"/>
      <c r="M992" s="431"/>
      <c r="N992" s="431"/>
    </row>
    <row r="993" spans="1:14" s="398" customFormat="1" ht="34.5" hidden="1" outlineLevel="1">
      <c r="A993" s="1232"/>
      <c r="B993" s="592" t="s">
        <v>845</v>
      </c>
      <c r="C993" s="165" t="s">
        <v>2</v>
      </c>
      <c r="D993" s="392">
        <v>1</v>
      </c>
      <c r="E993" s="165">
        <v>1</v>
      </c>
      <c r="F993" s="1353">
        <v>1.4970000000000001</v>
      </c>
      <c r="G993" s="401">
        <f t="shared" si="24"/>
        <v>0.76</v>
      </c>
      <c r="H993" s="1353">
        <v>0.15</v>
      </c>
      <c r="I993" s="399">
        <f t="shared" si="21"/>
        <v>0.17</v>
      </c>
      <c r="J993" s="404"/>
      <c r="K993" s="1234"/>
      <c r="L993" s="431"/>
      <c r="M993" s="431"/>
      <c r="N993" s="431"/>
    </row>
    <row r="994" spans="1:14" s="398" customFormat="1" hidden="1" outlineLevel="1">
      <c r="A994" s="1232"/>
      <c r="B994" s="311"/>
      <c r="C994" s="165" t="s">
        <v>2</v>
      </c>
      <c r="D994" s="392">
        <v>1</v>
      </c>
      <c r="E994" s="165">
        <v>1</v>
      </c>
      <c r="F994" s="1353">
        <v>1.6</v>
      </c>
      <c r="G994" s="401">
        <f t="shared" si="24"/>
        <v>0.76</v>
      </c>
      <c r="H994" s="1353">
        <v>0.15</v>
      </c>
      <c r="I994" s="399">
        <f t="shared" si="21"/>
        <v>0.18</v>
      </c>
      <c r="J994" s="404"/>
      <c r="K994" s="1234"/>
      <c r="L994" s="431"/>
      <c r="M994" s="431"/>
      <c r="N994" s="431"/>
    </row>
    <row r="995" spans="1:14" s="398" customFormat="1" hidden="1" outlineLevel="1">
      <c r="A995" s="1232"/>
      <c r="B995" s="311"/>
      <c r="C995" s="165" t="s">
        <v>2</v>
      </c>
      <c r="D995" s="392">
        <v>1</v>
      </c>
      <c r="E995" s="165">
        <v>1</v>
      </c>
      <c r="F995" s="1353">
        <v>3.43</v>
      </c>
      <c r="G995" s="401">
        <f t="shared" si="24"/>
        <v>0.76</v>
      </c>
      <c r="H995" s="1353">
        <v>0.15</v>
      </c>
      <c r="I995" s="399">
        <f t="shared" si="21"/>
        <v>0.39</v>
      </c>
      <c r="J995" s="404"/>
      <c r="K995" s="1234"/>
      <c r="L995" s="431"/>
      <c r="M995" s="431"/>
      <c r="N995" s="431"/>
    </row>
    <row r="996" spans="1:14" s="398" customFormat="1" hidden="1" outlineLevel="1">
      <c r="A996" s="1232"/>
      <c r="B996" s="311"/>
      <c r="C996" s="165" t="s">
        <v>2</v>
      </c>
      <c r="D996" s="392">
        <v>1</v>
      </c>
      <c r="E996" s="165">
        <v>1</v>
      </c>
      <c r="F996" s="1353">
        <v>1.4970000000000001</v>
      </c>
      <c r="G996" s="401">
        <f t="shared" si="24"/>
        <v>0.76</v>
      </c>
      <c r="H996" s="1353">
        <v>0.15</v>
      </c>
      <c r="I996" s="399">
        <f t="shared" si="21"/>
        <v>0.17</v>
      </c>
      <c r="J996" s="404"/>
      <c r="K996" s="1234"/>
      <c r="L996" s="431"/>
      <c r="M996" s="431"/>
      <c r="N996" s="431"/>
    </row>
    <row r="997" spans="1:14" s="398" customFormat="1" hidden="1" outlineLevel="1">
      <c r="A997" s="1232"/>
      <c r="B997" s="311"/>
      <c r="C997" s="165" t="s">
        <v>2</v>
      </c>
      <c r="D997" s="392">
        <v>1</v>
      </c>
      <c r="E997" s="165">
        <v>1</v>
      </c>
      <c r="F997" s="1353">
        <v>3.7349999999999999</v>
      </c>
      <c r="G997" s="401">
        <f t="shared" si="24"/>
        <v>0.76</v>
      </c>
      <c r="H997" s="1353">
        <v>0.15</v>
      </c>
      <c r="I997" s="399">
        <f t="shared" si="21"/>
        <v>0.43</v>
      </c>
      <c r="J997" s="404"/>
      <c r="K997" s="1234"/>
      <c r="L997" s="431"/>
      <c r="M997" s="431"/>
      <c r="N997" s="431"/>
    </row>
    <row r="998" spans="1:14" s="398" customFormat="1" hidden="1" outlineLevel="1">
      <c r="A998" s="1232"/>
      <c r="B998" s="311"/>
      <c r="C998" s="165" t="s">
        <v>2</v>
      </c>
      <c r="D998" s="392">
        <v>1</v>
      </c>
      <c r="E998" s="165">
        <v>1</v>
      </c>
      <c r="F998" s="1353">
        <v>4.3449999999999998</v>
      </c>
      <c r="G998" s="401">
        <f t="shared" si="24"/>
        <v>0.76</v>
      </c>
      <c r="H998" s="1353">
        <v>0.15</v>
      </c>
      <c r="I998" s="399">
        <f t="shared" si="21"/>
        <v>0.5</v>
      </c>
      <c r="J998" s="404"/>
      <c r="K998" s="1234"/>
      <c r="L998" s="431"/>
      <c r="M998" s="431"/>
      <c r="N998" s="431"/>
    </row>
    <row r="999" spans="1:14" s="398" customFormat="1" ht="51.75" hidden="1" outlineLevel="1">
      <c r="A999" s="1232"/>
      <c r="B999" s="592" t="s">
        <v>846</v>
      </c>
      <c r="C999" s="165" t="s">
        <v>2</v>
      </c>
      <c r="D999" s="392">
        <v>1</v>
      </c>
      <c r="E999" s="165">
        <v>1</v>
      </c>
      <c r="F999" s="1353">
        <v>2.3860000000000001</v>
      </c>
      <c r="G999" s="401">
        <f t="shared" si="24"/>
        <v>0.76</v>
      </c>
      <c r="H999" s="1353">
        <v>0.15</v>
      </c>
      <c r="I999" s="399">
        <f t="shared" si="21"/>
        <v>0.27</v>
      </c>
      <c r="J999" s="404"/>
      <c r="K999" s="1234"/>
      <c r="L999" s="431"/>
      <c r="M999" s="431"/>
      <c r="N999" s="431"/>
    </row>
    <row r="1000" spans="1:14" s="398" customFormat="1" hidden="1" outlineLevel="1">
      <c r="A1000" s="1232"/>
      <c r="B1000" s="311"/>
      <c r="C1000" s="165" t="s">
        <v>2</v>
      </c>
      <c r="D1000" s="392">
        <v>1</v>
      </c>
      <c r="E1000" s="165">
        <v>1</v>
      </c>
      <c r="F1000" s="1353">
        <f>8.255+4.207+7.541</f>
        <v>20.003</v>
      </c>
      <c r="G1000" s="401">
        <f t="shared" si="24"/>
        <v>0.76</v>
      </c>
      <c r="H1000" s="1353">
        <v>0.15</v>
      </c>
      <c r="I1000" s="399">
        <f t="shared" si="21"/>
        <v>2.2799999999999998</v>
      </c>
      <c r="J1000" s="404"/>
      <c r="K1000" s="1234"/>
      <c r="L1000" s="431"/>
      <c r="M1000" s="431"/>
      <c r="N1000" s="431"/>
    </row>
    <row r="1001" spans="1:14" s="398" customFormat="1" hidden="1" outlineLevel="1">
      <c r="A1001" s="1232"/>
      <c r="B1001" s="311" t="s">
        <v>847</v>
      </c>
      <c r="C1001" s="165" t="s">
        <v>2</v>
      </c>
      <c r="D1001" s="392">
        <v>1</v>
      </c>
      <c r="E1001" s="165">
        <v>1</v>
      </c>
      <c r="F1001" s="1353">
        <f>33.791-G1001</f>
        <v>33.030999999999999</v>
      </c>
      <c r="G1001" s="401">
        <f t="shared" si="24"/>
        <v>0.76</v>
      </c>
      <c r="H1001" s="1353">
        <v>0.15</v>
      </c>
      <c r="I1001" s="399">
        <f t="shared" si="21"/>
        <v>3.77</v>
      </c>
      <c r="J1001" s="404"/>
      <c r="K1001" s="1234"/>
      <c r="L1001" s="431"/>
      <c r="M1001" s="431"/>
      <c r="N1001" s="431"/>
    </row>
    <row r="1002" spans="1:14" s="398" customFormat="1" ht="34.5" hidden="1" outlineLevel="1">
      <c r="A1002" s="1232"/>
      <c r="B1002" s="311" t="s">
        <v>848</v>
      </c>
      <c r="C1002" s="165" t="s">
        <v>2</v>
      </c>
      <c r="D1002" s="392">
        <v>1</v>
      </c>
      <c r="E1002" s="165">
        <v>1</v>
      </c>
      <c r="F1002" s="1354">
        <v>31.771000000000001</v>
      </c>
      <c r="G1002" s="401">
        <f t="shared" si="24"/>
        <v>0.76</v>
      </c>
      <c r="H1002" s="1353">
        <v>0.15</v>
      </c>
      <c r="I1002" s="399">
        <f t="shared" si="21"/>
        <v>3.62</v>
      </c>
      <c r="J1002" s="404"/>
      <c r="K1002" s="1234"/>
      <c r="L1002" s="431"/>
      <c r="M1002" s="431"/>
      <c r="N1002" s="431"/>
    </row>
    <row r="1003" spans="1:14" s="398" customFormat="1" hidden="1" outlineLevel="1">
      <c r="A1003" s="1232"/>
      <c r="B1003" s="311"/>
      <c r="C1003" s="165" t="s">
        <v>2</v>
      </c>
      <c r="D1003" s="392">
        <v>1</v>
      </c>
      <c r="E1003" s="165">
        <v>1</v>
      </c>
      <c r="F1003" s="1354">
        <v>4.3730000000000002</v>
      </c>
      <c r="G1003" s="401">
        <f t="shared" si="24"/>
        <v>0.76</v>
      </c>
      <c r="H1003" s="1353">
        <v>0.15</v>
      </c>
      <c r="I1003" s="399">
        <f t="shared" si="21"/>
        <v>0.5</v>
      </c>
      <c r="J1003" s="404"/>
      <c r="K1003" s="1234"/>
      <c r="L1003" s="431"/>
      <c r="M1003" s="431"/>
      <c r="N1003" s="431"/>
    </row>
    <row r="1004" spans="1:14" s="398" customFormat="1" hidden="1" outlineLevel="1">
      <c r="A1004" s="1232"/>
      <c r="B1004" s="311"/>
      <c r="C1004" s="165" t="s">
        <v>2</v>
      </c>
      <c r="D1004" s="392">
        <v>1</v>
      </c>
      <c r="E1004" s="165">
        <v>1</v>
      </c>
      <c r="F1004" s="1354">
        <v>0.17</v>
      </c>
      <c r="G1004" s="401">
        <f t="shared" si="24"/>
        <v>0.76</v>
      </c>
      <c r="H1004" s="1353">
        <v>0.15</v>
      </c>
      <c r="I1004" s="399">
        <f t="shared" si="21"/>
        <v>0.02</v>
      </c>
      <c r="J1004" s="404"/>
      <c r="K1004" s="1234"/>
      <c r="L1004" s="431"/>
      <c r="M1004" s="431"/>
      <c r="N1004" s="431"/>
    </row>
    <row r="1005" spans="1:14" s="398" customFormat="1" ht="34.5" hidden="1" outlineLevel="1">
      <c r="A1005" s="1232"/>
      <c r="B1005" s="592" t="s">
        <v>849</v>
      </c>
      <c r="C1005" s="165"/>
      <c r="D1005" s="392"/>
      <c r="E1005" s="165"/>
      <c r="F1005" s="1353"/>
      <c r="G1005" s="401"/>
      <c r="H1005" s="401"/>
      <c r="I1005" s="399" t="str">
        <f t="shared" si="21"/>
        <v/>
      </c>
      <c r="J1005" s="404"/>
      <c r="K1005" s="1234"/>
      <c r="L1005" s="431"/>
      <c r="M1005" s="431"/>
      <c r="N1005" s="431"/>
    </row>
    <row r="1006" spans="1:14" s="398" customFormat="1" ht="34.5" hidden="1" outlineLevel="1">
      <c r="A1006" s="1232"/>
      <c r="B1006" s="311" t="s">
        <v>850</v>
      </c>
      <c r="C1006" s="165" t="s">
        <v>2</v>
      </c>
      <c r="D1006" s="392">
        <v>1</v>
      </c>
      <c r="E1006" s="165">
        <v>1</v>
      </c>
      <c r="F1006" s="1354">
        <v>18.742999999999999</v>
      </c>
      <c r="G1006" s="401">
        <f>0.46+0.15+0.15</f>
        <v>0.76</v>
      </c>
      <c r="H1006" s="1353">
        <v>0.15</v>
      </c>
      <c r="I1006" s="399">
        <f t="shared" si="21"/>
        <v>2.14</v>
      </c>
      <c r="J1006" s="404"/>
      <c r="K1006" s="1234"/>
      <c r="L1006" s="431"/>
      <c r="M1006" s="431"/>
      <c r="N1006" s="431"/>
    </row>
    <row r="1007" spans="1:14" s="398" customFormat="1" hidden="1" outlineLevel="1">
      <c r="A1007" s="1232"/>
      <c r="B1007" s="311"/>
      <c r="C1007" s="165" t="s">
        <v>2</v>
      </c>
      <c r="D1007" s="392">
        <v>1</v>
      </c>
      <c r="E1007" s="165">
        <v>1</v>
      </c>
      <c r="F1007" s="1353">
        <f>0.168+9.528+0.172</f>
        <v>9.8680000000000003</v>
      </c>
      <c r="G1007" s="401">
        <f>0.46+0.15+0.15</f>
        <v>0.76</v>
      </c>
      <c r="H1007" s="1353">
        <v>0.15</v>
      </c>
      <c r="I1007" s="399">
        <f t="shared" si="21"/>
        <v>1.1200000000000001</v>
      </c>
      <c r="J1007" s="404"/>
      <c r="K1007" s="1234"/>
      <c r="L1007" s="431"/>
      <c r="M1007" s="431"/>
      <c r="N1007" s="431"/>
    </row>
    <row r="1008" spans="1:14" s="398" customFormat="1" hidden="1" outlineLevel="1">
      <c r="A1008" s="1232"/>
      <c r="B1008" s="311"/>
      <c r="C1008" s="165" t="s">
        <v>2</v>
      </c>
      <c r="D1008" s="392">
        <v>1</v>
      </c>
      <c r="E1008" s="165">
        <v>1</v>
      </c>
      <c r="F1008" s="1354">
        <v>7.05</v>
      </c>
      <c r="G1008" s="401">
        <f>0.46+0.15+0.15</f>
        <v>0.76</v>
      </c>
      <c r="H1008" s="1353">
        <v>0.15</v>
      </c>
      <c r="I1008" s="399">
        <f t="shared" si="21"/>
        <v>0.8</v>
      </c>
      <c r="J1008" s="404"/>
      <c r="K1008" s="1234"/>
      <c r="L1008" s="431"/>
      <c r="M1008" s="431"/>
      <c r="N1008" s="431"/>
    </row>
    <row r="1009" spans="1:14" s="398" customFormat="1" ht="51.75" hidden="1" outlineLevel="1">
      <c r="A1009" s="1232"/>
      <c r="B1009" s="311" t="s">
        <v>851</v>
      </c>
      <c r="C1009" s="165"/>
      <c r="D1009" s="392"/>
      <c r="E1009" s="165"/>
      <c r="F1009" s="1353"/>
      <c r="G1009" s="401"/>
      <c r="H1009" s="401"/>
      <c r="I1009" s="399" t="str">
        <f t="shared" si="21"/>
        <v/>
      </c>
      <c r="J1009" s="404"/>
      <c r="K1009" s="1234"/>
      <c r="L1009" s="431"/>
      <c r="M1009" s="431"/>
      <c r="N1009" s="431"/>
    </row>
    <row r="1010" spans="1:14" s="398" customFormat="1" hidden="1" outlineLevel="1">
      <c r="A1010" s="1232"/>
      <c r="B1010" s="311"/>
      <c r="C1010" s="345" t="s">
        <v>2</v>
      </c>
      <c r="D1010" s="638">
        <f t="shared" ref="D1010:D1013" si="25">1*0</f>
        <v>0</v>
      </c>
      <c r="E1010" s="345">
        <v>1</v>
      </c>
      <c r="F1010" s="1355">
        <f>0.337</f>
        <v>0.33700000000000002</v>
      </c>
      <c r="G1010" s="1356">
        <f>0.46+0.15+0.15</f>
        <v>0.76</v>
      </c>
      <c r="H1010" s="1355">
        <v>0.15</v>
      </c>
      <c r="I1010" s="399" t="str">
        <f t="shared" si="21"/>
        <v/>
      </c>
      <c r="J1010" s="404"/>
      <c r="K1010" s="1234"/>
      <c r="L1010" s="431"/>
      <c r="M1010" s="431"/>
      <c r="N1010" s="431"/>
    </row>
    <row r="1011" spans="1:14" s="398" customFormat="1" hidden="1" outlineLevel="1">
      <c r="A1011" s="1232"/>
      <c r="B1011" s="311"/>
      <c r="C1011" s="345" t="s">
        <v>2</v>
      </c>
      <c r="D1011" s="638">
        <f t="shared" si="25"/>
        <v>0</v>
      </c>
      <c r="E1011" s="345">
        <v>1</v>
      </c>
      <c r="F1011" s="1355">
        <v>3.1829999999999998</v>
      </c>
      <c r="G1011" s="1356">
        <f>0.46+0.15+0.15</f>
        <v>0.76</v>
      </c>
      <c r="H1011" s="1355">
        <v>0.15</v>
      </c>
      <c r="I1011" s="399" t="str">
        <f t="shared" si="21"/>
        <v/>
      </c>
      <c r="J1011" s="404"/>
      <c r="K1011" s="1234"/>
      <c r="L1011" s="431"/>
      <c r="M1011" s="431"/>
      <c r="N1011" s="431"/>
    </row>
    <row r="1012" spans="1:14" s="398" customFormat="1" hidden="1" outlineLevel="1">
      <c r="A1012" s="1232"/>
      <c r="B1012" s="311"/>
      <c r="C1012" s="345" t="s">
        <v>2</v>
      </c>
      <c r="D1012" s="638">
        <f t="shared" si="25"/>
        <v>0</v>
      </c>
      <c r="E1012" s="345">
        <v>1</v>
      </c>
      <c r="F1012" s="1355">
        <f>3.841+4.613+3.637+1.626+2.824+2.413+3.614+11.064</f>
        <v>33.632000000000005</v>
      </c>
      <c r="G1012" s="1356">
        <f>0.46+0.15+0.15</f>
        <v>0.76</v>
      </c>
      <c r="H1012" s="1355">
        <v>0.15</v>
      </c>
      <c r="I1012" s="399" t="str">
        <f t="shared" si="21"/>
        <v/>
      </c>
      <c r="J1012" s="404"/>
      <c r="K1012" s="1234"/>
      <c r="L1012" s="431"/>
      <c r="M1012" s="431"/>
      <c r="N1012" s="431"/>
    </row>
    <row r="1013" spans="1:14" s="398" customFormat="1" hidden="1" outlineLevel="1">
      <c r="A1013" s="1232"/>
      <c r="B1013" s="311" t="s">
        <v>852</v>
      </c>
      <c r="C1013" s="345" t="s">
        <v>2</v>
      </c>
      <c r="D1013" s="638">
        <f t="shared" si="25"/>
        <v>0</v>
      </c>
      <c r="E1013" s="345">
        <v>1</v>
      </c>
      <c r="F1013" s="1355">
        <f>1.671+2.35+2.874+2.168</f>
        <v>9.0629999999999988</v>
      </c>
      <c r="G1013" s="1356">
        <f>0.46+0.15+0.15</f>
        <v>0.76</v>
      </c>
      <c r="H1013" s="1355">
        <v>0.15</v>
      </c>
      <c r="I1013" s="399" t="str">
        <f t="shared" si="21"/>
        <v/>
      </c>
      <c r="J1013" s="404"/>
      <c r="K1013" s="1234"/>
      <c r="L1013" s="431"/>
      <c r="M1013" s="431"/>
      <c r="N1013" s="431"/>
    </row>
    <row r="1014" spans="1:14" s="398" customFormat="1" hidden="1" outlineLevel="1">
      <c r="A1014" s="1232"/>
      <c r="B1014" s="311"/>
      <c r="C1014" s="165" t="s">
        <v>167</v>
      </c>
      <c r="D1014" s="438">
        <v>1</v>
      </c>
      <c r="E1014" s="333">
        <v>1</v>
      </c>
      <c r="F1014" s="1354">
        <v>8.0530000000000008</v>
      </c>
      <c r="G1014" s="662">
        <v>0.76</v>
      </c>
      <c r="H1014" s="1354">
        <v>0.15</v>
      </c>
      <c r="I1014" s="399">
        <f t="shared" si="21"/>
        <v>0.92</v>
      </c>
      <c r="J1014" s="404"/>
      <c r="K1014" s="1234"/>
      <c r="L1014" s="431"/>
      <c r="M1014" s="431"/>
      <c r="N1014" s="431"/>
    </row>
    <row r="1015" spans="1:14" s="398" customFormat="1" hidden="1" outlineLevel="1">
      <c r="A1015" s="1232"/>
      <c r="B1015" s="311"/>
      <c r="C1015" s="165" t="s">
        <v>167</v>
      </c>
      <c r="D1015" s="438">
        <v>1</v>
      </c>
      <c r="E1015" s="333">
        <v>1</v>
      </c>
      <c r="F1015" s="1354">
        <v>36.695999999999998</v>
      </c>
      <c r="G1015" s="662">
        <v>0.76</v>
      </c>
      <c r="H1015" s="1354">
        <v>0.15</v>
      </c>
      <c r="I1015" s="399">
        <f t="shared" si="21"/>
        <v>4.18</v>
      </c>
      <c r="J1015" s="404"/>
      <c r="K1015" s="1234"/>
      <c r="L1015" s="431"/>
      <c r="M1015" s="431"/>
      <c r="N1015" s="431"/>
    </row>
    <row r="1016" spans="1:14" s="398" customFormat="1" hidden="1" outlineLevel="1">
      <c r="A1016" s="1232"/>
      <c r="B1016" s="311" t="s">
        <v>853</v>
      </c>
      <c r="C1016" s="165" t="s">
        <v>2</v>
      </c>
      <c r="D1016" s="392">
        <v>1</v>
      </c>
      <c r="E1016" s="165">
        <v>1</v>
      </c>
      <c r="F1016" s="1354">
        <v>14.555</v>
      </c>
      <c r="G1016" s="401">
        <f>0.46+0.15+0.15</f>
        <v>0.76</v>
      </c>
      <c r="H1016" s="1353">
        <v>0.15</v>
      </c>
      <c r="I1016" s="399">
        <f t="shared" si="21"/>
        <v>1.66</v>
      </c>
      <c r="J1016" s="404"/>
      <c r="K1016" s="1234"/>
      <c r="L1016" s="431"/>
      <c r="M1016" s="431"/>
      <c r="N1016" s="431"/>
    </row>
    <row r="1017" spans="1:14" s="398" customFormat="1" ht="34.5" hidden="1" outlineLevel="1">
      <c r="A1017" s="1232"/>
      <c r="B1017" s="592" t="s">
        <v>854</v>
      </c>
      <c r="C1017" s="530"/>
      <c r="D1017" s="389"/>
      <c r="E1017" s="386"/>
      <c r="F1017" s="1353"/>
      <c r="G1017" s="1353"/>
      <c r="H1017" s="1353"/>
      <c r="I1017" s="399" t="str">
        <f t="shared" si="21"/>
        <v/>
      </c>
      <c r="J1017" s="404"/>
      <c r="K1017" s="1234"/>
      <c r="L1017" s="431"/>
      <c r="M1017" s="431"/>
      <c r="N1017" s="431"/>
    </row>
    <row r="1018" spans="1:14" s="398" customFormat="1" hidden="1" outlineLevel="1">
      <c r="A1018" s="1232"/>
      <c r="B1018" s="311"/>
      <c r="C1018" s="165" t="s">
        <v>2</v>
      </c>
      <c r="D1018" s="392">
        <v>1</v>
      </c>
      <c r="E1018" s="165">
        <v>1</v>
      </c>
      <c r="F1018" s="1354">
        <v>14.343</v>
      </c>
      <c r="G1018" s="401">
        <f>0.46+0.15+0.15</f>
        <v>0.76</v>
      </c>
      <c r="H1018" s="1353">
        <v>0.15</v>
      </c>
      <c r="I1018" s="399">
        <f t="shared" si="21"/>
        <v>1.64</v>
      </c>
      <c r="J1018" s="404"/>
      <c r="K1018" s="1234"/>
      <c r="L1018" s="431"/>
      <c r="M1018" s="431"/>
      <c r="N1018" s="431"/>
    </row>
    <row r="1019" spans="1:14" s="398" customFormat="1" ht="51.75" hidden="1" outlineLevel="1">
      <c r="A1019" s="1232"/>
      <c r="B1019" s="592" t="s">
        <v>855</v>
      </c>
      <c r="C1019" s="530"/>
      <c r="D1019" s="389"/>
      <c r="E1019" s="386"/>
      <c r="F1019" s="1353"/>
      <c r="G1019" s="1353"/>
      <c r="H1019" s="1353"/>
      <c r="I1019" s="399" t="str">
        <f t="shared" si="21"/>
        <v/>
      </c>
      <c r="J1019" s="404"/>
      <c r="K1019" s="1234"/>
      <c r="L1019" s="431"/>
      <c r="M1019" s="431"/>
      <c r="N1019" s="431"/>
    </row>
    <row r="1020" spans="1:14" s="398" customFormat="1" hidden="1" outlineLevel="1">
      <c r="A1020" s="1232"/>
      <c r="B1020" s="311"/>
      <c r="C1020" s="165" t="s">
        <v>2</v>
      </c>
      <c r="D1020" s="392">
        <v>1</v>
      </c>
      <c r="E1020" s="165">
        <v>1</v>
      </c>
      <c r="F1020" s="1353">
        <f>12.275+11.813+4.624+2.625+2.854+1.637+7.303+5.741+2.446+2.704+0.725+6.033</f>
        <v>60.78</v>
      </c>
      <c r="G1020" s="401">
        <f>0.46+0.15+0.15</f>
        <v>0.76</v>
      </c>
      <c r="H1020" s="1353">
        <v>0.15</v>
      </c>
      <c r="I1020" s="399">
        <f t="shared" si="21"/>
        <v>6.93</v>
      </c>
      <c r="J1020" s="404"/>
      <c r="K1020" s="1234"/>
      <c r="L1020" s="431"/>
      <c r="M1020" s="431"/>
      <c r="N1020" s="431"/>
    </row>
    <row r="1021" spans="1:14" s="398" customFormat="1" ht="34.5" hidden="1" outlineLevel="1">
      <c r="A1021" s="1232"/>
      <c r="B1021" s="311" t="s">
        <v>856</v>
      </c>
      <c r="C1021" s="165" t="s">
        <v>2</v>
      </c>
      <c r="D1021" s="392">
        <v>1</v>
      </c>
      <c r="E1021" s="165">
        <v>1</v>
      </c>
      <c r="F1021" s="1353">
        <v>35.253</v>
      </c>
      <c r="G1021" s="401">
        <f>0.46+0.15+0.15</f>
        <v>0.76</v>
      </c>
      <c r="H1021" s="1353">
        <v>0.15</v>
      </c>
      <c r="I1021" s="399">
        <f t="shared" si="21"/>
        <v>4.0199999999999996</v>
      </c>
      <c r="J1021" s="404"/>
      <c r="K1021" s="1234"/>
      <c r="L1021" s="431"/>
      <c r="M1021" s="431"/>
      <c r="N1021" s="431"/>
    </row>
    <row r="1022" spans="1:14" s="398" customFormat="1" hidden="1" outlineLevel="1">
      <c r="A1022" s="1232"/>
      <c r="B1022" s="311"/>
      <c r="C1022" s="165"/>
      <c r="D1022" s="392"/>
      <c r="E1022" s="165"/>
      <c r="F1022" s="1353"/>
      <c r="G1022" s="401"/>
      <c r="H1022" s="1353"/>
      <c r="I1022" s="399" t="str">
        <f t="shared" si="21"/>
        <v/>
      </c>
      <c r="J1022" s="404"/>
      <c r="K1022" s="1234"/>
      <c r="L1022" s="431"/>
      <c r="M1022" s="431"/>
      <c r="N1022" s="431"/>
    </row>
    <row r="1023" spans="1:14" s="398" customFormat="1" hidden="1" outlineLevel="1">
      <c r="A1023" s="1232"/>
      <c r="B1023" s="592" t="s">
        <v>857</v>
      </c>
      <c r="C1023" s="165"/>
      <c r="D1023" s="392"/>
      <c r="E1023" s="165"/>
      <c r="F1023" s="1353"/>
      <c r="G1023" s="401"/>
      <c r="H1023" s="401"/>
      <c r="I1023" s="399" t="str">
        <f t="shared" si="21"/>
        <v/>
      </c>
      <c r="J1023" s="404"/>
      <c r="K1023" s="1234"/>
      <c r="L1023" s="431"/>
      <c r="M1023" s="431"/>
      <c r="N1023" s="431"/>
    </row>
    <row r="1024" spans="1:14" s="462" customFormat="1" hidden="1" outlineLevel="1">
      <c r="A1024" s="1232"/>
      <c r="B1024" s="311" t="s">
        <v>305</v>
      </c>
      <c r="C1024" s="165"/>
      <c r="D1024" s="392"/>
      <c r="E1024" s="165"/>
      <c r="F1024" s="401"/>
      <c r="G1024" s="401"/>
      <c r="H1024" s="401"/>
      <c r="I1024" s="399" t="str">
        <f t="shared" si="21"/>
        <v/>
      </c>
      <c r="J1024" s="374"/>
      <c r="K1024" s="1237"/>
      <c r="L1024" s="461"/>
      <c r="M1024" s="461"/>
      <c r="N1024" s="461"/>
    </row>
    <row r="1025" spans="1:14" s="263" customFormat="1" hidden="1" outlineLevel="1">
      <c r="A1025" s="1238"/>
      <c r="B1025" s="311"/>
      <c r="C1025" s="319"/>
      <c r="D1025" s="392"/>
      <c r="E1025" s="165"/>
      <c r="F1025" s="401"/>
      <c r="G1025" s="401"/>
      <c r="H1025" s="401"/>
      <c r="I1025" s="399" t="str">
        <f t="shared" si="21"/>
        <v/>
      </c>
      <c r="J1025" s="162"/>
      <c r="K1025" s="1239"/>
      <c r="L1025" s="262"/>
      <c r="M1025" s="262"/>
      <c r="N1025" s="262"/>
    </row>
    <row r="1026" spans="1:14" s="263" customFormat="1" hidden="1" outlineLevel="1">
      <c r="A1026" s="1238"/>
      <c r="B1026" s="311" t="s">
        <v>146</v>
      </c>
      <c r="C1026" s="319"/>
      <c r="D1026" s="392">
        <v>-1</v>
      </c>
      <c r="E1026" s="165">
        <v>1</v>
      </c>
      <c r="F1026" s="401">
        <v>31.4</v>
      </c>
      <c r="G1026" s="401">
        <v>0.61</v>
      </c>
      <c r="H1026" s="401">
        <v>0.15</v>
      </c>
      <c r="I1026" s="399">
        <f t="shared" si="21"/>
        <v>-2.87</v>
      </c>
      <c r="J1026" s="162"/>
      <c r="K1026" s="1239"/>
      <c r="L1026" s="262"/>
      <c r="M1026" s="262"/>
      <c r="N1026" s="262"/>
    </row>
    <row r="1027" spans="1:14" s="263" customFormat="1" hidden="1" outlineLevel="1">
      <c r="A1027" s="1238"/>
      <c r="B1027" s="311"/>
      <c r="C1027" s="319"/>
      <c r="D1027" s="392"/>
      <c r="E1027" s="165"/>
      <c r="F1027" s="401"/>
      <c r="G1027" s="401"/>
      <c r="H1027" s="401"/>
      <c r="I1027" s="399" t="str">
        <f t="shared" si="21"/>
        <v/>
      </c>
      <c r="J1027" s="162"/>
      <c r="K1027" s="1239"/>
      <c r="L1027" s="262"/>
      <c r="M1027" s="262"/>
      <c r="N1027" s="262"/>
    </row>
    <row r="1028" spans="1:14" s="263" customFormat="1" hidden="1" outlineLevel="1">
      <c r="A1028" s="1238"/>
      <c r="B1028" s="311" t="s">
        <v>147</v>
      </c>
      <c r="C1028" s="319"/>
      <c r="D1028" s="392">
        <v>-1</v>
      </c>
      <c r="E1028" s="165">
        <v>1</v>
      </c>
      <c r="F1028" s="401">
        <v>42.55</v>
      </c>
      <c r="G1028" s="401">
        <v>0.61</v>
      </c>
      <c r="H1028" s="401">
        <v>0.15</v>
      </c>
      <c r="I1028" s="399">
        <f t="shared" si="21"/>
        <v>-3.89</v>
      </c>
      <c r="J1028" s="162"/>
      <c r="K1028" s="1239"/>
      <c r="L1028" s="262"/>
      <c r="M1028" s="262"/>
      <c r="N1028" s="262"/>
    </row>
    <row r="1029" spans="1:14" s="398" customFormat="1" hidden="1" outlineLevel="1">
      <c r="A1029" s="1232"/>
      <c r="B1029" s="311"/>
      <c r="C1029" s="530"/>
      <c r="D1029" s="389"/>
      <c r="E1029" s="386"/>
      <c r="F1029" s="1353"/>
      <c r="G1029" s="1353"/>
      <c r="H1029" s="1353"/>
      <c r="I1029" s="399" t="str">
        <f t="shared" si="21"/>
        <v/>
      </c>
      <c r="J1029" s="404"/>
      <c r="K1029" s="1234"/>
      <c r="L1029" s="431"/>
      <c r="M1029" s="431"/>
      <c r="N1029" s="431"/>
    </row>
    <row r="1030" spans="1:14" s="398" customFormat="1" hidden="1" outlineLevel="1">
      <c r="A1030" s="1232"/>
      <c r="B1030" s="592" t="s">
        <v>858</v>
      </c>
      <c r="C1030" s="530"/>
      <c r="D1030" s="400"/>
      <c r="E1030" s="170"/>
      <c r="F1030" s="401"/>
      <c r="G1030" s="401"/>
      <c r="H1030" s="401"/>
      <c r="I1030" s="399" t="str">
        <f t="shared" si="21"/>
        <v/>
      </c>
      <c r="J1030" s="404"/>
      <c r="K1030" s="1234"/>
      <c r="L1030" s="431"/>
      <c r="M1030" s="431"/>
      <c r="N1030" s="431"/>
    </row>
    <row r="1031" spans="1:14" s="398" customFormat="1" ht="34.5" hidden="1" outlineLevel="1">
      <c r="A1031" s="1232"/>
      <c r="B1031" s="592" t="s">
        <v>859</v>
      </c>
      <c r="C1031" s="530"/>
      <c r="D1031" s="400"/>
      <c r="E1031" s="170"/>
      <c r="F1031" s="401" t="s">
        <v>860</v>
      </c>
      <c r="G1031" s="401"/>
      <c r="H1031" s="401"/>
      <c r="I1031" s="399" t="str">
        <f t="shared" si="21"/>
        <v/>
      </c>
      <c r="J1031" s="404"/>
      <c r="K1031" s="1234"/>
      <c r="L1031" s="431"/>
      <c r="M1031" s="431"/>
      <c r="N1031" s="431"/>
    </row>
    <row r="1032" spans="1:14" s="398" customFormat="1" ht="34.5" hidden="1" outlineLevel="1">
      <c r="A1032" s="1232"/>
      <c r="B1032" s="311" t="s">
        <v>895</v>
      </c>
      <c r="C1032" s="530" t="s">
        <v>167</v>
      </c>
      <c r="D1032" s="400">
        <v>1</v>
      </c>
      <c r="E1032" s="170">
        <v>1</v>
      </c>
      <c r="F1032" s="401">
        <f>300078641/1000000</f>
        <v>300.078641</v>
      </c>
      <c r="G1032" s="401"/>
      <c r="H1032" s="401">
        <v>7.4999999999999997E-2</v>
      </c>
      <c r="I1032" s="399">
        <f t="shared" ref="I1032:I1095" si="26">IF(D1032&lt;&gt;0,ROUND(PRODUCT(E1032:H1032)*D1032,2),"")</f>
        <v>22.51</v>
      </c>
      <c r="J1032" s="404"/>
      <c r="K1032" s="1234"/>
      <c r="L1032" s="431"/>
      <c r="M1032" s="431"/>
      <c r="N1032" s="431"/>
    </row>
    <row r="1033" spans="1:14" s="398" customFormat="1" hidden="1" outlineLevel="1">
      <c r="A1033" s="1232"/>
      <c r="B1033" s="311" t="s">
        <v>896</v>
      </c>
      <c r="C1033" s="530" t="s">
        <v>167</v>
      </c>
      <c r="D1033" s="400">
        <v>1</v>
      </c>
      <c r="E1033" s="170">
        <v>1</v>
      </c>
      <c r="F1033" s="401">
        <f>160086783/1000000</f>
        <v>160.086783</v>
      </c>
      <c r="G1033" s="401"/>
      <c r="H1033" s="401">
        <v>7.4999999999999997E-2</v>
      </c>
      <c r="I1033" s="399">
        <f t="shared" si="26"/>
        <v>12.01</v>
      </c>
      <c r="J1033" s="404"/>
      <c r="K1033" s="1234"/>
      <c r="L1033" s="431"/>
      <c r="M1033" s="431"/>
      <c r="N1033" s="431"/>
    </row>
    <row r="1034" spans="1:14" s="398" customFormat="1" hidden="1" outlineLevel="1">
      <c r="A1034" s="1232"/>
      <c r="B1034" s="311" t="s">
        <v>861</v>
      </c>
      <c r="C1034" s="530" t="s">
        <v>167</v>
      </c>
      <c r="D1034" s="400">
        <v>-1</v>
      </c>
      <c r="E1034" s="170">
        <v>1</v>
      </c>
      <c r="F1034" s="401">
        <v>19.47</v>
      </c>
      <c r="G1034" s="401"/>
      <c r="H1034" s="401">
        <v>7.4999999999999997E-2</v>
      </c>
      <c r="I1034" s="399">
        <f t="shared" si="26"/>
        <v>-1.46</v>
      </c>
      <c r="J1034" s="404"/>
      <c r="K1034" s="1234"/>
      <c r="L1034" s="431"/>
      <c r="M1034" s="431"/>
      <c r="N1034" s="431"/>
    </row>
    <row r="1035" spans="1:14" s="398" customFormat="1" hidden="1" outlineLevel="1">
      <c r="A1035" s="1232"/>
      <c r="B1035" s="311" t="s">
        <v>897</v>
      </c>
      <c r="C1035" s="530" t="s">
        <v>167</v>
      </c>
      <c r="D1035" s="400">
        <v>1</v>
      </c>
      <c r="E1035" s="170">
        <v>1</v>
      </c>
      <c r="F1035" s="401">
        <f>45521786.8/1000000</f>
        <v>45.521786799999994</v>
      </c>
      <c r="G1035" s="401"/>
      <c r="H1035" s="401">
        <v>7.4999999999999997E-2</v>
      </c>
      <c r="I1035" s="399">
        <f t="shared" si="26"/>
        <v>3.41</v>
      </c>
      <c r="J1035" s="404"/>
      <c r="K1035" s="1234"/>
      <c r="L1035" s="431"/>
      <c r="M1035" s="431"/>
      <c r="N1035" s="431"/>
    </row>
    <row r="1036" spans="1:14" s="398" customFormat="1" hidden="1" outlineLevel="1">
      <c r="A1036" s="1232"/>
      <c r="B1036" s="311" t="s">
        <v>898</v>
      </c>
      <c r="C1036" s="530" t="s">
        <v>167</v>
      </c>
      <c r="D1036" s="400">
        <v>1</v>
      </c>
      <c r="E1036" s="170">
        <v>1</v>
      </c>
      <c r="F1036" s="401">
        <f>241898921/1000000</f>
        <v>241.898921</v>
      </c>
      <c r="G1036" s="401"/>
      <c r="H1036" s="401">
        <v>7.4999999999999997E-2</v>
      </c>
      <c r="I1036" s="399">
        <f t="shared" si="26"/>
        <v>18.14</v>
      </c>
      <c r="J1036" s="404"/>
      <c r="K1036" s="1234"/>
      <c r="L1036" s="431"/>
      <c r="M1036" s="431"/>
      <c r="N1036" s="431"/>
    </row>
    <row r="1037" spans="1:14" s="398" customFormat="1" hidden="1" outlineLevel="1">
      <c r="A1037" s="1232"/>
      <c r="B1037" s="311" t="s">
        <v>861</v>
      </c>
      <c r="C1037" s="530" t="s">
        <v>167</v>
      </c>
      <c r="D1037" s="400">
        <v>-1</v>
      </c>
      <c r="E1037" s="170">
        <v>1</v>
      </c>
      <c r="F1037" s="401">
        <f>50760387.9/1000000</f>
        <v>50.760387899999998</v>
      </c>
      <c r="G1037" s="401"/>
      <c r="H1037" s="401">
        <v>7.4999999999999997E-2</v>
      </c>
      <c r="I1037" s="399">
        <f t="shared" si="26"/>
        <v>-3.81</v>
      </c>
      <c r="J1037" s="404"/>
      <c r="K1037" s="1234"/>
      <c r="L1037" s="431"/>
      <c r="M1037" s="431"/>
      <c r="N1037" s="431"/>
    </row>
    <row r="1038" spans="1:14" s="398" customFormat="1" hidden="1" outlineLevel="1">
      <c r="A1038" s="1232"/>
      <c r="B1038" s="311" t="s">
        <v>861</v>
      </c>
      <c r="C1038" s="530" t="s">
        <v>167</v>
      </c>
      <c r="D1038" s="400">
        <v>-1</v>
      </c>
      <c r="E1038" s="170">
        <v>1</v>
      </c>
      <c r="F1038" s="401">
        <f>43291964.8/1000000</f>
        <v>43.291964799999995</v>
      </c>
      <c r="G1038" s="401"/>
      <c r="H1038" s="401">
        <v>7.4999999999999997E-2</v>
      </c>
      <c r="I1038" s="399">
        <f t="shared" si="26"/>
        <v>-3.25</v>
      </c>
      <c r="J1038" s="404"/>
      <c r="K1038" s="1234"/>
      <c r="L1038" s="431"/>
      <c r="M1038" s="431"/>
      <c r="N1038" s="431"/>
    </row>
    <row r="1039" spans="1:14" s="398" customFormat="1" hidden="1" outlineLevel="1">
      <c r="A1039" s="1232"/>
      <c r="B1039" s="311" t="s">
        <v>899</v>
      </c>
      <c r="C1039" s="530" t="s">
        <v>167</v>
      </c>
      <c r="D1039" s="400">
        <v>1</v>
      </c>
      <c r="E1039" s="170">
        <v>1</v>
      </c>
      <c r="F1039" s="401">
        <f>61015457.1/1000000</f>
        <v>61.015457099999999</v>
      </c>
      <c r="G1039" s="401"/>
      <c r="H1039" s="401">
        <v>7.4999999999999997E-2</v>
      </c>
      <c r="I1039" s="399">
        <f t="shared" si="26"/>
        <v>4.58</v>
      </c>
      <c r="J1039" s="404"/>
      <c r="K1039" s="1234"/>
      <c r="L1039" s="431"/>
      <c r="M1039" s="431"/>
      <c r="N1039" s="431"/>
    </row>
    <row r="1040" spans="1:14" s="398" customFormat="1" hidden="1" outlineLevel="1">
      <c r="A1040" s="1232"/>
      <c r="B1040" s="311" t="s">
        <v>861</v>
      </c>
      <c r="C1040" s="530" t="s">
        <v>167</v>
      </c>
      <c r="D1040" s="400">
        <v>-1</v>
      </c>
      <c r="E1040" s="170">
        <v>1</v>
      </c>
      <c r="F1040" s="401">
        <f>12275480.8/1000000</f>
        <v>12.2754808</v>
      </c>
      <c r="G1040" s="401"/>
      <c r="H1040" s="401">
        <v>7.4999999999999997E-2</v>
      </c>
      <c r="I1040" s="399">
        <f t="shared" si="26"/>
        <v>-0.92</v>
      </c>
      <c r="J1040" s="404"/>
      <c r="K1040" s="1234"/>
      <c r="L1040" s="431"/>
      <c r="M1040" s="431"/>
      <c r="N1040" s="431"/>
    </row>
    <row r="1041" spans="1:14" s="398" customFormat="1" hidden="1" outlineLevel="1">
      <c r="A1041" s="1232"/>
      <c r="B1041" s="311"/>
      <c r="C1041" s="530"/>
      <c r="D1041" s="400"/>
      <c r="E1041" s="170"/>
      <c r="F1041" s="401"/>
      <c r="G1041" s="401"/>
      <c r="H1041" s="401"/>
      <c r="I1041" s="399" t="str">
        <f t="shared" si="26"/>
        <v/>
      </c>
      <c r="J1041" s="404"/>
      <c r="K1041" s="1234"/>
      <c r="L1041" s="431"/>
      <c r="M1041" s="431"/>
      <c r="N1041" s="431"/>
    </row>
    <row r="1042" spans="1:14" s="398" customFormat="1" ht="34.5" hidden="1" outlineLevel="1">
      <c r="A1042" s="1232"/>
      <c r="B1042" s="311" t="s">
        <v>900</v>
      </c>
      <c r="C1042" s="530" t="s">
        <v>167</v>
      </c>
      <c r="D1042" s="400">
        <v>1</v>
      </c>
      <c r="E1042" s="170">
        <v>1</v>
      </c>
      <c r="F1042" s="401">
        <f>628524269/1000000</f>
        <v>628.524269</v>
      </c>
      <c r="G1042" s="401"/>
      <c r="H1042" s="401">
        <v>7.4999999999999997E-2</v>
      </c>
      <c r="I1042" s="399">
        <f t="shared" si="26"/>
        <v>47.14</v>
      </c>
      <c r="J1042" s="404"/>
      <c r="K1042" s="1234"/>
      <c r="L1042" s="431"/>
      <c r="M1042" s="431"/>
      <c r="N1042" s="431"/>
    </row>
    <row r="1043" spans="1:14" s="398" customFormat="1" hidden="1" outlineLevel="1">
      <c r="A1043" s="1232"/>
      <c r="B1043" s="311" t="s">
        <v>862</v>
      </c>
      <c r="C1043" s="530" t="s">
        <v>167</v>
      </c>
      <c r="D1043" s="400">
        <v>-1</v>
      </c>
      <c r="E1043" s="170">
        <v>1</v>
      </c>
      <c r="F1043" s="401">
        <f>341757843/1000000</f>
        <v>341.75784299999998</v>
      </c>
      <c r="G1043" s="401"/>
      <c r="H1043" s="401">
        <v>7.4999999999999997E-2</v>
      </c>
      <c r="I1043" s="399">
        <f t="shared" si="26"/>
        <v>-25.63</v>
      </c>
      <c r="J1043" s="404"/>
      <c r="K1043" s="1234"/>
      <c r="L1043" s="431"/>
      <c r="M1043" s="431"/>
      <c r="N1043" s="431"/>
    </row>
    <row r="1044" spans="1:14" s="398" customFormat="1" hidden="1" outlineLevel="1">
      <c r="A1044" s="1232"/>
      <c r="B1044" s="311" t="s">
        <v>863</v>
      </c>
      <c r="C1044" s="530" t="s">
        <v>167</v>
      </c>
      <c r="D1044" s="400">
        <v>-1</v>
      </c>
      <c r="E1044" s="170">
        <v>8</v>
      </c>
      <c r="F1044" s="401">
        <v>2.8359999999999999</v>
      </c>
      <c r="G1044" s="401">
        <v>0.28599999999999998</v>
      </c>
      <c r="H1044" s="401">
        <v>7.4999999999999997E-2</v>
      </c>
      <c r="I1044" s="399">
        <f t="shared" si="26"/>
        <v>-0.49</v>
      </c>
      <c r="J1044" s="404"/>
      <c r="K1044" s="1234"/>
      <c r="L1044" s="431"/>
      <c r="M1044" s="431"/>
      <c r="N1044" s="431"/>
    </row>
    <row r="1045" spans="1:14" s="398" customFormat="1" hidden="1" outlineLevel="1">
      <c r="A1045" s="1232"/>
      <c r="B1045" s="311"/>
      <c r="C1045" s="530"/>
      <c r="D1045" s="400"/>
      <c r="E1045" s="170"/>
      <c r="F1045" s="401"/>
      <c r="G1045" s="401"/>
      <c r="H1045" s="401"/>
      <c r="I1045" s="399" t="str">
        <f t="shared" si="26"/>
        <v/>
      </c>
      <c r="J1045" s="404"/>
      <c r="K1045" s="1234"/>
      <c r="L1045" s="431"/>
      <c r="M1045" s="431"/>
      <c r="N1045" s="431"/>
    </row>
    <row r="1046" spans="1:14" s="398" customFormat="1" ht="34.5" hidden="1" outlineLevel="1">
      <c r="A1046" s="1232"/>
      <c r="B1046" s="311" t="s">
        <v>901</v>
      </c>
      <c r="C1046" s="530" t="s">
        <v>167</v>
      </c>
      <c r="D1046" s="400">
        <v>1</v>
      </c>
      <c r="E1046" s="170">
        <v>1</v>
      </c>
      <c r="F1046" s="401">
        <f>615411972/1000000</f>
        <v>615.41197199999999</v>
      </c>
      <c r="G1046" s="401"/>
      <c r="H1046" s="401">
        <v>7.4999999999999997E-2</v>
      </c>
      <c r="I1046" s="399">
        <f t="shared" si="26"/>
        <v>46.16</v>
      </c>
      <c r="J1046" s="404"/>
      <c r="K1046" s="1234"/>
      <c r="L1046" s="431"/>
      <c r="M1046" s="431"/>
      <c r="N1046" s="431"/>
    </row>
    <row r="1047" spans="1:14" s="398" customFormat="1" hidden="1" outlineLevel="1">
      <c r="A1047" s="1232"/>
      <c r="B1047" s="311" t="s">
        <v>864</v>
      </c>
      <c r="C1047" s="530" t="s">
        <v>167</v>
      </c>
      <c r="D1047" s="400">
        <v>-1</v>
      </c>
      <c r="E1047" s="170">
        <v>1</v>
      </c>
      <c r="F1047" s="401">
        <v>3.1549999999999998</v>
      </c>
      <c r="G1047" s="401">
        <v>1.7989999999999999</v>
      </c>
      <c r="H1047" s="401">
        <v>7.4999999999999997E-2</v>
      </c>
      <c r="I1047" s="399">
        <f t="shared" si="26"/>
        <v>-0.43</v>
      </c>
      <c r="J1047" s="404"/>
      <c r="K1047" s="1234"/>
      <c r="L1047" s="431"/>
      <c r="M1047" s="431"/>
      <c r="N1047" s="431"/>
    </row>
    <row r="1048" spans="1:14" s="398" customFormat="1" hidden="1" outlineLevel="1">
      <c r="A1048" s="1232"/>
      <c r="B1048" s="311"/>
      <c r="C1048" s="530" t="s">
        <v>167</v>
      </c>
      <c r="D1048" s="400">
        <v>-1</v>
      </c>
      <c r="E1048" s="170">
        <v>1</v>
      </c>
      <c r="F1048" s="401">
        <v>5.85</v>
      </c>
      <c r="G1048" s="401">
        <v>1.7989999999999999</v>
      </c>
      <c r="H1048" s="401">
        <v>7.4999999999999997E-2</v>
      </c>
      <c r="I1048" s="399">
        <f t="shared" si="26"/>
        <v>-0.79</v>
      </c>
      <c r="J1048" s="404"/>
      <c r="K1048" s="1234"/>
      <c r="L1048" s="431"/>
      <c r="M1048" s="431"/>
      <c r="N1048" s="431"/>
    </row>
    <row r="1049" spans="1:14" s="398" customFormat="1" hidden="1" outlineLevel="1">
      <c r="A1049" s="1232"/>
      <c r="B1049" s="311"/>
      <c r="C1049" s="530" t="s">
        <v>167</v>
      </c>
      <c r="D1049" s="400">
        <v>-1</v>
      </c>
      <c r="E1049" s="170">
        <v>1</v>
      </c>
      <c r="F1049" s="401">
        <v>5.0250000000000004</v>
      </c>
      <c r="G1049" s="401">
        <v>1.7989999999999999</v>
      </c>
      <c r="H1049" s="401">
        <v>7.4999999999999997E-2</v>
      </c>
      <c r="I1049" s="399">
        <f t="shared" si="26"/>
        <v>-0.68</v>
      </c>
      <c r="J1049" s="404"/>
      <c r="K1049" s="1234"/>
      <c r="L1049" s="431"/>
      <c r="M1049" s="431"/>
      <c r="N1049" s="431"/>
    </row>
    <row r="1050" spans="1:14" s="398" customFormat="1" hidden="1" outlineLevel="1">
      <c r="A1050" s="1232"/>
      <c r="B1050" s="311" t="s">
        <v>865</v>
      </c>
      <c r="C1050" s="530" t="s">
        <v>167</v>
      </c>
      <c r="D1050" s="400">
        <v>-1</v>
      </c>
      <c r="E1050" s="170">
        <v>1</v>
      </c>
      <c r="F1050" s="401">
        <v>3.823</v>
      </c>
      <c r="G1050" s="401">
        <v>3</v>
      </c>
      <c r="H1050" s="401">
        <v>7.4999999999999997E-2</v>
      </c>
      <c r="I1050" s="399">
        <f t="shared" si="26"/>
        <v>-0.86</v>
      </c>
      <c r="J1050" s="404"/>
      <c r="K1050" s="1234"/>
      <c r="L1050" s="431"/>
      <c r="M1050" s="431"/>
      <c r="N1050" s="431"/>
    </row>
    <row r="1051" spans="1:14" s="398" customFormat="1" hidden="1" outlineLevel="1">
      <c r="A1051" s="1232"/>
      <c r="B1051" s="311" t="s">
        <v>865</v>
      </c>
      <c r="C1051" s="530" t="s">
        <v>167</v>
      </c>
      <c r="D1051" s="400">
        <v>-1</v>
      </c>
      <c r="E1051" s="170">
        <v>1</v>
      </c>
      <c r="F1051" s="401">
        <v>6</v>
      </c>
      <c r="G1051" s="401">
        <v>2</v>
      </c>
      <c r="H1051" s="401">
        <v>7.4999999999999997E-2</v>
      </c>
      <c r="I1051" s="399">
        <f t="shared" si="26"/>
        <v>-0.9</v>
      </c>
      <c r="J1051" s="404"/>
      <c r="K1051" s="1234"/>
      <c r="L1051" s="431"/>
      <c r="M1051" s="431"/>
      <c r="N1051" s="431"/>
    </row>
    <row r="1052" spans="1:14" s="398" customFormat="1" hidden="1" outlineLevel="1">
      <c r="A1052" s="1232"/>
      <c r="B1052" s="311" t="s">
        <v>866</v>
      </c>
      <c r="C1052" s="530" t="s">
        <v>167</v>
      </c>
      <c r="D1052" s="400">
        <v>-1</v>
      </c>
      <c r="E1052" s="170">
        <v>5</v>
      </c>
      <c r="F1052" s="401">
        <v>5.8</v>
      </c>
      <c r="G1052" s="401">
        <v>0.8</v>
      </c>
      <c r="H1052" s="401">
        <v>7.4999999999999997E-2</v>
      </c>
      <c r="I1052" s="399">
        <f t="shared" si="26"/>
        <v>-1.74</v>
      </c>
      <c r="J1052" s="404"/>
      <c r="K1052" s="1234"/>
      <c r="L1052" s="431"/>
      <c r="M1052" s="431"/>
      <c r="N1052" s="431"/>
    </row>
    <row r="1053" spans="1:14" s="398" customFormat="1" hidden="1" outlineLevel="1">
      <c r="A1053" s="1232"/>
      <c r="B1053" s="311"/>
      <c r="C1053" s="530" t="s">
        <v>167</v>
      </c>
      <c r="D1053" s="400">
        <v>-1</v>
      </c>
      <c r="E1053" s="170">
        <v>8</v>
      </c>
      <c r="F1053" s="401">
        <v>4.5</v>
      </c>
      <c r="G1053" s="401">
        <v>1</v>
      </c>
      <c r="H1053" s="401">
        <v>7.4999999999999997E-2</v>
      </c>
      <c r="I1053" s="399">
        <f t="shared" si="26"/>
        <v>-2.7</v>
      </c>
      <c r="J1053" s="404"/>
      <c r="K1053" s="1234"/>
      <c r="L1053" s="431"/>
      <c r="M1053" s="431"/>
      <c r="N1053" s="431"/>
    </row>
    <row r="1054" spans="1:14" s="398" customFormat="1" hidden="1" outlineLevel="1">
      <c r="A1054" s="1232"/>
      <c r="B1054" s="311" t="s">
        <v>863</v>
      </c>
      <c r="C1054" s="530" t="s">
        <v>167</v>
      </c>
      <c r="D1054" s="400">
        <v>-1</v>
      </c>
      <c r="E1054" s="170">
        <v>7</v>
      </c>
      <c r="F1054" s="401">
        <v>2.8359999999999999</v>
      </c>
      <c r="G1054" s="401">
        <v>0.28599999999999998</v>
      </c>
      <c r="H1054" s="401">
        <v>7.4999999999999997E-2</v>
      </c>
      <c r="I1054" s="399">
        <f t="shared" si="26"/>
        <v>-0.43</v>
      </c>
      <c r="J1054" s="404"/>
      <c r="K1054" s="1234"/>
      <c r="L1054" s="431"/>
      <c r="M1054" s="431"/>
      <c r="N1054" s="431"/>
    </row>
    <row r="1055" spans="1:14" s="398" customFormat="1" hidden="1" outlineLevel="1">
      <c r="A1055" s="1232"/>
      <c r="B1055" s="311"/>
      <c r="C1055" s="530"/>
      <c r="D1055" s="400"/>
      <c r="E1055" s="170"/>
      <c r="F1055" s="401" t="s">
        <v>624</v>
      </c>
      <c r="G1055" s="401"/>
      <c r="H1055" s="401"/>
      <c r="I1055" s="399" t="str">
        <f t="shared" si="26"/>
        <v/>
      </c>
      <c r="J1055" s="404"/>
      <c r="K1055" s="1234"/>
      <c r="L1055" s="431"/>
      <c r="M1055" s="431"/>
      <c r="N1055" s="431"/>
    </row>
    <row r="1056" spans="1:14" s="398" customFormat="1" ht="34.5" hidden="1" outlineLevel="1">
      <c r="A1056" s="1232"/>
      <c r="B1056" s="311" t="s">
        <v>867</v>
      </c>
      <c r="C1056" s="530" t="s">
        <v>167</v>
      </c>
      <c r="D1056" s="400">
        <v>-1</v>
      </c>
      <c r="E1056" s="170">
        <v>1</v>
      </c>
      <c r="F1056" s="401">
        <f>40616728/1000000</f>
        <v>40.616728000000002</v>
      </c>
      <c r="G1056" s="401"/>
      <c r="H1056" s="401">
        <v>7.4999999999999997E-2</v>
      </c>
      <c r="I1056" s="399">
        <f t="shared" si="26"/>
        <v>-3.05</v>
      </c>
      <c r="J1056" s="404"/>
      <c r="K1056" s="1234"/>
      <c r="L1056" s="431"/>
      <c r="M1056" s="431"/>
      <c r="N1056" s="431"/>
    </row>
    <row r="1057" spans="1:14" s="398" customFormat="1" ht="34.5" hidden="1" outlineLevel="1">
      <c r="A1057" s="1232"/>
      <c r="B1057" s="311" t="s">
        <v>902</v>
      </c>
      <c r="C1057" s="530" t="s">
        <v>167</v>
      </c>
      <c r="D1057" s="400">
        <v>1</v>
      </c>
      <c r="E1057" s="170">
        <v>1</v>
      </c>
      <c r="F1057" s="401">
        <f>23307550/1000000</f>
        <v>23.307549999999999</v>
      </c>
      <c r="G1057" s="401"/>
      <c r="H1057" s="401">
        <v>7.4999999999999997E-2</v>
      </c>
      <c r="I1057" s="399">
        <f t="shared" si="26"/>
        <v>1.75</v>
      </c>
      <c r="J1057" s="404"/>
      <c r="K1057" s="1234"/>
      <c r="L1057" s="431"/>
      <c r="M1057" s="431"/>
      <c r="N1057" s="431"/>
    </row>
    <row r="1058" spans="1:14" s="398" customFormat="1" hidden="1" outlineLevel="1">
      <c r="A1058" s="1232"/>
      <c r="B1058" s="311" t="s">
        <v>903</v>
      </c>
      <c r="C1058" s="530" t="s">
        <v>167</v>
      </c>
      <c r="D1058" s="400">
        <v>1</v>
      </c>
      <c r="E1058" s="170">
        <v>1</v>
      </c>
      <c r="F1058" s="401">
        <f>68856294.6/1000000</f>
        <v>68.856294599999998</v>
      </c>
      <c r="G1058" s="401"/>
      <c r="H1058" s="401">
        <v>7.4999999999999997E-2</v>
      </c>
      <c r="I1058" s="399">
        <f t="shared" si="26"/>
        <v>5.16</v>
      </c>
      <c r="J1058" s="404"/>
      <c r="K1058" s="1234"/>
      <c r="L1058" s="431"/>
      <c r="M1058" s="431"/>
      <c r="N1058" s="431"/>
    </row>
    <row r="1059" spans="1:14" s="398" customFormat="1" hidden="1" outlineLevel="1">
      <c r="A1059" s="1232"/>
      <c r="B1059" s="311" t="s">
        <v>864</v>
      </c>
      <c r="C1059" s="530" t="s">
        <v>167</v>
      </c>
      <c r="D1059" s="400">
        <v>-1</v>
      </c>
      <c r="E1059" s="170">
        <v>1</v>
      </c>
      <c r="F1059" s="401">
        <v>9.36</v>
      </c>
      <c r="G1059" s="401">
        <v>0.6</v>
      </c>
      <c r="H1059" s="401">
        <v>7.4999999999999997E-2</v>
      </c>
      <c r="I1059" s="399">
        <f t="shared" si="26"/>
        <v>-0.42</v>
      </c>
      <c r="J1059" s="404"/>
      <c r="K1059" s="1234"/>
      <c r="L1059" s="431"/>
      <c r="M1059" s="431"/>
      <c r="N1059" s="431"/>
    </row>
    <row r="1060" spans="1:14" s="398" customFormat="1" hidden="1" outlineLevel="1">
      <c r="A1060" s="1232"/>
      <c r="B1060" s="311"/>
      <c r="C1060" s="530" t="s">
        <v>167</v>
      </c>
      <c r="D1060" s="400">
        <v>-1</v>
      </c>
      <c r="E1060" s="170">
        <v>1</v>
      </c>
      <c r="F1060" s="401">
        <v>8.14</v>
      </c>
      <c r="G1060" s="401">
        <v>0.6</v>
      </c>
      <c r="H1060" s="401">
        <v>7.4999999999999997E-2</v>
      </c>
      <c r="I1060" s="399">
        <f t="shared" si="26"/>
        <v>-0.37</v>
      </c>
      <c r="J1060" s="404"/>
      <c r="K1060" s="1234"/>
      <c r="L1060" s="431"/>
      <c r="M1060" s="431"/>
      <c r="N1060" s="431"/>
    </row>
    <row r="1061" spans="1:14" s="398" customFormat="1" hidden="1" outlineLevel="1">
      <c r="A1061" s="1232"/>
      <c r="B1061" s="311"/>
      <c r="C1061" s="530" t="s">
        <v>167</v>
      </c>
      <c r="D1061" s="400">
        <v>-1</v>
      </c>
      <c r="E1061" s="170">
        <v>1</v>
      </c>
      <c r="F1061" s="401">
        <v>6.6159999999999997</v>
      </c>
      <c r="G1061" s="401">
        <v>0.6</v>
      </c>
      <c r="H1061" s="401">
        <v>7.4999999999999997E-2</v>
      </c>
      <c r="I1061" s="399">
        <f t="shared" si="26"/>
        <v>-0.3</v>
      </c>
      <c r="J1061" s="404"/>
      <c r="K1061" s="1234"/>
      <c r="L1061" s="431"/>
      <c r="M1061" s="431"/>
      <c r="N1061" s="431"/>
    </row>
    <row r="1062" spans="1:14" s="398" customFormat="1" hidden="1" outlineLevel="1">
      <c r="A1062" s="1232"/>
      <c r="B1062" s="311"/>
      <c r="C1062" s="530" t="s">
        <v>167</v>
      </c>
      <c r="D1062" s="400">
        <v>-1</v>
      </c>
      <c r="E1062" s="170">
        <v>1</v>
      </c>
      <c r="F1062" s="401">
        <v>4.7850000000000001</v>
      </c>
      <c r="G1062" s="401">
        <v>0.6</v>
      </c>
      <c r="H1062" s="401">
        <v>7.4999999999999997E-2</v>
      </c>
      <c r="I1062" s="399">
        <f t="shared" si="26"/>
        <v>-0.22</v>
      </c>
      <c r="J1062" s="404"/>
      <c r="K1062" s="1234"/>
      <c r="L1062" s="431"/>
      <c r="M1062" s="431"/>
      <c r="N1062" s="431"/>
    </row>
    <row r="1063" spans="1:14" s="398" customFormat="1" hidden="1" outlineLevel="1">
      <c r="A1063" s="1232"/>
      <c r="B1063" s="311"/>
      <c r="C1063" s="530" t="s">
        <v>167</v>
      </c>
      <c r="D1063" s="400">
        <v>-1</v>
      </c>
      <c r="E1063" s="170">
        <v>1</v>
      </c>
      <c r="F1063" s="401">
        <v>3.26</v>
      </c>
      <c r="G1063" s="401">
        <v>0.6</v>
      </c>
      <c r="H1063" s="401">
        <v>7.4999999999999997E-2</v>
      </c>
      <c r="I1063" s="399">
        <f t="shared" si="26"/>
        <v>-0.15</v>
      </c>
      <c r="J1063" s="404"/>
      <c r="K1063" s="1234"/>
      <c r="L1063" s="431"/>
      <c r="M1063" s="431"/>
      <c r="N1063" s="431"/>
    </row>
    <row r="1064" spans="1:14" s="398" customFormat="1" hidden="1" outlineLevel="1">
      <c r="A1064" s="1232"/>
      <c r="B1064" s="311"/>
      <c r="C1064" s="530"/>
      <c r="D1064" s="400"/>
      <c r="E1064" s="170"/>
      <c r="F1064" s="401"/>
      <c r="G1064" s="401"/>
      <c r="H1064" s="401"/>
      <c r="I1064" s="399" t="str">
        <f t="shared" si="26"/>
        <v/>
      </c>
      <c r="J1064" s="404"/>
      <c r="K1064" s="1234"/>
      <c r="L1064" s="431"/>
      <c r="M1064" s="431"/>
      <c r="N1064" s="431"/>
    </row>
    <row r="1065" spans="1:14" s="398" customFormat="1" ht="34.5" hidden="1" outlineLevel="1">
      <c r="A1065" s="1232"/>
      <c r="B1065" s="311" t="s">
        <v>904</v>
      </c>
      <c r="C1065" s="530" t="s">
        <v>167</v>
      </c>
      <c r="D1065" s="400">
        <v>1</v>
      </c>
      <c r="E1065" s="170">
        <v>1</v>
      </c>
      <c r="F1065" s="401">
        <f>608431497/1000000</f>
        <v>608.43149700000004</v>
      </c>
      <c r="G1065" s="401"/>
      <c r="H1065" s="401">
        <v>7.4999999999999997E-2</v>
      </c>
      <c r="I1065" s="399">
        <f t="shared" si="26"/>
        <v>45.63</v>
      </c>
      <c r="J1065" s="404"/>
      <c r="K1065" s="1234"/>
      <c r="L1065" s="431"/>
      <c r="M1065" s="431"/>
      <c r="N1065" s="431"/>
    </row>
    <row r="1066" spans="1:14" s="398" customFormat="1" hidden="1" outlineLevel="1">
      <c r="A1066" s="1232"/>
      <c r="B1066" s="311" t="s">
        <v>868</v>
      </c>
      <c r="C1066" s="530" t="s">
        <v>167</v>
      </c>
      <c r="D1066" s="400">
        <v>-1</v>
      </c>
      <c r="E1066" s="170">
        <v>1</v>
      </c>
      <c r="F1066" s="401">
        <v>5.0250000000000004</v>
      </c>
      <c r="G1066" s="401">
        <v>1.194</v>
      </c>
      <c r="H1066" s="401">
        <v>7.4999999999999997E-2</v>
      </c>
      <c r="I1066" s="399">
        <f t="shared" si="26"/>
        <v>-0.45</v>
      </c>
      <c r="J1066" s="404"/>
      <c r="K1066" s="1234"/>
      <c r="L1066" s="431"/>
      <c r="M1066" s="431"/>
      <c r="N1066" s="431"/>
    </row>
    <row r="1067" spans="1:14" s="398" customFormat="1" hidden="1" outlineLevel="1">
      <c r="A1067" s="1232"/>
      <c r="B1067" s="311"/>
      <c r="C1067" s="530" t="s">
        <v>167</v>
      </c>
      <c r="D1067" s="400">
        <v>-1</v>
      </c>
      <c r="E1067" s="170">
        <v>1</v>
      </c>
      <c r="F1067" s="401">
        <v>5.85</v>
      </c>
      <c r="G1067" s="401">
        <v>1.1970000000000001</v>
      </c>
      <c r="H1067" s="401">
        <v>7.4999999999999997E-2</v>
      </c>
      <c r="I1067" s="399">
        <f t="shared" si="26"/>
        <v>-0.53</v>
      </c>
      <c r="J1067" s="404"/>
      <c r="K1067" s="1234"/>
      <c r="L1067" s="431"/>
      <c r="M1067" s="431"/>
      <c r="N1067" s="431"/>
    </row>
    <row r="1068" spans="1:14" s="398" customFormat="1" ht="34.5" hidden="1" outlineLevel="1">
      <c r="A1068" s="1232"/>
      <c r="B1068" s="311" t="s">
        <v>869</v>
      </c>
      <c r="C1068" s="530" t="s">
        <v>167</v>
      </c>
      <c r="D1068" s="400">
        <v>-1</v>
      </c>
      <c r="E1068" s="170">
        <v>9</v>
      </c>
      <c r="F1068" s="401">
        <v>4.5</v>
      </c>
      <c r="G1068" s="401">
        <v>1</v>
      </c>
      <c r="H1068" s="401">
        <v>7.4999999999999997E-2</v>
      </c>
      <c r="I1068" s="399">
        <f t="shared" si="26"/>
        <v>-3.04</v>
      </c>
      <c r="J1068" s="404"/>
      <c r="K1068" s="1234"/>
      <c r="L1068" s="431"/>
      <c r="M1068" s="431"/>
      <c r="N1068" s="431"/>
    </row>
    <row r="1069" spans="1:14" s="398" customFormat="1" hidden="1" outlineLevel="1">
      <c r="A1069" s="1232"/>
      <c r="B1069" s="311" t="s">
        <v>870</v>
      </c>
      <c r="C1069" s="530" t="s">
        <v>167</v>
      </c>
      <c r="D1069" s="400">
        <v>-1</v>
      </c>
      <c r="E1069" s="170">
        <v>5</v>
      </c>
      <c r="F1069" s="662">
        <v>5.8</v>
      </c>
      <c r="G1069" s="401">
        <v>0.8</v>
      </c>
      <c r="H1069" s="401">
        <v>7.4999999999999997E-2</v>
      </c>
      <c r="I1069" s="399">
        <f t="shared" si="26"/>
        <v>-1.74</v>
      </c>
      <c r="J1069" s="404"/>
      <c r="K1069" s="1234"/>
      <c r="L1069" s="431"/>
      <c r="M1069" s="431"/>
      <c r="N1069" s="431"/>
    </row>
    <row r="1070" spans="1:14" s="398" customFormat="1" hidden="1" outlineLevel="1">
      <c r="A1070" s="1232"/>
      <c r="B1070" s="311" t="s">
        <v>863</v>
      </c>
      <c r="C1070" s="530" t="s">
        <v>167</v>
      </c>
      <c r="D1070" s="400">
        <v>-1</v>
      </c>
      <c r="E1070" s="170">
        <v>6</v>
      </c>
      <c r="F1070" s="401">
        <v>2.8359999999999999</v>
      </c>
      <c r="G1070" s="401">
        <v>0.28599999999999998</v>
      </c>
      <c r="H1070" s="401">
        <v>7.4999999999999997E-2</v>
      </c>
      <c r="I1070" s="399">
        <f t="shared" si="26"/>
        <v>-0.36</v>
      </c>
      <c r="J1070" s="404"/>
      <c r="K1070" s="1234"/>
      <c r="L1070" s="431"/>
      <c r="M1070" s="431"/>
      <c r="N1070" s="431"/>
    </row>
    <row r="1071" spans="1:14" s="398" customFormat="1" hidden="1" outlineLevel="1">
      <c r="A1071" s="1232"/>
      <c r="B1071" s="311"/>
      <c r="C1071" s="530" t="s">
        <v>167</v>
      </c>
      <c r="D1071" s="400">
        <v>-1</v>
      </c>
      <c r="E1071" s="170">
        <v>3</v>
      </c>
      <c r="F1071" s="401">
        <v>1.2</v>
      </c>
      <c r="G1071" s="401">
        <v>0.375</v>
      </c>
      <c r="H1071" s="401">
        <v>7.4999999999999997E-2</v>
      </c>
      <c r="I1071" s="399">
        <f t="shared" si="26"/>
        <v>-0.1</v>
      </c>
      <c r="J1071" s="404"/>
      <c r="K1071" s="1234"/>
      <c r="L1071" s="431"/>
      <c r="M1071" s="431"/>
      <c r="N1071" s="431"/>
    </row>
    <row r="1072" spans="1:14" s="398" customFormat="1" hidden="1" outlineLevel="1">
      <c r="A1072" s="1232"/>
      <c r="B1072" s="311" t="s">
        <v>865</v>
      </c>
      <c r="C1072" s="530" t="s">
        <v>167</v>
      </c>
      <c r="D1072" s="400">
        <v>-1</v>
      </c>
      <c r="E1072" s="170">
        <v>1</v>
      </c>
      <c r="F1072" s="401">
        <v>3.823</v>
      </c>
      <c r="G1072" s="401">
        <v>3</v>
      </c>
      <c r="H1072" s="401">
        <v>7.4999999999999997E-2</v>
      </c>
      <c r="I1072" s="399">
        <f t="shared" si="26"/>
        <v>-0.86</v>
      </c>
      <c r="J1072" s="404"/>
      <c r="K1072" s="1234"/>
      <c r="L1072" s="431"/>
      <c r="M1072" s="431"/>
      <c r="N1072" s="431"/>
    </row>
    <row r="1073" spans="1:14" s="398" customFormat="1" hidden="1" outlineLevel="1">
      <c r="A1073" s="1232"/>
      <c r="B1073" s="311" t="s">
        <v>865</v>
      </c>
      <c r="C1073" s="530" t="s">
        <v>167</v>
      </c>
      <c r="D1073" s="400">
        <v>-1</v>
      </c>
      <c r="E1073" s="170">
        <v>1</v>
      </c>
      <c r="F1073" s="401">
        <v>6</v>
      </c>
      <c r="G1073" s="401">
        <v>2</v>
      </c>
      <c r="H1073" s="401">
        <v>7.4999999999999997E-2</v>
      </c>
      <c r="I1073" s="399">
        <f t="shared" si="26"/>
        <v>-0.9</v>
      </c>
      <c r="J1073" s="404"/>
      <c r="K1073" s="1234"/>
      <c r="L1073" s="431"/>
      <c r="M1073" s="431"/>
      <c r="N1073" s="431"/>
    </row>
    <row r="1074" spans="1:14" s="398" customFormat="1" hidden="1" outlineLevel="1">
      <c r="A1074" s="1232"/>
      <c r="B1074" s="311"/>
      <c r="C1074" s="530"/>
      <c r="D1074" s="400"/>
      <c r="E1074" s="170"/>
      <c r="F1074" s="401" t="s">
        <v>624</v>
      </c>
      <c r="G1074" s="401"/>
      <c r="H1074" s="401"/>
      <c r="I1074" s="399" t="str">
        <f t="shared" si="26"/>
        <v/>
      </c>
      <c r="J1074" s="404"/>
      <c r="K1074" s="1234"/>
      <c r="L1074" s="431"/>
      <c r="M1074" s="431"/>
      <c r="N1074" s="431"/>
    </row>
    <row r="1075" spans="1:14" s="398" customFormat="1" ht="34.5" hidden="1" outlineLevel="1">
      <c r="A1075" s="1232"/>
      <c r="B1075" s="311" t="s">
        <v>905</v>
      </c>
      <c r="C1075" s="530" t="s">
        <v>167</v>
      </c>
      <c r="D1075" s="400">
        <v>1</v>
      </c>
      <c r="E1075" s="170">
        <v>1</v>
      </c>
      <c r="F1075" s="401">
        <f>77167523.3/1000000</f>
        <v>77.167523299999999</v>
      </c>
      <c r="G1075" s="401"/>
      <c r="H1075" s="401">
        <v>7.4999999999999997E-2</v>
      </c>
      <c r="I1075" s="399">
        <f t="shared" si="26"/>
        <v>5.79</v>
      </c>
      <c r="J1075" s="404"/>
      <c r="K1075" s="1234" t="s">
        <v>624</v>
      </c>
      <c r="L1075" s="431"/>
      <c r="M1075" s="431"/>
      <c r="N1075" s="431"/>
    </row>
    <row r="1076" spans="1:14" s="398" customFormat="1" hidden="1" outlineLevel="1">
      <c r="A1076" s="1232"/>
      <c r="B1076" s="311" t="s">
        <v>906</v>
      </c>
      <c r="C1076" s="530" t="s">
        <v>167</v>
      </c>
      <c r="D1076" s="400">
        <v>1</v>
      </c>
      <c r="E1076" s="170">
        <v>1</v>
      </c>
      <c r="F1076" s="401">
        <f>294171028/1000000</f>
        <v>294.17102799999998</v>
      </c>
      <c r="G1076" s="401"/>
      <c r="H1076" s="401">
        <v>7.4999999999999997E-2</v>
      </c>
      <c r="I1076" s="399">
        <f t="shared" si="26"/>
        <v>22.06</v>
      </c>
      <c r="J1076" s="404"/>
      <c r="K1076" s="1234"/>
      <c r="L1076" s="431"/>
      <c r="M1076" s="431"/>
      <c r="N1076" s="431"/>
    </row>
    <row r="1077" spans="1:14" s="398" customFormat="1" hidden="1" outlineLevel="1">
      <c r="A1077" s="1232"/>
      <c r="B1077" s="311" t="s">
        <v>871</v>
      </c>
      <c r="C1077" s="530" t="s">
        <v>167</v>
      </c>
      <c r="D1077" s="400">
        <v>-1</v>
      </c>
      <c r="E1077" s="170">
        <v>1</v>
      </c>
      <c r="F1077" s="401">
        <f>28784981.6/1000000</f>
        <v>28.784981600000002</v>
      </c>
      <c r="G1077" s="401"/>
      <c r="H1077" s="401">
        <v>7.4999999999999997E-2</v>
      </c>
      <c r="I1077" s="399">
        <f t="shared" si="26"/>
        <v>-2.16</v>
      </c>
      <c r="J1077" s="404"/>
      <c r="K1077" s="1234"/>
      <c r="L1077" s="431"/>
      <c r="M1077" s="431"/>
      <c r="N1077" s="431"/>
    </row>
    <row r="1078" spans="1:14" s="398" customFormat="1" hidden="1" outlineLevel="1">
      <c r="A1078" s="1232"/>
      <c r="B1078" s="311"/>
      <c r="C1078" s="530" t="s">
        <v>167</v>
      </c>
      <c r="D1078" s="400">
        <v>-1</v>
      </c>
      <c r="E1078" s="170">
        <v>1</v>
      </c>
      <c r="F1078" s="401">
        <f>23245155.7/1000000</f>
        <v>23.245155699999998</v>
      </c>
      <c r="G1078" s="401"/>
      <c r="H1078" s="401">
        <v>7.4999999999999997E-2</v>
      </c>
      <c r="I1078" s="399">
        <f t="shared" si="26"/>
        <v>-1.74</v>
      </c>
      <c r="J1078" s="404"/>
      <c r="K1078" s="1234"/>
      <c r="L1078" s="431"/>
      <c r="M1078" s="431"/>
      <c r="N1078" s="431"/>
    </row>
    <row r="1079" spans="1:14" s="398" customFormat="1" ht="34.5" hidden="1" outlineLevel="1">
      <c r="A1079" s="1232"/>
      <c r="B1079" s="311" t="s">
        <v>907</v>
      </c>
      <c r="C1079" s="530" t="s">
        <v>167</v>
      </c>
      <c r="D1079" s="400">
        <v>1</v>
      </c>
      <c r="E1079" s="170">
        <v>3</v>
      </c>
      <c r="F1079" s="401">
        <v>2.9870000000000001</v>
      </c>
      <c r="G1079" s="401">
        <v>1.55</v>
      </c>
      <c r="H1079" s="401">
        <v>7.4999999999999997E-2</v>
      </c>
      <c r="I1079" s="399">
        <f t="shared" si="26"/>
        <v>1.04</v>
      </c>
      <c r="J1079" s="404"/>
      <c r="K1079" s="1234"/>
      <c r="L1079" s="431"/>
      <c r="M1079" s="431"/>
      <c r="N1079" s="431"/>
    </row>
    <row r="1080" spans="1:14" s="398" customFormat="1" hidden="1" outlineLevel="1">
      <c r="A1080" s="1232"/>
      <c r="B1080" s="311"/>
      <c r="C1080" s="530" t="s">
        <v>167</v>
      </c>
      <c r="D1080" s="400">
        <v>1</v>
      </c>
      <c r="E1080" s="170">
        <v>1</v>
      </c>
      <c r="F1080" s="401">
        <v>2.9870000000000001</v>
      </c>
      <c r="G1080" s="401">
        <v>2</v>
      </c>
      <c r="H1080" s="401">
        <v>7.4999999999999997E-2</v>
      </c>
      <c r="I1080" s="399">
        <f t="shared" si="26"/>
        <v>0.45</v>
      </c>
      <c r="J1080" s="404"/>
      <c r="K1080" s="1234"/>
      <c r="L1080" s="431"/>
      <c r="M1080" s="431"/>
      <c r="N1080" s="431"/>
    </row>
    <row r="1081" spans="1:14" s="398" customFormat="1" hidden="1" outlineLevel="1">
      <c r="A1081" s="1232"/>
      <c r="B1081" s="311"/>
      <c r="C1081" s="530" t="s">
        <v>167</v>
      </c>
      <c r="D1081" s="400">
        <v>1</v>
      </c>
      <c r="E1081" s="170">
        <v>1</v>
      </c>
      <c r="F1081" s="401">
        <v>2.9870000000000001</v>
      </c>
      <c r="G1081" s="401">
        <v>1.3</v>
      </c>
      <c r="H1081" s="401">
        <v>7.4999999999999997E-2</v>
      </c>
      <c r="I1081" s="399">
        <f t="shared" si="26"/>
        <v>0.28999999999999998</v>
      </c>
      <c r="J1081" s="404"/>
      <c r="K1081" s="1234"/>
      <c r="L1081" s="431"/>
      <c r="M1081" s="431"/>
      <c r="N1081" s="431"/>
    </row>
    <row r="1082" spans="1:14" s="398" customFormat="1" hidden="1" outlineLevel="1">
      <c r="A1082" s="1232"/>
      <c r="B1082" s="311"/>
      <c r="C1082" s="530" t="s">
        <v>167</v>
      </c>
      <c r="D1082" s="400">
        <v>1</v>
      </c>
      <c r="E1082" s="170">
        <v>1</v>
      </c>
      <c r="F1082" s="401">
        <v>2.9870000000000001</v>
      </c>
      <c r="G1082" s="401">
        <v>1.8</v>
      </c>
      <c r="H1082" s="401">
        <v>7.4999999999999997E-2</v>
      </c>
      <c r="I1082" s="399">
        <f t="shared" si="26"/>
        <v>0.4</v>
      </c>
      <c r="J1082" s="404"/>
      <c r="K1082" s="1234"/>
      <c r="L1082" s="431"/>
      <c r="M1082" s="431"/>
      <c r="N1082" s="431"/>
    </row>
    <row r="1083" spans="1:14" s="398" customFormat="1" hidden="1" outlineLevel="1">
      <c r="A1083" s="1232"/>
      <c r="B1083" s="311"/>
      <c r="C1083" s="530" t="s">
        <v>167</v>
      </c>
      <c r="D1083" s="400">
        <v>1</v>
      </c>
      <c r="E1083" s="170">
        <v>1</v>
      </c>
      <c r="F1083" s="401">
        <f>5107722.79935517/1000000</f>
        <v>5.1077227993551695</v>
      </c>
      <c r="G1083" s="401"/>
      <c r="H1083" s="401">
        <v>7.4999999999999997E-2</v>
      </c>
      <c r="I1083" s="399">
        <f t="shared" si="26"/>
        <v>0.38</v>
      </c>
      <c r="J1083" s="404"/>
      <c r="K1083" s="1240" t="s">
        <v>624</v>
      </c>
      <c r="L1083" s="431"/>
      <c r="M1083" s="431"/>
      <c r="N1083" s="431"/>
    </row>
    <row r="1084" spans="1:14" s="398" customFormat="1" hidden="1" outlineLevel="1">
      <c r="A1084" s="1232"/>
      <c r="B1084" s="311"/>
      <c r="C1084" s="530" t="s">
        <v>167</v>
      </c>
      <c r="D1084" s="400">
        <v>1</v>
      </c>
      <c r="E1084" s="170">
        <v>1</v>
      </c>
      <c r="F1084" s="401">
        <f>7194023.56218905/1000000</f>
        <v>7.1940235621890496</v>
      </c>
      <c r="G1084" s="401"/>
      <c r="H1084" s="401">
        <v>7.4999999999999997E-2</v>
      </c>
      <c r="I1084" s="399">
        <f t="shared" si="26"/>
        <v>0.54</v>
      </c>
      <c r="J1084" s="404"/>
      <c r="K1084" s="1240" t="s">
        <v>624</v>
      </c>
      <c r="L1084" s="431"/>
      <c r="M1084" s="431"/>
      <c r="N1084" s="431"/>
    </row>
    <row r="1085" spans="1:14" s="398" customFormat="1" hidden="1" outlineLevel="1">
      <c r="A1085" s="1232"/>
      <c r="B1085" s="311"/>
      <c r="C1085" s="530" t="s">
        <v>167</v>
      </c>
      <c r="D1085" s="400">
        <v>1</v>
      </c>
      <c r="E1085" s="170">
        <v>1</v>
      </c>
      <c r="F1085" s="401">
        <f>10768058.3/1000000</f>
        <v>10.7680583</v>
      </c>
      <c r="G1085" s="401"/>
      <c r="H1085" s="401">
        <v>7.4999999999999997E-2</v>
      </c>
      <c r="I1085" s="399">
        <f t="shared" si="26"/>
        <v>0.81</v>
      </c>
      <c r="J1085" s="404"/>
      <c r="K1085" s="1240" t="s">
        <v>624</v>
      </c>
      <c r="L1085" s="431"/>
      <c r="M1085" s="431"/>
      <c r="N1085" s="431"/>
    </row>
    <row r="1086" spans="1:14" s="398" customFormat="1" hidden="1" outlineLevel="1">
      <c r="A1086" s="1232"/>
      <c r="B1086" s="311"/>
      <c r="C1086" s="530" t="s">
        <v>167</v>
      </c>
      <c r="D1086" s="400">
        <v>1</v>
      </c>
      <c r="E1086" s="170">
        <v>1</v>
      </c>
      <c r="F1086" s="662">
        <v>10.941000000000001</v>
      </c>
      <c r="G1086" s="401"/>
      <c r="H1086" s="401">
        <v>7.4999999999999997E-2</v>
      </c>
      <c r="I1086" s="399">
        <f t="shared" si="26"/>
        <v>0.82</v>
      </c>
      <c r="J1086" s="404"/>
      <c r="K1086" s="1240" t="s">
        <v>624</v>
      </c>
      <c r="L1086" s="431"/>
      <c r="M1086" s="431"/>
      <c r="N1086" s="431"/>
    </row>
    <row r="1087" spans="1:14" s="398" customFormat="1" hidden="1" outlineLevel="1">
      <c r="A1087" s="1232"/>
      <c r="B1087" s="311"/>
      <c r="C1087" s="530" t="s">
        <v>167</v>
      </c>
      <c r="D1087" s="400">
        <v>1</v>
      </c>
      <c r="E1087" s="170">
        <v>1</v>
      </c>
      <c r="F1087" s="401">
        <f>17500558.3/1000000</f>
        <v>17.500558300000002</v>
      </c>
      <c r="G1087" s="401"/>
      <c r="H1087" s="401">
        <v>7.4999999999999997E-2</v>
      </c>
      <c r="I1087" s="399">
        <f t="shared" si="26"/>
        <v>1.31</v>
      </c>
      <c r="J1087" s="404"/>
      <c r="K1087" s="1240" t="s">
        <v>624</v>
      </c>
      <c r="L1087" s="431"/>
      <c r="M1087" s="431"/>
      <c r="N1087" s="431"/>
    </row>
    <row r="1088" spans="1:14" s="398" customFormat="1" ht="34.5" hidden="1" outlineLevel="1">
      <c r="A1088" s="1232"/>
      <c r="B1088" s="311" t="s">
        <v>908</v>
      </c>
      <c r="C1088" s="530" t="s">
        <v>167</v>
      </c>
      <c r="D1088" s="400">
        <v>1</v>
      </c>
      <c r="E1088" s="170">
        <v>1</v>
      </c>
      <c r="F1088" s="401">
        <f>67218918.5/1000000</f>
        <v>67.218918500000001</v>
      </c>
      <c r="G1088" s="401"/>
      <c r="H1088" s="401">
        <v>7.4999999999999997E-2</v>
      </c>
      <c r="I1088" s="399">
        <f t="shared" si="26"/>
        <v>5.04</v>
      </c>
      <c r="J1088" s="404"/>
      <c r="K1088" s="1240" t="s">
        <v>624</v>
      </c>
      <c r="L1088" s="431"/>
      <c r="M1088" s="431"/>
      <c r="N1088" s="431"/>
    </row>
    <row r="1089" spans="1:14" s="398" customFormat="1" hidden="1" outlineLevel="1">
      <c r="A1089" s="1232"/>
      <c r="B1089" s="311" t="s">
        <v>864</v>
      </c>
      <c r="C1089" s="530" t="s">
        <v>167</v>
      </c>
      <c r="D1089" s="400">
        <v>-1</v>
      </c>
      <c r="E1089" s="170">
        <v>2</v>
      </c>
      <c r="F1089" s="401">
        <v>6.6390000000000002</v>
      </c>
      <c r="G1089" s="401">
        <v>0.6</v>
      </c>
      <c r="H1089" s="401">
        <v>7.4999999999999997E-2</v>
      </c>
      <c r="I1089" s="399">
        <f t="shared" si="26"/>
        <v>-0.6</v>
      </c>
      <c r="J1089" s="404"/>
      <c r="K1089" s="1234"/>
      <c r="L1089" s="431"/>
      <c r="M1089" s="431"/>
      <c r="N1089" s="431"/>
    </row>
    <row r="1090" spans="1:14" s="398" customFormat="1" hidden="1" outlineLevel="1">
      <c r="A1090" s="1232"/>
      <c r="B1090" s="311"/>
      <c r="C1090" s="530" t="s">
        <v>167</v>
      </c>
      <c r="D1090" s="400">
        <v>-1</v>
      </c>
      <c r="E1090" s="170">
        <v>1</v>
      </c>
      <c r="F1090" s="401">
        <v>5.7249999999999996</v>
      </c>
      <c r="G1090" s="401">
        <v>0.6</v>
      </c>
      <c r="H1090" s="401">
        <v>7.4999999999999997E-2</v>
      </c>
      <c r="I1090" s="399">
        <f t="shared" si="26"/>
        <v>-0.26</v>
      </c>
      <c r="J1090" s="404"/>
      <c r="K1090" s="1234"/>
      <c r="L1090" s="431"/>
      <c r="M1090" s="431"/>
      <c r="N1090" s="431"/>
    </row>
    <row r="1091" spans="1:14" s="398" customFormat="1" hidden="1" outlineLevel="1">
      <c r="A1091" s="1232"/>
      <c r="B1091" s="311"/>
      <c r="C1091" s="530" t="s">
        <v>167</v>
      </c>
      <c r="D1091" s="400">
        <v>-1</v>
      </c>
      <c r="E1091" s="170">
        <v>1</v>
      </c>
      <c r="F1091" s="401">
        <v>3.589</v>
      </c>
      <c r="G1091" s="401">
        <v>0.6</v>
      </c>
      <c r="H1091" s="401">
        <v>7.4999999999999997E-2</v>
      </c>
      <c r="I1091" s="399">
        <f t="shared" si="26"/>
        <v>-0.16</v>
      </c>
      <c r="J1091" s="404"/>
      <c r="K1091" s="1234"/>
      <c r="L1091" s="431"/>
      <c r="M1091" s="431"/>
      <c r="N1091" s="431"/>
    </row>
    <row r="1092" spans="1:14" s="398" customFormat="1" ht="34.5" hidden="1" outlineLevel="1">
      <c r="A1092" s="1232"/>
      <c r="B1092" s="311" t="s">
        <v>909</v>
      </c>
      <c r="C1092" s="530" t="s">
        <v>167</v>
      </c>
      <c r="D1092" s="400">
        <v>1</v>
      </c>
      <c r="E1092" s="170">
        <v>1</v>
      </c>
      <c r="F1092" s="401">
        <f>135070283/1000000</f>
        <v>135.07028299999999</v>
      </c>
      <c r="G1092" s="401"/>
      <c r="H1092" s="401">
        <v>7.4999999999999997E-2</v>
      </c>
      <c r="I1092" s="399">
        <f t="shared" si="26"/>
        <v>10.130000000000001</v>
      </c>
      <c r="J1092" s="404"/>
      <c r="K1092" s="1240" t="s">
        <v>624</v>
      </c>
      <c r="L1092" s="431"/>
      <c r="M1092" s="431"/>
      <c r="N1092" s="431"/>
    </row>
    <row r="1093" spans="1:14" s="398" customFormat="1" ht="34.5" hidden="1" outlineLevel="1">
      <c r="A1093" s="1232"/>
      <c r="B1093" s="311" t="s">
        <v>910</v>
      </c>
      <c r="C1093" s="530" t="s">
        <v>167</v>
      </c>
      <c r="D1093" s="400">
        <v>1</v>
      </c>
      <c r="E1093" s="170">
        <v>1</v>
      </c>
      <c r="F1093" s="401">
        <f>500229897/1000000</f>
        <v>500.22989699999999</v>
      </c>
      <c r="G1093" s="401"/>
      <c r="H1093" s="401">
        <v>7.4999999999999997E-2</v>
      </c>
      <c r="I1093" s="399">
        <f t="shared" si="26"/>
        <v>37.520000000000003</v>
      </c>
      <c r="J1093" s="404"/>
      <c r="K1093" s="1240" t="s">
        <v>624</v>
      </c>
      <c r="L1093" s="431"/>
      <c r="M1093" s="431"/>
      <c r="N1093" s="431"/>
    </row>
    <row r="1094" spans="1:14" s="398" customFormat="1" hidden="1" outlineLevel="1">
      <c r="A1094" s="1232"/>
      <c r="B1094" s="311" t="s">
        <v>872</v>
      </c>
      <c r="C1094" s="530" t="s">
        <v>167</v>
      </c>
      <c r="D1094" s="400">
        <v>-1</v>
      </c>
      <c r="E1094" s="170">
        <v>1</v>
      </c>
      <c r="F1094" s="401">
        <v>0.999</v>
      </c>
      <c r="G1094" s="401">
        <v>1.2</v>
      </c>
      <c r="H1094" s="401">
        <v>7.4999999999999997E-2</v>
      </c>
      <c r="I1094" s="399">
        <f t="shared" si="26"/>
        <v>-0.09</v>
      </c>
      <c r="J1094" s="404"/>
      <c r="K1094" s="1234"/>
      <c r="L1094" s="431"/>
      <c r="M1094" s="431"/>
      <c r="N1094" s="431"/>
    </row>
    <row r="1095" spans="1:14" s="398" customFormat="1" hidden="1" outlineLevel="1">
      <c r="A1095" s="1232"/>
      <c r="B1095" s="311"/>
      <c r="C1095" s="530" t="s">
        <v>167</v>
      </c>
      <c r="D1095" s="400">
        <v>-1</v>
      </c>
      <c r="E1095" s="170">
        <v>1</v>
      </c>
      <c r="F1095" s="401">
        <v>5.85</v>
      </c>
      <c r="G1095" s="401">
        <v>1.2</v>
      </c>
      <c r="H1095" s="401">
        <v>7.4999999999999997E-2</v>
      </c>
      <c r="I1095" s="399">
        <f t="shared" si="26"/>
        <v>-0.53</v>
      </c>
      <c r="J1095" s="404"/>
      <c r="K1095" s="1234"/>
      <c r="L1095" s="431"/>
      <c r="M1095" s="431"/>
      <c r="N1095" s="431"/>
    </row>
    <row r="1096" spans="1:14" s="398" customFormat="1" hidden="1" outlineLevel="1">
      <c r="A1096" s="1232"/>
      <c r="B1096" s="311"/>
      <c r="C1096" s="530" t="s">
        <v>167</v>
      </c>
      <c r="D1096" s="400">
        <v>-1</v>
      </c>
      <c r="E1096" s="170">
        <v>1</v>
      </c>
      <c r="F1096" s="401">
        <v>5.024</v>
      </c>
      <c r="G1096" s="401">
        <v>1.2</v>
      </c>
      <c r="H1096" s="401">
        <v>7.4999999999999997E-2</v>
      </c>
      <c r="I1096" s="399">
        <f t="shared" ref="I1096:I1157" si="27">IF(D1096&lt;&gt;0,ROUND(PRODUCT(E1096:H1096)*D1096,2),"")</f>
        <v>-0.45</v>
      </c>
      <c r="J1096" s="404"/>
      <c r="K1096" s="1234"/>
      <c r="L1096" s="431"/>
      <c r="M1096" s="431"/>
      <c r="N1096" s="431"/>
    </row>
    <row r="1097" spans="1:14" s="398" customFormat="1" hidden="1" outlineLevel="1">
      <c r="A1097" s="1232"/>
      <c r="B1097" s="311"/>
      <c r="C1097" s="530" t="s">
        <v>167</v>
      </c>
      <c r="D1097" s="400">
        <v>-1</v>
      </c>
      <c r="E1097" s="170">
        <v>1</v>
      </c>
      <c r="F1097" s="401">
        <v>2.399</v>
      </c>
      <c r="G1097" s="401">
        <v>1.2</v>
      </c>
      <c r="H1097" s="401">
        <v>7.4999999999999997E-2</v>
      </c>
      <c r="I1097" s="399">
        <f t="shared" si="27"/>
        <v>-0.22</v>
      </c>
      <c r="J1097" s="404"/>
      <c r="K1097" s="1234"/>
      <c r="L1097" s="431"/>
      <c r="M1097" s="431"/>
      <c r="N1097" s="431"/>
    </row>
    <row r="1098" spans="1:14" s="398" customFormat="1" hidden="1" outlineLevel="1">
      <c r="A1098" s="1232"/>
      <c r="B1098" s="311" t="s">
        <v>865</v>
      </c>
      <c r="C1098" s="530" t="s">
        <v>167</v>
      </c>
      <c r="D1098" s="400">
        <v>-1</v>
      </c>
      <c r="E1098" s="170">
        <v>1</v>
      </c>
      <c r="F1098" s="401">
        <v>3.823</v>
      </c>
      <c r="G1098" s="401">
        <v>3</v>
      </c>
      <c r="H1098" s="401">
        <v>7.4999999999999997E-2</v>
      </c>
      <c r="I1098" s="399">
        <f t="shared" si="27"/>
        <v>-0.86</v>
      </c>
      <c r="J1098" s="404"/>
      <c r="K1098" s="1234"/>
      <c r="L1098" s="431"/>
      <c r="M1098" s="431"/>
      <c r="N1098" s="431"/>
    </row>
    <row r="1099" spans="1:14" s="398" customFormat="1" hidden="1" outlineLevel="1">
      <c r="A1099" s="1232"/>
      <c r="B1099" s="311" t="s">
        <v>865</v>
      </c>
      <c r="C1099" s="530" t="s">
        <v>167</v>
      </c>
      <c r="D1099" s="400">
        <v>-1</v>
      </c>
      <c r="E1099" s="170">
        <v>1</v>
      </c>
      <c r="F1099" s="401">
        <v>6</v>
      </c>
      <c r="G1099" s="401">
        <v>2</v>
      </c>
      <c r="H1099" s="401">
        <v>7.4999999999999997E-2</v>
      </c>
      <c r="I1099" s="399">
        <f t="shared" si="27"/>
        <v>-0.9</v>
      </c>
      <c r="J1099" s="404"/>
      <c r="K1099" s="1234"/>
      <c r="L1099" s="431"/>
      <c r="M1099" s="431"/>
      <c r="N1099" s="431"/>
    </row>
    <row r="1100" spans="1:14" s="398" customFormat="1" hidden="1" outlineLevel="1">
      <c r="A1100" s="1232"/>
      <c r="B1100" s="311" t="s">
        <v>873</v>
      </c>
      <c r="C1100" s="530" t="s">
        <v>167</v>
      </c>
      <c r="D1100" s="400">
        <v>-1</v>
      </c>
      <c r="E1100" s="170">
        <v>5</v>
      </c>
      <c r="F1100" s="401">
        <v>5.8</v>
      </c>
      <c r="G1100" s="401">
        <v>0.8</v>
      </c>
      <c r="H1100" s="401">
        <v>7.4999999999999997E-2</v>
      </c>
      <c r="I1100" s="399">
        <f t="shared" si="27"/>
        <v>-1.74</v>
      </c>
      <c r="J1100" s="404"/>
      <c r="K1100" s="1234"/>
      <c r="L1100" s="431"/>
      <c r="M1100" s="431"/>
      <c r="N1100" s="431"/>
    </row>
    <row r="1101" spans="1:14" s="398" customFormat="1" ht="34.5" hidden="1" outlineLevel="1">
      <c r="A1101" s="1232"/>
      <c r="B1101" s="311" t="s">
        <v>874</v>
      </c>
      <c r="C1101" s="530" t="s">
        <v>167</v>
      </c>
      <c r="D1101" s="400">
        <v>-1</v>
      </c>
      <c r="E1101" s="170">
        <v>8</v>
      </c>
      <c r="F1101" s="401">
        <v>4.5</v>
      </c>
      <c r="G1101" s="401">
        <v>1</v>
      </c>
      <c r="H1101" s="401">
        <v>7.4999999999999997E-2</v>
      </c>
      <c r="I1101" s="399">
        <f t="shared" si="27"/>
        <v>-2.7</v>
      </c>
      <c r="J1101" s="404"/>
      <c r="K1101" s="1234"/>
      <c r="L1101" s="431"/>
      <c r="M1101" s="431"/>
      <c r="N1101" s="431"/>
    </row>
    <row r="1102" spans="1:14" s="398" customFormat="1" hidden="1" outlineLevel="1">
      <c r="A1102" s="1232"/>
      <c r="B1102" s="311" t="s">
        <v>863</v>
      </c>
      <c r="C1102" s="530" t="s">
        <v>167</v>
      </c>
      <c r="D1102" s="400">
        <v>-1</v>
      </c>
      <c r="E1102" s="170">
        <v>6</v>
      </c>
      <c r="F1102" s="401">
        <v>2.8359999999999999</v>
      </c>
      <c r="G1102" s="401">
        <v>0.28599999999999998</v>
      </c>
      <c r="H1102" s="401">
        <v>7.4999999999999997E-2</v>
      </c>
      <c r="I1102" s="399">
        <f t="shared" si="27"/>
        <v>-0.36</v>
      </c>
      <c r="J1102" s="404"/>
      <c r="K1102" s="1234"/>
      <c r="L1102" s="431"/>
      <c r="M1102" s="431"/>
      <c r="N1102" s="431"/>
    </row>
    <row r="1103" spans="1:14" s="398" customFormat="1" hidden="1" outlineLevel="1">
      <c r="A1103" s="1232"/>
      <c r="B1103" s="311" t="s">
        <v>911</v>
      </c>
      <c r="C1103" s="530" t="s">
        <v>167</v>
      </c>
      <c r="D1103" s="400">
        <v>1</v>
      </c>
      <c r="E1103" s="170">
        <v>1</v>
      </c>
      <c r="F1103" s="401">
        <f>293788887/1000000</f>
        <v>293.78888699999999</v>
      </c>
      <c r="G1103" s="401"/>
      <c r="H1103" s="401">
        <v>7.4999999999999997E-2</v>
      </c>
      <c r="I1103" s="399">
        <f t="shared" si="27"/>
        <v>22.03</v>
      </c>
      <c r="J1103" s="404"/>
      <c r="K1103" s="1240" t="s">
        <v>624</v>
      </c>
      <c r="L1103" s="431"/>
      <c r="M1103" s="431"/>
      <c r="N1103" s="431"/>
    </row>
    <row r="1104" spans="1:14" s="398" customFormat="1" hidden="1" outlineLevel="1">
      <c r="A1104" s="1232"/>
      <c r="B1104" s="311" t="s">
        <v>875</v>
      </c>
      <c r="C1104" s="530" t="s">
        <v>167</v>
      </c>
      <c r="D1104" s="400">
        <v>-1</v>
      </c>
      <c r="E1104" s="170">
        <v>1</v>
      </c>
      <c r="F1104" s="401">
        <f>61388476.9/1000000</f>
        <v>61.388476900000001</v>
      </c>
      <c r="G1104" s="401"/>
      <c r="H1104" s="401">
        <v>7.4999999999999997E-2</v>
      </c>
      <c r="I1104" s="399">
        <f t="shared" si="27"/>
        <v>-4.5999999999999996</v>
      </c>
      <c r="J1104" s="404"/>
      <c r="K1104" s="1240" t="s">
        <v>624</v>
      </c>
      <c r="L1104" s="431"/>
      <c r="M1104" s="431"/>
      <c r="N1104" s="431"/>
    </row>
    <row r="1105" spans="1:14" s="398" customFormat="1" hidden="1" outlineLevel="1">
      <c r="A1105" s="1232"/>
      <c r="B1105" s="311"/>
      <c r="C1105" s="530"/>
      <c r="D1105" s="400"/>
      <c r="E1105" s="170"/>
      <c r="F1105" s="401"/>
      <c r="G1105" s="401"/>
      <c r="H1105" s="401"/>
      <c r="I1105" s="399" t="str">
        <f t="shared" si="27"/>
        <v/>
      </c>
      <c r="J1105" s="404"/>
      <c r="K1105" s="1234"/>
      <c r="L1105" s="431"/>
      <c r="M1105" s="431"/>
      <c r="N1105" s="431"/>
    </row>
    <row r="1106" spans="1:14" s="398" customFormat="1" ht="34.5" hidden="1" outlineLevel="1">
      <c r="A1106" s="1232"/>
      <c r="B1106" s="311" t="s">
        <v>912</v>
      </c>
      <c r="C1106" s="530" t="s">
        <v>167</v>
      </c>
      <c r="D1106" s="400">
        <v>1</v>
      </c>
      <c r="E1106" s="170">
        <v>1</v>
      </c>
      <c r="F1106" s="401">
        <v>31.5</v>
      </c>
      <c r="G1106" s="662">
        <v>1.9850000000000001</v>
      </c>
      <c r="H1106" s="401">
        <v>7.4999999999999997E-2</v>
      </c>
      <c r="I1106" s="399">
        <f t="shared" si="27"/>
        <v>4.6900000000000004</v>
      </c>
      <c r="J1106" s="404"/>
      <c r="K1106" s="1234"/>
      <c r="L1106" s="431"/>
      <c r="M1106" s="431"/>
      <c r="N1106" s="431"/>
    </row>
    <row r="1107" spans="1:14" s="398" customFormat="1" hidden="1" outlineLevel="1">
      <c r="A1107" s="1232"/>
      <c r="B1107" s="311" t="s">
        <v>684</v>
      </c>
      <c r="C1107" s="530" t="s">
        <v>167</v>
      </c>
      <c r="D1107" s="400">
        <v>-1</v>
      </c>
      <c r="E1107" s="170">
        <v>4</v>
      </c>
      <c r="F1107" s="401">
        <v>1.2</v>
      </c>
      <c r="G1107" s="401">
        <v>0.375</v>
      </c>
      <c r="H1107" s="401">
        <v>7.4999999999999997E-2</v>
      </c>
      <c r="I1107" s="399">
        <f t="shared" si="27"/>
        <v>-0.14000000000000001</v>
      </c>
      <c r="J1107" s="404"/>
      <c r="K1107" s="1234"/>
      <c r="L1107" s="431"/>
      <c r="M1107" s="431"/>
      <c r="N1107" s="431"/>
    </row>
    <row r="1108" spans="1:14" s="398" customFormat="1" ht="34.5" hidden="1" outlineLevel="1">
      <c r="A1108" s="1232"/>
      <c r="B1108" s="311" t="s">
        <v>913</v>
      </c>
      <c r="C1108" s="530" t="s">
        <v>167</v>
      </c>
      <c r="D1108" s="400">
        <v>1</v>
      </c>
      <c r="E1108" s="170">
        <v>1</v>
      </c>
      <c r="F1108" s="401">
        <v>37.9</v>
      </c>
      <c r="G1108" s="401">
        <v>4.5049999999999999</v>
      </c>
      <c r="H1108" s="401">
        <v>7.4999999999999997E-2</v>
      </c>
      <c r="I1108" s="399">
        <f t="shared" si="27"/>
        <v>12.81</v>
      </c>
      <c r="J1108" s="404"/>
      <c r="K1108" s="1234"/>
      <c r="L1108" s="431"/>
      <c r="M1108" s="431"/>
      <c r="N1108" s="431"/>
    </row>
    <row r="1109" spans="1:14" s="398" customFormat="1" hidden="1" outlineLevel="1">
      <c r="A1109" s="1232"/>
      <c r="B1109" s="311" t="s">
        <v>684</v>
      </c>
      <c r="C1109" s="530" t="s">
        <v>167</v>
      </c>
      <c r="D1109" s="400">
        <v>-1</v>
      </c>
      <c r="E1109" s="170">
        <v>5</v>
      </c>
      <c r="F1109" s="401">
        <v>1.2</v>
      </c>
      <c r="G1109" s="401">
        <v>0.375</v>
      </c>
      <c r="H1109" s="401">
        <v>7.4999999999999997E-2</v>
      </c>
      <c r="I1109" s="399">
        <f t="shared" si="27"/>
        <v>-0.17</v>
      </c>
      <c r="J1109" s="404"/>
      <c r="K1109" s="1234"/>
      <c r="L1109" s="431"/>
      <c r="M1109" s="431"/>
      <c r="N1109" s="431"/>
    </row>
    <row r="1110" spans="1:14" s="398" customFormat="1" ht="34.5" hidden="1" outlineLevel="1">
      <c r="A1110" s="1232"/>
      <c r="B1110" s="311" t="s">
        <v>914</v>
      </c>
      <c r="C1110" s="530" t="s">
        <v>167</v>
      </c>
      <c r="D1110" s="400">
        <v>1</v>
      </c>
      <c r="E1110" s="170">
        <v>1</v>
      </c>
      <c r="F1110" s="401">
        <f>(24.641+24.616)/2</f>
        <v>24.628499999999999</v>
      </c>
      <c r="G1110" s="401">
        <v>13.365</v>
      </c>
      <c r="H1110" s="401">
        <v>7.4999999999999997E-2</v>
      </c>
      <c r="I1110" s="399">
        <f t="shared" si="27"/>
        <v>24.69</v>
      </c>
      <c r="J1110" s="404"/>
      <c r="K1110" s="1234"/>
      <c r="L1110" s="431"/>
      <c r="M1110" s="431"/>
      <c r="N1110" s="431"/>
    </row>
    <row r="1111" spans="1:14" s="398" customFormat="1" hidden="1" outlineLevel="1">
      <c r="A1111" s="1232"/>
      <c r="B1111" s="311" t="s">
        <v>684</v>
      </c>
      <c r="C1111" s="530" t="s">
        <v>167</v>
      </c>
      <c r="D1111" s="400">
        <v>-1</v>
      </c>
      <c r="E1111" s="170">
        <v>5</v>
      </c>
      <c r="F1111" s="401">
        <v>1.2</v>
      </c>
      <c r="G1111" s="401">
        <v>0.375</v>
      </c>
      <c r="H1111" s="401">
        <v>7.4999999999999997E-2</v>
      </c>
      <c r="I1111" s="399">
        <f t="shared" si="27"/>
        <v>-0.17</v>
      </c>
      <c r="J1111" s="404"/>
      <c r="K1111" s="1234"/>
      <c r="L1111" s="431"/>
      <c r="M1111" s="431"/>
      <c r="N1111" s="431"/>
    </row>
    <row r="1112" spans="1:14" s="398" customFormat="1" hidden="1" outlineLevel="1">
      <c r="A1112" s="1232"/>
      <c r="B1112" s="311" t="s">
        <v>872</v>
      </c>
      <c r="C1112" s="530" t="s">
        <v>167</v>
      </c>
      <c r="D1112" s="400">
        <v>-1</v>
      </c>
      <c r="E1112" s="170">
        <v>1</v>
      </c>
      <c r="F1112" s="401">
        <f>82662326.3/1000000</f>
        <v>82.662326300000004</v>
      </c>
      <c r="G1112" s="401"/>
      <c r="H1112" s="401">
        <v>7.4999999999999997E-2</v>
      </c>
      <c r="I1112" s="399">
        <f t="shared" si="27"/>
        <v>-6.2</v>
      </c>
      <c r="J1112" s="404"/>
      <c r="K1112" s="1240" t="s">
        <v>624</v>
      </c>
      <c r="L1112" s="431"/>
      <c r="M1112" s="431"/>
      <c r="N1112" s="431"/>
    </row>
    <row r="1113" spans="1:14" s="398" customFormat="1" hidden="1" outlineLevel="1">
      <c r="A1113" s="1232"/>
      <c r="B1113" s="311" t="s">
        <v>915</v>
      </c>
      <c r="C1113" s="530" t="s">
        <v>167</v>
      </c>
      <c r="D1113" s="400">
        <v>1</v>
      </c>
      <c r="E1113" s="170">
        <v>1</v>
      </c>
      <c r="F1113" s="662">
        <v>93.578000000000003</v>
      </c>
      <c r="G1113" s="401"/>
      <c r="H1113" s="401">
        <v>7.4999999999999997E-2</v>
      </c>
      <c r="I1113" s="399">
        <f t="shared" si="27"/>
        <v>7.02</v>
      </c>
      <c r="J1113" s="404"/>
      <c r="K1113" s="1240" t="s">
        <v>624</v>
      </c>
      <c r="L1113" s="431"/>
      <c r="M1113" s="431"/>
      <c r="N1113" s="431"/>
    </row>
    <row r="1114" spans="1:14" s="398" customFormat="1" ht="34.5" hidden="1" outlineLevel="1">
      <c r="A1114" s="1232"/>
      <c r="B1114" s="311" t="s">
        <v>916</v>
      </c>
      <c r="C1114" s="530" t="s">
        <v>167</v>
      </c>
      <c r="D1114" s="400">
        <v>1</v>
      </c>
      <c r="E1114" s="170">
        <v>1</v>
      </c>
      <c r="F1114" s="401">
        <f>508597119/1000000</f>
        <v>508.59711900000002</v>
      </c>
      <c r="G1114" s="401"/>
      <c r="H1114" s="401">
        <v>7.4999999999999997E-2</v>
      </c>
      <c r="I1114" s="399">
        <f t="shared" si="27"/>
        <v>38.14</v>
      </c>
      <c r="J1114" s="404"/>
      <c r="K1114" s="1240" t="s">
        <v>624</v>
      </c>
      <c r="L1114" s="431"/>
      <c r="M1114" s="431"/>
      <c r="N1114" s="431"/>
    </row>
    <row r="1115" spans="1:14" s="398" customFormat="1" hidden="1" outlineLevel="1">
      <c r="A1115" s="1232"/>
      <c r="B1115" s="311" t="s">
        <v>876</v>
      </c>
      <c r="C1115" s="530" t="s">
        <v>167</v>
      </c>
      <c r="D1115" s="400">
        <v>1</v>
      </c>
      <c r="E1115" s="170">
        <v>1</v>
      </c>
      <c r="F1115" s="401">
        <f>47996548.6/1000000</f>
        <v>47.996548600000004</v>
      </c>
      <c r="G1115" s="401"/>
      <c r="H1115" s="401">
        <v>7.4999999999999997E-2</v>
      </c>
      <c r="I1115" s="399">
        <f t="shared" si="27"/>
        <v>3.6</v>
      </c>
      <c r="J1115" s="404"/>
      <c r="K1115" s="1240" t="s">
        <v>624</v>
      </c>
      <c r="L1115" s="431"/>
      <c r="M1115" s="431"/>
      <c r="N1115" s="431"/>
    </row>
    <row r="1116" spans="1:14" s="398" customFormat="1" hidden="1" outlineLevel="1">
      <c r="A1116" s="1232"/>
      <c r="B1116" s="311" t="s">
        <v>872</v>
      </c>
      <c r="C1116" s="530" t="s">
        <v>167</v>
      </c>
      <c r="D1116" s="400">
        <v>-1</v>
      </c>
      <c r="E1116" s="170">
        <v>1</v>
      </c>
      <c r="F1116" s="401">
        <v>5.0250000000000004</v>
      </c>
      <c r="G1116" s="401">
        <v>1.2</v>
      </c>
      <c r="H1116" s="401">
        <v>7.4999999999999997E-2</v>
      </c>
      <c r="I1116" s="399">
        <f t="shared" si="27"/>
        <v>-0.45</v>
      </c>
      <c r="J1116" s="404"/>
      <c r="K1116" s="1234"/>
      <c r="L1116" s="431"/>
      <c r="M1116" s="431"/>
      <c r="N1116" s="431"/>
    </row>
    <row r="1117" spans="1:14" s="398" customFormat="1" hidden="1" outlineLevel="1">
      <c r="A1117" s="1232"/>
      <c r="B1117" s="311"/>
      <c r="C1117" s="530" t="s">
        <v>167</v>
      </c>
      <c r="D1117" s="400">
        <v>-1</v>
      </c>
      <c r="E1117" s="170">
        <v>1</v>
      </c>
      <c r="F1117" s="401">
        <v>5.85</v>
      </c>
      <c r="G1117" s="401">
        <v>1.2</v>
      </c>
      <c r="H1117" s="401">
        <v>7.4999999999999997E-2</v>
      </c>
      <c r="I1117" s="399">
        <f t="shared" si="27"/>
        <v>-0.53</v>
      </c>
      <c r="J1117" s="404"/>
      <c r="K1117" s="1234"/>
      <c r="L1117" s="431"/>
      <c r="M1117" s="431"/>
      <c r="N1117" s="431"/>
    </row>
    <row r="1118" spans="1:14" s="398" customFormat="1" hidden="1" outlineLevel="1">
      <c r="A1118" s="1232"/>
      <c r="B1118" s="311" t="s">
        <v>865</v>
      </c>
      <c r="C1118" s="530" t="s">
        <v>167</v>
      </c>
      <c r="D1118" s="400">
        <v>-1</v>
      </c>
      <c r="E1118" s="170">
        <v>1</v>
      </c>
      <c r="F1118" s="401">
        <v>3.823</v>
      </c>
      <c r="G1118" s="401">
        <v>3</v>
      </c>
      <c r="H1118" s="401">
        <v>7.4999999999999997E-2</v>
      </c>
      <c r="I1118" s="399">
        <f t="shared" si="27"/>
        <v>-0.86</v>
      </c>
      <c r="J1118" s="404"/>
      <c r="K1118" s="1234"/>
      <c r="L1118" s="431"/>
      <c r="M1118" s="431"/>
      <c r="N1118" s="431"/>
    </row>
    <row r="1119" spans="1:14" s="398" customFormat="1" hidden="1" outlineLevel="1">
      <c r="A1119" s="1232"/>
      <c r="B1119" s="311" t="s">
        <v>865</v>
      </c>
      <c r="C1119" s="530" t="s">
        <v>167</v>
      </c>
      <c r="D1119" s="400">
        <v>-1</v>
      </c>
      <c r="E1119" s="170">
        <v>1</v>
      </c>
      <c r="F1119" s="401">
        <v>6</v>
      </c>
      <c r="G1119" s="401">
        <v>2</v>
      </c>
      <c r="H1119" s="401">
        <v>7.4999999999999997E-2</v>
      </c>
      <c r="I1119" s="399">
        <f t="shared" si="27"/>
        <v>-0.9</v>
      </c>
      <c r="J1119" s="404"/>
      <c r="K1119" s="1234"/>
      <c r="L1119" s="431"/>
      <c r="M1119" s="431"/>
      <c r="N1119" s="431"/>
    </row>
    <row r="1120" spans="1:14" s="398" customFormat="1" hidden="1" outlineLevel="1">
      <c r="A1120" s="1232"/>
      <c r="B1120" s="311" t="s">
        <v>873</v>
      </c>
      <c r="C1120" s="530" t="s">
        <v>167</v>
      </c>
      <c r="D1120" s="400">
        <v>-1</v>
      </c>
      <c r="E1120" s="170">
        <v>5</v>
      </c>
      <c r="F1120" s="401">
        <v>5.8</v>
      </c>
      <c r="G1120" s="401">
        <v>0.8</v>
      </c>
      <c r="H1120" s="401">
        <v>7.4999999999999997E-2</v>
      </c>
      <c r="I1120" s="399">
        <f t="shared" si="27"/>
        <v>-1.74</v>
      </c>
      <c r="J1120" s="404"/>
      <c r="K1120" s="1234"/>
      <c r="L1120" s="431"/>
      <c r="M1120" s="431"/>
      <c r="N1120" s="431"/>
    </row>
    <row r="1121" spans="1:14" s="398" customFormat="1" ht="34.5" hidden="1" outlineLevel="1">
      <c r="A1121" s="1232"/>
      <c r="B1121" s="311" t="s">
        <v>874</v>
      </c>
      <c r="C1121" s="530" t="s">
        <v>167</v>
      </c>
      <c r="D1121" s="400">
        <v>-1</v>
      </c>
      <c r="E1121" s="170">
        <v>8</v>
      </c>
      <c r="F1121" s="401">
        <v>4.5</v>
      </c>
      <c r="G1121" s="401">
        <v>1</v>
      </c>
      <c r="H1121" s="401">
        <v>7.4999999999999997E-2</v>
      </c>
      <c r="I1121" s="399">
        <f t="shared" si="27"/>
        <v>-2.7</v>
      </c>
      <c r="J1121" s="404"/>
      <c r="K1121" s="1234"/>
      <c r="L1121" s="431"/>
      <c r="M1121" s="431"/>
      <c r="N1121" s="431"/>
    </row>
    <row r="1122" spans="1:14" s="398" customFormat="1" hidden="1" outlineLevel="1">
      <c r="A1122" s="1232"/>
      <c r="B1122" s="311" t="s">
        <v>863</v>
      </c>
      <c r="C1122" s="530" t="s">
        <v>167</v>
      </c>
      <c r="D1122" s="400">
        <v>-1</v>
      </c>
      <c r="E1122" s="170">
        <v>4</v>
      </c>
      <c r="F1122" s="401">
        <v>2.8359999999999999</v>
      </c>
      <c r="G1122" s="401">
        <v>0.28599999999999998</v>
      </c>
      <c r="H1122" s="401">
        <v>7.4999999999999997E-2</v>
      </c>
      <c r="I1122" s="399">
        <f t="shared" si="27"/>
        <v>-0.24</v>
      </c>
      <c r="J1122" s="404"/>
      <c r="K1122" s="1234"/>
      <c r="L1122" s="431"/>
      <c r="M1122" s="431"/>
      <c r="N1122" s="431"/>
    </row>
    <row r="1123" spans="1:14" s="398" customFormat="1" hidden="1" outlineLevel="1">
      <c r="A1123" s="1232"/>
      <c r="B1123" s="311" t="s">
        <v>684</v>
      </c>
      <c r="C1123" s="530" t="s">
        <v>167</v>
      </c>
      <c r="D1123" s="400">
        <v>-1</v>
      </c>
      <c r="E1123" s="170">
        <v>2</v>
      </c>
      <c r="F1123" s="401">
        <v>1.2</v>
      </c>
      <c r="G1123" s="401">
        <v>0.375</v>
      </c>
      <c r="H1123" s="401">
        <v>7.4999999999999997E-2</v>
      </c>
      <c r="I1123" s="399">
        <f t="shared" si="27"/>
        <v>-7.0000000000000007E-2</v>
      </c>
      <c r="J1123" s="404"/>
      <c r="K1123" s="1234"/>
      <c r="L1123" s="431"/>
      <c r="M1123" s="431"/>
      <c r="N1123" s="431"/>
    </row>
    <row r="1124" spans="1:14" s="398" customFormat="1" ht="34.5" hidden="1" outlineLevel="1">
      <c r="A1124" s="1232"/>
      <c r="B1124" s="311" t="s">
        <v>917</v>
      </c>
      <c r="C1124" s="530" t="s">
        <v>167</v>
      </c>
      <c r="D1124" s="400">
        <v>1</v>
      </c>
      <c r="E1124" s="170">
        <v>1</v>
      </c>
      <c r="F1124" s="401">
        <f>103532600/1000000</f>
        <v>103.5326</v>
      </c>
      <c r="G1124" s="401"/>
      <c r="H1124" s="401">
        <v>7.4999999999999997E-2</v>
      </c>
      <c r="I1124" s="399">
        <f t="shared" si="27"/>
        <v>7.76</v>
      </c>
      <c r="J1124" s="404"/>
      <c r="K1124" s="1240" t="s">
        <v>624</v>
      </c>
      <c r="L1124" s="431"/>
      <c r="M1124" s="431"/>
      <c r="N1124" s="431"/>
    </row>
    <row r="1125" spans="1:14" s="398" customFormat="1" ht="34.5" hidden="1" outlineLevel="1">
      <c r="A1125" s="1232"/>
      <c r="B1125" s="311" t="s">
        <v>918</v>
      </c>
      <c r="C1125" s="530" t="s">
        <v>167</v>
      </c>
      <c r="D1125" s="400">
        <v>1</v>
      </c>
      <c r="E1125" s="170">
        <v>1</v>
      </c>
      <c r="F1125" s="401">
        <f>60369247.9/1000000</f>
        <v>60.369247899999998</v>
      </c>
      <c r="G1125" s="401"/>
      <c r="H1125" s="401">
        <v>7.4999999999999997E-2</v>
      </c>
      <c r="I1125" s="399">
        <f t="shared" si="27"/>
        <v>4.53</v>
      </c>
      <c r="J1125" s="404"/>
      <c r="K1125" s="1240" t="s">
        <v>624</v>
      </c>
      <c r="L1125" s="431"/>
      <c r="M1125" s="431"/>
      <c r="N1125" s="431"/>
    </row>
    <row r="1126" spans="1:14" s="398" customFormat="1" ht="34.5" hidden="1" outlineLevel="1">
      <c r="A1126" s="1232"/>
      <c r="B1126" s="311" t="s">
        <v>877</v>
      </c>
      <c r="C1126" s="530" t="s">
        <v>167</v>
      </c>
      <c r="D1126" s="400">
        <v>1</v>
      </c>
      <c r="E1126" s="170">
        <v>1</v>
      </c>
      <c r="F1126" s="401">
        <f>17981775.2/1000000</f>
        <v>17.981775199999998</v>
      </c>
      <c r="G1126" s="401"/>
      <c r="H1126" s="401">
        <v>7.4999999999999997E-2</v>
      </c>
      <c r="I1126" s="399">
        <f t="shared" si="27"/>
        <v>1.35</v>
      </c>
      <c r="J1126" s="404"/>
      <c r="K1126" s="1240" t="s">
        <v>624</v>
      </c>
      <c r="L1126" s="431"/>
      <c r="M1126" s="431"/>
      <c r="N1126" s="431"/>
    </row>
    <row r="1127" spans="1:14" s="398" customFormat="1" ht="34.5" hidden="1" outlineLevel="1">
      <c r="A1127" s="1232"/>
      <c r="B1127" s="311" t="s">
        <v>919</v>
      </c>
      <c r="C1127" s="530" t="s">
        <v>167</v>
      </c>
      <c r="D1127" s="400">
        <v>1</v>
      </c>
      <c r="E1127" s="170">
        <v>1</v>
      </c>
      <c r="F1127" s="662">
        <v>82.808999999999997</v>
      </c>
      <c r="G1127" s="401"/>
      <c r="H1127" s="401">
        <v>7.4999999999999997E-2</v>
      </c>
      <c r="I1127" s="399">
        <f t="shared" si="27"/>
        <v>6.21</v>
      </c>
      <c r="J1127" s="404"/>
      <c r="K1127" s="1240" t="s">
        <v>624</v>
      </c>
      <c r="L1127" s="431"/>
      <c r="M1127" s="431"/>
      <c r="N1127" s="431"/>
    </row>
    <row r="1128" spans="1:14" s="398" customFormat="1" hidden="1" outlineLevel="1">
      <c r="A1128" s="1232"/>
      <c r="B1128" s="311"/>
      <c r="C1128" s="530"/>
      <c r="D1128" s="400"/>
      <c r="E1128" s="170"/>
      <c r="F1128" s="401"/>
      <c r="G1128" s="401"/>
      <c r="H1128" s="401"/>
      <c r="I1128" s="399" t="str">
        <f t="shared" si="27"/>
        <v/>
      </c>
      <c r="J1128" s="404"/>
      <c r="K1128" s="1240"/>
      <c r="L1128" s="431"/>
      <c r="M1128" s="431"/>
      <c r="N1128" s="431"/>
    </row>
    <row r="1129" spans="1:14" s="398" customFormat="1" hidden="1" outlineLevel="1">
      <c r="A1129" s="1232"/>
      <c r="B1129" s="592" t="s">
        <v>878</v>
      </c>
      <c r="C1129" s="530"/>
      <c r="D1129" s="400"/>
      <c r="E1129" s="170"/>
      <c r="F1129" s="401"/>
      <c r="G1129" s="401"/>
      <c r="H1129" s="401"/>
      <c r="I1129" s="399" t="str">
        <f t="shared" si="27"/>
        <v/>
      </c>
      <c r="J1129" s="404"/>
      <c r="K1129" s="1234"/>
      <c r="L1129" s="431"/>
      <c r="M1129" s="431"/>
      <c r="N1129" s="431"/>
    </row>
    <row r="1130" spans="1:14" s="398" customFormat="1" hidden="1" outlineLevel="1">
      <c r="A1130" s="1232"/>
      <c r="B1130" s="311"/>
      <c r="C1130" s="530"/>
      <c r="D1130" s="400"/>
      <c r="E1130" s="170"/>
      <c r="F1130" s="401"/>
      <c r="G1130" s="401"/>
      <c r="H1130" s="401"/>
      <c r="I1130" s="399" t="str">
        <f t="shared" si="27"/>
        <v/>
      </c>
      <c r="J1130" s="404"/>
      <c r="K1130" s="1234"/>
      <c r="L1130" s="431"/>
      <c r="M1130" s="431"/>
      <c r="N1130" s="431"/>
    </row>
    <row r="1131" spans="1:14" s="398" customFormat="1" ht="34.5" hidden="1" outlineLevel="1">
      <c r="A1131" s="1232"/>
      <c r="B1131" s="311" t="s">
        <v>920</v>
      </c>
      <c r="C1131" s="530" t="s">
        <v>167</v>
      </c>
      <c r="D1131" s="400">
        <v>1</v>
      </c>
      <c r="E1131" s="170">
        <v>1</v>
      </c>
      <c r="F1131" s="662">
        <v>43.026000000000003</v>
      </c>
      <c r="G1131" s="401"/>
      <c r="H1131" s="401">
        <v>7.4999999999999997E-2</v>
      </c>
      <c r="I1131" s="399">
        <f t="shared" si="27"/>
        <v>3.23</v>
      </c>
      <c r="J1131" s="404"/>
      <c r="K1131" s="1240" t="s">
        <v>624</v>
      </c>
      <c r="L1131" s="431"/>
      <c r="M1131" s="431"/>
      <c r="N1131" s="431"/>
    </row>
    <row r="1132" spans="1:14" s="398" customFormat="1" hidden="1" outlineLevel="1">
      <c r="A1132" s="1232"/>
      <c r="B1132" s="311" t="s">
        <v>921</v>
      </c>
      <c r="C1132" s="530" t="s">
        <v>167</v>
      </c>
      <c r="D1132" s="400">
        <v>1</v>
      </c>
      <c r="E1132" s="170">
        <v>1</v>
      </c>
      <c r="F1132" s="401">
        <f>235971026/1000000</f>
        <v>235.97102599999999</v>
      </c>
      <c r="G1132" s="401"/>
      <c r="H1132" s="401">
        <v>7.4999999999999997E-2</v>
      </c>
      <c r="I1132" s="399">
        <f t="shared" si="27"/>
        <v>17.7</v>
      </c>
      <c r="J1132" s="404"/>
      <c r="K1132" s="1240" t="s">
        <v>624</v>
      </c>
      <c r="L1132" s="431"/>
      <c r="M1132" s="431"/>
      <c r="N1132" s="431"/>
    </row>
    <row r="1133" spans="1:14" s="398" customFormat="1" hidden="1" outlineLevel="1">
      <c r="A1133" s="1232"/>
      <c r="B1133" s="311" t="s">
        <v>922</v>
      </c>
      <c r="C1133" s="530" t="s">
        <v>167</v>
      </c>
      <c r="D1133" s="400">
        <v>1</v>
      </c>
      <c r="E1133" s="170">
        <v>1</v>
      </c>
      <c r="F1133" s="401">
        <f>229385941/1000000</f>
        <v>229.385941</v>
      </c>
      <c r="G1133" s="401"/>
      <c r="H1133" s="401">
        <v>7.4999999999999997E-2</v>
      </c>
      <c r="I1133" s="399">
        <f t="shared" si="27"/>
        <v>17.2</v>
      </c>
      <c r="J1133" s="404"/>
      <c r="K1133" s="1240" t="s">
        <v>624</v>
      </c>
      <c r="L1133" s="431"/>
      <c r="M1133" s="431"/>
      <c r="N1133" s="431"/>
    </row>
    <row r="1134" spans="1:14" s="398" customFormat="1" hidden="1" outlineLevel="1">
      <c r="A1134" s="1232"/>
      <c r="B1134" s="311" t="s">
        <v>923</v>
      </c>
      <c r="C1134" s="530" t="s">
        <v>167</v>
      </c>
      <c r="D1134" s="400">
        <v>1</v>
      </c>
      <c r="E1134" s="170">
        <v>1</v>
      </c>
      <c r="F1134" s="401">
        <f>161301156/1000000</f>
        <v>161.30115599999999</v>
      </c>
      <c r="G1134" s="401"/>
      <c r="H1134" s="401">
        <v>7.4999999999999997E-2</v>
      </c>
      <c r="I1134" s="399">
        <f t="shared" si="27"/>
        <v>12.1</v>
      </c>
      <c r="J1134" s="404"/>
      <c r="K1134" s="1240" t="s">
        <v>624</v>
      </c>
      <c r="L1134" s="431"/>
      <c r="M1134" s="431"/>
      <c r="N1134" s="431"/>
    </row>
    <row r="1135" spans="1:14" s="398" customFormat="1" hidden="1" outlineLevel="1">
      <c r="A1135" s="1232"/>
      <c r="B1135" s="311"/>
      <c r="C1135" s="530"/>
      <c r="D1135" s="400"/>
      <c r="E1135" s="170"/>
      <c r="F1135" s="401"/>
      <c r="G1135" s="401"/>
      <c r="H1135" s="401"/>
      <c r="I1135" s="399" t="str">
        <f t="shared" si="27"/>
        <v/>
      </c>
      <c r="J1135" s="404"/>
      <c r="K1135" s="1240"/>
      <c r="L1135" s="431"/>
      <c r="M1135" s="431"/>
      <c r="N1135" s="431"/>
    </row>
    <row r="1136" spans="1:14" ht="34.5" hidden="1" outlineLevel="1">
      <c r="A1136" s="1241"/>
      <c r="B1136" s="594" t="s">
        <v>621</v>
      </c>
      <c r="C1136" s="386" t="s">
        <v>2</v>
      </c>
      <c r="D1136" s="390"/>
      <c r="E1136" s="386"/>
      <c r="F1136" s="1353"/>
      <c r="G1136" s="1353"/>
      <c r="H1136" s="1353"/>
      <c r="I1136" s="399" t="str">
        <f t="shared" si="27"/>
        <v/>
      </c>
      <c r="J1136" s="162"/>
      <c r="K1136" s="1229"/>
    </row>
    <row r="1137" spans="1:14" hidden="1" outlineLevel="1">
      <c r="A1137" s="1238"/>
      <c r="B1137" s="389"/>
      <c r="C1137" s="386" t="s">
        <v>2</v>
      </c>
      <c r="D1137" s="390"/>
      <c r="E1137" s="386"/>
      <c r="F1137" s="1353"/>
      <c r="G1137" s="1353"/>
      <c r="H1137" s="1353"/>
      <c r="I1137" s="399" t="str">
        <f t="shared" si="27"/>
        <v/>
      </c>
      <c r="J1137" s="162"/>
      <c r="K1137" s="1229"/>
    </row>
    <row r="1138" spans="1:14" s="342" customFormat="1" hidden="1" outlineLevel="1">
      <c r="A1138" s="1238"/>
      <c r="B1138" s="389" t="s">
        <v>263</v>
      </c>
      <c r="C1138" s="386" t="s">
        <v>2</v>
      </c>
      <c r="D1138" s="390">
        <f>1</f>
        <v>1</v>
      </c>
      <c r="E1138" s="386">
        <v>6</v>
      </c>
      <c r="F1138" s="1353">
        <f>4.5+0.15+0.15+0.1+0.1</f>
        <v>5</v>
      </c>
      <c r="G1138" s="1353">
        <f>1+0.15+0.1</f>
        <v>1.25</v>
      </c>
      <c r="H1138" s="1353">
        <v>0.1</v>
      </c>
      <c r="I1138" s="399">
        <f t="shared" si="27"/>
        <v>3.75</v>
      </c>
      <c r="J1138" s="162"/>
      <c r="K1138" s="1229"/>
      <c r="L1138" s="341"/>
      <c r="M1138" s="341"/>
      <c r="N1138" s="341"/>
    </row>
    <row r="1139" spans="1:14" s="342" customFormat="1" hidden="1" outlineLevel="1">
      <c r="A1139" s="1238"/>
      <c r="B1139" s="389"/>
      <c r="C1139" s="386" t="s">
        <v>2</v>
      </c>
      <c r="D1139" s="390">
        <f>1</f>
        <v>1</v>
      </c>
      <c r="E1139" s="386">
        <v>3</v>
      </c>
      <c r="F1139" s="1353">
        <f>4.5+0.15+0.15+0.1+0.1</f>
        <v>5</v>
      </c>
      <c r="G1139" s="1353">
        <f>1+0.15+0.15+0.1+0.1</f>
        <v>1.5</v>
      </c>
      <c r="H1139" s="1353">
        <v>0.1</v>
      </c>
      <c r="I1139" s="399">
        <f t="shared" si="27"/>
        <v>2.25</v>
      </c>
      <c r="J1139" s="162"/>
      <c r="K1139" s="1229"/>
      <c r="L1139" s="341"/>
      <c r="M1139" s="341"/>
      <c r="N1139" s="341"/>
    </row>
    <row r="1140" spans="1:14" s="398" customFormat="1" hidden="1" outlineLevel="1">
      <c r="A1140" s="1232"/>
      <c r="B1140" s="311"/>
      <c r="C1140" s="530"/>
      <c r="D1140" s="400"/>
      <c r="E1140" s="170"/>
      <c r="F1140" s="401"/>
      <c r="G1140" s="401"/>
      <c r="H1140" s="401"/>
      <c r="I1140" s="399" t="str">
        <f t="shared" si="27"/>
        <v/>
      </c>
      <c r="J1140" s="404"/>
      <c r="K1140" s="1240"/>
      <c r="L1140" s="431"/>
      <c r="M1140" s="431"/>
      <c r="N1140" s="431"/>
    </row>
    <row r="1141" spans="1:14" ht="51.75" hidden="1" outlineLevel="1">
      <c r="A1141" s="1241"/>
      <c r="B1141" s="594" t="s">
        <v>617</v>
      </c>
      <c r="C1141" s="386" t="s">
        <v>2</v>
      </c>
      <c r="D1141" s="390"/>
      <c r="E1141" s="386"/>
      <c r="F1141" s="1353"/>
      <c r="G1141" s="1353"/>
      <c r="H1141" s="1353"/>
      <c r="I1141" s="399" t="str">
        <f t="shared" si="27"/>
        <v/>
      </c>
      <c r="J1141" s="162"/>
      <c r="K1141" s="1229"/>
    </row>
    <row r="1142" spans="1:14" hidden="1" outlineLevel="1">
      <c r="A1142" s="1238"/>
      <c r="B1142" s="391" t="s">
        <v>883</v>
      </c>
      <c r="C1142" s="386"/>
      <c r="D1142" s="390"/>
      <c r="E1142" s="386"/>
      <c r="F1142" s="1353"/>
      <c r="G1142" s="1353"/>
      <c r="H1142" s="1353"/>
      <c r="I1142" s="399" t="str">
        <f t="shared" si="27"/>
        <v/>
      </c>
      <c r="J1142" s="162"/>
      <c r="K1142" s="1229"/>
    </row>
    <row r="1143" spans="1:14" hidden="1" outlineLevel="1">
      <c r="A1143" s="1238"/>
      <c r="B1143" s="389" t="s">
        <v>884</v>
      </c>
      <c r="C1143" s="386" t="s">
        <v>2</v>
      </c>
      <c r="D1143" s="390">
        <v>1</v>
      </c>
      <c r="E1143" s="627">
        <f>10-8</f>
        <v>2</v>
      </c>
      <c r="F1143" s="1353">
        <v>7.625</v>
      </c>
      <c r="G1143" s="1353">
        <f>0.46+0.15+0.15</f>
        <v>0.76</v>
      </c>
      <c r="H1143" s="1353">
        <v>0.15</v>
      </c>
      <c r="I1143" s="399">
        <f t="shared" si="27"/>
        <v>1.74</v>
      </c>
      <c r="J1143" s="162"/>
      <c r="K1143" s="1229"/>
    </row>
    <row r="1144" spans="1:14" hidden="1" outlineLevel="1">
      <c r="A1144" s="1241"/>
      <c r="B1144" s="595" t="s">
        <v>885</v>
      </c>
      <c r="C1144" s="386"/>
      <c r="D1144" s="390"/>
      <c r="E1144" s="390"/>
      <c r="F1144" s="1353"/>
      <c r="G1144" s="1353"/>
      <c r="H1144" s="1353"/>
      <c r="I1144" s="399" t="str">
        <f t="shared" si="27"/>
        <v/>
      </c>
      <c r="J1144" s="162"/>
      <c r="K1144" s="1229"/>
    </row>
    <row r="1145" spans="1:14" s="263" customFormat="1" ht="34.5" hidden="1" outlineLevel="1">
      <c r="A1145" s="1241"/>
      <c r="B1145" s="311" t="s">
        <v>255</v>
      </c>
      <c r="C1145" s="319"/>
      <c r="D1145" s="392"/>
      <c r="E1145" s="165"/>
      <c r="F1145" s="401"/>
      <c r="G1145" s="401"/>
      <c r="H1145" s="401"/>
      <c r="I1145" s="399" t="str">
        <f t="shared" si="27"/>
        <v/>
      </c>
      <c r="J1145" s="393"/>
      <c r="K1145" s="1239"/>
      <c r="L1145" s="262"/>
      <c r="M1145" s="262"/>
      <c r="N1145" s="262"/>
    </row>
    <row r="1146" spans="1:14" s="263" customFormat="1" hidden="1" outlineLevel="1">
      <c r="A1146" s="1241"/>
      <c r="B1146" s="311"/>
      <c r="C1146" s="319"/>
      <c r="D1146" s="392"/>
      <c r="E1146" s="165"/>
      <c r="F1146" s="401"/>
      <c r="G1146" s="401"/>
      <c r="H1146" s="401"/>
      <c r="I1146" s="399" t="str">
        <f t="shared" si="27"/>
        <v/>
      </c>
      <c r="J1146" s="393"/>
      <c r="K1146" s="1239"/>
      <c r="L1146" s="262"/>
      <c r="M1146" s="262"/>
      <c r="N1146" s="262"/>
    </row>
    <row r="1147" spans="1:14" s="263" customFormat="1" hidden="1" outlineLevel="1">
      <c r="A1147" s="1241"/>
      <c r="B1147" s="311"/>
      <c r="C1147" s="319"/>
      <c r="D1147" s="392">
        <v>1</v>
      </c>
      <c r="E1147" s="165">
        <v>3</v>
      </c>
      <c r="F1147" s="401">
        <v>7.625</v>
      </c>
      <c r="G1147" s="1353">
        <f>0.46+0.15+0.15</f>
        <v>0.76</v>
      </c>
      <c r="H1147" s="401">
        <v>0.15</v>
      </c>
      <c r="I1147" s="399">
        <f t="shared" si="27"/>
        <v>2.61</v>
      </c>
      <c r="J1147" s="393"/>
      <c r="K1147" s="1239"/>
      <c r="L1147" s="262"/>
      <c r="M1147" s="262"/>
      <c r="N1147" s="262"/>
    </row>
    <row r="1148" spans="1:14" s="263" customFormat="1" ht="34.5" hidden="1" outlineLevel="1">
      <c r="A1148" s="1241"/>
      <c r="B1148" s="426" t="s">
        <v>1303</v>
      </c>
      <c r="C1148" s="319"/>
      <c r="D1148" s="392"/>
      <c r="E1148" s="165"/>
      <c r="F1148" s="401"/>
      <c r="G1148" s="401"/>
      <c r="H1148" s="401"/>
      <c r="I1148" s="399" t="str">
        <f t="shared" si="27"/>
        <v/>
      </c>
      <c r="J1148" s="393"/>
      <c r="K1148" s="1239"/>
      <c r="L1148" s="262"/>
      <c r="M1148" s="262"/>
      <c r="N1148" s="262"/>
    </row>
    <row r="1149" spans="1:14" s="263" customFormat="1" hidden="1" outlineLevel="1">
      <c r="A1149" s="1241"/>
      <c r="B1149" s="311"/>
      <c r="C1149" s="319" t="s">
        <v>2</v>
      </c>
      <c r="D1149" s="392">
        <v>1</v>
      </c>
      <c r="E1149" s="165">
        <v>8</v>
      </c>
      <c r="F1149" s="401">
        <v>7.625</v>
      </c>
      <c r="G1149" s="1353">
        <f>0.46+0.15+0.15</f>
        <v>0.76</v>
      </c>
      <c r="H1149" s="401">
        <v>0.15</v>
      </c>
      <c r="I1149" s="399">
        <f t="shared" si="27"/>
        <v>6.95</v>
      </c>
      <c r="J1149" s="393"/>
      <c r="K1149" s="1239"/>
      <c r="L1149" s="262"/>
      <c r="M1149" s="262"/>
      <c r="N1149" s="262"/>
    </row>
    <row r="1150" spans="1:14" s="263" customFormat="1" hidden="1" outlineLevel="1">
      <c r="A1150" s="1241"/>
      <c r="B1150" s="311"/>
      <c r="C1150" s="319" t="s">
        <v>2</v>
      </c>
      <c r="D1150" s="392">
        <v>1</v>
      </c>
      <c r="E1150" s="165">
        <v>1</v>
      </c>
      <c r="F1150" s="401">
        <v>9.35</v>
      </c>
      <c r="G1150" s="1353">
        <f>0.46+0.15+0.15</f>
        <v>0.76</v>
      </c>
      <c r="H1150" s="401">
        <v>0.15</v>
      </c>
      <c r="I1150" s="399">
        <f t="shared" si="27"/>
        <v>1.07</v>
      </c>
      <c r="J1150" s="393"/>
      <c r="K1150" s="1239"/>
      <c r="L1150" s="262"/>
      <c r="M1150" s="262"/>
      <c r="N1150" s="262"/>
    </row>
    <row r="1151" spans="1:14" hidden="1" outlineLevel="1">
      <c r="A1151" s="1241"/>
      <c r="B1151" s="389"/>
      <c r="C1151" s="386"/>
      <c r="D1151" s="390"/>
      <c r="E1151" s="386"/>
      <c r="F1151" s="1353"/>
      <c r="G1151" s="1353"/>
      <c r="H1151" s="1353"/>
      <c r="I1151" s="399" t="str">
        <f t="shared" si="27"/>
        <v/>
      </c>
      <c r="J1151" s="393"/>
      <c r="K1151" s="1229"/>
    </row>
    <row r="1152" spans="1:14" ht="51.75" hidden="1" outlineLevel="1">
      <c r="A1152" s="1241"/>
      <c r="B1152" s="391" t="s">
        <v>617</v>
      </c>
      <c r="C1152" s="386" t="s">
        <v>2</v>
      </c>
      <c r="D1152" s="390"/>
      <c r="E1152" s="386"/>
      <c r="F1152" s="1353"/>
      <c r="G1152" s="1353"/>
      <c r="H1152" s="1353"/>
      <c r="I1152" s="399" t="str">
        <f t="shared" si="27"/>
        <v/>
      </c>
      <c r="J1152" s="393"/>
      <c r="K1152" s="1229"/>
    </row>
    <row r="1153" spans="1:14" hidden="1" outlineLevel="1">
      <c r="A1153" s="1241"/>
      <c r="B1153" s="391" t="s">
        <v>883</v>
      </c>
      <c r="C1153" s="386" t="s">
        <v>2</v>
      </c>
      <c r="D1153" s="390">
        <v>1</v>
      </c>
      <c r="E1153" s="386">
        <v>1</v>
      </c>
      <c r="F1153" s="1353">
        <v>4.6349999999999998</v>
      </c>
      <c r="G1153" s="1353">
        <f t="shared" ref="G1153:G1160" si="28">0.46+0.15+0.15</f>
        <v>0.76</v>
      </c>
      <c r="H1153" s="1353">
        <v>0.15</v>
      </c>
      <c r="I1153" s="399">
        <f t="shared" si="27"/>
        <v>0.53</v>
      </c>
      <c r="J1153" s="393"/>
      <c r="K1153" s="1229"/>
    </row>
    <row r="1154" spans="1:14" hidden="1" outlineLevel="1">
      <c r="A1154" s="1241"/>
      <c r="B1154" s="389"/>
      <c r="C1154" s="386" t="s">
        <v>2</v>
      </c>
      <c r="D1154" s="390">
        <v>1</v>
      </c>
      <c r="E1154" s="386">
        <v>8</v>
      </c>
      <c r="F1154" s="1353">
        <v>7.625</v>
      </c>
      <c r="G1154" s="1353">
        <f t="shared" si="28"/>
        <v>0.76</v>
      </c>
      <c r="H1154" s="1353">
        <v>0.15</v>
      </c>
      <c r="I1154" s="399">
        <f t="shared" si="27"/>
        <v>6.95</v>
      </c>
      <c r="J1154" s="393"/>
      <c r="K1154" s="1229"/>
    </row>
    <row r="1155" spans="1:14" hidden="1" outlineLevel="1">
      <c r="A1155" s="1241"/>
      <c r="B1155" s="389"/>
      <c r="C1155" s="386" t="s">
        <v>2</v>
      </c>
      <c r="D1155" s="390">
        <v>1</v>
      </c>
      <c r="E1155" s="386">
        <v>1</v>
      </c>
      <c r="F1155" s="1353">
        <v>10.14</v>
      </c>
      <c r="G1155" s="1353">
        <f t="shared" si="28"/>
        <v>0.76</v>
      </c>
      <c r="H1155" s="1353">
        <v>0.15</v>
      </c>
      <c r="I1155" s="399">
        <f t="shared" si="27"/>
        <v>1.1599999999999999</v>
      </c>
      <c r="J1155" s="393"/>
      <c r="K1155" s="1229"/>
    </row>
    <row r="1156" spans="1:14" hidden="1" outlineLevel="1">
      <c r="A1156" s="1241"/>
      <c r="B1156" s="391" t="s">
        <v>619</v>
      </c>
      <c r="C1156" s="386" t="s">
        <v>2</v>
      </c>
      <c r="D1156" s="390">
        <v>1</v>
      </c>
      <c r="E1156" s="386">
        <v>1</v>
      </c>
      <c r="F1156" s="1353">
        <f>14.67-G1156</f>
        <v>13.91</v>
      </c>
      <c r="G1156" s="1353">
        <f t="shared" si="28"/>
        <v>0.76</v>
      </c>
      <c r="H1156" s="1353">
        <v>0.15</v>
      </c>
      <c r="I1156" s="399">
        <f t="shared" si="27"/>
        <v>1.59</v>
      </c>
      <c r="J1156" s="393"/>
      <c r="K1156" s="1229"/>
    </row>
    <row r="1157" spans="1:14" hidden="1" outlineLevel="1">
      <c r="A1157" s="1241"/>
      <c r="B1157" s="389"/>
      <c r="C1157" s="386" t="s">
        <v>2</v>
      </c>
      <c r="D1157" s="390">
        <v>1</v>
      </c>
      <c r="E1157" s="386">
        <f>13-8</f>
        <v>5</v>
      </c>
      <c r="F1157" s="1353">
        <v>7.625</v>
      </c>
      <c r="G1157" s="1353">
        <f t="shared" si="28"/>
        <v>0.76</v>
      </c>
      <c r="H1157" s="1353">
        <v>0.15</v>
      </c>
      <c r="I1157" s="399">
        <f t="shared" si="27"/>
        <v>4.3499999999999996</v>
      </c>
      <c r="J1157" s="393"/>
      <c r="K1157" s="1229"/>
    </row>
    <row r="1158" spans="1:14" hidden="1" outlineLevel="1">
      <c r="A1158" s="1241"/>
      <c r="B1158" s="389"/>
      <c r="C1158" s="386" t="s">
        <v>2</v>
      </c>
      <c r="D1158" s="390">
        <v>1</v>
      </c>
      <c r="E1158" s="386">
        <v>1</v>
      </c>
      <c r="F1158" s="1353">
        <f>10.215-9.95</f>
        <v>0.26500000000000057</v>
      </c>
      <c r="G1158" s="1353">
        <f t="shared" si="28"/>
        <v>0.76</v>
      </c>
      <c r="H1158" s="1353">
        <v>0.15</v>
      </c>
      <c r="I1158" s="399">
        <f t="shared" ref="I1158:I1220" si="29">IF(D1158&lt;&gt;0,ROUND(PRODUCT(E1158:H1158)*D1158,2),"")</f>
        <v>0.03</v>
      </c>
      <c r="J1158" s="393"/>
      <c r="K1158" s="1229"/>
    </row>
    <row r="1159" spans="1:14" hidden="1" outlineLevel="1">
      <c r="A1159" s="1241"/>
      <c r="B1159" s="391" t="s">
        <v>620</v>
      </c>
      <c r="C1159" s="386" t="s">
        <v>2</v>
      </c>
      <c r="D1159" s="390">
        <v>1</v>
      </c>
      <c r="E1159" s="386">
        <v>1</v>
      </c>
      <c r="F1159" s="1353">
        <f>8.14-G1159</f>
        <v>7.3800000000000008</v>
      </c>
      <c r="G1159" s="1353">
        <f t="shared" si="28"/>
        <v>0.76</v>
      </c>
      <c r="H1159" s="1353">
        <v>0.15</v>
      </c>
      <c r="I1159" s="399">
        <f t="shared" si="29"/>
        <v>0.84</v>
      </c>
      <c r="J1159" s="393"/>
      <c r="K1159" s="1229"/>
    </row>
    <row r="1160" spans="1:14" hidden="1" outlineLevel="1">
      <c r="A1160" s="1241"/>
      <c r="B1160" s="389"/>
      <c r="C1160" s="386" t="s">
        <v>2</v>
      </c>
      <c r="D1160" s="390">
        <v>1</v>
      </c>
      <c r="E1160" s="386">
        <v>2</v>
      </c>
      <c r="F1160" s="1353">
        <v>7.625</v>
      </c>
      <c r="G1160" s="1353">
        <f t="shared" si="28"/>
        <v>0.76</v>
      </c>
      <c r="H1160" s="1353">
        <v>0.15</v>
      </c>
      <c r="I1160" s="399">
        <f t="shared" si="29"/>
        <v>1.74</v>
      </c>
      <c r="J1160" s="393"/>
      <c r="K1160" s="1229"/>
    </row>
    <row r="1161" spans="1:14" hidden="1" outlineLevel="1">
      <c r="A1161" s="1241"/>
      <c r="B1161" s="389"/>
      <c r="C1161" s="386"/>
      <c r="D1161" s="390"/>
      <c r="E1161" s="390"/>
      <c r="F1161" s="1353"/>
      <c r="G1161" s="1353"/>
      <c r="H1161" s="1353"/>
      <c r="I1161" s="399" t="str">
        <f t="shared" si="29"/>
        <v/>
      </c>
      <c r="J1161" s="393"/>
      <c r="K1161" s="1229"/>
    </row>
    <row r="1162" spans="1:14" s="263" customFormat="1" hidden="1" outlineLevel="1">
      <c r="A1162" s="1238"/>
      <c r="B1162" s="592" t="s">
        <v>886</v>
      </c>
      <c r="C1162" s="319"/>
      <c r="D1162" s="392"/>
      <c r="E1162" s="165"/>
      <c r="F1162" s="401"/>
      <c r="G1162" s="401"/>
      <c r="H1162" s="401"/>
      <c r="I1162" s="399" t="str">
        <f t="shared" si="29"/>
        <v/>
      </c>
      <c r="J1162" s="162"/>
      <c r="K1162" s="1239"/>
      <c r="L1162" s="262"/>
      <c r="M1162" s="262"/>
      <c r="N1162" s="262"/>
    </row>
    <row r="1163" spans="1:14" s="263" customFormat="1" ht="34.5" hidden="1" outlineLevel="1">
      <c r="A1163" s="1238"/>
      <c r="B1163" s="311" t="s">
        <v>255</v>
      </c>
      <c r="C1163" s="319"/>
      <c r="D1163" s="392"/>
      <c r="E1163" s="165"/>
      <c r="F1163" s="401"/>
      <c r="G1163" s="401"/>
      <c r="H1163" s="401"/>
      <c r="I1163" s="399" t="str">
        <f t="shared" si="29"/>
        <v/>
      </c>
      <c r="J1163" s="162"/>
      <c r="K1163" s="1239"/>
      <c r="L1163" s="262"/>
      <c r="M1163" s="262"/>
      <c r="N1163" s="262"/>
    </row>
    <row r="1164" spans="1:14" s="263" customFormat="1" hidden="1" outlineLevel="1">
      <c r="A1164" s="1238"/>
      <c r="B1164" s="311"/>
      <c r="C1164" s="319"/>
      <c r="D1164" s="392"/>
      <c r="E1164" s="165"/>
      <c r="F1164" s="401"/>
      <c r="G1164" s="401"/>
      <c r="H1164" s="401"/>
      <c r="I1164" s="399" t="str">
        <f t="shared" si="29"/>
        <v/>
      </c>
      <c r="J1164" s="162"/>
      <c r="K1164" s="1239"/>
      <c r="L1164" s="262"/>
      <c r="M1164" s="262"/>
      <c r="N1164" s="262"/>
    </row>
    <row r="1165" spans="1:14" s="263" customFormat="1" hidden="1" outlineLevel="1">
      <c r="A1165" s="1238"/>
      <c r="B1165" s="311"/>
      <c r="C1165" s="319"/>
      <c r="D1165" s="392">
        <v>-1</v>
      </c>
      <c r="E1165" s="165">
        <v>3</v>
      </c>
      <c r="F1165" s="401">
        <v>7.625</v>
      </c>
      <c r="G1165" s="401">
        <v>0.61</v>
      </c>
      <c r="H1165" s="401">
        <v>0.15</v>
      </c>
      <c r="I1165" s="399">
        <f t="shared" si="29"/>
        <v>-2.09</v>
      </c>
      <c r="J1165" s="162"/>
      <c r="K1165" s="1239"/>
      <c r="L1165" s="262"/>
      <c r="M1165" s="262"/>
      <c r="N1165" s="262"/>
    </row>
    <row r="1166" spans="1:14" s="263" customFormat="1" ht="34.5" hidden="1" outlineLevel="1">
      <c r="A1166" s="1238"/>
      <c r="B1166" s="311" t="s">
        <v>256</v>
      </c>
      <c r="C1166" s="319"/>
      <c r="D1166" s="392"/>
      <c r="E1166" s="165"/>
      <c r="F1166" s="401"/>
      <c r="G1166" s="401"/>
      <c r="H1166" s="401"/>
      <c r="I1166" s="399" t="str">
        <f t="shared" si="29"/>
        <v/>
      </c>
      <c r="J1166" s="162"/>
      <c r="K1166" s="1239"/>
      <c r="L1166" s="262"/>
      <c r="M1166" s="262"/>
      <c r="N1166" s="262"/>
    </row>
    <row r="1167" spans="1:14" s="263" customFormat="1" hidden="1" outlineLevel="1">
      <c r="A1167" s="1238"/>
      <c r="B1167" s="311"/>
      <c r="C1167" s="319" t="s">
        <v>2</v>
      </c>
      <c r="D1167" s="392">
        <v>-1</v>
      </c>
      <c r="E1167" s="165">
        <v>8</v>
      </c>
      <c r="F1167" s="401">
        <v>7.625</v>
      </c>
      <c r="G1167" s="401">
        <v>0.61</v>
      </c>
      <c r="H1167" s="401">
        <v>0.15</v>
      </c>
      <c r="I1167" s="399">
        <f t="shared" si="29"/>
        <v>-5.58</v>
      </c>
      <c r="J1167" s="162"/>
      <c r="K1167" s="1239"/>
      <c r="L1167" s="262"/>
      <c r="M1167" s="262"/>
      <c r="N1167" s="262"/>
    </row>
    <row r="1168" spans="1:14" s="263" customFormat="1" hidden="1" outlineLevel="1">
      <c r="A1168" s="1238"/>
      <c r="B1168" s="311"/>
      <c r="C1168" s="319" t="s">
        <v>2</v>
      </c>
      <c r="D1168" s="392">
        <v>-1</v>
      </c>
      <c r="E1168" s="165">
        <v>1</v>
      </c>
      <c r="F1168" s="401">
        <v>9.35</v>
      </c>
      <c r="G1168" s="401">
        <v>0.61</v>
      </c>
      <c r="H1168" s="401">
        <v>0.15</v>
      </c>
      <c r="I1168" s="399">
        <f t="shared" si="29"/>
        <v>-0.86</v>
      </c>
      <c r="J1168" s="162"/>
      <c r="K1168" s="1239"/>
      <c r="L1168" s="262"/>
      <c r="M1168" s="262"/>
      <c r="N1168" s="262"/>
    </row>
    <row r="1169" spans="1:14" s="263" customFormat="1" hidden="1" outlineLevel="1">
      <c r="A1169" s="1238"/>
      <c r="B1169" s="311"/>
      <c r="C1169" s="319"/>
      <c r="D1169" s="392"/>
      <c r="E1169" s="165"/>
      <c r="F1169" s="401"/>
      <c r="G1169" s="401"/>
      <c r="H1169" s="401"/>
      <c r="I1169" s="399" t="str">
        <f t="shared" si="29"/>
        <v/>
      </c>
      <c r="J1169" s="162"/>
      <c r="K1169" s="1239"/>
      <c r="L1169" s="262"/>
      <c r="M1169" s="262"/>
      <c r="N1169" s="262"/>
    </row>
    <row r="1170" spans="1:14" ht="51.75" hidden="1" outlineLevel="1">
      <c r="A1170" s="1238"/>
      <c r="B1170" s="594" t="s">
        <v>617</v>
      </c>
      <c r="C1170" s="386" t="s">
        <v>2</v>
      </c>
      <c r="D1170" s="390"/>
      <c r="E1170" s="386"/>
      <c r="F1170" s="1353"/>
      <c r="G1170" s="1353"/>
      <c r="H1170" s="1353"/>
      <c r="I1170" s="399" t="str">
        <f t="shared" si="29"/>
        <v/>
      </c>
      <c r="J1170" s="162"/>
      <c r="K1170" s="1229"/>
    </row>
    <row r="1171" spans="1:14" hidden="1" outlineLevel="1">
      <c r="A1171" s="1238"/>
      <c r="B1171" s="391" t="s">
        <v>883</v>
      </c>
      <c r="C1171" s="386" t="s">
        <v>2</v>
      </c>
      <c r="D1171" s="390">
        <v>-1</v>
      </c>
      <c r="E1171" s="386">
        <v>1</v>
      </c>
      <c r="F1171" s="1353">
        <v>4.6349999999999998</v>
      </c>
      <c r="G1171" s="1353">
        <f t="shared" ref="G1171:G1178" si="30">0.46+0.15</f>
        <v>0.61</v>
      </c>
      <c r="H1171" s="1353">
        <v>0.15</v>
      </c>
      <c r="I1171" s="399">
        <f t="shared" si="29"/>
        <v>-0.42</v>
      </c>
      <c r="J1171" s="162"/>
      <c r="K1171" s="1229"/>
    </row>
    <row r="1172" spans="1:14" hidden="1" outlineLevel="1">
      <c r="A1172" s="1238"/>
      <c r="B1172" s="389"/>
      <c r="C1172" s="386" t="s">
        <v>2</v>
      </c>
      <c r="D1172" s="390">
        <v>-1</v>
      </c>
      <c r="E1172" s="386">
        <v>8</v>
      </c>
      <c r="F1172" s="1353">
        <v>7.625</v>
      </c>
      <c r="G1172" s="1353">
        <f t="shared" si="30"/>
        <v>0.61</v>
      </c>
      <c r="H1172" s="1353">
        <v>0.15</v>
      </c>
      <c r="I1172" s="399">
        <f t="shared" si="29"/>
        <v>-5.58</v>
      </c>
      <c r="J1172" s="162"/>
      <c r="K1172" s="1229"/>
    </row>
    <row r="1173" spans="1:14" hidden="1" outlineLevel="1">
      <c r="A1173" s="1238"/>
      <c r="B1173" s="389"/>
      <c r="C1173" s="386" t="s">
        <v>2</v>
      </c>
      <c r="D1173" s="390">
        <v>-1</v>
      </c>
      <c r="E1173" s="386">
        <v>1</v>
      </c>
      <c r="F1173" s="1353">
        <v>10.14</v>
      </c>
      <c r="G1173" s="1353">
        <f t="shared" si="30"/>
        <v>0.61</v>
      </c>
      <c r="H1173" s="1353">
        <v>0.15</v>
      </c>
      <c r="I1173" s="399">
        <f t="shared" si="29"/>
        <v>-0.93</v>
      </c>
      <c r="J1173" s="162"/>
      <c r="K1173" s="1229"/>
    </row>
    <row r="1174" spans="1:14" hidden="1" outlineLevel="1">
      <c r="A1174" s="1238"/>
      <c r="B1174" s="391" t="s">
        <v>619</v>
      </c>
      <c r="C1174" s="386" t="s">
        <v>2</v>
      </c>
      <c r="D1174" s="390">
        <v>-1</v>
      </c>
      <c r="E1174" s="386">
        <v>1</v>
      </c>
      <c r="F1174" s="1353">
        <f>14.67-G1174</f>
        <v>14.06</v>
      </c>
      <c r="G1174" s="1353">
        <f t="shared" si="30"/>
        <v>0.61</v>
      </c>
      <c r="H1174" s="1353">
        <v>0.15</v>
      </c>
      <c r="I1174" s="399">
        <f t="shared" si="29"/>
        <v>-1.29</v>
      </c>
      <c r="J1174" s="162"/>
      <c r="K1174" s="1229"/>
    </row>
    <row r="1175" spans="1:14" hidden="1" outlineLevel="1">
      <c r="A1175" s="1238"/>
      <c r="B1175" s="389"/>
      <c r="C1175" s="386" t="s">
        <v>2</v>
      </c>
      <c r="D1175" s="390">
        <v>-1</v>
      </c>
      <c r="E1175" s="386">
        <f>13-8</f>
        <v>5</v>
      </c>
      <c r="F1175" s="1353">
        <v>7.625</v>
      </c>
      <c r="G1175" s="1353">
        <f t="shared" si="30"/>
        <v>0.61</v>
      </c>
      <c r="H1175" s="1353">
        <v>0.15</v>
      </c>
      <c r="I1175" s="399">
        <f t="shared" si="29"/>
        <v>-3.49</v>
      </c>
      <c r="J1175" s="162"/>
      <c r="K1175" s="1229"/>
    </row>
    <row r="1176" spans="1:14" hidden="1" outlineLevel="1">
      <c r="A1176" s="1238"/>
      <c r="B1176" s="389"/>
      <c r="C1176" s="386" t="s">
        <v>2</v>
      </c>
      <c r="D1176" s="390">
        <v>-1</v>
      </c>
      <c r="E1176" s="386">
        <v>1</v>
      </c>
      <c r="F1176" s="1353">
        <f>10.215-9.95</f>
        <v>0.26500000000000057</v>
      </c>
      <c r="G1176" s="1353">
        <f t="shared" si="30"/>
        <v>0.61</v>
      </c>
      <c r="H1176" s="1353">
        <v>0.15</v>
      </c>
      <c r="I1176" s="399">
        <f t="shared" si="29"/>
        <v>-0.02</v>
      </c>
      <c r="J1176" s="162"/>
      <c r="K1176" s="1229"/>
    </row>
    <row r="1177" spans="1:14" hidden="1" outlineLevel="1">
      <c r="A1177" s="1238"/>
      <c r="B1177" s="391" t="s">
        <v>620</v>
      </c>
      <c r="C1177" s="386" t="s">
        <v>2</v>
      </c>
      <c r="D1177" s="390">
        <v>-1</v>
      </c>
      <c r="E1177" s="386">
        <v>1</v>
      </c>
      <c r="F1177" s="1353">
        <f>8.14-G1177</f>
        <v>7.53</v>
      </c>
      <c r="G1177" s="1353">
        <f t="shared" si="30"/>
        <v>0.61</v>
      </c>
      <c r="H1177" s="1353">
        <v>0.15</v>
      </c>
      <c r="I1177" s="399">
        <f t="shared" si="29"/>
        <v>-0.69</v>
      </c>
      <c r="J1177" s="162"/>
      <c r="K1177" s="1229"/>
    </row>
    <row r="1178" spans="1:14" hidden="1" outlineLevel="1">
      <c r="A1178" s="1238"/>
      <c r="B1178" s="389"/>
      <c r="C1178" s="386" t="s">
        <v>2</v>
      </c>
      <c r="D1178" s="390">
        <v>-1</v>
      </c>
      <c r="E1178" s="386">
        <v>2</v>
      </c>
      <c r="F1178" s="1353">
        <v>7.625</v>
      </c>
      <c r="G1178" s="1353">
        <f t="shared" si="30"/>
        <v>0.61</v>
      </c>
      <c r="H1178" s="1353">
        <v>0.15</v>
      </c>
      <c r="I1178" s="399">
        <f t="shared" si="29"/>
        <v>-1.4</v>
      </c>
      <c r="J1178" s="162"/>
      <c r="K1178" s="1229"/>
    </row>
    <row r="1179" spans="1:14" hidden="1" outlineLevel="1">
      <c r="A1179" s="1232"/>
      <c r="B1179" s="311"/>
      <c r="C1179" s="165"/>
      <c r="D1179" s="392"/>
      <c r="E1179" s="165"/>
      <c r="F1179" s="401"/>
      <c r="G1179" s="401"/>
      <c r="H1179" s="401"/>
      <c r="I1179" s="399" t="str">
        <f t="shared" si="29"/>
        <v/>
      </c>
      <c r="J1179" s="294"/>
      <c r="K1179" s="1242"/>
    </row>
    <row r="1180" spans="1:14" hidden="1" outlineLevel="1">
      <c r="A1180" s="1232"/>
      <c r="B1180" s="592" t="s">
        <v>887</v>
      </c>
      <c r="C1180" s="165"/>
      <c r="D1180" s="392"/>
      <c r="E1180" s="165"/>
      <c r="F1180" s="401"/>
      <c r="G1180" s="401"/>
      <c r="H1180" s="401"/>
      <c r="I1180" s="399" t="str">
        <f t="shared" si="29"/>
        <v/>
      </c>
      <c r="J1180" s="294"/>
      <c r="K1180" s="1242"/>
    </row>
    <row r="1181" spans="1:14" ht="34.5" hidden="1" outlineLevel="1">
      <c r="A1181" s="1232"/>
      <c r="B1181" s="311" t="s">
        <v>888</v>
      </c>
      <c r="C1181" s="165" t="s">
        <v>2</v>
      </c>
      <c r="D1181" s="392">
        <v>1</v>
      </c>
      <c r="E1181" s="165">
        <v>5</v>
      </c>
      <c r="F1181" s="401">
        <f>0.9+0.2+0.2+0.1+0.1</f>
        <v>1.5000000000000002</v>
      </c>
      <c r="G1181" s="401">
        <f>0.9+0.2+0.2+0.1+0.1</f>
        <v>1.5000000000000002</v>
      </c>
      <c r="H1181" s="401">
        <v>0.1</v>
      </c>
      <c r="I1181" s="399">
        <f t="shared" si="29"/>
        <v>1.1299999999999999</v>
      </c>
      <c r="J1181" s="294"/>
      <c r="K1181" s="1242"/>
    </row>
    <row r="1182" spans="1:14" ht="34.5" hidden="1" outlineLevel="1">
      <c r="A1182" s="1232"/>
      <c r="B1182" s="311" t="s">
        <v>889</v>
      </c>
      <c r="C1182" s="165" t="s">
        <v>2</v>
      </c>
      <c r="D1182" s="392">
        <v>5</v>
      </c>
      <c r="E1182" s="165">
        <v>2</v>
      </c>
      <c r="F1182" s="401">
        <f>0.9+0.2+0.2+0.1+0.1</f>
        <v>1.5000000000000002</v>
      </c>
      <c r="G1182" s="401">
        <v>0.3</v>
      </c>
      <c r="H1182" s="401">
        <v>0.85</v>
      </c>
      <c r="I1182" s="399">
        <f t="shared" si="29"/>
        <v>3.83</v>
      </c>
      <c r="J1182" s="294"/>
      <c r="K1182" s="1242"/>
    </row>
    <row r="1183" spans="1:14" hidden="1" outlineLevel="1">
      <c r="A1183" s="1232"/>
      <c r="B1183" s="311"/>
      <c r="C1183" s="165" t="s">
        <v>2</v>
      </c>
      <c r="D1183" s="392">
        <v>5</v>
      </c>
      <c r="E1183" s="165">
        <v>2</v>
      </c>
      <c r="F1183" s="401">
        <f>0.9+0.2+0.2+0.3+0.3</f>
        <v>1.9000000000000001</v>
      </c>
      <c r="G1183" s="401">
        <v>0.3</v>
      </c>
      <c r="H1183" s="401">
        <v>0.85</v>
      </c>
      <c r="I1183" s="399">
        <f t="shared" si="29"/>
        <v>4.8499999999999996</v>
      </c>
      <c r="J1183" s="294"/>
      <c r="K1183" s="1242"/>
    </row>
    <row r="1184" spans="1:14" hidden="1" outlineLevel="1">
      <c r="A1184" s="1232"/>
      <c r="B1184" s="311"/>
      <c r="C1184" s="165"/>
      <c r="D1184" s="392"/>
      <c r="E1184" s="165"/>
      <c r="F1184" s="401"/>
      <c r="G1184" s="401"/>
      <c r="H1184" s="401"/>
      <c r="I1184" s="399" t="str">
        <f t="shared" si="29"/>
        <v/>
      </c>
      <c r="J1184" s="294"/>
      <c r="K1184" s="1242"/>
    </row>
    <row r="1185" spans="1:14" s="342" customFormat="1" ht="51.75" hidden="1" outlineLevel="1">
      <c r="A1185" s="1243"/>
      <c r="B1185" s="607" t="s">
        <v>890</v>
      </c>
      <c r="C1185" s="345" t="s">
        <v>2</v>
      </c>
      <c r="D1185" s="665">
        <f>1*0</f>
        <v>0</v>
      </c>
      <c r="E1185" s="345">
        <v>1</v>
      </c>
      <c r="F1185" s="1356">
        <f>2+0.2+0.2+0.1+0.1</f>
        <v>2.6000000000000005</v>
      </c>
      <c r="G1185" s="1356">
        <f>0.9+0.2+0.2+0.1+0.1</f>
        <v>1.5000000000000002</v>
      </c>
      <c r="H1185" s="1356">
        <v>0.1</v>
      </c>
      <c r="I1185" s="399" t="str">
        <f t="shared" si="29"/>
        <v/>
      </c>
      <c r="J1185" s="338"/>
      <c r="K1185" s="1244"/>
      <c r="L1185" s="341"/>
      <c r="M1185" s="341"/>
      <c r="N1185" s="341"/>
    </row>
    <row r="1186" spans="1:14" s="342" customFormat="1" ht="34.5" hidden="1" outlineLevel="1">
      <c r="A1186" s="1243"/>
      <c r="B1186" s="607" t="s">
        <v>889</v>
      </c>
      <c r="C1186" s="345" t="s">
        <v>2</v>
      </c>
      <c r="D1186" s="665">
        <f t="shared" ref="D1186:D1187" si="31">1*0</f>
        <v>0</v>
      </c>
      <c r="E1186" s="345">
        <v>2</v>
      </c>
      <c r="F1186" s="1356">
        <f>2+0.2+0.2+0.1+0.1</f>
        <v>2.6000000000000005</v>
      </c>
      <c r="G1186" s="1356">
        <v>0.3</v>
      </c>
      <c r="H1186" s="1356">
        <v>1.8</v>
      </c>
      <c r="I1186" s="399" t="str">
        <f t="shared" si="29"/>
        <v/>
      </c>
      <c r="J1186" s="338"/>
      <c r="K1186" s="1244"/>
      <c r="L1186" s="341"/>
      <c r="M1186" s="341"/>
      <c r="N1186" s="341"/>
    </row>
    <row r="1187" spans="1:14" s="342" customFormat="1" hidden="1" outlineLevel="1">
      <c r="A1187" s="1243"/>
      <c r="B1187" s="607"/>
      <c r="C1187" s="345" t="s">
        <v>2</v>
      </c>
      <c r="D1187" s="665">
        <f t="shared" si="31"/>
        <v>0</v>
      </c>
      <c r="E1187" s="345">
        <v>2</v>
      </c>
      <c r="F1187" s="1356">
        <f>2+0.2+0.2+0.3+0.3</f>
        <v>3</v>
      </c>
      <c r="G1187" s="1356">
        <v>0.3</v>
      </c>
      <c r="H1187" s="1356">
        <v>1.8</v>
      </c>
      <c r="I1187" s="399" t="str">
        <f t="shared" si="29"/>
        <v/>
      </c>
      <c r="J1187" s="338"/>
      <c r="K1187" s="1244"/>
      <c r="L1187" s="341"/>
      <c r="M1187" s="341"/>
      <c r="N1187" s="341"/>
    </row>
    <row r="1188" spans="1:14" hidden="1" outlineLevel="1">
      <c r="A1188" s="1232"/>
      <c r="B1188" s="311"/>
      <c r="C1188" s="165"/>
      <c r="D1188" s="392"/>
      <c r="E1188" s="165"/>
      <c r="F1188" s="401"/>
      <c r="G1188" s="401"/>
      <c r="H1188" s="401"/>
      <c r="I1188" s="399" t="str">
        <f t="shared" si="29"/>
        <v/>
      </c>
      <c r="J1188" s="294"/>
      <c r="K1188" s="1242"/>
    </row>
    <row r="1189" spans="1:14" ht="34.5" hidden="1" outlineLevel="1">
      <c r="A1189" s="1232"/>
      <c r="B1189" s="311" t="s">
        <v>891</v>
      </c>
      <c r="C1189" s="165" t="s">
        <v>2</v>
      </c>
      <c r="D1189" s="392">
        <v>1</v>
      </c>
      <c r="E1189" s="165">
        <v>1</v>
      </c>
      <c r="F1189" s="401">
        <f>2+0.2+0.2+0.115+0.115+0.1+0.1</f>
        <v>2.830000000000001</v>
      </c>
      <c r="G1189" s="401">
        <f>2+0.2+0.2+0.115+0.115+0.1+0.1</f>
        <v>2.830000000000001</v>
      </c>
      <c r="H1189" s="401">
        <v>0.1</v>
      </c>
      <c r="I1189" s="399">
        <f t="shared" si="29"/>
        <v>0.8</v>
      </c>
      <c r="J1189" s="294"/>
      <c r="K1189" s="1242"/>
    </row>
    <row r="1190" spans="1:14" hidden="1" outlineLevel="1">
      <c r="A1190" s="1232"/>
      <c r="B1190" s="311"/>
      <c r="C1190" s="165"/>
      <c r="D1190" s="392"/>
      <c r="E1190" s="165"/>
      <c r="F1190" s="401"/>
      <c r="G1190" s="401"/>
      <c r="H1190" s="401"/>
      <c r="I1190" s="399" t="str">
        <f t="shared" si="29"/>
        <v/>
      </c>
      <c r="J1190" s="294"/>
      <c r="K1190" s="1242"/>
    </row>
    <row r="1191" spans="1:14" s="398" customFormat="1" hidden="1" outlineLevel="1">
      <c r="A1191" s="1232"/>
      <c r="B1191" s="592" t="s">
        <v>646</v>
      </c>
      <c r="C1191" s="530"/>
      <c r="D1191" s="400"/>
      <c r="E1191" s="170"/>
      <c r="F1191" s="401"/>
      <c r="G1191" s="401"/>
      <c r="H1191" s="401"/>
      <c r="I1191" s="399" t="str">
        <f t="shared" si="29"/>
        <v/>
      </c>
      <c r="J1191" s="404"/>
      <c r="K1191" s="1234"/>
      <c r="L1191" s="431"/>
      <c r="M1191" s="431"/>
      <c r="N1191" s="431"/>
    </row>
    <row r="1192" spans="1:14" hidden="1" outlineLevel="1">
      <c r="A1192" s="1238"/>
      <c r="B1192" s="389"/>
      <c r="C1192" s="386" t="s">
        <v>2</v>
      </c>
      <c r="D1192" s="390"/>
      <c r="E1192" s="386"/>
      <c r="F1192" s="1353" t="s">
        <v>48</v>
      </c>
      <c r="G1192" s="1353" t="s">
        <v>33</v>
      </c>
      <c r="H1192" s="1353" t="s">
        <v>633</v>
      </c>
      <c r="I1192" s="399" t="str">
        <f t="shared" si="29"/>
        <v/>
      </c>
      <c r="J1192" s="162"/>
      <c r="K1192" s="1229"/>
    </row>
    <row r="1193" spans="1:14" ht="51.75" hidden="1" outlineLevel="1">
      <c r="A1193" s="1238"/>
      <c r="B1193" s="391" t="s">
        <v>894</v>
      </c>
      <c r="C1193" s="386" t="s">
        <v>2</v>
      </c>
      <c r="D1193" s="390">
        <v>1</v>
      </c>
      <c r="E1193" s="386">
        <v>1</v>
      </c>
      <c r="F1193" s="1353">
        <f>35.915-8</f>
        <v>27.914999999999999</v>
      </c>
      <c r="G1193" s="1353">
        <f>35.775-27.775</f>
        <v>8</v>
      </c>
      <c r="H1193" s="1353">
        <v>0.17</v>
      </c>
      <c r="I1193" s="399">
        <f t="shared" si="29"/>
        <v>37.96</v>
      </c>
      <c r="J1193" s="162"/>
      <c r="K1193" s="1229"/>
    </row>
    <row r="1194" spans="1:14" s="398" customFormat="1" ht="34.5" hidden="1" outlineLevel="1">
      <c r="A1194" s="1232"/>
      <c r="B1194" s="311" t="s">
        <v>924</v>
      </c>
      <c r="C1194" s="386" t="s">
        <v>2</v>
      </c>
      <c r="D1194" s="390">
        <v>1</v>
      </c>
      <c r="E1194" s="386">
        <v>1</v>
      </c>
      <c r="F1194" s="401">
        <v>37.363999999999997</v>
      </c>
      <c r="G1194" s="401">
        <v>1.25</v>
      </c>
      <c r="H1194" s="1353">
        <v>0.17</v>
      </c>
      <c r="I1194" s="399">
        <f t="shared" si="29"/>
        <v>7.94</v>
      </c>
      <c r="J1194" s="404"/>
      <c r="K1194" s="1234"/>
      <c r="L1194" s="431"/>
      <c r="M1194" s="431"/>
      <c r="N1194" s="431"/>
    </row>
    <row r="1195" spans="1:14" s="398" customFormat="1" ht="34.5" hidden="1" outlineLevel="1">
      <c r="A1195" s="1232"/>
      <c r="B1195" s="311" t="s">
        <v>925</v>
      </c>
      <c r="C1195" s="386" t="s">
        <v>2</v>
      </c>
      <c r="D1195" s="390">
        <v>1</v>
      </c>
      <c r="E1195" s="386">
        <v>1</v>
      </c>
      <c r="F1195" s="401">
        <f>96529582.5/1000000</f>
        <v>96.529582500000004</v>
      </c>
      <c r="G1195" s="401"/>
      <c r="H1195" s="1353">
        <v>0.17</v>
      </c>
      <c r="I1195" s="399">
        <f t="shared" si="29"/>
        <v>16.41</v>
      </c>
      <c r="J1195" s="404"/>
      <c r="K1195" s="1240" t="s">
        <v>624</v>
      </c>
      <c r="L1195" s="431"/>
      <c r="M1195" s="431"/>
      <c r="N1195" s="431"/>
    </row>
    <row r="1196" spans="1:14" s="398" customFormat="1" hidden="1" outlineLevel="1">
      <c r="A1196" s="1232"/>
      <c r="B1196" s="311"/>
      <c r="C1196" s="530"/>
      <c r="D1196" s="400"/>
      <c r="E1196" s="170"/>
      <c r="F1196" s="401"/>
      <c r="G1196" s="401"/>
      <c r="H1196" s="401"/>
      <c r="I1196" s="399" t="str">
        <f t="shared" si="29"/>
        <v/>
      </c>
      <c r="J1196" s="404"/>
      <c r="K1196" s="1234"/>
      <c r="L1196" s="431"/>
      <c r="M1196" s="431"/>
      <c r="N1196" s="431"/>
    </row>
    <row r="1197" spans="1:14" s="398" customFormat="1" ht="34.5" hidden="1" outlineLevel="1">
      <c r="A1197" s="1232"/>
      <c r="B1197" s="311" t="s">
        <v>926</v>
      </c>
      <c r="C1197" s="386" t="s">
        <v>2</v>
      </c>
      <c r="D1197" s="390">
        <v>1</v>
      </c>
      <c r="E1197" s="386">
        <v>1</v>
      </c>
      <c r="F1197" s="662">
        <v>46.728999999999999</v>
      </c>
      <c r="G1197" s="401">
        <v>1.198</v>
      </c>
      <c r="H1197" s="1353">
        <v>0.17</v>
      </c>
      <c r="I1197" s="399">
        <f t="shared" si="29"/>
        <v>9.52</v>
      </c>
      <c r="J1197" s="404"/>
      <c r="K1197" s="1234"/>
      <c r="L1197" s="431"/>
      <c r="M1197" s="431"/>
      <c r="N1197" s="431"/>
    </row>
    <row r="1198" spans="1:14" s="398" customFormat="1" ht="34.5" hidden="1" outlineLevel="1">
      <c r="A1198" s="1232"/>
      <c r="B1198" s="311" t="s">
        <v>927</v>
      </c>
      <c r="C1198" s="386" t="s">
        <v>2</v>
      </c>
      <c r="D1198" s="390">
        <v>1</v>
      </c>
      <c r="E1198" s="386">
        <v>1</v>
      </c>
      <c r="F1198" s="401">
        <v>6.0979999999999999</v>
      </c>
      <c r="G1198" s="401">
        <v>3.05</v>
      </c>
      <c r="H1198" s="1353">
        <v>0.17</v>
      </c>
      <c r="I1198" s="399">
        <f t="shared" si="29"/>
        <v>3.16</v>
      </c>
      <c r="J1198" s="404"/>
      <c r="K1198" s="1234"/>
      <c r="L1198" s="431"/>
      <c r="M1198" s="431"/>
      <c r="N1198" s="431"/>
    </row>
    <row r="1199" spans="1:14" s="398" customFormat="1" hidden="1" outlineLevel="1">
      <c r="A1199" s="1232"/>
      <c r="B1199" s="311"/>
      <c r="C1199" s="386" t="s">
        <v>2</v>
      </c>
      <c r="D1199" s="390">
        <v>1</v>
      </c>
      <c r="E1199" s="386">
        <v>1</v>
      </c>
      <c r="F1199" s="401">
        <v>1.2</v>
      </c>
      <c r="G1199" s="401">
        <v>3.3</v>
      </c>
      <c r="H1199" s="1353">
        <v>0.17</v>
      </c>
      <c r="I1199" s="399">
        <f t="shared" si="29"/>
        <v>0.67</v>
      </c>
      <c r="J1199" s="404"/>
      <c r="K1199" s="1234"/>
      <c r="L1199" s="431"/>
      <c r="M1199" s="431"/>
      <c r="N1199" s="431"/>
    </row>
    <row r="1200" spans="1:14" s="398" customFormat="1" hidden="1" outlineLevel="1">
      <c r="A1200" s="1232"/>
      <c r="B1200" s="311"/>
      <c r="C1200" s="386" t="s">
        <v>2</v>
      </c>
      <c r="D1200" s="390">
        <v>1</v>
      </c>
      <c r="E1200" s="386">
        <v>1</v>
      </c>
      <c r="F1200" s="662">
        <v>180.19399999999999</v>
      </c>
      <c r="G1200" s="401"/>
      <c r="H1200" s="1353">
        <v>0.17</v>
      </c>
      <c r="I1200" s="399">
        <f t="shared" si="29"/>
        <v>30.63</v>
      </c>
      <c r="J1200" s="404"/>
      <c r="K1200" s="1240" t="s">
        <v>624</v>
      </c>
      <c r="L1200" s="431"/>
      <c r="M1200" s="431"/>
      <c r="N1200" s="431"/>
    </row>
    <row r="1201" spans="1:16" s="398" customFormat="1" hidden="1" outlineLevel="1">
      <c r="A1201" s="1232"/>
      <c r="B1201" s="311"/>
      <c r="C1201" s="386" t="s">
        <v>2</v>
      </c>
      <c r="D1201" s="390">
        <v>1</v>
      </c>
      <c r="E1201" s="386">
        <v>1</v>
      </c>
      <c r="F1201" s="401">
        <f>72871828.7/1000000</f>
        <v>72.871828700000009</v>
      </c>
      <c r="G1201" s="401"/>
      <c r="H1201" s="1353">
        <v>0.17</v>
      </c>
      <c r="I1201" s="399">
        <f t="shared" si="29"/>
        <v>12.39</v>
      </c>
      <c r="J1201" s="404"/>
      <c r="K1201" s="1240" t="s">
        <v>624</v>
      </c>
      <c r="L1201" s="431"/>
      <c r="M1201" s="431"/>
      <c r="N1201" s="431"/>
    </row>
    <row r="1202" spans="1:16" s="398" customFormat="1" ht="34.5" hidden="1" outlineLevel="1">
      <c r="A1202" s="1232"/>
      <c r="B1202" s="580" t="s">
        <v>1275</v>
      </c>
      <c r="C1202" s="1407" t="s">
        <v>2</v>
      </c>
      <c r="D1202" s="581">
        <v>1</v>
      </c>
      <c r="E1202" s="582">
        <v>1</v>
      </c>
      <c r="F1202" s="583">
        <v>31.5</v>
      </c>
      <c r="G1202" s="583">
        <v>8</v>
      </c>
      <c r="H1202" s="583">
        <v>0.12</v>
      </c>
      <c r="I1202" s="399">
        <f t="shared" si="29"/>
        <v>30.24</v>
      </c>
      <c r="J1202" s="404"/>
      <c r="K1202" s="1234"/>
      <c r="L1202" s="431"/>
      <c r="M1202" s="431"/>
      <c r="N1202" s="431"/>
    </row>
    <row r="1203" spans="1:16" s="398" customFormat="1" ht="34.5" hidden="1" outlineLevel="1">
      <c r="A1203" s="1232"/>
      <c r="B1203" s="580" t="s">
        <v>1276</v>
      </c>
      <c r="C1203" s="1407" t="s">
        <v>2</v>
      </c>
      <c r="D1203" s="581">
        <v>1</v>
      </c>
      <c r="E1203" s="582">
        <v>1</v>
      </c>
      <c r="F1203" s="583">
        <v>11.775</v>
      </c>
      <c r="G1203" s="583">
        <v>7.28</v>
      </c>
      <c r="H1203" s="583">
        <v>0.12</v>
      </c>
      <c r="I1203" s="399">
        <f t="shared" si="29"/>
        <v>10.29</v>
      </c>
      <c r="J1203" s="404"/>
      <c r="K1203" s="1234"/>
      <c r="L1203" s="431"/>
      <c r="M1203" s="431"/>
      <c r="N1203" s="431"/>
    </row>
    <row r="1204" spans="1:16" s="398" customFormat="1" hidden="1" outlineLevel="1">
      <c r="A1204" s="1232"/>
      <c r="B1204" s="580"/>
      <c r="C1204" s="1407" t="s">
        <v>2</v>
      </c>
      <c r="D1204" s="581">
        <v>1</v>
      </c>
      <c r="E1204" s="582">
        <v>1</v>
      </c>
      <c r="F1204" s="583">
        <v>24.152000000000001</v>
      </c>
      <c r="G1204" s="583">
        <v>2.2799999999999998</v>
      </c>
      <c r="H1204" s="583">
        <v>0.12</v>
      </c>
      <c r="I1204" s="399">
        <f t="shared" si="29"/>
        <v>6.61</v>
      </c>
      <c r="J1204" s="404"/>
      <c r="K1204" s="1234" t="s">
        <v>1277</v>
      </c>
      <c r="L1204" s="431"/>
      <c r="M1204" s="431"/>
      <c r="N1204" s="431"/>
    </row>
    <row r="1205" spans="1:16" s="398" customFormat="1" hidden="1" outlineLevel="1">
      <c r="A1205" s="1232"/>
      <c r="B1205" s="580" t="s">
        <v>1278</v>
      </c>
      <c r="C1205" s="1407" t="s">
        <v>2</v>
      </c>
      <c r="D1205" s="581">
        <v>1</v>
      </c>
      <c r="E1205" s="582">
        <v>1</v>
      </c>
      <c r="F1205" s="583">
        <v>160.97499999999999</v>
      </c>
      <c r="G1205" s="583"/>
      <c r="H1205" s="583">
        <v>0.12</v>
      </c>
      <c r="I1205" s="399">
        <f t="shared" si="29"/>
        <v>19.32</v>
      </c>
      <c r="J1205" s="404"/>
      <c r="K1205" s="1234" t="s">
        <v>1279</v>
      </c>
      <c r="L1205" s="431"/>
      <c r="M1205" s="431"/>
      <c r="N1205" s="431"/>
    </row>
    <row r="1206" spans="1:16" s="398" customFormat="1" ht="34.5" hidden="1" outlineLevel="1">
      <c r="A1206" s="1232"/>
      <c r="B1206" s="580" t="s">
        <v>1280</v>
      </c>
      <c r="C1206" s="1407" t="s">
        <v>2</v>
      </c>
      <c r="D1206" s="581">
        <v>1</v>
      </c>
      <c r="E1206" s="582">
        <v>1</v>
      </c>
      <c r="F1206" s="583">
        <v>48.375</v>
      </c>
      <c r="G1206" s="583">
        <v>1.5</v>
      </c>
      <c r="H1206" s="583">
        <v>0.17</v>
      </c>
      <c r="I1206" s="399">
        <f t="shared" si="29"/>
        <v>12.34</v>
      </c>
      <c r="J1206" s="404"/>
      <c r="K1206" s="1234"/>
      <c r="L1206" s="431"/>
      <c r="M1206" s="431"/>
      <c r="N1206" s="431"/>
    </row>
    <row r="1207" spans="1:16" s="398" customFormat="1" ht="34.5" hidden="1" outlineLevel="1">
      <c r="A1207" s="1232"/>
      <c r="B1207" s="580" t="s">
        <v>1281</v>
      </c>
      <c r="C1207" s="1407" t="s">
        <v>2</v>
      </c>
      <c r="D1207" s="581">
        <v>1</v>
      </c>
      <c r="E1207" s="582">
        <v>1</v>
      </c>
      <c r="F1207" s="583">
        <f>44.385+45.282-10</f>
        <v>79.667000000000002</v>
      </c>
      <c r="G1207" s="583">
        <v>1.5</v>
      </c>
      <c r="H1207" s="583">
        <v>0.17</v>
      </c>
      <c r="I1207" s="399">
        <f t="shared" si="29"/>
        <v>20.32</v>
      </c>
      <c r="J1207" s="404"/>
      <c r="K1207" s="1245" t="s">
        <v>1282</v>
      </c>
      <c r="L1207" s="431"/>
      <c r="M1207" s="431"/>
      <c r="N1207" s="431"/>
    </row>
    <row r="1208" spans="1:16" s="398" customFormat="1" ht="34.5" hidden="1" outlineLevel="1">
      <c r="A1208" s="1232"/>
      <c r="B1208" s="580" t="s">
        <v>1283</v>
      </c>
      <c r="C1208" s="1407" t="s">
        <v>2</v>
      </c>
      <c r="D1208" s="581">
        <v>1</v>
      </c>
      <c r="E1208" s="582">
        <v>1</v>
      </c>
      <c r="F1208" s="583">
        <v>140.41499999999999</v>
      </c>
      <c r="G1208" s="583"/>
      <c r="H1208" s="583">
        <v>0.17</v>
      </c>
      <c r="I1208" s="399">
        <f t="shared" si="29"/>
        <v>23.87</v>
      </c>
      <c r="J1208" s="404"/>
      <c r="K1208" s="1234" t="s">
        <v>1284</v>
      </c>
      <c r="L1208" s="431"/>
      <c r="M1208" s="431"/>
      <c r="N1208" s="431"/>
    </row>
    <row r="1209" spans="1:16" s="398" customFormat="1" hidden="1" outlineLevel="1">
      <c r="A1209" s="1232"/>
      <c r="B1209" s="580" t="s">
        <v>1285</v>
      </c>
      <c r="C1209" s="1407" t="s">
        <v>2</v>
      </c>
      <c r="D1209" s="581">
        <v>1</v>
      </c>
      <c r="E1209" s="582">
        <v>1</v>
      </c>
      <c r="F1209" s="583">
        <v>32.164999999999999</v>
      </c>
      <c r="G1209" s="583">
        <v>19.715</v>
      </c>
      <c r="H1209" s="583">
        <v>0.12</v>
      </c>
      <c r="I1209" s="399">
        <f t="shared" si="29"/>
        <v>76.099999999999994</v>
      </c>
      <c r="J1209" s="404"/>
      <c r="K1209" s="1234"/>
      <c r="L1209" s="431"/>
      <c r="M1209" s="431"/>
      <c r="N1209" s="431"/>
    </row>
    <row r="1210" spans="1:16" s="398" customFormat="1" ht="34.5" hidden="1" outlineLevel="1">
      <c r="A1210" s="1232"/>
      <c r="B1210" s="592" t="s">
        <v>892</v>
      </c>
      <c r="C1210" s="530"/>
      <c r="D1210" s="400"/>
      <c r="E1210" s="170"/>
      <c r="F1210" s="401"/>
      <c r="G1210" s="401"/>
      <c r="H1210" s="401"/>
      <c r="I1210" s="399" t="str">
        <f t="shared" si="29"/>
        <v/>
      </c>
      <c r="J1210" s="404"/>
      <c r="K1210" s="1234"/>
      <c r="L1210" s="431"/>
      <c r="M1210" s="431"/>
      <c r="N1210" s="431"/>
    </row>
    <row r="1211" spans="1:16" hidden="1" outlineLevel="1">
      <c r="A1211" s="1238"/>
      <c r="B1211" s="391" t="s">
        <v>893</v>
      </c>
      <c r="C1211" s="386" t="s">
        <v>2</v>
      </c>
      <c r="D1211" s="390">
        <v>1</v>
      </c>
      <c r="E1211" s="386">
        <v>1</v>
      </c>
      <c r="F1211" s="1352">
        <v>580.42999999999995</v>
      </c>
      <c r="G1211" s="1353">
        <v>6</v>
      </c>
      <c r="H1211" s="1353">
        <v>7.4999999999999997E-2</v>
      </c>
      <c r="I1211" s="399">
        <f t="shared" si="29"/>
        <v>261.19</v>
      </c>
      <c r="J1211" s="162"/>
      <c r="K1211" s="1229"/>
    </row>
    <row r="1212" spans="1:16" s="398" customFormat="1" hidden="1" outlineLevel="1">
      <c r="A1212" s="1232"/>
      <c r="B1212" s="391" t="s">
        <v>628</v>
      </c>
      <c r="C1212" s="386" t="s">
        <v>2</v>
      </c>
      <c r="D1212" s="390">
        <v>-1</v>
      </c>
      <c r="E1212" s="386">
        <v>1</v>
      </c>
      <c r="F1212" s="401">
        <v>4.798</v>
      </c>
      <c r="G1212" s="401">
        <v>6</v>
      </c>
      <c r="H1212" s="1353">
        <v>7.4999999999999997E-2</v>
      </c>
      <c r="I1212" s="399">
        <f t="shared" si="29"/>
        <v>-2.16</v>
      </c>
      <c r="J1212" s="404"/>
      <c r="K1212" s="1234"/>
      <c r="L1212" s="431"/>
      <c r="M1212" s="431"/>
      <c r="N1212" s="431"/>
    </row>
    <row r="1213" spans="1:16" s="870" customFormat="1" ht="69" hidden="1" outlineLevel="1" collapsed="1">
      <c r="A1213" s="1246"/>
      <c r="B1213" s="855" t="s">
        <v>1309</v>
      </c>
      <c r="C1213" s="866"/>
      <c r="D1213" s="857"/>
      <c r="E1213" s="858"/>
      <c r="F1213" s="859"/>
      <c r="G1213" s="859"/>
      <c r="H1213" s="859"/>
      <c r="I1213" s="399" t="str">
        <f t="shared" si="29"/>
        <v/>
      </c>
      <c r="J1213" s="860"/>
      <c r="K1213" s="1247"/>
      <c r="L1213" s="869"/>
      <c r="M1213" s="869"/>
      <c r="N1213" s="869"/>
    </row>
    <row r="1214" spans="1:16" s="870" customFormat="1" hidden="1" outlineLevel="1">
      <c r="A1214" s="1246"/>
      <c r="B1214" s="855"/>
      <c r="C1214" s="866"/>
      <c r="D1214" s="857"/>
      <c r="E1214" s="858"/>
      <c r="F1214" s="859"/>
      <c r="G1214" s="859"/>
      <c r="H1214" s="859"/>
      <c r="I1214" s="399" t="str">
        <f t="shared" si="29"/>
        <v/>
      </c>
      <c r="J1214" s="860"/>
      <c r="K1214" s="1247"/>
      <c r="L1214" s="869"/>
      <c r="M1214" s="869"/>
      <c r="N1214" s="869"/>
      <c r="O1214" s="869"/>
      <c r="P1214" s="869"/>
    </row>
    <row r="1215" spans="1:16" s="870" customFormat="1" hidden="1" outlineLevel="1">
      <c r="A1215" s="1246"/>
      <c r="B1215" s="855" t="s">
        <v>1310</v>
      </c>
      <c r="C1215" s="866" t="s">
        <v>2</v>
      </c>
      <c r="D1215" s="857">
        <v>1</v>
      </c>
      <c r="E1215" s="858">
        <v>2</v>
      </c>
      <c r="F1215" s="859">
        <f>5.85+G1215*2</f>
        <v>7.0699999999999994</v>
      </c>
      <c r="G1215" s="859">
        <f>0.46+0.15</f>
        <v>0.61</v>
      </c>
      <c r="H1215" s="859">
        <v>0.15</v>
      </c>
      <c r="I1215" s="399">
        <f t="shared" si="29"/>
        <v>1.29</v>
      </c>
      <c r="J1215" s="860"/>
      <c r="K1215" s="1247"/>
      <c r="L1215" s="869"/>
      <c r="M1215" s="869"/>
      <c r="N1215" s="869"/>
      <c r="O1215" s="869"/>
      <c r="P1215" s="869"/>
    </row>
    <row r="1216" spans="1:16" s="891" customFormat="1" hidden="1" outlineLevel="1">
      <c r="A1216" s="1246"/>
      <c r="B1216" s="855" t="s">
        <v>1311</v>
      </c>
      <c r="C1216" s="866" t="s">
        <v>2</v>
      </c>
      <c r="D1216" s="857">
        <v>1</v>
      </c>
      <c r="E1216" s="858">
        <v>2</v>
      </c>
      <c r="F1216" s="859">
        <v>1.8</v>
      </c>
      <c r="G1216" s="859">
        <f>0.46+0.15</f>
        <v>0.61</v>
      </c>
      <c r="H1216" s="859">
        <v>0.15</v>
      </c>
      <c r="I1216" s="399">
        <f t="shared" si="29"/>
        <v>0.33</v>
      </c>
      <c r="J1216" s="860"/>
      <c r="K1216" s="1247"/>
    </row>
    <row r="1217" spans="1:16" s="891" customFormat="1" hidden="1" outlineLevel="1">
      <c r="A1217" s="1246"/>
      <c r="B1217" s="855" t="s">
        <v>1310</v>
      </c>
      <c r="C1217" s="866" t="s">
        <v>2</v>
      </c>
      <c r="D1217" s="857">
        <v>1</v>
      </c>
      <c r="E1217" s="858">
        <v>2</v>
      </c>
      <c r="F1217" s="863">
        <v>5.7149999999999999</v>
      </c>
      <c r="G1217" s="859">
        <f>0.46+0.15</f>
        <v>0.61</v>
      </c>
      <c r="H1217" s="859">
        <v>0.15</v>
      </c>
      <c r="I1217" s="399">
        <f t="shared" si="29"/>
        <v>1.05</v>
      </c>
      <c r="J1217" s="860"/>
      <c r="K1217" s="1247"/>
    </row>
    <row r="1218" spans="1:16" s="870" customFormat="1" hidden="1" outlineLevel="1">
      <c r="A1218" s="1246"/>
      <c r="B1218" s="855" t="s">
        <v>1311</v>
      </c>
      <c r="C1218" s="866" t="s">
        <v>2</v>
      </c>
      <c r="D1218" s="857">
        <v>1</v>
      </c>
      <c r="E1218" s="858">
        <v>2</v>
      </c>
      <c r="F1218" s="859">
        <v>1.8</v>
      </c>
      <c r="G1218" s="859">
        <f>0.46+0.15</f>
        <v>0.61</v>
      </c>
      <c r="H1218" s="859">
        <v>0.15</v>
      </c>
      <c r="I1218" s="399">
        <f t="shared" si="29"/>
        <v>0.33</v>
      </c>
      <c r="J1218" s="860"/>
      <c r="K1218" s="1247"/>
      <c r="L1218" s="869"/>
      <c r="M1218" s="869"/>
      <c r="N1218" s="869"/>
      <c r="O1218" s="869"/>
      <c r="P1218" s="869"/>
    </row>
    <row r="1219" spans="1:16" s="891" customFormat="1" ht="69" hidden="1" outlineLevel="1">
      <c r="A1219" s="1246"/>
      <c r="B1219" s="855" t="s">
        <v>1312</v>
      </c>
      <c r="C1219" s="866"/>
      <c r="D1219" s="857"/>
      <c r="E1219" s="858"/>
      <c r="F1219" s="859"/>
      <c r="G1219" s="859"/>
      <c r="H1219" s="859"/>
      <c r="I1219" s="399" t="str">
        <f t="shared" si="29"/>
        <v/>
      </c>
      <c r="J1219" s="860"/>
      <c r="K1219" s="1247"/>
    </row>
    <row r="1220" spans="1:16" s="891" customFormat="1" hidden="1" outlineLevel="1">
      <c r="A1220" s="1246"/>
      <c r="B1220" s="855" t="s">
        <v>1310</v>
      </c>
      <c r="C1220" s="866" t="s">
        <v>2</v>
      </c>
      <c r="D1220" s="857">
        <v>1</v>
      </c>
      <c r="E1220" s="858">
        <v>2</v>
      </c>
      <c r="F1220" s="859">
        <f>5.85+G1220*2</f>
        <v>7.0699999999999994</v>
      </c>
      <c r="G1220" s="859">
        <f>0.46+0.15</f>
        <v>0.61</v>
      </c>
      <c r="H1220" s="859">
        <v>0.15</v>
      </c>
      <c r="I1220" s="399">
        <f t="shared" si="29"/>
        <v>1.29</v>
      </c>
      <c r="J1220" s="860"/>
      <c r="K1220" s="1247"/>
    </row>
    <row r="1221" spans="1:16" s="891" customFormat="1" hidden="1" outlineLevel="1">
      <c r="A1221" s="1246"/>
      <c r="B1221" s="855" t="s">
        <v>1311</v>
      </c>
      <c r="C1221" s="866" t="s">
        <v>2</v>
      </c>
      <c r="D1221" s="857">
        <v>1</v>
      </c>
      <c r="E1221" s="858">
        <v>2</v>
      </c>
      <c r="F1221" s="859">
        <v>1.2</v>
      </c>
      <c r="G1221" s="859">
        <f>0.46+0.15</f>
        <v>0.61</v>
      </c>
      <c r="H1221" s="859">
        <v>0.15</v>
      </c>
      <c r="I1221" s="399">
        <f t="shared" ref="I1221:I1251" si="32">IF(D1221&lt;&gt;0,ROUND(PRODUCT(E1221:H1221)*D1221,2),"")</f>
        <v>0.22</v>
      </c>
      <c r="J1221" s="860"/>
      <c r="K1221" s="1247"/>
    </row>
    <row r="1222" spans="1:16" s="891" customFormat="1" hidden="1" outlineLevel="1">
      <c r="A1222" s="1246"/>
      <c r="B1222" s="855" t="s">
        <v>1310</v>
      </c>
      <c r="C1222" s="866" t="s">
        <v>2</v>
      </c>
      <c r="D1222" s="857">
        <v>1</v>
      </c>
      <c r="E1222" s="858">
        <v>2</v>
      </c>
      <c r="F1222" s="863">
        <v>5.7149999999999999</v>
      </c>
      <c r="G1222" s="859">
        <f>0.46+0.15</f>
        <v>0.61</v>
      </c>
      <c r="H1222" s="859">
        <v>0.15</v>
      </c>
      <c r="I1222" s="399">
        <f t="shared" si="32"/>
        <v>1.05</v>
      </c>
      <c r="J1222" s="860"/>
      <c r="K1222" s="1247"/>
    </row>
    <row r="1223" spans="1:16" s="870" customFormat="1" hidden="1" outlineLevel="1">
      <c r="A1223" s="1246"/>
      <c r="B1223" s="855" t="s">
        <v>1311</v>
      </c>
      <c r="C1223" s="866" t="s">
        <v>2</v>
      </c>
      <c r="D1223" s="857">
        <v>1</v>
      </c>
      <c r="E1223" s="858">
        <v>2</v>
      </c>
      <c r="F1223" s="859">
        <v>1.2</v>
      </c>
      <c r="G1223" s="859">
        <f>0.46+0.15</f>
        <v>0.61</v>
      </c>
      <c r="H1223" s="859">
        <v>0.15</v>
      </c>
      <c r="I1223" s="399">
        <f t="shared" si="32"/>
        <v>0.22</v>
      </c>
      <c r="J1223" s="860"/>
      <c r="K1223" s="1247"/>
      <c r="L1223" s="869"/>
      <c r="M1223" s="869"/>
      <c r="N1223" s="869"/>
      <c r="O1223" s="869"/>
      <c r="P1223" s="869"/>
    </row>
    <row r="1224" spans="1:16" s="870" customFormat="1" ht="69" hidden="1" outlineLevel="1">
      <c r="A1224" s="1246"/>
      <c r="B1224" s="855" t="s">
        <v>1313</v>
      </c>
      <c r="C1224" s="866"/>
      <c r="D1224" s="857"/>
      <c r="E1224" s="858"/>
      <c r="F1224" s="859"/>
      <c r="G1224" s="859"/>
      <c r="H1224" s="859"/>
      <c r="I1224" s="399" t="str">
        <f t="shared" si="32"/>
        <v/>
      </c>
      <c r="J1224" s="860"/>
      <c r="K1224" s="1247"/>
      <c r="L1224" s="869"/>
      <c r="M1224" s="869"/>
      <c r="N1224" s="869"/>
    </row>
    <row r="1225" spans="1:16" s="870" customFormat="1" hidden="1" outlineLevel="1">
      <c r="A1225" s="1246"/>
      <c r="B1225" s="855" t="s">
        <v>1310</v>
      </c>
      <c r="C1225" s="866" t="s">
        <v>2</v>
      </c>
      <c r="D1225" s="857">
        <v>1</v>
      </c>
      <c r="E1225" s="858">
        <v>2</v>
      </c>
      <c r="F1225" s="859">
        <f>5.85+G1225*2</f>
        <v>7.0699999999999994</v>
      </c>
      <c r="G1225" s="859">
        <f t="shared" ref="G1225:G1232" si="33">0.46+0.15</f>
        <v>0.61</v>
      </c>
      <c r="H1225" s="859">
        <v>0.15</v>
      </c>
      <c r="I1225" s="399">
        <f t="shared" si="32"/>
        <v>1.29</v>
      </c>
      <c r="J1225" s="860"/>
      <c r="K1225" s="1247"/>
      <c r="L1225" s="869"/>
      <c r="M1225" s="869"/>
      <c r="N1225" s="869"/>
    </row>
    <row r="1226" spans="1:16" s="870" customFormat="1" hidden="1" outlineLevel="1">
      <c r="A1226" s="1246"/>
      <c r="B1226" s="855" t="s">
        <v>1311</v>
      </c>
      <c r="C1226" s="866" t="s">
        <v>2</v>
      </c>
      <c r="D1226" s="857">
        <v>1</v>
      </c>
      <c r="E1226" s="858">
        <v>2</v>
      </c>
      <c r="F1226" s="859">
        <v>1.2</v>
      </c>
      <c r="G1226" s="859">
        <f t="shared" si="33"/>
        <v>0.61</v>
      </c>
      <c r="H1226" s="859">
        <v>0.15</v>
      </c>
      <c r="I1226" s="399">
        <f t="shared" si="32"/>
        <v>0.22</v>
      </c>
      <c r="J1226" s="860"/>
      <c r="K1226" s="1247"/>
      <c r="L1226" s="869"/>
      <c r="M1226" s="869"/>
      <c r="N1226" s="869"/>
    </row>
    <row r="1227" spans="1:16" s="870" customFormat="1" hidden="1" outlineLevel="1">
      <c r="A1227" s="1246"/>
      <c r="B1227" s="855" t="s">
        <v>1310</v>
      </c>
      <c r="C1227" s="866" t="s">
        <v>2</v>
      </c>
      <c r="D1227" s="857">
        <v>1</v>
      </c>
      <c r="E1227" s="858">
        <v>2</v>
      </c>
      <c r="F1227" s="863">
        <v>5.7149999999999999</v>
      </c>
      <c r="G1227" s="859">
        <f t="shared" si="33"/>
        <v>0.61</v>
      </c>
      <c r="H1227" s="859">
        <v>0.15</v>
      </c>
      <c r="I1227" s="399">
        <f t="shared" si="32"/>
        <v>1.05</v>
      </c>
      <c r="J1227" s="860"/>
      <c r="K1227" s="1247"/>
      <c r="L1227" s="869"/>
      <c r="M1227" s="869"/>
      <c r="N1227" s="869"/>
    </row>
    <row r="1228" spans="1:16" s="870" customFormat="1" hidden="1" outlineLevel="1">
      <c r="A1228" s="1246"/>
      <c r="B1228" s="855" t="s">
        <v>1311</v>
      </c>
      <c r="C1228" s="866" t="s">
        <v>2</v>
      </c>
      <c r="D1228" s="857">
        <v>1</v>
      </c>
      <c r="E1228" s="858">
        <v>2</v>
      </c>
      <c r="F1228" s="859">
        <v>1.2</v>
      </c>
      <c r="G1228" s="859">
        <f t="shared" si="33"/>
        <v>0.61</v>
      </c>
      <c r="H1228" s="859">
        <v>0.15</v>
      </c>
      <c r="I1228" s="399">
        <f t="shared" si="32"/>
        <v>0.22</v>
      </c>
      <c r="J1228" s="860"/>
      <c r="K1228" s="1247"/>
      <c r="L1228" s="869"/>
      <c r="M1228" s="869"/>
      <c r="N1228" s="869"/>
    </row>
    <row r="1229" spans="1:16" s="870" customFormat="1" hidden="1" outlineLevel="1">
      <c r="A1229" s="1246"/>
      <c r="B1229" s="855" t="s">
        <v>1310</v>
      </c>
      <c r="C1229" s="866" t="s">
        <v>2</v>
      </c>
      <c r="D1229" s="857">
        <v>1</v>
      </c>
      <c r="E1229" s="858">
        <v>2</v>
      </c>
      <c r="F1229" s="859">
        <f>2.625+G1229*2</f>
        <v>3.8449999999999998</v>
      </c>
      <c r="G1229" s="859">
        <f t="shared" si="33"/>
        <v>0.61</v>
      </c>
      <c r="H1229" s="859">
        <v>0.15</v>
      </c>
      <c r="I1229" s="399">
        <f t="shared" si="32"/>
        <v>0.7</v>
      </c>
      <c r="J1229" s="860"/>
      <c r="K1229" s="1247"/>
      <c r="L1229" s="869"/>
      <c r="M1229" s="869"/>
      <c r="N1229" s="869"/>
    </row>
    <row r="1230" spans="1:16" s="870" customFormat="1" hidden="1" outlineLevel="1">
      <c r="A1230" s="1246"/>
      <c r="B1230" s="855" t="s">
        <v>1311</v>
      </c>
      <c r="C1230" s="866" t="s">
        <v>2</v>
      </c>
      <c r="D1230" s="857">
        <v>1</v>
      </c>
      <c r="E1230" s="858">
        <v>2</v>
      </c>
      <c r="F1230" s="859">
        <v>1.2</v>
      </c>
      <c r="G1230" s="859">
        <f t="shared" si="33"/>
        <v>0.61</v>
      </c>
      <c r="H1230" s="859">
        <v>0.15</v>
      </c>
      <c r="I1230" s="399">
        <f t="shared" si="32"/>
        <v>0.22</v>
      </c>
      <c r="J1230" s="860"/>
      <c r="K1230" s="1247"/>
      <c r="L1230" s="869"/>
      <c r="M1230" s="869"/>
      <c r="N1230" s="869"/>
    </row>
    <row r="1231" spans="1:16" s="870" customFormat="1" hidden="1" outlineLevel="1">
      <c r="A1231" s="1246"/>
      <c r="B1231" s="855" t="s">
        <v>1310</v>
      </c>
      <c r="C1231" s="866" t="s">
        <v>2</v>
      </c>
      <c r="D1231" s="857">
        <v>1</v>
      </c>
      <c r="E1231" s="858">
        <v>2</v>
      </c>
      <c r="F1231" s="859">
        <f>2.4+G1231*2</f>
        <v>3.62</v>
      </c>
      <c r="G1231" s="859">
        <f t="shared" si="33"/>
        <v>0.61</v>
      </c>
      <c r="H1231" s="859">
        <v>0.15</v>
      </c>
      <c r="I1231" s="399">
        <f t="shared" si="32"/>
        <v>0.66</v>
      </c>
      <c r="J1231" s="860"/>
      <c r="K1231" s="1247"/>
      <c r="L1231" s="869"/>
      <c r="M1231" s="869"/>
      <c r="N1231" s="869"/>
    </row>
    <row r="1232" spans="1:16" s="870" customFormat="1" hidden="1" outlineLevel="1">
      <c r="A1232" s="1246"/>
      <c r="B1232" s="855" t="s">
        <v>1311</v>
      </c>
      <c r="C1232" s="866" t="s">
        <v>2</v>
      </c>
      <c r="D1232" s="857">
        <v>1</v>
      </c>
      <c r="E1232" s="858">
        <v>2</v>
      </c>
      <c r="F1232" s="859">
        <v>1.2</v>
      </c>
      <c r="G1232" s="859">
        <f t="shared" si="33"/>
        <v>0.61</v>
      </c>
      <c r="H1232" s="859">
        <v>0.15</v>
      </c>
      <c r="I1232" s="399">
        <f t="shared" si="32"/>
        <v>0.22</v>
      </c>
      <c r="J1232" s="860"/>
      <c r="K1232" s="1247"/>
      <c r="L1232" s="869"/>
      <c r="M1232" s="869"/>
      <c r="N1232" s="869"/>
    </row>
    <row r="1233" spans="1:14" s="870" customFormat="1" hidden="1" outlineLevel="1">
      <c r="A1233" s="1246"/>
      <c r="B1233" s="855"/>
      <c r="C1233" s="866"/>
      <c r="D1233" s="857"/>
      <c r="E1233" s="858"/>
      <c r="F1233" s="859"/>
      <c r="G1233" s="859"/>
      <c r="H1233" s="859"/>
      <c r="I1233" s="399" t="str">
        <f t="shared" si="32"/>
        <v/>
      </c>
      <c r="J1233" s="860"/>
      <c r="K1233" s="1247"/>
      <c r="L1233" s="869"/>
      <c r="M1233" s="869"/>
      <c r="N1233" s="869"/>
    </row>
    <row r="1234" spans="1:14" s="870" customFormat="1" ht="34.5" hidden="1" outlineLevel="1">
      <c r="A1234" s="1246"/>
      <c r="B1234" s="855" t="s">
        <v>1314</v>
      </c>
      <c r="C1234" s="866"/>
      <c r="D1234" s="857"/>
      <c r="E1234" s="858"/>
      <c r="F1234" s="859"/>
      <c r="G1234" s="859"/>
      <c r="H1234" s="859"/>
      <c r="I1234" s="399" t="str">
        <f t="shared" si="32"/>
        <v/>
      </c>
      <c r="J1234" s="860"/>
      <c r="K1234" s="1247"/>
      <c r="L1234" s="869"/>
      <c r="M1234" s="869"/>
      <c r="N1234" s="869"/>
    </row>
    <row r="1235" spans="1:14" s="870" customFormat="1" hidden="1" outlineLevel="1">
      <c r="A1235" s="1246"/>
      <c r="B1235" s="855"/>
      <c r="C1235" s="866" t="s">
        <v>2</v>
      </c>
      <c r="D1235" s="857">
        <v>1</v>
      </c>
      <c r="E1235" s="858">
        <v>1</v>
      </c>
      <c r="F1235" s="863">
        <v>14.65</v>
      </c>
      <c r="G1235" s="863">
        <v>0.97</v>
      </c>
      <c r="H1235" s="859">
        <v>7.4999999999999997E-2</v>
      </c>
      <c r="I1235" s="399">
        <f t="shared" si="32"/>
        <v>1.07</v>
      </c>
      <c r="J1235" s="860"/>
      <c r="K1235" s="1247"/>
      <c r="L1235" s="869"/>
      <c r="M1235" s="869"/>
      <c r="N1235" s="869"/>
    </row>
    <row r="1236" spans="1:14" s="870" customFormat="1" hidden="1" outlineLevel="1">
      <c r="A1236" s="1246"/>
      <c r="B1236" s="855" t="s">
        <v>1315</v>
      </c>
      <c r="C1236" s="866" t="s">
        <v>2</v>
      </c>
      <c r="D1236" s="857">
        <v>-1</v>
      </c>
      <c r="E1236" s="858">
        <v>2</v>
      </c>
      <c r="F1236" s="859">
        <v>1.2</v>
      </c>
      <c r="G1236" s="859">
        <v>0.375</v>
      </c>
      <c r="H1236" s="859">
        <v>7.4999999999999997E-2</v>
      </c>
      <c r="I1236" s="399">
        <f t="shared" si="32"/>
        <v>-7.0000000000000007E-2</v>
      </c>
      <c r="J1236" s="860"/>
      <c r="K1236" s="1247"/>
      <c r="L1236" s="869"/>
      <c r="M1236" s="869"/>
      <c r="N1236" s="869"/>
    </row>
    <row r="1237" spans="1:14" s="870" customFormat="1" ht="51.75" hidden="1" outlineLevel="1">
      <c r="A1237" s="1246"/>
      <c r="B1237" s="855" t="s">
        <v>1316</v>
      </c>
      <c r="C1237" s="866"/>
      <c r="D1237" s="857"/>
      <c r="E1237" s="858"/>
      <c r="F1237" s="859"/>
      <c r="G1237" s="859"/>
      <c r="H1237" s="859"/>
      <c r="I1237" s="399" t="str">
        <f t="shared" si="32"/>
        <v/>
      </c>
      <c r="J1237" s="860"/>
      <c r="K1237" s="1247"/>
      <c r="L1237" s="869"/>
      <c r="M1237" s="869"/>
      <c r="N1237" s="869"/>
    </row>
    <row r="1238" spans="1:14" s="870" customFormat="1" hidden="1" outlineLevel="1">
      <c r="A1238" s="1246"/>
      <c r="B1238" s="855"/>
      <c r="C1238" s="866" t="s">
        <v>2</v>
      </c>
      <c r="D1238" s="857">
        <v>1</v>
      </c>
      <c r="E1238" s="858">
        <v>1</v>
      </c>
      <c r="F1238" s="859">
        <v>15</v>
      </c>
      <c r="G1238" s="859">
        <v>0.6</v>
      </c>
      <c r="H1238" s="859">
        <v>7.4999999999999997E-2</v>
      </c>
      <c r="I1238" s="399">
        <f t="shared" si="32"/>
        <v>0.68</v>
      </c>
      <c r="J1238" s="860"/>
      <c r="K1238" s="1247"/>
      <c r="L1238" s="869"/>
      <c r="M1238" s="869"/>
      <c r="N1238" s="869"/>
    </row>
    <row r="1239" spans="1:14" s="870" customFormat="1" ht="51.75" hidden="1" outlineLevel="1">
      <c r="A1239" s="1246"/>
      <c r="B1239" s="855" t="s">
        <v>1317</v>
      </c>
      <c r="C1239" s="866"/>
      <c r="D1239" s="857"/>
      <c r="E1239" s="858"/>
      <c r="F1239" s="859"/>
      <c r="G1239" s="859"/>
      <c r="H1239" s="859"/>
      <c r="I1239" s="399" t="str">
        <f t="shared" si="32"/>
        <v/>
      </c>
      <c r="J1239" s="860"/>
      <c r="K1239" s="1247"/>
      <c r="L1239" s="869"/>
      <c r="M1239" s="869"/>
      <c r="N1239" s="869"/>
    </row>
    <row r="1240" spans="1:14" s="870" customFormat="1" hidden="1" outlineLevel="1">
      <c r="A1240" s="1246"/>
      <c r="B1240" s="855"/>
      <c r="C1240" s="866" t="s">
        <v>2</v>
      </c>
      <c r="D1240" s="857">
        <v>1</v>
      </c>
      <c r="E1240" s="858">
        <v>1</v>
      </c>
      <c r="F1240" s="859">
        <v>15</v>
      </c>
      <c r="G1240" s="859">
        <v>0.6</v>
      </c>
      <c r="H1240" s="859">
        <v>7.4999999999999997E-2</v>
      </c>
      <c r="I1240" s="399">
        <f t="shared" si="32"/>
        <v>0.68</v>
      </c>
      <c r="J1240" s="860"/>
      <c r="K1240" s="1247"/>
      <c r="L1240" s="869"/>
      <c r="M1240" s="869"/>
      <c r="N1240" s="869"/>
    </row>
    <row r="1241" spans="1:14" s="870" customFormat="1" ht="34.5" hidden="1" outlineLevel="1">
      <c r="A1241" s="1246"/>
      <c r="B1241" s="855" t="s">
        <v>1318</v>
      </c>
      <c r="C1241" s="866"/>
      <c r="D1241" s="857"/>
      <c r="E1241" s="858"/>
      <c r="F1241" s="859"/>
      <c r="G1241" s="859"/>
      <c r="H1241" s="859"/>
      <c r="I1241" s="399" t="str">
        <f t="shared" si="32"/>
        <v/>
      </c>
      <c r="J1241" s="860"/>
      <c r="K1241" s="1247"/>
      <c r="L1241" s="869"/>
      <c r="M1241" s="869"/>
      <c r="N1241" s="869"/>
    </row>
    <row r="1242" spans="1:14" s="870" customFormat="1" hidden="1" outlineLevel="1">
      <c r="A1242" s="1246"/>
      <c r="B1242" s="855" t="s">
        <v>1319</v>
      </c>
      <c r="C1242" s="866" t="s">
        <v>2</v>
      </c>
      <c r="D1242" s="857">
        <v>1</v>
      </c>
      <c r="E1242" s="858">
        <v>1</v>
      </c>
      <c r="F1242" s="859">
        <f>3.14*10.06^2</f>
        <v>317.77930400000002</v>
      </c>
      <c r="G1242" s="859"/>
      <c r="H1242" s="859">
        <v>0.2</v>
      </c>
      <c r="I1242" s="399">
        <f t="shared" si="32"/>
        <v>63.56</v>
      </c>
      <c r="J1242" s="860"/>
      <c r="K1242" s="1247"/>
      <c r="L1242" s="869"/>
      <c r="M1242" s="869"/>
      <c r="N1242" s="869"/>
    </row>
    <row r="1243" spans="1:14" s="870" customFormat="1" ht="34.5" hidden="1" outlineLevel="1">
      <c r="A1243" s="1246"/>
      <c r="B1243" s="855" t="s">
        <v>1320</v>
      </c>
      <c r="C1243" s="866"/>
      <c r="D1243" s="857"/>
      <c r="E1243" s="858"/>
      <c r="F1243" s="859"/>
      <c r="G1243" s="859"/>
      <c r="H1243" s="859"/>
      <c r="I1243" s="399" t="str">
        <f t="shared" si="32"/>
        <v/>
      </c>
      <c r="J1243" s="860"/>
      <c r="K1243" s="1247"/>
      <c r="L1243" s="869"/>
      <c r="M1243" s="869"/>
      <c r="N1243" s="869"/>
    </row>
    <row r="1244" spans="1:14" s="870" customFormat="1" ht="34.5" hidden="1" outlineLevel="1">
      <c r="A1244" s="1246"/>
      <c r="B1244" s="855" t="s">
        <v>1321</v>
      </c>
      <c r="C1244" s="866" t="s">
        <v>2</v>
      </c>
      <c r="D1244" s="857">
        <v>8</v>
      </c>
      <c r="E1244" s="858">
        <v>3</v>
      </c>
      <c r="F1244" s="859">
        <f>1-0.03*2</f>
        <v>0.94</v>
      </c>
      <c r="G1244" s="859">
        <f>1-0.03*2</f>
        <v>0.94</v>
      </c>
      <c r="H1244" s="859">
        <v>0.1</v>
      </c>
      <c r="I1244" s="399">
        <f t="shared" si="32"/>
        <v>2.12</v>
      </c>
      <c r="J1244" s="860"/>
      <c r="K1244" s="1247"/>
      <c r="L1244" s="869"/>
      <c r="M1244" s="869"/>
      <c r="N1244" s="869"/>
    </row>
    <row r="1245" spans="1:14" s="342" customFormat="1" collapsed="1">
      <c r="A1245" s="1230"/>
      <c r="B1245" s="669" t="s">
        <v>85</v>
      </c>
      <c r="C1245" s="465" t="s">
        <v>2</v>
      </c>
      <c r="D1245" s="624"/>
      <c r="E1245" s="625"/>
      <c r="F1245" s="1357"/>
      <c r="G1245" s="1357"/>
      <c r="H1245" s="1356"/>
      <c r="I1245" s="399" t="str">
        <f t="shared" si="32"/>
        <v/>
      </c>
      <c r="J1245" s="430">
        <f>SUM(I7:I1245)</f>
        <v>1624.8999999999996</v>
      </c>
      <c r="K1245" s="1231"/>
      <c r="L1245" s="341"/>
      <c r="M1245" s="341"/>
      <c r="N1245" s="341"/>
    </row>
    <row r="1246" spans="1:14" s="398" customFormat="1">
      <c r="A1246" s="1232"/>
      <c r="B1246" s="311"/>
      <c r="C1246" s="530"/>
      <c r="D1246" s="400"/>
      <c r="E1246" s="170"/>
      <c r="F1246" s="401"/>
      <c r="G1246" s="401"/>
      <c r="H1246" s="401"/>
      <c r="I1246" s="399" t="str">
        <f t="shared" si="32"/>
        <v/>
      </c>
      <c r="J1246" s="404"/>
      <c r="K1246" s="1234"/>
      <c r="L1246" s="431"/>
      <c r="M1246" s="431"/>
      <c r="N1246" s="431"/>
    </row>
    <row r="1247" spans="1:14" s="398" customFormat="1" ht="34.5">
      <c r="A1247" s="1232"/>
      <c r="B1247" s="311" t="s">
        <v>1724</v>
      </c>
      <c r="C1247" s="530" t="s">
        <v>2</v>
      </c>
      <c r="D1247" s="400">
        <v>2</v>
      </c>
      <c r="E1247" s="170">
        <v>1</v>
      </c>
      <c r="F1247" s="1110">
        <v>1.05</v>
      </c>
      <c r="G1247" s="1110">
        <v>1.05</v>
      </c>
      <c r="H1247" s="1110">
        <v>7.4999999999999997E-2</v>
      </c>
      <c r="I1247" s="399">
        <f t="shared" si="32"/>
        <v>0.17</v>
      </c>
      <c r="J1247" s="404"/>
      <c r="K1247" s="1234"/>
      <c r="L1247" s="431"/>
      <c r="M1247" s="431"/>
      <c r="N1247" s="431"/>
    </row>
    <row r="1248" spans="1:14" s="398" customFormat="1" ht="34.5">
      <c r="A1248" s="1232"/>
      <c r="B1248" s="311" t="s">
        <v>1725</v>
      </c>
      <c r="C1248" s="530" t="s">
        <v>2</v>
      </c>
      <c r="D1248" s="400">
        <v>2</v>
      </c>
      <c r="E1248" s="170">
        <v>1</v>
      </c>
      <c r="F1248" s="1110">
        <v>1.65</v>
      </c>
      <c r="G1248" s="1110">
        <v>1.65</v>
      </c>
      <c r="H1248" s="1110">
        <v>7.4999999999999997E-2</v>
      </c>
      <c r="I1248" s="399">
        <f t="shared" si="32"/>
        <v>0.41</v>
      </c>
      <c r="J1248" s="404"/>
      <c r="K1248" s="1234"/>
      <c r="L1248" s="431"/>
      <c r="M1248" s="431"/>
      <c r="N1248" s="431"/>
    </row>
    <row r="1249" spans="1:14" s="398" customFormat="1">
      <c r="A1249" s="1232"/>
      <c r="B1249" s="311"/>
      <c r="C1249" s="530"/>
      <c r="D1249" s="400"/>
      <c r="E1249" s="170"/>
      <c r="F1249" s="401"/>
      <c r="G1249" s="401"/>
      <c r="H1249" s="401"/>
      <c r="I1249" s="399" t="str">
        <f t="shared" si="32"/>
        <v/>
      </c>
      <c r="J1249" s="404"/>
      <c r="K1249" s="1234"/>
      <c r="L1249" s="431"/>
      <c r="M1249" s="431"/>
      <c r="N1249" s="431"/>
    </row>
    <row r="1250" spans="1:14" s="398" customFormat="1" ht="34.5">
      <c r="A1250" s="1232"/>
      <c r="B1250" s="311" t="s">
        <v>1726</v>
      </c>
      <c r="C1250" s="530" t="s">
        <v>2</v>
      </c>
      <c r="D1250" s="400">
        <v>2</v>
      </c>
      <c r="E1250" s="170">
        <v>1</v>
      </c>
      <c r="F1250" s="1110">
        <v>1.65</v>
      </c>
      <c r="G1250" s="1110">
        <v>1.65</v>
      </c>
      <c r="H1250" s="1110">
        <v>7.4999999999999997E-2</v>
      </c>
      <c r="I1250" s="399">
        <f t="shared" si="32"/>
        <v>0.41</v>
      </c>
      <c r="J1250" s="404"/>
      <c r="K1250" s="1234"/>
      <c r="L1250" s="431"/>
      <c r="M1250" s="431"/>
      <c r="N1250" s="431"/>
    </row>
    <row r="1251" spans="1:14" s="398" customFormat="1" ht="34.5">
      <c r="A1251" s="1232"/>
      <c r="B1251" s="311" t="s">
        <v>1725</v>
      </c>
      <c r="C1251" s="530" t="s">
        <v>2</v>
      </c>
      <c r="D1251" s="400">
        <v>2</v>
      </c>
      <c r="E1251" s="170">
        <v>1</v>
      </c>
      <c r="F1251" s="1110">
        <v>2.25</v>
      </c>
      <c r="G1251" s="1110">
        <v>2.25</v>
      </c>
      <c r="H1251" s="1110">
        <v>7.4999999999999997E-2</v>
      </c>
      <c r="I1251" s="399">
        <f t="shared" si="32"/>
        <v>0.76</v>
      </c>
      <c r="J1251" s="404"/>
      <c r="K1251" s="1234"/>
      <c r="L1251" s="431"/>
      <c r="M1251" s="431"/>
      <c r="N1251" s="431"/>
    </row>
    <row r="1252" spans="1:14" s="398" customFormat="1">
      <c r="A1252" s="1232"/>
      <c r="B1252" s="311"/>
      <c r="C1252" s="530"/>
      <c r="D1252" s="400"/>
      <c r="E1252" s="170"/>
      <c r="F1252" s="401"/>
      <c r="G1252" s="401"/>
      <c r="H1252" s="401"/>
      <c r="I1252" s="1149"/>
      <c r="J1252" s="404"/>
      <c r="K1252" s="1234"/>
      <c r="L1252" s="431"/>
      <c r="M1252" s="431"/>
      <c r="N1252" s="431"/>
    </row>
    <row r="1253" spans="1:14" s="398" customFormat="1">
      <c r="A1253" s="1232"/>
      <c r="B1253" s="311"/>
      <c r="C1253" s="530"/>
      <c r="D1253" s="400"/>
      <c r="E1253" s="170"/>
      <c r="F1253" s="401"/>
      <c r="G1253" s="401"/>
      <c r="H1253" s="401"/>
      <c r="I1253" s="1149"/>
      <c r="J1253" s="404"/>
      <c r="K1253" s="1234"/>
      <c r="L1253" s="431"/>
      <c r="M1253" s="431"/>
      <c r="N1253" s="431"/>
    </row>
    <row r="1254" spans="1:14" s="398" customFormat="1">
      <c r="A1254" s="1232"/>
      <c r="B1254" s="311"/>
      <c r="C1254" s="530"/>
      <c r="D1254" s="400"/>
      <c r="E1254" s="170"/>
      <c r="F1254" s="401"/>
      <c r="G1254" s="401"/>
      <c r="H1254" s="401"/>
      <c r="I1254" s="1149"/>
      <c r="J1254" s="404"/>
      <c r="K1254" s="1234"/>
      <c r="L1254" s="431"/>
      <c r="M1254" s="431"/>
      <c r="N1254" s="431"/>
    </row>
    <row r="1255" spans="1:14" s="398" customFormat="1">
      <c r="A1255" s="1248"/>
      <c r="B1255" s="161" t="s">
        <v>928</v>
      </c>
      <c r="C1255" s="388" t="s">
        <v>2</v>
      </c>
      <c r="D1255" s="392"/>
      <c r="E1255" s="165"/>
      <c r="F1255" s="401"/>
      <c r="G1255" s="401"/>
      <c r="H1255" s="401"/>
      <c r="I1255" s="1149"/>
      <c r="J1255" s="403">
        <f>SUM(I1246:I1254)</f>
        <v>1.75</v>
      </c>
      <c r="K1255" s="1249" t="s">
        <v>1690</v>
      </c>
      <c r="L1255" s="431"/>
      <c r="M1255" s="431"/>
      <c r="N1255" s="431"/>
    </row>
    <row r="1256" spans="1:14">
      <c r="A1256" s="1250"/>
      <c r="D1256" s="392"/>
      <c r="E1256" s="165"/>
      <c r="F1256" s="401"/>
      <c r="G1256" s="401"/>
      <c r="H1256" s="401"/>
      <c r="I1256" s="938"/>
      <c r="J1256" s="432">
        <f>SUM(J1245:J1255)</f>
        <v>1626.6499999999996</v>
      </c>
      <c r="K1256" s="1242"/>
    </row>
    <row r="1257" spans="1:14">
      <c r="A1257" s="1251"/>
      <c r="B1257" s="416" t="s">
        <v>311</v>
      </c>
      <c r="C1257" s="417"/>
      <c r="D1257" s="433"/>
      <c r="E1257" s="433"/>
      <c r="F1257" s="1358"/>
      <c r="G1257" s="1358"/>
      <c r="H1257" s="1358"/>
      <c r="I1257" s="1171"/>
      <c r="J1257" s="418"/>
      <c r="K1257" s="1252"/>
    </row>
    <row r="1258" spans="1:14" ht="120.75">
      <c r="A1258" s="1219">
        <v>2</v>
      </c>
      <c r="B1258" s="1395" t="s">
        <v>2171</v>
      </c>
      <c r="C1258" s="422"/>
      <c r="D1258" s="436"/>
      <c r="E1258" s="436"/>
      <c r="F1258" s="1359"/>
      <c r="G1258" s="1359"/>
      <c r="H1258" s="1359"/>
      <c r="I1258" s="1172"/>
      <c r="J1258" s="423"/>
      <c r="K1258" s="1220"/>
    </row>
    <row r="1259" spans="1:14" s="268" customFormat="1" hidden="1" outlineLevel="1">
      <c r="A1259" s="1253"/>
      <c r="B1259" s="264" t="s">
        <v>259</v>
      </c>
      <c r="C1259" s="264"/>
      <c r="D1259" s="265"/>
      <c r="E1259" s="264"/>
      <c r="F1259" s="1360"/>
      <c r="G1259" s="1360"/>
      <c r="H1259" s="1360"/>
      <c r="I1259" s="1173"/>
      <c r="J1259" s="266"/>
      <c r="K1259" s="1254"/>
      <c r="L1259" s="267"/>
      <c r="M1259" s="267"/>
      <c r="N1259" s="267"/>
    </row>
    <row r="1260" spans="1:14" s="268" customFormat="1" hidden="1" outlineLevel="1">
      <c r="A1260" s="1253"/>
      <c r="B1260" s="264" t="s">
        <v>260</v>
      </c>
      <c r="C1260" s="264" t="s">
        <v>2</v>
      </c>
      <c r="D1260" s="265">
        <v>1</v>
      </c>
      <c r="E1260" s="264">
        <v>1</v>
      </c>
      <c r="F1260" s="1360">
        <v>29.2</v>
      </c>
      <c r="G1260" s="1360">
        <v>6</v>
      </c>
      <c r="H1260" s="1360">
        <v>0.1</v>
      </c>
      <c r="I1260" s="1186">
        <f t="shared" ref="I1260:I1293" si="34">IF(D1260&lt;&gt;0,ROUND(PRODUCT(E1260:H1260)*D1260,2),"")</f>
        <v>17.52</v>
      </c>
      <c r="J1260" s="266"/>
      <c r="K1260" s="1254"/>
      <c r="L1260" s="267"/>
      <c r="M1260" s="267"/>
      <c r="N1260" s="267"/>
    </row>
    <row r="1261" spans="1:14" s="268" customFormat="1" hidden="1" outlineLevel="1">
      <c r="A1261" s="1253"/>
      <c r="B1261" s="264"/>
      <c r="C1261" s="264" t="s">
        <v>2</v>
      </c>
      <c r="D1261" s="265">
        <v>1</v>
      </c>
      <c r="E1261" s="264">
        <v>1</v>
      </c>
      <c r="F1261" s="1360">
        <v>8.32</v>
      </c>
      <c r="G1261" s="1360">
        <v>6.78</v>
      </c>
      <c r="H1261" s="1360">
        <v>0.1</v>
      </c>
      <c r="I1261" s="1186">
        <f t="shared" si="34"/>
        <v>5.64</v>
      </c>
      <c r="J1261" s="266"/>
      <c r="K1261" s="1254"/>
      <c r="L1261" s="267"/>
      <c r="M1261" s="267"/>
      <c r="N1261" s="267"/>
    </row>
    <row r="1262" spans="1:14" s="268" customFormat="1" hidden="1" outlineLevel="1">
      <c r="A1262" s="1253"/>
      <c r="B1262" s="264" t="s">
        <v>261</v>
      </c>
      <c r="C1262" s="264" t="s">
        <v>2</v>
      </c>
      <c r="D1262" s="265">
        <v>1</v>
      </c>
      <c r="E1262" s="264">
        <v>1</v>
      </c>
      <c r="F1262" s="1360">
        <v>23.234999999999999</v>
      </c>
      <c r="G1262" s="1360">
        <v>6</v>
      </c>
      <c r="H1262" s="1360">
        <v>0.1</v>
      </c>
      <c r="I1262" s="1186">
        <f t="shared" si="34"/>
        <v>13.94</v>
      </c>
      <c r="J1262" s="266"/>
      <c r="K1262" s="1254"/>
      <c r="L1262" s="267"/>
      <c r="M1262" s="267"/>
      <c r="N1262" s="267"/>
    </row>
    <row r="1263" spans="1:14" s="268" customFormat="1" hidden="1" outlineLevel="1">
      <c r="A1263" s="1253"/>
      <c r="B1263" s="264" t="s">
        <v>261</v>
      </c>
      <c r="C1263" s="264" t="s">
        <v>2</v>
      </c>
      <c r="D1263" s="265">
        <v>1</v>
      </c>
      <c r="E1263" s="264">
        <v>1</v>
      </c>
      <c r="F1263" s="1360">
        <v>2.2749999999999999</v>
      </c>
      <c r="G1263" s="1360">
        <v>6</v>
      </c>
      <c r="H1263" s="1360">
        <v>0.1</v>
      </c>
      <c r="I1263" s="1186">
        <f t="shared" si="34"/>
        <v>1.37</v>
      </c>
      <c r="J1263" s="266"/>
      <c r="K1263" s="1254"/>
      <c r="L1263" s="267"/>
      <c r="M1263" s="267"/>
      <c r="N1263" s="267"/>
    </row>
    <row r="1264" spans="1:14" s="268" customFormat="1" hidden="1" outlineLevel="1">
      <c r="A1264" s="1253"/>
      <c r="B1264" s="264" t="s">
        <v>261</v>
      </c>
      <c r="C1264" s="264" t="s">
        <v>2</v>
      </c>
      <c r="D1264" s="265">
        <v>1</v>
      </c>
      <c r="E1264" s="264">
        <v>1</v>
      </c>
      <c r="F1264" s="1360">
        <v>32.39</v>
      </c>
      <c r="G1264" s="1360">
        <v>6</v>
      </c>
      <c r="H1264" s="1360">
        <v>0.1</v>
      </c>
      <c r="I1264" s="1186">
        <f t="shared" si="34"/>
        <v>19.43</v>
      </c>
      <c r="J1264" s="266"/>
      <c r="K1264" s="1254"/>
      <c r="L1264" s="267"/>
      <c r="M1264" s="267"/>
      <c r="N1264" s="267"/>
    </row>
    <row r="1265" spans="1:14" s="268" customFormat="1" hidden="1" outlineLevel="1">
      <c r="A1265" s="1253"/>
      <c r="B1265" s="264" t="s">
        <v>261</v>
      </c>
      <c r="C1265" s="264" t="s">
        <v>2</v>
      </c>
      <c r="D1265" s="265">
        <v>1</v>
      </c>
      <c r="E1265" s="264">
        <v>1</v>
      </c>
      <c r="F1265" s="1360">
        <v>5.2949999999999999</v>
      </c>
      <c r="G1265" s="1360">
        <v>6</v>
      </c>
      <c r="H1265" s="1360">
        <v>0.1</v>
      </c>
      <c r="I1265" s="1186">
        <f t="shared" si="34"/>
        <v>3.18</v>
      </c>
      <c r="J1265" s="266"/>
      <c r="K1265" s="1254"/>
      <c r="L1265" s="267"/>
      <c r="M1265" s="267"/>
      <c r="N1265" s="267"/>
    </row>
    <row r="1266" spans="1:14" s="268" customFormat="1" hidden="1" outlineLevel="1">
      <c r="A1266" s="1253"/>
      <c r="B1266" s="264"/>
      <c r="C1266" s="264"/>
      <c r="D1266" s="265"/>
      <c r="E1266" s="264"/>
      <c r="F1266" s="1360"/>
      <c r="G1266" s="1360"/>
      <c r="H1266" s="1360"/>
      <c r="I1266" s="1186" t="str">
        <f t="shared" si="34"/>
        <v/>
      </c>
      <c r="J1266" s="266"/>
      <c r="K1266" s="1254"/>
      <c r="L1266" s="267"/>
      <c r="M1266" s="267"/>
      <c r="N1266" s="267"/>
    </row>
    <row r="1267" spans="1:14" s="268" customFormat="1" ht="34.5" hidden="1" outlineLevel="1">
      <c r="A1267" s="1253"/>
      <c r="B1267" s="264" t="s">
        <v>314</v>
      </c>
      <c r="C1267" s="264" t="s">
        <v>2</v>
      </c>
      <c r="D1267" s="265">
        <v>1</v>
      </c>
      <c r="E1267" s="264">
        <v>1</v>
      </c>
      <c r="F1267" s="1360">
        <v>31.463000000000001</v>
      </c>
      <c r="G1267" s="1360">
        <v>6</v>
      </c>
      <c r="H1267" s="1360">
        <v>0.1</v>
      </c>
      <c r="I1267" s="1186">
        <f t="shared" si="34"/>
        <v>18.88</v>
      </c>
      <c r="J1267" s="266"/>
      <c r="K1267" s="1254"/>
      <c r="L1267" s="267"/>
      <c r="M1267" s="267"/>
      <c r="N1267" s="267"/>
    </row>
    <row r="1268" spans="1:14" s="268" customFormat="1" ht="34.5" hidden="1" outlineLevel="1">
      <c r="A1268" s="1253"/>
      <c r="B1268" s="264" t="s">
        <v>315</v>
      </c>
      <c r="C1268" s="264" t="s">
        <v>2</v>
      </c>
      <c r="D1268" s="265">
        <v>1</v>
      </c>
      <c r="E1268" s="264">
        <v>1</v>
      </c>
      <c r="F1268" s="1360">
        <v>33.192999999999998</v>
      </c>
      <c r="G1268" s="1360">
        <v>6</v>
      </c>
      <c r="H1268" s="1360">
        <v>0.1</v>
      </c>
      <c r="I1268" s="1186">
        <f t="shared" si="34"/>
        <v>19.920000000000002</v>
      </c>
      <c r="J1268" s="266"/>
      <c r="K1268" s="1254"/>
      <c r="L1268" s="267"/>
      <c r="M1268" s="267"/>
      <c r="N1268" s="267"/>
    </row>
    <row r="1269" spans="1:14" s="268" customFormat="1" hidden="1" outlineLevel="1">
      <c r="A1269" s="1253"/>
      <c r="B1269" s="264"/>
      <c r="C1269" s="264" t="s">
        <v>2</v>
      </c>
      <c r="D1269" s="265">
        <v>1</v>
      </c>
      <c r="E1269" s="264">
        <v>1</v>
      </c>
      <c r="F1269" s="1360">
        <v>29.853999999999999</v>
      </c>
      <c r="G1269" s="1360">
        <v>6</v>
      </c>
      <c r="H1269" s="1360">
        <v>0.1</v>
      </c>
      <c r="I1269" s="1186">
        <f t="shared" si="34"/>
        <v>17.91</v>
      </c>
      <c r="J1269" s="266"/>
      <c r="K1269" s="1254"/>
      <c r="L1269" s="267"/>
      <c r="M1269" s="267"/>
      <c r="N1269" s="267"/>
    </row>
    <row r="1270" spans="1:14" s="268" customFormat="1" hidden="1" outlineLevel="1">
      <c r="A1270" s="1253"/>
      <c r="B1270" s="264"/>
      <c r="C1270" s="264" t="s">
        <v>2</v>
      </c>
      <c r="D1270" s="265">
        <v>1</v>
      </c>
      <c r="E1270" s="264">
        <v>1</v>
      </c>
      <c r="F1270" s="1360">
        <v>33.667000000000002</v>
      </c>
      <c r="G1270" s="1360">
        <v>6</v>
      </c>
      <c r="H1270" s="1360">
        <v>0.1</v>
      </c>
      <c r="I1270" s="1186">
        <f t="shared" si="34"/>
        <v>20.2</v>
      </c>
      <c r="J1270" s="266"/>
      <c r="K1270" s="1254"/>
      <c r="L1270" s="267"/>
      <c r="M1270" s="267"/>
      <c r="N1270" s="267"/>
    </row>
    <row r="1271" spans="1:14" s="268" customFormat="1" hidden="1" outlineLevel="1">
      <c r="A1271" s="1253"/>
      <c r="B1271" s="264"/>
      <c r="C1271" s="264" t="s">
        <v>2</v>
      </c>
      <c r="D1271" s="265">
        <v>1</v>
      </c>
      <c r="E1271" s="264">
        <v>1</v>
      </c>
      <c r="F1271" s="1360">
        <v>12.3</v>
      </c>
      <c r="G1271" s="1360">
        <v>6</v>
      </c>
      <c r="H1271" s="1360">
        <v>0.1</v>
      </c>
      <c r="I1271" s="1186">
        <f t="shared" si="34"/>
        <v>7.38</v>
      </c>
      <c r="J1271" s="266"/>
      <c r="K1271" s="1254"/>
      <c r="L1271" s="267"/>
      <c r="M1271" s="267"/>
      <c r="N1271" s="267"/>
    </row>
    <row r="1272" spans="1:14" s="165" customFormat="1" hidden="1" outlineLevel="1" collapsed="1">
      <c r="A1272" s="1255"/>
      <c r="B1272" s="596" t="s">
        <v>648</v>
      </c>
      <c r="C1272" s="302"/>
      <c r="D1272" s="302"/>
      <c r="E1272" s="298"/>
      <c r="F1272" s="1156"/>
      <c r="G1272" s="1156"/>
      <c r="H1272" s="1156"/>
      <c r="I1272" s="1186" t="str">
        <f t="shared" si="34"/>
        <v/>
      </c>
      <c r="J1272" s="162"/>
      <c r="K1272" s="1222"/>
      <c r="L1272" s="164"/>
      <c r="M1272" s="164"/>
      <c r="N1272" s="164"/>
    </row>
    <row r="1273" spans="1:14" s="165" customFormat="1" hidden="1" outlineLevel="1">
      <c r="A1273" s="1255"/>
      <c r="B1273" s="303" t="s">
        <v>626</v>
      </c>
      <c r="C1273" s="298" t="s">
        <v>2</v>
      </c>
      <c r="D1273" s="302">
        <v>1</v>
      </c>
      <c r="E1273" s="298">
        <v>1</v>
      </c>
      <c r="F1273" s="1351">
        <v>514.70000000000005</v>
      </c>
      <c r="G1273" s="1156"/>
      <c r="H1273" s="1156">
        <v>0.1</v>
      </c>
      <c r="I1273" s="1186">
        <f t="shared" si="34"/>
        <v>51.47</v>
      </c>
      <c r="J1273" s="162"/>
      <c r="K1273" s="1222"/>
      <c r="L1273" s="164"/>
      <c r="M1273" s="164"/>
      <c r="N1273" s="164"/>
    </row>
    <row r="1274" spans="1:14" s="165" customFormat="1" ht="34.5" hidden="1" outlineLevel="1">
      <c r="A1274" s="1255"/>
      <c r="B1274" s="303" t="s">
        <v>627</v>
      </c>
      <c r="C1274" s="298" t="s">
        <v>2</v>
      </c>
      <c r="D1274" s="302">
        <v>1</v>
      </c>
      <c r="E1274" s="298">
        <v>1</v>
      </c>
      <c r="F1274" s="1155">
        <v>169.79</v>
      </c>
      <c r="G1274" s="1156"/>
      <c r="H1274" s="1156">
        <v>0.1</v>
      </c>
      <c r="I1274" s="1186">
        <f t="shared" si="34"/>
        <v>16.98</v>
      </c>
      <c r="J1274" s="162"/>
      <c r="K1274" s="1222"/>
      <c r="L1274" s="164"/>
      <c r="M1274" s="164"/>
      <c r="N1274" s="164"/>
    </row>
    <row r="1275" spans="1:14" s="165" customFormat="1" hidden="1" outlineLevel="1">
      <c r="A1275" s="1255"/>
      <c r="B1275" s="303" t="s">
        <v>628</v>
      </c>
      <c r="C1275" s="298" t="s">
        <v>2</v>
      </c>
      <c r="D1275" s="302">
        <v>-1</v>
      </c>
      <c r="E1275" s="298">
        <v>1</v>
      </c>
      <c r="F1275" s="1156">
        <v>6.5449999999999999</v>
      </c>
      <c r="G1275" s="1156">
        <v>6</v>
      </c>
      <c r="H1275" s="1156">
        <v>0.1</v>
      </c>
      <c r="I1275" s="1186">
        <f t="shared" si="34"/>
        <v>-3.93</v>
      </c>
      <c r="J1275" s="162"/>
      <c r="K1275" s="1222"/>
      <c r="L1275" s="164"/>
      <c r="M1275" s="164"/>
      <c r="N1275" s="164"/>
    </row>
    <row r="1276" spans="1:14" s="165" customFormat="1" ht="34.5" hidden="1" outlineLevel="1">
      <c r="A1276" s="1255"/>
      <c r="B1276" s="303" t="s">
        <v>629</v>
      </c>
      <c r="C1276" s="298" t="s">
        <v>2</v>
      </c>
      <c r="D1276" s="302">
        <v>1</v>
      </c>
      <c r="E1276" s="298">
        <v>1</v>
      </c>
      <c r="F1276" s="1155">
        <v>580.42999999999995</v>
      </c>
      <c r="G1276" s="1156"/>
      <c r="H1276" s="1156">
        <v>0.1</v>
      </c>
      <c r="I1276" s="1186">
        <f t="shared" si="34"/>
        <v>58.04</v>
      </c>
      <c r="J1276" s="162"/>
      <c r="K1276" s="1222"/>
      <c r="L1276" s="164"/>
      <c r="M1276" s="164"/>
      <c r="N1276" s="164"/>
    </row>
    <row r="1277" spans="1:14" s="165" customFormat="1" hidden="1" outlineLevel="1">
      <c r="A1277" s="1255"/>
      <c r="B1277" s="303" t="s">
        <v>630</v>
      </c>
      <c r="C1277" s="298" t="s">
        <v>2</v>
      </c>
      <c r="D1277" s="302">
        <v>1</v>
      </c>
      <c r="E1277" s="298">
        <v>1</v>
      </c>
      <c r="F1277" s="1156">
        <v>628.19000000000005</v>
      </c>
      <c r="G1277" s="1156"/>
      <c r="H1277" s="1156">
        <v>0.1</v>
      </c>
      <c r="I1277" s="1186">
        <f t="shared" si="34"/>
        <v>62.82</v>
      </c>
      <c r="J1277" s="162"/>
      <c r="K1277" s="1222"/>
      <c r="L1277" s="164"/>
      <c r="M1277" s="164"/>
      <c r="N1277" s="164"/>
    </row>
    <row r="1278" spans="1:14" s="165" customFormat="1" ht="34.5" hidden="1" outlineLevel="1">
      <c r="A1278" s="1255"/>
      <c r="B1278" s="303" t="s">
        <v>631</v>
      </c>
      <c r="C1278" s="298" t="s">
        <v>2</v>
      </c>
      <c r="D1278" s="302">
        <v>1</v>
      </c>
      <c r="E1278" s="298">
        <v>1</v>
      </c>
      <c r="F1278" s="1156">
        <v>303.47000000000003</v>
      </c>
      <c r="G1278" s="1156"/>
      <c r="H1278" s="1156">
        <v>0.1</v>
      </c>
      <c r="I1278" s="1186">
        <f t="shared" si="34"/>
        <v>30.35</v>
      </c>
      <c r="J1278" s="162"/>
      <c r="K1278" s="1222"/>
      <c r="L1278" s="164"/>
      <c r="M1278" s="164"/>
      <c r="N1278" s="164"/>
    </row>
    <row r="1279" spans="1:14" s="165" customFormat="1" hidden="1" outlineLevel="1">
      <c r="A1279" s="1255"/>
      <c r="B1279" s="303" t="s">
        <v>632</v>
      </c>
      <c r="C1279" s="298" t="s">
        <v>2</v>
      </c>
      <c r="D1279" s="302">
        <v>1</v>
      </c>
      <c r="E1279" s="298">
        <v>1</v>
      </c>
      <c r="F1279" s="1156">
        <v>165.9</v>
      </c>
      <c r="G1279" s="1156"/>
      <c r="H1279" s="1156">
        <v>0.1</v>
      </c>
      <c r="I1279" s="1186">
        <f t="shared" si="34"/>
        <v>16.59</v>
      </c>
      <c r="J1279" s="162"/>
      <c r="K1279" s="1222"/>
      <c r="L1279" s="164"/>
      <c r="M1279" s="164"/>
      <c r="N1279" s="164"/>
    </row>
    <row r="1280" spans="1:14" s="165" customFormat="1" hidden="1" outlineLevel="1">
      <c r="A1280" s="1256"/>
      <c r="B1280" s="597">
        <v>0.4</v>
      </c>
      <c r="C1280" s="329" t="s">
        <v>2</v>
      </c>
      <c r="D1280" s="330">
        <v>-1</v>
      </c>
      <c r="E1280" s="629"/>
      <c r="F1280" s="1361">
        <v>151.07599999999999</v>
      </c>
      <c r="G1280" s="1361"/>
      <c r="H1280" s="1361"/>
      <c r="I1280" s="1186">
        <f t="shared" si="34"/>
        <v>-151.08000000000001</v>
      </c>
      <c r="J1280" s="332"/>
      <c r="K1280" s="1224"/>
      <c r="L1280" s="164"/>
      <c r="M1280" s="164"/>
      <c r="N1280" s="164"/>
    </row>
    <row r="1281" spans="1:14" s="398" customFormat="1" hidden="1" outlineLevel="1">
      <c r="A1281" s="1232"/>
      <c r="B1281" s="311" t="s">
        <v>929</v>
      </c>
      <c r="C1281" s="386"/>
      <c r="D1281" s="390"/>
      <c r="E1281" s="386"/>
      <c r="F1281" s="401"/>
      <c r="G1281" s="401"/>
      <c r="H1281" s="1353"/>
      <c r="I1281" s="1186" t="str">
        <f t="shared" si="34"/>
        <v/>
      </c>
      <c r="J1281" s="404"/>
      <c r="K1281" s="1240"/>
      <c r="L1281" s="431"/>
      <c r="M1281" s="431"/>
      <c r="N1281" s="431"/>
    </row>
    <row r="1282" spans="1:14" s="398" customFormat="1" hidden="1" outlineLevel="1">
      <c r="A1282" s="1232"/>
      <c r="B1282" s="311"/>
      <c r="C1282" s="386"/>
      <c r="D1282" s="390"/>
      <c r="E1282" s="386"/>
      <c r="F1282" s="401"/>
      <c r="G1282" s="401"/>
      <c r="H1282" s="1353"/>
      <c r="I1282" s="1186" t="str">
        <f t="shared" si="34"/>
        <v/>
      </c>
      <c r="J1282" s="404"/>
      <c r="K1282" s="1240"/>
      <c r="L1282" s="431"/>
      <c r="M1282" s="431"/>
      <c r="N1282" s="431"/>
    </row>
    <row r="1283" spans="1:14" s="398" customFormat="1" ht="32.25" hidden="1" outlineLevel="1">
      <c r="A1283" s="1232"/>
      <c r="B1283" s="311" t="s">
        <v>879</v>
      </c>
      <c r="C1283" s="386" t="s">
        <v>2</v>
      </c>
      <c r="D1283" s="390">
        <v>1</v>
      </c>
      <c r="E1283" s="386">
        <v>1</v>
      </c>
      <c r="F1283" s="662">
        <v>43.026000000000003</v>
      </c>
      <c r="G1283" s="401"/>
      <c r="H1283" s="1353">
        <v>0.1</v>
      </c>
      <c r="I1283" s="1186">
        <f t="shared" si="34"/>
        <v>4.3</v>
      </c>
      <c r="J1283" s="404"/>
      <c r="K1283" s="1240" t="s">
        <v>624</v>
      </c>
      <c r="L1283" s="431"/>
      <c r="M1283" s="431"/>
      <c r="N1283" s="431"/>
    </row>
    <row r="1284" spans="1:14" s="398" customFormat="1" hidden="1" outlineLevel="1">
      <c r="A1284" s="1232"/>
      <c r="B1284" s="311" t="s">
        <v>880</v>
      </c>
      <c r="C1284" s="386" t="s">
        <v>2</v>
      </c>
      <c r="D1284" s="390">
        <v>1</v>
      </c>
      <c r="E1284" s="386">
        <v>1</v>
      </c>
      <c r="F1284" s="401">
        <f>235971026/1000000</f>
        <v>235.97102599999999</v>
      </c>
      <c r="G1284" s="401"/>
      <c r="H1284" s="1353">
        <v>0.1</v>
      </c>
      <c r="I1284" s="1186">
        <f t="shared" si="34"/>
        <v>23.6</v>
      </c>
      <c r="J1284" s="404"/>
      <c r="K1284" s="1240" t="s">
        <v>624</v>
      </c>
      <c r="L1284" s="431"/>
      <c r="M1284" s="431"/>
      <c r="N1284" s="431"/>
    </row>
    <row r="1285" spans="1:14" s="398" customFormat="1" hidden="1" outlineLevel="1">
      <c r="A1285" s="1232"/>
      <c r="B1285" s="311" t="s">
        <v>881</v>
      </c>
      <c r="C1285" s="386" t="s">
        <v>2</v>
      </c>
      <c r="D1285" s="390">
        <v>1</v>
      </c>
      <c r="E1285" s="386">
        <v>1</v>
      </c>
      <c r="F1285" s="401">
        <f>229385941/1000000</f>
        <v>229.385941</v>
      </c>
      <c r="G1285" s="401"/>
      <c r="H1285" s="1353">
        <v>0.1</v>
      </c>
      <c r="I1285" s="1186">
        <f t="shared" si="34"/>
        <v>22.94</v>
      </c>
      <c r="J1285" s="404"/>
      <c r="K1285" s="1240" t="s">
        <v>624</v>
      </c>
      <c r="L1285" s="431"/>
      <c r="M1285" s="431"/>
      <c r="N1285" s="431"/>
    </row>
    <row r="1286" spans="1:14" s="398" customFormat="1" hidden="1" outlineLevel="1">
      <c r="A1286" s="1232"/>
      <c r="B1286" s="311" t="s">
        <v>882</v>
      </c>
      <c r="C1286" s="386" t="s">
        <v>2</v>
      </c>
      <c r="D1286" s="390">
        <v>1</v>
      </c>
      <c r="E1286" s="386">
        <v>1</v>
      </c>
      <c r="F1286" s="401">
        <f>161301156/1000000</f>
        <v>161.30115599999999</v>
      </c>
      <c r="G1286" s="401"/>
      <c r="H1286" s="1353">
        <v>0.1</v>
      </c>
      <c r="I1286" s="1186">
        <f t="shared" si="34"/>
        <v>16.13</v>
      </c>
      <c r="J1286" s="404"/>
      <c r="K1286" s="1240" t="s">
        <v>624</v>
      </c>
      <c r="L1286" s="431"/>
      <c r="M1286" s="431"/>
      <c r="N1286" s="431"/>
    </row>
    <row r="1287" spans="1:14" s="398" customFormat="1" hidden="1" outlineLevel="1">
      <c r="A1287" s="1232"/>
      <c r="B1287" s="311"/>
      <c r="C1287" s="386" t="s">
        <v>2</v>
      </c>
      <c r="D1287" s="390"/>
      <c r="E1287" s="386"/>
      <c r="F1287" s="401"/>
      <c r="G1287" s="401"/>
      <c r="H1287" s="1353"/>
      <c r="I1287" s="1186" t="str">
        <f t="shared" si="34"/>
        <v/>
      </c>
      <c r="J1287" s="404"/>
      <c r="K1287" s="1240"/>
      <c r="L1287" s="431"/>
      <c r="M1287" s="431"/>
      <c r="N1287" s="431"/>
    </row>
    <row r="1288" spans="1:14" s="398" customFormat="1" ht="34.5" hidden="1" outlineLevel="1">
      <c r="A1288" s="1232"/>
      <c r="B1288" s="311" t="s">
        <v>892</v>
      </c>
      <c r="C1288" s="386"/>
      <c r="D1288" s="390"/>
      <c r="E1288" s="386"/>
      <c r="F1288" s="401"/>
      <c r="G1288" s="401"/>
      <c r="H1288" s="1353"/>
      <c r="I1288" s="1186" t="str">
        <f t="shared" si="34"/>
        <v/>
      </c>
      <c r="J1288" s="404"/>
      <c r="K1288" s="1240"/>
      <c r="L1288" s="431"/>
      <c r="M1288" s="431"/>
      <c r="N1288" s="431"/>
    </row>
    <row r="1289" spans="1:14" s="398" customFormat="1" ht="34.5" hidden="1" outlineLevel="1">
      <c r="A1289" s="1232"/>
      <c r="B1289" s="311" t="s">
        <v>627</v>
      </c>
      <c r="C1289" s="386" t="s">
        <v>2</v>
      </c>
      <c r="D1289" s="390">
        <f>1*0</f>
        <v>0</v>
      </c>
      <c r="E1289" s="386"/>
      <c r="F1289" s="401"/>
      <c r="G1289" s="401"/>
      <c r="H1289" s="1353"/>
      <c r="I1289" s="1186" t="str">
        <f t="shared" si="34"/>
        <v/>
      </c>
      <c r="J1289" s="404"/>
      <c r="K1289" s="1240"/>
      <c r="L1289" s="431"/>
      <c r="M1289" s="431"/>
      <c r="N1289" s="431"/>
    </row>
    <row r="1290" spans="1:14" s="398" customFormat="1" hidden="1" outlineLevel="1">
      <c r="A1290" s="1232"/>
      <c r="B1290" s="311" t="s">
        <v>930</v>
      </c>
      <c r="C1290" s="386" t="s">
        <v>2</v>
      </c>
      <c r="D1290" s="390">
        <v>1</v>
      </c>
      <c r="E1290" s="386">
        <v>1</v>
      </c>
      <c r="F1290" s="401">
        <v>6.5449999999999999</v>
      </c>
      <c r="G1290" s="401">
        <v>6</v>
      </c>
      <c r="H1290" s="1353">
        <v>0.125</v>
      </c>
      <c r="I1290" s="1186">
        <f t="shared" si="34"/>
        <v>4.91</v>
      </c>
      <c r="J1290" s="404"/>
      <c r="K1290" s="1240"/>
      <c r="L1290" s="431"/>
      <c r="M1290" s="431"/>
      <c r="N1290" s="431"/>
    </row>
    <row r="1291" spans="1:14" s="398" customFormat="1" ht="34.5" hidden="1" outlineLevel="1">
      <c r="A1291" s="1232"/>
      <c r="B1291" s="311" t="s">
        <v>931</v>
      </c>
      <c r="C1291" s="386" t="s">
        <v>2</v>
      </c>
      <c r="D1291" s="390">
        <v>-1</v>
      </c>
      <c r="E1291" s="386">
        <v>1</v>
      </c>
      <c r="F1291" s="401">
        <v>4.798</v>
      </c>
      <c r="G1291" s="401">
        <v>6</v>
      </c>
      <c r="H1291" s="1354">
        <v>0.125</v>
      </c>
      <c r="I1291" s="1186">
        <f t="shared" si="34"/>
        <v>-3.6</v>
      </c>
      <c r="J1291" s="404"/>
      <c r="K1291" s="1240"/>
      <c r="L1291" s="431"/>
      <c r="M1291" s="431"/>
      <c r="N1291" s="431"/>
    </row>
    <row r="1292" spans="1:14" s="398" customFormat="1" hidden="1" outlineLevel="1">
      <c r="A1292" s="1232"/>
      <c r="B1292" s="311"/>
      <c r="C1292" s="386"/>
      <c r="D1292" s="390"/>
      <c r="E1292" s="386"/>
      <c r="F1292" s="401"/>
      <c r="G1292" s="401"/>
      <c r="H1292" s="1353"/>
      <c r="I1292" s="1186" t="str">
        <f t="shared" si="34"/>
        <v/>
      </c>
      <c r="J1292" s="404"/>
      <c r="K1292" s="1240"/>
      <c r="L1292" s="431"/>
      <c r="M1292" s="431"/>
      <c r="N1292" s="431"/>
    </row>
    <row r="1293" spans="1:14" s="398" customFormat="1" hidden="1" outlineLevel="1">
      <c r="A1293" s="1232"/>
      <c r="B1293" s="311" t="s">
        <v>932</v>
      </c>
      <c r="C1293" s="386" t="s">
        <v>2</v>
      </c>
      <c r="D1293" s="390">
        <v>1</v>
      </c>
      <c r="E1293" s="386">
        <v>1</v>
      </c>
      <c r="F1293" s="401">
        <v>151.07599999999999</v>
      </c>
      <c r="G1293" s="401"/>
      <c r="H1293" s="1353"/>
      <c r="I1293" s="1186">
        <f t="shared" si="34"/>
        <v>151.08000000000001</v>
      </c>
      <c r="J1293" s="404"/>
      <c r="K1293" s="1240"/>
      <c r="L1293" s="431"/>
      <c r="M1293" s="431"/>
      <c r="N1293" s="431"/>
    </row>
    <row r="1294" spans="1:14" s="398" customFormat="1" hidden="1" outlineLevel="1">
      <c r="A1294" s="1232"/>
      <c r="B1294" s="311"/>
      <c r="C1294" s="386"/>
      <c r="D1294" s="390"/>
      <c r="E1294" s="386"/>
      <c r="F1294" s="401"/>
      <c r="G1294" s="401"/>
      <c r="H1294" s="1353"/>
      <c r="I1294" s="938"/>
      <c r="J1294" s="404"/>
      <c r="K1294" s="1240"/>
      <c r="L1294" s="431"/>
      <c r="M1294" s="431"/>
      <c r="N1294" s="431"/>
    </row>
    <row r="1295" spans="1:14" s="345" customFormat="1" collapsed="1">
      <c r="A1295" s="1257"/>
      <c r="B1295" s="669" t="s">
        <v>85</v>
      </c>
      <c r="C1295" s="434" t="s">
        <v>2</v>
      </c>
      <c r="D1295" s="302"/>
      <c r="E1295" s="630"/>
      <c r="F1295" s="1362"/>
      <c r="G1295" s="1362"/>
      <c r="H1295" s="1362"/>
      <c r="I1295" s="937" t="s">
        <v>313</v>
      </c>
      <c r="J1295" s="430">
        <f>SUM(I1258:I1295)</f>
        <v>445.96999999999991</v>
      </c>
      <c r="K1295" s="1258"/>
      <c r="L1295" s="355"/>
      <c r="M1295" s="355"/>
      <c r="N1295" s="355"/>
    </row>
    <row r="1296" spans="1:14" s="398" customFormat="1">
      <c r="A1296" s="1232"/>
      <c r="B1296" s="311"/>
      <c r="C1296" s="386"/>
      <c r="D1296" s="390"/>
      <c r="E1296" s="386"/>
      <c r="F1296" s="401"/>
      <c r="G1296" s="401"/>
      <c r="H1296" s="1353"/>
      <c r="I1296" s="938"/>
      <c r="J1296" s="404"/>
      <c r="K1296" s="1240"/>
      <c r="L1296" s="431"/>
      <c r="M1296" s="431"/>
      <c r="N1296" s="431"/>
    </row>
    <row r="1297" spans="1:14" s="398" customFormat="1">
      <c r="A1297" s="1232"/>
      <c r="B1297" s="311"/>
      <c r="C1297" s="386"/>
      <c r="D1297" s="390"/>
      <c r="E1297" s="386"/>
      <c r="F1297" s="401"/>
      <c r="G1297" s="401"/>
      <c r="H1297" s="1353"/>
      <c r="I1297" s="938"/>
      <c r="J1297" s="404"/>
      <c r="K1297" s="1240"/>
      <c r="L1297" s="431"/>
      <c r="M1297" s="431"/>
      <c r="N1297" s="431"/>
    </row>
    <row r="1298" spans="1:14" s="165" customFormat="1">
      <c r="A1298" s="1255"/>
      <c r="B1298" s="161" t="s">
        <v>928</v>
      </c>
      <c r="C1298" s="388" t="s">
        <v>2</v>
      </c>
      <c r="D1298" s="392"/>
      <c r="F1298" s="401"/>
      <c r="G1298" s="401"/>
      <c r="H1298" s="401"/>
      <c r="I1298" s="1149" t="str">
        <f t="shared" ref="I1298" si="35">IF(D1298&lt;&gt;0,ROUND(PRODUCT(E1298:H1298)*D1298,2),"")</f>
        <v/>
      </c>
      <c r="J1298" s="403">
        <f>SUM(I1296:I1298)</f>
        <v>0</v>
      </c>
      <c r="K1298" s="1222"/>
      <c r="L1298" s="164"/>
      <c r="M1298" s="164"/>
      <c r="N1298" s="164"/>
    </row>
    <row r="1299" spans="1:14" s="165" customFormat="1">
      <c r="A1299" s="1255"/>
      <c r="B1299" s="425"/>
      <c r="C1299" s="414"/>
      <c r="D1299" s="392"/>
      <c r="F1299" s="401"/>
      <c r="G1299" s="401"/>
      <c r="H1299" s="401"/>
      <c r="I1299" s="938" t="str">
        <f t="shared" ref="I1299" si="36">IF(D1299&lt;&gt;0,ROUND(PRODUCT(E1299:H1299)*D1299,2),"")</f>
        <v/>
      </c>
      <c r="J1299" s="432">
        <f>SUM(J1295:J1298)</f>
        <v>445.96999999999991</v>
      </c>
      <c r="K1299" s="1222"/>
      <c r="L1299" s="164"/>
      <c r="M1299" s="164"/>
      <c r="N1299" s="164"/>
    </row>
    <row r="1300" spans="1:14">
      <c r="A1300" s="1251"/>
      <c r="B1300" s="416" t="s">
        <v>997</v>
      </c>
      <c r="C1300" s="417"/>
      <c r="D1300" s="433"/>
      <c r="E1300" s="433"/>
      <c r="F1300" s="1358"/>
      <c r="G1300" s="1358"/>
      <c r="H1300" s="1358"/>
      <c r="I1300" s="1171"/>
      <c r="J1300" s="418"/>
      <c r="K1300" s="1252"/>
    </row>
    <row r="1301" spans="1:14" ht="86.25">
      <c r="A1301" s="1219">
        <v>3</v>
      </c>
      <c r="B1301" s="1395" t="s">
        <v>2172</v>
      </c>
      <c r="C1301" s="422"/>
      <c r="D1301" s="436"/>
      <c r="E1301" s="436"/>
      <c r="F1301" s="1359"/>
      <c r="G1301" s="1359"/>
      <c r="H1301" s="1359"/>
      <c r="I1301" s="1172"/>
      <c r="J1301" s="423"/>
      <c r="K1301" s="1220"/>
    </row>
    <row r="1302" spans="1:14" s="398" customFormat="1" hidden="1" outlineLevel="1">
      <c r="A1302" s="1221"/>
      <c r="B1302" s="425" t="s">
        <v>139</v>
      </c>
      <c r="C1302" s="165" t="s">
        <v>2</v>
      </c>
      <c r="D1302" s="437"/>
      <c r="E1302" s="414"/>
      <c r="F1302" s="486"/>
      <c r="G1302" s="486"/>
      <c r="H1302" s="486"/>
      <c r="I1302" s="938" t="str">
        <f t="shared" ref="I1302:I1303" si="37">IF(D1302&lt;&gt;0,ROUND(PRODUCT(E1302:H1302)*D1302,2),"")</f>
        <v/>
      </c>
      <c r="J1302" s="294"/>
      <c r="K1302" s="1259"/>
      <c r="L1302" s="431"/>
      <c r="M1302" s="431"/>
      <c r="N1302" s="431"/>
    </row>
    <row r="1303" spans="1:14" s="398" customFormat="1" hidden="1" outlineLevel="1">
      <c r="A1303" s="1221"/>
      <c r="B1303" s="425" t="s">
        <v>105</v>
      </c>
      <c r="C1303" s="165" t="s">
        <v>2</v>
      </c>
      <c r="D1303" s="437">
        <v>1</v>
      </c>
      <c r="E1303" s="414"/>
      <c r="F1303" s="486">
        <f>5.69+3+2+0.46*2</f>
        <v>11.610000000000001</v>
      </c>
      <c r="G1303" s="486">
        <v>0.46</v>
      </c>
      <c r="H1303" s="486">
        <v>0.3</v>
      </c>
      <c r="I1303" s="399">
        <f t="shared" si="37"/>
        <v>1.6</v>
      </c>
      <c r="J1303" s="294"/>
      <c r="K1303" s="1259"/>
      <c r="L1303" s="431"/>
      <c r="M1303" s="431"/>
      <c r="N1303" s="431"/>
    </row>
    <row r="1304" spans="1:14" s="398" customFormat="1" hidden="1" outlineLevel="1">
      <c r="A1304" s="1221"/>
      <c r="B1304" s="425"/>
      <c r="C1304" s="165" t="s">
        <v>2</v>
      </c>
      <c r="D1304" s="437">
        <v>1</v>
      </c>
      <c r="E1304" s="414"/>
      <c r="F1304" s="486">
        <f>5.69+3+2+0.345*2</f>
        <v>11.38</v>
      </c>
      <c r="G1304" s="486">
        <v>0.34499999999999997</v>
      </c>
      <c r="H1304" s="486">
        <v>0.3</v>
      </c>
      <c r="I1304" s="399">
        <f t="shared" ref="I1304:I1367" si="38">IF(D1304&lt;&gt;0,ROUND(PRODUCT(E1304:H1304)*D1304,2),"")</f>
        <v>1.18</v>
      </c>
      <c r="J1304" s="294"/>
      <c r="K1304" s="1259"/>
      <c r="L1304" s="431"/>
      <c r="M1304" s="431"/>
      <c r="N1304" s="431"/>
    </row>
    <row r="1305" spans="1:14" s="398" customFormat="1" hidden="1" outlineLevel="1">
      <c r="A1305" s="1221"/>
      <c r="B1305" s="425"/>
      <c r="C1305" s="165" t="s">
        <v>2</v>
      </c>
      <c r="D1305" s="437">
        <v>1</v>
      </c>
      <c r="E1305" s="414"/>
      <c r="F1305" s="486">
        <f>5.69+3+2+0.23*2</f>
        <v>11.150000000000002</v>
      </c>
      <c r="G1305" s="486">
        <v>0.23</v>
      </c>
      <c r="H1305" s="486">
        <f>1.2-0.15-0.3-0.3-0.2-0.06</f>
        <v>0.19</v>
      </c>
      <c r="I1305" s="399">
        <f t="shared" si="38"/>
        <v>0.49</v>
      </c>
      <c r="J1305" s="294"/>
      <c r="K1305" s="1259"/>
      <c r="L1305" s="431"/>
      <c r="M1305" s="431"/>
      <c r="N1305" s="431"/>
    </row>
    <row r="1306" spans="1:14" s="398" customFormat="1" hidden="1" outlineLevel="1">
      <c r="A1306" s="1221"/>
      <c r="B1306" s="425"/>
      <c r="C1306" s="165" t="s">
        <v>2</v>
      </c>
      <c r="D1306" s="437">
        <v>1</v>
      </c>
      <c r="E1306" s="414"/>
      <c r="F1306" s="486">
        <f>5.69+3+0.46</f>
        <v>9.1500000000000021</v>
      </c>
      <c r="G1306" s="486">
        <v>0.46</v>
      </c>
      <c r="H1306" s="486">
        <v>0.3</v>
      </c>
      <c r="I1306" s="399">
        <f t="shared" si="38"/>
        <v>1.26</v>
      </c>
      <c r="J1306" s="294"/>
      <c r="K1306" s="1259"/>
      <c r="L1306" s="431"/>
      <c r="M1306" s="431"/>
      <c r="N1306" s="431"/>
    </row>
    <row r="1307" spans="1:14" s="398" customFormat="1" hidden="1" outlineLevel="1">
      <c r="A1307" s="1221"/>
      <c r="B1307" s="425"/>
      <c r="C1307" s="165" t="s">
        <v>2</v>
      </c>
      <c r="D1307" s="437">
        <v>1</v>
      </c>
      <c r="E1307" s="414"/>
      <c r="F1307" s="486">
        <f>5.69+3+0.345</f>
        <v>9.0350000000000019</v>
      </c>
      <c r="G1307" s="486">
        <v>0.34499999999999997</v>
      </c>
      <c r="H1307" s="486">
        <v>0.3</v>
      </c>
      <c r="I1307" s="399">
        <f t="shared" si="38"/>
        <v>0.94</v>
      </c>
      <c r="J1307" s="294"/>
      <c r="K1307" s="1259"/>
      <c r="L1307" s="431"/>
      <c r="M1307" s="431"/>
      <c r="N1307" s="431"/>
    </row>
    <row r="1308" spans="1:14" s="398" customFormat="1" hidden="1" outlineLevel="1">
      <c r="A1308" s="1221"/>
      <c r="B1308" s="425"/>
      <c r="C1308" s="165" t="s">
        <v>2</v>
      </c>
      <c r="D1308" s="437">
        <v>1</v>
      </c>
      <c r="E1308" s="414"/>
      <c r="F1308" s="486">
        <f>5.69+3+0.23</f>
        <v>8.9200000000000017</v>
      </c>
      <c r="G1308" s="486">
        <v>0.23</v>
      </c>
      <c r="H1308" s="486">
        <v>0.19</v>
      </c>
      <c r="I1308" s="399">
        <f t="shared" si="38"/>
        <v>0.39</v>
      </c>
      <c r="J1308" s="294"/>
      <c r="K1308" s="1259"/>
      <c r="L1308" s="431"/>
      <c r="M1308" s="431"/>
      <c r="N1308" s="431"/>
    </row>
    <row r="1309" spans="1:14" s="398" customFormat="1" hidden="1" outlineLevel="1">
      <c r="A1309" s="1221"/>
      <c r="B1309" s="425"/>
      <c r="C1309" s="165" t="s">
        <v>2</v>
      </c>
      <c r="D1309" s="437">
        <v>1</v>
      </c>
      <c r="E1309" s="414"/>
      <c r="F1309" s="486">
        <f>5.69+3+0.46</f>
        <v>9.1500000000000021</v>
      </c>
      <c r="G1309" s="486">
        <v>0.46</v>
      </c>
      <c r="H1309" s="486">
        <v>0.3</v>
      </c>
      <c r="I1309" s="399">
        <f t="shared" si="38"/>
        <v>1.26</v>
      </c>
      <c r="J1309" s="294"/>
      <c r="K1309" s="1259"/>
      <c r="L1309" s="431"/>
      <c r="M1309" s="431"/>
      <c r="N1309" s="431"/>
    </row>
    <row r="1310" spans="1:14" s="398" customFormat="1" hidden="1" outlineLevel="1">
      <c r="A1310" s="1221"/>
      <c r="B1310" s="425"/>
      <c r="C1310" s="165" t="s">
        <v>2</v>
      </c>
      <c r="D1310" s="437">
        <v>1</v>
      </c>
      <c r="E1310" s="414"/>
      <c r="F1310" s="486">
        <f>5.69+3+0.345</f>
        <v>9.0350000000000019</v>
      </c>
      <c r="G1310" s="486">
        <v>0.34499999999999997</v>
      </c>
      <c r="H1310" s="486">
        <v>0.3</v>
      </c>
      <c r="I1310" s="399">
        <f t="shared" si="38"/>
        <v>0.94</v>
      </c>
      <c r="J1310" s="294"/>
      <c r="K1310" s="1259"/>
      <c r="L1310" s="431"/>
      <c r="M1310" s="431"/>
      <c r="N1310" s="431"/>
    </row>
    <row r="1311" spans="1:14" s="398" customFormat="1" hidden="1" outlineLevel="1">
      <c r="A1311" s="1221"/>
      <c r="B1311" s="425"/>
      <c r="C1311" s="165" t="s">
        <v>2</v>
      </c>
      <c r="D1311" s="437">
        <v>1</v>
      </c>
      <c r="E1311" s="414"/>
      <c r="F1311" s="486">
        <f>5.69+3+0.23</f>
        <v>8.9200000000000017</v>
      </c>
      <c r="G1311" s="486">
        <v>0.23</v>
      </c>
      <c r="H1311" s="486">
        <v>0.19</v>
      </c>
      <c r="I1311" s="399">
        <f t="shared" si="38"/>
        <v>0.39</v>
      </c>
      <c r="J1311" s="294"/>
      <c r="K1311" s="1259"/>
      <c r="L1311" s="431"/>
      <c r="M1311" s="431"/>
      <c r="N1311" s="431"/>
    </row>
    <row r="1312" spans="1:14" s="398" customFormat="1" hidden="1" outlineLevel="1">
      <c r="A1312" s="1221"/>
      <c r="B1312" s="425"/>
      <c r="C1312" s="165" t="s">
        <v>2</v>
      </c>
      <c r="D1312" s="437">
        <v>1</v>
      </c>
      <c r="E1312" s="414"/>
      <c r="F1312" s="486">
        <f>1.8+0.46</f>
        <v>2.2600000000000002</v>
      </c>
      <c r="G1312" s="486">
        <v>0.46</v>
      </c>
      <c r="H1312" s="486">
        <v>0.3</v>
      </c>
      <c r="I1312" s="399">
        <f t="shared" si="38"/>
        <v>0.31</v>
      </c>
      <c r="J1312" s="294"/>
      <c r="K1312" s="1259"/>
      <c r="L1312" s="431"/>
      <c r="M1312" s="431"/>
      <c r="N1312" s="431"/>
    </row>
    <row r="1313" spans="1:14" s="398" customFormat="1" hidden="1" outlineLevel="1">
      <c r="A1313" s="1221"/>
      <c r="B1313" s="425"/>
      <c r="C1313" s="165" t="s">
        <v>2</v>
      </c>
      <c r="D1313" s="437">
        <v>1</v>
      </c>
      <c r="E1313" s="414"/>
      <c r="F1313" s="486">
        <f>1.8+0.345</f>
        <v>2.145</v>
      </c>
      <c r="G1313" s="486">
        <v>0.34499999999999997</v>
      </c>
      <c r="H1313" s="486">
        <v>0.3</v>
      </c>
      <c r="I1313" s="399">
        <f t="shared" si="38"/>
        <v>0.22</v>
      </c>
      <c r="J1313" s="294"/>
      <c r="K1313" s="1259"/>
      <c r="L1313" s="431"/>
      <c r="M1313" s="431"/>
      <c r="N1313" s="431"/>
    </row>
    <row r="1314" spans="1:14" s="398" customFormat="1" hidden="1" outlineLevel="1">
      <c r="A1314" s="1221"/>
      <c r="B1314" s="425"/>
      <c r="C1314" s="165" t="s">
        <v>2</v>
      </c>
      <c r="D1314" s="437">
        <v>1</v>
      </c>
      <c r="E1314" s="414"/>
      <c r="F1314" s="486">
        <f>1.8+0.23</f>
        <v>2.0300000000000002</v>
      </c>
      <c r="G1314" s="486">
        <v>0.23</v>
      </c>
      <c r="H1314" s="486">
        <v>0.19</v>
      </c>
      <c r="I1314" s="399">
        <f t="shared" si="38"/>
        <v>0.09</v>
      </c>
      <c r="J1314" s="294"/>
      <c r="K1314" s="1259"/>
      <c r="L1314" s="431"/>
      <c r="M1314" s="431"/>
      <c r="N1314" s="431"/>
    </row>
    <row r="1315" spans="1:14" s="398" customFormat="1" hidden="1" outlineLevel="1">
      <c r="A1315" s="1221"/>
      <c r="B1315" s="425"/>
      <c r="C1315" s="165" t="s">
        <v>2</v>
      </c>
      <c r="D1315" s="437">
        <v>1</v>
      </c>
      <c r="E1315" s="414"/>
      <c r="F1315" s="486">
        <f>3+3.29+0.6+0.46</f>
        <v>7.35</v>
      </c>
      <c r="G1315" s="486">
        <v>0.46</v>
      </c>
      <c r="H1315" s="486">
        <v>0.3</v>
      </c>
      <c r="I1315" s="399">
        <f t="shared" si="38"/>
        <v>1.01</v>
      </c>
      <c r="J1315" s="294"/>
      <c r="K1315" s="1259"/>
      <c r="L1315" s="431"/>
      <c r="M1315" s="431"/>
      <c r="N1315" s="431"/>
    </row>
    <row r="1316" spans="1:14" s="398" customFormat="1" hidden="1" outlineLevel="1">
      <c r="A1316" s="1221"/>
      <c r="B1316" s="425"/>
      <c r="C1316" s="165" t="s">
        <v>2</v>
      </c>
      <c r="D1316" s="437">
        <v>1</v>
      </c>
      <c r="E1316" s="414"/>
      <c r="F1316" s="486">
        <f>3+3.29+0.6+0.345</f>
        <v>7.2349999999999994</v>
      </c>
      <c r="G1316" s="486">
        <v>0.34499999999999997</v>
      </c>
      <c r="H1316" s="486">
        <v>0.3</v>
      </c>
      <c r="I1316" s="399">
        <f t="shared" si="38"/>
        <v>0.75</v>
      </c>
      <c r="J1316" s="294"/>
      <c r="K1316" s="1259"/>
      <c r="L1316" s="431"/>
      <c r="M1316" s="431"/>
      <c r="N1316" s="431"/>
    </row>
    <row r="1317" spans="1:14" s="398" customFormat="1" hidden="1" outlineLevel="1">
      <c r="A1317" s="1221"/>
      <c r="B1317" s="425"/>
      <c r="C1317" s="165" t="s">
        <v>2</v>
      </c>
      <c r="D1317" s="437">
        <v>1</v>
      </c>
      <c r="E1317" s="414"/>
      <c r="F1317" s="486">
        <f>3+3.29+0.6+0.23</f>
        <v>7.12</v>
      </c>
      <c r="G1317" s="486">
        <v>0.23</v>
      </c>
      <c r="H1317" s="486">
        <v>0.19</v>
      </c>
      <c r="I1317" s="399">
        <f t="shared" si="38"/>
        <v>0.31</v>
      </c>
      <c r="J1317" s="294"/>
      <c r="K1317" s="1259"/>
      <c r="L1317" s="431"/>
      <c r="M1317" s="431"/>
      <c r="N1317" s="431"/>
    </row>
    <row r="1318" spans="1:14" s="398" customFormat="1" hidden="1" outlineLevel="1">
      <c r="A1318" s="1221"/>
      <c r="B1318" s="425"/>
      <c r="C1318" s="165" t="s">
        <v>2</v>
      </c>
      <c r="D1318" s="437">
        <v>2</v>
      </c>
      <c r="E1318" s="414"/>
      <c r="F1318" s="486">
        <f>3+3.29+0.46</f>
        <v>6.75</v>
      </c>
      <c r="G1318" s="486">
        <v>0.46</v>
      </c>
      <c r="H1318" s="486">
        <v>0.3</v>
      </c>
      <c r="I1318" s="399">
        <f t="shared" si="38"/>
        <v>1.86</v>
      </c>
      <c r="J1318" s="294"/>
      <c r="K1318" s="1259"/>
      <c r="L1318" s="431"/>
      <c r="M1318" s="431"/>
      <c r="N1318" s="431"/>
    </row>
    <row r="1319" spans="1:14" s="398" customFormat="1" hidden="1" outlineLevel="1">
      <c r="A1319" s="1221"/>
      <c r="B1319" s="425"/>
      <c r="C1319" s="165" t="s">
        <v>2</v>
      </c>
      <c r="D1319" s="437">
        <v>2</v>
      </c>
      <c r="E1319" s="414"/>
      <c r="F1319" s="486">
        <f>3+3.29+0.345</f>
        <v>6.6349999999999998</v>
      </c>
      <c r="G1319" s="486">
        <v>0.34499999999999997</v>
      </c>
      <c r="H1319" s="486">
        <v>0.3</v>
      </c>
      <c r="I1319" s="399">
        <f t="shared" si="38"/>
        <v>1.37</v>
      </c>
      <c r="J1319" s="294"/>
      <c r="K1319" s="1259"/>
      <c r="L1319" s="431"/>
      <c r="M1319" s="431"/>
      <c r="N1319" s="431"/>
    </row>
    <row r="1320" spans="1:14" s="398" customFormat="1" hidden="1" outlineLevel="1">
      <c r="A1320" s="1221"/>
      <c r="B1320" s="425"/>
      <c r="C1320" s="165" t="s">
        <v>2</v>
      </c>
      <c r="D1320" s="437">
        <v>2</v>
      </c>
      <c r="E1320" s="414"/>
      <c r="F1320" s="486">
        <f>3+3.29+0.23</f>
        <v>6.5200000000000005</v>
      </c>
      <c r="G1320" s="486">
        <v>0.23</v>
      </c>
      <c r="H1320" s="486">
        <v>0.19</v>
      </c>
      <c r="I1320" s="399">
        <f t="shared" si="38"/>
        <v>0.56999999999999995</v>
      </c>
      <c r="J1320" s="294"/>
      <c r="K1320" s="1259"/>
      <c r="L1320" s="431"/>
      <c r="M1320" s="431"/>
      <c r="N1320" s="431"/>
    </row>
    <row r="1321" spans="1:14" s="398" customFormat="1" hidden="1" outlineLevel="1">
      <c r="A1321" s="1221"/>
      <c r="B1321" s="425"/>
      <c r="C1321" s="165" t="s">
        <v>2</v>
      </c>
      <c r="D1321" s="437">
        <v>2</v>
      </c>
      <c r="E1321" s="414"/>
      <c r="F1321" s="662">
        <v>6.91</v>
      </c>
      <c r="G1321" s="486">
        <v>0.46</v>
      </c>
      <c r="H1321" s="486">
        <v>0.3</v>
      </c>
      <c r="I1321" s="399">
        <f t="shared" si="38"/>
        <v>1.91</v>
      </c>
      <c r="J1321" s="294"/>
      <c r="K1321" s="1259"/>
      <c r="L1321" s="431"/>
      <c r="M1321" s="431"/>
      <c r="N1321" s="431"/>
    </row>
    <row r="1322" spans="1:14" s="398" customFormat="1" hidden="1" outlineLevel="1">
      <c r="A1322" s="1221"/>
      <c r="B1322" s="425"/>
      <c r="C1322" s="165" t="s">
        <v>2</v>
      </c>
      <c r="D1322" s="437">
        <v>2</v>
      </c>
      <c r="E1322" s="414"/>
      <c r="F1322" s="662">
        <v>6.68</v>
      </c>
      <c r="G1322" s="486">
        <v>0.34499999999999997</v>
      </c>
      <c r="H1322" s="486">
        <v>0.3</v>
      </c>
      <c r="I1322" s="399">
        <f t="shared" si="38"/>
        <v>1.38</v>
      </c>
      <c r="J1322" s="294"/>
      <c r="K1322" s="1259"/>
      <c r="L1322" s="431"/>
      <c r="M1322" s="431"/>
      <c r="N1322" s="431"/>
    </row>
    <row r="1323" spans="1:14" s="398" customFormat="1" hidden="1" outlineLevel="1">
      <c r="A1323" s="1221"/>
      <c r="B1323" s="425"/>
      <c r="C1323" s="165" t="s">
        <v>2</v>
      </c>
      <c r="D1323" s="437">
        <v>2</v>
      </c>
      <c r="E1323" s="414"/>
      <c r="F1323" s="662">
        <v>6.45</v>
      </c>
      <c r="G1323" s="486">
        <v>0.23</v>
      </c>
      <c r="H1323" s="486">
        <v>0.19</v>
      </c>
      <c r="I1323" s="399">
        <f t="shared" si="38"/>
        <v>0.56000000000000005</v>
      </c>
      <c r="J1323" s="294"/>
      <c r="K1323" s="1259"/>
      <c r="L1323" s="431"/>
      <c r="M1323" s="431"/>
      <c r="N1323" s="431"/>
    </row>
    <row r="1324" spans="1:14" s="398" customFormat="1" hidden="1" outlineLevel="1">
      <c r="A1324" s="1221"/>
      <c r="B1324" s="425"/>
      <c r="C1324" s="165" t="s">
        <v>2</v>
      </c>
      <c r="D1324" s="437">
        <v>1</v>
      </c>
      <c r="E1324" s="414"/>
      <c r="F1324" s="486">
        <f>4.43+0.46</f>
        <v>4.8899999999999997</v>
      </c>
      <c r="G1324" s="486">
        <v>0.46</v>
      </c>
      <c r="H1324" s="486">
        <v>0.3</v>
      </c>
      <c r="I1324" s="399">
        <f t="shared" si="38"/>
        <v>0.67</v>
      </c>
      <c r="J1324" s="294"/>
      <c r="K1324" s="1259"/>
      <c r="L1324" s="431"/>
      <c r="M1324" s="431"/>
      <c r="N1324" s="431"/>
    </row>
    <row r="1325" spans="1:14" s="398" customFormat="1" hidden="1" outlineLevel="1">
      <c r="A1325" s="1221"/>
      <c r="B1325" s="425"/>
      <c r="C1325" s="165" t="s">
        <v>2</v>
      </c>
      <c r="D1325" s="437">
        <v>1</v>
      </c>
      <c r="E1325" s="414"/>
      <c r="F1325" s="486">
        <f>4.43+0.345</f>
        <v>4.7749999999999995</v>
      </c>
      <c r="G1325" s="486">
        <v>0.34499999999999997</v>
      </c>
      <c r="H1325" s="486">
        <v>0.3</v>
      </c>
      <c r="I1325" s="399">
        <f t="shared" si="38"/>
        <v>0.49</v>
      </c>
      <c r="J1325" s="294"/>
      <c r="K1325" s="1259"/>
      <c r="L1325" s="431"/>
      <c r="M1325" s="431"/>
      <c r="N1325" s="431"/>
    </row>
    <row r="1326" spans="1:14" s="398" customFormat="1" hidden="1" outlineLevel="1">
      <c r="A1326" s="1221"/>
      <c r="B1326" s="425"/>
      <c r="C1326" s="165" t="s">
        <v>2</v>
      </c>
      <c r="D1326" s="437">
        <v>1</v>
      </c>
      <c r="E1326" s="414"/>
      <c r="F1326" s="486">
        <f>4.43+0.23</f>
        <v>4.66</v>
      </c>
      <c r="G1326" s="486">
        <v>0.23</v>
      </c>
      <c r="H1326" s="486">
        <v>0.19</v>
      </c>
      <c r="I1326" s="399">
        <f t="shared" si="38"/>
        <v>0.2</v>
      </c>
      <c r="J1326" s="294"/>
      <c r="K1326" s="1259"/>
      <c r="L1326" s="431"/>
      <c r="M1326" s="431"/>
      <c r="N1326" s="431"/>
    </row>
    <row r="1327" spans="1:14" s="398" customFormat="1" hidden="1" outlineLevel="1">
      <c r="A1327" s="1221"/>
      <c r="B1327" s="425"/>
      <c r="C1327" s="165" t="s">
        <v>2</v>
      </c>
      <c r="D1327" s="437">
        <v>1</v>
      </c>
      <c r="E1327" s="414"/>
      <c r="F1327" s="486">
        <f>6.43+0.46*2</f>
        <v>7.35</v>
      </c>
      <c r="G1327" s="486">
        <v>0.46</v>
      </c>
      <c r="H1327" s="486">
        <v>0.3</v>
      </c>
      <c r="I1327" s="399">
        <f t="shared" si="38"/>
        <v>1.01</v>
      </c>
      <c r="J1327" s="294"/>
      <c r="K1327" s="1259"/>
      <c r="L1327" s="431"/>
      <c r="M1327" s="431"/>
      <c r="N1327" s="431"/>
    </row>
    <row r="1328" spans="1:14" s="398" customFormat="1" hidden="1" outlineLevel="1">
      <c r="A1328" s="1221"/>
      <c r="B1328" s="425"/>
      <c r="C1328" s="165" t="s">
        <v>2</v>
      </c>
      <c r="D1328" s="437">
        <v>1</v>
      </c>
      <c r="E1328" s="414"/>
      <c r="F1328" s="486">
        <f>6.43+0.345*2</f>
        <v>7.1199999999999992</v>
      </c>
      <c r="G1328" s="486">
        <v>0.34499999999999997</v>
      </c>
      <c r="H1328" s="486">
        <v>0.3</v>
      </c>
      <c r="I1328" s="399">
        <f t="shared" si="38"/>
        <v>0.74</v>
      </c>
      <c r="J1328" s="294"/>
      <c r="K1328" s="1259"/>
      <c r="L1328" s="431"/>
      <c r="M1328" s="431"/>
      <c r="N1328" s="431"/>
    </row>
    <row r="1329" spans="1:14" s="398" customFormat="1" hidden="1" outlineLevel="1">
      <c r="A1329" s="1221"/>
      <c r="B1329" s="425"/>
      <c r="C1329" s="165" t="s">
        <v>2</v>
      </c>
      <c r="D1329" s="437">
        <v>1</v>
      </c>
      <c r="E1329" s="414"/>
      <c r="F1329" s="486">
        <f>6.43+0.23*2</f>
        <v>6.89</v>
      </c>
      <c r="G1329" s="486">
        <v>0.23</v>
      </c>
      <c r="H1329" s="486">
        <v>0.19</v>
      </c>
      <c r="I1329" s="399">
        <f t="shared" si="38"/>
        <v>0.3</v>
      </c>
      <c r="J1329" s="294"/>
      <c r="K1329" s="1259"/>
      <c r="L1329" s="431"/>
      <c r="M1329" s="431"/>
      <c r="N1329" s="431"/>
    </row>
    <row r="1330" spans="1:14" s="398" customFormat="1" hidden="1" outlineLevel="1">
      <c r="A1330" s="1221"/>
      <c r="B1330" s="425" t="s">
        <v>138</v>
      </c>
      <c r="C1330" s="165" t="s">
        <v>2</v>
      </c>
      <c r="D1330" s="437">
        <v>5</v>
      </c>
      <c r="E1330" s="414"/>
      <c r="F1330" s="486">
        <v>0.61499999999999999</v>
      </c>
      <c r="G1330" s="486">
        <v>0.46</v>
      </c>
      <c r="H1330" s="486">
        <v>0.3</v>
      </c>
      <c r="I1330" s="399">
        <f t="shared" si="38"/>
        <v>0.42</v>
      </c>
      <c r="J1330" s="294"/>
      <c r="K1330" s="1259"/>
      <c r="L1330" s="431"/>
      <c r="M1330" s="431"/>
      <c r="N1330" s="431"/>
    </row>
    <row r="1331" spans="1:14" s="398" customFormat="1" hidden="1" outlineLevel="1">
      <c r="A1331" s="1221"/>
      <c r="B1331" s="425"/>
      <c r="C1331" s="165" t="s">
        <v>2</v>
      </c>
      <c r="D1331" s="437">
        <v>5</v>
      </c>
      <c r="E1331" s="414"/>
      <c r="F1331" s="486">
        <v>0.61499999999999999</v>
      </c>
      <c r="G1331" s="486">
        <v>0.34499999999999997</v>
      </c>
      <c r="H1331" s="486">
        <v>0.3</v>
      </c>
      <c r="I1331" s="399">
        <f t="shared" si="38"/>
        <v>0.32</v>
      </c>
      <c r="J1331" s="294"/>
      <c r="K1331" s="1259"/>
      <c r="L1331" s="431"/>
      <c r="M1331" s="431"/>
      <c r="N1331" s="431"/>
    </row>
    <row r="1332" spans="1:14" s="398" customFormat="1" hidden="1" outlineLevel="1">
      <c r="A1332" s="1221"/>
      <c r="B1332" s="425"/>
      <c r="C1332" s="165" t="s">
        <v>2</v>
      </c>
      <c r="D1332" s="437">
        <v>5</v>
      </c>
      <c r="E1332" s="414"/>
      <c r="F1332" s="486">
        <v>0.61499999999999999</v>
      </c>
      <c r="G1332" s="486">
        <v>0.23</v>
      </c>
      <c r="H1332" s="486">
        <v>0.19</v>
      </c>
      <c r="I1332" s="399">
        <f t="shared" si="38"/>
        <v>0.13</v>
      </c>
      <c r="J1332" s="294"/>
      <c r="K1332" s="1259"/>
      <c r="L1332" s="431"/>
      <c r="M1332" s="431"/>
      <c r="N1332" s="431"/>
    </row>
    <row r="1333" spans="1:14" s="398" customFormat="1" hidden="1" outlineLevel="1">
      <c r="A1333" s="1221"/>
      <c r="B1333" s="425"/>
      <c r="C1333" s="165" t="s">
        <v>2</v>
      </c>
      <c r="D1333" s="437">
        <v>1</v>
      </c>
      <c r="E1333" s="414"/>
      <c r="F1333" s="486">
        <f>3.36</f>
        <v>3.36</v>
      </c>
      <c r="G1333" s="486">
        <v>0.46</v>
      </c>
      <c r="H1333" s="486">
        <v>0.3</v>
      </c>
      <c r="I1333" s="399">
        <f t="shared" si="38"/>
        <v>0.46</v>
      </c>
      <c r="J1333" s="294"/>
      <c r="K1333" s="1259"/>
      <c r="L1333" s="431"/>
      <c r="M1333" s="431"/>
      <c r="N1333" s="431"/>
    </row>
    <row r="1334" spans="1:14" s="398" customFormat="1" hidden="1" outlineLevel="1">
      <c r="A1334" s="1221"/>
      <c r="B1334" s="425"/>
      <c r="C1334" s="165" t="s">
        <v>2</v>
      </c>
      <c r="D1334" s="437">
        <v>1</v>
      </c>
      <c r="E1334" s="414"/>
      <c r="F1334" s="486">
        <f>3.36</f>
        <v>3.36</v>
      </c>
      <c r="G1334" s="486">
        <v>0.34499999999999997</v>
      </c>
      <c r="H1334" s="486">
        <v>0.3</v>
      </c>
      <c r="I1334" s="399">
        <f t="shared" si="38"/>
        <v>0.35</v>
      </c>
      <c r="J1334" s="294"/>
      <c r="K1334" s="1259"/>
      <c r="L1334" s="431"/>
      <c r="M1334" s="431"/>
      <c r="N1334" s="431"/>
    </row>
    <row r="1335" spans="1:14" s="398" customFormat="1" hidden="1" outlineLevel="1">
      <c r="A1335" s="1221"/>
      <c r="B1335" s="425"/>
      <c r="C1335" s="165" t="s">
        <v>2</v>
      </c>
      <c r="D1335" s="437">
        <v>1</v>
      </c>
      <c r="E1335" s="414"/>
      <c r="F1335" s="486">
        <f>3.36</f>
        <v>3.36</v>
      </c>
      <c r="G1335" s="486">
        <v>0.23</v>
      </c>
      <c r="H1335" s="486">
        <v>0.19</v>
      </c>
      <c r="I1335" s="399">
        <f t="shared" si="38"/>
        <v>0.15</v>
      </c>
      <c r="J1335" s="294"/>
      <c r="K1335" s="1259"/>
      <c r="L1335" s="431"/>
      <c r="M1335" s="431"/>
      <c r="N1335" s="431"/>
    </row>
    <row r="1336" spans="1:14" s="398" customFormat="1" hidden="1" outlineLevel="1">
      <c r="A1336" s="1221"/>
      <c r="B1336" s="425"/>
      <c r="C1336" s="165" t="s">
        <v>2</v>
      </c>
      <c r="D1336" s="437">
        <v>1</v>
      </c>
      <c r="E1336" s="414"/>
      <c r="F1336" s="486">
        <f>3.36-((0.615*2)+(0.46*2))</f>
        <v>1.21</v>
      </c>
      <c r="G1336" s="486">
        <v>0.46</v>
      </c>
      <c r="H1336" s="486">
        <v>0.3</v>
      </c>
      <c r="I1336" s="399">
        <f t="shared" si="38"/>
        <v>0.17</v>
      </c>
      <c r="J1336" s="294"/>
      <c r="K1336" s="1259"/>
      <c r="L1336" s="431"/>
      <c r="M1336" s="431"/>
      <c r="N1336" s="431"/>
    </row>
    <row r="1337" spans="1:14" s="398" customFormat="1" hidden="1" outlineLevel="1">
      <c r="A1337" s="1221"/>
      <c r="B1337" s="425"/>
      <c r="C1337" s="165" t="s">
        <v>2</v>
      </c>
      <c r="D1337" s="437">
        <v>1</v>
      </c>
      <c r="E1337" s="414"/>
      <c r="F1337" s="486">
        <f>3.36-0.615*2-0.345*2</f>
        <v>1.44</v>
      </c>
      <c r="G1337" s="486">
        <v>0.34499999999999997</v>
      </c>
      <c r="H1337" s="486">
        <v>0.3</v>
      </c>
      <c r="I1337" s="399">
        <f t="shared" si="38"/>
        <v>0.15</v>
      </c>
      <c r="J1337" s="294"/>
      <c r="K1337" s="1259"/>
      <c r="L1337" s="431"/>
      <c r="M1337" s="431"/>
      <c r="N1337" s="431"/>
    </row>
    <row r="1338" spans="1:14" s="398" customFormat="1" hidden="1" outlineLevel="1">
      <c r="A1338" s="1221"/>
      <c r="B1338" s="425"/>
      <c r="C1338" s="165" t="s">
        <v>2</v>
      </c>
      <c r="D1338" s="437">
        <v>1</v>
      </c>
      <c r="E1338" s="414"/>
      <c r="F1338" s="486">
        <f>3.36-0.615*2-0.23*2</f>
        <v>1.67</v>
      </c>
      <c r="G1338" s="486">
        <v>0.23</v>
      </c>
      <c r="H1338" s="486">
        <v>0.19</v>
      </c>
      <c r="I1338" s="399">
        <f t="shared" si="38"/>
        <v>7.0000000000000007E-2</v>
      </c>
      <c r="J1338" s="294"/>
      <c r="K1338" s="1259"/>
      <c r="L1338" s="431"/>
      <c r="M1338" s="431"/>
      <c r="N1338" s="431"/>
    </row>
    <row r="1339" spans="1:14" s="398" customFormat="1" hidden="1" outlineLevel="1">
      <c r="A1339" s="1221"/>
      <c r="B1339" s="425"/>
      <c r="C1339" s="165" t="s">
        <v>2</v>
      </c>
      <c r="D1339" s="437">
        <v>3</v>
      </c>
      <c r="E1339" s="414"/>
      <c r="F1339" s="486">
        <f>3.36-0.615*2-0.46*2</f>
        <v>1.21</v>
      </c>
      <c r="G1339" s="486">
        <v>0.46</v>
      </c>
      <c r="H1339" s="486">
        <v>0.3</v>
      </c>
      <c r="I1339" s="399">
        <f t="shared" si="38"/>
        <v>0.5</v>
      </c>
      <c r="J1339" s="294"/>
      <c r="K1339" s="1259"/>
      <c r="L1339" s="431"/>
      <c r="M1339" s="431"/>
      <c r="N1339" s="431"/>
    </row>
    <row r="1340" spans="1:14" s="398" customFormat="1" hidden="1" outlineLevel="1">
      <c r="A1340" s="1221"/>
      <c r="B1340" s="425"/>
      <c r="C1340" s="165" t="s">
        <v>2</v>
      </c>
      <c r="D1340" s="437">
        <v>3</v>
      </c>
      <c r="E1340" s="414"/>
      <c r="F1340" s="486">
        <f>3.36-0.615*2-0.345*2</f>
        <v>1.44</v>
      </c>
      <c r="G1340" s="486">
        <v>0.34499999999999997</v>
      </c>
      <c r="H1340" s="486">
        <v>0.3</v>
      </c>
      <c r="I1340" s="399">
        <f t="shared" si="38"/>
        <v>0.45</v>
      </c>
      <c r="J1340" s="294"/>
      <c r="K1340" s="1259"/>
      <c r="L1340" s="431"/>
      <c r="M1340" s="431"/>
      <c r="N1340" s="431"/>
    </row>
    <row r="1341" spans="1:14" s="398" customFormat="1" hidden="1" outlineLevel="1">
      <c r="A1341" s="1221"/>
      <c r="B1341" s="425"/>
      <c r="C1341" s="165" t="s">
        <v>2</v>
      </c>
      <c r="D1341" s="437">
        <v>3</v>
      </c>
      <c r="E1341" s="414"/>
      <c r="F1341" s="486">
        <f>3.36-0.615*2-0.23*2</f>
        <v>1.67</v>
      </c>
      <c r="G1341" s="486">
        <v>0.23</v>
      </c>
      <c r="H1341" s="486">
        <v>0.19</v>
      </c>
      <c r="I1341" s="399">
        <f t="shared" si="38"/>
        <v>0.22</v>
      </c>
      <c r="J1341" s="294"/>
      <c r="K1341" s="1259"/>
      <c r="L1341" s="431"/>
      <c r="M1341" s="431"/>
      <c r="N1341" s="431"/>
    </row>
    <row r="1342" spans="1:14" s="398" customFormat="1" hidden="1" outlineLevel="1">
      <c r="A1342" s="1221"/>
      <c r="B1342" s="425"/>
      <c r="C1342" s="165" t="s">
        <v>2</v>
      </c>
      <c r="D1342" s="437">
        <v>3</v>
      </c>
      <c r="E1342" s="414"/>
      <c r="F1342" s="486">
        <f>2.745-0.46</f>
        <v>2.2850000000000001</v>
      </c>
      <c r="G1342" s="486">
        <v>0.46</v>
      </c>
      <c r="H1342" s="486">
        <v>0.3</v>
      </c>
      <c r="I1342" s="399">
        <f t="shared" si="38"/>
        <v>0.95</v>
      </c>
      <c r="J1342" s="294"/>
      <c r="K1342" s="1259"/>
      <c r="L1342" s="431"/>
      <c r="M1342" s="431"/>
      <c r="N1342" s="431"/>
    </row>
    <row r="1343" spans="1:14" s="398" customFormat="1" hidden="1" outlineLevel="1">
      <c r="A1343" s="1221"/>
      <c r="B1343" s="425"/>
      <c r="C1343" s="165" t="s">
        <v>2</v>
      </c>
      <c r="D1343" s="437">
        <v>3</v>
      </c>
      <c r="E1343" s="414"/>
      <c r="F1343" s="486">
        <f>2.745-0.345</f>
        <v>2.4000000000000004</v>
      </c>
      <c r="G1343" s="486">
        <v>0.34499999999999997</v>
      </c>
      <c r="H1343" s="486">
        <v>0.3</v>
      </c>
      <c r="I1343" s="399">
        <f t="shared" si="38"/>
        <v>0.75</v>
      </c>
      <c r="J1343" s="294"/>
      <c r="K1343" s="1259"/>
      <c r="L1343" s="431"/>
      <c r="M1343" s="431"/>
      <c r="N1343" s="431"/>
    </row>
    <row r="1344" spans="1:14" s="398" customFormat="1" hidden="1" outlineLevel="1">
      <c r="A1344" s="1221"/>
      <c r="B1344" s="425"/>
      <c r="C1344" s="165" t="s">
        <v>2</v>
      </c>
      <c r="D1344" s="437">
        <v>3</v>
      </c>
      <c r="E1344" s="414"/>
      <c r="F1344" s="486">
        <f>2.745-0.23</f>
        <v>2.5150000000000001</v>
      </c>
      <c r="G1344" s="486">
        <v>0.23</v>
      </c>
      <c r="H1344" s="486">
        <v>0.19</v>
      </c>
      <c r="I1344" s="399">
        <f t="shared" si="38"/>
        <v>0.33</v>
      </c>
      <c r="J1344" s="294"/>
      <c r="K1344" s="1259"/>
      <c r="L1344" s="431"/>
      <c r="M1344" s="431"/>
      <c r="N1344" s="431"/>
    </row>
    <row r="1345" spans="1:14" s="398" customFormat="1" hidden="1" outlineLevel="1">
      <c r="A1345" s="1221"/>
      <c r="B1345" s="425" t="s">
        <v>140</v>
      </c>
      <c r="C1345" s="165" t="s">
        <v>2</v>
      </c>
      <c r="D1345" s="437">
        <v>4</v>
      </c>
      <c r="E1345" s="414"/>
      <c r="F1345" s="486">
        <v>3</v>
      </c>
      <c r="G1345" s="486">
        <v>0.115</v>
      </c>
      <c r="H1345" s="486">
        <v>0.35499999999999998</v>
      </c>
      <c r="I1345" s="399">
        <f t="shared" si="38"/>
        <v>0.49</v>
      </c>
      <c r="J1345" s="294"/>
      <c r="K1345" s="1259"/>
      <c r="L1345" s="431"/>
      <c r="M1345" s="431"/>
      <c r="N1345" s="431"/>
    </row>
    <row r="1346" spans="1:14" s="398" customFormat="1" hidden="1" outlineLevel="1">
      <c r="A1346" s="1221"/>
      <c r="B1346" s="425"/>
      <c r="C1346" s="165" t="s">
        <v>2</v>
      </c>
      <c r="D1346" s="437">
        <v>4</v>
      </c>
      <c r="E1346" s="414"/>
      <c r="F1346" s="486">
        <v>3</v>
      </c>
      <c r="G1346" s="486">
        <v>0.3</v>
      </c>
      <c r="H1346" s="486">
        <v>0.22500000000000001</v>
      </c>
      <c r="I1346" s="399">
        <f t="shared" si="38"/>
        <v>0.81</v>
      </c>
      <c r="J1346" s="294"/>
      <c r="K1346" s="1259"/>
      <c r="L1346" s="431"/>
      <c r="M1346" s="431"/>
      <c r="N1346" s="431"/>
    </row>
    <row r="1347" spans="1:14" s="398" customFormat="1" hidden="1" outlineLevel="1">
      <c r="A1347" s="1221"/>
      <c r="B1347" s="425" t="s">
        <v>106</v>
      </c>
      <c r="C1347" s="165" t="s">
        <v>2</v>
      </c>
      <c r="D1347" s="437"/>
      <c r="E1347" s="414"/>
      <c r="F1347" s="486"/>
      <c r="G1347" s="486"/>
      <c r="H1347" s="486"/>
      <c r="I1347" s="399" t="str">
        <f t="shared" si="38"/>
        <v/>
      </c>
      <c r="J1347" s="294"/>
      <c r="K1347" s="1259"/>
      <c r="L1347" s="431"/>
      <c r="M1347" s="431"/>
      <c r="N1347" s="431"/>
    </row>
    <row r="1348" spans="1:14" s="398" customFormat="1" hidden="1" outlineLevel="1">
      <c r="A1348" s="1221"/>
      <c r="B1348" s="425" t="s">
        <v>107</v>
      </c>
      <c r="C1348" s="165" t="s">
        <v>2</v>
      </c>
      <c r="D1348" s="437">
        <v>1</v>
      </c>
      <c r="E1348" s="414"/>
      <c r="F1348" s="486">
        <f>5.53+0.46+0.46</f>
        <v>6.45</v>
      </c>
      <c r="G1348" s="486">
        <v>0.46</v>
      </c>
      <c r="H1348" s="486">
        <v>0.3</v>
      </c>
      <c r="I1348" s="399">
        <f t="shared" si="38"/>
        <v>0.89</v>
      </c>
      <c r="J1348" s="294"/>
      <c r="K1348" s="1259"/>
      <c r="L1348" s="431"/>
      <c r="M1348" s="431"/>
      <c r="N1348" s="431"/>
    </row>
    <row r="1349" spans="1:14" s="398" customFormat="1" hidden="1" outlineLevel="1">
      <c r="A1349" s="1221"/>
      <c r="B1349" s="425"/>
      <c r="C1349" s="165" t="s">
        <v>2</v>
      </c>
      <c r="D1349" s="437">
        <v>1</v>
      </c>
      <c r="E1349" s="414"/>
      <c r="F1349" s="486">
        <f>5.53+0.345+0.345</f>
        <v>6.22</v>
      </c>
      <c r="G1349" s="486">
        <v>0.34499999999999997</v>
      </c>
      <c r="H1349" s="486">
        <v>0.3</v>
      </c>
      <c r="I1349" s="399">
        <f t="shared" si="38"/>
        <v>0.64</v>
      </c>
      <c r="J1349" s="294"/>
      <c r="K1349" s="1259"/>
      <c r="L1349" s="431"/>
      <c r="M1349" s="431"/>
      <c r="N1349" s="431"/>
    </row>
    <row r="1350" spans="1:14" s="398" customFormat="1" hidden="1" outlineLevel="1">
      <c r="A1350" s="1221"/>
      <c r="B1350" s="425"/>
      <c r="C1350" s="165" t="s">
        <v>2</v>
      </c>
      <c r="D1350" s="437">
        <v>1</v>
      </c>
      <c r="E1350" s="414"/>
      <c r="F1350" s="486">
        <f>5.53+0.23*2</f>
        <v>5.99</v>
      </c>
      <c r="G1350" s="486">
        <v>0.23</v>
      </c>
      <c r="H1350" s="486">
        <v>0.19</v>
      </c>
      <c r="I1350" s="399">
        <f t="shared" si="38"/>
        <v>0.26</v>
      </c>
      <c r="J1350" s="294"/>
      <c r="K1350" s="1259"/>
      <c r="L1350" s="431"/>
      <c r="M1350" s="431"/>
      <c r="N1350" s="431"/>
    </row>
    <row r="1351" spans="1:14" s="398" customFormat="1" hidden="1" outlineLevel="1">
      <c r="A1351" s="1221"/>
      <c r="B1351" s="425"/>
      <c r="C1351" s="165" t="s">
        <v>2</v>
      </c>
      <c r="D1351" s="437">
        <v>1</v>
      </c>
      <c r="E1351" s="414"/>
      <c r="F1351" s="486">
        <f>5.53+0.46+0.46-2</f>
        <v>4.45</v>
      </c>
      <c r="G1351" s="486">
        <v>0.46</v>
      </c>
      <c r="H1351" s="486">
        <v>0.3</v>
      </c>
      <c r="I1351" s="399">
        <f t="shared" si="38"/>
        <v>0.61</v>
      </c>
      <c r="J1351" s="294"/>
      <c r="K1351" s="1259"/>
      <c r="L1351" s="431"/>
      <c r="M1351" s="431"/>
      <c r="N1351" s="431"/>
    </row>
    <row r="1352" spans="1:14" s="398" customFormat="1" hidden="1" outlineLevel="1">
      <c r="A1352" s="1221"/>
      <c r="B1352" s="425"/>
      <c r="C1352" s="165" t="s">
        <v>2</v>
      </c>
      <c r="D1352" s="437">
        <v>1</v>
      </c>
      <c r="E1352" s="414"/>
      <c r="F1352" s="486">
        <f>5.53+0.345+0.345-2</f>
        <v>4.22</v>
      </c>
      <c r="G1352" s="486">
        <v>0.34499999999999997</v>
      </c>
      <c r="H1352" s="486">
        <v>0.3</v>
      </c>
      <c r="I1352" s="399">
        <f t="shared" si="38"/>
        <v>0.44</v>
      </c>
      <c r="J1352" s="294"/>
      <c r="K1352" s="1259"/>
      <c r="L1352" s="431"/>
      <c r="M1352" s="431"/>
      <c r="N1352" s="431"/>
    </row>
    <row r="1353" spans="1:14" s="398" customFormat="1" hidden="1" outlineLevel="1">
      <c r="A1353" s="1221"/>
      <c r="B1353" s="425"/>
      <c r="C1353" s="165" t="s">
        <v>2</v>
      </c>
      <c r="D1353" s="437">
        <v>1</v>
      </c>
      <c r="E1353" s="414"/>
      <c r="F1353" s="486">
        <f>5.53+0.23*2-2</f>
        <v>3.99</v>
      </c>
      <c r="G1353" s="486">
        <v>0.23</v>
      </c>
      <c r="H1353" s="486">
        <v>0.19</v>
      </c>
      <c r="I1353" s="399">
        <f t="shared" si="38"/>
        <v>0.17</v>
      </c>
      <c r="J1353" s="294"/>
      <c r="K1353" s="1259"/>
      <c r="L1353" s="431"/>
      <c r="M1353" s="431"/>
      <c r="N1353" s="431"/>
    </row>
    <row r="1354" spans="1:14" s="398" customFormat="1" hidden="1" outlineLevel="1">
      <c r="A1354" s="1221"/>
      <c r="B1354" s="425"/>
      <c r="C1354" s="165" t="s">
        <v>2</v>
      </c>
      <c r="D1354" s="437">
        <v>2</v>
      </c>
      <c r="E1354" s="414"/>
      <c r="F1354" s="486">
        <f>1.73+0.46</f>
        <v>2.19</v>
      </c>
      <c r="G1354" s="486">
        <v>0.46</v>
      </c>
      <c r="H1354" s="486">
        <v>0.3</v>
      </c>
      <c r="I1354" s="399">
        <f t="shared" si="38"/>
        <v>0.6</v>
      </c>
      <c r="J1354" s="294"/>
      <c r="K1354" s="1259"/>
      <c r="L1354" s="431"/>
      <c r="M1354" s="431"/>
      <c r="N1354" s="431"/>
    </row>
    <row r="1355" spans="1:14" s="398" customFormat="1" hidden="1" outlineLevel="1">
      <c r="A1355" s="1221"/>
      <c r="B1355" s="425"/>
      <c r="C1355" s="165" t="s">
        <v>2</v>
      </c>
      <c r="D1355" s="437">
        <v>2</v>
      </c>
      <c r="E1355" s="414"/>
      <c r="F1355" s="486">
        <f>1.73+0.345</f>
        <v>2.0750000000000002</v>
      </c>
      <c r="G1355" s="486">
        <v>0.34499999999999997</v>
      </c>
      <c r="H1355" s="486">
        <v>0.3</v>
      </c>
      <c r="I1355" s="399">
        <f t="shared" si="38"/>
        <v>0.43</v>
      </c>
      <c r="J1355" s="294"/>
      <c r="K1355" s="1259"/>
      <c r="L1355" s="431"/>
      <c r="M1355" s="431"/>
      <c r="N1355" s="431"/>
    </row>
    <row r="1356" spans="1:14" s="398" customFormat="1" hidden="1" outlineLevel="1">
      <c r="A1356" s="1221"/>
      <c r="B1356" s="425"/>
      <c r="C1356" s="165" t="s">
        <v>2</v>
      </c>
      <c r="D1356" s="437">
        <v>2</v>
      </c>
      <c r="E1356" s="414"/>
      <c r="F1356" s="486">
        <f>1.73+0.23</f>
        <v>1.96</v>
      </c>
      <c r="G1356" s="486">
        <v>0.23</v>
      </c>
      <c r="H1356" s="486">
        <v>0.19</v>
      </c>
      <c r="I1356" s="399">
        <f t="shared" si="38"/>
        <v>0.17</v>
      </c>
      <c r="J1356" s="294"/>
      <c r="K1356" s="1259"/>
      <c r="L1356" s="431"/>
      <c r="M1356" s="431"/>
      <c r="N1356" s="431"/>
    </row>
    <row r="1357" spans="1:14" s="398" customFormat="1" hidden="1" outlineLevel="1">
      <c r="A1357" s="1221"/>
      <c r="B1357" s="425"/>
      <c r="C1357" s="165" t="s">
        <v>2</v>
      </c>
      <c r="D1357" s="437">
        <v>2</v>
      </c>
      <c r="E1357" s="414"/>
      <c r="F1357" s="486">
        <f>0.9+1.43+0.46*2</f>
        <v>3.25</v>
      </c>
      <c r="G1357" s="486">
        <v>0.46</v>
      </c>
      <c r="H1357" s="486">
        <v>0.3</v>
      </c>
      <c r="I1357" s="399">
        <f t="shared" si="38"/>
        <v>0.9</v>
      </c>
      <c r="J1357" s="294"/>
      <c r="K1357" s="1259"/>
      <c r="L1357" s="431"/>
      <c r="M1357" s="431"/>
      <c r="N1357" s="431"/>
    </row>
    <row r="1358" spans="1:14" s="398" customFormat="1" hidden="1" outlineLevel="1">
      <c r="A1358" s="1221"/>
      <c r="B1358" s="425"/>
      <c r="C1358" s="165" t="s">
        <v>2</v>
      </c>
      <c r="D1358" s="437">
        <v>2</v>
      </c>
      <c r="E1358" s="414"/>
      <c r="F1358" s="486">
        <f>0.9+1.43+0.345*2</f>
        <v>3.02</v>
      </c>
      <c r="G1358" s="486">
        <v>0.34499999999999997</v>
      </c>
      <c r="H1358" s="486">
        <v>0.3</v>
      </c>
      <c r="I1358" s="399">
        <f t="shared" si="38"/>
        <v>0.63</v>
      </c>
      <c r="J1358" s="294"/>
      <c r="K1358" s="1259"/>
      <c r="L1358" s="431"/>
      <c r="M1358" s="431"/>
      <c r="N1358" s="431"/>
    </row>
    <row r="1359" spans="1:14" s="398" customFormat="1" hidden="1" outlineLevel="1">
      <c r="A1359" s="1221"/>
      <c r="B1359" s="425"/>
      <c r="C1359" s="165" t="s">
        <v>2</v>
      </c>
      <c r="D1359" s="437">
        <v>2</v>
      </c>
      <c r="E1359" s="414"/>
      <c r="F1359" s="486">
        <f>0.9+1.43+0.23*2</f>
        <v>2.79</v>
      </c>
      <c r="G1359" s="486">
        <v>0.23</v>
      </c>
      <c r="H1359" s="486">
        <v>0.19</v>
      </c>
      <c r="I1359" s="399">
        <f t="shared" si="38"/>
        <v>0.24</v>
      </c>
      <c r="J1359" s="294"/>
      <c r="K1359" s="1259"/>
      <c r="L1359" s="431"/>
      <c r="M1359" s="431"/>
      <c r="N1359" s="431"/>
    </row>
    <row r="1360" spans="1:14" s="398" customFormat="1" hidden="1" outlineLevel="1">
      <c r="A1360" s="1221"/>
      <c r="B1360" s="425"/>
      <c r="C1360" s="165" t="s">
        <v>2</v>
      </c>
      <c r="D1360" s="437">
        <v>1</v>
      </c>
      <c r="E1360" s="414"/>
      <c r="F1360" s="486">
        <f>1.43+0.46</f>
        <v>1.89</v>
      </c>
      <c r="G1360" s="486">
        <v>0.46</v>
      </c>
      <c r="H1360" s="486">
        <v>0.3</v>
      </c>
      <c r="I1360" s="399">
        <f t="shared" si="38"/>
        <v>0.26</v>
      </c>
      <c r="J1360" s="294"/>
      <c r="K1360" s="1259"/>
      <c r="L1360" s="431"/>
      <c r="M1360" s="431"/>
      <c r="N1360" s="431"/>
    </row>
    <row r="1361" spans="1:14" s="398" customFormat="1" hidden="1" outlineLevel="1">
      <c r="A1361" s="1221"/>
      <c r="B1361" s="425"/>
      <c r="C1361" s="165" t="s">
        <v>2</v>
      </c>
      <c r="D1361" s="437">
        <v>1</v>
      </c>
      <c r="E1361" s="414"/>
      <c r="F1361" s="486">
        <f>1.43+0.345</f>
        <v>1.7749999999999999</v>
      </c>
      <c r="G1361" s="486">
        <v>0.34499999999999997</v>
      </c>
      <c r="H1361" s="486">
        <v>0.3</v>
      </c>
      <c r="I1361" s="399">
        <f t="shared" si="38"/>
        <v>0.18</v>
      </c>
      <c r="J1361" s="294"/>
      <c r="K1361" s="1259"/>
      <c r="L1361" s="431"/>
      <c r="M1361" s="431"/>
      <c r="N1361" s="431"/>
    </row>
    <row r="1362" spans="1:14" s="398" customFormat="1" hidden="1" outlineLevel="1">
      <c r="A1362" s="1221"/>
      <c r="B1362" s="425"/>
      <c r="C1362" s="165" t="s">
        <v>2</v>
      </c>
      <c r="D1362" s="437">
        <v>1</v>
      </c>
      <c r="E1362" s="414"/>
      <c r="F1362" s="486">
        <f>1.43+0.23</f>
        <v>1.66</v>
      </c>
      <c r="G1362" s="486">
        <v>0.23</v>
      </c>
      <c r="H1362" s="486">
        <v>0.19</v>
      </c>
      <c r="I1362" s="399">
        <f t="shared" si="38"/>
        <v>7.0000000000000007E-2</v>
      </c>
      <c r="J1362" s="294"/>
      <c r="K1362" s="1259"/>
      <c r="L1362" s="431"/>
      <c r="M1362" s="431"/>
      <c r="N1362" s="431"/>
    </row>
    <row r="1363" spans="1:14" s="398" customFormat="1" hidden="1" outlineLevel="1">
      <c r="A1363" s="1221"/>
      <c r="B1363" s="425"/>
      <c r="C1363" s="165" t="s">
        <v>2</v>
      </c>
      <c r="D1363" s="437">
        <v>1</v>
      </c>
      <c r="E1363" s="414"/>
      <c r="F1363" s="486">
        <f>2+1.43+0.46*2</f>
        <v>4.3499999999999996</v>
      </c>
      <c r="G1363" s="486">
        <v>0.46</v>
      </c>
      <c r="H1363" s="486">
        <v>0.3</v>
      </c>
      <c r="I1363" s="399">
        <f t="shared" si="38"/>
        <v>0.6</v>
      </c>
      <c r="J1363" s="294"/>
      <c r="K1363" s="1259"/>
      <c r="L1363" s="431"/>
      <c r="M1363" s="431"/>
      <c r="N1363" s="431"/>
    </row>
    <row r="1364" spans="1:14" s="398" customFormat="1" hidden="1" outlineLevel="1">
      <c r="A1364" s="1221"/>
      <c r="B1364" s="425"/>
      <c r="C1364" s="165" t="s">
        <v>2</v>
      </c>
      <c r="D1364" s="437">
        <v>1</v>
      </c>
      <c r="E1364" s="414"/>
      <c r="F1364" s="486">
        <f>2+1.43+0.345*2</f>
        <v>4.1199999999999992</v>
      </c>
      <c r="G1364" s="486">
        <v>0.34499999999999997</v>
      </c>
      <c r="H1364" s="486">
        <v>0.3</v>
      </c>
      <c r="I1364" s="399">
        <f t="shared" si="38"/>
        <v>0.43</v>
      </c>
      <c r="J1364" s="294"/>
      <c r="K1364" s="1259"/>
      <c r="L1364" s="431"/>
      <c r="M1364" s="431"/>
      <c r="N1364" s="431"/>
    </row>
    <row r="1365" spans="1:14" s="398" customFormat="1" hidden="1" outlineLevel="1">
      <c r="A1365" s="1221"/>
      <c r="B1365" s="425"/>
      <c r="C1365" s="165" t="s">
        <v>2</v>
      </c>
      <c r="D1365" s="437">
        <v>1</v>
      </c>
      <c r="E1365" s="414"/>
      <c r="F1365" s="486">
        <f>2+1.43+0.23*2</f>
        <v>3.8899999999999997</v>
      </c>
      <c r="G1365" s="486">
        <v>0.23</v>
      </c>
      <c r="H1365" s="486">
        <v>0.19</v>
      </c>
      <c r="I1365" s="399">
        <f t="shared" si="38"/>
        <v>0.17</v>
      </c>
      <c r="J1365" s="294"/>
      <c r="K1365" s="1259"/>
      <c r="L1365" s="431"/>
      <c r="M1365" s="431"/>
      <c r="N1365" s="431"/>
    </row>
    <row r="1366" spans="1:14" s="398" customFormat="1" hidden="1" outlineLevel="1">
      <c r="A1366" s="1221"/>
      <c r="B1366" s="425" t="s">
        <v>108</v>
      </c>
      <c r="C1366" s="165" t="s">
        <v>2</v>
      </c>
      <c r="D1366" s="437">
        <v>5</v>
      </c>
      <c r="E1366" s="414"/>
      <c r="F1366" s="486">
        <v>0.61499999999999999</v>
      </c>
      <c r="G1366" s="486">
        <v>0.46</v>
      </c>
      <c r="H1366" s="486">
        <v>0.3</v>
      </c>
      <c r="I1366" s="399">
        <f t="shared" si="38"/>
        <v>0.42</v>
      </c>
      <c r="J1366" s="294"/>
      <c r="K1366" s="1259"/>
      <c r="L1366" s="431"/>
      <c r="M1366" s="431"/>
      <c r="N1366" s="431"/>
    </row>
    <row r="1367" spans="1:14" s="398" customFormat="1" hidden="1" outlineLevel="1">
      <c r="A1367" s="1221"/>
      <c r="B1367" s="425"/>
      <c r="C1367" s="165" t="s">
        <v>2</v>
      </c>
      <c r="D1367" s="437">
        <v>5</v>
      </c>
      <c r="E1367" s="414"/>
      <c r="F1367" s="486">
        <v>0.61499999999999999</v>
      </c>
      <c r="G1367" s="486">
        <v>0.34499999999999997</v>
      </c>
      <c r="H1367" s="486">
        <v>0.3</v>
      </c>
      <c r="I1367" s="399">
        <f t="shared" si="38"/>
        <v>0.32</v>
      </c>
      <c r="J1367" s="294"/>
      <c r="K1367" s="1259"/>
      <c r="L1367" s="431"/>
      <c r="M1367" s="431"/>
      <c r="N1367" s="431"/>
    </row>
    <row r="1368" spans="1:14" s="398" customFormat="1" hidden="1" outlineLevel="1">
      <c r="A1368" s="1221"/>
      <c r="B1368" s="425"/>
      <c r="C1368" s="165" t="s">
        <v>2</v>
      </c>
      <c r="D1368" s="437">
        <v>5</v>
      </c>
      <c r="E1368" s="414"/>
      <c r="F1368" s="486">
        <v>0.61499999999999999</v>
      </c>
      <c r="G1368" s="486">
        <v>0.23</v>
      </c>
      <c r="H1368" s="486">
        <v>0.19</v>
      </c>
      <c r="I1368" s="399">
        <f t="shared" ref="I1368:I1431" si="39">IF(D1368&lt;&gt;0,ROUND(PRODUCT(E1368:H1368)*D1368,2),"")</f>
        <v>0.13</v>
      </c>
      <c r="J1368" s="294"/>
      <c r="K1368" s="1259"/>
      <c r="L1368" s="431"/>
      <c r="M1368" s="431"/>
      <c r="N1368" s="431"/>
    </row>
    <row r="1369" spans="1:14" s="398" customFormat="1" hidden="1" outlineLevel="1">
      <c r="A1369" s="1221"/>
      <c r="B1369" s="425"/>
      <c r="C1369" s="165" t="s">
        <v>2</v>
      </c>
      <c r="D1369" s="437">
        <v>3</v>
      </c>
      <c r="E1369" s="414"/>
      <c r="F1369" s="486">
        <f>2.13-0.46*2</f>
        <v>1.21</v>
      </c>
      <c r="G1369" s="486">
        <v>0.46</v>
      </c>
      <c r="H1369" s="486">
        <v>0.3</v>
      </c>
      <c r="I1369" s="399">
        <f t="shared" si="39"/>
        <v>0.5</v>
      </c>
      <c r="J1369" s="294"/>
      <c r="K1369" s="1259"/>
      <c r="L1369" s="431"/>
      <c r="M1369" s="431"/>
      <c r="N1369" s="431"/>
    </row>
    <row r="1370" spans="1:14" s="398" customFormat="1" hidden="1" outlineLevel="1">
      <c r="A1370" s="1221"/>
      <c r="B1370" s="425"/>
      <c r="C1370" s="165" t="s">
        <v>2</v>
      </c>
      <c r="D1370" s="437">
        <v>3</v>
      </c>
      <c r="E1370" s="414"/>
      <c r="F1370" s="486">
        <f>2.13-0.345*2</f>
        <v>1.44</v>
      </c>
      <c r="G1370" s="486">
        <v>0.34499999999999997</v>
      </c>
      <c r="H1370" s="486">
        <v>0.3</v>
      </c>
      <c r="I1370" s="399">
        <f t="shared" si="39"/>
        <v>0.45</v>
      </c>
      <c r="J1370" s="294"/>
      <c r="K1370" s="1259"/>
      <c r="L1370" s="431"/>
      <c r="M1370" s="431"/>
      <c r="N1370" s="431"/>
    </row>
    <row r="1371" spans="1:14" s="398" customFormat="1" hidden="1" outlineLevel="1">
      <c r="A1371" s="1221"/>
      <c r="B1371" s="425"/>
      <c r="C1371" s="165" t="s">
        <v>2</v>
      </c>
      <c r="D1371" s="437">
        <v>3</v>
      </c>
      <c r="E1371" s="414"/>
      <c r="F1371" s="486">
        <f>2.13-0.23*2</f>
        <v>1.67</v>
      </c>
      <c r="G1371" s="486">
        <v>0.23</v>
      </c>
      <c r="H1371" s="486">
        <v>0.19</v>
      </c>
      <c r="I1371" s="399">
        <f t="shared" si="39"/>
        <v>0.22</v>
      </c>
      <c r="J1371" s="294"/>
      <c r="K1371" s="1259"/>
      <c r="L1371" s="431"/>
      <c r="M1371" s="431"/>
      <c r="N1371" s="431"/>
    </row>
    <row r="1372" spans="1:14" s="398" customFormat="1" hidden="1" outlineLevel="1">
      <c r="A1372" s="1221"/>
      <c r="B1372" s="425"/>
      <c r="C1372" s="165" t="s">
        <v>2</v>
      </c>
      <c r="D1372" s="437">
        <v>3</v>
      </c>
      <c r="E1372" s="414"/>
      <c r="F1372" s="486">
        <f>2.745-0.46</f>
        <v>2.2850000000000001</v>
      </c>
      <c r="G1372" s="486">
        <v>0.46</v>
      </c>
      <c r="H1372" s="486">
        <v>0.3</v>
      </c>
      <c r="I1372" s="399">
        <f t="shared" si="39"/>
        <v>0.95</v>
      </c>
      <c r="J1372" s="294"/>
      <c r="K1372" s="1259"/>
      <c r="L1372" s="431"/>
      <c r="M1372" s="431"/>
      <c r="N1372" s="431"/>
    </row>
    <row r="1373" spans="1:14" s="398" customFormat="1" hidden="1" outlineLevel="1">
      <c r="A1373" s="1221"/>
      <c r="B1373" s="425"/>
      <c r="C1373" s="165" t="s">
        <v>2</v>
      </c>
      <c r="D1373" s="437">
        <v>3</v>
      </c>
      <c r="E1373" s="414"/>
      <c r="F1373" s="486">
        <f>2.745-0.345</f>
        <v>2.4000000000000004</v>
      </c>
      <c r="G1373" s="486">
        <v>0.34499999999999997</v>
      </c>
      <c r="H1373" s="486">
        <v>0.3</v>
      </c>
      <c r="I1373" s="399">
        <f t="shared" si="39"/>
        <v>0.75</v>
      </c>
      <c r="J1373" s="294"/>
      <c r="K1373" s="1259"/>
      <c r="L1373" s="431"/>
      <c r="M1373" s="431"/>
      <c r="N1373" s="431"/>
    </row>
    <row r="1374" spans="1:14" s="398" customFormat="1" hidden="1" outlineLevel="1">
      <c r="A1374" s="1221"/>
      <c r="B1374" s="425"/>
      <c r="C1374" s="165" t="s">
        <v>2</v>
      </c>
      <c r="D1374" s="437">
        <v>3</v>
      </c>
      <c r="E1374" s="414"/>
      <c r="F1374" s="486">
        <f>2.745-0.23</f>
        <v>2.5150000000000001</v>
      </c>
      <c r="G1374" s="486">
        <v>0.23</v>
      </c>
      <c r="H1374" s="486">
        <v>0.19</v>
      </c>
      <c r="I1374" s="399">
        <f t="shared" si="39"/>
        <v>0.33</v>
      </c>
      <c r="J1374" s="294"/>
      <c r="K1374" s="1259"/>
      <c r="L1374" s="431"/>
      <c r="M1374" s="431"/>
      <c r="N1374" s="431"/>
    </row>
    <row r="1375" spans="1:14" s="398" customFormat="1" ht="34.5" hidden="1" outlineLevel="1">
      <c r="A1375" s="1221"/>
      <c r="B1375" s="425" t="s">
        <v>109</v>
      </c>
      <c r="C1375" s="165" t="s">
        <v>2</v>
      </c>
      <c r="D1375" s="437">
        <v>1</v>
      </c>
      <c r="E1375" s="414"/>
      <c r="F1375" s="486">
        <f>9.155+0.46*2</f>
        <v>10.074999999999999</v>
      </c>
      <c r="G1375" s="486">
        <v>0.46</v>
      </c>
      <c r="H1375" s="486">
        <v>0.3</v>
      </c>
      <c r="I1375" s="399">
        <f t="shared" si="39"/>
        <v>1.39</v>
      </c>
      <c r="J1375" s="294"/>
      <c r="K1375" s="1259"/>
      <c r="L1375" s="431"/>
      <c r="M1375" s="431"/>
      <c r="N1375" s="431"/>
    </row>
    <row r="1376" spans="1:14" s="398" customFormat="1" hidden="1" outlineLevel="1">
      <c r="A1376" s="1221"/>
      <c r="B1376" s="425"/>
      <c r="C1376" s="165" t="s">
        <v>2</v>
      </c>
      <c r="D1376" s="437">
        <v>1</v>
      </c>
      <c r="E1376" s="414"/>
      <c r="F1376" s="486">
        <f>9.155+0.345*2</f>
        <v>9.8449999999999989</v>
      </c>
      <c r="G1376" s="486">
        <v>0.34499999999999997</v>
      </c>
      <c r="H1376" s="486">
        <v>0.3</v>
      </c>
      <c r="I1376" s="399">
        <f t="shared" si="39"/>
        <v>1.02</v>
      </c>
      <c r="J1376" s="294"/>
      <c r="K1376" s="1259"/>
      <c r="L1376" s="431"/>
      <c r="M1376" s="431"/>
      <c r="N1376" s="431"/>
    </row>
    <row r="1377" spans="1:14" s="398" customFormat="1" hidden="1" outlineLevel="1">
      <c r="A1377" s="1221"/>
      <c r="B1377" s="425"/>
      <c r="C1377" s="165" t="s">
        <v>2</v>
      </c>
      <c r="D1377" s="437">
        <v>1</v>
      </c>
      <c r="E1377" s="414"/>
      <c r="F1377" s="486">
        <f>9.155+0.23*2</f>
        <v>9.6150000000000002</v>
      </c>
      <c r="G1377" s="486">
        <v>0.23</v>
      </c>
      <c r="H1377" s="486">
        <v>0.19</v>
      </c>
      <c r="I1377" s="399">
        <f t="shared" si="39"/>
        <v>0.42</v>
      </c>
      <c r="J1377" s="294"/>
      <c r="K1377" s="1259"/>
      <c r="L1377" s="431"/>
      <c r="M1377" s="431"/>
      <c r="N1377" s="431"/>
    </row>
    <row r="1378" spans="1:14" s="398" customFormat="1" hidden="1" outlineLevel="1">
      <c r="A1378" s="1221"/>
      <c r="B1378" s="425"/>
      <c r="C1378" s="165" t="s">
        <v>2</v>
      </c>
      <c r="D1378" s="437">
        <v>2</v>
      </c>
      <c r="E1378" s="414"/>
      <c r="F1378" s="486">
        <f>3+4.015+0.46</f>
        <v>7.4749999999999996</v>
      </c>
      <c r="G1378" s="486">
        <v>0.46</v>
      </c>
      <c r="H1378" s="486">
        <v>0.3</v>
      </c>
      <c r="I1378" s="399">
        <f t="shared" si="39"/>
        <v>2.06</v>
      </c>
      <c r="J1378" s="294"/>
      <c r="K1378" s="1259"/>
      <c r="L1378" s="431"/>
      <c r="M1378" s="431"/>
      <c r="N1378" s="431"/>
    </row>
    <row r="1379" spans="1:14" s="398" customFormat="1" hidden="1" outlineLevel="1">
      <c r="A1379" s="1221"/>
      <c r="B1379" s="425"/>
      <c r="C1379" s="165" t="s">
        <v>2</v>
      </c>
      <c r="D1379" s="437">
        <v>2</v>
      </c>
      <c r="E1379" s="414"/>
      <c r="F1379" s="486">
        <f>3+4.015+0.345</f>
        <v>7.3599999999999994</v>
      </c>
      <c r="G1379" s="486">
        <v>0.34499999999999997</v>
      </c>
      <c r="H1379" s="486">
        <v>0.3</v>
      </c>
      <c r="I1379" s="399">
        <f t="shared" si="39"/>
        <v>1.52</v>
      </c>
      <c r="J1379" s="294"/>
      <c r="K1379" s="1259"/>
      <c r="L1379" s="431"/>
      <c r="M1379" s="431"/>
      <c r="N1379" s="431"/>
    </row>
    <row r="1380" spans="1:14" s="398" customFormat="1" hidden="1" outlineLevel="1">
      <c r="A1380" s="1221"/>
      <c r="B1380" s="425"/>
      <c r="C1380" s="165" t="s">
        <v>2</v>
      </c>
      <c r="D1380" s="437">
        <v>2</v>
      </c>
      <c r="E1380" s="414"/>
      <c r="F1380" s="486">
        <f>3+4.015+0.23</f>
        <v>7.2450000000000001</v>
      </c>
      <c r="G1380" s="486">
        <v>0.23</v>
      </c>
      <c r="H1380" s="486">
        <v>0.19</v>
      </c>
      <c r="I1380" s="399">
        <f t="shared" si="39"/>
        <v>0.63</v>
      </c>
      <c r="J1380" s="294"/>
      <c r="K1380" s="1259"/>
      <c r="L1380" s="431"/>
      <c r="M1380" s="431"/>
      <c r="N1380" s="431"/>
    </row>
    <row r="1381" spans="1:14" s="398" customFormat="1" hidden="1" outlineLevel="1">
      <c r="A1381" s="1221"/>
      <c r="B1381" s="425"/>
      <c r="C1381" s="165" t="s">
        <v>2</v>
      </c>
      <c r="D1381" s="437">
        <v>1</v>
      </c>
      <c r="E1381" s="414"/>
      <c r="F1381" s="662">
        <v>7.9349999999999996</v>
      </c>
      <c r="G1381" s="486">
        <v>0.46</v>
      </c>
      <c r="H1381" s="486">
        <v>0.3</v>
      </c>
      <c r="I1381" s="399">
        <f t="shared" si="39"/>
        <v>1.1000000000000001</v>
      </c>
      <c r="J1381" s="294"/>
      <c r="K1381" s="1259"/>
      <c r="L1381" s="431"/>
      <c r="M1381" s="431"/>
      <c r="N1381" s="431"/>
    </row>
    <row r="1382" spans="1:14" s="398" customFormat="1" hidden="1" outlineLevel="1">
      <c r="A1382" s="1221"/>
      <c r="B1382" s="425"/>
      <c r="C1382" s="165" t="s">
        <v>2</v>
      </c>
      <c r="D1382" s="437">
        <v>1</v>
      </c>
      <c r="E1382" s="414"/>
      <c r="F1382" s="662">
        <v>7.4749999999999996</v>
      </c>
      <c r="G1382" s="486">
        <v>0.34499999999999997</v>
      </c>
      <c r="H1382" s="486">
        <v>0.3</v>
      </c>
      <c r="I1382" s="399">
        <f t="shared" si="39"/>
        <v>0.77</v>
      </c>
      <c r="J1382" s="294"/>
      <c r="K1382" s="1259"/>
      <c r="L1382" s="431"/>
      <c r="M1382" s="431"/>
      <c r="N1382" s="431"/>
    </row>
    <row r="1383" spans="1:14" s="398" customFormat="1" hidden="1" outlineLevel="1">
      <c r="A1383" s="1221"/>
      <c r="B1383" s="425"/>
      <c r="C1383" s="165" t="s">
        <v>2</v>
      </c>
      <c r="D1383" s="437">
        <v>1</v>
      </c>
      <c r="E1383" s="414"/>
      <c r="F1383" s="486">
        <f>9.155+0.23*2-2</f>
        <v>7.6150000000000002</v>
      </c>
      <c r="G1383" s="486">
        <v>0.23</v>
      </c>
      <c r="H1383" s="486">
        <v>0.19</v>
      </c>
      <c r="I1383" s="399">
        <f t="shared" si="39"/>
        <v>0.33</v>
      </c>
      <c r="J1383" s="294"/>
      <c r="K1383" s="1259"/>
      <c r="L1383" s="431"/>
      <c r="M1383" s="431"/>
      <c r="N1383" s="431"/>
    </row>
    <row r="1384" spans="1:14" s="398" customFormat="1" hidden="1" outlineLevel="1">
      <c r="A1384" s="1221"/>
      <c r="B1384" s="425"/>
      <c r="C1384" s="165" t="s">
        <v>2</v>
      </c>
      <c r="D1384" s="437">
        <v>1</v>
      </c>
      <c r="E1384" s="414"/>
      <c r="F1384" s="486">
        <f>2.44+2.14+1.22-2.14+0.46</f>
        <v>4.12</v>
      </c>
      <c r="G1384" s="486">
        <v>0.46</v>
      </c>
      <c r="H1384" s="486">
        <v>0.3</v>
      </c>
      <c r="I1384" s="399">
        <f t="shared" si="39"/>
        <v>0.56999999999999995</v>
      </c>
      <c r="J1384" s="294"/>
      <c r="K1384" s="1259"/>
      <c r="L1384" s="431"/>
      <c r="M1384" s="431"/>
      <c r="N1384" s="431"/>
    </row>
    <row r="1385" spans="1:14" s="398" customFormat="1" hidden="1" outlineLevel="1">
      <c r="A1385" s="1221"/>
      <c r="B1385" s="425"/>
      <c r="C1385" s="165" t="s">
        <v>2</v>
      </c>
      <c r="D1385" s="437">
        <v>1</v>
      </c>
      <c r="E1385" s="414"/>
      <c r="F1385" s="486">
        <f>2.44+2.14+1.22-2.14+0.345</f>
        <v>4.0049999999999999</v>
      </c>
      <c r="G1385" s="486">
        <v>0.34499999999999997</v>
      </c>
      <c r="H1385" s="486">
        <v>0.3</v>
      </c>
      <c r="I1385" s="399">
        <f t="shared" si="39"/>
        <v>0.41</v>
      </c>
      <c r="J1385" s="294"/>
      <c r="K1385" s="1259"/>
      <c r="L1385" s="431"/>
      <c r="M1385" s="431"/>
      <c r="N1385" s="431"/>
    </row>
    <row r="1386" spans="1:14" s="398" customFormat="1" hidden="1" outlineLevel="1">
      <c r="A1386" s="1221"/>
      <c r="B1386" s="425"/>
      <c r="C1386" s="165" t="s">
        <v>2</v>
      </c>
      <c r="D1386" s="437">
        <v>1</v>
      </c>
      <c r="E1386" s="414"/>
      <c r="F1386" s="486">
        <f>2.44+2.14+1.22-2.14+0.23</f>
        <v>3.8899999999999997</v>
      </c>
      <c r="G1386" s="486">
        <v>0.23</v>
      </c>
      <c r="H1386" s="486">
        <v>0.19</v>
      </c>
      <c r="I1386" s="399">
        <f t="shared" si="39"/>
        <v>0.17</v>
      </c>
      <c r="J1386" s="294"/>
      <c r="K1386" s="1259"/>
      <c r="L1386" s="431"/>
      <c r="M1386" s="431"/>
      <c r="N1386" s="431"/>
    </row>
    <row r="1387" spans="1:14" s="398" customFormat="1" hidden="1" outlineLevel="1">
      <c r="A1387" s="1221"/>
      <c r="B1387" s="425"/>
      <c r="C1387" s="165" t="s">
        <v>2</v>
      </c>
      <c r="D1387" s="437">
        <v>1</v>
      </c>
      <c r="E1387" s="414"/>
      <c r="F1387" s="486">
        <f>1.22+2.44+0.46*2</f>
        <v>4.58</v>
      </c>
      <c r="G1387" s="486">
        <v>0.46</v>
      </c>
      <c r="H1387" s="486">
        <v>0.3</v>
      </c>
      <c r="I1387" s="399">
        <f t="shared" si="39"/>
        <v>0.63</v>
      </c>
      <c r="J1387" s="294"/>
      <c r="K1387" s="1259"/>
      <c r="L1387" s="431"/>
      <c r="M1387" s="431"/>
      <c r="N1387" s="431"/>
    </row>
    <row r="1388" spans="1:14" s="398" customFormat="1" hidden="1" outlineLevel="1">
      <c r="A1388" s="1221"/>
      <c r="B1388" s="425"/>
      <c r="C1388" s="165" t="s">
        <v>2</v>
      </c>
      <c r="D1388" s="437">
        <v>1</v>
      </c>
      <c r="E1388" s="414"/>
      <c r="F1388" s="486">
        <f>1.22+2.44+0.345*2</f>
        <v>4.3499999999999996</v>
      </c>
      <c r="G1388" s="486">
        <v>0.34499999999999997</v>
      </c>
      <c r="H1388" s="486">
        <v>0.3</v>
      </c>
      <c r="I1388" s="399">
        <f t="shared" si="39"/>
        <v>0.45</v>
      </c>
      <c r="J1388" s="294"/>
      <c r="K1388" s="1259"/>
      <c r="L1388" s="431"/>
      <c r="M1388" s="431"/>
      <c r="N1388" s="431"/>
    </row>
    <row r="1389" spans="1:14" s="398" customFormat="1" hidden="1" outlineLevel="1">
      <c r="A1389" s="1221"/>
      <c r="B1389" s="425"/>
      <c r="C1389" s="165" t="s">
        <v>2</v>
      </c>
      <c r="D1389" s="437">
        <v>1</v>
      </c>
      <c r="E1389" s="414"/>
      <c r="F1389" s="486">
        <f>1.22+2.44+0.23*2</f>
        <v>4.12</v>
      </c>
      <c r="G1389" s="486">
        <v>0.23</v>
      </c>
      <c r="H1389" s="486">
        <v>0.19</v>
      </c>
      <c r="I1389" s="399">
        <f t="shared" si="39"/>
        <v>0.18</v>
      </c>
      <c r="J1389" s="294"/>
      <c r="K1389" s="1259"/>
      <c r="L1389" s="431"/>
      <c r="M1389" s="431"/>
      <c r="N1389" s="431"/>
    </row>
    <row r="1390" spans="1:14" s="398" customFormat="1" hidden="1" outlineLevel="1">
      <c r="A1390" s="1221"/>
      <c r="B1390" s="425"/>
      <c r="C1390" s="165" t="s">
        <v>2</v>
      </c>
      <c r="D1390" s="437">
        <v>2</v>
      </c>
      <c r="E1390" s="414"/>
      <c r="F1390" s="486">
        <f>3.965+0.46</f>
        <v>4.4249999999999998</v>
      </c>
      <c r="G1390" s="486">
        <v>0.46</v>
      </c>
      <c r="H1390" s="486">
        <v>0.3</v>
      </c>
      <c r="I1390" s="399">
        <f t="shared" si="39"/>
        <v>1.22</v>
      </c>
      <c r="J1390" s="294"/>
      <c r="K1390" s="1259"/>
      <c r="L1390" s="431"/>
      <c r="M1390" s="431"/>
      <c r="N1390" s="431"/>
    </row>
    <row r="1391" spans="1:14" s="398" customFormat="1" hidden="1" outlineLevel="1">
      <c r="A1391" s="1221"/>
      <c r="B1391" s="425"/>
      <c r="C1391" s="165" t="s">
        <v>2</v>
      </c>
      <c r="D1391" s="437">
        <v>2</v>
      </c>
      <c r="E1391" s="414"/>
      <c r="F1391" s="486">
        <f>3.965+0.345</f>
        <v>4.3099999999999996</v>
      </c>
      <c r="G1391" s="486">
        <v>0.34499999999999997</v>
      </c>
      <c r="H1391" s="486">
        <v>0.3</v>
      </c>
      <c r="I1391" s="399">
        <f t="shared" si="39"/>
        <v>0.89</v>
      </c>
      <c r="J1391" s="294"/>
      <c r="K1391" s="1259"/>
      <c r="L1391" s="431"/>
      <c r="M1391" s="431"/>
      <c r="N1391" s="431"/>
    </row>
    <row r="1392" spans="1:14" s="398" customFormat="1" hidden="1" outlineLevel="1">
      <c r="A1392" s="1221"/>
      <c r="B1392" s="425"/>
      <c r="C1392" s="165" t="s">
        <v>2</v>
      </c>
      <c r="D1392" s="437">
        <v>2</v>
      </c>
      <c r="E1392" s="414"/>
      <c r="F1392" s="486">
        <f>3.965+0.23</f>
        <v>4.1950000000000003</v>
      </c>
      <c r="G1392" s="486">
        <v>0.23</v>
      </c>
      <c r="H1392" s="486">
        <v>0.19</v>
      </c>
      <c r="I1392" s="399">
        <f t="shared" si="39"/>
        <v>0.37</v>
      </c>
      <c r="J1392" s="294"/>
      <c r="K1392" s="1259"/>
      <c r="L1392" s="431"/>
      <c r="M1392" s="431"/>
      <c r="N1392" s="431"/>
    </row>
    <row r="1393" spans="1:14" s="398" customFormat="1" hidden="1" outlineLevel="1">
      <c r="A1393" s="1221"/>
      <c r="B1393" s="425"/>
      <c r="C1393" s="165" t="s">
        <v>2</v>
      </c>
      <c r="D1393" s="437">
        <v>1</v>
      </c>
      <c r="E1393" s="414"/>
      <c r="F1393" s="486">
        <f>2.41+2.14+0.915+0.46-2.14</f>
        <v>3.7850000000000006</v>
      </c>
      <c r="G1393" s="486">
        <v>0.46</v>
      </c>
      <c r="H1393" s="486">
        <v>0.3</v>
      </c>
      <c r="I1393" s="399">
        <f t="shared" si="39"/>
        <v>0.52</v>
      </c>
      <c r="J1393" s="294"/>
      <c r="K1393" s="1259"/>
      <c r="L1393" s="431"/>
      <c r="M1393" s="431"/>
      <c r="N1393" s="431"/>
    </row>
    <row r="1394" spans="1:14" s="398" customFormat="1" hidden="1" outlineLevel="1">
      <c r="A1394" s="1221"/>
      <c r="B1394" s="425"/>
      <c r="C1394" s="165" t="s">
        <v>2</v>
      </c>
      <c r="D1394" s="437">
        <v>1</v>
      </c>
      <c r="E1394" s="414"/>
      <c r="F1394" s="486">
        <f>2.41+2.14+0.915+0.345-2.14</f>
        <v>3.6700000000000004</v>
      </c>
      <c r="G1394" s="486">
        <v>0.34499999999999997</v>
      </c>
      <c r="H1394" s="486">
        <v>0.3</v>
      </c>
      <c r="I1394" s="399">
        <f t="shared" si="39"/>
        <v>0.38</v>
      </c>
      <c r="J1394" s="294"/>
      <c r="K1394" s="1259"/>
      <c r="L1394" s="431"/>
      <c r="M1394" s="431"/>
      <c r="N1394" s="431"/>
    </row>
    <row r="1395" spans="1:14" s="398" customFormat="1" hidden="1" outlineLevel="1">
      <c r="A1395" s="1221"/>
      <c r="B1395" s="425"/>
      <c r="C1395" s="165" t="s">
        <v>2</v>
      </c>
      <c r="D1395" s="437">
        <v>1</v>
      </c>
      <c r="E1395" s="414"/>
      <c r="F1395" s="486">
        <f>2.41+2.14+0.915+0.23-2.14</f>
        <v>3.555000000000001</v>
      </c>
      <c r="G1395" s="486">
        <v>0.23</v>
      </c>
      <c r="H1395" s="486">
        <v>0.19</v>
      </c>
      <c r="I1395" s="399">
        <f t="shared" si="39"/>
        <v>0.16</v>
      </c>
      <c r="J1395" s="294"/>
      <c r="K1395" s="1259"/>
      <c r="L1395" s="431"/>
      <c r="M1395" s="431"/>
      <c r="N1395" s="431"/>
    </row>
    <row r="1396" spans="1:14" s="398" customFormat="1" hidden="1" outlineLevel="1">
      <c r="A1396" s="1221"/>
      <c r="B1396" s="425"/>
      <c r="C1396" s="165" t="s">
        <v>2</v>
      </c>
      <c r="D1396" s="437">
        <v>1</v>
      </c>
      <c r="E1396" s="414"/>
      <c r="F1396" s="486">
        <f>2.41+0.915+0.46*2</f>
        <v>4.2450000000000001</v>
      </c>
      <c r="G1396" s="486">
        <v>0.46</v>
      </c>
      <c r="H1396" s="486">
        <v>0.3</v>
      </c>
      <c r="I1396" s="399">
        <f t="shared" si="39"/>
        <v>0.59</v>
      </c>
      <c r="J1396" s="294"/>
      <c r="K1396" s="1259"/>
      <c r="L1396" s="431"/>
      <c r="M1396" s="431"/>
      <c r="N1396" s="431"/>
    </row>
    <row r="1397" spans="1:14" s="398" customFormat="1" hidden="1" outlineLevel="1">
      <c r="A1397" s="1221"/>
      <c r="B1397" s="425"/>
      <c r="C1397" s="165" t="s">
        <v>2</v>
      </c>
      <c r="D1397" s="437">
        <v>1</v>
      </c>
      <c r="E1397" s="414"/>
      <c r="F1397" s="486">
        <f>2.41+0.915+0.345*2</f>
        <v>4.0150000000000006</v>
      </c>
      <c r="G1397" s="486">
        <v>0.34499999999999997</v>
      </c>
      <c r="H1397" s="486">
        <v>0.3</v>
      </c>
      <c r="I1397" s="399">
        <f t="shared" si="39"/>
        <v>0.42</v>
      </c>
      <c r="J1397" s="294"/>
      <c r="K1397" s="1259"/>
      <c r="L1397" s="431"/>
      <c r="M1397" s="431"/>
      <c r="N1397" s="431"/>
    </row>
    <row r="1398" spans="1:14" s="398" customFormat="1" hidden="1" outlineLevel="1">
      <c r="A1398" s="1221"/>
      <c r="B1398" s="425"/>
      <c r="C1398" s="165" t="s">
        <v>2</v>
      </c>
      <c r="D1398" s="437">
        <v>1</v>
      </c>
      <c r="E1398" s="414"/>
      <c r="F1398" s="486">
        <f>2.41+0.915+0.23*2</f>
        <v>3.7850000000000001</v>
      </c>
      <c r="G1398" s="486">
        <v>0.23</v>
      </c>
      <c r="H1398" s="486">
        <v>0.19</v>
      </c>
      <c r="I1398" s="399">
        <f t="shared" si="39"/>
        <v>0.17</v>
      </c>
      <c r="J1398" s="294"/>
      <c r="K1398" s="1259"/>
      <c r="L1398" s="431"/>
      <c r="M1398" s="431"/>
      <c r="N1398" s="431"/>
    </row>
    <row r="1399" spans="1:14" s="398" customFormat="1" hidden="1" outlineLevel="1">
      <c r="A1399" s="1221"/>
      <c r="B1399" s="425"/>
      <c r="C1399" s="165" t="s">
        <v>2</v>
      </c>
      <c r="D1399" s="437">
        <v>1</v>
      </c>
      <c r="E1399" s="414"/>
      <c r="F1399" s="486">
        <f>2.41+0.46</f>
        <v>2.87</v>
      </c>
      <c r="G1399" s="486">
        <v>0.46</v>
      </c>
      <c r="H1399" s="486">
        <v>0.3</v>
      </c>
      <c r="I1399" s="399">
        <f t="shared" si="39"/>
        <v>0.4</v>
      </c>
      <c r="J1399" s="294"/>
      <c r="K1399" s="1259"/>
      <c r="L1399" s="431"/>
      <c r="M1399" s="431"/>
      <c r="N1399" s="431"/>
    </row>
    <row r="1400" spans="1:14" s="398" customFormat="1" hidden="1" outlineLevel="1">
      <c r="A1400" s="1221"/>
      <c r="B1400" s="425"/>
      <c r="C1400" s="165" t="s">
        <v>2</v>
      </c>
      <c r="D1400" s="437">
        <v>1</v>
      </c>
      <c r="E1400" s="414"/>
      <c r="F1400" s="486">
        <f>2.41+0.345</f>
        <v>2.7549999999999999</v>
      </c>
      <c r="G1400" s="486">
        <v>0.34499999999999997</v>
      </c>
      <c r="H1400" s="486">
        <v>0.3</v>
      </c>
      <c r="I1400" s="399">
        <f t="shared" si="39"/>
        <v>0.28999999999999998</v>
      </c>
      <c r="J1400" s="294"/>
      <c r="K1400" s="1259"/>
      <c r="L1400" s="431"/>
      <c r="M1400" s="431"/>
      <c r="N1400" s="431"/>
    </row>
    <row r="1401" spans="1:14" s="398" customFormat="1" hidden="1" outlineLevel="1">
      <c r="A1401" s="1221"/>
      <c r="B1401" s="425"/>
      <c r="C1401" s="165" t="s">
        <v>2</v>
      </c>
      <c r="D1401" s="437">
        <v>1</v>
      </c>
      <c r="E1401" s="414"/>
      <c r="F1401" s="486">
        <f>2.41+0.23</f>
        <v>2.64</v>
      </c>
      <c r="G1401" s="486">
        <v>0.23</v>
      </c>
      <c r="H1401" s="486">
        <v>0.19</v>
      </c>
      <c r="I1401" s="399">
        <f t="shared" si="39"/>
        <v>0.12</v>
      </c>
      <c r="J1401" s="294"/>
      <c r="K1401" s="1259"/>
      <c r="L1401" s="431"/>
      <c r="M1401" s="431"/>
      <c r="N1401" s="431"/>
    </row>
    <row r="1402" spans="1:14" s="398" customFormat="1" hidden="1" outlineLevel="1">
      <c r="A1402" s="1221"/>
      <c r="B1402" s="425"/>
      <c r="C1402" s="165" t="s">
        <v>2</v>
      </c>
      <c r="D1402" s="437">
        <v>1</v>
      </c>
      <c r="E1402" s="414"/>
      <c r="F1402" s="486">
        <f>1.525+0.885+0.46*2</f>
        <v>3.33</v>
      </c>
      <c r="G1402" s="486">
        <v>0.46</v>
      </c>
      <c r="H1402" s="486">
        <v>0.3</v>
      </c>
      <c r="I1402" s="399">
        <f t="shared" si="39"/>
        <v>0.46</v>
      </c>
      <c r="J1402" s="294"/>
      <c r="K1402" s="1259"/>
      <c r="L1402" s="431"/>
      <c r="M1402" s="431"/>
      <c r="N1402" s="431"/>
    </row>
    <row r="1403" spans="1:14" s="398" customFormat="1" hidden="1" outlineLevel="1">
      <c r="A1403" s="1221"/>
      <c r="B1403" s="425"/>
      <c r="C1403" s="165" t="s">
        <v>2</v>
      </c>
      <c r="D1403" s="437">
        <v>1</v>
      </c>
      <c r="E1403" s="414"/>
      <c r="F1403" s="486">
        <f>1.525+0.885+0.345*2</f>
        <v>3.1</v>
      </c>
      <c r="G1403" s="486">
        <v>0.34499999999999997</v>
      </c>
      <c r="H1403" s="486">
        <v>0.3</v>
      </c>
      <c r="I1403" s="399">
        <f t="shared" si="39"/>
        <v>0.32</v>
      </c>
      <c r="J1403" s="294"/>
      <c r="K1403" s="1259"/>
      <c r="L1403" s="431"/>
      <c r="M1403" s="431"/>
      <c r="N1403" s="431"/>
    </row>
    <row r="1404" spans="1:14" s="398" customFormat="1" hidden="1" outlineLevel="1">
      <c r="A1404" s="1221"/>
      <c r="B1404" s="425"/>
      <c r="C1404" s="165" t="s">
        <v>2</v>
      </c>
      <c r="D1404" s="437">
        <v>1</v>
      </c>
      <c r="E1404" s="414"/>
      <c r="F1404" s="486">
        <f>1.525+0.885+0.23*2</f>
        <v>2.87</v>
      </c>
      <c r="G1404" s="486">
        <v>0.23</v>
      </c>
      <c r="H1404" s="486">
        <v>0.19</v>
      </c>
      <c r="I1404" s="399">
        <f t="shared" si="39"/>
        <v>0.13</v>
      </c>
      <c r="J1404" s="294"/>
      <c r="K1404" s="1259"/>
      <c r="L1404" s="431"/>
      <c r="M1404" s="431"/>
      <c r="N1404" s="431"/>
    </row>
    <row r="1405" spans="1:14" s="398" customFormat="1" hidden="1" outlineLevel="1">
      <c r="A1405" s="1221"/>
      <c r="B1405" s="425"/>
      <c r="C1405" s="165" t="s">
        <v>2</v>
      </c>
      <c r="D1405" s="437">
        <v>1</v>
      </c>
      <c r="E1405" s="414"/>
      <c r="F1405" s="486">
        <f>0.915+0.885+0.46*2</f>
        <v>2.72</v>
      </c>
      <c r="G1405" s="486">
        <v>0.46</v>
      </c>
      <c r="H1405" s="486">
        <v>0.3</v>
      </c>
      <c r="I1405" s="399">
        <f t="shared" si="39"/>
        <v>0.38</v>
      </c>
      <c r="J1405" s="294"/>
      <c r="K1405" s="1259"/>
      <c r="L1405" s="431"/>
      <c r="M1405" s="431"/>
      <c r="N1405" s="431"/>
    </row>
    <row r="1406" spans="1:14" s="398" customFormat="1" hidden="1" outlineLevel="1">
      <c r="A1406" s="1221"/>
      <c r="B1406" s="425"/>
      <c r="C1406" s="165" t="s">
        <v>2</v>
      </c>
      <c r="D1406" s="437">
        <v>1</v>
      </c>
      <c r="E1406" s="414"/>
      <c r="F1406" s="486">
        <f>0.915+0.885+0.345*2</f>
        <v>2.4900000000000002</v>
      </c>
      <c r="G1406" s="486">
        <v>0.34499999999999997</v>
      </c>
      <c r="H1406" s="486">
        <v>0.3</v>
      </c>
      <c r="I1406" s="399">
        <f t="shared" si="39"/>
        <v>0.26</v>
      </c>
      <c r="J1406" s="294"/>
      <c r="K1406" s="1259"/>
      <c r="L1406" s="431"/>
      <c r="M1406" s="431"/>
      <c r="N1406" s="431"/>
    </row>
    <row r="1407" spans="1:14" s="398" customFormat="1" hidden="1" outlineLevel="1">
      <c r="A1407" s="1221"/>
      <c r="B1407" s="425"/>
      <c r="C1407" s="165" t="s">
        <v>2</v>
      </c>
      <c r="D1407" s="437">
        <v>1</v>
      </c>
      <c r="E1407" s="414"/>
      <c r="F1407" s="486">
        <f>0.915+0.885+0.23*2</f>
        <v>2.2600000000000002</v>
      </c>
      <c r="G1407" s="486">
        <v>0.23</v>
      </c>
      <c r="H1407" s="486">
        <v>0.19</v>
      </c>
      <c r="I1407" s="399">
        <f t="shared" si="39"/>
        <v>0.1</v>
      </c>
      <c r="J1407" s="294"/>
      <c r="K1407" s="1259"/>
      <c r="L1407" s="431"/>
      <c r="M1407" s="431"/>
      <c r="N1407" s="431"/>
    </row>
    <row r="1408" spans="1:14" s="398" customFormat="1" hidden="1" outlineLevel="1">
      <c r="A1408" s="1221"/>
      <c r="B1408" s="425"/>
      <c r="C1408" s="165" t="s">
        <v>2</v>
      </c>
      <c r="D1408" s="437">
        <v>1</v>
      </c>
      <c r="E1408" s="414"/>
      <c r="F1408" s="486">
        <f>2.11+0.46*2</f>
        <v>3.03</v>
      </c>
      <c r="G1408" s="486">
        <v>0.46</v>
      </c>
      <c r="H1408" s="486">
        <v>0.3</v>
      </c>
      <c r="I1408" s="399">
        <f t="shared" si="39"/>
        <v>0.42</v>
      </c>
      <c r="J1408" s="294"/>
      <c r="K1408" s="1259"/>
      <c r="L1408" s="431"/>
      <c r="M1408" s="431"/>
      <c r="N1408" s="431"/>
    </row>
    <row r="1409" spans="1:14" s="398" customFormat="1" hidden="1" outlineLevel="1">
      <c r="A1409" s="1221"/>
      <c r="B1409" s="425"/>
      <c r="C1409" s="165" t="s">
        <v>2</v>
      </c>
      <c r="D1409" s="437">
        <v>1</v>
      </c>
      <c r="E1409" s="414"/>
      <c r="F1409" s="486">
        <f>2.11+0.345*2</f>
        <v>2.8</v>
      </c>
      <c r="G1409" s="486">
        <v>0.34499999999999997</v>
      </c>
      <c r="H1409" s="486">
        <v>0.3</v>
      </c>
      <c r="I1409" s="399">
        <f t="shared" si="39"/>
        <v>0.28999999999999998</v>
      </c>
      <c r="J1409" s="294"/>
      <c r="K1409" s="1259"/>
      <c r="L1409" s="431"/>
      <c r="M1409" s="431"/>
      <c r="N1409" s="431"/>
    </row>
    <row r="1410" spans="1:14" s="398" customFormat="1" hidden="1" outlineLevel="1">
      <c r="A1410" s="1221"/>
      <c r="B1410" s="425"/>
      <c r="C1410" s="165" t="s">
        <v>2</v>
      </c>
      <c r="D1410" s="437">
        <v>1</v>
      </c>
      <c r="E1410" s="414"/>
      <c r="F1410" s="486">
        <f>2.11+0.23*2</f>
        <v>2.57</v>
      </c>
      <c r="G1410" s="486">
        <v>0.23</v>
      </c>
      <c r="H1410" s="486">
        <v>0.19</v>
      </c>
      <c r="I1410" s="399">
        <f t="shared" si="39"/>
        <v>0.11</v>
      </c>
      <c r="J1410" s="294"/>
      <c r="K1410" s="1259"/>
      <c r="L1410" s="431"/>
      <c r="M1410" s="431"/>
      <c r="N1410" s="431"/>
    </row>
    <row r="1411" spans="1:14" s="398" customFormat="1" ht="34.5" hidden="1" outlineLevel="1">
      <c r="A1411" s="1221"/>
      <c r="B1411" s="425" t="s">
        <v>110</v>
      </c>
      <c r="C1411" s="165" t="s">
        <v>2</v>
      </c>
      <c r="D1411" s="437">
        <v>5</v>
      </c>
      <c r="E1411" s="414"/>
      <c r="F1411" s="486">
        <v>0.6</v>
      </c>
      <c r="G1411" s="486">
        <v>0.46</v>
      </c>
      <c r="H1411" s="486">
        <v>0.3</v>
      </c>
      <c r="I1411" s="399">
        <f t="shared" si="39"/>
        <v>0.41</v>
      </c>
      <c r="J1411" s="294"/>
      <c r="K1411" s="1259"/>
      <c r="L1411" s="431"/>
      <c r="M1411" s="431"/>
      <c r="N1411" s="431"/>
    </row>
    <row r="1412" spans="1:14" s="398" customFormat="1" hidden="1" outlineLevel="1">
      <c r="A1412" s="1221"/>
      <c r="B1412" s="425"/>
      <c r="C1412" s="165" t="s">
        <v>2</v>
      </c>
      <c r="D1412" s="437">
        <v>5</v>
      </c>
      <c r="E1412" s="414"/>
      <c r="F1412" s="486">
        <v>0.6</v>
      </c>
      <c r="G1412" s="486">
        <v>0.34499999999999997</v>
      </c>
      <c r="H1412" s="486">
        <v>0.3</v>
      </c>
      <c r="I1412" s="399">
        <f t="shared" si="39"/>
        <v>0.31</v>
      </c>
      <c r="J1412" s="294"/>
      <c r="K1412" s="1259"/>
      <c r="L1412" s="431"/>
      <c r="M1412" s="431"/>
      <c r="N1412" s="431"/>
    </row>
    <row r="1413" spans="1:14" s="398" customFormat="1" hidden="1" outlineLevel="1">
      <c r="A1413" s="1221"/>
      <c r="B1413" s="425"/>
      <c r="C1413" s="165" t="s">
        <v>2</v>
      </c>
      <c r="D1413" s="437">
        <v>5</v>
      </c>
      <c r="E1413" s="414"/>
      <c r="F1413" s="486">
        <v>0.6</v>
      </c>
      <c r="G1413" s="486">
        <v>0.23</v>
      </c>
      <c r="H1413" s="486">
        <v>0.19</v>
      </c>
      <c r="I1413" s="399">
        <f t="shared" si="39"/>
        <v>0.13</v>
      </c>
      <c r="J1413" s="294"/>
      <c r="K1413" s="1259"/>
      <c r="L1413" s="431"/>
      <c r="M1413" s="431"/>
      <c r="N1413" s="431"/>
    </row>
    <row r="1414" spans="1:14" s="398" customFormat="1" hidden="1" outlineLevel="1">
      <c r="A1414" s="1221"/>
      <c r="B1414" s="425"/>
      <c r="C1414" s="165" t="s">
        <v>2</v>
      </c>
      <c r="D1414" s="437">
        <v>6</v>
      </c>
      <c r="E1414" s="414"/>
      <c r="F1414" s="486">
        <f>2-0.46*2</f>
        <v>1.08</v>
      </c>
      <c r="G1414" s="486">
        <v>0.46</v>
      </c>
      <c r="H1414" s="486">
        <v>0.3</v>
      </c>
      <c r="I1414" s="399">
        <f t="shared" si="39"/>
        <v>0.89</v>
      </c>
      <c r="J1414" s="294"/>
      <c r="K1414" s="1259"/>
      <c r="L1414" s="431"/>
      <c r="M1414" s="431"/>
      <c r="N1414" s="431"/>
    </row>
    <row r="1415" spans="1:14" s="398" customFormat="1" hidden="1" outlineLevel="1">
      <c r="A1415" s="1221"/>
      <c r="B1415" s="425"/>
      <c r="C1415" s="165" t="s">
        <v>2</v>
      </c>
      <c r="D1415" s="437">
        <v>6</v>
      </c>
      <c r="E1415" s="414"/>
      <c r="F1415" s="486">
        <f>2-0.345*2</f>
        <v>1.31</v>
      </c>
      <c r="G1415" s="486">
        <v>0.34499999999999997</v>
      </c>
      <c r="H1415" s="486">
        <v>0.3</v>
      </c>
      <c r="I1415" s="399">
        <f t="shared" si="39"/>
        <v>0.81</v>
      </c>
      <c r="J1415" s="294"/>
      <c r="K1415" s="1259"/>
      <c r="L1415" s="431"/>
      <c r="M1415" s="431"/>
      <c r="N1415" s="431"/>
    </row>
    <row r="1416" spans="1:14" s="398" customFormat="1" hidden="1" outlineLevel="1">
      <c r="A1416" s="1221"/>
      <c r="B1416" s="425"/>
      <c r="C1416" s="165" t="s">
        <v>2</v>
      </c>
      <c r="D1416" s="437">
        <v>6</v>
      </c>
      <c r="E1416" s="414"/>
      <c r="F1416" s="486">
        <f>2-0.23*2</f>
        <v>1.54</v>
      </c>
      <c r="G1416" s="486">
        <v>0.23</v>
      </c>
      <c r="H1416" s="486">
        <v>0.19</v>
      </c>
      <c r="I1416" s="399">
        <f t="shared" si="39"/>
        <v>0.4</v>
      </c>
      <c r="J1416" s="294"/>
      <c r="K1416" s="1259"/>
      <c r="L1416" s="431"/>
      <c r="M1416" s="431"/>
      <c r="N1416" s="431"/>
    </row>
    <row r="1417" spans="1:14" s="398" customFormat="1" hidden="1" outlineLevel="1">
      <c r="A1417" s="1221"/>
      <c r="B1417" s="425"/>
      <c r="C1417" s="165" t="s">
        <v>2</v>
      </c>
      <c r="D1417" s="437">
        <v>1</v>
      </c>
      <c r="E1417" s="414"/>
      <c r="F1417" s="486">
        <v>3.2050000000000001</v>
      </c>
      <c r="G1417" s="486">
        <v>0.46</v>
      </c>
      <c r="H1417" s="486">
        <v>0.3</v>
      </c>
      <c r="I1417" s="399">
        <f t="shared" si="39"/>
        <v>0.44</v>
      </c>
      <c r="J1417" s="294"/>
      <c r="K1417" s="1259"/>
      <c r="L1417" s="431"/>
      <c r="M1417" s="431"/>
      <c r="N1417" s="431"/>
    </row>
    <row r="1418" spans="1:14" s="398" customFormat="1" hidden="1" outlineLevel="1">
      <c r="A1418" s="1221"/>
      <c r="B1418" s="425"/>
      <c r="C1418" s="165" t="s">
        <v>2</v>
      </c>
      <c r="D1418" s="437">
        <v>1</v>
      </c>
      <c r="E1418" s="414"/>
      <c r="F1418" s="486">
        <v>3.2050000000000001</v>
      </c>
      <c r="G1418" s="486">
        <v>0.34499999999999997</v>
      </c>
      <c r="H1418" s="486">
        <v>0.3</v>
      </c>
      <c r="I1418" s="399">
        <f t="shared" si="39"/>
        <v>0.33</v>
      </c>
      <c r="J1418" s="294"/>
      <c r="K1418" s="1259"/>
      <c r="L1418" s="431"/>
      <c r="M1418" s="431"/>
      <c r="N1418" s="431"/>
    </row>
    <row r="1419" spans="1:14" s="398" customFormat="1" hidden="1" outlineLevel="1">
      <c r="A1419" s="1221"/>
      <c r="B1419" s="425"/>
      <c r="C1419" s="165" t="s">
        <v>2</v>
      </c>
      <c r="D1419" s="437">
        <v>1</v>
      </c>
      <c r="E1419" s="414"/>
      <c r="F1419" s="486">
        <v>3.2050000000000001</v>
      </c>
      <c r="G1419" s="486">
        <v>0.23</v>
      </c>
      <c r="H1419" s="486">
        <v>0.19</v>
      </c>
      <c r="I1419" s="399">
        <f t="shared" si="39"/>
        <v>0.14000000000000001</v>
      </c>
      <c r="J1419" s="294"/>
      <c r="K1419" s="1259"/>
      <c r="L1419" s="431"/>
      <c r="M1419" s="431"/>
      <c r="N1419" s="431"/>
    </row>
    <row r="1420" spans="1:14" s="398" customFormat="1" hidden="1" outlineLevel="1">
      <c r="A1420" s="1221"/>
      <c r="B1420" s="425"/>
      <c r="C1420" s="165" t="s">
        <v>2</v>
      </c>
      <c r="D1420" s="437">
        <v>4</v>
      </c>
      <c r="E1420" s="414"/>
      <c r="F1420" s="486">
        <f>2.6-0.46</f>
        <v>2.14</v>
      </c>
      <c r="G1420" s="486">
        <v>0.46</v>
      </c>
      <c r="H1420" s="486">
        <v>0.3</v>
      </c>
      <c r="I1420" s="399">
        <f t="shared" si="39"/>
        <v>1.18</v>
      </c>
      <c r="J1420" s="294"/>
      <c r="K1420" s="1259"/>
      <c r="L1420" s="431"/>
      <c r="M1420" s="431"/>
      <c r="N1420" s="431"/>
    </row>
    <row r="1421" spans="1:14" s="398" customFormat="1" hidden="1" outlineLevel="1">
      <c r="A1421" s="1221"/>
      <c r="B1421" s="425"/>
      <c r="C1421" s="165" t="s">
        <v>2</v>
      </c>
      <c r="D1421" s="437">
        <v>4</v>
      </c>
      <c r="E1421" s="414"/>
      <c r="F1421" s="486">
        <f>2.6-0.345</f>
        <v>2.2549999999999999</v>
      </c>
      <c r="G1421" s="486">
        <v>0.34499999999999997</v>
      </c>
      <c r="H1421" s="486">
        <v>0.3</v>
      </c>
      <c r="I1421" s="399">
        <f t="shared" si="39"/>
        <v>0.93</v>
      </c>
      <c r="J1421" s="294"/>
      <c r="K1421" s="1259"/>
      <c r="L1421" s="431"/>
      <c r="M1421" s="431"/>
      <c r="N1421" s="431"/>
    </row>
    <row r="1422" spans="1:14" s="398" customFormat="1" hidden="1" outlineLevel="1">
      <c r="A1422" s="1221"/>
      <c r="B1422" s="425"/>
      <c r="C1422" s="165" t="s">
        <v>2</v>
      </c>
      <c r="D1422" s="437">
        <v>4</v>
      </c>
      <c r="E1422" s="414"/>
      <c r="F1422" s="486">
        <f>2.6-0.23</f>
        <v>2.37</v>
      </c>
      <c r="G1422" s="486">
        <v>0.23</v>
      </c>
      <c r="H1422" s="486">
        <v>0.19</v>
      </c>
      <c r="I1422" s="399">
        <f t="shared" si="39"/>
        <v>0.41</v>
      </c>
      <c r="J1422" s="294"/>
      <c r="K1422" s="1259"/>
      <c r="L1422" s="431"/>
      <c r="M1422" s="431"/>
      <c r="N1422" s="431"/>
    </row>
    <row r="1423" spans="1:14" s="398" customFormat="1" hidden="1" outlineLevel="1">
      <c r="A1423" s="1221"/>
      <c r="B1423" s="425"/>
      <c r="C1423" s="165" t="s">
        <v>2</v>
      </c>
      <c r="D1423" s="437">
        <v>1</v>
      </c>
      <c r="E1423" s="414"/>
      <c r="F1423" s="486">
        <v>3.2</v>
      </c>
      <c r="G1423" s="486">
        <v>0.46</v>
      </c>
      <c r="H1423" s="486">
        <v>0.3</v>
      </c>
      <c r="I1423" s="399">
        <f t="shared" si="39"/>
        <v>0.44</v>
      </c>
      <c r="J1423" s="294"/>
      <c r="K1423" s="1259"/>
      <c r="L1423" s="431"/>
      <c r="M1423" s="431"/>
      <c r="N1423" s="431"/>
    </row>
    <row r="1424" spans="1:14" s="398" customFormat="1" hidden="1" outlineLevel="1">
      <c r="A1424" s="1221"/>
      <c r="B1424" s="425"/>
      <c r="C1424" s="165" t="s">
        <v>2</v>
      </c>
      <c r="D1424" s="437">
        <v>1</v>
      </c>
      <c r="E1424" s="414"/>
      <c r="F1424" s="486">
        <v>3.2</v>
      </c>
      <c r="G1424" s="486">
        <v>0.34499999999999997</v>
      </c>
      <c r="H1424" s="486">
        <v>0.3</v>
      </c>
      <c r="I1424" s="399">
        <f t="shared" si="39"/>
        <v>0.33</v>
      </c>
      <c r="J1424" s="294"/>
      <c r="K1424" s="1259"/>
      <c r="L1424" s="431"/>
      <c r="M1424" s="431"/>
      <c r="N1424" s="431"/>
    </row>
    <row r="1425" spans="1:14" s="398" customFormat="1" hidden="1" outlineLevel="1">
      <c r="A1425" s="1221"/>
      <c r="B1425" s="425"/>
      <c r="C1425" s="165" t="s">
        <v>2</v>
      </c>
      <c r="D1425" s="437">
        <v>1</v>
      </c>
      <c r="E1425" s="414"/>
      <c r="F1425" s="486">
        <v>3.2</v>
      </c>
      <c r="G1425" s="486">
        <v>0.23</v>
      </c>
      <c r="H1425" s="486">
        <v>0.19</v>
      </c>
      <c r="I1425" s="399">
        <f t="shared" si="39"/>
        <v>0.14000000000000001</v>
      </c>
      <c r="J1425" s="294"/>
      <c r="K1425" s="1259"/>
      <c r="L1425" s="431"/>
      <c r="M1425" s="431"/>
      <c r="N1425" s="431"/>
    </row>
    <row r="1426" spans="1:14" s="398" customFormat="1" hidden="1" outlineLevel="1">
      <c r="A1426" s="1221"/>
      <c r="B1426" s="425"/>
      <c r="C1426" s="165" t="s">
        <v>2</v>
      </c>
      <c r="D1426" s="437">
        <v>1</v>
      </c>
      <c r="E1426" s="414"/>
      <c r="F1426" s="486">
        <v>2.6</v>
      </c>
      <c r="G1426" s="486">
        <v>0.46</v>
      </c>
      <c r="H1426" s="486">
        <v>0.3</v>
      </c>
      <c r="I1426" s="399">
        <f t="shared" si="39"/>
        <v>0.36</v>
      </c>
      <c r="J1426" s="294"/>
      <c r="K1426" s="1259"/>
      <c r="L1426" s="431"/>
      <c r="M1426" s="431"/>
      <c r="N1426" s="431"/>
    </row>
    <row r="1427" spans="1:14" s="398" customFormat="1" hidden="1" outlineLevel="1">
      <c r="A1427" s="1221"/>
      <c r="B1427" s="425"/>
      <c r="C1427" s="165" t="s">
        <v>2</v>
      </c>
      <c r="D1427" s="437">
        <v>1</v>
      </c>
      <c r="E1427" s="414"/>
      <c r="F1427" s="486">
        <v>2.6</v>
      </c>
      <c r="G1427" s="486">
        <v>0.34499999999999997</v>
      </c>
      <c r="H1427" s="486">
        <v>0.3</v>
      </c>
      <c r="I1427" s="399">
        <f t="shared" si="39"/>
        <v>0.27</v>
      </c>
      <c r="J1427" s="294"/>
      <c r="K1427" s="1259"/>
      <c r="L1427" s="431"/>
      <c r="M1427" s="431"/>
      <c r="N1427" s="431"/>
    </row>
    <row r="1428" spans="1:14" s="398" customFormat="1" hidden="1" outlineLevel="1">
      <c r="A1428" s="1221"/>
      <c r="B1428" s="425"/>
      <c r="C1428" s="165" t="s">
        <v>2</v>
      </c>
      <c r="D1428" s="437">
        <v>1</v>
      </c>
      <c r="E1428" s="414"/>
      <c r="F1428" s="486">
        <v>2.6</v>
      </c>
      <c r="G1428" s="486">
        <v>0.23</v>
      </c>
      <c r="H1428" s="486">
        <v>0.19</v>
      </c>
      <c r="I1428" s="399">
        <f t="shared" si="39"/>
        <v>0.11</v>
      </c>
      <c r="J1428" s="294"/>
      <c r="K1428" s="1259"/>
      <c r="L1428" s="431"/>
      <c r="M1428" s="431"/>
      <c r="N1428" s="431"/>
    </row>
    <row r="1429" spans="1:14" s="398" customFormat="1" hidden="1" outlineLevel="1">
      <c r="A1429" s="1221"/>
      <c r="B1429" s="425" t="s">
        <v>140</v>
      </c>
      <c r="C1429" s="165" t="s">
        <v>2</v>
      </c>
      <c r="D1429" s="437">
        <v>4</v>
      </c>
      <c r="E1429" s="414"/>
      <c r="F1429" s="486">
        <v>3</v>
      </c>
      <c r="G1429" s="486">
        <v>0.115</v>
      </c>
      <c r="H1429" s="486">
        <v>0.35499999999999998</v>
      </c>
      <c r="I1429" s="399">
        <f t="shared" si="39"/>
        <v>0.49</v>
      </c>
      <c r="J1429" s="294"/>
      <c r="K1429" s="1259"/>
      <c r="L1429" s="431"/>
      <c r="M1429" s="431"/>
      <c r="N1429" s="431"/>
    </row>
    <row r="1430" spans="1:14" s="398" customFormat="1" hidden="1" outlineLevel="1">
      <c r="A1430" s="1221"/>
      <c r="B1430" s="425"/>
      <c r="C1430" s="165" t="s">
        <v>2</v>
      </c>
      <c r="D1430" s="437">
        <v>4</v>
      </c>
      <c r="E1430" s="414"/>
      <c r="F1430" s="486">
        <v>3</v>
      </c>
      <c r="G1430" s="486">
        <v>0.3</v>
      </c>
      <c r="H1430" s="486">
        <v>0.22500000000000001</v>
      </c>
      <c r="I1430" s="399">
        <f t="shared" si="39"/>
        <v>0.81</v>
      </c>
      <c r="J1430" s="294"/>
      <c r="K1430" s="1259"/>
      <c r="L1430" s="431"/>
      <c r="M1430" s="431"/>
      <c r="N1430" s="431"/>
    </row>
    <row r="1431" spans="1:14" s="398" customFormat="1" ht="34.5" hidden="1" outlineLevel="1">
      <c r="A1431" s="1221"/>
      <c r="B1431" s="425" t="s">
        <v>111</v>
      </c>
      <c r="C1431" s="165" t="s">
        <v>2</v>
      </c>
      <c r="D1431" s="437">
        <v>1</v>
      </c>
      <c r="E1431" s="414"/>
      <c r="F1431" s="486">
        <f>8.8+0.46*2</f>
        <v>9.7200000000000006</v>
      </c>
      <c r="G1431" s="486">
        <v>0.46</v>
      </c>
      <c r="H1431" s="486">
        <v>0.3</v>
      </c>
      <c r="I1431" s="399">
        <f t="shared" si="39"/>
        <v>1.34</v>
      </c>
      <c r="J1431" s="294"/>
      <c r="K1431" s="1259"/>
      <c r="L1431" s="431"/>
      <c r="M1431" s="431"/>
      <c r="N1431" s="431"/>
    </row>
    <row r="1432" spans="1:14" s="398" customFormat="1" hidden="1" outlineLevel="1">
      <c r="A1432" s="1221"/>
      <c r="B1432" s="425" t="s">
        <v>112</v>
      </c>
      <c r="C1432" s="165" t="s">
        <v>2</v>
      </c>
      <c r="D1432" s="437">
        <v>1</v>
      </c>
      <c r="E1432" s="414"/>
      <c r="F1432" s="486">
        <f>8.8+0.345*2</f>
        <v>9.49</v>
      </c>
      <c r="G1432" s="486">
        <v>0.34499999999999997</v>
      </c>
      <c r="H1432" s="486">
        <v>0.3</v>
      </c>
      <c r="I1432" s="399">
        <f t="shared" ref="I1432:I1495" si="40">IF(D1432&lt;&gt;0,ROUND(PRODUCT(E1432:H1432)*D1432,2),"")</f>
        <v>0.98</v>
      </c>
      <c r="J1432" s="294"/>
      <c r="K1432" s="1259"/>
      <c r="L1432" s="431"/>
      <c r="M1432" s="431"/>
      <c r="N1432" s="431"/>
    </row>
    <row r="1433" spans="1:14" s="398" customFormat="1" hidden="1" outlineLevel="1">
      <c r="A1433" s="1221"/>
      <c r="B1433" s="425"/>
      <c r="C1433" s="165" t="s">
        <v>2</v>
      </c>
      <c r="D1433" s="437">
        <v>1</v>
      </c>
      <c r="E1433" s="414"/>
      <c r="F1433" s="486">
        <f>8.8+0.23*2</f>
        <v>9.2600000000000016</v>
      </c>
      <c r="G1433" s="486">
        <v>0.23</v>
      </c>
      <c r="H1433" s="486">
        <v>0.19</v>
      </c>
      <c r="I1433" s="399">
        <f t="shared" si="40"/>
        <v>0.4</v>
      </c>
      <c r="J1433" s="294"/>
      <c r="K1433" s="1259"/>
      <c r="L1433" s="431"/>
      <c r="M1433" s="431"/>
      <c r="N1433" s="431"/>
    </row>
    <row r="1434" spans="1:14" s="398" customFormat="1" hidden="1" outlineLevel="1">
      <c r="A1434" s="1221"/>
      <c r="B1434" s="425"/>
      <c r="C1434" s="165" t="s">
        <v>2</v>
      </c>
      <c r="D1434" s="437">
        <v>1</v>
      </c>
      <c r="E1434" s="414"/>
      <c r="F1434" s="486">
        <f>4.2+2.8+0.46*2</f>
        <v>7.92</v>
      </c>
      <c r="G1434" s="486">
        <v>0.46</v>
      </c>
      <c r="H1434" s="486">
        <v>0.3</v>
      </c>
      <c r="I1434" s="399">
        <f t="shared" si="40"/>
        <v>1.0900000000000001</v>
      </c>
      <c r="J1434" s="294"/>
      <c r="K1434" s="1259"/>
      <c r="L1434" s="431"/>
      <c r="M1434" s="431"/>
      <c r="N1434" s="431"/>
    </row>
    <row r="1435" spans="1:14" s="398" customFormat="1" hidden="1" outlineLevel="1">
      <c r="A1435" s="1221"/>
      <c r="B1435" s="425"/>
      <c r="C1435" s="165" t="s">
        <v>2</v>
      </c>
      <c r="D1435" s="437">
        <v>1</v>
      </c>
      <c r="E1435" s="414"/>
      <c r="F1435" s="486">
        <f>4.2+2.8+0.345*2</f>
        <v>7.6899999999999995</v>
      </c>
      <c r="G1435" s="486">
        <v>0.34499999999999997</v>
      </c>
      <c r="H1435" s="486">
        <v>0.3</v>
      </c>
      <c r="I1435" s="399">
        <f t="shared" si="40"/>
        <v>0.8</v>
      </c>
      <c r="J1435" s="294"/>
      <c r="K1435" s="1259"/>
      <c r="L1435" s="431"/>
      <c r="M1435" s="431"/>
      <c r="N1435" s="431"/>
    </row>
    <row r="1436" spans="1:14" s="398" customFormat="1" hidden="1" outlineLevel="1">
      <c r="A1436" s="1221"/>
      <c r="B1436" s="425"/>
      <c r="C1436" s="165" t="s">
        <v>2</v>
      </c>
      <c r="D1436" s="437">
        <v>1</v>
      </c>
      <c r="E1436" s="414"/>
      <c r="F1436" s="486">
        <f>4.2+2.8+0.23*2</f>
        <v>7.46</v>
      </c>
      <c r="G1436" s="486">
        <v>0.23</v>
      </c>
      <c r="H1436" s="486">
        <v>0.19</v>
      </c>
      <c r="I1436" s="399">
        <f t="shared" si="40"/>
        <v>0.33</v>
      </c>
      <c r="J1436" s="294"/>
      <c r="K1436" s="1259"/>
      <c r="L1436" s="431"/>
      <c r="M1436" s="431"/>
      <c r="N1436" s="431"/>
    </row>
    <row r="1437" spans="1:14" s="398" customFormat="1" hidden="1" outlineLevel="1">
      <c r="A1437" s="1221"/>
      <c r="B1437" s="425"/>
      <c r="C1437" s="165" t="s">
        <v>2</v>
      </c>
      <c r="D1437" s="437">
        <v>1</v>
      </c>
      <c r="E1437" s="414"/>
      <c r="F1437" s="486">
        <f>1.8+4.2+2+0.46*2</f>
        <v>8.92</v>
      </c>
      <c r="G1437" s="486">
        <v>0.46</v>
      </c>
      <c r="H1437" s="486">
        <v>0.3</v>
      </c>
      <c r="I1437" s="399">
        <f t="shared" si="40"/>
        <v>1.23</v>
      </c>
      <c r="J1437" s="294"/>
      <c r="K1437" s="1259"/>
      <c r="L1437" s="431"/>
      <c r="M1437" s="431"/>
      <c r="N1437" s="431"/>
    </row>
    <row r="1438" spans="1:14" s="398" customFormat="1" hidden="1" outlineLevel="1">
      <c r="A1438" s="1221"/>
      <c r="B1438" s="425"/>
      <c r="C1438" s="165" t="s">
        <v>2</v>
      </c>
      <c r="D1438" s="437">
        <v>1</v>
      </c>
      <c r="E1438" s="414"/>
      <c r="F1438" s="486">
        <f>1.8+4.2+2+0.345*2</f>
        <v>8.69</v>
      </c>
      <c r="G1438" s="486">
        <v>0.34499999999999997</v>
      </c>
      <c r="H1438" s="486">
        <v>0.3</v>
      </c>
      <c r="I1438" s="399">
        <f t="shared" si="40"/>
        <v>0.9</v>
      </c>
      <c r="J1438" s="294"/>
      <c r="K1438" s="1259"/>
      <c r="L1438" s="431"/>
      <c r="M1438" s="431"/>
      <c r="N1438" s="431"/>
    </row>
    <row r="1439" spans="1:14" s="398" customFormat="1" hidden="1" outlineLevel="1">
      <c r="A1439" s="1221"/>
      <c r="B1439" s="425"/>
      <c r="C1439" s="165" t="s">
        <v>2</v>
      </c>
      <c r="D1439" s="437">
        <v>1</v>
      </c>
      <c r="E1439" s="414"/>
      <c r="F1439" s="486">
        <f>1.8+4.2+2+0.23*2</f>
        <v>8.4600000000000009</v>
      </c>
      <c r="G1439" s="486">
        <v>0.23</v>
      </c>
      <c r="H1439" s="486">
        <v>0.19</v>
      </c>
      <c r="I1439" s="399">
        <f t="shared" si="40"/>
        <v>0.37</v>
      </c>
      <c r="J1439" s="294"/>
      <c r="K1439" s="1259"/>
      <c r="L1439" s="431"/>
      <c r="M1439" s="431"/>
      <c r="N1439" s="431"/>
    </row>
    <row r="1440" spans="1:14" s="398" customFormat="1" hidden="1" outlineLevel="1">
      <c r="A1440" s="1221"/>
      <c r="B1440" s="425"/>
      <c r="C1440" s="165" t="s">
        <v>2</v>
      </c>
      <c r="D1440" s="437">
        <v>1</v>
      </c>
      <c r="E1440" s="414"/>
      <c r="F1440" s="486">
        <f>2+6+0.46</f>
        <v>8.4600000000000009</v>
      </c>
      <c r="G1440" s="486">
        <v>0.46</v>
      </c>
      <c r="H1440" s="486">
        <v>0.3</v>
      </c>
      <c r="I1440" s="399">
        <f t="shared" si="40"/>
        <v>1.17</v>
      </c>
      <c r="J1440" s="294"/>
      <c r="K1440" s="1259"/>
      <c r="L1440" s="431"/>
      <c r="M1440" s="431"/>
      <c r="N1440" s="431"/>
    </row>
    <row r="1441" spans="1:14" s="398" customFormat="1" hidden="1" outlineLevel="1">
      <c r="A1441" s="1221"/>
      <c r="B1441" s="425"/>
      <c r="C1441" s="165" t="s">
        <v>2</v>
      </c>
      <c r="D1441" s="437">
        <v>1</v>
      </c>
      <c r="E1441" s="414"/>
      <c r="F1441" s="486">
        <f>2+6+0.345</f>
        <v>8.3450000000000006</v>
      </c>
      <c r="G1441" s="486">
        <v>0.34499999999999997</v>
      </c>
      <c r="H1441" s="486">
        <v>0.3</v>
      </c>
      <c r="I1441" s="399">
        <f t="shared" si="40"/>
        <v>0.86</v>
      </c>
      <c r="J1441" s="294"/>
      <c r="K1441" s="1259"/>
      <c r="L1441" s="431"/>
      <c r="M1441" s="431"/>
      <c r="N1441" s="431"/>
    </row>
    <row r="1442" spans="1:14" s="398" customFormat="1" hidden="1" outlineLevel="1">
      <c r="A1442" s="1221"/>
      <c r="B1442" s="425"/>
      <c r="C1442" s="165" t="s">
        <v>2</v>
      </c>
      <c r="D1442" s="437">
        <v>1</v>
      </c>
      <c r="E1442" s="414"/>
      <c r="F1442" s="486">
        <f>2+6+0.23</f>
        <v>8.23</v>
      </c>
      <c r="G1442" s="486">
        <v>0.23</v>
      </c>
      <c r="H1442" s="486">
        <v>0.19</v>
      </c>
      <c r="I1442" s="399">
        <f t="shared" si="40"/>
        <v>0.36</v>
      </c>
      <c r="J1442" s="294"/>
      <c r="K1442" s="1259"/>
      <c r="L1442" s="431"/>
      <c r="M1442" s="431"/>
      <c r="N1442" s="431"/>
    </row>
    <row r="1443" spans="1:14" s="398" customFormat="1" hidden="1" outlineLevel="1">
      <c r="A1443" s="1221"/>
      <c r="B1443" s="425"/>
      <c r="C1443" s="165" t="s">
        <v>2</v>
      </c>
      <c r="D1443" s="437">
        <v>1</v>
      </c>
      <c r="E1443" s="414"/>
      <c r="F1443" s="486">
        <f>6+1+0.46*2</f>
        <v>7.92</v>
      </c>
      <c r="G1443" s="486">
        <v>0.46</v>
      </c>
      <c r="H1443" s="486">
        <v>0.3</v>
      </c>
      <c r="I1443" s="399">
        <f t="shared" si="40"/>
        <v>1.0900000000000001</v>
      </c>
      <c r="J1443" s="294"/>
      <c r="K1443" s="1259"/>
      <c r="L1443" s="431"/>
      <c r="M1443" s="431"/>
      <c r="N1443" s="431"/>
    </row>
    <row r="1444" spans="1:14" s="398" customFormat="1" hidden="1" outlineLevel="1">
      <c r="A1444" s="1221"/>
      <c r="B1444" s="425"/>
      <c r="C1444" s="165" t="s">
        <v>2</v>
      </c>
      <c r="D1444" s="437">
        <v>1</v>
      </c>
      <c r="E1444" s="414"/>
      <c r="F1444" s="486">
        <f>6+1+0.345*2</f>
        <v>7.6899999999999995</v>
      </c>
      <c r="G1444" s="486">
        <v>0.34499999999999997</v>
      </c>
      <c r="H1444" s="486">
        <v>0.3</v>
      </c>
      <c r="I1444" s="399">
        <f t="shared" si="40"/>
        <v>0.8</v>
      </c>
      <c r="J1444" s="294"/>
      <c r="K1444" s="1259"/>
      <c r="L1444" s="431"/>
      <c r="M1444" s="431"/>
      <c r="N1444" s="431"/>
    </row>
    <row r="1445" spans="1:14" s="398" customFormat="1" hidden="1" outlineLevel="1">
      <c r="A1445" s="1221"/>
      <c r="B1445" s="425"/>
      <c r="C1445" s="165" t="s">
        <v>2</v>
      </c>
      <c r="D1445" s="437">
        <v>1</v>
      </c>
      <c r="E1445" s="414"/>
      <c r="F1445" s="486">
        <f>6+1+0.23*2</f>
        <v>7.46</v>
      </c>
      <c r="G1445" s="486">
        <v>0.23</v>
      </c>
      <c r="H1445" s="486">
        <v>0.19</v>
      </c>
      <c r="I1445" s="399">
        <f t="shared" si="40"/>
        <v>0.33</v>
      </c>
      <c r="J1445" s="294"/>
      <c r="K1445" s="1259"/>
      <c r="L1445" s="431"/>
      <c r="M1445" s="431"/>
      <c r="N1445" s="431"/>
    </row>
    <row r="1446" spans="1:14" s="398" customFormat="1" hidden="1" outlineLevel="1">
      <c r="A1446" s="1221"/>
      <c r="B1446" s="425"/>
      <c r="C1446" s="165" t="s">
        <v>2</v>
      </c>
      <c r="D1446" s="437">
        <v>1</v>
      </c>
      <c r="E1446" s="414"/>
      <c r="F1446" s="486">
        <f>4.2+2.8+0.46*2</f>
        <v>7.92</v>
      </c>
      <c r="G1446" s="486">
        <v>0.46</v>
      </c>
      <c r="H1446" s="486">
        <v>0.3</v>
      </c>
      <c r="I1446" s="399">
        <f t="shared" si="40"/>
        <v>1.0900000000000001</v>
      </c>
      <c r="J1446" s="294"/>
      <c r="K1446" s="1259"/>
      <c r="L1446" s="431"/>
      <c r="M1446" s="431"/>
      <c r="N1446" s="431"/>
    </row>
    <row r="1447" spans="1:14" s="398" customFormat="1" hidden="1" outlineLevel="1">
      <c r="A1447" s="1221"/>
      <c r="B1447" s="425"/>
      <c r="C1447" s="165" t="s">
        <v>2</v>
      </c>
      <c r="D1447" s="437">
        <v>1</v>
      </c>
      <c r="E1447" s="414"/>
      <c r="F1447" s="486">
        <f>4.2+2.8+0.345*2</f>
        <v>7.6899999999999995</v>
      </c>
      <c r="G1447" s="486">
        <v>0.34499999999999997</v>
      </c>
      <c r="H1447" s="486">
        <v>0.3</v>
      </c>
      <c r="I1447" s="399">
        <f t="shared" si="40"/>
        <v>0.8</v>
      </c>
      <c r="J1447" s="294"/>
      <c r="K1447" s="1259"/>
      <c r="L1447" s="431"/>
      <c r="M1447" s="431"/>
      <c r="N1447" s="431"/>
    </row>
    <row r="1448" spans="1:14" s="398" customFormat="1" hidden="1" outlineLevel="1">
      <c r="A1448" s="1221"/>
      <c r="B1448" s="425"/>
      <c r="C1448" s="165" t="s">
        <v>2</v>
      </c>
      <c r="D1448" s="437">
        <v>1</v>
      </c>
      <c r="E1448" s="414"/>
      <c r="F1448" s="486">
        <f>4.2+2.8+0.23*2</f>
        <v>7.46</v>
      </c>
      <c r="G1448" s="486">
        <v>0.23</v>
      </c>
      <c r="H1448" s="486">
        <v>0.19</v>
      </c>
      <c r="I1448" s="399">
        <f t="shared" si="40"/>
        <v>0.33</v>
      </c>
      <c r="J1448" s="294"/>
      <c r="K1448" s="1259"/>
      <c r="L1448" s="431"/>
      <c r="M1448" s="431"/>
      <c r="N1448" s="431"/>
    </row>
    <row r="1449" spans="1:14" s="398" customFormat="1" hidden="1" outlineLevel="1">
      <c r="A1449" s="1221"/>
      <c r="B1449" s="425"/>
      <c r="C1449" s="165" t="s">
        <v>2</v>
      </c>
      <c r="D1449" s="437">
        <v>3</v>
      </c>
      <c r="E1449" s="414"/>
      <c r="F1449" s="662">
        <v>5.42</v>
      </c>
      <c r="G1449" s="486">
        <v>0.46</v>
      </c>
      <c r="H1449" s="486">
        <v>0.3</v>
      </c>
      <c r="I1449" s="399">
        <f t="shared" si="40"/>
        <v>2.2400000000000002</v>
      </c>
      <c r="J1449" s="294"/>
      <c r="K1449" s="1259"/>
      <c r="L1449" s="431"/>
      <c r="M1449" s="431"/>
      <c r="N1449" s="431"/>
    </row>
    <row r="1450" spans="1:14" s="398" customFormat="1" hidden="1" outlineLevel="1">
      <c r="A1450" s="1221"/>
      <c r="B1450" s="425"/>
      <c r="C1450" s="165" t="s">
        <v>2</v>
      </c>
      <c r="D1450" s="437">
        <v>3</v>
      </c>
      <c r="E1450" s="414"/>
      <c r="F1450" s="662">
        <v>5.19</v>
      </c>
      <c r="G1450" s="486">
        <v>0.34499999999999997</v>
      </c>
      <c r="H1450" s="486">
        <v>0.3</v>
      </c>
      <c r="I1450" s="399">
        <f t="shared" si="40"/>
        <v>1.61</v>
      </c>
      <c r="J1450" s="294"/>
      <c r="K1450" s="1259"/>
      <c r="L1450" s="431"/>
      <c r="M1450" s="431"/>
      <c r="N1450" s="431"/>
    </row>
    <row r="1451" spans="1:14" s="398" customFormat="1" hidden="1" outlineLevel="1">
      <c r="A1451" s="1221"/>
      <c r="B1451" s="425"/>
      <c r="C1451" s="165" t="s">
        <v>2</v>
      </c>
      <c r="D1451" s="437">
        <v>3</v>
      </c>
      <c r="E1451" s="414"/>
      <c r="F1451" s="662">
        <v>4.96</v>
      </c>
      <c r="G1451" s="486">
        <v>0.23</v>
      </c>
      <c r="H1451" s="486">
        <v>0.19</v>
      </c>
      <c r="I1451" s="399">
        <f t="shared" si="40"/>
        <v>0.65</v>
      </c>
      <c r="J1451" s="294"/>
      <c r="K1451" s="1259"/>
      <c r="L1451" s="431"/>
      <c r="M1451" s="431"/>
      <c r="N1451" s="431"/>
    </row>
    <row r="1452" spans="1:14" s="398" customFormat="1" hidden="1" outlineLevel="1">
      <c r="A1452" s="1221"/>
      <c r="B1452" s="425"/>
      <c r="C1452" s="165" t="s">
        <v>2</v>
      </c>
      <c r="D1452" s="437">
        <v>1</v>
      </c>
      <c r="E1452" s="414"/>
      <c r="F1452" s="486">
        <f>7.5+0.46*2</f>
        <v>8.42</v>
      </c>
      <c r="G1452" s="486">
        <v>0.46</v>
      </c>
      <c r="H1452" s="486">
        <v>0.3</v>
      </c>
      <c r="I1452" s="399">
        <f t="shared" si="40"/>
        <v>1.1599999999999999</v>
      </c>
      <c r="J1452" s="294"/>
      <c r="K1452" s="1259"/>
      <c r="L1452" s="431"/>
      <c r="M1452" s="431"/>
      <c r="N1452" s="431"/>
    </row>
    <row r="1453" spans="1:14" s="398" customFormat="1" hidden="1" outlineLevel="1">
      <c r="A1453" s="1221"/>
      <c r="B1453" s="425"/>
      <c r="C1453" s="165" t="s">
        <v>2</v>
      </c>
      <c r="D1453" s="437">
        <v>1</v>
      </c>
      <c r="E1453" s="414"/>
      <c r="F1453" s="486">
        <f>7.5+0.345*2</f>
        <v>8.19</v>
      </c>
      <c r="G1453" s="486">
        <v>0.34499999999999997</v>
      </c>
      <c r="H1453" s="486">
        <v>0.3</v>
      </c>
      <c r="I1453" s="399">
        <f t="shared" si="40"/>
        <v>0.85</v>
      </c>
      <c r="J1453" s="294"/>
      <c r="K1453" s="1259"/>
      <c r="L1453" s="431"/>
      <c r="M1453" s="431"/>
      <c r="N1453" s="431"/>
    </row>
    <row r="1454" spans="1:14" s="398" customFormat="1" hidden="1" outlineLevel="1">
      <c r="A1454" s="1221"/>
      <c r="B1454" s="425"/>
      <c r="C1454" s="165" t="s">
        <v>2</v>
      </c>
      <c r="D1454" s="437">
        <v>1</v>
      </c>
      <c r="E1454" s="414"/>
      <c r="F1454" s="486">
        <f>7.5+0.23*2</f>
        <v>7.96</v>
      </c>
      <c r="G1454" s="486">
        <v>0.23</v>
      </c>
      <c r="H1454" s="486">
        <v>0.19</v>
      </c>
      <c r="I1454" s="399">
        <f t="shared" si="40"/>
        <v>0.35</v>
      </c>
      <c r="J1454" s="294"/>
      <c r="K1454" s="1259"/>
      <c r="L1454" s="431"/>
      <c r="M1454" s="431"/>
      <c r="N1454" s="431"/>
    </row>
    <row r="1455" spans="1:14" s="398" customFormat="1" ht="34.5" hidden="1" outlineLevel="1">
      <c r="A1455" s="1221"/>
      <c r="B1455" s="425" t="s">
        <v>113</v>
      </c>
      <c r="C1455" s="165" t="s">
        <v>2</v>
      </c>
      <c r="D1455" s="437"/>
      <c r="E1455" s="414"/>
      <c r="F1455" s="486"/>
      <c r="G1455" s="486"/>
      <c r="H1455" s="486"/>
      <c r="I1455" s="399" t="str">
        <f t="shared" si="40"/>
        <v/>
      </c>
      <c r="J1455" s="294"/>
      <c r="K1455" s="1259"/>
      <c r="L1455" s="431"/>
      <c r="M1455" s="431"/>
      <c r="N1455" s="431"/>
    </row>
    <row r="1456" spans="1:14" s="398" customFormat="1" hidden="1" outlineLevel="1">
      <c r="A1456" s="1221"/>
      <c r="B1456" s="425" t="s">
        <v>112</v>
      </c>
      <c r="C1456" s="165" t="s">
        <v>2</v>
      </c>
      <c r="D1456" s="437">
        <v>8</v>
      </c>
      <c r="E1456" s="414"/>
      <c r="F1456" s="486">
        <v>0.61499999999999999</v>
      </c>
      <c r="G1456" s="486">
        <v>0.46</v>
      </c>
      <c r="H1456" s="486">
        <v>0.3</v>
      </c>
      <c r="I1456" s="399">
        <f t="shared" si="40"/>
        <v>0.68</v>
      </c>
      <c r="J1456" s="294"/>
      <c r="K1456" s="1259"/>
      <c r="L1456" s="431"/>
      <c r="M1456" s="431"/>
      <c r="N1456" s="431"/>
    </row>
    <row r="1457" spans="1:14" s="398" customFormat="1" hidden="1" outlineLevel="1">
      <c r="A1457" s="1221"/>
      <c r="B1457" s="425"/>
      <c r="C1457" s="165" t="s">
        <v>2</v>
      </c>
      <c r="D1457" s="437">
        <v>8</v>
      </c>
      <c r="E1457" s="414"/>
      <c r="F1457" s="486">
        <v>0.61499999999999999</v>
      </c>
      <c r="G1457" s="486">
        <v>0.34499999999999997</v>
      </c>
      <c r="H1457" s="486">
        <v>0.3</v>
      </c>
      <c r="I1457" s="399">
        <f t="shared" si="40"/>
        <v>0.51</v>
      </c>
      <c r="J1457" s="294"/>
      <c r="K1457" s="1259"/>
      <c r="L1457" s="431"/>
      <c r="M1457" s="431"/>
      <c r="N1457" s="431"/>
    </row>
    <row r="1458" spans="1:14" s="398" customFormat="1" hidden="1" outlineLevel="1">
      <c r="A1458" s="1221"/>
      <c r="B1458" s="425"/>
      <c r="C1458" s="165" t="s">
        <v>2</v>
      </c>
      <c r="D1458" s="437">
        <v>8</v>
      </c>
      <c r="E1458" s="414"/>
      <c r="F1458" s="486">
        <v>0.61499999999999999</v>
      </c>
      <c r="G1458" s="486">
        <v>0.23</v>
      </c>
      <c r="H1458" s="486">
        <v>0.19</v>
      </c>
      <c r="I1458" s="399">
        <f t="shared" si="40"/>
        <v>0.22</v>
      </c>
      <c r="J1458" s="294"/>
      <c r="K1458" s="1259"/>
      <c r="L1458" s="431"/>
      <c r="M1458" s="431"/>
      <c r="N1458" s="431"/>
    </row>
    <row r="1459" spans="1:14" s="398" customFormat="1" hidden="1" outlineLevel="1">
      <c r="A1459" s="1221"/>
      <c r="B1459" s="425"/>
      <c r="C1459" s="165" t="s">
        <v>2</v>
      </c>
      <c r="D1459" s="437">
        <v>2</v>
      </c>
      <c r="E1459" s="414"/>
      <c r="F1459" s="486">
        <f>2.435-0.46*2</f>
        <v>1.5150000000000001</v>
      </c>
      <c r="G1459" s="486">
        <v>0.46</v>
      </c>
      <c r="H1459" s="486">
        <v>0.3</v>
      </c>
      <c r="I1459" s="399">
        <f t="shared" si="40"/>
        <v>0.42</v>
      </c>
      <c r="J1459" s="294"/>
      <c r="K1459" s="1259"/>
      <c r="L1459" s="431"/>
      <c r="M1459" s="431"/>
      <c r="N1459" s="431"/>
    </row>
    <row r="1460" spans="1:14" s="398" customFormat="1" hidden="1" outlineLevel="1">
      <c r="A1460" s="1221"/>
      <c r="B1460" s="425"/>
      <c r="C1460" s="165" t="s">
        <v>2</v>
      </c>
      <c r="D1460" s="437">
        <v>2</v>
      </c>
      <c r="E1460" s="414"/>
      <c r="F1460" s="486">
        <f>2.435-0.345*2</f>
        <v>1.7450000000000001</v>
      </c>
      <c r="G1460" s="486">
        <v>0.34499999999999997</v>
      </c>
      <c r="H1460" s="486">
        <v>0.3</v>
      </c>
      <c r="I1460" s="399">
        <f t="shared" si="40"/>
        <v>0.36</v>
      </c>
      <c r="J1460" s="294"/>
      <c r="K1460" s="1259"/>
      <c r="L1460" s="431"/>
      <c r="M1460" s="431"/>
      <c r="N1460" s="431"/>
    </row>
    <row r="1461" spans="1:14" s="398" customFormat="1" hidden="1" outlineLevel="1">
      <c r="A1461" s="1221"/>
      <c r="B1461" s="425"/>
      <c r="C1461" s="165" t="s">
        <v>2</v>
      </c>
      <c r="D1461" s="437">
        <v>2</v>
      </c>
      <c r="E1461" s="414"/>
      <c r="F1461" s="486">
        <f>2.435-0.23*2</f>
        <v>1.9750000000000001</v>
      </c>
      <c r="G1461" s="486">
        <v>0.23</v>
      </c>
      <c r="H1461" s="486">
        <v>0.19</v>
      </c>
      <c r="I1461" s="399">
        <f t="shared" si="40"/>
        <v>0.17</v>
      </c>
      <c r="J1461" s="294"/>
      <c r="K1461" s="1259"/>
      <c r="L1461" s="431"/>
      <c r="M1461" s="431"/>
      <c r="N1461" s="431"/>
    </row>
    <row r="1462" spans="1:14" s="398" customFormat="1" hidden="1" outlineLevel="1">
      <c r="A1462" s="1221"/>
      <c r="B1462" s="425"/>
      <c r="C1462" s="165" t="s">
        <v>2</v>
      </c>
      <c r="D1462" s="437">
        <v>2</v>
      </c>
      <c r="E1462" s="414"/>
      <c r="F1462" s="486">
        <f>2.745-0.46</f>
        <v>2.2850000000000001</v>
      </c>
      <c r="G1462" s="486">
        <v>0.46</v>
      </c>
      <c r="H1462" s="486">
        <v>0.3</v>
      </c>
      <c r="I1462" s="399">
        <f t="shared" si="40"/>
        <v>0.63</v>
      </c>
      <c r="J1462" s="294"/>
      <c r="K1462" s="1259"/>
      <c r="L1462" s="431"/>
      <c r="M1462" s="431"/>
      <c r="N1462" s="431"/>
    </row>
    <row r="1463" spans="1:14" s="398" customFormat="1" hidden="1" outlineLevel="1">
      <c r="A1463" s="1221"/>
      <c r="B1463" s="425"/>
      <c r="C1463" s="165" t="s">
        <v>2</v>
      </c>
      <c r="D1463" s="437">
        <v>2</v>
      </c>
      <c r="E1463" s="414"/>
      <c r="F1463" s="486">
        <f>2.745-0.345</f>
        <v>2.4000000000000004</v>
      </c>
      <c r="G1463" s="486">
        <v>0.34499999999999997</v>
      </c>
      <c r="H1463" s="486">
        <v>0.3</v>
      </c>
      <c r="I1463" s="399">
        <f t="shared" si="40"/>
        <v>0.5</v>
      </c>
      <c r="J1463" s="294"/>
      <c r="K1463" s="1259"/>
      <c r="L1463" s="431"/>
      <c r="M1463" s="431"/>
      <c r="N1463" s="431"/>
    </row>
    <row r="1464" spans="1:14" s="398" customFormat="1" hidden="1" outlineLevel="1">
      <c r="A1464" s="1221"/>
      <c r="B1464" s="425"/>
      <c r="C1464" s="165" t="s">
        <v>2</v>
      </c>
      <c r="D1464" s="437">
        <v>2</v>
      </c>
      <c r="E1464" s="414"/>
      <c r="F1464" s="486">
        <f>2.745-0.23</f>
        <v>2.5150000000000001</v>
      </c>
      <c r="G1464" s="486">
        <v>0.23</v>
      </c>
      <c r="H1464" s="486">
        <v>0.19</v>
      </c>
      <c r="I1464" s="399">
        <f t="shared" si="40"/>
        <v>0.22</v>
      </c>
      <c r="J1464" s="294"/>
      <c r="K1464" s="1259"/>
      <c r="L1464" s="431"/>
      <c r="M1464" s="431"/>
      <c r="N1464" s="431"/>
    </row>
    <row r="1465" spans="1:14" s="398" customFormat="1" hidden="1" outlineLevel="1">
      <c r="A1465" s="1221"/>
      <c r="B1465" s="425"/>
      <c r="C1465" s="165" t="s">
        <v>2</v>
      </c>
      <c r="D1465" s="437">
        <v>4</v>
      </c>
      <c r="E1465" s="414"/>
      <c r="F1465" s="662">
        <v>1.21</v>
      </c>
      <c r="G1465" s="486">
        <v>0.46</v>
      </c>
      <c r="H1465" s="486">
        <v>0.3</v>
      </c>
      <c r="I1465" s="399">
        <f t="shared" si="40"/>
        <v>0.67</v>
      </c>
      <c r="J1465" s="294"/>
      <c r="K1465" s="1259"/>
      <c r="L1465" s="431"/>
      <c r="M1465" s="431"/>
      <c r="N1465" s="431"/>
    </row>
    <row r="1466" spans="1:14" s="398" customFormat="1" hidden="1" outlineLevel="1">
      <c r="A1466" s="1221"/>
      <c r="B1466" s="425"/>
      <c r="C1466" s="165" t="s">
        <v>2</v>
      </c>
      <c r="D1466" s="437">
        <v>4</v>
      </c>
      <c r="E1466" s="414"/>
      <c r="F1466" s="662">
        <v>1.44</v>
      </c>
      <c r="G1466" s="486">
        <v>0.34499999999999997</v>
      </c>
      <c r="H1466" s="486">
        <v>0.3</v>
      </c>
      <c r="I1466" s="399">
        <f t="shared" si="40"/>
        <v>0.6</v>
      </c>
      <c r="J1466" s="294"/>
      <c r="K1466" s="1259"/>
      <c r="L1466" s="431"/>
      <c r="M1466" s="431"/>
      <c r="N1466" s="431"/>
    </row>
    <row r="1467" spans="1:14" s="398" customFormat="1" hidden="1" outlineLevel="1">
      <c r="A1467" s="1221"/>
      <c r="B1467" s="425"/>
      <c r="C1467" s="165" t="s">
        <v>2</v>
      </c>
      <c r="D1467" s="437">
        <v>4</v>
      </c>
      <c r="E1467" s="414"/>
      <c r="F1467" s="662">
        <v>1.67</v>
      </c>
      <c r="G1467" s="486">
        <v>0.23</v>
      </c>
      <c r="H1467" s="486">
        <v>0.19</v>
      </c>
      <c r="I1467" s="399">
        <f t="shared" si="40"/>
        <v>0.28999999999999998</v>
      </c>
      <c r="J1467" s="294"/>
      <c r="K1467" s="1259"/>
      <c r="L1467" s="431"/>
      <c r="M1467" s="431"/>
      <c r="N1467" s="431"/>
    </row>
    <row r="1468" spans="1:14" s="398" customFormat="1" hidden="1" outlineLevel="1">
      <c r="A1468" s="1221"/>
      <c r="B1468" s="425" t="s">
        <v>140</v>
      </c>
      <c r="C1468" s="165" t="s">
        <v>2</v>
      </c>
      <c r="D1468" s="437"/>
      <c r="E1468" s="414"/>
      <c r="F1468" s="486"/>
      <c r="G1468" s="486"/>
      <c r="H1468" s="486"/>
      <c r="I1468" s="399" t="str">
        <f t="shared" si="40"/>
        <v/>
      </c>
      <c r="J1468" s="294"/>
      <c r="K1468" s="1259"/>
      <c r="L1468" s="431"/>
      <c r="M1468" s="431"/>
      <c r="N1468" s="431"/>
    </row>
    <row r="1469" spans="1:14" s="398" customFormat="1" hidden="1" outlineLevel="1">
      <c r="A1469" s="1221"/>
      <c r="B1469" s="425"/>
      <c r="C1469" s="165" t="s">
        <v>2</v>
      </c>
      <c r="D1469" s="437">
        <v>4</v>
      </c>
      <c r="E1469" s="414"/>
      <c r="F1469" s="486">
        <v>3</v>
      </c>
      <c r="G1469" s="486">
        <v>0.115</v>
      </c>
      <c r="H1469" s="486">
        <v>0.35499999999999998</v>
      </c>
      <c r="I1469" s="399">
        <f t="shared" si="40"/>
        <v>0.49</v>
      </c>
      <c r="J1469" s="294"/>
      <c r="K1469" s="1259"/>
      <c r="L1469" s="431"/>
      <c r="M1469" s="431"/>
      <c r="N1469" s="431"/>
    </row>
    <row r="1470" spans="1:14" s="398" customFormat="1" hidden="1" outlineLevel="1">
      <c r="A1470" s="1221"/>
      <c r="B1470" s="425"/>
      <c r="C1470" s="165" t="s">
        <v>2</v>
      </c>
      <c r="D1470" s="437">
        <v>4</v>
      </c>
      <c r="E1470" s="414"/>
      <c r="F1470" s="486">
        <v>3</v>
      </c>
      <c r="G1470" s="486">
        <v>0.3</v>
      </c>
      <c r="H1470" s="486">
        <v>0.22500000000000001</v>
      </c>
      <c r="I1470" s="399">
        <f t="shared" si="40"/>
        <v>0.81</v>
      </c>
      <c r="J1470" s="294"/>
      <c r="K1470" s="1259"/>
      <c r="L1470" s="431"/>
      <c r="M1470" s="431"/>
      <c r="N1470" s="431"/>
    </row>
    <row r="1471" spans="1:14" s="398" customFormat="1" ht="34.5" hidden="1" outlineLevel="1">
      <c r="A1471" s="1221"/>
      <c r="B1471" s="425" t="s">
        <v>111</v>
      </c>
      <c r="C1471" s="165" t="s">
        <v>2</v>
      </c>
      <c r="D1471" s="437"/>
      <c r="E1471" s="414"/>
      <c r="F1471" s="486"/>
      <c r="G1471" s="486"/>
      <c r="H1471" s="486"/>
      <c r="I1471" s="399" t="str">
        <f t="shared" si="40"/>
        <v/>
      </c>
      <c r="J1471" s="294"/>
      <c r="K1471" s="1259"/>
      <c r="L1471" s="431"/>
      <c r="M1471" s="431"/>
      <c r="N1471" s="431"/>
    </row>
    <row r="1472" spans="1:14" s="398" customFormat="1" hidden="1" outlineLevel="1">
      <c r="A1472" s="1221"/>
      <c r="B1472" s="425" t="s">
        <v>114</v>
      </c>
      <c r="C1472" s="165" t="s">
        <v>2</v>
      </c>
      <c r="D1472" s="437">
        <v>1</v>
      </c>
      <c r="E1472" s="414"/>
      <c r="F1472" s="486">
        <f>0.2+6+1.8+0.46*2</f>
        <v>8.92</v>
      </c>
      <c r="G1472" s="486">
        <v>0.46</v>
      </c>
      <c r="H1472" s="486">
        <v>0.3</v>
      </c>
      <c r="I1472" s="399">
        <f t="shared" si="40"/>
        <v>1.23</v>
      </c>
      <c r="J1472" s="294"/>
      <c r="K1472" s="1259"/>
      <c r="L1472" s="431"/>
      <c r="M1472" s="431"/>
      <c r="N1472" s="431"/>
    </row>
    <row r="1473" spans="1:14" s="398" customFormat="1" hidden="1" outlineLevel="1">
      <c r="A1473" s="1221"/>
      <c r="B1473" s="425"/>
      <c r="C1473" s="165" t="s">
        <v>2</v>
      </c>
      <c r="D1473" s="437">
        <v>1</v>
      </c>
      <c r="E1473" s="414"/>
      <c r="F1473" s="486">
        <f>0.2+6+1.8+0.345*2</f>
        <v>8.69</v>
      </c>
      <c r="G1473" s="486">
        <v>0.34499999999999997</v>
      </c>
      <c r="H1473" s="486">
        <v>0.3</v>
      </c>
      <c r="I1473" s="399">
        <f t="shared" si="40"/>
        <v>0.9</v>
      </c>
      <c r="J1473" s="294"/>
      <c r="K1473" s="1259"/>
      <c r="L1473" s="431"/>
      <c r="M1473" s="431"/>
      <c r="N1473" s="431"/>
    </row>
    <row r="1474" spans="1:14" s="398" customFormat="1" hidden="1" outlineLevel="1">
      <c r="A1474" s="1221"/>
      <c r="B1474" s="425"/>
      <c r="C1474" s="165" t="s">
        <v>2</v>
      </c>
      <c r="D1474" s="437">
        <v>1</v>
      </c>
      <c r="E1474" s="414"/>
      <c r="F1474" s="486">
        <f>0.2+6+1.8+0.23*2</f>
        <v>8.4600000000000009</v>
      </c>
      <c r="G1474" s="486">
        <v>0.23</v>
      </c>
      <c r="H1474" s="486">
        <v>0.19</v>
      </c>
      <c r="I1474" s="399">
        <f t="shared" si="40"/>
        <v>0.37</v>
      </c>
      <c r="J1474" s="294"/>
      <c r="K1474" s="1259"/>
      <c r="L1474" s="431"/>
      <c r="M1474" s="431"/>
      <c r="N1474" s="431"/>
    </row>
    <row r="1475" spans="1:14" s="398" customFormat="1" hidden="1" outlineLevel="1">
      <c r="A1475" s="1221"/>
      <c r="B1475" s="425"/>
      <c r="C1475" s="165" t="s">
        <v>2</v>
      </c>
      <c r="D1475" s="437">
        <v>1</v>
      </c>
      <c r="E1475" s="414"/>
      <c r="F1475" s="486">
        <f>0.2+6+0.46*1</f>
        <v>6.66</v>
      </c>
      <c r="G1475" s="486">
        <v>0.46</v>
      </c>
      <c r="H1475" s="486">
        <v>0.3</v>
      </c>
      <c r="I1475" s="399">
        <f t="shared" si="40"/>
        <v>0.92</v>
      </c>
      <c r="J1475" s="294"/>
      <c r="K1475" s="1259"/>
      <c r="L1475" s="431"/>
      <c r="M1475" s="431"/>
      <c r="N1475" s="431"/>
    </row>
    <row r="1476" spans="1:14" s="398" customFormat="1" hidden="1" outlineLevel="1">
      <c r="A1476" s="1221"/>
      <c r="B1476" s="425"/>
      <c r="C1476" s="165" t="s">
        <v>2</v>
      </c>
      <c r="D1476" s="437">
        <v>1</v>
      </c>
      <c r="E1476" s="414"/>
      <c r="F1476" s="486">
        <f>0.2+6+0.345*1</f>
        <v>6.5449999999999999</v>
      </c>
      <c r="G1476" s="486">
        <v>0.34499999999999997</v>
      </c>
      <c r="H1476" s="486">
        <v>0.3</v>
      </c>
      <c r="I1476" s="399">
        <f t="shared" si="40"/>
        <v>0.68</v>
      </c>
      <c r="J1476" s="294"/>
      <c r="K1476" s="1259"/>
      <c r="L1476" s="431"/>
      <c r="M1476" s="431"/>
      <c r="N1476" s="431"/>
    </row>
    <row r="1477" spans="1:14" s="398" customFormat="1" hidden="1" outlineLevel="1">
      <c r="A1477" s="1221"/>
      <c r="B1477" s="425"/>
      <c r="C1477" s="165" t="s">
        <v>2</v>
      </c>
      <c r="D1477" s="437">
        <v>1</v>
      </c>
      <c r="E1477" s="414"/>
      <c r="F1477" s="486">
        <f>0.2+6+0.23*1</f>
        <v>6.4300000000000006</v>
      </c>
      <c r="G1477" s="486">
        <v>0.23</v>
      </c>
      <c r="H1477" s="486">
        <v>0.19</v>
      </c>
      <c r="I1477" s="399">
        <f t="shared" si="40"/>
        <v>0.28000000000000003</v>
      </c>
      <c r="J1477" s="294"/>
      <c r="K1477" s="1259"/>
      <c r="L1477" s="431"/>
      <c r="M1477" s="431"/>
      <c r="N1477" s="431"/>
    </row>
    <row r="1478" spans="1:14" s="398" customFormat="1" hidden="1" outlineLevel="1">
      <c r="A1478" s="1221"/>
      <c r="B1478" s="425"/>
      <c r="C1478" s="165" t="s">
        <v>2</v>
      </c>
      <c r="D1478" s="437">
        <v>2</v>
      </c>
      <c r="E1478" s="414"/>
      <c r="F1478" s="486">
        <f>3.2+3+0.46*2</f>
        <v>7.12</v>
      </c>
      <c r="G1478" s="486">
        <v>0.46</v>
      </c>
      <c r="H1478" s="486">
        <v>0.3</v>
      </c>
      <c r="I1478" s="399">
        <f t="shared" si="40"/>
        <v>1.97</v>
      </c>
      <c r="J1478" s="294"/>
      <c r="K1478" s="1259"/>
      <c r="L1478" s="431"/>
      <c r="M1478" s="431"/>
      <c r="N1478" s="431"/>
    </row>
    <row r="1479" spans="1:14" s="398" customFormat="1" hidden="1" outlineLevel="1">
      <c r="A1479" s="1221"/>
      <c r="B1479" s="425"/>
      <c r="C1479" s="165" t="s">
        <v>2</v>
      </c>
      <c r="D1479" s="437">
        <v>2</v>
      </c>
      <c r="E1479" s="414"/>
      <c r="F1479" s="486">
        <f>3.2+3+0.345*2</f>
        <v>6.8900000000000006</v>
      </c>
      <c r="G1479" s="486">
        <v>0.34499999999999997</v>
      </c>
      <c r="H1479" s="486">
        <v>0.3</v>
      </c>
      <c r="I1479" s="399">
        <f t="shared" si="40"/>
        <v>1.43</v>
      </c>
      <c r="J1479" s="294"/>
      <c r="K1479" s="1259"/>
      <c r="L1479" s="431"/>
      <c r="M1479" s="431"/>
      <c r="N1479" s="431"/>
    </row>
    <row r="1480" spans="1:14" s="398" customFormat="1" hidden="1" outlineLevel="1">
      <c r="A1480" s="1221"/>
      <c r="B1480" s="425"/>
      <c r="C1480" s="165" t="s">
        <v>2</v>
      </c>
      <c r="D1480" s="437">
        <v>2</v>
      </c>
      <c r="E1480" s="414"/>
      <c r="F1480" s="486">
        <f>3.2+3+0.23*2</f>
        <v>6.66</v>
      </c>
      <c r="G1480" s="486">
        <v>0.23</v>
      </c>
      <c r="H1480" s="486">
        <v>0.19</v>
      </c>
      <c r="I1480" s="399">
        <f t="shared" si="40"/>
        <v>0.57999999999999996</v>
      </c>
      <c r="J1480" s="294"/>
      <c r="K1480" s="1259"/>
      <c r="L1480" s="431"/>
      <c r="M1480" s="431"/>
      <c r="N1480" s="431"/>
    </row>
    <row r="1481" spans="1:14" s="398" customFormat="1" hidden="1" outlineLevel="1">
      <c r="A1481" s="1221"/>
      <c r="B1481" s="425"/>
      <c r="C1481" s="165" t="s">
        <v>2</v>
      </c>
      <c r="D1481" s="437">
        <v>2</v>
      </c>
      <c r="E1481" s="414"/>
      <c r="F1481" s="486">
        <f>6+1.2+0.46*2</f>
        <v>8.120000000000001</v>
      </c>
      <c r="G1481" s="486">
        <v>0.46</v>
      </c>
      <c r="H1481" s="486">
        <v>0.3</v>
      </c>
      <c r="I1481" s="399">
        <f t="shared" si="40"/>
        <v>2.2400000000000002</v>
      </c>
      <c r="J1481" s="294"/>
      <c r="K1481" s="1259"/>
      <c r="L1481" s="431"/>
      <c r="M1481" s="431"/>
      <c r="N1481" s="431"/>
    </row>
    <row r="1482" spans="1:14" s="398" customFormat="1" hidden="1" outlineLevel="1">
      <c r="A1482" s="1221"/>
      <c r="B1482" s="425"/>
      <c r="C1482" s="165" t="s">
        <v>2</v>
      </c>
      <c r="D1482" s="437">
        <v>2</v>
      </c>
      <c r="E1482" s="414"/>
      <c r="F1482" s="486">
        <f>6+1.2+0.345*2</f>
        <v>7.8900000000000006</v>
      </c>
      <c r="G1482" s="486">
        <v>0.34499999999999997</v>
      </c>
      <c r="H1482" s="486">
        <v>0.3</v>
      </c>
      <c r="I1482" s="399">
        <f t="shared" si="40"/>
        <v>1.63</v>
      </c>
      <c r="J1482" s="294"/>
      <c r="K1482" s="1259"/>
      <c r="L1482" s="431"/>
      <c r="M1482" s="431"/>
      <c r="N1482" s="431"/>
    </row>
    <row r="1483" spans="1:14" s="398" customFormat="1" hidden="1" outlineLevel="1">
      <c r="A1483" s="1221"/>
      <c r="B1483" s="425"/>
      <c r="C1483" s="165" t="s">
        <v>2</v>
      </c>
      <c r="D1483" s="437">
        <v>2</v>
      </c>
      <c r="E1483" s="414"/>
      <c r="F1483" s="486">
        <f>6+1.2+0.23*2</f>
        <v>7.66</v>
      </c>
      <c r="G1483" s="486">
        <v>0.23</v>
      </c>
      <c r="H1483" s="486">
        <v>0.19</v>
      </c>
      <c r="I1483" s="399">
        <f t="shared" si="40"/>
        <v>0.67</v>
      </c>
      <c r="J1483" s="294"/>
      <c r="K1483" s="1259"/>
      <c r="L1483" s="431"/>
      <c r="M1483" s="431"/>
      <c r="N1483" s="431"/>
    </row>
    <row r="1484" spans="1:14" s="398" customFormat="1" hidden="1" outlineLevel="1">
      <c r="A1484" s="1221"/>
      <c r="B1484" s="425"/>
      <c r="C1484" s="165" t="s">
        <v>2</v>
      </c>
      <c r="D1484" s="437">
        <v>1</v>
      </c>
      <c r="E1484" s="414"/>
      <c r="F1484" s="486">
        <f>8+0.46</f>
        <v>8.4600000000000009</v>
      </c>
      <c r="G1484" s="486">
        <v>0.46</v>
      </c>
      <c r="H1484" s="486">
        <v>0.3</v>
      </c>
      <c r="I1484" s="399">
        <f t="shared" si="40"/>
        <v>1.17</v>
      </c>
      <c r="J1484" s="294"/>
      <c r="K1484" s="1259"/>
      <c r="L1484" s="431"/>
      <c r="M1484" s="431"/>
      <c r="N1484" s="431"/>
    </row>
    <row r="1485" spans="1:14" s="398" customFormat="1" hidden="1" outlineLevel="1">
      <c r="A1485" s="1221"/>
      <c r="B1485" s="425"/>
      <c r="C1485" s="165" t="s">
        <v>2</v>
      </c>
      <c r="D1485" s="437">
        <v>1</v>
      </c>
      <c r="E1485" s="414"/>
      <c r="F1485" s="486">
        <f>8+0.345</f>
        <v>8.3450000000000006</v>
      </c>
      <c r="G1485" s="486">
        <v>0.34499999999999997</v>
      </c>
      <c r="H1485" s="486">
        <v>0.3</v>
      </c>
      <c r="I1485" s="399">
        <f t="shared" si="40"/>
        <v>0.86</v>
      </c>
      <c r="J1485" s="294"/>
      <c r="K1485" s="1259"/>
      <c r="L1485" s="431"/>
      <c r="M1485" s="431"/>
      <c r="N1485" s="431"/>
    </row>
    <row r="1486" spans="1:14" s="398" customFormat="1" hidden="1" outlineLevel="1">
      <c r="A1486" s="1221"/>
      <c r="B1486" s="425"/>
      <c r="C1486" s="165" t="s">
        <v>2</v>
      </c>
      <c r="D1486" s="437">
        <v>1</v>
      </c>
      <c r="E1486" s="414"/>
      <c r="F1486" s="486">
        <f>8+0.23</f>
        <v>8.23</v>
      </c>
      <c r="G1486" s="486">
        <v>0.23</v>
      </c>
      <c r="H1486" s="486">
        <v>0.19</v>
      </c>
      <c r="I1486" s="399">
        <f t="shared" si="40"/>
        <v>0.36</v>
      </c>
      <c r="J1486" s="294"/>
      <c r="K1486" s="1259"/>
      <c r="L1486" s="431"/>
      <c r="M1486" s="431"/>
      <c r="N1486" s="431"/>
    </row>
    <row r="1487" spans="1:14" s="398" customFormat="1" hidden="1" outlineLevel="1">
      <c r="A1487" s="1221"/>
      <c r="B1487" s="425"/>
      <c r="C1487" s="165" t="s">
        <v>2</v>
      </c>
      <c r="D1487" s="437">
        <v>1</v>
      </c>
      <c r="E1487" s="414"/>
      <c r="F1487" s="486">
        <f>7.8+2+0.46*2</f>
        <v>10.72</v>
      </c>
      <c r="G1487" s="486">
        <v>0.46</v>
      </c>
      <c r="H1487" s="486">
        <v>0.3</v>
      </c>
      <c r="I1487" s="399">
        <f t="shared" si="40"/>
        <v>1.48</v>
      </c>
      <c r="J1487" s="294"/>
      <c r="K1487" s="1259"/>
      <c r="L1487" s="431"/>
      <c r="M1487" s="431"/>
      <c r="N1487" s="431"/>
    </row>
    <row r="1488" spans="1:14" s="398" customFormat="1" hidden="1" outlineLevel="1">
      <c r="A1488" s="1221"/>
      <c r="B1488" s="425"/>
      <c r="C1488" s="165" t="s">
        <v>2</v>
      </c>
      <c r="D1488" s="437">
        <v>1</v>
      </c>
      <c r="E1488" s="414"/>
      <c r="F1488" s="486">
        <f>7.8+2+0.345*2</f>
        <v>10.49</v>
      </c>
      <c r="G1488" s="486">
        <v>0.34499999999999997</v>
      </c>
      <c r="H1488" s="486">
        <v>0.3</v>
      </c>
      <c r="I1488" s="399">
        <f t="shared" si="40"/>
        <v>1.0900000000000001</v>
      </c>
      <c r="J1488" s="294"/>
      <c r="K1488" s="1259"/>
      <c r="L1488" s="431"/>
      <c r="M1488" s="431"/>
      <c r="N1488" s="431"/>
    </row>
    <row r="1489" spans="1:14" s="398" customFormat="1" hidden="1" outlineLevel="1">
      <c r="A1489" s="1221"/>
      <c r="B1489" s="425"/>
      <c r="C1489" s="165" t="s">
        <v>2</v>
      </c>
      <c r="D1489" s="437">
        <v>1</v>
      </c>
      <c r="E1489" s="414"/>
      <c r="F1489" s="486">
        <f>7.8+2+0.23*2</f>
        <v>10.260000000000002</v>
      </c>
      <c r="G1489" s="486">
        <v>0.23</v>
      </c>
      <c r="H1489" s="486">
        <v>0.19</v>
      </c>
      <c r="I1489" s="399">
        <f t="shared" si="40"/>
        <v>0.45</v>
      </c>
      <c r="J1489" s="294"/>
      <c r="K1489" s="1259"/>
      <c r="L1489" s="431"/>
      <c r="M1489" s="431"/>
      <c r="N1489" s="431"/>
    </row>
    <row r="1490" spans="1:14" s="398" customFormat="1" ht="34.5" hidden="1" outlineLevel="1">
      <c r="A1490" s="1221"/>
      <c r="B1490" s="425" t="s">
        <v>113</v>
      </c>
      <c r="C1490" s="165" t="s">
        <v>2</v>
      </c>
      <c r="D1490" s="437"/>
      <c r="E1490" s="414"/>
      <c r="F1490" s="486"/>
      <c r="G1490" s="486"/>
      <c r="H1490" s="486"/>
      <c r="I1490" s="399" t="str">
        <f t="shared" si="40"/>
        <v/>
      </c>
      <c r="J1490" s="294"/>
      <c r="K1490" s="1259"/>
      <c r="L1490" s="431"/>
      <c r="M1490" s="431"/>
      <c r="N1490" s="431"/>
    </row>
    <row r="1491" spans="1:14" s="398" customFormat="1" hidden="1" outlineLevel="1">
      <c r="A1491" s="1221"/>
      <c r="B1491" s="425" t="s">
        <v>114</v>
      </c>
      <c r="C1491" s="165" t="s">
        <v>2</v>
      </c>
      <c r="D1491" s="437">
        <v>6</v>
      </c>
      <c r="E1491" s="414"/>
      <c r="F1491" s="486">
        <v>0.61499999999999999</v>
      </c>
      <c r="G1491" s="486">
        <v>0.46</v>
      </c>
      <c r="H1491" s="486">
        <v>0.3</v>
      </c>
      <c r="I1491" s="399">
        <f t="shared" si="40"/>
        <v>0.51</v>
      </c>
      <c r="J1491" s="294"/>
      <c r="K1491" s="1259"/>
      <c r="L1491" s="431"/>
      <c r="M1491" s="431"/>
      <c r="N1491" s="431"/>
    </row>
    <row r="1492" spans="1:14" s="398" customFormat="1" hidden="1" outlineLevel="1">
      <c r="A1492" s="1221"/>
      <c r="B1492" s="425"/>
      <c r="C1492" s="165" t="s">
        <v>2</v>
      </c>
      <c r="D1492" s="437">
        <v>6</v>
      </c>
      <c r="E1492" s="414"/>
      <c r="F1492" s="486">
        <v>0.61499999999999999</v>
      </c>
      <c r="G1492" s="486">
        <v>0.34499999999999997</v>
      </c>
      <c r="H1492" s="486">
        <v>0.3</v>
      </c>
      <c r="I1492" s="399">
        <f t="shared" si="40"/>
        <v>0.38</v>
      </c>
      <c r="J1492" s="294"/>
      <c r="K1492" s="1259"/>
      <c r="L1492" s="431"/>
      <c r="M1492" s="431"/>
      <c r="N1492" s="431"/>
    </row>
    <row r="1493" spans="1:14" s="398" customFormat="1" hidden="1" outlineLevel="1">
      <c r="A1493" s="1221"/>
      <c r="B1493" s="425"/>
      <c r="C1493" s="165" t="s">
        <v>2</v>
      </c>
      <c r="D1493" s="437">
        <v>6</v>
      </c>
      <c r="E1493" s="414"/>
      <c r="F1493" s="486">
        <v>0.61499999999999999</v>
      </c>
      <c r="G1493" s="486">
        <v>0.23</v>
      </c>
      <c r="H1493" s="486">
        <v>0.19</v>
      </c>
      <c r="I1493" s="399">
        <f t="shared" si="40"/>
        <v>0.16</v>
      </c>
      <c r="J1493" s="294"/>
      <c r="K1493" s="1259"/>
      <c r="L1493" s="431"/>
      <c r="M1493" s="431"/>
      <c r="N1493" s="431"/>
    </row>
    <row r="1494" spans="1:14" s="398" customFormat="1" hidden="1" outlineLevel="1">
      <c r="A1494" s="1221"/>
      <c r="B1494" s="425"/>
      <c r="C1494" s="165" t="s">
        <v>2</v>
      </c>
      <c r="D1494" s="437">
        <v>2</v>
      </c>
      <c r="E1494" s="414"/>
      <c r="F1494" s="486">
        <f>2.745-0.46</f>
        <v>2.2850000000000001</v>
      </c>
      <c r="G1494" s="486">
        <v>0.46</v>
      </c>
      <c r="H1494" s="486">
        <v>0.3</v>
      </c>
      <c r="I1494" s="399">
        <f t="shared" si="40"/>
        <v>0.63</v>
      </c>
      <c r="J1494" s="294"/>
      <c r="K1494" s="1259"/>
      <c r="L1494" s="431"/>
      <c r="M1494" s="431"/>
      <c r="N1494" s="431"/>
    </row>
    <row r="1495" spans="1:14" s="398" customFormat="1" hidden="1" outlineLevel="1">
      <c r="A1495" s="1221"/>
      <c r="B1495" s="425"/>
      <c r="C1495" s="165" t="s">
        <v>2</v>
      </c>
      <c r="D1495" s="437">
        <v>2</v>
      </c>
      <c r="E1495" s="414"/>
      <c r="F1495" s="486">
        <f>2.745-0.345</f>
        <v>2.4000000000000004</v>
      </c>
      <c r="G1495" s="486">
        <v>0.34499999999999997</v>
      </c>
      <c r="H1495" s="486">
        <v>0.3</v>
      </c>
      <c r="I1495" s="399">
        <f t="shared" si="40"/>
        <v>0.5</v>
      </c>
      <c r="J1495" s="294"/>
      <c r="K1495" s="1259"/>
      <c r="L1495" s="431"/>
      <c r="M1495" s="431"/>
      <c r="N1495" s="431"/>
    </row>
    <row r="1496" spans="1:14" s="398" customFormat="1" hidden="1" outlineLevel="1">
      <c r="A1496" s="1221"/>
      <c r="B1496" s="425"/>
      <c r="C1496" s="165" t="s">
        <v>2</v>
      </c>
      <c r="D1496" s="437">
        <v>2</v>
      </c>
      <c r="E1496" s="414"/>
      <c r="F1496" s="486">
        <f>2.745-0.23</f>
        <v>2.5150000000000001</v>
      </c>
      <c r="G1496" s="486">
        <v>0.23</v>
      </c>
      <c r="H1496" s="486">
        <v>0.19</v>
      </c>
      <c r="I1496" s="399">
        <f t="shared" ref="I1496:I1559" si="41">IF(D1496&lt;&gt;0,ROUND(PRODUCT(E1496:H1496)*D1496,2),"")</f>
        <v>0.22</v>
      </c>
      <c r="J1496" s="294"/>
      <c r="K1496" s="1259"/>
      <c r="L1496" s="431"/>
      <c r="M1496" s="431"/>
      <c r="N1496" s="431"/>
    </row>
    <row r="1497" spans="1:14" s="398" customFormat="1" hidden="1" outlineLevel="1">
      <c r="A1497" s="1221"/>
      <c r="B1497" s="425"/>
      <c r="C1497" s="165" t="s">
        <v>2</v>
      </c>
      <c r="D1497" s="437">
        <v>4</v>
      </c>
      <c r="E1497" s="414"/>
      <c r="F1497" s="486">
        <f>2.13-0.46*2</f>
        <v>1.21</v>
      </c>
      <c r="G1497" s="486">
        <v>0.46</v>
      </c>
      <c r="H1497" s="486">
        <v>0.3</v>
      </c>
      <c r="I1497" s="399">
        <f t="shared" si="41"/>
        <v>0.67</v>
      </c>
      <c r="J1497" s="294"/>
      <c r="K1497" s="1259"/>
      <c r="L1497" s="431"/>
      <c r="M1497" s="431"/>
      <c r="N1497" s="431"/>
    </row>
    <row r="1498" spans="1:14" s="398" customFormat="1" hidden="1" outlineLevel="1">
      <c r="A1498" s="1221"/>
      <c r="B1498" s="425"/>
      <c r="C1498" s="165" t="s">
        <v>2</v>
      </c>
      <c r="D1498" s="437">
        <v>4</v>
      </c>
      <c r="E1498" s="414"/>
      <c r="F1498" s="486">
        <f>2.13-0.345*2</f>
        <v>1.44</v>
      </c>
      <c r="G1498" s="486">
        <v>0.34499999999999997</v>
      </c>
      <c r="H1498" s="486">
        <v>0.3</v>
      </c>
      <c r="I1498" s="399">
        <f t="shared" si="41"/>
        <v>0.6</v>
      </c>
      <c r="J1498" s="294"/>
      <c r="K1498" s="1259"/>
      <c r="L1498" s="431"/>
      <c r="M1498" s="431"/>
      <c r="N1498" s="431"/>
    </row>
    <row r="1499" spans="1:14" s="398" customFormat="1" hidden="1" outlineLevel="1">
      <c r="A1499" s="1221"/>
      <c r="B1499" s="425"/>
      <c r="C1499" s="165" t="s">
        <v>2</v>
      </c>
      <c r="D1499" s="437">
        <v>4</v>
      </c>
      <c r="E1499" s="414"/>
      <c r="F1499" s="486">
        <f>2.13-0.23*2</f>
        <v>1.67</v>
      </c>
      <c r="G1499" s="486">
        <v>0.23</v>
      </c>
      <c r="H1499" s="486">
        <v>0.19</v>
      </c>
      <c r="I1499" s="399">
        <f t="shared" si="41"/>
        <v>0.28999999999999998</v>
      </c>
      <c r="J1499" s="294"/>
      <c r="K1499" s="1259"/>
      <c r="L1499" s="431"/>
      <c r="M1499" s="431"/>
      <c r="N1499" s="431"/>
    </row>
    <row r="1500" spans="1:14" s="398" customFormat="1" hidden="1" outlineLevel="1">
      <c r="A1500" s="1221"/>
      <c r="B1500" s="425" t="s">
        <v>140</v>
      </c>
      <c r="C1500" s="165" t="s">
        <v>2</v>
      </c>
      <c r="D1500" s="437"/>
      <c r="E1500" s="414"/>
      <c r="F1500" s="486"/>
      <c r="G1500" s="486"/>
      <c r="H1500" s="486"/>
      <c r="I1500" s="399" t="str">
        <f t="shared" si="41"/>
        <v/>
      </c>
      <c r="J1500" s="294"/>
      <c r="K1500" s="1259"/>
      <c r="L1500" s="431"/>
      <c r="M1500" s="431"/>
      <c r="N1500" s="431"/>
    </row>
    <row r="1501" spans="1:14" s="398" customFormat="1" hidden="1" outlineLevel="1">
      <c r="A1501" s="1221"/>
      <c r="B1501" s="425"/>
      <c r="C1501" s="165" t="s">
        <v>2</v>
      </c>
      <c r="D1501" s="437">
        <v>4</v>
      </c>
      <c r="E1501" s="414"/>
      <c r="F1501" s="486">
        <v>3</v>
      </c>
      <c r="G1501" s="486">
        <v>0.115</v>
      </c>
      <c r="H1501" s="486">
        <v>0.35499999999999998</v>
      </c>
      <c r="I1501" s="399">
        <f t="shared" si="41"/>
        <v>0.49</v>
      </c>
      <c r="J1501" s="294"/>
      <c r="K1501" s="1259"/>
      <c r="L1501" s="431"/>
      <c r="M1501" s="431"/>
      <c r="N1501" s="431"/>
    </row>
    <row r="1502" spans="1:14" s="398" customFormat="1" hidden="1" outlineLevel="1">
      <c r="A1502" s="1221"/>
      <c r="B1502" s="425"/>
      <c r="C1502" s="165" t="s">
        <v>2</v>
      </c>
      <c r="D1502" s="437">
        <v>4</v>
      </c>
      <c r="E1502" s="414"/>
      <c r="F1502" s="486">
        <v>3</v>
      </c>
      <c r="G1502" s="486">
        <v>0.3</v>
      </c>
      <c r="H1502" s="486">
        <v>0.22500000000000001</v>
      </c>
      <c r="I1502" s="399">
        <f t="shared" si="41"/>
        <v>0.81</v>
      </c>
      <c r="J1502" s="294"/>
      <c r="K1502" s="1259"/>
      <c r="L1502" s="431"/>
      <c r="M1502" s="431"/>
      <c r="N1502" s="431"/>
    </row>
    <row r="1503" spans="1:14" s="398" customFormat="1" ht="34.5" hidden="1" outlineLevel="1">
      <c r="A1503" s="1221"/>
      <c r="B1503" s="425" t="s">
        <v>111</v>
      </c>
      <c r="C1503" s="165" t="s">
        <v>2</v>
      </c>
      <c r="D1503" s="437">
        <v>1</v>
      </c>
      <c r="E1503" s="414"/>
      <c r="F1503" s="486">
        <f>6.78+0.46*2</f>
        <v>7.7</v>
      </c>
      <c r="G1503" s="486">
        <v>0.46</v>
      </c>
      <c r="H1503" s="486">
        <v>0.3</v>
      </c>
      <c r="I1503" s="399">
        <f t="shared" si="41"/>
        <v>1.06</v>
      </c>
      <c r="J1503" s="294"/>
      <c r="K1503" s="1259"/>
      <c r="L1503" s="431"/>
      <c r="M1503" s="431"/>
      <c r="N1503" s="431"/>
    </row>
    <row r="1504" spans="1:14" s="398" customFormat="1" hidden="1" outlineLevel="1">
      <c r="A1504" s="1221"/>
      <c r="B1504" s="425" t="s">
        <v>116</v>
      </c>
      <c r="C1504" s="165" t="s">
        <v>2</v>
      </c>
      <c r="D1504" s="437">
        <v>1</v>
      </c>
      <c r="E1504" s="414"/>
      <c r="F1504" s="486">
        <f>6.78+0.345*2</f>
        <v>7.4700000000000006</v>
      </c>
      <c r="G1504" s="486">
        <v>0.34499999999999997</v>
      </c>
      <c r="H1504" s="486">
        <v>0.3</v>
      </c>
      <c r="I1504" s="399">
        <f t="shared" si="41"/>
        <v>0.77</v>
      </c>
      <c r="J1504" s="294"/>
      <c r="K1504" s="1259"/>
      <c r="L1504" s="431"/>
      <c r="M1504" s="431"/>
      <c r="N1504" s="431"/>
    </row>
    <row r="1505" spans="1:14" s="398" customFormat="1" hidden="1" outlineLevel="1">
      <c r="A1505" s="1221"/>
      <c r="B1505" s="425"/>
      <c r="C1505" s="165" t="s">
        <v>2</v>
      </c>
      <c r="D1505" s="437">
        <v>1</v>
      </c>
      <c r="E1505" s="414"/>
      <c r="F1505" s="486">
        <f>6.78+0.23*2</f>
        <v>7.24</v>
      </c>
      <c r="G1505" s="486">
        <v>0.23</v>
      </c>
      <c r="H1505" s="486">
        <v>0.19</v>
      </c>
      <c r="I1505" s="399">
        <f t="shared" si="41"/>
        <v>0.32</v>
      </c>
      <c r="J1505" s="294"/>
      <c r="K1505" s="1259"/>
      <c r="L1505" s="431"/>
      <c r="M1505" s="431"/>
      <c r="N1505" s="431"/>
    </row>
    <row r="1506" spans="1:14" s="398" customFormat="1" hidden="1" outlineLevel="1">
      <c r="A1506" s="1221"/>
      <c r="B1506" s="425"/>
      <c r="C1506" s="165" t="s">
        <v>2</v>
      </c>
      <c r="D1506" s="437">
        <v>1</v>
      </c>
      <c r="E1506" s="414"/>
      <c r="F1506" s="486">
        <f>5+0.46</f>
        <v>5.46</v>
      </c>
      <c r="G1506" s="486">
        <v>0.46</v>
      </c>
      <c r="H1506" s="486">
        <v>0.3</v>
      </c>
      <c r="I1506" s="399">
        <f t="shared" si="41"/>
        <v>0.75</v>
      </c>
      <c r="J1506" s="294"/>
      <c r="K1506" s="1259"/>
      <c r="L1506" s="431"/>
      <c r="M1506" s="431"/>
      <c r="N1506" s="431"/>
    </row>
    <row r="1507" spans="1:14" s="398" customFormat="1" hidden="1" outlineLevel="1">
      <c r="A1507" s="1221"/>
      <c r="B1507" s="425"/>
      <c r="C1507" s="165" t="s">
        <v>2</v>
      </c>
      <c r="D1507" s="437">
        <v>1</v>
      </c>
      <c r="E1507" s="414"/>
      <c r="F1507" s="486">
        <f>5+0.345</f>
        <v>5.3449999999999998</v>
      </c>
      <c r="G1507" s="486">
        <v>0.34499999999999997</v>
      </c>
      <c r="H1507" s="486">
        <v>0.3</v>
      </c>
      <c r="I1507" s="399">
        <f t="shared" si="41"/>
        <v>0.55000000000000004</v>
      </c>
      <c r="J1507" s="294"/>
      <c r="K1507" s="1259"/>
      <c r="L1507" s="431"/>
      <c r="M1507" s="431"/>
      <c r="N1507" s="431"/>
    </row>
    <row r="1508" spans="1:14" s="398" customFormat="1" hidden="1" outlineLevel="1">
      <c r="A1508" s="1221"/>
      <c r="B1508" s="425"/>
      <c r="C1508" s="165" t="s">
        <v>2</v>
      </c>
      <c r="D1508" s="437">
        <v>1</v>
      </c>
      <c r="E1508" s="414"/>
      <c r="F1508" s="486">
        <f>5+0.23</f>
        <v>5.23</v>
      </c>
      <c r="G1508" s="486">
        <v>0.23</v>
      </c>
      <c r="H1508" s="486">
        <v>0.19</v>
      </c>
      <c r="I1508" s="399">
        <f t="shared" si="41"/>
        <v>0.23</v>
      </c>
      <c r="J1508" s="294"/>
      <c r="K1508" s="1259"/>
      <c r="L1508" s="431"/>
      <c r="M1508" s="431"/>
      <c r="N1508" s="431"/>
    </row>
    <row r="1509" spans="1:14" s="398" customFormat="1" hidden="1" outlineLevel="1">
      <c r="A1509" s="1221"/>
      <c r="B1509" s="425"/>
      <c r="C1509" s="165" t="s">
        <v>2</v>
      </c>
      <c r="D1509" s="437">
        <v>1</v>
      </c>
      <c r="E1509" s="414"/>
      <c r="F1509" s="486">
        <f>1+3+0.46*1</f>
        <v>4.46</v>
      </c>
      <c r="G1509" s="486">
        <v>0.46</v>
      </c>
      <c r="H1509" s="486">
        <v>0.3</v>
      </c>
      <c r="I1509" s="399">
        <f t="shared" si="41"/>
        <v>0.62</v>
      </c>
      <c r="J1509" s="294"/>
      <c r="K1509" s="1259"/>
      <c r="L1509" s="431"/>
      <c r="M1509" s="431"/>
      <c r="N1509" s="431"/>
    </row>
    <row r="1510" spans="1:14" s="398" customFormat="1" hidden="1" outlineLevel="1">
      <c r="A1510" s="1221"/>
      <c r="B1510" s="425"/>
      <c r="C1510" s="165" t="s">
        <v>2</v>
      </c>
      <c r="D1510" s="437">
        <v>1</v>
      </c>
      <c r="E1510" s="414"/>
      <c r="F1510" s="486">
        <f>1+3+0.345*1</f>
        <v>4.3449999999999998</v>
      </c>
      <c r="G1510" s="486">
        <v>0.34499999999999997</v>
      </c>
      <c r="H1510" s="486">
        <v>0.3</v>
      </c>
      <c r="I1510" s="399">
        <f t="shared" si="41"/>
        <v>0.45</v>
      </c>
      <c r="J1510" s="294"/>
      <c r="K1510" s="1259"/>
      <c r="L1510" s="431"/>
      <c r="M1510" s="431"/>
      <c r="N1510" s="431"/>
    </row>
    <row r="1511" spans="1:14" s="398" customFormat="1" hidden="1" outlineLevel="1">
      <c r="A1511" s="1221"/>
      <c r="B1511" s="425"/>
      <c r="C1511" s="165" t="s">
        <v>2</v>
      </c>
      <c r="D1511" s="437">
        <v>1</v>
      </c>
      <c r="E1511" s="414"/>
      <c r="F1511" s="486">
        <f>1+3+0.23*1</f>
        <v>4.2300000000000004</v>
      </c>
      <c r="G1511" s="486">
        <v>0.23</v>
      </c>
      <c r="H1511" s="486">
        <v>0.19</v>
      </c>
      <c r="I1511" s="399">
        <f t="shared" si="41"/>
        <v>0.18</v>
      </c>
      <c r="J1511" s="294"/>
      <c r="K1511" s="1259"/>
      <c r="L1511" s="431"/>
      <c r="M1511" s="431"/>
      <c r="N1511" s="431"/>
    </row>
    <row r="1512" spans="1:14" s="398" customFormat="1" hidden="1" outlineLevel="1">
      <c r="A1512" s="1221"/>
      <c r="B1512" s="425"/>
      <c r="C1512" s="165" t="s">
        <v>2</v>
      </c>
      <c r="D1512" s="437">
        <v>1</v>
      </c>
      <c r="E1512" s="414"/>
      <c r="F1512" s="486">
        <f>1+3+0.46*2</f>
        <v>4.92</v>
      </c>
      <c r="G1512" s="486">
        <v>0.46</v>
      </c>
      <c r="H1512" s="486">
        <v>0.3</v>
      </c>
      <c r="I1512" s="399">
        <f t="shared" si="41"/>
        <v>0.68</v>
      </c>
      <c r="J1512" s="294"/>
      <c r="K1512" s="1259"/>
      <c r="L1512" s="431"/>
      <c r="M1512" s="431"/>
      <c r="N1512" s="431"/>
    </row>
    <row r="1513" spans="1:14" s="398" customFormat="1" hidden="1" outlineLevel="1">
      <c r="A1513" s="1221"/>
      <c r="B1513" s="425"/>
      <c r="C1513" s="165" t="s">
        <v>2</v>
      </c>
      <c r="D1513" s="437">
        <v>1</v>
      </c>
      <c r="E1513" s="414"/>
      <c r="F1513" s="486">
        <f>1+3+0.345*2</f>
        <v>4.6899999999999995</v>
      </c>
      <c r="G1513" s="486">
        <v>0.34499999999999997</v>
      </c>
      <c r="H1513" s="486">
        <v>0.3</v>
      </c>
      <c r="I1513" s="399">
        <f t="shared" si="41"/>
        <v>0.49</v>
      </c>
      <c r="J1513" s="294"/>
      <c r="K1513" s="1259"/>
      <c r="L1513" s="431"/>
      <c r="M1513" s="431"/>
      <c r="N1513" s="431"/>
    </row>
    <row r="1514" spans="1:14" s="398" customFormat="1" hidden="1" outlineLevel="1">
      <c r="A1514" s="1221"/>
      <c r="B1514" s="425"/>
      <c r="C1514" s="165" t="s">
        <v>2</v>
      </c>
      <c r="D1514" s="437">
        <v>1</v>
      </c>
      <c r="E1514" s="414"/>
      <c r="F1514" s="486">
        <f>1+3+0.23*2</f>
        <v>4.46</v>
      </c>
      <c r="G1514" s="486">
        <v>0.23</v>
      </c>
      <c r="H1514" s="486">
        <v>0.19</v>
      </c>
      <c r="I1514" s="399">
        <f t="shared" si="41"/>
        <v>0.19</v>
      </c>
      <c r="J1514" s="294"/>
      <c r="K1514" s="1259"/>
      <c r="L1514" s="431"/>
      <c r="M1514" s="431"/>
      <c r="N1514" s="431"/>
    </row>
    <row r="1515" spans="1:14" s="398" customFormat="1" hidden="1" outlineLevel="1">
      <c r="A1515" s="1221"/>
      <c r="B1515" s="425"/>
      <c r="C1515" s="165" t="s">
        <v>2</v>
      </c>
      <c r="D1515" s="437">
        <v>3</v>
      </c>
      <c r="E1515" s="414"/>
      <c r="F1515" s="486">
        <f>3+0.46</f>
        <v>3.46</v>
      </c>
      <c r="G1515" s="486">
        <v>0.46</v>
      </c>
      <c r="H1515" s="486">
        <v>0.3</v>
      </c>
      <c r="I1515" s="399">
        <f t="shared" si="41"/>
        <v>1.43</v>
      </c>
      <c r="J1515" s="294"/>
      <c r="K1515" s="1259"/>
      <c r="L1515" s="431"/>
      <c r="M1515" s="431"/>
      <c r="N1515" s="431"/>
    </row>
    <row r="1516" spans="1:14" s="398" customFormat="1" hidden="1" outlineLevel="1">
      <c r="A1516" s="1221"/>
      <c r="B1516" s="425"/>
      <c r="C1516" s="165" t="s">
        <v>2</v>
      </c>
      <c r="D1516" s="437">
        <v>3</v>
      </c>
      <c r="E1516" s="414"/>
      <c r="F1516" s="486">
        <f>3+0.345</f>
        <v>3.3449999999999998</v>
      </c>
      <c r="G1516" s="486">
        <v>0.34499999999999997</v>
      </c>
      <c r="H1516" s="486">
        <v>0.3</v>
      </c>
      <c r="I1516" s="399">
        <f t="shared" si="41"/>
        <v>1.04</v>
      </c>
      <c r="J1516" s="294"/>
      <c r="K1516" s="1259"/>
      <c r="L1516" s="431"/>
      <c r="M1516" s="431"/>
      <c r="N1516" s="431"/>
    </row>
    <row r="1517" spans="1:14" s="398" customFormat="1" hidden="1" outlineLevel="1">
      <c r="A1517" s="1221"/>
      <c r="B1517" s="425"/>
      <c r="C1517" s="165" t="s">
        <v>2</v>
      </c>
      <c r="D1517" s="437">
        <v>3</v>
      </c>
      <c r="E1517" s="414"/>
      <c r="F1517" s="486">
        <f>3+0.23</f>
        <v>3.23</v>
      </c>
      <c r="G1517" s="486">
        <v>0.23</v>
      </c>
      <c r="H1517" s="486">
        <v>0.19</v>
      </c>
      <c r="I1517" s="399">
        <f t="shared" si="41"/>
        <v>0.42</v>
      </c>
      <c r="J1517" s="294"/>
      <c r="K1517" s="1259"/>
      <c r="L1517" s="431"/>
      <c r="M1517" s="431"/>
      <c r="N1517" s="431"/>
    </row>
    <row r="1518" spans="1:14" s="398" customFormat="1" hidden="1" outlineLevel="1">
      <c r="A1518" s="1221"/>
      <c r="B1518" s="425"/>
      <c r="C1518" s="165" t="s">
        <v>2</v>
      </c>
      <c r="D1518" s="437">
        <v>1</v>
      </c>
      <c r="E1518" s="414"/>
      <c r="F1518" s="486">
        <f>5+0.46</f>
        <v>5.46</v>
      </c>
      <c r="G1518" s="486">
        <v>0.46</v>
      </c>
      <c r="H1518" s="486">
        <v>0.3</v>
      </c>
      <c r="I1518" s="399">
        <f t="shared" si="41"/>
        <v>0.75</v>
      </c>
      <c r="J1518" s="294"/>
      <c r="K1518" s="1259"/>
      <c r="L1518" s="431"/>
      <c r="M1518" s="431"/>
      <c r="N1518" s="431"/>
    </row>
    <row r="1519" spans="1:14" s="398" customFormat="1" hidden="1" outlineLevel="1">
      <c r="A1519" s="1221"/>
      <c r="B1519" s="425"/>
      <c r="C1519" s="165" t="s">
        <v>2</v>
      </c>
      <c r="D1519" s="437">
        <v>1</v>
      </c>
      <c r="E1519" s="414"/>
      <c r="F1519" s="486">
        <f>5+0.345</f>
        <v>5.3449999999999998</v>
      </c>
      <c r="G1519" s="486">
        <v>0.34499999999999997</v>
      </c>
      <c r="H1519" s="486">
        <v>0.3</v>
      </c>
      <c r="I1519" s="399">
        <f t="shared" si="41"/>
        <v>0.55000000000000004</v>
      </c>
      <c r="J1519" s="294"/>
      <c r="K1519" s="1259"/>
      <c r="L1519" s="431"/>
      <c r="M1519" s="431"/>
      <c r="N1519" s="431"/>
    </row>
    <row r="1520" spans="1:14" s="398" customFormat="1" hidden="1" outlineLevel="1">
      <c r="A1520" s="1221"/>
      <c r="B1520" s="425"/>
      <c r="C1520" s="165" t="s">
        <v>2</v>
      </c>
      <c r="D1520" s="437">
        <v>1</v>
      </c>
      <c r="E1520" s="414"/>
      <c r="F1520" s="486">
        <f>5+0.23</f>
        <v>5.23</v>
      </c>
      <c r="G1520" s="486">
        <v>0.23</v>
      </c>
      <c r="H1520" s="486">
        <v>0.19</v>
      </c>
      <c r="I1520" s="399">
        <f t="shared" si="41"/>
        <v>0.23</v>
      </c>
      <c r="J1520" s="294"/>
      <c r="K1520" s="1259"/>
      <c r="L1520" s="431"/>
      <c r="M1520" s="431"/>
      <c r="N1520" s="431"/>
    </row>
    <row r="1521" spans="1:14" s="398" customFormat="1" hidden="1" outlineLevel="1">
      <c r="A1521" s="1221"/>
      <c r="B1521" s="425"/>
      <c r="C1521" s="165" t="s">
        <v>2</v>
      </c>
      <c r="D1521" s="437">
        <v>1</v>
      </c>
      <c r="E1521" s="414"/>
      <c r="F1521" s="486">
        <f>5+0.46*2</f>
        <v>5.92</v>
      </c>
      <c r="G1521" s="486">
        <v>0.46</v>
      </c>
      <c r="H1521" s="486">
        <v>0.3</v>
      </c>
      <c r="I1521" s="399">
        <f t="shared" si="41"/>
        <v>0.82</v>
      </c>
      <c r="J1521" s="294"/>
      <c r="K1521" s="1259"/>
      <c r="L1521" s="431"/>
      <c r="M1521" s="431"/>
      <c r="N1521" s="431"/>
    </row>
    <row r="1522" spans="1:14" s="398" customFormat="1" hidden="1" outlineLevel="1">
      <c r="A1522" s="1221"/>
      <c r="B1522" s="425"/>
      <c r="C1522" s="165" t="s">
        <v>2</v>
      </c>
      <c r="D1522" s="437">
        <v>1</v>
      </c>
      <c r="E1522" s="414"/>
      <c r="F1522" s="486">
        <f>5+0.345*2</f>
        <v>5.6899999999999995</v>
      </c>
      <c r="G1522" s="486">
        <v>0.34499999999999997</v>
      </c>
      <c r="H1522" s="486">
        <v>0.3</v>
      </c>
      <c r="I1522" s="399">
        <f t="shared" si="41"/>
        <v>0.59</v>
      </c>
      <c r="J1522" s="294"/>
      <c r="K1522" s="1259"/>
      <c r="L1522" s="431"/>
      <c r="M1522" s="431"/>
      <c r="N1522" s="431"/>
    </row>
    <row r="1523" spans="1:14" s="398" customFormat="1" hidden="1" outlineLevel="1">
      <c r="A1523" s="1221"/>
      <c r="B1523" s="425"/>
      <c r="C1523" s="165" t="s">
        <v>2</v>
      </c>
      <c r="D1523" s="437">
        <v>1</v>
      </c>
      <c r="E1523" s="414"/>
      <c r="F1523" s="486">
        <f>5+0.23*2</f>
        <v>5.46</v>
      </c>
      <c r="G1523" s="486">
        <v>0.23</v>
      </c>
      <c r="H1523" s="486">
        <v>0.19</v>
      </c>
      <c r="I1523" s="399">
        <f t="shared" si="41"/>
        <v>0.24</v>
      </c>
      <c r="J1523" s="294"/>
      <c r="K1523" s="1259"/>
      <c r="L1523" s="431"/>
      <c r="M1523" s="431"/>
      <c r="N1523" s="431"/>
    </row>
    <row r="1524" spans="1:14" s="398" customFormat="1" hidden="1" outlineLevel="1">
      <c r="A1524" s="1221"/>
      <c r="B1524" s="425"/>
      <c r="C1524" s="165" t="s">
        <v>2</v>
      </c>
      <c r="D1524" s="437">
        <v>1</v>
      </c>
      <c r="E1524" s="414"/>
      <c r="F1524" s="486">
        <f>4+0.46*2</f>
        <v>4.92</v>
      </c>
      <c r="G1524" s="486">
        <v>0.46</v>
      </c>
      <c r="H1524" s="486">
        <v>0.3</v>
      </c>
      <c r="I1524" s="399">
        <f t="shared" si="41"/>
        <v>0.68</v>
      </c>
      <c r="J1524" s="294"/>
      <c r="K1524" s="1259"/>
      <c r="L1524" s="431"/>
      <c r="M1524" s="431"/>
      <c r="N1524" s="431"/>
    </row>
    <row r="1525" spans="1:14" s="398" customFormat="1" hidden="1" outlineLevel="1">
      <c r="A1525" s="1221"/>
      <c r="B1525" s="425"/>
      <c r="C1525" s="165" t="s">
        <v>2</v>
      </c>
      <c r="D1525" s="437">
        <v>1</v>
      </c>
      <c r="E1525" s="414"/>
      <c r="F1525" s="486">
        <f>4+0.345*2</f>
        <v>4.6899999999999995</v>
      </c>
      <c r="G1525" s="486">
        <v>0.34499999999999997</v>
      </c>
      <c r="H1525" s="486">
        <v>0.3</v>
      </c>
      <c r="I1525" s="399">
        <f t="shared" si="41"/>
        <v>0.49</v>
      </c>
      <c r="J1525" s="294"/>
      <c r="K1525" s="1259"/>
      <c r="L1525" s="431"/>
      <c r="M1525" s="431"/>
      <c r="N1525" s="431"/>
    </row>
    <row r="1526" spans="1:14" s="398" customFormat="1" hidden="1" outlineLevel="1">
      <c r="A1526" s="1221"/>
      <c r="B1526" s="425"/>
      <c r="C1526" s="165" t="s">
        <v>2</v>
      </c>
      <c r="D1526" s="437">
        <v>1</v>
      </c>
      <c r="E1526" s="414"/>
      <c r="F1526" s="486">
        <f>4+0.23*2</f>
        <v>4.46</v>
      </c>
      <c r="G1526" s="486">
        <v>0.23</v>
      </c>
      <c r="H1526" s="486">
        <v>0.19</v>
      </c>
      <c r="I1526" s="399">
        <f t="shared" si="41"/>
        <v>0.19</v>
      </c>
      <c r="J1526" s="294"/>
      <c r="K1526" s="1259"/>
      <c r="L1526" s="431"/>
      <c r="M1526" s="431"/>
      <c r="N1526" s="431"/>
    </row>
    <row r="1527" spans="1:14" s="398" customFormat="1" hidden="1" outlineLevel="1">
      <c r="A1527" s="1221"/>
      <c r="B1527" s="425"/>
      <c r="C1527" s="165" t="s">
        <v>2</v>
      </c>
      <c r="D1527" s="437">
        <v>1</v>
      </c>
      <c r="E1527" s="414"/>
      <c r="F1527" s="486">
        <f>4+0.46*1</f>
        <v>4.46</v>
      </c>
      <c r="G1527" s="486">
        <v>0.46</v>
      </c>
      <c r="H1527" s="486">
        <v>0.3</v>
      </c>
      <c r="I1527" s="399">
        <f t="shared" si="41"/>
        <v>0.62</v>
      </c>
      <c r="J1527" s="294"/>
      <c r="K1527" s="1259"/>
      <c r="L1527" s="431"/>
      <c r="M1527" s="431"/>
      <c r="N1527" s="431"/>
    </row>
    <row r="1528" spans="1:14" s="398" customFormat="1" hidden="1" outlineLevel="1">
      <c r="A1528" s="1221"/>
      <c r="B1528" s="425"/>
      <c r="C1528" s="165" t="s">
        <v>2</v>
      </c>
      <c r="D1528" s="437">
        <v>1</v>
      </c>
      <c r="E1528" s="414"/>
      <c r="F1528" s="486">
        <f>4+0.345*1</f>
        <v>4.3449999999999998</v>
      </c>
      <c r="G1528" s="486">
        <v>0.34499999999999997</v>
      </c>
      <c r="H1528" s="486">
        <v>0.3</v>
      </c>
      <c r="I1528" s="399">
        <f t="shared" si="41"/>
        <v>0.45</v>
      </c>
      <c r="J1528" s="294"/>
      <c r="K1528" s="1259"/>
      <c r="L1528" s="431"/>
      <c r="M1528" s="431"/>
      <c r="N1528" s="431"/>
    </row>
    <row r="1529" spans="1:14" s="398" customFormat="1" hidden="1" outlineLevel="1">
      <c r="A1529" s="1221"/>
      <c r="B1529" s="425"/>
      <c r="C1529" s="165" t="s">
        <v>2</v>
      </c>
      <c r="D1529" s="437">
        <v>1</v>
      </c>
      <c r="E1529" s="414"/>
      <c r="F1529" s="486">
        <f>4+0.23*1</f>
        <v>4.2300000000000004</v>
      </c>
      <c r="G1529" s="486">
        <v>0.23</v>
      </c>
      <c r="H1529" s="486">
        <v>0.19</v>
      </c>
      <c r="I1529" s="399">
        <f t="shared" si="41"/>
        <v>0.18</v>
      </c>
      <c r="J1529" s="294"/>
      <c r="K1529" s="1259"/>
      <c r="L1529" s="431"/>
      <c r="M1529" s="431"/>
      <c r="N1529" s="431"/>
    </row>
    <row r="1530" spans="1:14" s="398" customFormat="1" hidden="1" outlineLevel="1">
      <c r="A1530" s="1221"/>
      <c r="B1530" s="425"/>
      <c r="C1530" s="165" t="s">
        <v>2</v>
      </c>
      <c r="D1530" s="437">
        <v>1</v>
      </c>
      <c r="E1530" s="414"/>
      <c r="F1530" s="486">
        <f>4.8+0.46*2</f>
        <v>5.72</v>
      </c>
      <c r="G1530" s="486">
        <v>0.46</v>
      </c>
      <c r="H1530" s="486">
        <v>0.3</v>
      </c>
      <c r="I1530" s="399">
        <f t="shared" si="41"/>
        <v>0.79</v>
      </c>
      <c r="J1530" s="294"/>
      <c r="K1530" s="1259"/>
      <c r="L1530" s="431"/>
      <c r="M1530" s="431"/>
      <c r="N1530" s="431"/>
    </row>
    <row r="1531" spans="1:14" s="398" customFormat="1" hidden="1" outlineLevel="1">
      <c r="A1531" s="1221"/>
      <c r="B1531" s="425"/>
      <c r="C1531" s="165" t="s">
        <v>2</v>
      </c>
      <c r="D1531" s="437">
        <v>1</v>
      </c>
      <c r="E1531" s="414"/>
      <c r="F1531" s="486">
        <f>4.8+0.345*2</f>
        <v>5.49</v>
      </c>
      <c r="G1531" s="486">
        <v>0.34499999999999997</v>
      </c>
      <c r="H1531" s="486">
        <v>0.3</v>
      </c>
      <c r="I1531" s="399">
        <f t="shared" si="41"/>
        <v>0.56999999999999995</v>
      </c>
      <c r="J1531" s="294"/>
      <c r="K1531" s="1259"/>
      <c r="L1531" s="431"/>
      <c r="M1531" s="431"/>
      <c r="N1531" s="431"/>
    </row>
    <row r="1532" spans="1:14" s="398" customFormat="1" hidden="1" outlineLevel="1">
      <c r="A1532" s="1221"/>
      <c r="B1532" s="425"/>
      <c r="C1532" s="165" t="s">
        <v>2</v>
      </c>
      <c r="D1532" s="437">
        <v>1</v>
      </c>
      <c r="E1532" s="414"/>
      <c r="F1532" s="486">
        <f>4.8+0.23*2</f>
        <v>5.26</v>
      </c>
      <c r="G1532" s="486">
        <v>0.23</v>
      </c>
      <c r="H1532" s="486">
        <v>0.19</v>
      </c>
      <c r="I1532" s="399">
        <f t="shared" si="41"/>
        <v>0.23</v>
      </c>
      <c r="J1532" s="294"/>
      <c r="K1532" s="1259"/>
      <c r="L1532" s="431"/>
      <c r="M1532" s="431"/>
      <c r="N1532" s="431"/>
    </row>
    <row r="1533" spans="1:14" s="398" customFormat="1" ht="34.5" hidden="1" outlineLevel="1">
      <c r="A1533" s="1221"/>
      <c r="B1533" s="425" t="s">
        <v>113</v>
      </c>
      <c r="C1533" s="165" t="s">
        <v>2</v>
      </c>
      <c r="D1533" s="437"/>
      <c r="E1533" s="414"/>
      <c r="F1533" s="486"/>
      <c r="G1533" s="486"/>
      <c r="H1533" s="486"/>
      <c r="I1533" s="399" t="str">
        <f t="shared" si="41"/>
        <v/>
      </c>
      <c r="J1533" s="294"/>
      <c r="K1533" s="1259"/>
      <c r="L1533" s="431"/>
      <c r="M1533" s="431"/>
      <c r="N1533" s="431"/>
    </row>
    <row r="1534" spans="1:14" s="398" customFormat="1" hidden="1" outlineLevel="1">
      <c r="A1534" s="1221"/>
      <c r="B1534" s="425" t="s">
        <v>116</v>
      </c>
      <c r="C1534" s="165" t="s">
        <v>2</v>
      </c>
      <c r="D1534" s="437">
        <v>5</v>
      </c>
      <c r="E1534" s="414"/>
      <c r="F1534" s="486">
        <v>0.61499999999999999</v>
      </c>
      <c r="G1534" s="486">
        <v>0.46</v>
      </c>
      <c r="H1534" s="486">
        <v>0.3</v>
      </c>
      <c r="I1534" s="399">
        <f t="shared" si="41"/>
        <v>0.42</v>
      </c>
      <c r="J1534" s="294"/>
      <c r="K1534" s="1259"/>
      <c r="L1534" s="431"/>
      <c r="M1534" s="431"/>
      <c r="N1534" s="431"/>
    </row>
    <row r="1535" spans="1:14" s="398" customFormat="1" hidden="1" outlineLevel="1">
      <c r="A1535" s="1221"/>
      <c r="B1535" s="425"/>
      <c r="C1535" s="165" t="s">
        <v>2</v>
      </c>
      <c r="D1535" s="437">
        <v>5</v>
      </c>
      <c r="E1535" s="414"/>
      <c r="F1535" s="486">
        <v>0.61499999999999999</v>
      </c>
      <c r="G1535" s="486">
        <v>0.34499999999999997</v>
      </c>
      <c r="H1535" s="486">
        <v>0.3</v>
      </c>
      <c r="I1535" s="399">
        <f t="shared" si="41"/>
        <v>0.32</v>
      </c>
      <c r="J1535" s="294"/>
      <c r="K1535" s="1259"/>
      <c r="L1535" s="431"/>
      <c r="M1535" s="431"/>
      <c r="N1535" s="431"/>
    </row>
    <row r="1536" spans="1:14" s="398" customFormat="1" hidden="1" outlineLevel="1">
      <c r="A1536" s="1221"/>
      <c r="B1536" s="425"/>
      <c r="C1536" s="165" t="s">
        <v>2</v>
      </c>
      <c r="D1536" s="437">
        <v>5</v>
      </c>
      <c r="E1536" s="414"/>
      <c r="F1536" s="486">
        <v>0.61499999999999999</v>
      </c>
      <c r="G1536" s="486">
        <v>0.23</v>
      </c>
      <c r="H1536" s="486">
        <v>0.19</v>
      </c>
      <c r="I1536" s="399">
        <f t="shared" si="41"/>
        <v>0.13</v>
      </c>
      <c r="J1536" s="294"/>
      <c r="K1536" s="1259"/>
      <c r="L1536" s="431"/>
      <c r="M1536" s="431"/>
      <c r="N1536" s="431"/>
    </row>
    <row r="1537" spans="1:14" s="398" customFormat="1" hidden="1" outlineLevel="1">
      <c r="A1537" s="1221"/>
      <c r="B1537" s="425"/>
      <c r="C1537" s="165" t="s">
        <v>2</v>
      </c>
      <c r="D1537" s="437"/>
      <c r="E1537" s="414"/>
      <c r="F1537" s="486"/>
      <c r="G1537" s="486"/>
      <c r="H1537" s="486"/>
      <c r="I1537" s="399" t="str">
        <f t="shared" si="41"/>
        <v/>
      </c>
      <c r="J1537" s="294"/>
      <c r="K1537" s="1259"/>
      <c r="L1537" s="431"/>
      <c r="M1537" s="431"/>
      <c r="N1537" s="431"/>
    </row>
    <row r="1538" spans="1:14" s="398" customFormat="1" hidden="1" outlineLevel="1">
      <c r="A1538" s="1221"/>
      <c r="B1538" s="425"/>
      <c r="C1538" s="165" t="s">
        <v>2</v>
      </c>
      <c r="D1538" s="437">
        <v>3</v>
      </c>
      <c r="E1538" s="414"/>
      <c r="F1538" s="486">
        <v>3.36</v>
      </c>
      <c r="G1538" s="486">
        <v>0.46</v>
      </c>
      <c r="H1538" s="486">
        <v>0.3</v>
      </c>
      <c r="I1538" s="399">
        <f t="shared" si="41"/>
        <v>1.39</v>
      </c>
      <c r="J1538" s="294"/>
      <c r="K1538" s="1259"/>
      <c r="L1538" s="431"/>
      <c r="M1538" s="431"/>
      <c r="N1538" s="431"/>
    </row>
    <row r="1539" spans="1:14" s="398" customFormat="1" hidden="1" outlineLevel="1">
      <c r="A1539" s="1221"/>
      <c r="B1539" s="425"/>
      <c r="C1539" s="165" t="s">
        <v>2</v>
      </c>
      <c r="D1539" s="437">
        <v>3</v>
      </c>
      <c r="E1539" s="414"/>
      <c r="F1539" s="486">
        <v>3.36</v>
      </c>
      <c r="G1539" s="486">
        <v>0.34499999999999997</v>
      </c>
      <c r="H1539" s="486">
        <v>0.3</v>
      </c>
      <c r="I1539" s="399">
        <f t="shared" si="41"/>
        <v>1.04</v>
      </c>
      <c r="J1539" s="294"/>
      <c r="K1539" s="1259"/>
      <c r="L1539" s="431"/>
      <c r="M1539" s="431"/>
      <c r="N1539" s="431"/>
    </row>
    <row r="1540" spans="1:14" s="398" customFormat="1" hidden="1" outlineLevel="1">
      <c r="A1540" s="1221"/>
      <c r="B1540" s="425"/>
      <c r="C1540" s="165" t="s">
        <v>2</v>
      </c>
      <c r="D1540" s="437">
        <v>3</v>
      </c>
      <c r="E1540" s="414"/>
      <c r="F1540" s="486">
        <v>3.36</v>
      </c>
      <c r="G1540" s="486">
        <v>0.23</v>
      </c>
      <c r="H1540" s="486">
        <v>0.19</v>
      </c>
      <c r="I1540" s="399">
        <f t="shared" si="41"/>
        <v>0.44</v>
      </c>
      <c r="J1540" s="294"/>
      <c r="K1540" s="1259"/>
      <c r="L1540" s="431"/>
      <c r="M1540" s="431"/>
      <c r="N1540" s="431"/>
    </row>
    <row r="1541" spans="1:14" s="398" customFormat="1" hidden="1" outlineLevel="1">
      <c r="A1541" s="1221"/>
      <c r="B1541" s="425"/>
      <c r="C1541" s="165" t="s">
        <v>2</v>
      </c>
      <c r="D1541" s="437"/>
      <c r="E1541" s="414"/>
      <c r="F1541" s="486"/>
      <c r="G1541" s="486"/>
      <c r="H1541" s="486"/>
      <c r="I1541" s="399" t="str">
        <f t="shared" si="41"/>
        <v/>
      </c>
      <c r="J1541" s="294"/>
      <c r="K1541" s="1259"/>
      <c r="L1541" s="431"/>
      <c r="M1541" s="431"/>
      <c r="N1541" s="431"/>
    </row>
    <row r="1542" spans="1:14" s="398" customFormat="1" hidden="1" outlineLevel="1">
      <c r="A1542" s="1221"/>
      <c r="B1542" s="425"/>
      <c r="C1542" s="165" t="s">
        <v>2</v>
      </c>
      <c r="D1542" s="437">
        <v>6</v>
      </c>
      <c r="E1542" s="414"/>
      <c r="F1542" s="486">
        <f>2.13-0.46*2</f>
        <v>1.21</v>
      </c>
      <c r="G1542" s="486">
        <v>0.46</v>
      </c>
      <c r="H1542" s="486">
        <v>0.3</v>
      </c>
      <c r="I1542" s="399">
        <f t="shared" si="41"/>
        <v>1</v>
      </c>
      <c r="J1542" s="294"/>
      <c r="K1542" s="1259"/>
      <c r="L1542" s="431"/>
      <c r="M1542" s="431"/>
      <c r="N1542" s="431"/>
    </row>
    <row r="1543" spans="1:14" s="398" customFormat="1" hidden="1" outlineLevel="1">
      <c r="A1543" s="1221"/>
      <c r="B1543" s="425"/>
      <c r="C1543" s="165" t="s">
        <v>2</v>
      </c>
      <c r="D1543" s="437">
        <v>6</v>
      </c>
      <c r="E1543" s="414"/>
      <c r="F1543" s="486">
        <f>2.13-0.345*2</f>
        <v>1.44</v>
      </c>
      <c r="G1543" s="486">
        <v>0.34499999999999997</v>
      </c>
      <c r="H1543" s="486">
        <v>0.3</v>
      </c>
      <c r="I1543" s="399">
        <f t="shared" si="41"/>
        <v>0.89</v>
      </c>
      <c r="J1543" s="294"/>
      <c r="K1543" s="1259"/>
      <c r="L1543" s="431"/>
      <c r="M1543" s="431"/>
      <c r="N1543" s="431"/>
    </row>
    <row r="1544" spans="1:14" s="398" customFormat="1" hidden="1" outlineLevel="1">
      <c r="A1544" s="1221"/>
      <c r="B1544" s="425"/>
      <c r="C1544" s="165" t="s">
        <v>2</v>
      </c>
      <c r="D1544" s="437">
        <v>6</v>
      </c>
      <c r="E1544" s="414"/>
      <c r="F1544" s="486">
        <f>2.13-0.23*2</f>
        <v>1.67</v>
      </c>
      <c r="G1544" s="486">
        <v>0.23</v>
      </c>
      <c r="H1544" s="486">
        <v>0.19</v>
      </c>
      <c r="I1544" s="399">
        <f t="shared" si="41"/>
        <v>0.44</v>
      </c>
      <c r="J1544" s="294"/>
      <c r="K1544" s="1259"/>
      <c r="L1544" s="431"/>
      <c r="M1544" s="431"/>
      <c r="N1544" s="431"/>
    </row>
    <row r="1545" spans="1:14" s="398" customFormat="1" hidden="1" outlineLevel="1">
      <c r="A1545" s="1221"/>
      <c r="B1545" s="425"/>
      <c r="C1545" s="165" t="s">
        <v>2</v>
      </c>
      <c r="D1545" s="437">
        <v>1</v>
      </c>
      <c r="E1545" s="414"/>
      <c r="F1545" s="486">
        <f>2.745-0.46</f>
        <v>2.2850000000000001</v>
      </c>
      <c r="G1545" s="486">
        <v>0.46</v>
      </c>
      <c r="H1545" s="486">
        <v>0.3</v>
      </c>
      <c r="I1545" s="399">
        <f t="shared" si="41"/>
        <v>0.32</v>
      </c>
      <c r="J1545" s="294"/>
      <c r="K1545" s="1259"/>
      <c r="L1545" s="431"/>
      <c r="M1545" s="431"/>
      <c r="N1545" s="431"/>
    </row>
    <row r="1546" spans="1:14" s="398" customFormat="1" hidden="1" outlineLevel="1">
      <c r="A1546" s="1221"/>
      <c r="B1546" s="425"/>
      <c r="C1546" s="165" t="s">
        <v>2</v>
      </c>
      <c r="D1546" s="437">
        <v>1</v>
      </c>
      <c r="E1546" s="414"/>
      <c r="F1546" s="486">
        <f>2.745-0.345</f>
        <v>2.4000000000000004</v>
      </c>
      <c r="G1546" s="486">
        <v>0.34499999999999997</v>
      </c>
      <c r="H1546" s="486">
        <v>0.3</v>
      </c>
      <c r="I1546" s="399">
        <f t="shared" si="41"/>
        <v>0.25</v>
      </c>
      <c r="J1546" s="294"/>
      <c r="K1546" s="1259"/>
      <c r="L1546" s="431"/>
      <c r="M1546" s="431"/>
      <c r="N1546" s="431"/>
    </row>
    <row r="1547" spans="1:14" s="398" customFormat="1" hidden="1" outlineLevel="1">
      <c r="A1547" s="1221"/>
      <c r="B1547" s="425"/>
      <c r="C1547" s="165" t="s">
        <v>2</v>
      </c>
      <c r="D1547" s="437">
        <v>1</v>
      </c>
      <c r="E1547" s="414"/>
      <c r="F1547" s="486">
        <f>2.745-0.23</f>
        <v>2.5150000000000001</v>
      </c>
      <c r="G1547" s="486">
        <v>0.23</v>
      </c>
      <c r="H1547" s="486">
        <v>0.19</v>
      </c>
      <c r="I1547" s="399">
        <f t="shared" si="41"/>
        <v>0.11</v>
      </c>
      <c r="J1547" s="294"/>
      <c r="K1547" s="1259"/>
      <c r="L1547" s="431"/>
      <c r="M1547" s="431"/>
      <c r="N1547" s="431"/>
    </row>
    <row r="1548" spans="1:14" s="398" customFormat="1" hidden="1" outlineLevel="1">
      <c r="A1548" s="1221"/>
      <c r="B1548" s="425" t="s">
        <v>140</v>
      </c>
      <c r="C1548" s="165" t="s">
        <v>2</v>
      </c>
      <c r="D1548" s="437">
        <v>4</v>
      </c>
      <c r="E1548" s="414"/>
      <c r="F1548" s="486">
        <v>3</v>
      </c>
      <c r="G1548" s="486">
        <v>0.115</v>
      </c>
      <c r="H1548" s="486">
        <v>0.35499999999999998</v>
      </c>
      <c r="I1548" s="399">
        <f t="shared" si="41"/>
        <v>0.49</v>
      </c>
      <c r="J1548" s="294"/>
      <c r="K1548" s="1259"/>
      <c r="L1548" s="431"/>
      <c r="M1548" s="431"/>
      <c r="N1548" s="431"/>
    </row>
    <row r="1549" spans="1:14" s="398" customFormat="1" hidden="1" outlineLevel="1">
      <c r="A1549" s="1221"/>
      <c r="B1549" s="425"/>
      <c r="C1549" s="165" t="s">
        <v>2</v>
      </c>
      <c r="D1549" s="437">
        <v>4</v>
      </c>
      <c r="E1549" s="414"/>
      <c r="F1549" s="486">
        <v>3</v>
      </c>
      <c r="G1549" s="486">
        <v>0.3</v>
      </c>
      <c r="H1549" s="486">
        <v>0.22500000000000001</v>
      </c>
      <c r="I1549" s="399">
        <f t="shared" si="41"/>
        <v>0.81</v>
      </c>
      <c r="J1549" s="294"/>
      <c r="K1549" s="1259"/>
      <c r="L1549" s="431"/>
      <c r="M1549" s="431"/>
      <c r="N1549" s="431"/>
    </row>
    <row r="1550" spans="1:14" s="398" customFormat="1" ht="34.5" hidden="1" outlineLevel="1">
      <c r="A1550" s="1221"/>
      <c r="B1550" s="425" t="s">
        <v>117</v>
      </c>
      <c r="C1550" s="165" t="s">
        <v>2</v>
      </c>
      <c r="D1550" s="437"/>
      <c r="E1550" s="414"/>
      <c r="F1550" s="486"/>
      <c r="G1550" s="486"/>
      <c r="H1550" s="486"/>
      <c r="I1550" s="399" t="str">
        <f t="shared" si="41"/>
        <v/>
      </c>
      <c r="J1550" s="294"/>
      <c r="K1550" s="1259"/>
      <c r="L1550" s="431"/>
      <c r="M1550" s="431"/>
      <c r="N1550" s="431"/>
    </row>
    <row r="1551" spans="1:14" s="398" customFormat="1" hidden="1" outlineLevel="1">
      <c r="A1551" s="1221"/>
      <c r="B1551" s="425" t="s">
        <v>118</v>
      </c>
      <c r="C1551" s="165" t="s">
        <v>2</v>
      </c>
      <c r="D1551" s="437">
        <v>1</v>
      </c>
      <c r="E1551" s="414"/>
      <c r="F1551" s="486">
        <f>3.84+0.46*2</f>
        <v>4.76</v>
      </c>
      <c r="G1551" s="486">
        <v>0.46</v>
      </c>
      <c r="H1551" s="486">
        <v>0.3</v>
      </c>
      <c r="I1551" s="399">
        <f t="shared" si="41"/>
        <v>0.66</v>
      </c>
      <c r="J1551" s="294"/>
      <c r="K1551" s="1259"/>
      <c r="L1551" s="431"/>
      <c r="M1551" s="431"/>
      <c r="N1551" s="431"/>
    </row>
    <row r="1552" spans="1:14" s="398" customFormat="1" hidden="1" outlineLevel="1">
      <c r="A1552" s="1221"/>
      <c r="B1552" s="425"/>
      <c r="C1552" s="165" t="s">
        <v>2</v>
      </c>
      <c r="D1552" s="437">
        <v>1</v>
      </c>
      <c r="E1552" s="414"/>
      <c r="F1552" s="486">
        <f>3.84+0.345*2</f>
        <v>4.5299999999999994</v>
      </c>
      <c r="G1552" s="486">
        <v>0.34499999999999997</v>
      </c>
      <c r="H1552" s="486">
        <v>0.3</v>
      </c>
      <c r="I1552" s="399">
        <f t="shared" si="41"/>
        <v>0.47</v>
      </c>
      <c r="J1552" s="294"/>
      <c r="K1552" s="1259"/>
      <c r="L1552" s="431"/>
      <c r="M1552" s="431"/>
      <c r="N1552" s="431"/>
    </row>
    <row r="1553" spans="1:14" s="398" customFormat="1" hidden="1" outlineLevel="1">
      <c r="A1553" s="1221"/>
      <c r="B1553" s="425"/>
      <c r="C1553" s="165" t="s">
        <v>2</v>
      </c>
      <c r="D1553" s="437">
        <v>1</v>
      </c>
      <c r="E1553" s="414"/>
      <c r="F1553" s="486">
        <f>3.84+0.23*2</f>
        <v>4.3</v>
      </c>
      <c r="G1553" s="486">
        <v>0.23</v>
      </c>
      <c r="H1553" s="486">
        <v>0.19</v>
      </c>
      <c r="I1553" s="399">
        <f t="shared" si="41"/>
        <v>0.19</v>
      </c>
      <c r="J1553" s="294"/>
      <c r="K1553" s="1259"/>
      <c r="L1553" s="431"/>
      <c r="M1553" s="431"/>
      <c r="N1553" s="431"/>
    </row>
    <row r="1554" spans="1:14" s="398" customFormat="1" hidden="1" outlineLevel="1">
      <c r="A1554" s="1221"/>
      <c r="B1554" s="425"/>
      <c r="C1554" s="165" t="s">
        <v>2</v>
      </c>
      <c r="D1554" s="437">
        <v>1</v>
      </c>
      <c r="E1554" s="414"/>
      <c r="F1554" s="662">
        <v>1.94</v>
      </c>
      <c r="G1554" s="486">
        <v>0.46</v>
      </c>
      <c r="H1554" s="486">
        <v>0.3</v>
      </c>
      <c r="I1554" s="399">
        <f t="shared" si="41"/>
        <v>0.27</v>
      </c>
      <c r="J1554" s="294"/>
      <c r="K1554" s="1259"/>
      <c r="L1554" s="431"/>
      <c r="M1554" s="431"/>
      <c r="N1554" s="431"/>
    </row>
    <row r="1555" spans="1:14" s="398" customFormat="1" hidden="1" outlineLevel="1">
      <c r="A1555" s="1221"/>
      <c r="B1555" s="425"/>
      <c r="C1555" s="165" t="s">
        <v>2</v>
      </c>
      <c r="D1555" s="437">
        <v>1</v>
      </c>
      <c r="E1555" s="414"/>
      <c r="F1555" s="662">
        <v>1.825</v>
      </c>
      <c r="G1555" s="486">
        <v>0.34499999999999997</v>
      </c>
      <c r="H1555" s="486">
        <v>0.3</v>
      </c>
      <c r="I1555" s="399">
        <f t="shared" si="41"/>
        <v>0.19</v>
      </c>
      <c r="J1555" s="294"/>
      <c r="K1555" s="1259"/>
      <c r="L1555" s="431"/>
      <c r="M1555" s="431"/>
      <c r="N1555" s="431"/>
    </row>
    <row r="1556" spans="1:14" s="398" customFormat="1" hidden="1" outlineLevel="1">
      <c r="A1556" s="1221"/>
      <c r="B1556" s="425"/>
      <c r="C1556" s="165" t="s">
        <v>2</v>
      </c>
      <c r="D1556" s="437">
        <v>1</v>
      </c>
      <c r="E1556" s="414"/>
      <c r="F1556" s="662">
        <v>1.71</v>
      </c>
      <c r="G1556" s="486">
        <v>0.23</v>
      </c>
      <c r="H1556" s="486">
        <v>0.19</v>
      </c>
      <c r="I1556" s="399">
        <f t="shared" si="41"/>
        <v>7.0000000000000007E-2</v>
      </c>
      <c r="J1556" s="294"/>
      <c r="K1556" s="1259"/>
      <c r="L1556" s="431"/>
      <c r="M1556" s="431"/>
      <c r="N1556" s="431"/>
    </row>
    <row r="1557" spans="1:14" s="398" customFormat="1" hidden="1" outlineLevel="1">
      <c r="A1557" s="1221"/>
      <c r="B1557" s="425"/>
      <c r="C1557" s="165" t="s">
        <v>2</v>
      </c>
      <c r="D1557" s="437">
        <v>4</v>
      </c>
      <c r="E1557" s="414"/>
      <c r="F1557" s="486">
        <f>2.38+0.46</f>
        <v>2.84</v>
      </c>
      <c r="G1557" s="486">
        <v>0.46</v>
      </c>
      <c r="H1557" s="486">
        <v>0.3</v>
      </c>
      <c r="I1557" s="399">
        <f t="shared" si="41"/>
        <v>1.57</v>
      </c>
      <c r="J1557" s="294"/>
      <c r="K1557" s="1259"/>
      <c r="L1557" s="431"/>
      <c r="M1557" s="431"/>
      <c r="N1557" s="431"/>
    </row>
    <row r="1558" spans="1:14" s="398" customFormat="1" hidden="1" outlineLevel="1">
      <c r="A1558" s="1221"/>
      <c r="B1558" s="425"/>
      <c r="C1558" s="165" t="s">
        <v>2</v>
      </c>
      <c r="D1558" s="437">
        <v>4</v>
      </c>
      <c r="E1558" s="414"/>
      <c r="F1558" s="486">
        <f>2.38+0.345</f>
        <v>2.7249999999999996</v>
      </c>
      <c r="G1558" s="486">
        <v>0.34499999999999997</v>
      </c>
      <c r="H1558" s="486">
        <v>0.3</v>
      </c>
      <c r="I1558" s="399">
        <f t="shared" si="41"/>
        <v>1.1299999999999999</v>
      </c>
      <c r="J1558" s="294"/>
      <c r="K1558" s="1259"/>
      <c r="L1558" s="431"/>
      <c r="M1558" s="431"/>
      <c r="N1558" s="431"/>
    </row>
    <row r="1559" spans="1:14" s="398" customFormat="1" hidden="1" outlineLevel="1">
      <c r="A1559" s="1221"/>
      <c r="B1559" s="425"/>
      <c r="C1559" s="165" t="s">
        <v>2</v>
      </c>
      <c r="D1559" s="437">
        <v>4</v>
      </c>
      <c r="E1559" s="414"/>
      <c r="F1559" s="486">
        <f>2.38+0.23</f>
        <v>2.61</v>
      </c>
      <c r="G1559" s="486">
        <v>0.23</v>
      </c>
      <c r="H1559" s="486">
        <v>0.19</v>
      </c>
      <c r="I1559" s="399">
        <f t="shared" si="41"/>
        <v>0.46</v>
      </c>
      <c r="J1559" s="294"/>
      <c r="K1559" s="1259"/>
      <c r="L1559" s="431"/>
      <c r="M1559" s="431"/>
      <c r="N1559" s="431"/>
    </row>
    <row r="1560" spans="1:14" s="398" customFormat="1" hidden="1" outlineLevel="1">
      <c r="A1560" s="1221"/>
      <c r="B1560" s="425"/>
      <c r="C1560" s="165" t="s">
        <v>2</v>
      </c>
      <c r="D1560" s="437">
        <v>2</v>
      </c>
      <c r="E1560" s="414"/>
      <c r="F1560" s="486">
        <f>4.48+0.46</f>
        <v>4.9400000000000004</v>
      </c>
      <c r="G1560" s="486">
        <v>0.46</v>
      </c>
      <c r="H1560" s="486">
        <v>0.3</v>
      </c>
      <c r="I1560" s="399">
        <f t="shared" ref="I1560:I1623" si="42">IF(D1560&lt;&gt;0,ROUND(PRODUCT(E1560:H1560)*D1560,2),"")</f>
        <v>1.36</v>
      </c>
      <c r="J1560" s="294"/>
      <c r="K1560" s="1259"/>
      <c r="L1560" s="431"/>
      <c r="M1560" s="431"/>
      <c r="N1560" s="431"/>
    </row>
    <row r="1561" spans="1:14" s="398" customFormat="1" hidden="1" outlineLevel="1">
      <c r="A1561" s="1221"/>
      <c r="B1561" s="425"/>
      <c r="C1561" s="165" t="s">
        <v>2</v>
      </c>
      <c r="D1561" s="437">
        <v>2</v>
      </c>
      <c r="E1561" s="414"/>
      <c r="F1561" s="486">
        <f>4.48+0.345</f>
        <v>4.8250000000000002</v>
      </c>
      <c r="G1561" s="486">
        <v>0.34499999999999997</v>
      </c>
      <c r="H1561" s="486">
        <v>0.3</v>
      </c>
      <c r="I1561" s="399">
        <f t="shared" si="42"/>
        <v>1</v>
      </c>
      <c r="J1561" s="294"/>
      <c r="K1561" s="1259"/>
      <c r="L1561" s="431"/>
      <c r="M1561" s="431"/>
      <c r="N1561" s="431"/>
    </row>
    <row r="1562" spans="1:14" s="398" customFormat="1" hidden="1" outlineLevel="1">
      <c r="A1562" s="1221"/>
      <c r="B1562" s="425"/>
      <c r="C1562" s="165" t="s">
        <v>2</v>
      </c>
      <c r="D1562" s="437">
        <v>2</v>
      </c>
      <c r="E1562" s="414"/>
      <c r="F1562" s="486">
        <f>4.48+0.23</f>
        <v>4.7100000000000009</v>
      </c>
      <c r="G1562" s="486">
        <v>0.23</v>
      </c>
      <c r="H1562" s="486">
        <v>0.19</v>
      </c>
      <c r="I1562" s="399">
        <f t="shared" si="42"/>
        <v>0.41</v>
      </c>
      <c r="J1562" s="294"/>
      <c r="K1562" s="1259"/>
      <c r="L1562" s="431"/>
      <c r="M1562" s="431"/>
      <c r="N1562" s="431"/>
    </row>
    <row r="1563" spans="1:14" s="398" customFormat="1" hidden="1" outlineLevel="1">
      <c r="A1563" s="1221"/>
      <c r="B1563" s="425"/>
      <c r="C1563" s="165" t="s">
        <v>2</v>
      </c>
      <c r="D1563" s="437">
        <v>2</v>
      </c>
      <c r="E1563" s="414"/>
      <c r="F1563" s="486">
        <f>4.18+0.46</f>
        <v>4.6399999999999997</v>
      </c>
      <c r="G1563" s="486">
        <v>0.46</v>
      </c>
      <c r="H1563" s="486">
        <v>0.3</v>
      </c>
      <c r="I1563" s="399">
        <f t="shared" si="42"/>
        <v>1.28</v>
      </c>
      <c r="J1563" s="294"/>
      <c r="K1563" s="1259"/>
      <c r="L1563" s="431"/>
      <c r="M1563" s="431"/>
      <c r="N1563" s="431"/>
    </row>
    <row r="1564" spans="1:14" s="398" customFormat="1" hidden="1" outlineLevel="1">
      <c r="A1564" s="1221"/>
      <c r="B1564" s="425"/>
      <c r="C1564" s="165" t="s">
        <v>2</v>
      </c>
      <c r="D1564" s="437">
        <v>2</v>
      </c>
      <c r="E1564" s="414"/>
      <c r="F1564" s="486">
        <f>4.18+0.345</f>
        <v>4.5249999999999995</v>
      </c>
      <c r="G1564" s="486">
        <v>0.34499999999999997</v>
      </c>
      <c r="H1564" s="486">
        <v>0.3</v>
      </c>
      <c r="I1564" s="399">
        <f t="shared" si="42"/>
        <v>0.94</v>
      </c>
      <c r="J1564" s="294"/>
      <c r="K1564" s="1259"/>
      <c r="L1564" s="431"/>
      <c r="M1564" s="431"/>
      <c r="N1564" s="431"/>
    </row>
    <row r="1565" spans="1:14" s="398" customFormat="1" hidden="1" outlineLevel="1">
      <c r="A1565" s="1221"/>
      <c r="B1565" s="425"/>
      <c r="C1565" s="165" t="s">
        <v>2</v>
      </c>
      <c r="D1565" s="437">
        <v>2</v>
      </c>
      <c r="E1565" s="414"/>
      <c r="F1565" s="486">
        <f>4.18+0.23</f>
        <v>4.41</v>
      </c>
      <c r="G1565" s="486">
        <v>0.23</v>
      </c>
      <c r="H1565" s="486">
        <v>0.19</v>
      </c>
      <c r="I1565" s="399">
        <f t="shared" si="42"/>
        <v>0.39</v>
      </c>
      <c r="J1565" s="294"/>
      <c r="K1565" s="1259"/>
      <c r="L1565" s="431"/>
      <c r="M1565" s="431"/>
      <c r="N1565" s="431"/>
    </row>
    <row r="1566" spans="1:14" s="398" customFormat="1" hidden="1" outlineLevel="1">
      <c r="A1566" s="1221"/>
      <c r="B1566" s="425"/>
      <c r="C1566" s="165" t="s">
        <v>2</v>
      </c>
      <c r="D1566" s="437">
        <v>2</v>
      </c>
      <c r="E1566" s="414"/>
      <c r="F1566" s="486">
        <f>5.08+0.46*1</f>
        <v>5.54</v>
      </c>
      <c r="G1566" s="486">
        <v>0.46</v>
      </c>
      <c r="H1566" s="486">
        <v>0.3</v>
      </c>
      <c r="I1566" s="399">
        <f t="shared" si="42"/>
        <v>1.53</v>
      </c>
      <c r="J1566" s="294"/>
      <c r="K1566" s="1259"/>
      <c r="L1566" s="431"/>
      <c r="M1566" s="431"/>
      <c r="N1566" s="431"/>
    </row>
    <row r="1567" spans="1:14" s="398" customFormat="1" hidden="1" outlineLevel="1">
      <c r="A1567" s="1221"/>
      <c r="B1567" s="425"/>
      <c r="C1567" s="165" t="s">
        <v>2</v>
      </c>
      <c r="D1567" s="437">
        <v>2</v>
      </c>
      <c r="E1567" s="414"/>
      <c r="F1567" s="486">
        <f>5.08+0.345*1</f>
        <v>5.4249999999999998</v>
      </c>
      <c r="G1567" s="486">
        <v>0.34499999999999997</v>
      </c>
      <c r="H1567" s="486">
        <v>0.3</v>
      </c>
      <c r="I1567" s="399">
        <f t="shared" si="42"/>
        <v>1.1200000000000001</v>
      </c>
      <c r="J1567" s="294"/>
      <c r="K1567" s="1259"/>
      <c r="L1567" s="431"/>
      <c r="M1567" s="431"/>
      <c r="N1567" s="431"/>
    </row>
    <row r="1568" spans="1:14" s="398" customFormat="1" hidden="1" outlineLevel="1">
      <c r="A1568" s="1221"/>
      <c r="B1568" s="425"/>
      <c r="C1568" s="165" t="s">
        <v>2</v>
      </c>
      <c r="D1568" s="437">
        <v>2</v>
      </c>
      <c r="E1568" s="414"/>
      <c r="F1568" s="486">
        <f>5.08+0.23*1</f>
        <v>5.3100000000000005</v>
      </c>
      <c r="G1568" s="486">
        <v>0.23</v>
      </c>
      <c r="H1568" s="486">
        <v>0.19</v>
      </c>
      <c r="I1568" s="399">
        <f t="shared" si="42"/>
        <v>0.46</v>
      </c>
      <c r="J1568" s="294"/>
      <c r="K1568" s="1259"/>
      <c r="L1568" s="431"/>
      <c r="M1568" s="431"/>
      <c r="N1568" s="431"/>
    </row>
    <row r="1569" spans="1:14" s="398" customFormat="1" hidden="1" outlineLevel="1">
      <c r="A1569" s="1221"/>
      <c r="B1569" s="425"/>
      <c r="C1569" s="165" t="s">
        <v>2</v>
      </c>
      <c r="D1569" s="438">
        <v>2</v>
      </c>
      <c r="E1569" s="414"/>
      <c r="F1569" s="486">
        <f>5.98+0.46</f>
        <v>6.44</v>
      </c>
      <c r="G1569" s="486">
        <v>0.46</v>
      </c>
      <c r="H1569" s="486">
        <v>0.3</v>
      </c>
      <c r="I1569" s="399">
        <f t="shared" si="42"/>
        <v>1.78</v>
      </c>
      <c r="J1569" s="294"/>
      <c r="K1569" s="1259"/>
      <c r="L1569" s="431"/>
      <c r="M1569" s="431"/>
      <c r="N1569" s="431"/>
    </row>
    <row r="1570" spans="1:14" s="398" customFormat="1" hidden="1" outlineLevel="1">
      <c r="A1570" s="1221"/>
      <c r="B1570" s="425"/>
      <c r="C1570" s="165" t="s">
        <v>2</v>
      </c>
      <c r="D1570" s="438">
        <v>2</v>
      </c>
      <c r="E1570" s="414"/>
      <c r="F1570" s="486">
        <f>5.98+0.345</f>
        <v>6.3250000000000002</v>
      </c>
      <c r="G1570" s="486">
        <v>0.34499999999999997</v>
      </c>
      <c r="H1570" s="486">
        <v>0.3</v>
      </c>
      <c r="I1570" s="399">
        <f t="shared" si="42"/>
        <v>1.31</v>
      </c>
      <c r="J1570" s="294"/>
      <c r="K1570" s="1259"/>
      <c r="L1570" s="431"/>
      <c r="M1570" s="431"/>
      <c r="N1570" s="431"/>
    </row>
    <row r="1571" spans="1:14" s="398" customFormat="1" hidden="1" outlineLevel="1">
      <c r="A1571" s="1221"/>
      <c r="B1571" s="425"/>
      <c r="C1571" s="165" t="s">
        <v>2</v>
      </c>
      <c r="D1571" s="438">
        <v>2</v>
      </c>
      <c r="E1571" s="414"/>
      <c r="F1571" s="486">
        <f>5.98+0.23</f>
        <v>6.2100000000000009</v>
      </c>
      <c r="G1571" s="486">
        <v>0.23</v>
      </c>
      <c r="H1571" s="486">
        <v>0.19</v>
      </c>
      <c r="I1571" s="399">
        <f t="shared" si="42"/>
        <v>0.54</v>
      </c>
      <c r="J1571" s="294"/>
      <c r="K1571" s="1259"/>
      <c r="L1571" s="431"/>
      <c r="M1571" s="431"/>
      <c r="N1571" s="431"/>
    </row>
    <row r="1572" spans="1:14" s="398" customFormat="1" hidden="1" outlineLevel="1">
      <c r="A1572" s="1221"/>
      <c r="B1572" s="425"/>
      <c r="C1572" s="165" t="s">
        <v>2</v>
      </c>
      <c r="D1572" s="437">
        <v>1</v>
      </c>
      <c r="E1572" s="414"/>
      <c r="F1572" s="486">
        <f>7.18+1.5+0.46*2</f>
        <v>9.6</v>
      </c>
      <c r="G1572" s="486">
        <v>0.46</v>
      </c>
      <c r="H1572" s="486">
        <v>0.3</v>
      </c>
      <c r="I1572" s="399">
        <f t="shared" si="42"/>
        <v>1.32</v>
      </c>
      <c r="J1572" s="294"/>
      <c r="K1572" s="1259"/>
      <c r="L1572" s="431"/>
      <c r="M1572" s="431"/>
      <c r="N1572" s="431"/>
    </row>
    <row r="1573" spans="1:14" s="398" customFormat="1" hidden="1" outlineLevel="1">
      <c r="A1573" s="1221"/>
      <c r="B1573" s="425"/>
      <c r="C1573" s="165" t="s">
        <v>2</v>
      </c>
      <c r="D1573" s="437">
        <v>1</v>
      </c>
      <c r="E1573" s="414"/>
      <c r="F1573" s="486">
        <f>7.18+1.5+0.345*2</f>
        <v>9.3699999999999992</v>
      </c>
      <c r="G1573" s="486">
        <v>0.34499999999999997</v>
      </c>
      <c r="H1573" s="486">
        <v>0.3</v>
      </c>
      <c r="I1573" s="399">
        <f t="shared" si="42"/>
        <v>0.97</v>
      </c>
      <c r="J1573" s="294"/>
      <c r="K1573" s="1259"/>
      <c r="L1573" s="431"/>
      <c r="M1573" s="431"/>
      <c r="N1573" s="431"/>
    </row>
    <row r="1574" spans="1:14" s="398" customFormat="1" hidden="1" outlineLevel="1">
      <c r="A1574" s="1221"/>
      <c r="B1574" s="425"/>
      <c r="C1574" s="165" t="s">
        <v>2</v>
      </c>
      <c r="D1574" s="437">
        <v>1</v>
      </c>
      <c r="E1574" s="414"/>
      <c r="F1574" s="486">
        <f>7.18+1.5+0.23*2</f>
        <v>9.14</v>
      </c>
      <c r="G1574" s="486">
        <v>0.23</v>
      </c>
      <c r="H1574" s="486">
        <v>0.19</v>
      </c>
      <c r="I1574" s="399">
        <f t="shared" si="42"/>
        <v>0.4</v>
      </c>
      <c r="J1574" s="294"/>
      <c r="K1574" s="1259"/>
      <c r="L1574" s="431"/>
      <c r="M1574" s="431"/>
      <c r="N1574" s="431"/>
    </row>
    <row r="1575" spans="1:14" s="398" customFormat="1" hidden="1" outlineLevel="1">
      <c r="A1575" s="1221"/>
      <c r="B1575" s="425"/>
      <c r="C1575" s="165" t="s">
        <v>2</v>
      </c>
      <c r="D1575" s="437">
        <v>1</v>
      </c>
      <c r="E1575" s="414"/>
      <c r="F1575" s="662">
        <f>7.18+2+1.5+0.46*2</f>
        <v>11.6</v>
      </c>
      <c r="G1575" s="486">
        <v>0.46</v>
      </c>
      <c r="H1575" s="486">
        <v>0.3</v>
      </c>
      <c r="I1575" s="399">
        <f t="shared" si="42"/>
        <v>1.6</v>
      </c>
      <c r="J1575" s="294"/>
      <c r="K1575" s="1259"/>
      <c r="L1575" s="431"/>
      <c r="M1575" s="431"/>
      <c r="N1575" s="431"/>
    </row>
    <row r="1576" spans="1:14" s="398" customFormat="1" hidden="1" outlineLevel="1">
      <c r="A1576" s="1221"/>
      <c r="B1576" s="425"/>
      <c r="C1576" s="165" t="s">
        <v>2</v>
      </c>
      <c r="D1576" s="437">
        <v>1</v>
      </c>
      <c r="E1576" s="414"/>
      <c r="F1576" s="662">
        <f>7.18+2+1.5+0.345*2</f>
        <v>11.37</v>
      </c>
      <c r="G1576" s="486">
        <v>0.34499999999999997</v>
      </c>
      <c r="H1576" s="486">
        <v>0.3</v>
      </c>
      <c r="I1576" s="399">
        <f t="shared" si="42"/>
        <v>1.18</v>
      </c>
      <c r="J1576" s="294"/>
      <c r="K1576" s="1259"/>
      <c r="L1576" s="431"/>
      <c r="M1576" s="431"/>
      <c r="N1576" s="431"/>
    </row>
    <row r="1577" spans="1:14" s="398" customFormat="1" hidden="1" outlineLevel="1">
      <c r="A1577" s="1221"/>
      <c r="B1577" s="425"/>
      <c r="C1577" s="165" t="s">
        <v>2</v>
      </c>
      <c r="D1577" s="437">
        <v>1</v>
      </c>
      <c r="E1577" s="414"/>
      <c r="F1577" s="662">
        <f>7.18+2+1.5+0.23*2</f>
        <v>11.14</v>
      </c>
      <c r="G1577" s="486">
        <v>0.23</v>
      </c>
      <c r="H1577" s="486">
        <v>0.19</v>
      </c>
      <c r="I1577" s="399">
        <f t="shared" si="42"/>
        <v>0.49</v>
      </c>
      <c r="J1577" s="294"/>
      <c r="K1577" s="1259"/>
      <c r="L1577" s="431"/>
      <c r="M1577" s="431"/>
      <c r="N1577" s="431"/>
    </row>
    <row r="1578" spans="1:14" s="398" customFormat="1" ht="34.5" hidden="1" outlineLevel="1">
      <c r="A1578" s="1221"/>
      <c r="B1578" s="425" t="s">
        <v>141</v>
      </c>
      <c r="C1578" s="165" t="s">
        <v>2</v>
      </c>
      <c r="D1578" s="437">
        <v>3</v>
      </c>
      <c r="E1578" s="414"/>
      <c r="F1578" s="486">
        <v>0.61499999999999999</v>
      </c>
      <c r="G1578" s="486">
        <v>0.46</v>
      </c>
      <c r="H1578" s="486">
        <v>0.3</v>
      </c>
      <c r="I1578" s="399">
        <f t="shared" si="42"/>
        <v>0.25</v>
      </c>
      <c r="J1578" s="294"/>
      <c r="K1578" s="1259"/>
      <c r="L1578" s="431"/>
      <c r="M1578" s="431"/>
      <c r="N1578" s="431"/>
    </row>
    <row r="1579" spans="1:14" s="398" customFormat="1" hidden="1" outlineLevel="1">
      <c r="A1579" s="1221"/>
      <c r="B1579" s="425" t="s">
        <v>118</v>
      </c>
      <c r="C1579" s="165" t="s">
        <v>2</v>
      </c>
      <c r="D1579" s="437">
        <v>3</v>
      </c>
      <c r="E1579" s="414"/>
      <c r="F1579" s="486">
        <v>0.61499999999999999</v>
      </c>
      <c r="G1579" s="486">
        <v>0.34499999999999997</v>
      </c>
      <c r="H1579" s="486">
        <v>0.3</v>
      </c>
      <c r="I1579" s="399">
        <f t="shared" si="42"/>
        <v>0.19</v>
      </c>
      <c r="J1579" s="294"/>
      <c r="K1579" s="1259"/>
      <c r="L1579" s="431"/>
      <c r="M1579" s="431"/>
      <c r="N1579" s="431"/>
    </row>
    <row r="1580" spans="1:14" s="398" customFormat="1" hidden="1" outlineLevel="1">
      <c r="A1580" s="1221"/>
      <c r="B1580" s="425"/>
      <c r="C1580" s="165" t="s">
        <v>2</v>
      </c>
      <c r="D1580" s="437">
        <v>3</v>
      </c>
      <c r="E1580" s="414"/>
      <c r="F1580" s="486">
        <v>0.61499999999999999</v>
      </c>
      <c r="G1580" s="486">
        <v>0.23</v>
      </c>
      <c r="H1580" s="486">
        <v>0.19</v>
      </c>
      <c r="I1580" s="399">
        <f t="shared" si="42"/>
        <v>0.08</v>
      </c>
      <c r="J1580" s="294"/>
      <c r="K1580" s="1259"/>
      <c r="L1580" s="431"/>
      <c r="M1580" s="431"/>
      <c r="N1580" s="431"/>
    </row>
    <row r="1581" spans="1:14" s="398" customFormat="1" hidden="1" outlineLevel="1">
      <c r="A1581" s="1221"/>
      <c r="B1581" s="425"/>
      <c r="C1581" s="165" t="s">
        <v>2</v>
      </c>
      <c r="D1581" s="437">
        <v>6</v>
      </c>
      <c r="E1581" s="414"/>
      <c r="F1581" s="486">
        <v>3.36</v>
      </c>
      <c r="G1581" s="486">
        <v>0.46</v>
      </c>
      <c r="H1581" s="486">
        <v>0.3</v>
      </c>
      <c r="I1581" s="399">
        <f t="shared" si="42"/>
        <v>2.78</v>
      </c>
      <c r="J1581" s="294"/>
      <c r="K1581" s="1259"/>
      <c r="L1581" s="431"/>
      <c r="M1581" s="431"/>
      <c r="N1581" s="431"/>
    </row>
    <row r="1582" spans="1:14" s="398" customFormat="1" hidden="1" outlineLevel="1">
      <c r="A1582" s="1221"/>
      <c r="B1582" s="425"/>
      <c r="C1582" s="165" t="s">
        <v>2</v>
      </c>
      <c r="D1582" s="437">
        <v>6</v>
      </c>
      <c r="E1582" s="414"/>
      <c r="F1582" s="486">
        <v>3.36</v>
      </c>
      <c r="G1582" s="486">
        <v>0.34499999999999997</v>
      </c>
      <c r="H1582" s="486">
        <v>0.3</v>
      </c>
      <c r="I1582" s="399">
        <f t="shared" si="42"/>
        <v>2.09</v>
      </c>
      <c r="J1582" s="294"/>
      <c r="K1582" s="1259"/>
      <c r="L1582" s="431"/>
      <c r="M1582" s="431"/>
      <c r="N1582" s="431"/>
    </row>
    <row r="1583" spans="1:14" s="398" customFormat="1" hidden="1" outlineLevel="1">
      <c r="A1583" s="1221"/>
      <c r="B1583" s="425"/>
      <c r="C1583" s="165" t="s">
        <v>2</v>
      </c>
      <c r="D1583" s="437">
        <v>6</v>
      </c>
      <c r="E1583" s="414"/>
      <c r="F1583" s="486">
        <v>3.36</v>
      </c>
      <c r="G1583" s="486">
        <v>0.23</v>
      </c>
      <c r="H1583" s="486">
        <v>0.19</v>
      </c>
      <c r="I1583" s="399">
        <f t="shared" si="42"/>
        <v>0.88</v>
      </c>
      <c r="J1583" s="294"/>
      <c r="K1583" s="1259"/>
      <c r="L1583" s="431"/>
      <c r="M1583" s="431"/>
      <c r="N1583" s="431"/>
    </row>
    <row r="1584" spans="1:14" s="398" customFormat="1" hidden="1" outlineLevel="1">
      <c r="A1584" s="1221"/>
      <c r="B1584" s="425"/>
      <c r="C1584" s="165" t="s">
        <v>2</v>
      </c>
      <c r="D1584" s="437">
        <v>7</v>
      </c>
      <c r="E1584" s="414"/>
      <c r="F1584" s="486">
        <f>2.13-0.46*2</f>
        <v>1.21</v>
      </c>
      <c r="G1584" s="486">
        <v>0.46</v>
      </c>
      <c r="H1584" s="486">
        <v>0.3</v>
      </c>
      <c r="I1584" s="399">
        <f t="shared" si="42"/>
        <v>1.17</v>
      </c>
      <c r="J1584" s="294"/>
      <c r="K1584" s="1259"/>
      <c r="L1584" s="431"/>
      <c r="M1584" s="431"/>
      <c r="N1584" s="431"/>
    </row>
    <row r="1585" spans="1:14" s="398" customFormat="1" hidden="1" outlineLevel="1">
      <c r="A1585" s="1221"/>
      <c r="B1585" s="425"/>
      <c r="C1585" s="165" t="s">
        <v>2</v>
      </c>
      <c r="D1585" s="437">
        <v>7</v>
      </c>
      <c r="E1585" s="414"/>
      <c r="F1585" s="486">
        <f>2.13-0.345*2</f>
        <v>1.44</v>
      </c>
      <c r="G1585" s="486">
        <v>0.34499999999999997</v>
      </c>
      <c r="H1585" s="486">
        <v>0.3</v>
      </c>
      <c r="I1585" s="399">
        <f t="shared" si="42"/>
        <v>1.04</v>
      </c>
      <c r="J1585" s="294"/>
      <c r="K1585" s="1259"/>
      <c r="L1585" s="431"/>
      <c r="M1585" s="431"/>
      <c r="N1585" s="431"/>
    </row>
    <row r="1586" spans="1:14" s="398" customFormat="1" hidden="1" outlineLevel="1">
      <c r="A1586" s="1221"/>
      <c r="B1586" s="425"/>
      <c r="C1586" s="165" t="s">
        <v>2</v>
      </c>
      <c r="D1586" s="437">
        <v>7</v>
      </c>
      <c r="E1586" s="414"/>
      <c r="F1586" s="486">
        <f>2.13-0.23*2</f>
        <v>1.67</v>
      </c>
      <c r="G1586" s="486">
        <v>0.23</v>
      </c>
      <c r="H1586" s="486">
        <v>0.19</v>
      </c>
      <c r="I1586" s="399">
        <f t="shared" si="42"/>
        <v>0.51</v>
      </c>
      <c r="J1586" s="294"/>
      <c r="K1586" s="1259"/>
      <c r="L1586" s="431"/>
      <c r="M1586" s="431"/>
      <c r="N1586" s="431"/>
    </row>
    <row r="1587" spans="1:14" s="398" customFormat="1" hidden="1" outlineLevel="1">
      <c r="A1587" s="1221"/>
      <c r="B1587" s="425"/>
      <c r="C1587" s="165" t="s">
        <v>2</v>
      </c>
      <c r="D1587" s="437">
        <v>1</v>
      </c>
      <c r="E1587" s="414"/>
      <c r="F1587" s="486">
        <f>2.745-0.46</f>
        <v>2.2850000000000001</v>
      </c>
      <c r="G1587" s="486">
        <v>0.46</v>
      </c>
      <c r="H1587" s="486">
        <v>0.3</v>
      </c>
      <c r="I1587" s="399">
        <f t="shared" si="42"/>
        <v>0.32</v>
      </c>
      <c r="J1587" s="294"/>
      <c r="K1587" s="1259"/>
      <c r="L1587" s="431"/>
      <c r="M1587" s="431"/>
      <c r="N1587" s="431"/>
    </row>
    <row r="1588" spans="1:14" s="398" customFormat="1" hidden="1" outlineLevel="1">
      <c r="A1588" s="1221"/>
      <c r="B1588" s="425"/>
      <c r="C1588" s="165" t="s">
        <v>2</v>
      </c>
      <c r="D1588" s="437">
        <v>1</v>
      </c>
      <c r="E1588" s="414"/>
      <c r="F1588" s="486">
        <f>2.745-0.345</f>
        <v>2.4000000000000004</v>
      </c>
      <c r="G1588" s="486">
        <v>0.34499999999999997</v>
      </c>
      <c r="H1588" s="486">
        <v>0.3</v>
      </c>
      <c r="I1588" s="399">
        <f t="shared" si="42"/>
        <v>0.25</v>
      </c>
      <c r="J1588" s="294"/>
      <c r="K1588" s="1259"/>
      <c r="L1588" s="431"/>
      <c r="M1588" s="431"/>
      <c r="N1588" s="431"/>
    </row>
    <row r="1589" spans="1:14" s="398" customFormat="1" hidden="1" outlineLevel="1">
      <c r="A1589" s="1221"/>
      <c r="B1589" s="425"/>
      <c r="C1589" s="165" t="s">
        <v>2</v>
      </c>
      <c r="D1589" s="437">
        <v>1</v>
      </c>
      <c r="E1589" s="414"/>
      <c r="F1589" s="486">
        <f>2.745-0.23</f>
        <v>2.5150000000000001</v>
      </c>
      <c r="G1589" s="486">
        <v>0.23</v>
      </c>
      <c r="H1589" s="486">
        <v>0.19</v>
      </c>
      <c r="I1589" s="399">
        <f t="shared" si="42"/>
        <v>0.11</v>
      </c>
      <c r="J1589" s="294"/>
      <c r="K1589" s="1259"/>
      <c r="L1589" s="431"/>
      <c r="M1589" s="431"/>
      <c r="N1589" s="431"/>
    </row>
    <row r="1590" spans="1:14" s="398" customFormat="1" hidden="1" outlineLevel="1">
      <c r="A1590" s="1221"/>
      <c r="B1590" s="425" t="s">
        <v>140</v>
      </c>
      <c r="C1590" s="165" t="s">
        <v>2</v>
      </c>
      <c r="D1590" s="437">
        <v>4</v>
      </c>
      <c r="E1590" s="414"/>
      <c r="F1590" s="486">
        <v>3</v>
      </c>
      <c r="G1590" s="486">
        <v>0.115</v>
      </c>
      <c r="H1590" s="486">
        <v>0.35499999999999998</v>
      </c>
      <c r="I1590" s="399">
        <f t="shared" si="42"/>
        <v>0.49</v>
      </c>
      <c r="J1590" s="294"/>
      <c r="K1590" s="1259"/>
      <c r="L1590" s="431"/>
      <c r="M1590" s="431"/>
      <c r="N1590" s="431"/>
    </row>
    <row r="1591" spans="1:14" s="398" customFormat="1" hidden="1" outlineLevel="1">
      <c r="A1591" s="1221"/>
      <c r="B1591" s="425"/>
      <c r="C1591" s="165" t="s">
        <v>2</v>
      </c>
      <c r="D1591" s="437">
        <v>4</v>
      </c>
      <c r="E1591" s="414"/>
      <c r="F1591" s="486">
        <v>3</v>
      </c>
      <c r="G1591" s="486">
        <v>0.3</v>
      </c>
      <c r="H1591" s="486">
        <v>0.22500000000000001</v>
      </c>
      <c r="I1591" s="399">
        <f t="shared" si="42"/>
        <v>0.81</v>
      </c>
      <c r="J1591" s="294"/>
      <c r="K1591" s="1259"/>
      <c r="L1591" s="431"/>
      <c r="M1591" s="431"/>
      <c r="N1591" s="431"/>
    </row>
    <row r="1592" spans="1:14" s="398" customFormat="1" hidden="1" outlineLevel="1">
      <c r="A1592" s="1221"/>
      <c r="B1592" s="425" t="s">
        <v>119</v>
      </c>
      <c r="C1592" s="165" t="s">
        <v>2</v>
      </c>
      <c r="D1592" s="437">
        <v>1</v>
      </c>
      <c r="E1592" s="414"/>
      <c r="F1592" s="486">
        <f>7.4+0.46*2</f>
        <v>8.32</v>
      </c>
      <c r="G1592" s="486">
        <v>0.46</v>
      </c>
      <c r="H1592" s="486">
        <v>0.3</v>
      </c>
      <c r="I1592" s="399">
        <f t="shared" si="42"/>
        <v>1.1499999999999999</v>
      </c>
      <c r="J1592" s="294"/>
      <c r="K1592" s="1259"/>
      <c r="L1592" s="431"/>
      <c r="M1592" s="431"/>
      <c r="N1592" s="431"/>
    </row>
    <row r="1593" spans="1:14" s="398" customFormat="1" hidden="1" outlineLevel="1">
      <c r="A1593" s="1221"/>
      <c r="B1593" s="425" t="s">
        <v>120</v>
      </c>
      <c r="C1593" s="165" t="s">
        <v>2</v>
      </c>
      <c r="D1593" s="437">
        <v>1</v>
      </c>
      <c r="E1593" s="414"/>
      <c r="F1593" s="486">
        <f>7.4+0.345*2</f>
        <v>8.09</v>
      </c>
      <c r="G1593" s="486">
        <v>0.34499999999999997</v>
      </c>
      <c r="H1593" s="486">
        <v>0.3</v>
      </c>
      <c r="I1593" s="399">
        <f t="shared" si="42"/>
        <v>0.84</v>
      </c>
      <c r="J1593" s="294"/>
      <c r="K1593" s="1259"/>
      <c r="L1593" s="431"/>
      <c r="M1593" s="431"/>
      <c r="N1593" s="431"/>
    </row>
    <row r="1594" spans="1:14" s="398" customFormat="1" hidden="1" outlineLevel="1">
      <c r="A1594" s="1221"/>
      <c r="B1594" s="425"/>
      <c r="C1594" s="165" t="s">
        <v>2</v>
      </c>
      <c r="D1594" s="437">
        <v>1</v>
      </c>
      <c r="E1594" s="414"/>
      <c r="F1594" s="486">
        <f>7.4+0.23*2</f>
        <v>7.86</v>
      </c>
      <c r="G1594" s="486">
        <v>0.23</v>
      </c>
      <c r="H1594" s="486">
        <v>0.19</v>
      </c>
      <c r="I1594" s="399">
        <f t="shared" si="42"/>
        <v>0.34</v>
      </c>
      <c r="J1594" s="294"/>
      <c r="K1594" s="1259"/>
      <c r="L1594" s="431"/>
      <c r="M1594" s="431"/>
      <c r="N1594" s="431"/>
    </row>
    <row r="1595" spans="1:14" s="398" customFormat="1" hidden="1" outlineLevel="1">
      <c r="A1595" s="1221"/>
      <c r="B1595" s="425"/>
      <c r="C1595" s="165" t="s">
        <v>2</v>
      </c>
      <c r="D1595" s="437">
        <v>1</v>
      </c>
      <c r="E1595" s="414"/>
      <c r="F1595" s="486">
        <f>3+2.4+0.46</f>
        <v>5.86</v>
      </c>
      <c r="G1595" s="486">
        <v>0.46</v>
      </c>
      <c r="H1595" s="486">
        <v>0.3</v>
      </c>
      <c r="I1595" s="399">
        <f t="shared" si="42"/>
        <v>0.81</v>
      </c>
      <c r="J1595" s="294"/>
      <c r="K1595" s="1259"/>
      <c r="L1595" s="431"/>
      <c r="M1595" s="431"/>
      <c r="N1595" s="431"/>
    </row>
    <row r="1596" spans="1:14" s="398" customFormat="1" hidden="1" outlineLevel="1">
      <c r="A1596" s="1221"/>
      <c r="B1596" s="425"/>
      <c r="C1596" s="165" t="s">
        <v>2</v>
      </c>
      <c r="D1596" s="437">
        <v>1</v>
      </c>
      <c r="E1596" s="414"/>
      <c r="F1596" s="486">
        <f>3+2.4+0.345</f>
        <v>5.7450000000000001</v>
      </c>
      <c r="G1596" s="486">
        <v>0.34499999999999997</v>
      </c>
      <c r="H1596" s="486">
        <v>0.3</v>
      </c>
      <c r="I1596" s="399">
        <f t="shared" si="42"/>
        <v>0.59</v>
      </c>
      <c r="J1596" s="294"/>
      <c r="K1596" s="1259"/>
      <c r="L1596" s="431"/>
      <c r="M1596" s="431"/>
      <c r="N1596" s="431"/>
    </row>
    <row r="1597" spans="1:14" s="398" customFormat="1" hidden="1" outlineLevel="1">
      <c r="A1597" s="1221"/>
      <c r="B1597" s="425"/>
      <c r="C1597" s="165" t="s">
        <v>2</v>
      </c>
      <c r="D1597" s="437">
        <v>1</v>
      </c>
      <c r="E1597" s="414"/>
      <c r="F1597" s="486">
        <f>3+2.4+0.23</f>
        <v>5.6300000000000008</v>
      </c>
      <c r="G1597" s="486">
        <v>0.23</v>
      </c>
      <c r="H1597" s="486">
        <v>0.19</v>
      </c>
      <c r="I1597" s="399">
        <f t="shared" si="42"/>
        <v>0.25</v>
      </c>
      <c r="J1597" s="294"/>
      <c r="K1597" s="1259"/>
      <c r="L1597" s="431"/>
      <c r="M1597" s="431"/>
      <c r="N1597" s="431"/>
    </row>
    <row r="1598" spans="1:14" s="398" customFormat="1" hidden="1" outlineLevel="1">
      <c r="A1598" s="1221"/>
      <c r="B1598" s="425"/>
      <c r="C1598" s="165" t="s">
        <v>2</v>
      </c>
      <c r="D1598" s="437">
        <v>2</v>
      </c>
      <c r="E1598" s="414"/>
      <c r="F1598" s="486">
        <f>2.235+1.8+3-1.035+0.46</f>
        <v>6.46</v>
      </c>
      <c r="G1598" s="486">
        <v>0.46</v>
      </c>
      <c r="H1598" s="486">
        <v>0.3</v>
      </c>
      <c r="I1598" s="399">
        <f t="shared" si="42"/>
        <v>1.78</v>
      </c>
      <c r="J1598" s="294"/>
      <c r="K1598" s="1259"/>
      <c r="L1598" s="431"/>
      <c r="M1598" s="431"/>
      <c r="N1598" s="431"/>
    </row>
    <row r="1599" spans="1:14" s="398" customFormat="1" hidden="1" outlineLevel="1">
      <c r="A1599" s="1221"/>
      <c r="B1599" s="425"/>
      <c r="C1599" s="165" t="s">
        <v>2</v>
      </c>
      <c r="D1599" s="437">
        <v>2</v>
      </c>
      <c r="E1599" s="414"/>
      <c r="F1599" s="486">
        <f>2.235+1.8+3-1.035+0.345</f>
        <v>6.3449999999999998</v>
      </c>
      <c r="G1599" s="486">
        <v>0.34499999999999997</v>
      </c>
      <c r="H1599" s="486">
        <v>0.3</v>
      </c>
      <c r="I1599" s="399">
        <f t="shared" si="42"/>
        <v>1.31</v>
      </c>
      <c r="J1599" s="294"/>
      <c r="K1599" s="1259"/>
      <c r="L1599" s="431"/>
      <c r="M1599" s="431"/>
      <c r="N1599" s="431"/>
    </row>
    <row r="1600" spans="1:14" s="398" customFormat="1" hidden="1" outlineLevel="1">
      <c r="A1600" s="1221"/>
      <c r="B1600" s="425"/>
      <c r="C1600" s="165" t="s">
        <v>2</v>
      </c>
      <c r="D1600" s="437">
        <v>2</v>
      </c>
      <c r="E1600" s="414"/>
      <c r="F1600" s="486">
        <f>2.235+1.8+3-1.035+0.23</f>
        <v>6.23</v>
      </c>
      <c r="G1600" s="486">
        <v>0.23</v>
      </c>
      <c r="H1600" s="486">
        <v>0.19</v>
      </c>
      <c r="I1600" s="399">
        <f t="shared" si="42"/>
        <v>0.54</v>
      </c>
      <c r="J1600" s="294"/>
      <c r="K1600" s="1259"/>
      <c r="L1600" s="431"/>
      <c r="M1600" s="431"/>
      <c r="N1600" s="431"/>
    </row>
    <row r="1601" spans="1:14" s="398" customFormat="1" hidden="1" outlineLevel="1">
      <c r="A1601" s="1221"/>
      <c r="B1601" s="425"/>
      <c r="C1601" s="165" t="s">
        <v>2</v>
      </c>
      <c r="D1601" s="437">
        <v>2</v>
      </c>
      <c r="E1601" s="414"/>
      <c r="F1601" s="486">
        <f>3+1.8+0.46</f>
        <v>5.26</v>
      </c>
      <c r="G1601" s="486">
        <v>0.46</v>
      </c>
      <c r="H1601" s="486">
        <v>0.3</v>
      </c>
      <c r="I1601" s="399">
        <f t="shared" si="42"/>
        <v>1.45</v>
      </c>
      <c r="J1601" s="294"/>
      <c r="K1601" s="1259"/>
      <c r="L1601" s="431"/>
      <c r="M1601" s="431"/>
      <c r="N1601" s="431"/>
    </row>
    <row r="1602" spans="1:14" s="398" customFormat="1" hidden="1" outlineLevel="1">
      <c r="A1602" s="1221"/>
      <c r="B1602" s="425"/>
      <c r="C1602" s="165" t="s">
        <v>2</v>
      </c>
      <c r="D1602" s="437">
        <v>2</v>
      </c>
      <c r="E1602" s="414"/>
      <c r="F1602" s="486">
        <f>3+1.8+0.345</f>
        <v>5.1449999999999996</v>
      </c>
      <c r="G1602" s="486">
        <v>0.34499999999999997</v>
      </c>
      <c r="H1602" s="486">
        <v>0.3</v>
      </c>
      <c r="I1602" s="399">
        <f t="shared" si="42"/>
        <v>1.07</v>
      </c>
      <c r="J1602" s="294"/>
      <c r="K1602" s="1259"/>
      <c r="L1602" s="431"/>
      <c r="M1602" s="431"/>
      <c r="N1602" s="431"/>
    </row>
    <row r="1603" spans="1:14" s="398" customFormat="1" hidden="1" outlineLevel="1">
      <c r="A1603" s="1221"/>
      <c r="B1603" s="425"/>
      <c r="C1603" s="165" t="s">
        <v>2</v>
      </c>
      <c r="D1603" s="437">
        <v>2</v>
      </c>
      <c r="E1603" s="414"/>
      <c r="F1603" s="486">
        <f>3+1.8+0.23</f>
        <v>5.03</v>
      </c>
      <c r="G1603" s="486">
        <v>0.23</v>
      </c>
      <c r="H1603" s="486">
        <v>0.19</v>
      </c>
      <c r="I1603" s="399">
        <f t="shared" si="42"/>
        <v>0.44</v>
      </c>
      <c r="J1603" s="294"/>
      <c r="K1603" s="1259"/>
      <c r="L1603" s="431"/>
      <c r="M1603" s="431"/>
      <c r="N1603" s="431"/>
    </row>
    <row r="1604" spans="1:14" s="398" customFormat="1" hidden="1" outlineLevel="1">
      <c r="A1604" s="1221"/>
      <c r="B1604" s="425"/>
      <c r="C1604" s="165" t="s">
        <v>2</v>
      </c>
      <c r="D1604" s="437">
        <v>2</v>
      </c>
      <c r="E1604" s="414"/>
      <c r="F1604" s="486">
        <f>3+1.8+1.2+0.46*2</f>
        <v>6.92</v>
      </c>
      <c r="G1604" s="486">
        <v>0.46</v>
      </c>
      <c r="H1604" s="486">
        <v>0.3</v>
      </c>
      <c r="I1604" s="399">
        <f t="shared" si="42"/>
        <v>1.91</v>
      </c>
      <c r="J1604" s="294"/>
      <c r="K1604" s="1259"/>
      <c r="L1604" s="431"/>
      <c r="M1604" s="431"/>
      <c r="N1604" s="431"/>
    </row>
    <row r="1605" spans="1:14" s="398" customFormat="1" hidden="1" outlineLevel="1">
      <c r="A1605" s="1221"/>
      <c r="B1605" s="425"/>
      <c r="C1605" s="165" t="s">
        <v>2</v>
      </c>
      <c r="D1605" s="437">
        <v>2</v>
      </c>
      <c r="E1605" s="414"/>
      <c r="F1605" s="486">
        <f>3+1.8+1.2+0.345*2</f>
        <v>6.6899999999999995</v>
      </c>
      <c r="G1605" s="486">
        <v>0.34499999999999997</v>
      </c>
      <c r="H1605" s="486">
        <v>0.3</v>
      </c>
      <c r="I1605" s="399">
        <f t="shared" si="42"/>
        <v>1.38</v>
      </c>
      <c r="J1605" s="294"/>
      <c r="K1605" s="1259"/>
      <c r="L1605" s="431"/>
      <c r="M1605" s="431"/>
      <c r="N1605" s="431"/>
    </row>
    <row r="1606" spans="1:14" s="398" customFormat="1" hidden="1" outlineLevel="1">
      <c r="A1606" s="1221"/>
      <c r="B1606" s="425"/>
      <c r="C1606" s="165" t="s">
        <v>2</v>
      </c>
      <c r="D1606" s="437">
        <v>2</v>
      </c>
      <c r="E1606" s="414"/>
      <c r="F1606" s="486">
        <f>3+1.8+1.2+0.23*2</f>
        <v>6.46</v>
      </c>
      <c r="G1606" s="486">
        <v>0.23</v>
      </c>
      <c r="H1606" s="486">
        <v>0.19</v>
      </c>
      <c r="I1606" s="399">
        <f t="shared" si="42"/>
        <v>0.56000000000000005</v>
      </c>
      <c r="J1606" s="294"/>
      <c r="K1606" s="1259"/>
      <c r="L1606" s="431"/>
      <c r="M1606" s="431"/>
      <c r="N1606" s="431"/>
    </row>
    <row r="1607" spans="1:14" s="398" customFormat="1" hidden="1" outlineLevel="1">
      <c r="A1607" s="1221"/>
      <c r="B1607" s="425"/>
      <c r="C1607" s="165" t="s">
        <v>2</v>
      </c>
      <c r="D1607" s="437">
        <v>2</v>
      </c>
      <c r="E1607" s="414"/>
      <c r="F1607" s="662">
        <f>3.2+1.2+0.46</f>
        <v>4.8600000000000003</v>
      </c>
      <c r="G1607" s="486">
        <v>0.46</v>
      </c>
      <c r="H1607" s="486">
        <v>0.3</v>
      </c>
      <c r="I1607" s="399">
        <f t="shared" si="42"/>
        <v>1.34</v>
      </c>
      <c r="J1607" s="294"/>
      <c r="K1607" s="1259"/>
      <c r="L1607" s="431"/>
      <c r="M1607" s="431"/>
      <c r="N1607" s="431"/>
    </row>
    <row r="1608" spans="1:14" s="398" customFormat="1" hidden="1" outlineLevel="1">
      <c r="A1608" s="1221"/>
      <c r="B1608" s="425"/>
      <c r="C1608" s="165" t="s">
        <v>2</v>
      </c>
      <c r="D1608" s="437">
        <v>2</v>
      </c>
      <c r="E1608" s="414"/>
      <c r="F1608" s="662">
        <f>3.2+1.2+0.345</f>
        <v>4.7450000000000001</v>
      </c>
      <c r="G1608" s="486">
        <v>0.34499999999999997</v>
      </c>
      <c r="H1608" s="486">
        <v>0.3</v>
      </c>
      <c r="I1608" s="399">
        <f t="shared" si="42"/>
        <v>0.98</v>
      </c>
      <c r="J1608" s="294"/>
      <c r="K1608" s="1259"/>
      <c r="L1608" s="431"/>
      <c r="M1608" s="431"/>
      <c r="N1608" s="431"/>
    </row>
    <row r="1609" spans="1:14" s="398" customFormat="1" hidden="1" outlineLevel="1">
      <c r="A1609" s="1221"/>
      <c r="B1609" s="425"/>
      <c r="C1609" s="165" t="s">
        <v>2</v>
      </c>
      <c r="D1609" s="437">
        <v>2</v>
      </c>
      <c r="E1609" s="414"/>
      <c r="F1609" s="662">
        <f>3.2+1.2+0.23</f>
        <v>4.6300000000000008</v>
      </c>
      <c r="G1609" s="486">
        <v>0.23</v>
      </c>
      <c r="H1609" s="486">
        <v>0.19</v>
      </c>
      <c r="I1609" s="399">
        <f t="shared" si="42"/>
        <v>0.4</v>
      </c>
      <c r="J1609" s="294"/>
      <c r="K1609" s="1259"/>
      <c r="L1609" s="431"/>
      <c r="M1609" s="431"/>
      <c r="N1609" s="431"/>
    </row>
    <row r="1610" spans="1:14" s="398" customFormat="1" hidden="1" outlineLevel="1">
      <c r="A1610" s="1221"/>
      <c r="B1610" s="425"/>
      <c r="C1610" s="165" t="s">
        <v>2</v>
      </c>
      <c r="D1610" s="437">
        <v>1</v>
      </c>
      <c r="E1610" s="414"/>
      <c r="F1610" s="486">
        <f>3.435+3+0.6-1.035-1.2+0.46</f>
        <v>5.26</v>
      </c>
      <c r="G1610" s="486">
        <v>0.46</v>
      </c>
      <c r="H1610" s="486">
        <v>0.3</v>
      </c>
      <c r="I1610" s="399">
        <f t="shared" si="42"/>
        <v>0.73</v>
      </c>
      <c r="J1610" s="294"/>
      <c r="K1610" s="1259"/>
      <c r="L1610" s="431"/>
      <c r="M1610" s="431"/>
      <c r="N1610" s="431"/>
    </row>
    <row r="1611" spans="1:14" s="398" customFormat="1" hidden="1" outlineLevel="1">
      <c r="A1611" s="1221"/>
      <c r="B1611" s="425"/>
      <c r="C1611" s="165" t="s">
        <v>2</v>
      </c>
      <c r="D1611" s="437">
        <v>1</v>
      </c>
      <c r="E1611" s="414"/>
      <c r="F1611" s="486">
        <f>3.435+3+0.6-1.035-1.2+0.345</f>
        <v>5.1449999999999996</v>
      </c>
      <c r="G1611" s="486">
        <v>0.34499999999999997</v>
      </c>
      <c r="H1611" s="486">
        <v>0.3</v>
      </c>
      <c r="I1611" s="399">
        <f t="shared" si="42"/>
        <v>0.53</v>
      </c>
      <c r="J1611" s="294"/>
      <c r="K1611" s="1259"/>
      <c r="L1611" s="431"/>
      <c r="M1611" s="431"/>
      <c r="N1611" s="431"/>
    </row>
    <row r="1612" spans="1:14" s="398" customFormat="1" hidden="1" outlineLevel="1">
      <c r="A1612" s="1221"/>
      <c r="B1612" s="425"/>
      <c r="C1612" s="165" t="s">
        <v>2</v>
      </c>
      <c r="D1612" s="437">
        <v>1</v>
      </c>
      <c r="E1612" s="414"/>
      <c r="F1612" s="486">
        <f>3.435+3+0.6-1.035-1.2+0.23</f>
        <v>5.03</v>
      </c>
      <c r="G1612" s="486">
        <v>0.23</v>
      </c>
      <c r="H1612" s="486">
        <v>0.19</v>
      </c>
      <c r="I1612" s="399">
        <f t="shared" si="42"/>
        <v>0.22</v>
      </c>
      <c r="J1612" s="294"/>
      <c r="K1612" s="1259"/>
      <c r="L1612" s="431"/>
      <c r="M1612" s="431"/>
      <c r="N1612" s="431"/>
    </row>
    <row r="1613" spans="1:14" s="398" customFormat="1" hidden="1" outlineLevel="1">
      <c r="A1613" s="1221"/>
      <c r="B1613" s="425"/>
      <c r="C1613" s="165" t="s">
        <v>2</v>
      </c>
      <c r="D1613" s="437">
        <v>1</v>
      </c>
      <c r="E1613" s="414"/>
      <c r="F1613" s="486">
        <f>3.435+3+0.6-1.035-1.2+0.46*2</f>
        <v>5.72</v>
      </c>
      <c r="G1613" s="486">
        <v>0.46</v>
      </c>
      <c r="H1613" s="486">
        <v>0.3</v>
      </c>
      <c r="I1613" s="399">
        <f t="shared" si="42"/>
        <v>0.79</v>
      </c>
      <c r="J1613" s="294"/>
      <c r="K1613" s="1259"/>
      <c r="L1613" s="431"/>
      <c r="M1613" s="431"/>
      <c r="N1613" s="431"/>
    </row>
    <row r="1614" spans="1:14" s="398" customFormat="1" hidden="1" outlineLevel="1">
      <c r="A1614" s="1221"/>
      <c r="B1614" s="425"/>
      <c r="C1614" s="165" t="s">
        <v>2</v>
      </c>
      <c r="D1614" s="437">
        <v>1</v>
      </c>
      <c r="E1614" s="414"/>
      <c r="F1614" s="486">
        <f>3.435+3+0.6-1.035-1.2+0.345*2</f>
        <v>5.49</v>
      </c>
      <c r="G1614" s="486">
        <v>0.34499999999999997</v>
      </c>
      <c r="H1614" s="486">
        <v>0.3</v>
      </c>
      <c r="I1614" s="399">
        <f t="shared" si="42"/>
        <v>0.56999999999999995</v>
      </c>
      <c r="J1614" s="294"/>
      <c r="K1614" s="1259"/>
      <c r="L1614" s="431"/>
      <c r="M1614" s="431"/>
      <c r="N1614" s="431"/>
    </row>
    <row r="1615" spans="1:14" s="398" customFormat="1" hidden="1" outlineLevel="1">
      <c r="A1615" s="1221"/>
      <c r="B1615" s="425"/>
      <c r="C1615" s="165" t="s">
        <v>2</v>
      </c>
      <c r="D1615" s="437">
        <v>1</v>
      </c>
      <c r="E1615" s="414"/>
      <c r="F1615" s="486">
        <f>3.435+3+0.6-1.035-1.2+0.23*2</f>
        <v>5.26</v>
      </c>
      <c r="G1615" s="486">
        <v>0.23</v>
      </c>
      <c r="H1615" s="486">
        <v>0.19</v>
      </c>
      <c r="I1615" s="399">
        <f t="shared" si="42"/>
        <v>0.23</v>
      </c>
      <c r="J1615" s="294"/>
      <c r="K1615" s="1259"/>
      <c r="L1615" s="431"/>
      <c r="M1615" s="431"/>
      <c r="N1615" s="431"/>
    </row>
    <row r="1616" spans="1:14" s="398" customFormat="1" hidden="1" outlineLevel="1">
      <c r="A1616" s="1221"/>
      <c r="B1616" s="425"/>
      <c r="C1616" s="165" t="s">
        <v>2</v>
      </c>
      <c r="D1616" s="437">
        <v>2</v>
      </c>
      <c r="E1616" s="414"/>
      <c r="F1616" s="486">
        <f>3+1.2+0.46</f>
        <v>4.66</v>
      </c>
      <c r="G1616" s="486">
        <v>0.46</v>
      </c>
      <c r="H1616" s="486">
        <v>0.3</v>
      </c>
      <c r="I1616" s="399">
        <f t="shared" si="42"/>
        <v>1.29</v>
      </c>
      <c r="J1616" s="294"/>
      <c r="K1616" s="1259"/>
      <c r="L1616" s="431"/>
      <c r="M1616" s="431"/>
      <c r="N1616" s="431"/>
    </row>
    <row r="1617" spans="1:14" s="398" customFormat="1" hidden="1" outlineLevel="1">
      <c r="A1617" s="1221"/>
      <c r="B1617" s="425"/>
      <c r="C1617" s="165" t="s">
        <v>2</v>
      </c>
      <c r="D1617" s="437">
        <v>2</v>
      </c>
      <c r="E1617" s="414"/>
      <c r="F1617" s="486">
        <f>3+1.2+0.345</f>
        <v>4.5449999999999999</v>
      </c>
      <c r="G1617" s="486">
        <v>0.34499999999999997</v>
      </c>
      <c r="H1617" s="486">
        <v>0.3</v>
      </c>
      <c r="I1617" s="399">
        <f t="shared" si="42"/>
        <v>0.94</v>
      </c>
      <c r="J1617" s="294"/>
      <c r="K1617" s="1259"/>
      <c r="L1617" s="431"/>
      <c r="M1617" s="431"/>
      <c r="N1617" s="431"/>
    </row>
    <row r="1618" spans="1:14" s="398" customFormat="1" hidden="1" outlineLevel="1">
      <c r="A1618" s="1221"/>
      <c r="B1618" s="425"/>
      <c r="C1618" s="165" t="s">
        <v>2</v>
      </c>
      <c r="D1618" s="437">
        <v>2</v>
      </c>
      <c r="E1618" s="414"/>
      <c r="F1618" s="486">
        <f>3+1.2+0.23</f>
        <v>4.4300000000000006</v>
      </c>
      <c r="G1618" s="486">
        <v>0.23</v>
      </c>
      <c r="H1618" s="486">
        <v>0.19</v>
      </c>
      <c r="I1618" s="399">
        <f t="shared" si="42"/>
        <v>0.39</v>
      </c>
      <c r="J1618" s="294"/>
      <c r="K1618" s="1259"/>
      <c r="L1618" s="431"/>
      <c r="M1618" s="431"/>
      <c r="N1618" s="431"/>
    </row>
    <row r="1619" spans="1:14" s="398" customFormat="1" hidden="1" outlineLevel="1">
      <c r="A1619" s="1221"/>
      <c r="B1619" s="425"/>
      <c r="C1619" s="165" t="s">
        <v>2</v>
      </c>
      <c r="D1619" s="437">
        <v>2</v>
      </c>
      <c r="E1619" s="414"/>
      <c r="F1619" s="486">
        <f>1.2+3+1.2+0.6+0.46*2</f>
        <v>6.92</v>
      </c>
      <c r="G1619" s="486">
        <v>0.46</v>
      </c>
      <c r="H1619" s="486">
        <v>0.3</v>
      </c>
      <c r="I1619" s="399">
        <f t="shared" si="42"/>
        <v>1.91</v>
      </c>
      <c r="J1619" s="294"/>
      <c r="K1619" s="1259"/>
      <c r="L1619" s="431"/>
      <c r="M1619" s="431"/>
      <c r="N1619" s="431"/>
    </row>
    <row r="1620" spans="1:14" s="398" customFormat="1" hidden="1" outlineLevel="1">
      <c r="A1620" s="1221"/>
      <c r="B1620" s="425"/>
      <c r="C1620" s="165" t="s">
        <v>2</v>
      </c>
      <c r="D1620" s="437">
        <v>2</v>
      </c>
      <c r="E1620" s="414"/>
      <c r="F1620" s="486">
        <f>1.2+3+1.2+0.6+0.345*2</f>
        <v>6.6899999999999995</v>
      </c>
      <c r="G1620" s="486">
        <v>0.34499999999999997</v>
      </c>
      <c r="H1620" s="486">
        <v>0.3</v>
      </c>
      <c r="I1620" s="399">
        <f t="shared" si="42"/>
        <v>1.38</v>
      </c>
      <c r="J1620" s="294"/>
      <c r="K1620" s="1259"/>
      <c r="L1620" s="431"/>
      <c r="M1620" s="431"/>
      <c r="N1620" s="431"/>
    </row>
    <row r="1621" spans="1:14" s="398" customFormat="1" hidden="1" outlineLevel="1">
      <c r="A1621" s="1221"/>
      <c r="B1621" s="425"/>
      <c r="C1621" s="165" t="s">
        <v>2</v>
      </c>
      <c r="D1621" s="437">
        <v>2</v>
      </c>
      <c r="E1621" s="414"/>
      <c r="F1621" s="486">
        <f>1.2+3+1.2+0.6+0.23*2</f>
        <v>6.46</v>
      </c>
      <c r="G1621" s="486">
        <v>0.23</v>
      </c>
      <c r="H1621" s="486">
        <v>0.19</v>
      </c>
      <c r="I1621" s="399">
        <f t="shared" si="42"/>
        <v>0.56000000000000005</v>
      </c>
      <c r="J1621" s="294"/>
      <c r="K1621" s="1259"/>
      <c r="L1621" s="431"/>
      <c r="M1621" s="431"/>
      <c r="N1621" s="431"/>
    </row>
    <row r="1622" spans="1:14" s="398" customFormat="1" hidden="1" outlineLevel="1">
      <c r="A1622" s="1221"/>
      <c r="B1622" s="425"/>
      <c r="C1622" s="165" t="s">
        <v>2</v>
      </c>
      <c r="D1622" s="437">
        <v>1</v>
      </c>
      <c r="E1622" s="414"/>
      <c r="F1622" s="486">
        <f>4.305+3-1.035+0.46</f>
        <v>6.7299999999999995</v>
      </c>
      <c r="G1622" s="486">
        <v>0.46</v>
      </c>
      <c r="H1622" s="486">
        <v>0.3</v>
      </c>
      <c r="I1622" s="399">
        <f t="shared" si="42"/>
        <v>0.93</v>
      </c>
      <c r="J1622" s="294"/>
      <c r="K1622" s="1259"/>
      <c r="L1622" s="431"/>
      <c r="M1622" s="431"/>
      <c r="N1622" s="431"/>
    </row>
    <row r="1623" spans="1:14" s="398" customFormat="1" hidden="1" outlineLevel="1">
      <c r="A1623" s="1221"/>
      <c r="B1623" s="425"/>
      <c r="C1623" s="165" t="s">
        <v>2</v>
      </c>
      <c r="D1623" s="437">
        <v>1</v>
      </c>
      <c r="E1623" s="414"/>
      <c r="F1623" s="486">
        <f>4.305+3-1.035+0.345</f>
        <v>6.6149999999999993</v>
      </c>
      <c r="G1623" s="486">
        <v>0.34499999999999997</v>
      </c>
      <c r="H1623" s="486">
        <v>0.3</v>
      </c>
      <c r="I1623" s="399">
        <f t="shared" si="42"/>
        <v>0.68</v>
      </c>
      <c r="J1623" s="294"/>
      <c r="K1623" s="1259"/>
      <c r="L1623" s="431"/>
      <c r="M1623" s="431"/>
      <c r="N1623" s="431"/>
    </row>
    <row r="1624" spans="1:14" s="398" customFormat="1" hidden="1" outlineLevel="1">
      <c r="A1624" s="1221"/>
      <c r="B1624" s="425"/>
      <c r="C1624" s="165" t="s">
        <v>2</v>
      </c>
      <c r="D1624" s="437">
        <v>1</v>
      </c>
      <c r="E1624" s="414"/>
      <c r="F1624" s="486">
        <f>4.305+3-1.035+0.23</f>
        <v>6.5</v>
      </c>
      <c r="G1624" s="486">
        <v>0.23</v>
      </c>
      <c r="H1624" s="486">
        <v>0.19</v>
      </c>
      <c r="I1624" s="399">
        <f t="shared" ref="I1624:I1687" si="43">IF(D1624&lt;&gt;0,ROUND(PRODUCT(E1624:H1624)*D1624,2),"")</f>
        <v>0.28000000000000003</v>
      </c>
      <c r="J1624" s="294"/>
      <c r="K1624" s="1259"/>
      <c r="L1624" s="431"/>
      <c r="M1624" s="431"/>
      <c r="N1624" s="431"/>
    </row>
    <row r="1625" spans="1:14" s="398" customFormat="1" hidden="1" outlineLevel="1">
      <c r="A1625" s="1221"/>
      <c r="B1625" s="425"/>
      <c r="C1625" s="165" t="s">
        <v>2</v>
      </c>
      <c r="D1625" s="437">
        <v>1</v>
      </c>
      <c r="E1625" s="414"/>
      <c r="F1625" s="486">
        <f>8+0.46*2</f>
        <v>8.92</v>
      </c>
      <c r="G1625" s="486">
        <v>0.46</v>
      </c>
      <c r="H1625" s="486">
        <v>0.3</v>
      </c>
      <c r="I1625" s="399">
        <f t="shared" si="43"/>
        <v>1.23</v>
      </c>
      <c r="J1625" s="294"/>
      <c r="K1625" s="1259"/>
      <c r="L1625" s="431"/>
      <c r="M1625" s="431"/>
      <c r="N1625" s="431"/>
    </row>
    <row r="1626" spans="1:14" s="398" customFormat="1" hidden="1" outlineLevel="1">
      <c r="A1626" s="1221"/>
      <c r="B1626" s="425"/>
      <c r="C1626" s="165" t="s">
        <v>2</v>
      </c>
      <c r="D1626" s="437">
        <v>1</v>
      </c>
      <c r="E1626" s="414"/>
      <c r="F1626" s="486">
        <f>8+0.345*2</f>
        <v>8.69</v>
      </c>
      <c r="G1626" s="486">
        <v>0.34499999999999997</v>
      </c>
      <c r="H1626" s="486">
        <v>0.3</v>
      </c>
      <c r="I1626" s="399">
        <f t="shared" si="43"/>
        <v>0.9</v>
      </c>
      <c r="J1626" s="294"/>
      <c r="K1626" s="1259"/>
      <c r="L1626" s="431"/>
      <c r="M1626" s="431"/>
      <c r="N1626" s="431"/>
    </row>
    <row r="1627" spans="1:14" s="398" customFormat="1" hidden="1" outlineLevel="1">
      <c r="A1627" s="1221"/>
      <c r="B1627" s="425"/>
      <c r="C1627" s="165" t="s">
        <v>2</v>
      </c>
      <c r="D1627" s="437">
        <v>1</v>
      </c>
      <c r="E1627" s="414"/>
      <c r="F1627" s="486">
        <f>8+0.23*2</f>
        <v>8.4600000000000009</v>
      </c>
      <c r="G1627" s="486">
        <v>0.23</v>
      </c>
      <c r="H1627" s="486">
        <v>0.19</v>
      </c>
      <c r="I1627" s="399">
        <f t="shared" si="43"/>
        <v>0.37</v>
      </c>
      <c r="J1627" s="294"/>
      <c r="K1627" s="1259"/>
      <c r="L1627" s="431"/>
      <c r="M1627" s="431"/>
      <c r="N1627" s="431"/>
    </row>
    <row r="1628" spans="1:14" s="398" customFormat="1" hidden="1" outlineLevel="1">
      <c r="A1628" s="1221"/>
      <c r="B1628" s="425" t="s">
        <v>142</v>
      </c>
      <c r="C1628" s="165" t="s">
        <v>2</v>
      </c>
      <c r="D1628" s="437"/>
      <c r="E1628" s="414"/>
      <c r="F1628" s="486"/>
      <c r="G1628" s="486"/>
      <c r="H1628" s="486"/>
      <c r="I1628" s="399" t="str">
        <f t="shared" si="43"/>
        <v/>
      </c>
      <c r="J1628" s="294"/>
      <c r="K1628" s="1259"/>
      <c r="L1628" s="431"/>
      <c r="M1628" s="431"/>
      <c r="N1628" s="431"/>
    </row>
    <row r="1629" spans="1:14" s="398" customFormat="1" hidden="1" outlineLevel="1">
      <c r="A1629" s="1221"/>
      <c r="B1629" s="425" t="s">
        <v>120</v>
      </c>
      <c r="C1629" s="165" t="s">
        <v>2</v>
      </c>
      <c r="D1629" s="437">
        <v>6</v>
      </c>
      <c r="E1629" s="414"/>
      <c r="F1629" s="486">
        <v>0.61499999999999999</v>
      </c>
      <c r="G1629" s="486">
        <v>0.46</v>
      </c>
      <c r="H1629" s="486">
        <v>0.3</v>
      </c>
      <c r="I1629" s="399">
        <f t="shared" si="43"/>
        <v>0.51</v>
      </c>
      <c r="J1629" s="294"/>
      <c r="K1629" s="1259"/>
      <c r="L1629" s="431"/>
      <c r="M1629" s="431"/>
      <c r="N1629" s="431"/>
    </row>
    <row r="1630" spans="1:14" s="398" customFormat="1" hidden="1" outlineLevel="1">
      <c r="A1630" s="1221"/>
      <c r="B1630" s="425"/>
      <c r="C1630" s="165" t="s">
        <v>2</v>
      </c>
      <c r="D1630" s="437">
        <v>6</v>
      </c>
      <c r="E1630" s="414"/>
      <c r="F1630" s="486">
        <v>0.61499999999999999</v>
      </c>
      <c r="G1630" s="486">
        <v>0.34499999999999997</v>
      </c>
      <c r="H1630" s="486">
        <v>0.3</v>
      </c>
      <c r="I1630" s="399">
        <f t="shared" si="43"/>
        <v>0.38</v>
      </c>
      <c r="J1630" s="294"/>
      <c r="K1630" s="1259"/>
      <c r="L1630" s="431"/>
      <c r="M1630" s="431"/>
      <c r="N1630" s="431"/>
    </row>
    <row r="1631" spans="1:14" s="398" customFormat="1" hidden="1" outlineLevel="1">
      <c r="A1631" s="1221"/>
      <c r="B1631" s="425"/>
      <c r="C1631" s="165" t="s">
        <v>2</v>
      </c>
      <c r="D1631" s="437">
        <v>6</v>
      </c>
      <c r="E1631" s="414"/>
      <c r="F1631" s="486">
        <v>0.61499999999999999</v>
      </c>
      <c r="G1631" s="486">
        <v>0.23</v>
      </c>
      <c r="H1631" s="486">
        <v>0.19</v>
      </c>
      <c r="I1631" s="399">
        <f t="shared" si="43"/>
        <v>0.16</v>
      </c>
      <c r="J1631" s="294"/>
      <c r="K1631" s="1259"/>
      <c r="L1631" s="431"/>
      <c r="M1631" s="431"/>
      <c r="N1631" s="431"/>
    </row>
    <row r="1632" spans="1:14" s="398" customFormat="1" hidden="1" outlineLevel="1">
      <c r="A1632" s="1221"/>
      <c r="B1632" s="425"/>
      <c r="C1632" s="165" t="s">
        <v>2</v>
      </c>
      <c r="D1632" s="437">
        <v>4</v>
      </c>
      <c r="E1632" s="414"/>
      <c r="F1632" s="486">
        <f>2.13-0.46*2</f>
        <v>1.21</v>
      </c>
      <c r="G1632" s="486">
        <v>0.46</v>
      </c>
      <c r="H1632" s="486">
        <v>0.3</v>
      </c>
      <c r="I1632" s="399">
        <f t="shared" si="43"/>
        <v>0.67</v>
      </c>
      <c r="J1632" s="294"/>
      <c r="K1632" s="1259"/>
      <c r="L1632" s="431"/>
      <c r="M1632" s="431"/>
      <c r="N1632" s="431"/>
    </row>
    <row r="1633" spans="1:14" s="398" customFormat="1" hidden="1" outlineLevel="1">
      <c r="A1633" s="1221"/>
      <c r="B1633" s="425"/>
      <c r="C1633" s="165" t="s">
        <v>2</v>
      </c>
      <c r="D1633" s="437">
        <v>4</v>
      </c>
      <c r="E1633" s="414"/>
      <c r="F1633" s="486">
        <f>2.13-0.345*2</f>
        <v>1.44</v>
      </c>
      <c r="G1633" s="486">
        <v>0.34499999999999997</v>
      </c>
      <c r="H1633" s="486">
        <v>0.3</v>
      </c>
      <c r="I1633" s="399">
        <f t="shared" si="43"/>
        <v>0.6</v>
      </c>
      <c r="J1633" s="294"/>
      <c r="K1633" s="1259"/>
      <c r="L1633" s="431"/>
      <c r="M1633" s="431"/>
      <c r="N1633" s="431"/>
    </row>
    <row r="1634" spans="1:14" s="398" customFormat="1" hidden="1" outlineLevel="1">
      <c r="A1634" s="1221"/>
      <c r="B1634" s="425"/>
      <c r="C1634" s="165" t="s">
        <v>2</v>
      </c>
      <c r="D1634" s="437">
        <v>4</v>
      </c>
      <c r="E1634" s="414"/>
      <c r="F1634" s="486">
        <f>2.13-0.23*2</f>
        <v>1.67</v>
      </c>
      <c r="G1634" s="486">
        <v>0.23</v>
      </c>
      <c r="H1634" s="486">
        <v>0.19</v>
      </c>
      <c r="I1634" s="399">
        <f t="shared" si="43"/>
        <v>0.28999999999999998</v>
      </c>
      <c r="J1634" s="294"/>
      <c r="K1634" s="1259"/>
      <c r="L1634" s="431"/>
      <c r="M1634" s="431"/>
      <c r="N1634" s="431"/>
    </row>
    <row r="1635" spans="1:14" s="398" customFormat="1" hidden="1" outlineLevel="1">
      <c r="A1635" s="1221"/>
      <c r="B1635" s="425"/>
      <c r="C1635" s="165" t="s">
        <v>2</v>
      </c>
      <c r="D1635" s="437">
        <v>2</v>
      </c>
      <c r="E1635" s="414"/>
      <c r="F1635" s="486">
        <f>3.36</f>
        <v>3.36</v>
      </c>
      <c r="G1635" s="486">
        <v>0.46</v>
      </c>
      <c r="H1635" s="486">
        <v>0.3</v>
      </c>
      <c r="I1635" s="399">
        <f t="shared" si="43"/>
        <v>0.93</v>
      </c>
      <c r="J1635" s="294"/>
      <c r="K1635" s="1259"/>
      <c r="L1635" s="431"/>
      <c r="M1635" s="431"/>
      <c r="N1635" s="431"/>
    </row>
    <row r="1636" spans="1:14" s="398" customFormat="1" hidden="1" outlineLevel="1">
      <c r="A1636" s="1221"/>
      <c r="B1636" s="425"/>
      <c r="C1636" s="165" t="s">
        <v>2</v>
      </c>
      <c r="D1636" s="437">
        <v>2</v>
      </c>
      <c r="E1636" s="414"/>
      <c r="F1636" s="486">
        <f>3.36</f>
        <v>3.36</v>
      </c>
      <c r="G1636" s="486">
        <v>0.34499999999999997</v>
      </c>
      <c r="H1636" s="486">
        <v>0.3</v>
      </c>
      <c r="I1636" s="399">
        <f t="shared" si="43"/>
        <v>0.7</v>
      </c>
      <c r="J1636" s="294"/>
      <c r="K1636" s="1259"/>
      <c r="L1636" s="431"/>
      <c r="M1636" s="431"/>
      <c r="N1636" s="431"/>
    </row>
    <row r="1637" spans="1:14" s="398" customFormat="1" hidden="1" outlineLevel="1">
      <c r="A1637" s="1221"/>
      <c r="B1637" s="425"/>
      <c r="C1637" s="165" t="s">
        <v>2</v>
      </c>
      <c r="D1637" s="437">
        <v>2</v>
      </c>
      <c r="E1637" s="414"/>
      <c r="F1637" s="486">
        <f>3.36</f>
        <v>3.36</v>
      </c>
      <c r="G1637" s="486">
        <v>0.23</v>
      </c>
      <c r="H1637" s="486">
        <v>0.19</v>
      </c>
      <c r="I1637" s="399">
        <f t="shared" si="43"/>
        <v>0.28999999999999998</v>
      </c>
      <c r="J1637" s="294"/>
      <c r="K1637" s="1259"/>
      <c r="L1637" s="431"/>
      <c r="M1637" s="431"/>
      <c r="N1637" s="431"/>
    </row>
    <row r="1638" spans="1:14" s="398" customFormat="1" hidden="1" outlineLevel="1">
      <c r="A1638" s="1221"/>
      <c r="B1638" s="425"/>
      <c r="C1638" s="165" t="s">
        <v>2</v>
      </c>
      <c r="D1638" s="437">
        <v>3</v>
      </c>
      <c r="E1638" s="414"/>
      <c r="F1638" s="486">
        <f>1.825-0.46*2</f>
        <v>0.90499999999999992</v>
      </c>
      <c r="G1638" s="486">
        <v>0.46</v>
      </c>
      <c r="H1638" s="486">
        <v>0.3</v>
      </c>
      <c r="I1638" s="399">
        <f t="shared" si="43"/>
        <v>0.37</v>
      </c>
      <c r="J1638" s="294"/>
      <c r="K1638" s="1259"/>
      <c r="L1638" s="431"/>
      <c r="M1638" s="431"/>
      <c r="N1638" s="431"/>
    </row>
    <row r="1639" spans="1:14" s="398" customFormat="1" hidden="1" outlineLevel="1">
      <c r="A1639" s="1221"/>
      <c r="B1639" s="425"/>
      <c r="C1639" s="165" t="s">
        <v>2</v>
      </c>
      <c r="D1639" s="437">
        <v>3</v>
      </c>
      <c r="E1639" s="414"/>
      <c r="F1639" s="486">
        <f>1.825-0.345*2</f>
        <v>1.135</v>
      </c>
      <c r="G1639" s="486">
        <v>0.34499999999999997</v>
      </c>
      <c r="H1639" s="486">
        <v>0.3</v>
      </c>
      <c r="I1639" s="399">
        <f t="shared" si="43"/>
        <v>0.35</v>
      </c>
      <c r="J1639" s="294"/>
      <c r="K1639" s="1259"/>
      <c r="L1639" s="431"/>
      <c r="M1639" s="431"/>
      <c r="N1639" s="431"/>
    </row>
    <row r="1640" spans="1:14" s="398" customFormat="1" hidden="1" outlineLevel="1">
      <c r="A1640" s="1221"/>
      <c r="B1640" s="425"/>
      <c r="C1640" s="165" t="s">
        <v>2</v>
      </c>
      <c r="D1640" s="437">
        <v>3</v>
      </c>
      <c r="E1640" s="414"/>
      <c r="F1640" s="486">
        <f>1.825-0.23*2</f>
        <v>1.365</v>
      </c>
      <c r="G1640" s="486">
        <v>0.23</v>
      </c>
      <c r="H1640" s="486">
        <v>0.19</v>
      </c>
      <c r="I1640" s="399">
        <f t="shared" si="43"/>
        <v>0.18</v>
      </c>
      <c r="J1640" s="294"/>
      <c r="K1640" s="1259"/>
      <c r="L1640" s="431"/>
      <c r="M1640" s="431"/>
      <c r="N1640" s="431"/>
    </row>
    <row r="1641" spans="1:14" s="398" customFormat="1" hidden="1" outlineLevel="1">
      <c r="A1641" s="1221"/>
      <c r="B1641" s="425"/>
      <c r="C1641" s="165" t="s">
        <v>2</v>
      </c>
      <c r="D1641" s="437">
        <v>1</v>
      </c>
      <c r="E1641" s="414"/>
      <c r="F1641" s="401">
        <f>1.935-0.46*2</f>
        <v>1.0150000000000001</v>
      </c>
      <c r="G1641" s="486">
        <v>0.46</v>
      </c>
      <c r="H1641" s="486">
        <v>0.3</v>
      </c>
      <c r="I1641" s="399">
        <f t="shared" si="43"/>
        <v>0.14000000000000001</v>
      </c>
      <c r="J1641" s="294"/>
      <c r="K1641" s="1259"/>
      <c r="L1641" s="431"/>
      <c r="M1641" s="431"/>
      <c r="N1641" s="431"/>
    </row>
    <row r="1642" spans="1:14" s="398" customFormat="1" hidden="1" outlineLevel="1">
      <c r="A1642" s="1221"/>
      <c r="B1642" s="425"/>
      <c r="C1642" s="165" t="s">
        <v>2</v>
      </c>
      <c r="D1642" s="437">
        <v>1</v>
      </c>
      <c r="E1642" s="414"/>
      <c r="F1642" s="486">
        <f>1.935-0.345*2</f>
        <v>1.2450000000000001</v>
      </c>
      <c r="G1642" s="486">
        <v>0.34499999999999997</v>
      </c>
      <c r="H1642" s="486">
        <v>0.3</v>
      </c>
      <c r="I1642" s="399">
        <f t="shared" si="43"/>
        <v>0.13</v>
      </c>
      <c r="J1642" s="294"/>
      <c r="K1642" s="1259"/>
      <c r="L1642" s="431"/>
      <c r="M1642" s="431"/>
      <c r="N1642" s="431"/>
    </row>
    <row r="1643" spans="1:14" s="398" customFormat="1" hidden="1" outlineLevel="1">
      <c r="A1643" s="1221"/>
      <c r="B1643" s="425"/>
      <c r="C1643" s="165" t="s">
        <v>2</v>
      </c>
      <c r="D1643" s="437">
        <v>1</v>
      </c>
      <c r="E1643" s="414"/>
      <c r="F1643" s="486">
        <f>1.935-0.23*2</f>
        <v>1.4750000000000001</v>
      </c>
      <c r="G1643" s="486">
        <v>0.23</v>
      </c>
      <c r="H1643" s="486">
        <v>0.19</v>
      </c>
      <c r="I1643" s="399">
        <f t="shared" si="43"/>
        <v>0.06</v>
      </c>
      <c r="J1643" s="294"/>
      <c r="K1643" s="1259"/>
      <c r="L1643" s="431"/>
      <c r="M1643" s="431"/>
      <c r="N1643" s="431"/>
    </row>
    <row r="1644" spans="1:14" s="398" customFormat="1" hidden="1" outlineLevel="1">
      <c r="A1644" s="1221"/>
      <c r="B1644" s="425"/>
      <c r="C1644" s="165" t="s">
        <v>2</v>
      </c>
      <c r="D1644" s="437">
        <v>2</v>
      </c>
      <c r="E1644" s="414"/>
      <c r="F1644" s="486">
        <f>2.44-0.46*1</f>
        <v>1.98</v>
      </c>
      <c r="G1644" s="486">
        <v>0.46</v>
      </c>
      <c r="H1644" s="486">
        <v>0.3</v>
      </c>
      <c r="I1644" s="399">
        <f t="shared" si="43"/>
        <v>0.55000000000000004</v>
      </c>
      <c r="J1644" s="294"/>
      <c r="K1644" s="1259"/>
      <c r="L1644" s="431"/>
      <c r="M1644" s="431"/>
      <c r="N1644" s="431"/>
    </row>
    <row r="1645" spans="1:14" s="398" customFormat="1" hidden="1" outlineLevel="1">
      <c r="A1645" s="1221"/>
      <c r="B1645" s="425"/>
      <c r="C1645" s="165" t="s">
        <v>2</v>
      </c>
      <c r="D1645" s="437">
        <v>2</v>
      </c>
      <c r="E1645" s="414"/>
      <c r="F1645" s="486">
        <f>2.44-0.345*1</f>
        <v>2.0949999999999998</v>
      </c>
      <c r="G1645" s="486">
        <v>0.34499999999999997</v>
      </c>
      <c r="H1645" s="486">
        <v>0.3</v>
      </c>
      <c r="I1645" s="399">
        <f t="shared" si="43"/>
        <v>0.43</v>
      </c>
      <c r="J1645" s="294"/>
      <c r="K1645" s="1259"/>
      <c r="L1645" s="431"/>
      <c r="M1645" s="431"/>
      <c r="N1645" s="431"/>
    </row>
    <row r="1646" spans="1:14" s="398" customFormat="1" hidden="1" outlineLevel="1">
      <c r="A1646" s="1221"/>
      <c r="B1646" s="425"/>
      <c r="C1646" s="165" t="s">
        <v>2</v>
      </c>
      <c r="D1646" s="437">
        <v>2</v>
      </c>
      <c r="E1646" s="414"/>
      <c r="F1646" s="486">
        <f>2.44-0.23*1</f>
        <v>2.21</v>
      </c>
      <c r="G1646" s="486">
        <v>0.23</v>
      </c>
      <c r="H1646" s="486">
        <v>0.19</v>
      </c>
      <c r="I1646" s="399">
        <f t="shared" si="43"/>
        <v>0.19</v>
      </c>
      <c r="J1646" s="294"/>
      <c r="K1646" s="1259"/>
      <c r="L1646" s="431"/>
      <c r="M1646" s="431"/>
      <c r="N1646" s="431"/>
    </row>
    <row r="1647" spans="1:14" s="398" customFormat="1" hidden="1" outlineLevel="1">
      <c r="A1647" s="1221"/>
      <c r="B1647" s="425"/>
      <c r="C1647" s="165" t="s">
        <v>2</v>
      </c>
      <c r="D1647" s="437">
        <v>1</v>
      </c>
      <c r="E1647" s="414"/>
      <c r="F1647" s="486">
        <f>3.055</f>
        <v>3.0550000000000002</v>
      </c>
      <c r="G1647" s="486">
        <v>0.46</v>
      </c>
      <c r="H1647" s="486">
        <v>0.3</v>
      </c>
      <c r="I1647" s="399">
        <f t="shared" si="43"/>
        <v>0.42</v>
      </c>
      <c r="J1647" s="294"/>
      <c r="K1647" s="1259"/>
      <c r="L1647" s="431"/>
      <c r="M1647" s="431"/>
      <c r="N1647" s="431"/>
    </row>
    <row r="1648" spans="1:14" s="398" customFormat="1" hidden="1" outlineLevel="1">
      <c r="A1648" s="1221"/>
      <c r="B1648" s="425"/>
      <c r="C1648" s="165" t="s">
        <v>2</v>
      </c>
      <c r="D1648" s="437">
        <v>1</v>
      </c>
      <c r="E1648" s="414"/>
      <c r="F1648" s="486">
        <f>3.055</f>
        <v>3.0550000000000002</v>
      </c>
      <c r="G1648" s="486">
        <v>0.34499999999999997</v>
      </c>
      <c r="H1648" s="486">
        <v>0.3</v>
      </c>
      <c r="I1648" s="399">
        <f t="shared" si="43"/>
        <v>0.32</v>
      </c>
      <c r="J1648" s="294"/>
      <c r="K1648" s="1259"/>
      <c r="L1648" s="431"/>
      <c r="M1648" s="431"/>
      <c r="N1648" s="431"/>
    </row>
    <row r="1649" spans="1:14" s="398" customFormat="1" hidden="1" outlineLevel="1">
      <c r="A1649" s="1221"/>
      <c r="B1649" s="425"/>
      <c r="C1649" s="165" t="s">
        <v>2</v>
      </c>
      <c r="D1649" s="437">
        <v>1</v>
      </c>
      <c r="E1649" s="414"/>
      <c r="F1649" s="486">
        <f>3.055</f>
        <v>3.0550000000000002</v>
      </c>
      <c r="G1649" s="486">
        <v>0.23</v>
      </c>
      <c r="H1649" s="486">
        <v>0.19</v>
      </c>
      <c r="I1649" s="399">
        <f t="shared" si="43"/>
        <v>0.13</v>
      </c>
      <c r="J1649" s="294"/>
      <c r="K1649" s="1259"/>
      <c r="L1649" s="431"/>
      <c r="M1649" s="431"/>
      <c r="N1649" s="431"/>
    </row>
    <row r="1650" spans="1:14" s="398" customFormat="1" hidden="1" outlineLevel="1">
      <c r="A1650" s="1221"/>
      <c r="B1650" s="425"/>
      <c r="C1650" s="165" t="s">
        <v>2</v>
      </c>
      <c r="D1650" s="438">
        <v>2</v>
      </c>
      <c r="E1650" s="414"/>
      <c r="F1650" s="486">
        <v>3.36</v>
      </c>
      <c r="G1650" s="486">
        <v>0.46</v>
      </c>
      <c r="H1650" s="486">
        <v>0.3</v>
      </c>
      <c r="I1650" s="399">
        <f t="shared" si="43"/>
        <v>0.93</v>
      </c>
      <c r="J1650" s="294"/>
      <c r="K1650" s="1259"/>
      <c r="L1650" s="431"/>
      <c r="M1650" s="431"/>
      <c r="N1650" s="431"/>
    </row>
    <row r="1651" spans="1:14" s="398" customFormat="1" hidden="1" outlineLevel="1">
      <c r="A1651" s="1221"/>
      <c r="B1651" s="425"/>
      <c r="C1651" s="165" t="s">
        <v>2</v>
      </c>
      <c r="D1651" s="438">
        <v>2</v>
      </c>
      <c r="E1651" s="414"/>
      <c r="F1651" s="486">
        <v>3.36</v>
      </c>
      <c r="G1651" s="486">
        <v>0.34499999999999997</v>
      </c>
      <c r="H1651" s="486">
        <v>0.3</v>
      </c>
      <c r="I1651" s="399">
        <f t="shared" si="43"/>
        <v>0.7</v>
      </c>
      <c r="J1651" s="294"/>
      <c r="K1651" s="1259"/>
      <c r="L1651" s="431"/>
      <c r="M1651" s="431"/>
      <c r="N1651" s="431"/>
    </row>
    <row r="1652" spans="1:14" s="398" customFormat="1" hidden="1" outlineLevel="1">
      <c r="A1652" s="1221"/>
      <c r="B1652" s="425"/>
      <c r="C1652" s="165" t="s">
        <v>2</v>
      </c>
      <c r="D1652" s="438">
        <v>2</v>
      </c>
      <c r="E1652" s="414"/>
      <c r="F1652" s="486">
        <v>3.36</v>
      </c>
      <c r="G1652" s="486">
        <v>0.23</v>
      </c>
      <c r="H1652" s="486">
        <v>0.19</v>
      </c>
      <c r="I1652" s="399">
        <f t="shared" si="43"/>
        <v>0.28999999999999998</v>
      </c>
      <c r="J1652" s="294"/>
      <c r="K1652" s="1259"/>
      <c r="L1652" s="431"/>
      <c r="M1652" s="431"/>
      <c r="N1652" s="431"/>
    </row>
    <row r="1653" spans="1:14" s="398" customFormat="1" hidden="1" outlineLevel="1">
      <c r="A1653" s="1221"/>
      <c r="B1653" s="425"/>
      <c r="C1653" s="165" t="s">
        <v>2</v>
      </c>
      <c r="D1653" s="437">
        <v>2</v>
      </c>
      <c r="E1653" s="414"/>
      <c r="F1653" s="486">
        <f>2.745-0.46*1</f>
        <v>2.2850000000000001</v>
      </c>
      <c r="G1653" s="486">
        <v>0.46</v>
      </c>
      <c r="H1653" s="486">
        <v>0.3</v>
      </c>
      <c r="I1653" s="399">
        <f t="shared" si="43"/>
        <v>0.63</v>
      </c>
      <c r="J1653" s="294"/>
      <c r="K1653" s="1259"/>
      <c r="L1653" s="431"/>
      <c r="M1653" s="431"/>
      <c r="N1653" s="431"/>
    </row>
    <row r="1654" spans="1:14" s="398" customFormat="1" hidden="1" outlineLevel="1">
      <c r="A1654" s="1221"/>
      <c r="B1654" s="425"/>
      <c r="C1654" s="165" t="s">
        <v>2</v>
      </c>
      <c r="D1654" s="437">
        <v>2</v>
      </c>
      <c r="E1654" s="414"/>
      <c r="F1654" s="486">
        <f>2.745-0.345*1</f>
        <v>2.4000000000000004</v>
      </c>
      <c r="G1654" s="486">
        <v>0.34499999999999997</v>
      </c>
      <c r="H1654" s="486">
        <v>0.3</v>
      </c>
      <c r="I1654" s="399">
        <f t="shared" si="43"/>
        <v>0.5</v>
      </c>
      <c r="J1654" s="294"/>
      <c r="K1654" s="1259"/>
      <c r="L1654" s="431"/>
      <c r="M1654" s="431"/>
      <c r="N1654" s="431"/>
    </row>
    <row r="1655" spans="1:14" s="398" customFormat="1" hidden="1" outlineLevel="1">
      <c r="A1655" s="1221"/>
      <c r="B1655" s="425"/>
      <c r="C1655" s="165" t="s">
        <v>2</v>
      </c>
      <c r="D1655" s="437">
        <v>2</v>
      </c>
      <c r="E1655" s="414"/>
      <c r="F1655" s="486">
        <f>2.745-0.23*1</f>
        <v>2.5150000000000001</v>
      </c>
      <c r="G1655" s="486">
        <v>0.23</v>
      </c>
      <c r="H1655" s="486">
        <v>0.19</v>
      </c>
      <c r="I1655" s="399">
        <f t="shared" si="43"/>
        <v>0.22</v>
      </c>
      <c r="J1655" s="294"/>
      <c r="K1655" s="1259"/>
      <c r="L1655" s="431"/>
      <c r="M1655" s="431"/>
      <c r="N1655" s="431"/>
    </row>
    <row r="1656" spans="1:14" s="398" customFormat="1" hidden="1" outlineLevel="1">
      <c r="A1656" s="1221"/>
      <c r="B1656" s="425" t="s">
        <v>140</v>
      </c>
      <c r="C1656" s="165" t="s">
        <v>2</v>
      </c>
      <c r="D1656" s="437">
        <v>8</v>
      </c>
      <c r="E1656" s="414"/>
      <c r="F1656" s="486">
        <v>3</v>
      </c>
      <c r="G1656" s="486">
        <v>0.115</v>
      </c>
      <c r="H1656" s="486">
        <v>0.35499999999999998</v>
      </c>
      <c r="I1656" s="399">
        <f t="shared" si="43"/>
        <v>0.98</v>
      </c>
      <c r="J1656" s="294"/>
      <c r="K1656" s="1259"/>
      <c r="L1656" s="431"/>
      <c r="M1656" s="431"/>
      <c r="N1656" s="431"/>
    </row>
    <row r="1657" spans="1:14" s="398" customFormat="1" hidden="1" outlineLevel="1">
      <c r="A1657" s="1221"/>
      <c r="B1657" s="425"/>
      <c r="C1657" s="165" t="s">
        <v>2</v>
      </c>
      <c r="D1657" s="437">
        <v>8</v>
      </c>
      <c r="E1657" s="414"/>
      <c r="F1657" s="486">
        <v>3</v>
      </c>
      <c r="G1657" s="486">
        <v>0.3</v>
      </c>
      <c r="H1657" s="486">
        <v>0.22500000000000001</v>
      </c>
      <c r="I1657" s="399">
        <f t="shared" si="43"/>
        <v>1.62</v>
      </c>
      <c r="J1657" s="294"/>
      <c r="K1657" s="1259"/>
      <c r="L1657" s="431"/>
      <c r="M1657" s="431"/>
      <c r="N1657" s="431"/>
    </row>
    <row r="1658" spans="1:14" s="398" customFormat="1" ht="34.5" hidden="1" outlineLevel="1">
      <c r="A1658" s="1221"/>
      <c r="B1658" s="425" t="s">
        <v>122</v>
      </c>
      <c r="C1658" s="165" t="s">
        <v>2</v>
      </c>
      <c r="D1658" s="437"/>
      <c r="E1658" s="414"/>
      <c r="F1658" s="486"/>
      <c r="G1658" s="486"/>
      <c r="H1658" s="486"/>
      <c r="I1658" s="399" t="str">
        <f t="shared" si="43"/>
        <v/>
      </c>
      <c r="J1658" s="294"/>
      <c r="K1658" s="1259"/>
      <c r="L1658" s="431"/>
      <c r="M1658" s="431"/>
      <c r="N1658" s="431"/>
    </row>
    <row r="1659" spans="1:14" s="398" customFormat="1" hidden="1" outlineLevel="1">
      <c r="A1659" s="1221"/>
      <c r="B1659" s="425" t="s">
        <v>143</v>
      </c>
      <c r="C1659" s="165" t="s">
        <v>2</v>
      </c>
      <c r="D1659" s="437">
        <v>1</v>
      </c>
      <c r="E1659" s="414"/>
      <c r="F1659" s="486">
        <f>7.66+2+0.46*2</f>
        <v>10.58</v>
      </c>
      <c r="G1659" s="486">
        <v>0.46</v>
      </c>
      <c r="H1659" s="486">
        <v>0.3</v>
      </c>
      <c r="I1659" s="399">
        <f t="shared" si="43"/>
        <v>1.46</v>
      </c>
      <c r="J1659" s="294"/>
      <c r="K1659" s="1259"/>
      <c r="L1659" s="431"/>
      <c r="M1659" s="431"/>
      <c r="N1659" s="431"/>
    </row>
    <row r="1660" spans="1:14" s="398" customFormat="1" hidden="1" outlineLevel="1">
      <c r="A1660" s="1221"/>
      <c r="B1660" s="425"/>
      <c r="C1660" s="165" t="s">
        <v>2</v>
      </c>
      <c r="D1660" s="437">
        <v>1</v>
      </c>
      <c r="E1660" s="414"/>
      <c r="F1660" s="486">
        <f>7.66+2+0.345*2</f>
        <v>10.35</v>
      </c>
      <c r="G1660" s="486">
        <v>0.34499999999999997</v>
      </c>
      <c r="H1660" s="486">
        <v>0.3</v>
      </c>
      <c r="I1660" s="399">
        <f t="shared" si="43"/>
        <v>1.07</v>
      </c>
      <c r="J1660" s="294"/>
      <c r="K1660" s="1259"/>
      <c r="L1660" s="431"/>
      <c r="M1660" s="431"/>
      <c r="N1660" s="431"/>
    </row>
    <row r="1661" spans="1:14" s="398" customFormat="1" hidden="1" outlineLevel="1">
      <c r="A1661" s="1221"/>
      <c r="B1661" s="425"/>
      <c r="C1661" s="165" t="s">
        <v>2</v>
      </c>
      <c r="D1661" s="437">
        <v>1</v>
      </c>
      <c r="E1661" s="414"/>
      <c r="F1661" s="486">
        <f>7.66+2+0.23*2</f>
        <v>10.120000000000001</v>
      </c>
      <c r="G1661" s="486">
        <v>0.23</v>
      </c>
      <c r="H1661" s="486">
        <v>0.19</v>
      </c>
      <c r="I1661" s="399">
        <f t="shared" si="43"/>
        <v>0.44</v>
      </c>
      <c r="J1661" s="294"/>
      <c r="K1661" s="1259"/>
      <c r="L1661" s="431"/>
      <c r="M1661" s="431"/>
      <c r="N1661" s="431"/>
    </row>
    <row r="1662" spans="1:14" s="398" customFormat="1" hidden="1" outlineLevel="1">
      <c r="A1662" s="1221"/>
      <c r="B1662" s="425"/>
      <c r="C1662" s="165" t="s">
        <v>2</v>
      </c>
      <c r="D1662" s="437"/>
      <c r="E1662" s="414"/>
      <c r="F1662" s="486"/>
      <c r="G1662" s="486"/>
      <c r="H1662" s="486"/>
      <c r="I1662" s="399" t="str">
        <f t="shared" si="43"/>
        <v/>
      </c>
      <c r="J1662" s="294"/>
      <c r="K1662" s="1259"/>
      <c r="L1662" s="431"/>
      <c r="M1662" s="431"/>
      <c r="N1662" s="431"/>
    </row>
    <row r="1663" spans="1:14" s="398" customFormat="1" hidden="1" outlineLevel="1">
      <c r="A1663" s="1221"/>
      <c r="B1663" s="425"/>
      <c r="C1663" s="165" t="s">
        <v>2</v>
      </c>
      <c r="D1663" s="437">
        <v>1</v>
      </c>
      <c r="E1663" s="414"/>
      <c r="F1663" s="486">
        <f>7.66+0.46</f>
        <v>8.120000000000001</v>
      </c>
      <c r="G1663" s="486">
        <v>0.46</v>
      </c>
      <c r="H1663" s="486">
        <v>0.3</v>
      </c>
      <c r="I1663" s="399">
        <f t="shared" si="43"/>
        <v>1.1200000000000001</v>
      </c>
      <c r="J1663" s="294"/>
      <c r="K1663" s="1259"/>
      <c r="L1663" s="431"/>
      <c r="M1663" s="431"/>
      <c r="N1663" s="431"/>
    </row>
    <row r="1664" spans="1:14" s="398" customFormat="1" hidden="1" outlineLevel="1">
      <c r="A1664" s="1221"/>
      <c r="B1664" s="425"/>
      <c r="C1664" s="165" t="s">
        <v>2</v>
      </c>
      <c r="D1664" s="437">
        <v>1</v>
      </c>
      <c r="E1664" s="414"/>
      <c r="F1664" s="486">
        <f>7.66+0.345</f>
        <v>8.0050000000000008</v>
      </c>
      <c r="G1664" s="486">
        <v>0.34499999999999997</v>
      </c>
      <c r="H1664" s="486">
        <v>0.3</v>
      </c>
      <c r="I1664" s="399">
        <f t="shared" si="43"/>
        <v>0.83</v>
      </c>
      <c r="J1664" s="294"/>
      <c r="K1664" s="1259"/>
      <c r="L1664" s="431"/>
      <c r="M1664" s="431"/>
      <c r="N1664" s="431"/>
    </row>
    <row r="1665" spans="1:14" s="398" customFormat="1" hidden="1" outlineLevel="1">
      <c r="A1665" s="1221"/>
      <c r="B1665" s="425"/>
      <c r="C1665" s="165" t="s">
        <v>2</v>
      </c>
      <c r="D1665" s="437">
        <v>1</v>
      </c>
      <c r="E1665" s="414"/>
      <c r="F1665" s="486">
        <f>7.66+0.23</f>
        <v>7.8900000000000006</v>
      </c>
      <c r="G1665" s="486">
        <v>0.23</v>
      </c>
      <c r="H1665" s="486">
        <v>0.19</v>
      </c>
      <c r="I1665" s="399">
        <f t="shared" si="43"/>
        <v>0.34</v>
      </c>
      <c r="J1665" s="294"/>
      <c r="K1665" s="1259"/>
      <c r="L1665" s="431"/>
      <c r="M1665" s="431"/>
      <c r="N1665" s="431"/>
    </row>
    <row r="1666" spans="1:14" s="398" customFormat="1" hidden="1" outlineLevel="1">
      <c r="A1666" s="1221"/>
      <c r="B1666" s="425"/>
      <c r="C1666" s="165" t="s">
        <v>2</v>
      </c>
      <c r="D1666" s="437">
        <v>2</v>
      </c>
      <c r="E1666" s="414"/>
      <c r="F1666" s="486">
        <f>2.4+3.16+3+0.46</f>
        <v>9.0200000000000014</v>
      </c>
      <c r="G1666" s="486">
        <v>0.46</v>
      </c>
      <c r="H1666" s="486">
        <v>0.3</v>
      </c>
      <c r="I1666" s="399">
        <f t="shared" si="43"/>
        <v>2.4900000000000002</v>
      </c>
      <c r="J1666" s="294"/>
      <c r="K1666" s="1259"/>
      <c r="L1666" s="431"/>
      <c r="M1666" s="431"/>
      <c r="N1666" s="431"/>
    </row>
    <row r="1667" spans="1:14" s="398" customFormat="1" hidden="1" outlineLevel="1">
      <c r="A1667" s="1221"/>
      <c r="B1667" s="425"/>
      <c r="C1667" s="165" t="s">
        <v>2</v>
      </c>
      <c r="D1667" s="437">
        <v>2</v>
      </c>
      <c r="E1667" s="414"/>
      <c r="F1667" s="486">
        <f>2.4+3.16+3+0.345</f>
        <v>8.9050000000000011</v>
      </c>
      <c r="G1667" s="486">
        <v>0.34499999999999997</v>
      </c>
      <c r="H1667" s="486">
        <v>0.3</v>
      </c>
      <c r="I1667" s="399">
        <f t="shared" si="43"/>
        <v>1.84</v>
      </c>
      <c r="J1667" s="294"/>
      <c r="K1667" s="1259"/>
      <c r="L1667" s="431"/>
      <c r="M1667" s="431"/>
      <c r="N1667" s="431"/>
    </row>
    <row r="1668" spans="1:14" s="398" customFormat="1" hidden="1" outlineLevel="1">
      <c r="A1668" s="1221"/>
      <c r="B1668" s="425"/>
      <c r="C1668" s="165" t="s">
        <v>2</v>
      </c>
      <c r="D1668" s="437">
        <v>2</v>
      </c>
      <c r="E1668" s="414"/>
      <c r="F1668" s="486">
        <f>2.4+3.16+3+0.23</f>
        <v>8.7900000000000009</v>
      </c>
      <c r="G1668" s="486">
        <v>0.23</v>
      </c>
      <c r="H1668" s="486">
        <v>0.19</v>
      </c>
      <c r="I1668" s="399">
        <f t="shared" si="43"/>
        <v>0.77</v>
      </c>
      <c r="J1668" s="294"/>
      <c r="K1668" s="1259"/>
      <c r="L1668" s="431"/>
      <c r="M1668" s="431"/>
      <c r="N1668" s="431"/>
    </row>
    <row r="1669" spans="1:14" s="398" customFormat="1" hidden="1" outlineLevel="1">
      <c r="A1669" s="1221"/>
      <c r="B1669" s="425"/>
      <c r="C1669" s="165" t="s">
        <v>2</v>
      </c>
      <c r="D1669" s="437">
        <v>2</v>
      </c>
      <c r="E1669" s="414"/>
      <c r="F1669" s="486">
        <f>4.16+2+0.46</f>
        <v>6.62</v>
      </c>
      <c r="G1669" s="486">
        <v>0.46</v>
      </c>
      <c r="H1669" s="486">
        <v>0.3</v>
      </c>
      <c r="I1669" s="399">
        <f t="shared" si="43"/>
        <v>1.83</v>
      </c>
      <c r="J1669" s="294"/>
      <c r="K1669" s="1259"/>
      <c r="L1669" s="431"/>
      <c r="M1669" s="431"/>
      <c r="N1669" s="431"/>
    </row>
    <row r="1670" spans="1:14" s="398" customFormat="1" hidden="1" outlineLevel="1">
      <c r="A1670" s="1221"/>
      <c r="B1670" s="425"/>
      <c r="C1670" s="165" t="s">
        <v>2</v>
      </c>
      <c r="D1670" s="437">
        <v>2</v>
      </c>
      <c r="E1670" s="414"/>
      <c r="F1670" s="486">
        <f>4.16+2+0.345</f>
        <v>6.5049999999999999</v>
      </c>
      <c r="G1670" s="486">
        <v>0.34499999999999997</v>
      </c>
      <c r="H1670" s="486">
        <v>0.3</v>
      </c>
      <c r="I1670" s="399">
        <f t="shared" si="43"/>
        <v>1.35</v>
      </c>
      <c r="J1670" s="294"/>
      <c r="K1670" s="1259"/>
      <c r="L1670" s="431"/>
      <c r="M1670" s="431"/>
      <c r="N1670" s="431"/>
    </row>
    <row r="1671" spans="1:14" s="398" customFormat="1" hidden="1" outlineLevel="1">
      <c r="A1671" s="1221"/>
      <c r="B1671" s="425"/>
      <c r="C1671" s="165" t="s">
        <v>2</v>
      </c>
      <c r="D1671" s="437">
        <v>2</v>
      </c>
      <c r="E1671" s="414"/>
      <c r="F1671" s="486">
        <f>4.16+2+0.23</f>
        <v>6.3900000000000006</v>
      </c>
      <c r="G1671" s="486">
        <v>0.23</v>
      </c>
      <c r="H1671" s="486">
        <v>0.19</v>
      </c>
      <c r="I1671" s="399">
        <f t="shared" si="43"/>
        <v>0.56000000000000005</v>
      </c>
      <c r="J1671" s="294"/>
      <c r="K1671" s="1259"/>
      <c r="L1671" s="431"/>
      <c r="M1671" s="431"/>
      <c r="N1671" s="431"/>
    </row>
    <row r="1672" spans="1:14" s="398" customFormat="1" hidden="1" outlineLevel="1">
      <c r="A1672" s="1221"/>
      <c r="B1672" s="425"/>
      <c r="C1672" s="165" t="s">
        <v>2</v>
      </c>
      <c r="D1672" s="437">
        <v>1</v>
      </c>
      <c r="E1672" s="414"/>
      <c r="F1672" s="486">
        <f>10.16-2+0.46</f>
        <v>8.620000000000001</v>
      </c>
      <c r="G1672" s="486">
        <v>0.46</v>
      </c>
      <c r="H1672" s="486">
        <v>0.3</v>
      </c>
      <c r="I1672" s="399">
        <f t="shared" si="43"/>
        <v>1.19</v>
      </c>
      <c r="J1672" s="294"/>
      <c r="K1672" s="1259"/>
      <c r="L1672" s="431"/>
      <c r="M1672" s="431"/>
      <c r="N1672" s="431"/>
    </row>
    <row r="1673" spans="1:14" s="398" customFormat="1" hidden="1" outlineLevel="1">
      <c r="A1673" s="1221"/>
      <c r="B1673" s="425"/>
      <c r="C1673" s="165" t="s">
        <v>2</v>
      </c>
      <c r="D1673" s="437">
        <v>1</v>
      </c>
      <c r="E1673" s="414"/>
      <c r="F1673" s="486">
        <f>10.16-2+0.345</f>
        <v>8.5050000000000008</v>
      </c>
      <c r="G1673" s="486">
        <v>0.34499999999999997</v>
      </c>
      <c r="H1673" s="486">
        <v>0.3</v>
      </c>
      <c r="I1673" s="399">
        <f t="shared" si="43"/>
        <v>0.88</v>
      </c>
      <c r="J1673" s="294"/>
      <c r="K1673" s="1259"/>
      <c r="L1673" s="431"/>
      <c r="M1673" s="431"/>
      <c r="N1673" s="431"/>
    </row>
    <row r="1674" spans="1:14" s="398" customFormat="1" hidden="1" outlineLevel="1">
      <c r="A1674" s="1221"/>
      <c r="B1674" s="425"/>
      <c r="C1674" s="165" t="s">
        <v>2</v>
      </c>
      <c r="D1674" s="437">
        <v>1</v>
      </c>
      <c r="E1674" s="414"/>
      <c r="F1674" s="486">
        <f>10.16-2+0.23</f>
        <v>8.39</v>
      </c>
      <c r="G1674" s="486">
        <v>0.23</v>
      </c>
      <c r="H1674" s="486">
        <v>0.19</v>
      </c>
      <c r="I1674" s="399">
        <f t="shared" si="43"/>
        <v>0.37</v>
      </c>
      <c r="J1674" s="294"/>
      <c r="K1674" s="1259"/>
      <c r="L1674" s="431"/>
      <c r="M1674" s="431"/>
      <c r="N1674" s="431"/>
    </row>
    <row r="1675" spans="1:14" s="398" customFormat="1" hidden="1" outlineLevel="1">
      <c r="A1675" s="1221"/>
      <c r="B1675" s="425"/>
      <c r="C1675" s="165" t="s">
        <v>2</v>
      </c>
      <c r="D1675" s="437">
        <v>1</v>
      </c>
      <c r="E1675" s="414"/>
      <c r="F1675" s="486">
        <f>10.16+0.46*2</f>
        <v>11.08</v>
      </c>
      <c r="G1675" s="486">
        <v>0.46</v>
      </c>
      <c r="H1675" s="486">
        <v>0.3</v>
      </c>
      <c r="I1675" s="399">
        <f t="shared" si="43"/>
        <v>1.53</v>
      </c>
      <c r="J1675" s="294"/>
      <c r="K1675" s="1259"/>
      <c r="L1675" s="431"/>
      <c r="M1675" s="431"/>
      <c r="N1675" s="431"/>
    </row>
    <row r="1676" spans="1:14" s="398" customFormat="1" hidden="1" outlineLevel="1">
      <c r="A1676" s="1221"/>
      <c r="B1676" s="425"/>
      <c r="C1676" s="165" t="s">
        <v>2</v>
      </c>
      <c r="D1676" s="437">
        <v>1</v>
      </c>
      <c r="E1676" s="414"/>
      <c r="F1676" s="486">
        <f>10.16+0.345*2</f>
        <v>10.85</v>
      </c>
      <c r="G1676" s="486">
        <v>0.34499999999999997</v>
      </c>
      <c r="H1676" s="486">
        <v>0.3</v>
      </c>
      <c r="I1676" s="399">
        <f t="shared" si="43"/>
        <v>1.1200000000000001</v>
      </c>
      <c r="J1676" s="294"/>
      <c r="K1676" s="1259"/>
      <c r="L1676" s="431"/>
      <c r="M1676" s="431"/>
      <c r="N1676" s="431"/>
    </row>
    <row r="1677" spans="1:14" s="398" customFormat="1" hidden="1" outlineLevel="1">
      <c r="A1677" s="1221"/>
      <c r="B1677" s="425"/>
      <c r="C1677" s="165" t="s">
        <v>2</v>
      </c>
      <c r="D1677" s="437">
        <v>1</v>
      </c>
      <c r="E1677" s="414"/>
      <c r="F1677" s="486">
        <f>10.16+0.23*2</f>
        <v>10.620000000000001</v>
      </c>
      <c r="G1677" s="486">
        <v>0.23</v>
      </c>
      <c r="H1677" s="486">
        <v>0.19</v>
      </c>
      <c r="I1677" s="399">
        <f t="shared" si="43"/>
        <v>0.46</v>
      </c>
      <c r="J1677" s="294"/>
      <c r="K1677" s="1259"/>
      <c r="L1677" s="431"/>
      <c r="M1677" s="431"/>
      <c r="N1677" s="431"/>
    </row>
    <row r="1678" spans="1:14" s="398" customFormat="1" ht="34.5" hidden="1" outlineLevel="1">
      <c r="A1678" s="1221"/>
      <c r="B1678" s="425" t="s">
        <v>124</v>
      </c>
      <c r="C1678" s="165" t="s">
        <v>2</v>
      </c>
      <c r="D1678" s="437"/>
      <c r="E1678" s="414"/>
      <c r="F1678" s="486"/>
      <c r="G1678" s="486"/>
      <c r="H1678" s="486"/>
      <c r="I1678" s="399" t="str">
        <f t="shared" si="43"/>
        <v/>
      </c>
      <c r="J1678" s="294"/>
      <c r="K1678" s="1259"/>
      <c r="L1678" s="431"/>
      <c r="M1678" s="431"/>
      <c r="N1678" s="431"/>
    </row>
    <row r="1679" spans="1:14" s="398" customFormat="1" hidden="1" outlineLevel="1">
      <c r="A1679" s="1221"/>
      <c r="B1679" s="425" t="s">
        <v>144</v>
      </c>
      <c r="C1679" s="165" t="s">
        <v>2</v>
      </c>
      <c r="D1679" s="437">
        <v>2</v>
      </c>
      <c r="E1679" s="414"/>
      <c r="F1679" s="486">
        <v>0.61499999999999999</v>
      </c>
      <c r="G1679" s="486">
        <v>0.46</v>
      </c>
      <c r="H1679" s="486">
        <v>0.3</v>
      </c>
      <c r="I1679" s="399">
        <f t="shared" si="43"/>
        <v>0.17</v>
      </c>
      <c r="J1679" s="294"/>
      <c r="K1679" s="1259"/>
      <c r="L1679" s="431"/>
      <c r="M1679" s="431"/>
      <c r="N1679" s="431"/>
    </row>
    <row r="1680" spans="1:14" s="398" customFormat="1" hidden="1" outlineLevel="1">
      <c r="A1680" s="1221"/>
      <c r="B1680" s="425"/>
      <c r="C1680" s="165" t="s">
        <v>2</v>
      </c>
      <c r="D1680" s="437">
        <v>2</v>
      </c>
      <c r="E1680" s="414"/>
      <c r="F1680" s="486">
        <v>0.61499999999999999</v>
      </c>
      <c r="G1680" s="486">
        <v>0.34499999999999997</v>
      </c>
      <c r="H1680" s="486">
        <v>0.3</v>
      </c>
      <c r="I1680" s="399">
        <f t="shared" si="43"/>
        <v>0.13</v>
      </c>
      <c r="J1680" s="294"/>
      <c r="K1680" s="1259"/>
      <c r="L1680" s="431"/>
      <c r="M1680" s="431"/>
      <c r="N1680" s="431"/>
    </row>
    <row r="1681" spans="1:14" s="398" customFormat="1" hidden="1" outlineLevel="1">
      <c r="A1681" s="1221"/>
      <c r="B1681" s="425"/>
      <c r="C1681" s="165" t="s">
        <v>2</v>
      </c>
      <c r="D1681" s="437">
        <v>2</v>
      </c>
      <c r="E1681" s="414"/>
      <c r="F1681" s="486">
        <v>0.61499999999999999</v>
      </c>
      <c r="G1681" s="486">
        <v>0.23</v>
      </c>
      <c r="H1681" s="486">
        <v>0.19</v>
      </c>
      <c r="I1681" s="399">
        <f t="shared" si="43"/>
        <v>0.05</v>
      </c>
      <c r="J1681" s="294"/>
      <c r="K1681" s="1259"/>
      <c r="L1681" s="431"/>
      <c r="M1681" s="431"/>
      <c r="N1681" s="431"/>
    </row>
    <row r="1682" spans="1:14" s="398" customFormat="1" hidden="1" outlineLevel="1">
      <c r="A1682" s="1221"/>
      <c r="B1682" s="425"/>
      <c r="C1682" s="165" t="s">
        <v>2</v>
      </c>
      <c r="D1682" s="437">
        <v>3</v>
      </c>
      <c r="E1682" s="414"/>
      <c r="F1682" s="486">
        <v>3.36</v>
      </c>
      <c r="G1682" s="486">
        <v>0.46</v>
      </c>
      <c r="H1682" s="486">
        <v>0.3</v>
      </c>
      <c r="I1682" s="399">
        <f t="shared" si="43"/>
        <v>1.39</v>
      </c>
      <c r="J1682" s="294"/>
      <c r="K1682" s="1259"/>
      <c r="L1682" s="431"/>
      <c r="M1682" s="431"/>
      <c r="N1682" s="431"/>
    </row>
    <row r="1683" spans="1:14" s="398" customFormat="1" hidden="1" outlineLevel="1">
      <c r="A1683" s="1221"/>
      <c r="B1683" s="425"/>
      <c r="C1683" s="165" t="s">
        <v>2</v>
      </c>
      <c r="D1683" s="437">
        <v>3</v>
      </c>
      <c r="E1683" s="414"/>
      <c r="F1683" s="486">
        <v>3.36</v>
      </c>
      <c r="G1683" s="486">
        <v>0.34499999999999997</v>
      </c>
      <c r="H1683" s="486">
        <v>0.3</v>
      </c>
      <c r="I1683" s="399">
        <f t="shared" si="43"/>
        <v>1.04</v>
      </c>
      <c r="J1683" s="294"/>
      <c r="K1683" s="1259"/>
      <c r="L1683" s="431"/>
      <c r="M1683" s="431"/>
      <c r="N1683" s="431"/>
    </row>
    <row r="1684" spans="1:14" s="398" customFormat="1" hidden="1" outlineLevel="1">
      <c r="A1684" s="1221"/>
      <c r="B1684" s="425"/>
      <c r="C1684" s="165" t="s">
        <v>2</v>
      </c>
      <c r="D1684" s="437">
        <v>3</v>
      </c>
      <c r="E1684" s="414"/>
      <c r="F1684" s="486">
        <v>3.36</v>
      </c>
      <c r="G1684" s="486">
        <v>0.23</v>
      </c>
      <c r="H1684" s="486">
        <v>0.19</v>
      </c>
      <c r="I1684" s="399">
        <f t="shared" si="43"/>
        <v>0.44</v>
      </c>
      <c r="J1684" s="294"/>
      <c r="K1684" s="1259"/>
      <c r="L1684" s="431"/>
      <c r="M1684" s="431"/>
      <c r="N1684" s="431"/>
    </row>
    <row r="1685" spans="1:14" s="398" customFormat="1" hidden="1" outlineLevel="1">
      <c r="A1685" s="1221"/>
      <c r="B1685" s="425"/>
      <c r="C1685" s="165" t="s">
        <v>2</v>
      </c>
      <c r="D1685" s="437">
        <v>3</v>
      </c>
      <c r="E1685" s="414"/>
      <c r="F1685" s="486">
        <v>2.13</v>
      </c>
      <c r="G1685" s="486">
        <v>0.46</v>
      </c>
      <c r="H1685" s="486">
        <v>0.3</v>
      </c>
      <c r="I1685" s="399">
        <f t="shared" si="43"/>
        <v>0.88</v>
      </c>
      <c r="J1685" s="294"/>
      <c r="K1685" s="1259"/>
      <c r="L1685" s="431"/>
      <c r="M1685" s="431"/>
      <c r="N1685" s="431"/>
    </row>
    <row r="1686" spans="1:14" s="398" customFormat="1" hidden="1" outlineLevel="1">
      <c r="A1686" s="1221"/>
      <c r="B1686" s="425"/>
      <c r="C1686" s="165" t="s">
        <v>2</v>
      </c>
      <c r="D1686" s="437">
        <v>3</v>
      </c>
      <c r="E1686" s="414"/>
      <c r="F1686" s="486">
        <v>2.13</v>
      </c>
      <c r="G1686" s="486">
        <v>0.34499999999999997</v>
      </c>
      <c r="H1686" s="486">
        <v>0.3</v>
      </c>
      <c r="I1686" s="399">
        <f t="shared" si="43"/>
        <v>0.66</v>
      </c>
      <c r="J1686" s="294"/>
      <c r="K1686" s="1259"/>
      <c r="L1686" s="431"/>
      <c r="M1686" s="431"/>
      <c r="N1686" s="431"/>
    </row>
    <row r="1687" spans="1:14" s="398" customFormat="1" hidden="1" outlineLevel="1">
      <c r="A1687" s="1221"/>
      <c r="B1687" s="425"/>
      <c r="C1687" s="165" t="s">
        <v>2</v>
      </c>
      <c r="D1687" s="437">
        <v>3</v>
      </c>
      <c r="E1687" s="414"/>
      <c r="F1687" s="486">
        <v>2.13</v>
      </c>
      <c r="G1687" s="486">
        <v>0.23</v>
      </c>
      <c r="H1687" s="486">
        <v>0.19</v>
      </c>
      <c r="I1687" s="399">
        <f t="shared" si="43"/>
        <v>0.28000000000000003</v>
      </c>
      <c r="J1687" s="294"/>
      <c r="K1687" s="1259"/>
      <c r="L1687" s="431"/>
      <c r="M1687" s="431"/>
      <c r="N1687" s="431"/>
    </row>
    <row r="1688" spans="1:14" s="398" customFormat="1" ht="34.5" hidden="1" outlineLevel="1">
      <c r="A1688" s="1221"/>
      <c r="B1688" s="425" t="s">
        <v>122</v>
      </c>
      <c r="C1688" s="165" t="s">
        <v>2</v>
      </c>
      <c r="D1688" s="437"/>
      <c r="E1688" s="414"/>
      <c r="F1688" s="486"/>
      <c r="G1688" s="486"/>
      <c r="H1688" s="486"/>
      <c r="I1688" s="399" t="str">
        <f t="shared" ref="I1688:I1751" si="44">IF(D1688&lt;&gt;0,ROUND(PRODUCT(E1688:H1688)*D1688,2),"")</f>
        <v/>
      </c>
      <c r="J1688" s="294"/>
      <c r="K1688" s="1259"/>
      <c r="L1688" s="431"/>
      <c r="M1688" s="431"/>
      <c r="N1688" s="431"/>
    </row>
    <row r="1689" spans="1:14" s="398" customFormat="1" hidden="1" outlineLevel="1">
      <c r="A1689" s="1221"/>
      <c r="B1689" s="425" t="s">
        <v>144</v>
      </c>
      <c r="C1689" s="165" t="s">
        <v>2</v>
      </c>
      <c r="D1689" s="437">
        <v>1</v>
      </c>
      <c r="E1689" s="414"/>
      <c r="F1689" s="486">
        <f>7.66+2+0.46*2</f>
        <v>10.58</v>
      </c>
      <c r="G1689" s="486">
        <v>0.46</v>
      </c>
      <c r="H1689" s="486">
        <v>0.3</v>
      </c>
      <c r="I1689" s="399">
        <f t="shared" si="44"/>
        <v>1.46</v>
      </c>
      <c r="J1689" s="294"/>
      <c r="K1689" s="1259"/>
      <c r="L1689" s="431"/>
      <c r="M1689" s="431"/>
      <c r="N1689" s="431"/>
    </row>
    <row r="1690" spans="1:14" s="398" customFormat="1" hidden="1" outlineLevel="1">
      <c r="A1690" s="1221"/>
      <c r="B1690" s="425"/>
      <c r="C1690" s="165" t="s">
        <v>2</v>
      </c>
      <c r="D1690" s="437">
        <v>1</v>
      </c>
      <c r="E1690" s="414"/>
      <c r="F1690" s="662">
        <f>7.66+2+0.345*2</f>
        <v>10.35</v>
      </c>
      <c r="G1690" s="486">
        <v>0.34499999999999997</v>
      </c>
      <c r="H1690" s="486">
        <v>0.3</v>
      </c>
      <c r="I1690" s="399">
        <f t="shared" si="44"/>
        <v>1.07</v>
      </c>
      <c r="J1690" s="294"/>
      <c r="K1690" s="1259"/>
      <c r="L1690" s="431"/>
      <c r="M1690" s="431"/>
      <c r="N1690" s="431"/>
    </row>
    <row r="1691" spans="1:14" s="398" customFormat="1" hidden="1" outlineLevel="1">
      <c r="A1691" s="1221"/>
      <c r="B1691" s="425"/>
      <c r="C1691" s="165" t="s">
        <v>2</v>
      </c>
      <c r="D1691" s="437">
        <v>1</v>
      </c>
      <c r="E1691" s="414"/>
      <c r="F1691" s="486">
        <f>7.66+2+0.23*2</f>
        <v>10.120000000000001</v>
      </c>
      <c r="G1691" s="486">
        <v>0.23</v>
      </c>
      <c r="H1691" s="486">
        <v>0.19</v>
      </c>
      <c r="I1691" s="399">
        <f t="shared" si="44"/>
        <v>0.44</v>
      </c>
      <c r="J1691" s="294"/>
      <c r="K1691" s="1259"/>
      <c r="L1691" s="431"/>
      <c r="M1691" s="431"/>
      <c r="N1691" s="431"/>
    </row>
    <row r="1692" spans="1:14" s="398" customFormat="1" hidden="1" outlineLevel="1">
      <c r="A1692" s="1221"/>
      <c r="B1692" s="425"/>
      <c r="C1692" s="165" t="s">
        <v>2</v>
      </c>
      <c r="D1692" s="437">
        <v>1</v>
      </c>
      <c r="E1692" s="414"/>
      <c r="F1692" s="662">
        <f>3.16+3+1.2+0.46+0.46</f>
        <v>8.2800000000000011</v>
      </c>
      <c r="G1692" s="486">
        <v>0.46</v>
      </c>
      <c r="H1692" s="486">
        <v>0.3</v>
      </c>
      <c r="I1692" s="399">
        <f t="shared" si="44"/>
        <v>1.1399999999999999</v>
      </c>
      <c r="J1692" s="294"/>
      <c r="K1692" s="1259"/>
      <c r="L1692" s="431"/>
      <c r="M1692" s="431"/>
      <c r="N1692" s="431"/>
    </row>
    <row r="1693" spans="1:14" s="398" customFormat="1" hidden="1" outlineLevel="1">
      <c r="A1693" s="1221"/>
      <c r="B1693" s="425"/>
      <c r="C1693" s="165" t="s">
        <v>2</v>
      </c>
      <c r="D1693" s="437">
        <v>1</v>
      </c>
      <c r="E1693" s="414"/>
      <c r="F1693" s="662">
        <f>3.16+3+1.2+0.345+0.345</f>
        <v>8.0500000000000007</v>
      </c>
      <c r="G1693" s="486">
        <v>0.34499999999999997</v>
      </c>
      <c r="H1693" s="486">
        <v>0.3</v>
      </c>
      <c r="I1693" s="399">
        <f t="shared" si="44"/>
        <v>0.83</v>
      </c>
      <c r="J1693" s="294"/>
      <c r="K1693" s="1259"/>
      <c r="L1693" s="431"/>
      <c r="M1693" s="431"/>
      <c r="N1693" s="431"/>
    </row>
    <row r="1694" spans="1:14" s="398" customFormat="1" hidden="1" outlineLevel="1">
      <c r="A1694" s="1221"/>
      <c r="B1694" s="425"/>
      <c r="C1694" s="165" t="s">
        <v>2</v>
      </c>
      <c r="D1694" s="437">
        <v>1</v>
      </c>
      <c r="E1694" s="414"/>
      <c r="F1694" s="662">
        <f>3.16+3+1.2+0.23+0.23</f>
        <v>7.8200000000000012</v>
      </c>
      <c r="G1694" s="486">
        <v>0.23</v>
      </c>
      <c r="H1694" s="486">
        <v>0.19</v>
      </c>
      <c r="I1694" s="399">
        <f t="shared" si="44"/>
        <v>0.34</v>
      </c>
      <c r="J1694" s="294"/>
      <c r="K1694" s="1259"/>
      <c r="L1694" s="431"/>
      <c r="M1694" s="431"/>
      <c r="N1694" s="431"/>
    </row>
    <row r="1695" spans="1:14" s="398" customFormat="1" hidden="1" outlineLevel="1">
      <c r="A1695" s="1221"/>
      <c r="B1695" s="425"/>
      <c r="C1695" s="165" t="s">
        <v>2</v>
      </c>
      <c r="D1695" s="438">
        <v>1</v>
      </c>
      <c r="E1695" s="414"/>
      <c r="F1695" s="662">
        <f>3.16+3+0.46</f>
        <v>6.62</v>
      </c>
      <c r="G1695" s="486">
        <v>0.46</v>
      </c>
      <c r="H1695" s="486">
        <v>0.3</v>
      </c>
      <c r="I1695" s="399">
        <f t="shared" si="44"/>
        <v>0.91</v>
      </c>
      <c r="J1695" s="294"/>
      <c r="K1695" s="1259"/>
      <c r="L1695" s="431"/>
      <c r="M1695" s="431"/>
      <c r="N1695" s="431"/>
    </row>
    <row r="1696" spans="1:14" s="398" customFormat="1" hidden="1" outlineLevel="1">
      <c r="A1696" s="1221"/>
      <c r="B1696" s="425"/>
      <c r="C1696" s="165" t="s">
        <v>2</v>
      </c>
      <c r="D1696" s="438">
        <v>1</v>
      </c>
      <c r="E1696" s="414"/>
      <c r="F1696" s="662">
        <f>3.16+3+0.35</f>
        <v>6.51</v>
      </c>
      <c r="G1696" s="486">
        <v>0.34499999999999997</v>
      </c>
      <c r="H1696" s="486">
        <v>0.3</v>
      </c>
      <c r="I1696" s="399">
        <f t="shared" si="44"/>
        <v>0.67</v>
      </c>
      <c r="J1696" s="294"/>
      <c r="K1696" s="1259"/>
      <c r="L1696" s="431"/>
      <c r="M1696" s="431"/>
      <c r="N1696" s="431"/>
    </row>
    <row r="1697" spans="1:14" s="398" customFormat="1" hidden="1" outlineLevel="1">
      <c r="A1697" s="1221"/>
      <c r="B1697" s="425"/>
      <c r="C1697" s="165" t="s">
        <v>2</v>
      </c>
      <c r="D1697" s="438">
        <v>1</v>
      </c>
      <c r="E1697" s="414"/>
      <c r="F1697" s="662">
        <f>3.16+3+0.23</f>
        <v>6.3900000000000006</v>
      </c>
      <c r="G1697" s="486">
        <v>0.23</v>
      </c>
      <c r="H1697" s="486">
        <v>0.19</v>
      </c>
      <c r="I1697" s="399">
        <f t="shared" si="44"/>
        <v>0.28000000000000003</v>
      </c>
      <c r="J1697" s="294"/>
      <c r="K1697" s="1259"/>
      <c r="L1697" s="431"/>
      <c r="M1697" s="431"/>
      <c r="N1697" s="431"/>
    </row>
    <row r="1698" spans="1:14" s="398" customFormat="1" hidden="1" outlineLevel="1">
      <c r="A1698" s="1221"/>
      <c r="B1698" s="425"/>
      <c r="C1698" s="165" t="s">
        <v>2</v>
      </c>
      <c r="D1698" s="438">
        <v>1</v>
      </c>
      <c r="E1698" s="414"/>
      <c r="F1698" s="662">
        <f>3+2.56+0.6+0.46+0.46</f>
        <v>7.08</v>
      </c>
      <c r="G1698" s="486">
        <v>0.46</v>
      </c>
      <c r="H1698" s="486">
        <v>0.3</v>
      </c>
      <c r="I1698" s="399">
        <f t="shared" si="44"/>
        <v>0.98</v>
      </c>
      <c r="J1698" s="294"/>
      <c r="K1698" s="1259"/>
      <c r="L1698" s="431"/>
      <c r="M1698" s="431"/>
      <c r="N1698" s="431"/>
    </row>
    <row r="1699" spans="1:14" s="398" customFormat="1" hidden="1" outlineLevel="1">
      <c r="A1699" s="1221"/>
      <c r="B1699" s="425"/>
      <c r="C1699" s="165" t="s">
        <v>2</v>
      </c>
      <c r="D1699" s="438">
        <v>1</v>
      </c>
      <c r="E1699" s="414"/>
      <c r="F1699" s="662">
        <f>3+2.56+0.6+0.345+0.345</f>
        <v>6.85</v>
      </c>
      <c r="G1699" s="486">
        <v>0.34499999999999997</v>
      </c>
      <c r="H1699" s="486">
        <v>0.3</v>
      </c>
      <c r="I1699" s="399">
        <f t="shared" si="44"/>
        <v>0.71</v>
      </c>
      <c r="J1699" s="294"/>
      <c r="K1699" s="1259"/>
      <c r="L1699" s="431"/>
      <c r="M1699" s="431"/>
      <c r="N1699" s="431"/>
    </row>
    <row r="1700" spans="1:14" s="398" customFormat="1" hidden="1" outlineLevel="1">
      <c r="A1700" s="1221"/>
      <c r="B1700" s="425"/>
      <c r="C1700" s="165" t="s">
        <v>2</v>
      </c>
      <c r="D1700" s="438">
        <v>1</v>
      </c>
      <c r="E1700" s="414"/>
      <c r="F1700" s="662">
        <f>3+2.56+0.6+0.23+0.23</f>
        <v>6.620000000000001</v>
      </c>
      <c r="G1700" s="486">
        <v>0.23</v>
      </c>
      <c r="H1700" s="486">
        <v>0.19</v>
      </c>
      <c r="I1700" s="399">
        <f t="shared" si="44"/>
        <v>0.28999999999999998</v>
      </c>
      <c r="J1700" s="294"/>
      <c r="K1700" s="1259"/>
      <c r="L1700" s="431"/>
      <c r="M1700" s="431"/>
      <c r="N1700" s="431"/>
    </row>
    <row r="1701" spans="1:14" s="398" customFormat="1" hidden="1" outlineLevel="1">
      <c r="A1701" s="1221"/>
      <c r="B1701" s="425"/>
      <c r="C1701" s="165" t="s">
        <v>2</v>
      </c>
      <c r="D1701" s="437">
        <v>1</v>
      </c>
      <c r="E1701" s="414"/>
      <c r="F1701" s="662">
        <f>3.08+2+1.28+0.46-2</f>
        <v>4.82</v>
      </c>
      <c r="G1701" s="486">
        <v>0.46</v>
      </c>
      <c r="H1701" s="486">
        <v>0.3</v>
      </c>
      <c r="I1701" s="399">
        <f t="shared" si="44"/>
        <v>0.67</v>
      </c>
      <c r="J1701" s="294"/>
      <c r="K1701" s="1259"/>
      <c r="L1701" s="431"/>
      <c r="M1701" s="431"/>
      <c r="N1701" s="431"/>
    </row>
    <row r="1702" spans="1:14" s="398" customFormat="1" hidden="1" outlineLevel="1">
      <c r="A1702" s="1221"/>
      <c r="B1702" s="425"/>
      <c r="C1702" s="165" t="s">
        <v>2</v>
      </c>
      <c r="D1702" s="437">
        <v>1</v>
      </c>
      <c r="E1702" s="414"/>
      <c r="F1702" s="662">
        <f>3.08+2+1.28+0.345-2</f>
        <v>4.7050000000000001</v>
      </c>
      <c r="G1702" s="486">
        <v>0.34499999999999997</v>
      </c>
      <c r="H1702" s="486">
        <v>0.3</v>
      </c>
      <c r="I1702" s="399">
        <f t="shared" si="44"/>
        <v>0.49</v>
      </c>
      <c r="J1702" s="294"/>
      <c r="K1702" s="1259"/>
      <c r="L1702" s="431"/>
      <c r="M1702" s="431"/>
      <c r="N1702" s="431"/>
    </row>
    <row r="1703" spans="1:14" s="398" customFormat="1" hidden="1" outlineLevel="1">
      <c r="A1703" s="1221"/>
      <c r="B1703" s="425"/>
      <c r="C1703" s="165" t="s">
        <v>2</v>
      </c>
      <c r="D1703" s="437">
        <v>1</v>
      </c>
      <c r="E1703" s="414"/>
      <c r="F1703" s="662">
        <f>3.08+2+1.28+0.23-2</f>
        <v>4.5900000000000007</v>
      </c>
      <c r="G1703" s="486">
        <v>0.23</v>
      </c>
      <c r="H1703" s="486">
        <v>0.19</v>
      </c>
      <c r="I1703" s="399">
        <f t="shared" si="44"/>
        <v>0.2</v>
      </c>
      <c r="J1703" s="294"/>
      <c r="K1703" s="1259"/>
      <c r="L1703" s="431"/>
      <c r="M1703" s="431"/>
      <c r="N1703" s="431"/>
    </row>
    <row r="1704" spans="1:14" s="398" customFormat="1" hidden="1" outlineLevel="1">
      <c r="A1704" s="1221"/>
      <c r="B1704" s="425"/>
      <c r="C1704" s="165" t="s">
        <v>2</v>
      </c>
      <c r="D1704" s="437">
        <v>1</v>
      </c>
      <c r="E1704" s="414"/>
      <c r="F1704" s="662">
        <f>3.08+1.28+0.46+0.46</f>
        <v>5.28</v>
      </c>
      <c r="G1704" s="486">
        <v>0.46</v>
      </c>
      <c r="H1704" s="486">
        <v>0.3</v>
      </c>
      <c r="I1704" s="399">
        <f t="shared" si="44"/>
        <v>0.73</v>
      </c>
      <c r="J1704" s="294"/>
      <c r="K1704" s="1259"/>
      <c r="L1704" s="431"/>
      <c r="M1704" s="431"/>
      <c r="N1704" s="431"/>
    </row>
    <row r="1705" spans="1:14" s="398" customFormat="1" hidden="1" outlineLevel="1">
      <c r="A1705" s="1221"/>
      <c r="B1705" s="425"/>
      <c r="C1705" s="165" t="s">
        <v>2</v>
      </c>
      <c r="D1705" s="437">
        <v>1</v>
      </c>
      <c r="E1705" s="414"/>
      <c r="F1705" s="662">
        <f>3.08+1.28+0.345+0.345</f>
        <v>5.05</v>
      </c>
      <c r="G1705" s="486">
        <v>0.34499999999999997</v>
      </c>
      <c r="H1705" s="486">
        <v>0.3</v>
      </c>
      <c r="I1705" s="399">
        <f t="shared" si="44"/>
        <v>0.52</v>
      </c>
      <c r="J1705" s="294"/>
      <c r="K1705" s="1259"/>
      <c r="L1705" s="431"/>
      <c r="M1705" s="431"/>
      <c r="N1705" s="431"/>
    </row>
    <row r="1706" spans="1:14" s="398" customFormat="1" hidden="1" outlineLevel="1">
      <c r="A1706" s="1221"/>
      <c r="B1706" s="425"/>
      <c r="C1706" s="165" t="s">
        <v>2</v>
      </c>
      <c r="D1706" s="437">
        <v>1</v>
      </c>
      <c r="E1706" s="414"/>
      <c r="F1706" s="662">
        <f>3.08+1.28+0.23+0.23</f>
        <v>4.8200000000000012</v>
      </c>
      <c r="G1706" s="486">
        <v>0.23</v>
      </c>
      <c r="H1706" s="486">
        <v>0.19</v>
      </c>
      <c r="I1706" s="399">
        <f t="shared" si="44"/>
        <v>0.21</v>
      </c>
      <c r="J1706" s="294"/>
      <c r="K1706" s="1259"/>
      <c r="L1706" s="431"/>
      <c r="M1706" s="431"/>
      <c r="N1706" s="431"/>
    </row>
    <row r="1707" spans="1:14" s="398" customFormat="1" hidden="1" outlineLevel="1">
      <c r="A1707" s="1223"/>
      <c r="B1707" s="426"/>
      <c r="C1707" s="333" t="s">
        <v>2</v>
      </c>
      <c r="D1707" s="438">
        <v>2</v>
      </c>
      <c r="E1707" s="333"/>
      <c r="F1707" s="662">
        <f>4.06+2-2+0.46+0.46</f>
        <v>4.9799999999999995</v>
      </c>
      <c r="G1707" s="662">
        <v>0.46</v>
      </c>
      <c r="H1707" s="662">
        <v>0.3</v>
      </c>
      <c r="I1707" s="399">
        <f t="shared" si="44"/>
        <v>1.37</v>
      </c>
      <c r="J1707" s="331"/>
      <c r="K1707" s="1260"/>
      <c r="L1707" s="431"/>
      <c r="M1707" s="431"/>
      <c r="N1707" s="431"/>
    </row>
    <row r="1708" spans="1:14" s="398" customFormat="1" hidden="1" outlineLevel="1">
      <c r="A1708" s="1223"/>
      <c r="B1708" s="426"/>
      <c r="C1708" s="333" t="s">
        <v>2</v>
      </c>
      <c r="D1708" s="438">
        <v>2</v>
      </c>
      <c r="E1708" s="333"/>
      <c r="F1708" s="662">
        <f>4.06+2-2+0.345+0.345</f>
        <v>4.7499999999999991</v>
      </c>
      <c r="G1708" s="662">
        <v>0.34499999999999997</v>
      </c>
      <c r="H1708" s="662">
        <v>0.3</v>
      </c>
      <c r="I1708" s="399">
        <f t="shared" si="44"/>
        <v>0.98</v>
      </c>
      <c r="J1708" s="331"/>
      <c r="K1708" s="1260"/>
      <c r="L1708" s="431"/>
      <c r="M1708" s="431"/>
      <c r="N1708" s="431"/>
    </row>
    <row r="1709" spans="1:14" s="398" customFormat="1" hidden="1" outlineLevel="1">
      <c r="A1709" s="1223"/>
      <c r="B1709" s="426"/>
      <c r="C1709" s="333" t="s">
        <v>2</v>
      </c>
      <c r="D1709" s="438">
        <v>2</v>
      </c>
      <c r="E1709" s="333"/>
      <c r="F1709" s="662">
        <f>4.06+2-2+0.23+0.23</f>
        <v>4.5200000000000005</v>
      </c>
      <c r="G1709" s="662">
        <v>0.23</v>
      </c>
      <c r="H1709" s="662">
        <v>0.19</v>
      </c>
      <c r="I1709" s="399">
        <f t="shared" si="44"/>
        <v>0.4</v>
      </c>
      <c r="J1709" s="331"/>
      <c r="K1709" s="1260"/>
      <c r="L1709" s="431"/>
      <c r="M1709" s="431"/>
      <c r="N1709" s="431"/>
    </row>
    <row r="1710" spans="1:14" s="398" customFormat="1" hidden="1" outlineLevel="1">
      <c r="A1710" s="1223"/>
      <c r="B1710" s="426"/>
      <c r="C1710" s="333" t="s">
        <v>2</v>
      </c>
      <c r="D1710" s="438">
        <v>2</v>
      </c>
      <c r="E1710" s="333"/>
      <c r="F1710" s="662">
        <f>4.06+0.46</f>
        <v>4.5199999999999996</v>
      </c>
      <c r="G1710" s="662">
        <v>0.46</v>
      </c>
      <c r="H1710" s="662">
        <v>0.3</v>
      </c>
      <c r="I1710" s="399">
        <f t="shared" si="44"/>
        <v>1.25</v>
      </c>
      <c r="J1710" s="331"/>
      <c r="K1710" s="1260"/>
      <c r="L1710" s="431"/>
      <c r="M1710" s="431"/>
      <c r="N1710" s="431"/>
    </row>
    <row r="1711" spans="1:14" s="398" customFormat="1" hidden="1" outlineLevel="1">
      <c r="A1711" s="1223"/>
      <c r="B1711" s="426"/>
      <c r="C1711" s="333" t="s">
        <v>2</v>
      </c>
      <c r="D1711" s="438">
        <v>2</v>
      </c>
      <c r="E1711" s="333"/>
      <c r="F1711" s="662">
        <f>4.06+0.345</f>
        <v>4.4049999999999994</v>
      </c>
      <c r="G1711" s="662">
        <v>0.34499999999999997</v>
      </c>
      <c r="H1711" s="662">
        <v>0.3</v>
      </c>
      <c r="I1711" s="399">
        <f t="shared" si="44"/>
        <v>0.91</v>
      </c>
      <c r="J1711" s="331"/>
      <c r="K1711" s="1260"/>
      <c r="L1711" s="431"/>
      <c r="M1711" s="431"/>
      <c r="N1711" s="431"/>
    </row>
    <row r="1712" spans="1:14" s="398" customFormat="1" hidden="1" outlineLevel="1">
      <c r="A1712" s="1223"/>
      <c r="B1712" s="426"/>
      <c r="C1712" s="333" t="s">
        <v>2</v>
      </c>
      <c r="D1712" s="438">
        <v>2</v>
      </c>
      <c r="E1712" s="333"/>
      <c r="F1712" s="662">
        <f>4.06+0.23</f>
        <v>4.29</v>
      </c>
      <c r="G1712" s="662">
        <v>0.23</v>
      </c>
      <c r="H1712" s="662">
        <v>0.19</v>
      </c>
      <c r="I1712" s="399">
        <f t="shared" si="44"/>
        <v>0.37</v>
      </c>
      <c r="J1712" s="331"/>
      <c r="K1712" s="1260"/>
      <c r="L1712" s="431"/>
      <c r="M1712" s="431"/>
      <c r="N1712" s="431"/>
    </row>
    <row r="1713" spans="1:14" s="398" customFormat="1" hidden="1" outlineLevel="1">
      <c r="A1713" s="1223"/>
      <c r="B1713" s="426"/>
      <c r="C1713" s="333" t="s">
        <v>2</v>
      </c>
      <c r="D1713" s="438">
        <v>1</v>
      </c>
      <c r="E1713" s="333"/>
      <c r="F1713" s="662">
        <f>4.2-2+0.46</f>
        <v>2.66</v>
      </c>
      <c r="G1713" s="662">
        <v>0.46</v>
      </c>
      <c r="H1713" s="662">
        <v>0.3</v>
      </c>
      <c r="I1713" s="399">
        <f t="shared" si="44"/>
        <v>0.37</v>
      </c>
      <c r="J1713" s="331"/>
      <c r="K1713" s="1260"/>
      <c r="L1713" s="431"/>
      <c r="M1713" s="431"/>
      <c r="N1713" s="431"/>
    </row>
    <row r="1714" spans="1:14" s="398" customFormat="1" hidden="1" outlineLevel="1">
      <c r="A1714" s="1223"/>
      <c r="B1714" s="426"/>
      <c r="C1714" s="333" t="s">
        <v>2</v>
      </c>
      <c r="D1714" s="438">
        <v>1</v>
      </c>
      <c r="E1714" s="333"/>
      <c r="F1714" s="662">
        <f>4.2-2+0.345</f>
        <v>2.5449999999999999</v>
      </c>
      <c r="G1714" s="662">
        <v>0.34499999999999997</v>
      </c>
      <c r="H1714" s="662">
        <v>0.3</v>
      </c>
      <c r="I1714" s="399">
        <f t="shared" si="44"/>
        <v>0.26</v>
      </c>
      <c r="J1714" s="331"/>
      <c r="K1714" s="1260"/>
      <c r="L1714" s="431"/>
      <c r="M1714" s="431"/>
      <c r="N1714" s="431"/>
    </row>
    <row r="1715" spans="1:14" s="398" customFormat="1" hidden="1" outlineLevel="1">
      <c r="A1715" s="1223"/>
      <c r="B1715" s="426"/>
      <c r="C1715" s="333" t="s">
        <v>2</v>
      </c>
      <c r="D1715" s="438">
        <v>1</v>
      </c>
      <c r="E1715" s="333"/>
      <c r="F1715" s="662">
        <f>4.2-2+0.23</f>
        <v>2.4300000000000002</v>
      </c>
      <c r="G1715" s="662">
        <v>0.23</v>
      </c>
      <c r="H1715" s="662">
        <v>0.19</v>
      </c>
      <c r="I1715" s="399">
        <f t="shared" si="44"/>
        <v>0.11</v>
      </c>
      <c r="J1715" s="331"/>
      <c r="K1715" s="1260"/>
      <c r="L1715" s="431"/>
      <c r="M1715" s="431"/>
      <c r="N1715" s="431"/>
    </row>
    <row r="1716" spans="1:14" s="398" customFormat="1" hidden="1" outlineLevel="1">
      <c r="A1716" s="1223"/>
      <c r="B1716" s="426"/>
      <c r="C1716" s="333" t="s">
        <v>2</v>
      </c>
      <c r="D1716" s="438">
        <v>1</v>
      </c>
      <c r="E1716" s="333"/>
      <c r="F1716" s="662">
        <f>4.2+0.46+0.46</f>
        <v>5.12</v>
      </c>
      <c r="G1716" s="662">
        <v>0.46</v>
      </c>
      <c r="H1716" s="662">
        <v>0.3</v>
      </c>
      <c r="I1716" s="399">
        <f t="shared" si="44"/>
        <v>0.71</v>
      </c>
      <c r="J1716" s="331"/>
      <c r="K1716" s="1260"/>
      <c r="L1716" s="431"/>
      <c r="M1716" s="431"/>
      <c r="N1716" s="431"/>
    </row>
    <row r="1717" spans="1:14" s="398" customFormat="1" hidden="1" outlineLevel="1">
      <c r="A1717" s="1223"/>
      <c r="B1717" s="426"/>
      <c r="C1717" s="333" t="s">
        <v>2</v>
      </c>
      <c r="D1717" s="438">
        <v>1</v>
      </c>
      <c r="E1717" s="333"/>
      <c r="F1717" s="662">
        <f>4.2+0.345+0.345</f>
        <v>4.8899999999999997</v>
      </c>
      <c r="G1717" s="662">
        <v>0.34499999999999997</v>
      </c>
      <c r="H1717" s="662">
        <v>0.3</v>
      </c>
      <c r="I1717" s="399">
        <f t="shared" si="44"/>
        <v>0.51</v>
      </c>
      <c r="J1717" s="331"/>
      <c r="K1717" s="1260"/>
      <c r="L1717" s="431"/>
      <c r="M1717" s="431"/>
      <c r="N1717" s="431"/>
    </row>
    <row r="1718" spans="1:14" s="398" customFormat="1" hidden="1" outlineLevel="1">
      <c r="A1718" s="1223"/>
      <c r="B1718" s="426"/>
      <c r="C1718" s="333" t="s">
        <v>2</v>
      </c>
      <c r="D1718" s="438">
        <v>1</v>
      </c>
      <c r="E1718" s="333"/>
      <c r="F1718" s="662">
        <f>4.2+0.23+0.23</f>
        <v>4.660000000000001</v>
      </c>
      <c r="G1718" s="662">
        <v>0.23</v>
      </c>
      <c r="H1718" s="662">
        <v>0.19</v>
      </c>
      <c r="I1718" s="399">
        <f t="shared" si="44"/>
        <v>0.2</v>
      </c>
      <c r="J1718" s="331"/>
      <c r="K1718" s="1260"/>
      <c r="L1718" s="431"/>
      <c r="M1718" s="431"/>
      <c r="N1718" s="431"/>
    </row>
    <row r="1719" spans="1:14" s="398" customFormat="1" hidden="1" outlineLevel="1">
      <c r="A1719" s="1221"/>
      <c r="B1719" s="425" t="s">
        <v>140</v>
      </c>
      <c r="C1719" s="165" t="s">
        <v>2</v>
      </c>
      <c r="D1719" s="438">
        <v>5</v>
      </c>
      <c r="E1719" s="414"/>
      <c r="F1719" s="486">
        <v>3</v>
      </c>
      <c r="G1719" s="486">
        <v>0.115</v>
      </c>
      <c r="H1719" s="486">
        <v>0.35499999999999998</v>
      </c>
      <c r="I1719" s="399">
        <f t="shared" si="44"/>
        <v>0.61</v>
      </c>
      <c r="J1719" s="294"/>
      <c r="K1719" s="1259"/>
      <c r="L1719" s="431"/>
      <c r="M1719" s="431"/>
      <c r="N1719" s="431"/>
    </row>
    <row r="1720" spans="1:14" s="398" customFormat="1" hidden="1" outlineLevel="1">
      <c r="A1720" s="1221"/>
      <c r="B1720" s="425"/>
      <c r="C1720" s="165" t="s">
        <v>2</v>
      </c>
      <c r="D1720" s="438">
        <v>5</v>
      </c>
      <c r="E1720" s="414"/>
      <c r="F1720" s="486">
        <v>3</v>
      </c>
      <c r="G1720" s="486">
        <v>0.3</v>
      </c>
      <c r="H1720" s="486">
        <v>0.22500000000000001</v>
      </c>
      <c r="I1720" s="399">
        <f t="shared" si="44"/>
        <v>1.01</v>
      </c>
      <c r="J1720" s="294"/>
      <c r="K1720" s="1259"/>
      <c r="L1720" s="431"/>
      <c r="M1720" s="431"/>
      <c r="N1720" s="431"/>
    </row>
    <row r="1721" spans="1:14" s="398" customFormat="1" ht="34.5" hidden="1" outlineLevel="1">
      <c r="A1721" s="1221"/>
      <c r="B1721" s="425" t="s">
        <v>122</v>
      </c>
      <c r="C1721" s="165" t="s">
        <v>2</v>
      </c>
      <c r="D1721" s="437">
        <f t="shared" ref="D1721:D1732" si="45">1*0</f>
        <v>0</v>
      </c>
      <c r="E1721" s="414"/>
      <c r="F1721" s="486">
        <f>3.16+3+2+1.2+0.46*2</f>
        <v>10.28</v>
      </c>
      <c r="G1721" s="486">
        <v>0.46</v>
      </c>
      <c r="H1721" s="486">
        <v>0.3</v>
      </c>
      <c r="I1721" s="399" t="str">
        <f t="shared" si="44"/>
        <v/>
      </c>
      <c r="J1721" s="294"/>
      <c r="K1721" s="1259"/>
      <c r="L1721" s="431"/>
      <c r="M1721" s="431"/>
      <c r="N1721" s="431"/>
    </row>
    <row r="1722" spans="1:14" s="398" customFormat="1" hidden="1" outlineLevel="1">
      <c r="A1722" s="1221"/>
      <c r="B1722" s="425" t="s">
        <v>145</v>
      </c>
      <c r="C1722" s="165" t="s">
        <v>2</v>
      </c>
      <c r="D1722" s="437">
        <f t="shared" si="45"/>
        <v>0</v>
      </c>
      <c r="E1722" s="414"/>
      <c r="F1722" s="486">
        <f>3.16+3+2+1.2+0.345*2</f>
        <v>10.049999999999999</v>
      </c>
      <c r="G1722" s="486">
        <v>0.34499999999999997</v>
      </c>
      <c r="H1722" s="486">
        <v>0.3</v>
      </c>
      <c r="I1722" s="399" t="str">
        <f t="shared" si="44"/>
        <v/>
      </c>
      <c r="J1722" s="294"/>
      <c r="K1722" s="1259"/>
      <c r="L1722" s="431"/>
      <c r="M1722" s="431"/>
      <c r="N1722" s="431"/>
    </row>
    <row r="1723" spans="1:14" s="398" customFormat="1" hidden="1" outlineLevel="1">
      <c r="A1723" s="1221"/>
      <c r="B1723" s="425"/>
      <c r="C1723" s="165" t="s">
        <v>2</v>
      </c>
      <c r="D1723" s="437">
        <f t="shared" si="45"/>
        <v>0</v>
      </c>
      <c r="E1723" s="414"/>
      <c r="F1723" s="486">
        <f>3.16+3+2+1.2+0.23*2</f>
        <v>9.82</v>
      </c>
      <c r="G1723" s="486">
        <v>0.23</v>
      </c>
      <c r="H1723" s="486">
        <v>0.19</v>
      </c>
      <c r="I1723" s="399" t="str">
        <f t="shared" si="44"/>
        <v/>
      </c>
      <c r="J1723" s="294"/>
      <c r="K1723" s="1259"/>
      <c r="L1723" s="431"/>
      <c r="M1723" s="431"/>
      <c r="N1723" s="431"/>
    </row>
    <row r="1724" spans="1:14" s="398" customFormat="1" hidden="1" outlineLevel="1">
      <c r="A1724" s="1221"/>
      <c r="B1724" s="425"/>
      <c r="C1724" s="165" t="s">
        <v>2</v>
      </c>
      <c r="D1724" s="437">
        <f t="shared" si="45"/>
        <v>0</v>
      </c>
      <c r="E1724" s="414"/>
      <c r="F1724" s="486">
        <f>3.16+3+1.2+0.46*2</f>
        <v>8.2800000000000011</v>
      </c>
      <c r="G1724" s="486">
        <v>0.46</v>
      </c>
      <c r="H1724" s="486">
        <v>0.3</v>
      </c>
      <c r="I1724" s="399" t="str">
        <f t="shared" si="44"/>
        <v/>
      </c>
      <c r="J1724" s="294"/>
      <c r="K1724" s="1259"/>
      <c r="L1724" s="431"/>
      <c r="M1724" s="431"/>
      <c r="N1724" s="431"/>
    </row>
    <row r="1725" spans="1:14" s="398" customFormat="1" hidden="1" outlineLevel="1">
      <c r="A1725" s="1221"/>
      <c r="B1725" s="425"/>
      <c r="C1725" s="165" t="s">
        <v>2</v>
      </c>
      <c r="D1725" s="437">
        <f t="shared" si="45"/>
        <v>0</v>
      </c>
      <c r="E1725" s="414"/>
      <c r="F1725" s="486">
        <f>3.16+3+1.2+0.345*2</f>
        <v>8.0500000000000007</v>
      </c>
      <c r="G1725" s="486">
        <v>0.34499999999999997</v>
      </c>
      <c r="H1725" s="486">
        <v>0.3</v>
      </c>
      <c r="I1725" s="399" t="str">
        <f t="shared" si="44"/>
        <v/>
      </c>
      <c r="J1725" s="294"/>
      <c r="K1725" s="1259"/>
      <c r="L1725" s="431"/>
      <c r="M1725" s="431"/>
      <c r="N1725" s="431"/>
    </row>
    <row r="1726" spans="1:14" s="398" customFormat="1" hidden="1" outlineLevel="1">
      <c r="A1726" s="1221"/>
      <c r="B1726" s="425"/>
      <c r="C1726" s="165" t="s">
        <v>2</v>
      </c>
      <c r="D1726" s="437">
        <f t="shared" si="45"/>
        <v>0</v>
      </c>
      <c r="E1726" s="414"/>
      <c r="F1726" s="486">
        <f>3.16+3+1.2+0.23*2</f>
        <v>7.82</v>
      </c>
      <c r="G1726" s="486">
        <v>0.23</v>
      </c>
      <c r="H1726" s="486">
        <v>0.19</v>
      </c>
      <c r="I1726" s="399" t="str">
        <f t="shared" si="44"/>
        <v/>
      </c>
      <c r="J1726" s="294"/>
      <c r="K1726" s="1259"/>
      <c r="L1726" s="431"/>
      <c r="M1726" s="431"/>
      <c r="N1726" s="431"/>
    </row>
    <row r="1727" spans="1:14" s="398" customFormat="1" hidden="1" outlineLevel="1">
      <c r="A1727" s="1221"/>
      <c r="B1727" s="425"/>
      <c r="C1727" s="165" t="s">
        <v>2</v>
      </c>
      <c r="D1727" s="437">
        <f t="shared" si="45"/>
        <v>0</v>
      </c>
      <c r="E1727" s="414"/>
      <c r="F1727" s="486">
        <f>3.16+3+0.46</f>
        <v>6.62</v>
      </c>
      <c r="G1727" s="486">
        <v>0.46</v>
      </c>
      <c r="H1727" s="486">
        <v>0.3</v>
      </c>
      <c r="I1727" s="399" t="str">
        <f t="shared" si="44"/>
        <v/>
      </c>
      <c r="J1727" s="294"/>
      <c r="K1727" s="1259"/>
      <c r="L1727" s="431"/>
      <c r="M1727" s="431"/>
      <c r="N1727" s="431"/>
    </row>
    <row r="1728" spans="1:14" s="398" customFormat="1" hidden="1" outlineLevel="1">
      <c r="A1728" s="1221"/>
      <c r="B1728" s="425"/>
      <c r="C1728" s="165" t="s">
        <v>2</v>
      </c>
      <c r="D1728" s="437">
        <f t="shared" si="45"/>
        <v>0</v>
      </c>
      <c r="E1728" s="414"/>
      <c r="F1728" s="486">
        <f>3.16+3+0.345</f>
        <v>6.5049999999999999</v>
      </c>
      <c r="G1728" s="486">
        <v>0.34499999999999997</v>
      </c>
      <c r="H1728" s="486">
        <v>0.3</v>
      </c>
      <c r="I1728" s="399" t="str">
        <f t="shared" si="44"/>
        <v/>
      </c>
      <c r="J1728" s="294"/>
      <c r="K1728" s="1259"/>
      <c r="L1728" s="431"/>
      <c r="M1728" s="431"/>
      <c r="N1728" s="431"/>
    </row>
    <row r="1729" spans="1:14" s="398" customFormat="1" hidden="1" outlineLevel="1">
      <c r="A1729" s="1221"/>
      <c r="B1729" s="425"/>
      <c r="C1729" s="165" t="s">
        <v>2</v>
      </c>
      <c r="D1729" s="437">
        <f t="shared" si="45"/>
        <v>0</v>
      </c>
      <c r="E1729" s="414"/>
      <c r="F1729" s="486">
        <f>3.16+3+0.23</f>
        <v>6.3900000000000006</v>
      </c>
      <c r="G1729" s="486">
        <v>0.23</v>
      </c>
      <c r="H1729" s="486">
        <v>0.19</v>
      </c>
      <c r="I1729" s="399" t="str">
        <f t="shared" si="44"/>
        <v/>
      </c>
      <c r="J1729" s="294"/>
      <c r="K1729" s="1259"/>
      <c r="L1729" s="431"/>
      <c r="M1729" s="431"/>
      <c r="N1729" s="431"/>
    </row>
    <row r="1730" spans="1:14" s="398" customFormat="1" hidden="1" outlineLevel="1">
      <c r="A1730" s="1221"/>
      <c r="B1730" s="425"/>
      <c r="C1730" s="165" t="s">
        <v>2</v>
      </c>
      <c r="D1730" s="437">
        <f t="shared" si="45"/>
        <v>0</v>
      </c>
      <c r="E1730" s="414"/>
      <c r="F1730" s="486">
        <f>3+2.56+0.46</f>
        <v>6.0200000000000005</v>
      </c>
      <c r="G1730" s="486">
        <v>0.46</v>
      </c>
      <c r="H1730" s="486">
        <v>0.3</v>
      </c>
      <c r="I1730" s="399" t="str">
        <f t="shared" si="44"/>
        <v/>
      </c>
      <c r="J1730" s="294"/>
      <c r="K1730" s="1259"/>
      <c r="L1730" s="431"/>
      <c r="M1730" s="431"/>
      <c r="N1730" s="431"/>
    </row>
    <row r="1731" spans="1:14" s="398" customFormat="1" hidden="1" outlineLevel="1">
      <c r="A1731" s="1221"/>
      <c r="B1731" s="425"/>
      <c r="C1731" s="165" t="s">
        <v>2</v>
      </c>
      <c r="D1731" s="437">
        <f t="shared" si="45"/>
        <v>0</v>
      </c>
      <c r="E1731" s="414"/>
      <c r="F1731" s="486">
        <f>3+2.56+0.345</f>
        <v>5.9050000000000002</v>
      </c>
      <c r="G1731" s="486">
        <v>0.34499999999999997</v>
      </c>
      <c r="H1731" s="486">
        <v>0.3</v>
      </c>
      <c r="I1731" s="399" t="str">
        <f t="shared" si="44"/>
        <v/>
      </c>
      <c r="J1731" s="294"/>
      <c r="K1731" s="1259"/>
      <c r="L1731" s="431"/>
      <c r="M1731" s="431"/>
      <c r="N1731" s="431"/>
    </row>
    <row r="1732" spans="1:14" s="398" customFormat="1" hidden="1" outlineLevel="1">
      <c r="A1732" s="1221"/>
      <c r="B1732" s="425"/>
      <c r="C1732" s="165" t="s">
        <v>2</v>
      </c>
      <c r="D1732" s="437">
        <f t="shared" si="45"/>
        <v>0</v>
      </c>
      <c r="E1732" s="414"/>
      <c r="F1732" s="486">
        <f>3+2.56+0.23</f>
        <v>5.7900000000000009</v>
      </c>
      <c r="G1732" s="486">
        <v>0.23</v>
      </c>
      <c r="H1732" s="486">
        <v>0.19</v>
      </c>
      <c r="I1732" s="399" t="str">
        <f t="shared" si="44"/>
        <v/>
      </c>
      <c r="J1732" s="294"/>
      <c r="K1732" s="1259"/>
      <c r="L1732" s="431"/>
      <c r="M1732" s="431"/>
      <c r="N1732" s="431"/>
    </row>
    <row r="1733" spans="1:14" s="398" customFormat="1" hidden="1" outlineLevel="1">
      <c r="A1733" s="1221"/>
      <c r="B1733" s="425"/>
      <c r="C1733" s="165" t="s">
        <v>2</v>
      </c>
      <c r="D1733" s="437">
        <f>2*0</f>
        <v>0</v>
      </c>
      <c r="E1733" s="414"/>
      <c r="F1733" s="486">
        <f>3.08+2+1.28-2+0.46*2</f>
        <v>5.28</v>
      </c>
      <c r="G1733" s="486">
        <v>0.46</v>
      </c>
      <c r="H1733" s="486">
        <v>0.3</v>
      </c>
      <c r="I1733" s="399" t="str">
        <f t="shared" si="44"/>
        <v/>
      </c>
      <c r="J1733" s="294"/>
      <c r="K1733" s="1259"/>
      <c r="L1733" s="431"/>
      <c r="M1733" s="431"/>
      <c r="N1733" s="431"/>
    </row>
    <row r="1734" spans="1:14" s="398" customFormat="1" hidden="1" outlineLevel="1">
      <c r="A1734" s="1221"/>
      <c r="B1734" s="425"/>
      <c r="C1734" s="165" t="s">
        <v>2</v>
      </c>
      <c r="D1734" s="437">
        <f>2*0</f>
        <v>0</v>
      </c>
      <c r="E1734" s="414"/>
      <c r="F1734" s="486">
        <f>3.08+2+1.28-2+0.345*2</f>
        <v>5.0500000000000007</v>
      </c>
      <c r="G1734" s="486">
        <v>0.34499999999999997</v>
      </c>
      <c r="H1734" s="486">
        <v>0.3</v>
      </c>
      <c r="I1734" s="399" t="str">
        <f t="shared" si="44"/>
        <v/>
      </c>
      <c r="J1734" s="294"/>
      <c r="K1734" s="1259"/>
      <c r="L1734" s="431"/>
      <c r="M1734" s="431"/>
      <c r="N1734" s="431"/>
    </row>
    <row r="1735" spans="1:14" s="398" customFormat="1" hidden="1" outlineLevel="1">
      <c r="A1735" s="1221"/>
      <c r="B1735" s="425"/>
      <c r="C1735" s="165" t="s">
        <v>2</v>
      </c>
      <c r="D1735" s="437">
        <f>2*0</f>
        <v>0</v>
      </c>
      <c r="E1735" s="414"/>
      <c r="F1735" s="486">
        <f>3.08+2+1.28-2+0.23*2</f>
        <v>4.82</v>
      </c>
      <c r="G1735" s="486">
        <v>0.23</v>
      </c>
      <c r="H1735" s="486">
        <v>0.19</v>
      </c>
      <c r="I1735" s="399" t="str">
        <f t="shared" si="44"/>
        <v/>
      </c>
      <c r="J1735" s="294"/>
      <c r="K1735" s="1259"/>
      <c r="L1735" s="431"/>
      <c r="M1735" s="431"/>
      <c r="N1735" s="431"/>
    </row>
    <row r="1736" spans="1:14" s="398" customFormat="1" hidden="1" outlineLevel="1">
      <c r="A1736" s="1221"/>
      <c r="B1736" s="425"/>
      <c r="C1736" s="165" t="s">
        <v>2</v>
      </c>
      <c r="D1736" s="437">
        <f>4*0</f>
        <v>0</v>
      </c>
      <c r="E1736" s="414"/>
      <c r="F1736" s="486">
        <f>4.06+0.46*2</f>
        <v>4.9799999999999995</v>
      </c>
      <c r="G1736" s="486">
        <v>0.46</v>
      </c>
      <c r="H1736" s="486">
        <v>0.3</v>
      </c>
      <c r="I1736" s="399" t="str">
        <f t="shared" si="44"/>
        <v/>
      </c>
      <c r="J1736" s="294"/>
      <c r="K1736" s="1259"/>
      <c r="L1736" s="431"/>
      <c r="M1736" s="431"/>
      <c r="N1736" s="431"/>
    </row>
    <row r="1737" spans="1:14" s="398" customFormat="1" hidden="1" outlineLevel="1">
      <c r="A1737" s="1221"/>
      <c r="B1737" s="425"/>
      <c r="C1737" s="165" t="s">
        <v>2</v>
      </c>
      <c r="D1737" s="437">
        <f>4*0</f>
        <v>0</v>
      </c>
      <c r="E1737" s="414"/>
      <c r="F1737" s="486">
        <f>4.06+0.345*2</f>
        <v>4.75</v>
      </c>
      <c r="G1737" s="486">
        <v>0.34499999999999997</v>
      </c>
      <c r="H1737" s="486">
        <v>0.3</v>
      </c>
      <c r="I1737" s="399" t="str">
        <f t="shared" si="44"/>
        <v/>
      </c>
      <c r="J1737" s="294"/>
      <c r="K1737" s="1259"/>
      <c r="L1737" s="431"/>
      <c r="M1737" s="431"/>
      <c r="N1737" s="431"/>
    </row>
    <row r="1738" spans="1:14" s="398" customFormat="1" hidden="1" outlineLevel="1">
      <c r="A1738" s="1221"/>
      <c r="B1738" s="425"/>
      <c r="C1738" s="165" t="s">
        <v>2</v>
      </c>
      <c r="D1738" s="437">
        <f>4*0</f>
        <v>0</v>
      </c>
      <c r="E1738" s="414"/>
      <c r="F1738" s="486">
        <f>4.06+0.23*2</f>
        <v>4.5199999999999996</v>
      </c>
      <c r="G1738" s="486">
        <v>0.23</v>
      </c>
      <c r="H1738" s="486">
        <v>0.19</v>
      </c>
      <c r="I1738" s="399" t="str">
        <f t="shared" si="44"/>
        <v/>
      </c>
      <c r="J1738" s="294"/>
      <c r="K1738" s="1259"/>
      <c r="L1738" s="431"/>
      <c r="M1738" s="431"/>
      <c r="N1738" s="431"/>
    </row>
    <row r="1739" spans="1:14" s="398" customFormat="1" hidden="1" outlineLevel="1">
      <c r="A1739" s="1221"/>
      <c r="B1739" s="425"/>
      <c r="C1739" s="165" t="s">
        <v>2</v>
      </c>
      <c r="D1739" s="437">
        <f t="shared" ref="D1739:D1744" si="46">1*0</f>
        <v>0</v>
      </c>
      <c r="E1739" s="414"/>
      <c r="F1739" s="486">
        <f>2.2+0.46</f>
        <v>2.66</v>
      </c>
      <c r="G1739" s="486">
        <v>0.46</v>
      </c>
      <c r="H1739" s="486">
        <v>0.3</v>
      </c>
      <c r="I1739" s="399" t="str">
        <f t="shared" si="44"/>
        <v/>
      </c>
      <c r="J1739" s="294"/>
      <c r="K1739" s="1259"/>
      <c r="L1739" s="431"/>
      <c r="M1739" s="431"/>
      <c r="N1739" s="431"/>
    </row>
    <row r="1740" spans="1:14" s="398" customFormat="1" hidden="1" outlineLevel="1">
      <c r="A1740" s="1221"/>
      <c r="B1740" s="425"/>
      <c r="C1740" s="165" t="s">
        <v>2</v>
      </c>
      <c r="D1740" s="437">
        <f t="shared" si="46"/>
        <v>0</v>
      </c>
      <c r="E1740" s="414"/>
      <c r="F1740" s="486">
        <f>2.2+0.345</f>
        <v>2.5449999999999999</v>
      </c>
      <c r="G1740" s="486">
        <v>0.34499999999999997</v>
      </c>
      <c r="H1740" s="486">
        <v>0.3</v>
      </c>
      <c r="I1740" s="399" t="str">
        <f t="shared" si="44"/>
        <v/>
      </c>
      <c r="J1740" s="294"/>
      <c r="K1740" s="1259"/>
      <c r="L1740" s="431"/>
      <c r="M1740" s="431"/>
      <c r="N1740" s="431"/>
    </row>
    <row r="1741" spans="1:14" s="398" customFormat="1" hidden="1" outlineLevel="1">
      <c r="A1741" s="1221"/>
      <c r="B1741" s="425"/>
      <c r="C1741" s="165" t="s">
        <v>2</v>
      </c>
      <c r="D1741" s="437">
        <f t="shared" si="46"/>
        <v>0</v>
      </c>
      <c r="E1741" s="414"/>
      <c r="F1741" s="486">
        <f>2.2+0.23</f>
        <v>2.4300000000000002</v>
      </c>
      <c r="G1741" s="486">
        <v>0.23</v>
      </c>
      <c r="H1741" s="486">
        <v>0.19</v>
      </c>
      <c r="I1741" s="399" t="str">
        <f t="shared" si="44"/>
        <v/>
      </c>
      <c r="J1741" s="294"/>
      <c r="K1741" s="1259"/>
      <c r="L1741" s="431"/>
      <c r="M1741" s="431"/>
      <c r="N1741" s="431"/>
    </row>
    <row r="1742" spans="1:14" s="398" customFormat="1" hidden="1" outlineLevel="1">
      <c r="A1742" s="1221"/>
      <c r="B1742" s="425"/>
      <c r="C1742" s="165" t="s">
        <v>2</v>
      </c>
      <c r="D1742" s="437">
        <f t="shared" si="46"/>
        <v>0</v>
      </c>
      <c r="E1742" s="414"/>
      <c r="F1742" s="486">
        <f>4.2+0.46*2</f>
        <v>5.12</v>
      </c>
      <c r="G1742" s="486">
        <v>0.46</v>
      </c>
      <c r="H1742" s="486">
        <v>0.3</v>
      </c>
      <c r="I1742" s="399" t="str">
        <f t="shared" si="44"/>
        <v/>
      </c>
      <c r="J1742" s="294"/>
      <c r="K1742" s="1259"/>
      <c r="L1742" s="431"/>
      <c r="M1742" s="431"/>
      <c r="N1742" s="431"/>
    </row>
    <row r="1743" spans="1:14" s="398" customFormat="1" hidden="1" outlineLevel="1">
      <c r="A1743" s="1221"/>
      <c r="B1743" s="425"/>
      <c r="C1743" s="165" t="s">
        <v>2</v>
      </c>
      <c r="D1743" s="437">
        <f t="shared" si="46"/>
        <v>0</v>
      </c>
      <c r="E1743" s="414"/>
      <c r="F1743" s="486">
        <f>4.2+0.345*2</f>
        <v>4.8900000000000006</v>
      </c>
      <c r="G1743" s="486">
        <v>0.34499999999999997</v>
      </c>
      <c r="H1743" s="486">
        <v>0.3</v>
      </c>
      <c r="I1743" s="399" t="str">
        <f t="shared" si="44"/>
        <v/>
      </c>
      <c r="J1743" s="294"/>
      <c r="K1743" s="1259"/>
      <c r="L1743" s="431"/>
      <c r="M1743" s="431"/>
      <c r="N1743" s="431"/>
    </row>
    <row r="1744" spans="1:14" s="398" customFormat="1" hidden="1" outlineLevel="1">
      <c r="A1744" s="1221"/>
      <c r="B1744" s="425"/>
      <c r="C1744" s="165" t="s">
        <v>2</v>
      </c>
      <c r="D1744" s="437">
        <f t="shared" si="46"/>
        <v>0</v>
      </c>
      <c r="E1744" s="414"/>
      <c r="F1744" s="486">
        <f>4.2+0.23*2</f>
        <v>4.66</v>
      </c>
      <c r="G1744" s="486">
        <v>0.23</v>
      </c>
      <c r="H1744" s="486">
        <v>0.19</v>
      </c>
      <c r="I1744" s="399" t="str">
        <f t="shared" si="44"/>
        <v/>
      </c>
      <c r="J1744" s="294"/>
      <c r="K1744" s="1259"/>
      <c r="L1744" s="431"/>
      <c r="M1744" s="431"/>
      <c r="N1744" s="431"/>
    </row>
    <row r="1745" spans="1:14" s="398" customFormat="1" ht="34.5" hidden="1" outlineLevel="1">
      <c r="A1745" s="1221"/>
      <c r="B1745" s="425" t="s">
        <v>124</v>
      </c>
      <c r="C1745" s="165" t="s">
        <v>2</v>
      </c>
      <c r="D1745" s="437">
        <v>7</v>
      </c>
      <c r="E1745" s="414"/>
      <c r="F1745" s="486">
        <v>0.61499999999999999</v>
      </c>
      <c r="G1745" s="486">
        <v>0.46</v>
      </c>
      <c r="H1745" s="486">
        <v>0.3</v>
      </c>
      <c r="I1745" s="399">
        <f t="shared" si="44"/>
        <v>0.59</v>
      </c>
      <c r="J1745" s="294"/>
      <c r="K1745" s="1259"/>
      <c r="L1745" s="431"/>
      <c r="M1745" s="431"/>
      <c r="N1745" s="431"/>
    </row>
    <row r="1746" spans="1:14" s="398" customFormat="1" hidden="1" outlineLevel="1">
      <c r="A1746" s="1221"/>
      <c r="B1746" s="425" t="s">
        <v>145</v>
      </c>
      <c r="C1746" s="165" t="s">
        <v>2</v>
      </c>
      <c r="D1746" s="437">
        <v>7</v>
      </c>
      <c r="E1746" s="414"/>
      <c r="F1746" s="486">
        <v>0.61499999999999999</v>
      </c>
      <c r="G1746" s="486">
        <v>0.34499999999999997</v>
      </c>
      <c r="H1746" s="486">
        <v>0.3</v>
      </c>
      <c r="I1746" s="399">
        <f t="shared" si="44"/>
        <v>0.45</v>
      </c>
      <c r="J1746" s="294"/>
      <c r="K1746" s="1259"/>
      <c r="L1746" s="431"/>
      <c r="M1746" s="431"/>
      <c r="N1746" s="431"/>
    </row>
    <row r="1747" spans="1:14" s="398" customFormat="1" hidden="1" outlineLevel="1">
      <c r="A1747" s="1221"/>
      <c r="B1747" s="425"/>
      <c r="C1747" s="165" t="s">
        <v>2</v>
      </c>
      <c r="D1747" s="437">
        <v>7</v>
      </c>
      <c r="E1747" s="414"/>
      <c r="F1747" s="486">
        <v>0.61499999999999999</v>
      </c>
      <c r="G1747" s="486">
        <v>0.23</v>
      </c>
      <c r="H1747" s="486">
        <v>0.19</v>
      </c>
      <c r="I1747" s="399">
        <f t="shared" si="44"/>
        <v>0.19</v>
      </c>
      <c r="J1747" s="294"/>
      <c r="K1747" s="1259"/>
      <c r="L1747" s="431"/>
      <c r="M1747" s="431"/>
      <c r="N1747" s="431"/>
    </row>
    <row r="1748" spans="1:14" s="398" customFormat="1" hidden="1" outlineLevel="1">
      <c r="A1748" s="1221"/>
      <c r="B1748" s="425"/>
      <c r="C1748" s="165" t="s">
        <v>2</v>
      </c>
      <c r="D1748" s="437">
        <v>2</v>
      </c>
      <c r="E1748" s="414"/>
      <c r="F1748" s="486">
        <f>2.745-0.46</f>
        <v>2.2850000000000001</v>
      </c>
      <c r="G1748" s="486">
        <v>0.46</v>
      </c>
      <c r="H1748" s="486">
        <v>0.3</v>
      </c>
      <c r="I1748" s="399">
        <f t="shared" si="44"/>
        <v>0.63</v>
      </c>
      <c r="J1748" s="294"/>
      <c r="K1748" s="1259"/>
      <c r="L1748" s="431"/>
      <c r="M1748" s="431"/>
      <c r="N1748" s="431"/>
    </row>
    <row r="1749" spans="1:14" s="398" customFormat="1" hidden="1" outlineLevel="1">
      <c r="A1749" s="1221"/>
      <c r="B1749" s="425"/>
      <c r="C1749" s="165" t="s">
        <v>2</v>
      </c>
      <c r="D1749" s="437">
        <v>2</v>
      </c>
      <c r="E1749" s="414"/>
      <c r="F1749" s="486">
        <f>2.745-0.35</f>
        <v>2.395</v>
      </c>
      <c r="G1749" s="486">
        <v>0.34499999999999997</v>
      </c>
      <c r="H1749" s="486">
        <v>0.3</v>
      </c>
      <c r="I1749" s="399">
        <f t="shared" si="44"/>
        <v>0.5</v>
      </c>
      <c r="J1749" s="294"/>
      <c r="K1749" s="1259"/>
      <c r="L1749" s="431"/>
      <c r="M1749" s="431"/>
      <c r="N1749" s="431"/>
    </row>
    <row r="1750" spans="1:14" s="398" customFormat="1" hidden="1" outlineLevel="1">
      <c r="A1750" s="1221"/>
      <c r="B1750" s="425"/>
      <c r="C1750" s="165" t="s">
        <v>2</v>
      </c>
      <c r="D1750" s="437">
        <v>2</v>
      </c>
      <c r="E1750" s="414"/>
      <c r="F1750" s="486">
        <f>2.745-0.23</f>
        <v>2.5150000000000001</v>
      </c>
      <c r="G1750" s="486">
        <v>0.23</v>
      </c>
      <c r="H1750" s="486">
        <v>0.19</v>
      </c>
      <c r="I1750" s="399">
        <f t="shared" si="44"/>
        <v>0.22</v>
      </c>
      <c r="J1750" s="294"/>
      <c r="K1750" s="1259"/>
      <c r="L1750" s="431"/>
      <c r="M1750" s="431"/>
      <c r="N1750" s="431"/>
    </row>
    <row r="1751" spans="1:14" s="398" customFormat="1" hidden="1" outlineLevel="1">
      <c r="A1751" s="1221"/>
      <c r="B1751" s="425"/>
      <c r="C1751" s="165" t="s">
        <v>2</v>
      </c>
      <c r="D1751" s="437">
        <v>5</v>
      </c>
      <c r="E1751" s="414"/>
      <c r="F1751" s="486">
        <f>2.13-0.46*2</f>
        <v>1.21</v>
      </c>
      <c r="G1751" s="486">
        <v>0.46</v>
      </c>
      <c r="H1751" s="486">
        <v>0.3</v>
      </c>
      <c r="I1751" s="399">
        <f t="shared" si="44"/>
        <v>0.83</v>
      </c>
      <c r="J1751" s="294"/>
      <c r="K1751" s="1259"/>
      <c r="L1751" s="431"/>
      <c r="M1751" s="431"/>
      <c r="N1751" s="431"/>
    </row>
    <row r="1752" spans="1:14" s="398" customFormat="1" hidden="1" outlineLevel="1">
      <c r="A1752" s="1221"/>
      <c r="B1752" s="425"/>
      <c r="C1752" s="165" t="s">
        <v>2</v>
      </c>
      <c r="D1752" s="437">
        <v>5</v>
      </c>
      <c r="E1752" s="414"/>
      <c r="F1752" s="662">
        <f>2.13-0.345*2</f>
        <v>1.44</v>
      </c>
      <c r="G1752" s="486">
        <v>0.34499999999999997</v>
      </c>
      <c r="H1752" s="486">
        <v>0.3</v>
      </c>
      <c r="I1752" s="399">
        <f t="shared" ref="I1752:I1815" si="47">IF(D1752&lt;&gt;0,ROUND(PRODUCT(E1752:H1752)*D1752,2),"")</f>
        <v>0.75</v>
      </c>
      <c r="J1752" s="294"/>
      <c r="K1752" s="1259"/>
      <c r="L1752" s="431"/>
      <c r="M1752" s="431"/>
      <c r="N1752" s="431"/>
    </row>
    <row r="1753" spans="1:14" s="398" customFormat="1" hidden="1" outlineLevel="1">
      <c r="A1753" s="1221"/>
      <c r="B1753" s="425"/>
      <c r="C1753" s="165" t="s">
        <v>2</v>
      </c>
      <c r="D1753" s="437">
        <v>5</v>
      </c>
      <c r="E1753" s="414"/>
      <c r="F1753" s="486">
        <f>2.13-0.23*2</f>
        <v>1.67</v>
      </c>
      <c r="G1753" s="486">
        <v>0.23</v>
      </c>
      <c r="H1753" s="486">
        <v>0.19</v>
      </c>
      <c r="I1753" s="399">
        <f t="shared" si="47"/>
        <v>0.36</v>
      </c>
      <c r="J1753" s="294"/>
      <c r="K1753" s="1259"/>
      <c r="L1753" s="431"/>
      <c r="M1753" s="431"/>
      <c r="N1753" s="431"/>
    </row>
    <row r="1754" spans="1:14" s="398" customFormat="1" hidden="1" outlineLevel="1">
      <c r="A1754" s="1221"/>
      <c r="B1754" s="425"/>
      <c r="C1754" s="165" t="s">
        <v>2</v>
      </c>
      <c r="D1754" s="437">
        <v>1</v>
      </c>
      <c r="E1754" s="414"/>
      <c r="F1754" s="486">
        <f>3.36</f>
        <v>3.36</v>
      </c>
      <c r="G1754" s="486">
        <v>0.46</v>
      </c>
      <c r="H1754" s="486">
        <v>0.3</v>
      </c>
      <c r="I1754" s="399">
        <f t="shared" si="47"/>
        <v>0.46</v>
      </c>
      <c r="J1754" s="294"/>
      <c r="K1754" s="1259"/>
      <c r="L1754" s="431"/>
      <c r="M1754" s="431"/>
      <c r="N1754" s="431"/>
    </row>
    <row r="1755" spans="1:14" s="398" customFormat="1" hidden="1" outlineLevel="1">
      <c r="A1755" s="1221"/>
      <c r="B1755" s="425"/>
      <c r="C1755" s="165" t="s">
        <v>2</v>
      </c>
      <c r="D1755" s="437">
        <v>1</v>
      </c>
      <c r="E1755" s="414"/>
      <c r="F1755" s="486">
        <f>3.36</f>
        <v>3.36</v>
      </c>
      <c r="G1755" s="486">
        <v>0.34499999999999997</v>
      </c>
      <c r="H1755" s="486">
        <v>0.3</v>
      </c>
      <c r="I1755" s="399">
        <f t="shared" si="47"/>
        <v>0.35</v>
      </c>
      <c r="J1755" s="294"/>
      <c r="K1755" s="1259"/>
      <c r="L1755" s="431"/>
      <c r="M1755" s="431"/>
      <c r="N1755" s="431"/>
    </row>
    <row r="1756" spans="1:14" s="398" customFormat="1" hidden="1" outlineLevel="1">
      <c r="A1756" s="1221"/>
      <c r="B1756" s="425"/>
      <c r="C1756" s="165" t="s">
        <v>2</v>
      </c>
      <c r="D1756" s="437">
        <v>1</v>
      </c>
      <c r="E1756" s="414"/>
      <c r="F1756" s="486">
        <f>3.36</f>
        <v>3.36</v>
      </c>
      <c r="G1756" s="486">
        <v>0.23</v>
      </c>
      <c r="H1756" s="486">
        <v>0.19</v>
      </c>
      <c r="I1756" s="399">
        <f t="shared" si="47"/>
        <v>0.15</v>
      </c>
      <c r="J1756" s="294"/>
      <c r="K1756" s="1259"/>
      <c r="L1756" s="431"/>
      <c r="M1756" s="431"/>
      <c r="N1756" s="431"/>
    </row>
    <row r="1757" spans="1:14" s="398" customFormat="1" hidden="1" outlineLevel="1">
      <c r="A1757" s="1221"/>
      <c r="B1757" s="425"/>
      <c r="C1757" s="165" t="s">
        <v>2</v>
      </c>
      <c r="D1757" s="437">
        <v>1</v>
      </c>
      <c r="E1757" s="414"/>
      <c r="F1757" s="486">
        <f>1.52-0.46*2</f>
        <v>0.6</v>
      </c>
      <c r="G1757" s="486">
        <v>0.46</v>
      </c>
      <c r="H1757" s="486">
        <v>0.3</v>
      </c>
      <c r="I1757" s="399">
        <f t="shared" si="47"/>
        <v>0.08</v>
      </c>
      <c r="J1757" s="294"/>
      <c r="K1757" s="1259"/>
      <c r="L1757" s="431"/>
      <c r="M1757" s="431"/>
      <c r="N1757" s="431"/>
    </row>
    <row r="1758" spans="1:14" s="398" customFormat="1" hidden="1" outlineLevel="1">
      <c r="A1758" s="1221"/>
      <c r="B1758" s="425"/>
      <c r="C1758" s="165" t="s">
        <v>2</v>
      </c>
      <c r="D1758" s="437">
        <v>1</v>
      </c>
      <c r="E1758" s="414"/>
      <c r="F1758" s="662">
        <f>1.52-0.345*2</f>
        <v>0.83000000000000007</v>
      </c>
      <c r="G1758" s="486">
        <v>0.34499999999999997</v>
      </c>
      <c r="H1758" s="486">
        <v>0.3</v>
      </c>
      <c r="I1758" s="399">
        <f t="shared" si="47"/>
        <v>0.09</v>
      </c>
      <c r="J1758" s="294"/>
      <c r="K1758" s="1259"/>
      <c r="L1758" s="431"/>
      <c r="M1758" s="431"/>
      <c r="N1758" s="431"/>
    </row>
    <row r="1759" spans="1:14" s="398" customFormat="1" hidden="1" outlineLevel="1">
      <c r="A1759" s="1221"/>
      <c r="B1759" s="425"/>
      <c r="C1759" s="165" t="s">
        <v>2</v>
      </c>
      <c r="D1759" s="437">
        <v>1</v>
      </c>
      <c r="E1759" s="414"/>
      <c r="F1759" s="486">
        <f>1.52-0.23*2</f>
        <v>1.06</v>
      </c>
      <c r="G1759" s="486">
        <v>0.23</v>
      </c>
      <c r="H1759" s="486">
        <v>0.19</v>
      </c>
      <c r="I1759" s="399">
        <f t="shared" si="47"/>
        <v>0.05</v>
      </c>
      <c r="J1759" s="294"/>
      <c r="K1759" s="1259"/>
      <c r="L1759" s="431"/>
      <c r="M1759" s="431"/>
      <c r="N1759" s="431"/>
    </row>
    <row r="1760" spans="1:14" s="398" customFormat="1" hidden="1" outlineLevel="1">
      <c r="A1760" s="1221"/>
      <c r="B1760" s="425"/>
      <c r="C1760" s="165" t="s">
        <v>2</v>
      </c>
      <c r="D1760" s="437">
        <v>1</v>
      </c>
      <c r="E1760" s="414"/>
      <c r="F1760" s="486">
        <f>2.135-0.46</f>
        <v>1.6749999999999998</v>
      </c>
      <c r="G1760" s="486">
        <v>0.46</v>
      </c>
      <c r="H1760" s="486">
        <v>0.3</v>
      </c>
      <c r="I1760" s="399">
        <f t="shared" si="47"/>
        <v>0.23</v>
      </c>
      <c r="J1760" s="294"/>
      <c r="K1760" s="1259"/>
      <c r="L1760" s="431"/>
      <c r="M1760" s="431"/>
      <c r="N1760" s="431"/>
    </row>
    <row r="1761" spans="1:14" s="398" customFormat="1" hidden="1" outlineLevel="1">
      <c r="A1761" s="1221"/>
      <c r="B1761" s="425"/>
      <c r="C1761" s="165" t="s">
        <v>2</v>
      </c>
      <c r="D1761" s="437">
        <v>1</v>
      </c>
      <c r="E1761" s="414"/>
      <c r="F1761" s="662">
        <f>2.135-0.345</f>
        <v>1.7899999999999998</v>
      </c>
      <c r="G1761" s="486">
        <v>0.34499999999999997</v>
      </c>
      <c r="H1761" s="486">
        <v>0.3</v>
      </c>
      <c r="I1761" s="399">
        <f t="shared" si="47"/>
        <v>0.19</v>
      </c>
      <c r="J1761" s="294"/>
      <c r="K1761" s="1259"/>
      <c r="L1761" s="431"/>
      <c r="M1761" s="431"/>
      <c r="N1761" s="431"/>
    </row>
    <row r="1762" spans="1:14" s="398" customFormat="1" hidden="1" outlineLevel="1">
      <c r="A1762" s="1221"/>
      <c r="B1762" s="425"/>
      <c r="C1762" s="165" t="s">
        <v>2</v>
      </c>
      <c r="D1762" s="437">
        <v>1</v>
      </c>
      <c r="E1762" s="414"/>
      <c r="F1762" s="486">
        <f>2.135-0.23</f>
        <v>1.9049999999999998</v>
      </c>
      <c r="G1762" s="486">
        <v>0.23</v>
      </c>
      <c r="H1762" s="486">
        <v>0.19</v>
      </c>
      <c r="I1762" s="399">
        <f t="shared" si="47"/>
        <v>0.08</v>
      </c>
      <c r="J1762" s="294"/>
      <c r="K1762" s="1259"/>
      <c r="L1762" s="431"/>
      <c r="M1762" s="431"/>
      <c r="N1762" s="431"/>
    </row>
    <row r="1763" spans="1:14" s="398" customFormat="1" hidden="1" outlineLevel="1">
      <c r="A1763" s="1221"/>
      <c r="B1763" s="425" t="s">
        <v>140</v>
      </c>
      <c r="C1763" s="165" t="s">
        <v>2</v>
      </c>
      <c r="D1763" s="437">
        <f t="shared" ref="D1763:D1764" si="48">5*0</f>
        <v>0</v>
      </c>
      <c r="E1763" s="414"/>
      <c r="F1763" s="486">
        <v>3</v>
      </c>
      <c r="G1763" s="486">
        <v>0.115</v>
      </c>
      <c r="H1763" s="486">
        <v>0.35499999999999998</v>
      </c>
      <c r="I1763" s="399" t="str">
        <f t="shared" si="47"/>
        <v/>
      </c>
      <c r="J1763" s="294"/>
      <c r="K1763" s="1259"/>
      <c r="L1763" s="431"/>
      <c r="M1763" s="431"/>
      <c r="N1763" s="431"/>
    </row>
    <row r="1764" spans="1:14" s="398" customFormat="1" hidden="1" outlineLevel="1">
      <c r="A1764" s="1221"/>
      <c r="B1764" s="425"/>
      <c r="C1764" s="165" t="s">
        <v>2</v>
      </c>
      <c r="D1764" s="437">
        <f t="shared" si="48"/>
        <v>0</v>
      </c>
      <c r="E1764" s="414"/>
      <c r="F1764" s="486">
        <v>3</v>
      </c>
      <c r="G1764" s="486">
        <v>0.3</v>
      </c>
      <c r="H1764" s="486">
        <v>0.22500000000000001</v>
      </c>
      <c r="I1764" s="399" t="str">
        <f t="shared" si="47"/>
        <v/>
      </c>
      <c r="J1764" s="294"/>
      <c r="K1764" s="1259"/>
      <c r="L1764" s="431"/>
      <c r="M1764" s="431"/>
      <c r="N1764" s="431"/>
    </row>
    <row r="1765" spans="1:14" s="398" customFormat="1" ht="34.5" hidden="1" outlineLevel="1">
      <c r="A1765" s="1221"/>
      <c r="B1765" s="425" t="s">
        <v>127</v>
      </c>
      <c r="C1765" s="165" t="s">
        <v>2</v>
      </c>
      <c r="D1765" s="437"/>
      <c r="E1765" s="414"/>
      <c r="F1765" s="486"/>
      <c r="G1765" s="486"/>
      <c r="H1765" s="486"/>
      <c r="I1765" s="399" t="str">
        <f t="shared" si="47"/>
        <v/>
      </c>
      <c r="J1765" s="294"/>
      <c r="K1765" s="1259"/>
      <c r="L1765" s="431"/>
      <c r="M1765" s="431"/>
      <c r="N1765" s="431"/>
    </row>
    <row r="1766" spans="1:14" s="398" customFormat="1" hidden="1" outlineLevel="1">
      <c r="A1766" s="1221"/>
      <c r="B1766" s="425" t="s">
        <v>128</v>
      </c>
      <c r="C1766" s="165" t="s">
        <v>2</v>
      </c>
      <c r="D1766" s="437"/>
      <c r="E1766" s="414"/>
      <c r="F1766" s="486"/>
      <c r="G1766" s="486"/>
      <c r="H1766" s="486"/>
      <c r="I1766" s="399" t="str">
        <f t="shared" si="47"/>
        <v/>
      </c>
      <c r="J1766" s="294"/>
      <c r="K1766" s="1259"/>
      <c r="L1766" s="431"/>
      <c r="M1766" s="431"/>
      <c r="N1766" s="431"/>
    </row>
    <row r="1767" spans="1:14" s="398" customFormat="1" hidden="1" outlineLevel="1">
      <c r="A1767" s="1221"/>
      <c r="B1767" s="425"/>
      <c r="C1767" s="165" t="s">
        <v>2</v>
      </c>
      <c r="D1767" s="437"/>
      <c r="E1767" s="414"/>
      <c r="F1767" s="486"/>
      <c r="G1767" s="486"/>
      <c r="H1767" s="486"/>
      <c r="I1767" s="399" t="str">
        <f t="shared" si="47"/>
        <v/>
      </c>
      <c r="J1767" s="294"/>
      <c r="K1767" s="1259"/>
      <c r="L1767" s="431"/>
      <c r="M1767" s="431"/>
      <c r="N1767" s="431"/>
    </row>
    <row r="1768" spans="1:14" s="398" customFormat="1" hidden="1" outlineLevel="1">
      <c r="A1768" s="1221"/>
      <c r="B1768" s="425"/>
      <c r="C1768" s="165" t="s">
        <v>2</v>
      </c>
      <c r="D1768" s="437">
        <v>1</v>
      </c>
      <c r="E1768" s="414"/>
      <c r="F1768" s="486">
        <f>5.985+3+1.395+3+1.395+1.5+1.5+0.755+0.46*2</f>
        <v>19.45</v>
      </c>
      <c r="G1768" s="486">
        <v>0.46</v>
      </c>
      <c r="H1768" s="486">
        <v>0.3</v>
      </c>
      <c r="I1768" s="399">
        <f t="shared" si="47"/>
        <v>2.68</v>
      </c>
      <c r="J1768" s="294"/>
      <c r="K1768" s="1259"/>
      <c r="L1768" s="431"/>
      <c r="M1768" s="431"/>
      <c r="N1768" s="431"/>
    </row>
    <row r="1769" spans="1:14" s="398" customFormat="1" hidden="1" outlineLevel="1">
      <c r="A1769" s="1221"/>
      <c r="B1769" s="425"/>
      <c r="C1769" s="165" t="s">
        <v>2</v>
      </c>
      <c r="D1769" s="437">
        <v>1</v>
      </c>
      <c r="E1769" s="414"/>
      <c r="F1769" s="662">
        <f>5.985+3+1.395+3+1.395+1.5+1.5+0.755+0.345*2</f>
        <v>19.22</v>
      </c>
      <c r="G1769" s="486">
        <v>0.34499999999999997</v>
      </c>
      <c r="H1769" s="486">
        <v>0.3</v>
      </c>
      <c r="I1769" s="399">
        <f t="shared" si="47"/>
        <v>1.99</v>
      </c>
      <c r="J1769" s="294"/>
      <c r="K1769" s="1259"/>
      <c r="L1769" s="431"/>
      <c r="M1769" s="431"/>
      <c r="N1769" s="431"/>
    </row>
    <row r="1770" spans="1:14" s="398" customFormat="1" hidden="1" outlineLevel="1">
      <c r="A1770" s="1221"/>
      <c r="B1770" s="425"/>
      <c r="C1770" s="165" t="s">
        <v>2</v>
      </c>
      <c r="D1770" s="437">
        <v>1</v>
      </c>
      <c r="E1770" s="414"/>
      <c r="F1770" s="486">
        <f>5.985+3+1.395+3+1.395+1.5+1.5+0.755+0.23*2</f>
        <v>18.989999999999998</v>
      </c>
      <c r="G1770" s="486">
        <v>0.23</v>
      </c>
      <c r="H1770" s="486">
        <v>0.19</v>
      </c>
      <c r="I1770" s="399">
        <f t="shared" si="47"/>
        <v>0.83</v>
      </c>
      <c r="J1770" s="294"/>
      <c r="K1770" s="1259"/>
      <c r="L1770" s="431"/>
      <c r="M1770" s="431"/>
      <c r="N1770" s="431"/>
    </row>
    <row r="1771" spans="1:14" s="398" customFormat="1" hidden="1" outlineLevel="1">
      <c r="A1771" s="1221"/>
      <c r="B1771" s="425"/>
      <c r="C1771" s="165" t="s">
        <v>2</v>
      </c>
      <c r="D1771" s="437"/>
      <c r="E1771" s="414"/>
      <c r="F1771" s="486"/>
      <c r="G1771" s="486"/>
      <c r="H1771" s="486"/>
      <c r="I1771" s="399" t="str">
        <f t="shared" si="47"/>
        <v/>
      </c>
      <c r="J1771" s="294"/>
      <c r="K1771" s="1259"/>
      <c r="L1771" s="431"/>
      <c r="M1771" s="431"/>
      <c r="N1771" s="431"/>
    </row>
    <row r="1772" spans="1:14" s="398" customFormat="1" hidden="1" outlineLevel="1">
      <c r="A1772" s="1221"/>
      <c r="B1772" s="425"/>
      <c r="C1772" s="165" t="s">
        <v>2</v>
      </c>
      <c r="D1772" s="437">
        <v>1</v>
      </c>
      <c r="E1772" s="414"/>
      <c r="F1772" s="486">
        <f>1.48+0.46</f>
        <v>1.94</v>
      </c>
      <c r="G1772" s="486">
        <v>0.46</v>
      </c>
      <c r="H1772" s="486">
        <v>0.3</v>
      </c>
      <c r="I1772" s="399">
        <f t="shared" si="47"/>
        <v>0.27</v>
      </c>
      <c r="J1772" s="294"/>
      <c r="K1772" s="1259"/>
      <c r="L1772" s="431"/>
      <c r="M1772" s="431"/>
      <c r="N1772" s="431"/>
    </row>
    <row r="1773" spans="1:14" s="398" customFormat="1" hidden="1" outlineLevel="1">
      <c r="A1773" s="1221"/>
      <c r="B1773" s="425"/>
      <c r="C1773" s="165" t="s">
        <v>2</v>
      </c>
      <c r="D1773" s="437">
        <v>1</v>
      </c>
      <c r="E1773" s="414"/>
      <c r="F1773" s="662">
        <f>1.48+0.345</f>
        <v>1.825</v>
      </c>
      <c r="G1773" s="486">
        <v>0.34499999999999997</v>
      </c>
      <c r="H1773" s="486">
        <v>0.3</v>
      </c>
      <c r="I1773" s="399">
        <f t="shared" si="47"/>
        <v>0.19</v>
      </c>
      <c r="J1773" s="294"/>
      <c r="K1773" s="1259"/>
      <c r="L1773" s="431"/>
      <c r="M1773" s="431"/>
      <c r="N1773" s="431"/>
    </row>
    <row r="1774" spans="1:14" s="398" customFormat="1" hidden="1" outlineLevel="1">
      <c r="A1774" s="1221"/>
      <c r="B1774" s="425"/>
      <c r="C1774" s="165" t="s">
        <v>2</v>
      </c>
      <c r="D1774" s="437">
        <v>1</v>
      </c>
      <c r="E1774" s="414"/>
      <c r="F1774" s="486">
        <f>1.48+0.23</f>
        <v>1.71</v>
      </c>
      <c r="G1774" s="486">
        <v>0.23</v>
      </c>
      <c r="H1774" s="486">
        <v>0.19</v>
      </c>
      <c r="I1774" s="399">
        <f t="shared" si="47"/>
        <v>7.0000000000000007E-2</v>
      </c>
      <c r="J1774" s="294"/>
      <c r="K1774" s="1259"/>
      <c r="L1774" s="431"/>
      <c r="M1774" s="431"/>
      <c r="N1774" s="431"/>
    </row>
    <row r="1775" spans="1:14" s="398" customFormat="1" hidden="1" outlineLevel="1">
      <c r="A1775" s="1221"/>
      <c r="B1775" s="425"/>
      <c r="C1775" s="165" t="s">
        <v>2</v>
      </c>
      <c r="D1775" s="437"/>
      <c r="E1775" s="414"/>
      <c r="F1775" s="486"/>
      <c r="G1775" s="486"/>
      <c r="H1775" s="486"/>
      <c r="I1775" s="399" t="str">
        <f t="shared" si="47"/>
        <v/>
      </c>
      <c r="J1775" s="294"/>
      <c r="K1775" s="1259"/>
      <c r="L1775" s="431"/>
      <c r="M1775" s="431"/>
      <c r="N1775" s="431"/>
    </row>
    <row r="1776" spans="1:14" s="398" customFormat="1" hidden="1" outlineLevel="1">
      <c r="A1776" s="1221"/>
      <c r="B1776" s="425"/>
      <c r="C1776" s="165" t="s">
        <v>2</v>
      </c>
      <c r="D1776" s="437">
        <v>6</v>
      </c>
      <c r="E1776" s="414"/>
      <c r="F1776" s="662">
        <f>0.615+0.46*2</f>
        <v>1.5350000000000001</v>
      </c>
      <c r="G1776" s="486">
        <v>0.46</v>
      </c>
      <c r="H1776" s="486">
        <v>0.3</v>
      </c>
      <c r="I1776" s="399">
        <f t="shared" si="47"/>
        <v>1.27</v>
      </c>
      <c r="J1776" s="294"/>
      <c r="K1776" s="1259"/>
      <c r="L1776" s="431"/>
      <c r="M1776" s="431"/>
      <c r="N1776" s="431"/>
    </row>
    <row r="1777" spans="1:14" s="398" customFormat="1" hidden="1" outlineLevel="1">
      <c r="A1777" s="1221"/>
      <c r="B1777" s="425"/>
      <c r="C1777" s="165" t="s">
        <v>2</v>
      </c>
      <c r="D1777" s="437">
        <v>6</v>
      </c>
      <c r="E1777" s="414"/>
      <c r="F1777" s="662">
        <f>0.615+0.345*2</f>
        <v>1.3049999999999999</v>
      </c>
      <c r="G1777" s="486">
        <v>0.34499999999999997</v>
      </c>
      <c r="H1777" s="486">
        <v>0.3</v>
      </c>
      <c r="I1777" s="399">
        <f t="shared" si="47"/>
        <v>0.81</v>
      </c>
      <c r="J1777" s="294"/>
      <c r="K1777" s="1259"/>
      <c r="L1777" s="431"/>
      <c r="M1777" s="431"/>
      <c r="N1777" s="431"/>
    </row>
    <row r="1778" spans="1:14" s="398" customFormat="1" hidden="1" outlineLevel="1">
      <c r="A1778" s="1221"/>
      <c r="B1778" s="425"/>
      <c r="C1778" s="165" t="s">
        <v>2</v>
      </c>
      <c r="D1778" s="437">
        <v>6</v>
      </c>
      <c r="E1778" s="414"/>
      <c r="F1778" s="662">
        <f>0.615+0.23*2</f>
        <v>1.075</v>
      </c>
      <c r="G1778" s="486">
        <v>0.23</v>
      </c>
      <c r="H1778" s="486">
        <v>0.19</v>
      </c>
      <c r="I1778" s="399">
        <f t="shared" si="47"/>
        <v>0.28000000000000003</v>
      </c>
      <c r="J1778" s="294"/>
      <c r="K1778" s="1259"/>
      <c r="L1778" s="431"/>
      <c r="M1778" s="431"/>
      <c r="N1778" s="431"/>
    </row>
    <row r="1779" spans="1:14" s="398" customFormat="1" hidden="1" outlineLevel="1">
      <c r="A1779" s="1221"/>
      <c r="B1779" s="425"/>
      <c r="C1779" s="165" t="s">
        <v>2</v>
      </c>
      <c r="D1779" s="437"/>
      <c r="E1779" s="414"/>
      <c r="F1779" s="486"/>
      <c r="G1779" s="486"/>
      <c r="H1779" s="486"/>
      <c r="I1779" s="399" t="str">
        <f t="shared" si="47"/>
        <v/>
      </c>
      <c r="J1779" s="294"/>
      <c r="K1779" s="1259"/>
      <c r="L1779" s="431"/>
      <c r="M1779" s="431"/>
      <c r="N1779" s="431"/>
    </row>
    <row r="1780" spans="1:14" s="398" customFormat="1" hidden="1" outlineLevel="1">
      <c r="A1780" s="1221"/>
      <c r="B1780" s="425"/>
      <c r="C1780" s="165" t="s">
        <v>2</v>
      </c>
      <c r="D1780" s="437">
        <v>3</v>
      </c>
      <c r="E1780" s="414"/>
      <c r="F1780" s="662">
        <f>2.435-0.46-0.46</f>
        <v>1.5150000000000001</v>
      </c>
      <c r="G1780" s="486">
        <v>0.46</v>
      </c>
      <c r="H1780" s="486">
        <v>0.3</v>
      </c>
      <c r="I1780" s="399">
        <f t="shared" si="47"/>
        <v>0.63</v>
      </c>
      <c r="J1780" s="294"/>
      <c r="K1780" s="1259"/>
      <c r="L1780" s="431"/>
      <c r="M1780" s="431"/>
      <c r="N1780" s="431"/>
    </row>
    <row r="1781" spans="1:14" s="398" customFormat="1" hidden="1" outlineLevel="1">
      <c r="A1781" s="1221"/>
      <c r="B1781" s="425"/>
      <c r="C1781" s="165" t="s">
        <v>2</v>
      </c>
      <c r="D1781" s="437">
        <v>3</v>
      </c>
      <c r="E1781" s="414"/>
      <c r="F1781" s="662">
        <f>2.435-0.345*2</f>
        <v>1.7450000000000001</v>
      </c>
      <c r="G1781" s="486">
        <v>0.34499999999999997</v>
      </c>
      <c r="H1781" s="486">
        <v>0.3</v>
      </c>
      <c r="I1781" s="399">
        <f t="shared" si="47"/>
        <v>0.54</v>
      </c>
      <c r="J1781" s="294"/>
      <c r="K1781" s="1259"/>
      <c r="L1781" s="431"/>
      <c r="M1781" s="431"/>
      <c r="N1781" s="431"/>
    </row>
    <row r="1782" spans="1:14" s="398" customFormat="1" hidden="1" outlineLevel="1">
      <c r="A1782" s="1221"/>
      <c r="B1782" s="425"/>
      <c r="C1782" s="165" t="s">
        <v>2</v>
      </c>
      <c r="D1782" s="437">
        <v>3</v>
      </c>
      <c r="E1782" s="414"/>
      <c r="F1782" s="486">
        <f>2.435-0.23*2</f>
        <v>1.9750000000000001</v>
      </c>
      <c r="G1782" s="486">
        <v>0.23</v>
      </c>
      <c r="H1782" s="486">
        <v>0.19</v>
      </c>
      <c r="I1782" s="399">
        <f t="shared" si="47"/>
        <v>0.26</v>
      </c>
      <c r="J1782" s="294"/>
      <c r="K1782" s="1259"/>
      <c r="L1782" s="431"/>
      <c r="M1782" s="431"/>
      <c r="N1782" s="431"/>
    </row>
    <row r="1783" spans="1:14" s="398" customFormat="1" hidden="1" outlineLevel="1">
      <c r="A1783" s="1221"/>
      <c r="B1783" s="425"/>
      <c r="C1783" s="165" t="s">
        <v>2</v>
      </c>
      <c r="D1783" s="437"/>
      <c r="E1783" s="414"/>
      <c r="F1783" s="486"/>
      <c r="G1783" s="486"/>
      <c r="H1783" s="486"/>
      <c r="I1783" s="399" t="str">
        <f t="shared" si="47"/>
        <v/>
      </c>
      <c r="J1783" s="294"/>
      <c r="K1783" s="1259"/>
      <c r="L1783" s="431"/>
      <c r="M1783" s="431"/>
      <c r="N1783" s="431"/>
    </row>
    <row r="1784" spans="1:14" s="398" customFormat="1" hidden="1" outlineLevel="1">
      <c r="A1784" s="1221"/>
      <c r="B1784" s="425"/>
      <c r="C1784" s="165" t="s">
        <v>2</v>
      </c>
      <c r="D1784" s="438">
        <v>2</v>
      </c>
      <c r="E1784" s="414"/>
      <c r="F1784" s="662">
        <f>2.13-0.46-0.46</f>
        <v>1.21</v>
      </c>
      <c r="G1784" s="486">
        <v>0.46</v>
      </c>
      <c r="H1784" s="486">
        <v>0.3</v>
      </c>
      <c r="I1784" s="399">
        <f t="shared" si="47"/>
        <v>0.33</v>
      </c>
      <c r="J1784" s="294"/>
      <c r="K1784" s="1259"/>
      <c r="L1784" s="431"/>
      <c r="M1784" s="431"/>
      <c r="N1784" s="431"/>
    </row>
    <row r="1785" spans="1:14" s="398" customFormat="1" hidden="1" outlineLevel="1">
      <c r="A1785" s="1221"/>
      <c r="B1785" s="425"/>
      <c r="C1785" s="165" t="s">
        <v>2</v>
      </c>
      <c r="D1785" s="438">
        <v>2</v>
      </c>
      <c r="E1785" s="414"/>
      <c r="F1785" s="662">
        <f>2.13-0.345*2</f>
        <v>1.44</v>
      </c>
      <c r="G1785" s="486">
        <v>0.34499999999999997</v>
      </c>
      <c r="H1785" s="486">
        <v>0.3</v>
      </c>
      <c r="I1785" s="399">
        <f t="shared" si="47"/>
        <v>0.3</v>
      </c>
      <c r="J1785" s="294"/>
      <c r="K1785" s="1259"/>
      <c r="L1785" s="431"/>
      <c r="M1785" s="431"/>
      <c r="N1785" s="431"/>
    </row>
    <row r="1786" spans="1:14" s="398" customFormat="1" hidden="1" outlineLevel="1">
      <c r="A1786" s="1221"/>
      <c r="B1786" s="425"/>
      <c r="C1786" s="165" t="s">
        <v>2</v>
      </c>
      <c r="D1786" s="438">
        <v>2</v>
      </c>
      <c r="E1786" s="414"/>
      <c r="F1786" s="486">
        <f>2.13-0.23*2</f>
        <v>1.67</v>
      </c>
      <c r="G1786" s="486">
        <v>0.23</v>
      </c>
      <c r="H1786" s="486">
        <v>0.19</v>
      </c>
      <c r="I1786" s="399">
        <f t="shared" si="47"/>
        <v>0.15</v>
      </c>
      <c r="J1786" s="294"/>
      <c r="K1786" s="1259"/>
      <c r="L1786" s="431"/>
      <c r="M1786" s="431"/>
      <c r="N1786" s="431"/>
    </row>
    <row r="1787" spans="1:14" s="398" customFormat="1" hidden="1" outlineLevel="1">
      <c r="A1787" s="1221"/>
      <c r="B1787" s="425"/>
      <c r="C1787" s="165" t="s">
        <v>2</v>
      </c>
      <c r="D1787" s="437"/>
      <c r="E1787" s="414"/>
      <c r="F1787" s="486"/>
      <c r="G1787" s="486"/>
      <c r="H1787" s="486"/>
      <c r="I1787" s="399" t="str">
        <f t="shared" si="47"/>
        <v/>
      </c>
      <c r="J1787" s="294"/>
      <c r="K1787" s="1259"/>
      <c r="L1787" s="431"/>
      <c r="M1787" s="431"/>
      <c r="N1787" s="431"/>
    </row>
    <row r="1788" spans="1:14" s="398" customFormat="1" hidden="1" outlineLevel="1">
      <c r="A1788" s="1221"/>
      <c r="B1788" s="425"/>
      <c r="C1788" s="165" t="s">
        <v>2</v>
      </c>
      <c r="D1788" s="437">
        <v>1</v>
      </c>
      <c r="E1788" s="414"/>
      <c r="F1788" s="486">
        <f>1.3+0.46</f>
        <v>1.76</v>
      </c>
      <c r="G1788" s="486">
        <v>0.46</v>
      </c>
      <c r="H1788" s="486">
        <v>0.3</v>
      </c>
      <c r="I1788" s="399">
        <f t="shared" si="47"/>
        <v>0.24</v>
      </c>
      <c r="J1788" s="294"/>
      <c r="K1788" s="1259"/>
      <c r="L1788" s="431"/>
      <c r="M1788" s="431"/>
      <c r="N1788" s="431"/>
    </row>
    <row r="1789" spans="1:14" s="398" customFormat="1" hidden="1" outlineLevel="1">
      <c r="A1789" s="1221"/>
      <c r="B1789" s="425"/>
      <c r="C1789" s="165" t="s">
        <v>2</v>
      </c>
      <c r="D1789" s="437">
        <v>1</v>
      </c>
      <c r="E1789" s="414"/>
      <c r="F1789" s="662">
        <f>1.3+0.345</f>
        <v>1.645</v>
      </c>
      <c r="G1789" s="486">
        <v>0.34499999999999997</v>
      </c>
      <c r="H1789" s="486">
        <v>0.3</v>
      </c>
      <c r="I1789" s="399">
        <f t="shared" si="47"/>
        <v>0.17</v>
      </c>
      <c r="J1789" s="294"/>
      <c r="K1789" s="1259"/>
      <c r="L1789" s="431"/>
      <c r="M1789" s="431"/>
      <c r="N1789" s="431"/>
    </row>
    <row r="1790" spans="1:14" s="398" customFormat="1" hidden="1" outlineLevel="1">
      <c r="A1790" s="1221"/>
      <c r="B1790" s="425"/>
      <c r="C1790" s="165" t="s">
        <v>2</v>
      </c>
      <c r="D1790" s="437">
        <v>1</v>
      </c>
      <c r="E1790" s="414"/>
      <c r="F1790" s="662">
        <f>1.3+0.23</f>
        <v>1.53</v>
      </c>
      <c r="G1790" s="486">
        <v>0.23</v>
      </c>
      <c r="H1790" s="486">
        <v>0.19</v>
      </c>
      <c r="I1790" s="399">
        <f t="shared" si="47"/>
        <v>7.0000000000000007E-2</v>
      </c>
      <c r="J1790" s="294"/>
      <c r="K1790" s="1259"/>
      <c r="L1790" s="431"/>
      <c r="M1790" s="431"/>
      <c r="N1790" s="431"/>
    </row>
    <row r="1791" spans="1:14" s="398" customFormat="1" ht="34.5" hidden="1" outlineLevel="1">
      <c r="A1791" s="1221"/>
      <c r="B1791" s="425" t="s">
        <v>129</v>
      </c>
      <c r="C1791" s="165" t="s">
        <v>2</v>
      </c>
      <c r="D1791" s="437"/>
      <c r="E1791" s="414"/>
      <c r="F1791" s="486"/>
      <c r="G1791" s="486"/>
      <c r="H1791" s="486"/>
      <c r="I1791" s="399" t="str">
        <f t="shared" si="47"/>
        <v/>
      </c>
      <c r="J1791" s="294"/>
      <c r="K1791" s="1259"/>
      <c r="L1791" s="431"/>
      <c r="M1791" s="431"/>
      <c r="N1791" s="431"/>
    </row>
    <row r="1792" spans="1:14" s="398" customFormat="1" hidden="1" outlineLevel="1">
      <c r="A1792" s="1221"/>
      <c r="B1792" s="425" t="s">
        <v>128</v>
      </c>
      <c r="C1792" s="165" t="s">
        <v>2</v>
      </c>
      <c r="D1792" s="437">
        <v>2</v>
      </c>
      <c r="E1792" s="414"/>
      <c r="F1792" s="486">
        <v>2</v>
      </c>
      <c r="G1792" s="486">
        <v>0.46</v>
      </c>
      <c r="H1792" s="486">
        <v>0.3</v>
      </c>
      <c r="I1792" s="399">
        <f t="shared" si="47"/>
        <v>0.55000000000000004</v>
      </c>
      <c r="J1792" s="294"/>
      <c r="K1792" s="1259"/>
      <c r="L1792" s="431"/>
      <c r="M1792" s="431"/>
      <c r="N1792" s="431"/>
    </row>
    <row r="1793" spans="1:14" s="398" customFormat="1" hidden="1" outlineLevel="1">
      <c r="A1793" s="1221"/>
      <c r="B1793" s="425"/>
      <c r="C1793" s="165" t="s">
        <v>2</v>
      </c>
      <c r="D1793" s="437">
        <v>2</v>
      </c>
      <c r="E1793" s="414"/>
      <c r="F1793" s="486">
        <v>2</v>
      </c>
      <c r="G1793" s="486">
        <v>0.34499999999999997</v>
      </c>
      <c r="H1793" s="486">
        <v>0.3</v>
      </c>
      <c r="I1793" s="399">
        <f t="shared" si="47"/>
        <v>0.41</v>
      </c>
      <c r="J1793" s="294"/>
      <c r="K1793" s="1259"/>
      <c r="L1793" s="431"/>
      <c r="M1793" s="431"/>
      <c r="N1793" s="431"/>
    </row>
    <row r="1794" spans="1:14" s="398" customFormat="1" hidden="1" outlineLevel="1">
      <c r="A1794" s="1221"/>
      <c r="B1794" s="425"/>
      <c r="C1794" s="165" t="s">
        <v>2</v>
      </c>
      <c r="D1794" s="437">
        <v>2</v>
      </c>
      <c r="E1794" s="414"/>
      <c r="F1794" s="486">
        <v>2</v>
      </c>
      <c r="G1794" s="486">
        <v>0.23</v>
      </c>
      <c r="H1794" s="486">
        <v>0.19</v>
      </c>
      <c r="I1794" s="399">
        <f t="shared" si="47"/>
        <v>0.17</v>
      </c>
      <c r="J1794" s="294"/>
      <c r="K1794" s="1259"/>
      <c r="L1794" s="431"/>
      <c r="M1794" s="431"/>
      <c r="N1794" s="431"/>
    </row>
    <row r="1795" spans="1:14" s="398" customFormat="1" hidden="1" outlineLevel="1">
      <c r="A1795" s="1221"/>
      <c r="B1795" s="425"/>
      <c r="C1795" s="165" t="s">
        <v>2</v>
      </c>
      <c r="D1795" s="437">
        <v>2</v>
      </c>
      <c r="E1795" s="414"/>
      <c r="F1795" s="486">
        <f>3</f>
        <v>3</v>
      </c>
      <c r="G1795" s="486">
        <v>0.46</v>
      </c>
      <c r="H1795" s="486">
        <v>0.3</v>
      </c>
      <c r="I1795" s="399">
        <f t="shared" si="47"/>
        <v>0.83</v>
      </c>
      <c r="J1795" s="294"/>
      <c r="K1795" s="1259"/>
      <c r="L1795" s="431"/>
      <c r="M1795" s="431"/>
      <c r="N1795" s="431"/>
    </row>
    <row r="1796" spans="1:14" s="398" customFormat="1" hidden="1" outlineLevel="1">
      <c r="A1796" s="1221"/>
      <c r="B1796" s="425"/>
      <c r="C1796" s="165" t="s">
        <v>2</v>
      </c>
      <c r="D1796" s="437">
        <v>2</v>
      </c>
      <c r="E1796" s="414"/>
      <c r="F1796" s="486">
        <f>3</f>
        <v>3</v>
      </c>
      <c r="G1796" s="486">
        <v>0.34499999999999997</v>
      </c>
      <c r="H1796" s="486">
        <v>0.3</v>
      </c>
      <c r="I1796" s="399">
        <f t="shared" si="47"/>
        <v>0.62</v>
      </c>
      <c r="J1796" s="294"/>
      <c r="K1796" s="1259"/>
      <c r="L1796" s="431"/>
      <c r="M1796" s="431"/>
      <c r="N1796" s="431"/>
    </row>
    <row r="1797" spans="1:14" s="398" customFormat="1" hidden="1" outlineLevel="1">
      <c r="A1797" s="1221"/>
      <c r="B1797" s="425"/>
      <c r="C1797" s="165" t="s">
        <v>2</v>
      </c>
      <c r="D1797" s="437">
        <v>2</v>
      </c>
      <c r="E1797" s="414"/>
      <c r="F1797" s="486">
        <f>3</f>
        <v>3</v>
      </c>
      <c r="G1797" s="486">
        <v>0.23</v>
      </c>
      <c r="H1797" s="486">
        <v>0.19</v>
      </c>
      <c r="I1797" s="399">
        <f t="shared" si="47"/>
        <v>0.26</v>
      </c>
      <c r="J1797" s="294"/>
      <c r="K1797" s="1259"/>
      <c r="L1797" s="431"/>
      <c r="M1797" s="431"/>
      <c r="N1797" s="431"/>
    </row>
    <row r="1798" spans="1:14" s="398" customFormat="1" hidden="1" outlineLevel="1">
      <c r="A1798" s="1221"/>
      <c r="B1798" s="425"/>
      <c r="C1798" s="165" t="s">
        <v>2</v>
      </c>
      <c r="D1798" s="437">
        <v>2</v>
      </c>
      <c r="E1798" s="414"/>
      <c r="F1798" s="486">
        <v>4.6449999999999996</v>
      </c>
      <c r="G1798" s="486">
        <v>0.46</v>
      </c>
      <c r="H1798" s="486">
        <v>0.3</v>
      </c>
      <c r="I1798" s="399">
        <f t="shared" si="47"/>
        <v>1.28</v>
      </c>
      <c r="J1798" s="294"/>
      <c r="K1798" s="1259"/>
      <c r="L1798" s="431"/>
      <c r="M1798" s="431"/>
      <c r="N1798" s="431"/>
    </row>
    <row r="1799" spans="1:14" s="398" customFormat="1" hidden="1" outlineLevel="1">
      <c r="A1799" s="1221"/>
      <c r="B1799" s="425"/>
      <c r="C1799" s="165" t="s">
        <v>2</v>
      </c>
      <c r="D1799" s="437">
        <v>2</v>
      </c>
      <c r="E1799" s="414"/>
      <c r="F1799" s="486">
        <v>4.6449999999999996</v>
      </c>
      <c r="G1799" s="486">
        <v>0.34499999999999997</v>
      </c>
      <c r="H1799" s="486">
        <v>0.3</v>
      </c>
      <c r="I1799" s="399">
        <f t="shared" si="47"/>
        <v>0.96</v>
      </c>
      <c r="J1799" s="294"/>
      <c r="K1799" s="1259"/>
      <c r="L1799" s="431"/>
      <c r="M1799" s="431"/>
      <c r="N1799" s="431"/>
    </row>
    <row r="1800" spans="1:14" s="398" customFormat="1" hidden="1" outlineLevel="1">
      <c r="A1800" s="1221"/>
      <c r="B1800" s="425"/>
      <c r="C1800" s="165" t="s">
        <v>2</v>
      </c>
      <c r="D1800" s="437">
        <v>2</v>
      </c>
      <c r="E1800" s="414"/>
      <c r="F1800" s="486">
        <v>4.6449999999999996</v>
      </c>
      <c r="G1800" s="486">
        <v>0.23</v>
      </c>
      <c r="H1800" s="486">
        <v>0.19</v>
      </c>
      <c r="I1800" s="399">
        <f t="shared" si="47"/>
        <v>0.41</v>
      </c>
      <c r="J1800" s="294"/>
      <c r="K1800" s="1259"/>
      <c r="L1800" s="431"/>
      <c r="M1800" s="431"/>
      <c r="N1800" s="431"/>
    </row>
    <row r="1801" spans="1:14" s="398" customFormat="1" hidden="1" outlineLevel="1">
      <c r="A1801" s="1221"/>
      <c r="B1801" s="425"/>
      <c r="C1801" s="165" t="s">
        <v>2</v>
      </c>
      <c r="D1801" s="437">
        <v>2</v>
      </c>
      <c r="E1801" s="414"/>
      <c r="F1801" s="486">
        <v>6.12</v>
      </c>
      <c r="G1801" s="486">
        <v>0.46</v>
      </c>
      <c r="H1801" s="486">
        <v>0.3</v>
      </c>
      <c r="I1801" s="399">
        <f t="shared" si="47"/>
        <v>1.69</v>
      </c>
      <c r="J1801" s="294"/>
      <c r="K1801" s="1259"/>
      <c r="L1801" s="431"/>
      <c r="M1801" s="431"/>
      <c r="N1801" s="431"/>
    </row>
    <row r="1802" spans="1:14" s="398" customFormat="1" hidden="1" outlineLevel="1">
      <c r="A1802" s="1221"/>
      <c r="B1802" s="425"/>
      <c r="C1802" s="165" t="s">
        <v>2</v>
      </c>
      <c r="D1802" s="437">
        <v>2</v>
      </c>
      <c r="E1802" s="414"/>
      <c r="F1802" s="486">
        <v>6.12</v>
      </c>
      <c r="G1802" s="486">
        <v>0.34499999999999997</v>
      </c>
      <c r="H1802" s="486">
        <v>0.3</v>
      </c>
      <c r="I1802" s="399">
        <f t="shared" si="47"/>
        <v>1.27</v>
      </c>
      <c r="J1802" s="294"/>
      <c r="K1802" s="1259"/>
      <c r="L1802" s="431"/>
      <c r="M1802" s="431"/>
      <c r="N1802" s="431"/>
    </row>
    <row r="1803" spans="1:14" s="398" customFormat="1" hidden="1" outlineLevel="1">
      <c r="A1803" s="1221"/>
      <c r="B1803" s="425"/>
      <c r="C1803" s="165" t="s">
        <v>2</v>
      </c>
      <c r="D1803" s="437">
        <v>2</v>
      </c>
      <c r="E1803" s="414"/>
      <c r="F1803" s="486">
        <v>6.12</v>
      </c>
      <c r="G1803" s="486">
        <v>0.23</v>
      </c>
      <c r="H1803" s="486">
        <v>0.19</v>
      </c>
      <c r="I1803" s="399">
        <f t="shared" si="47"/>
        <v>0.53</v>
      </c>
      <c r="J1803" s="294"/>
      <c r="K1803" s="1259"/>
      <c r="L1803" s="431"/>
      <c r="M1803" s="431"/>
      <c r="N1803" s="431"/>
    </row>
    <row r="1804" spans="1:14" s="398" customFormat="1" hidden="1" outlineLevel="1">
      <c r="A1804" s="1221"/>
      <c r="B1804" s="425"/>
      <c r="C1804" s="165" t="s">
        <v>2</v>
      </c>
      <c r="D1804" s="437">
        <v>2</v>
      </c>
      <c r="E1804" s="414"/>
      <c r="F1804" s="486">
        <v>6.95</v>
      </c>
      <c r="G1804" s="486">
        <v>0.46</v>
      </c>
      <c r="H1804" s="486">
        <v>0.3</v>
      </c>
      <c r="I1804" s="399">
        <f t="shared" si="47"/>
        <v>1.92</v>
      </c>
      <c r="J1804" s="294"/>
      <c r="K1804" s="1259"/>
      <c r="L1804" s="431"/>
      <c r="M1804" s="431"/>
      <c r="N1804" s="431"/>
    </row>
    <row r="1805" spans="1:14" s="398" customFormat="1" hidden="1" outlineLevel="1">
      <c r="A1805" s="1221"/>
      <c r="B1805" s="425"/>
      <c r="C1805" s="165" t="s">
        <v>2</v>
      </c>
      <c r="D1805" s="437">
        <v>2</v>
      </c>
      <c r="E1805" s="414"/>
      <c r="F1805" s="486">
        <v>6.95</v>
      </c>
      <c r="G1805" s="486">
        <v>0.34499999999999997</v>
      </c>
      <c r="H1805" s="486">
        <v>0.3</v>
      </c>
      <c r="I1805" s="399">
        <f t="shared" si="47"/>
        <v>1.44</v>
      </c>
      <c r="J1805" s="294"/>
      <c r="K1805" s="1259"/>
      <c r="L1805" s="431"/>
      <c r="M1805" s="431"/>
      <c r="N1805" s="431"/>
    </row>
    <row r="1806" spans="1:14" s="398" customFormat="1" hidden="1" outlineLevel="1">
      <c r="A1806" s="1221"/>
      <c r="B1806" s="425"/>
      <c r="C1806" s="165" t="s">
        <v>2</v>
      </c>
      <c r="D1806" s="437">
        <v>2</v>
      </c>
      <c r="E1806" s="414"/>
      <c r="F1806" s="486">
        <v>6.95</v>
      </c>
      <c r="G1806" s="486">
        <v>0.23</v>
      </c>
      <c r="H1806" s="486">
        <v>0.19</v>
      </c>
      <c r="I1806" s="399">
        <f t="shared" si="47"/>
        <v>0.61</v>
      </c>
      <c r="J1806" s="294"/>
      <c r="K1806" s="1259"/>
      <c r="L1806" s="431"/>
      <c r="M1806" s="431"/>
      <c r="N1806" s="431"/>
    </row>
    <row r="1807" spans="1:14" s="398" customFormat="1" hidden="1" outlineLevel="1">
      <c r="A1807" s="1221"/>
      <c r="B1807" s="425"/>
      <c r="C1807" s="165" t="s">
        <v>2</v>
      </c>
      <c r="D1807" s="437">
        <v>2</v>
      </c>
      <c r="E1807" s="414"/>
      <c r="F1807" s="486">
        <v>6.38</v>
      </c>
      <c r="G1807" s="486">
        <v>0.46</v>
      </c>
      <c r="H1807" s="486">
        <v>0.3</v>
      </c>
      <c r="I1807" s="399">
        <f t="shared" si="47"/>
        <v>1.76</v>
      </c>
      <c r="J1807" s="294"/>
      <c r="K1807" s="1259"/>
      <c r="L1807" s="431"/>
      <c r="M1807" s="431"/>
      <c r="N1807" s="431"/>
    </row>
    <row r="1808" spans="1:14" s="398" customFormat="1" hidden="1" outlineLevel="1">
      <c r="A1808" s="1221"/>
      <c r="B1808" s="425"/>
      <c r="C1808" s="165" t="s">
        <v>2</v>
      </c>
      <c r="D1808" s="437">
        <v>2</v>
      </c>
      <c r="E1808" s="414"/>
      <c r="F1808" s="486">
        <v>6.38</v>
      </c>
      <c r="G1808" s="486">
        <v>0.34499999999999997</v>
      </c>
      <c r="H1808" s="486">
        <v>0.3</v>
      </c>
      <c r="I1808" s="399">
        <f t="shared" si="47"/>
        <v>1.32</v>
      </c>
      <c r="J1808" s="294"/>
      <c r="K1808" s="1259"/>
      <c r="L1808" s="431"/>
      <c r="M1808" s="431"/>
      <c r="N1808" s="431"/>
    </row>
    <row r="1809" spans="1:14" s="398" customFormat="1" hidden="1" outlineLevel="1">
      <c r="A1809" s="1221"/>
      <c r="B1809" s="425"/>
      <c r="C1809" s="165" t="s">
        <v>2</v>
      </c>
      <c r="D1809" s="437">
        <v>2</v>
      </c>
      <c r="E1809" s="414"/>
      <c r="F1809" s="486">
        <v>6.38</v>
      </c>
      <c r="G1809" s="486">
        <v>0.23</v>
      </c>
      <c r="H1809" s="486">
        <v>0.19</v>
      </c>
      <c r="I1809" s="399">
        <f t="shared" si="47"/>
        <v>0.56000000000000005</v>
      </c>
      <c r="J1809" s="294"/>
      <c r="K1809" s="1259"/>
      <c r="L1809" s="431"/>
      <c r="M1809" s="431"/>
      <c r="N1809" s="431"/>
    </row>
    <row r="1810" spans="1:14" s="398" customFormat="1" hidden="1" outlineLevel="1">
      <c r="A1810" s="1221"/>
      <c r="B1810" s="425"/>
      <c r="C1810" s="165" t="s">
        <v>2</v>
      </c>
      <c r="D1810" s="437">
        <v>2</v>
      </c>
      <c r="E1810" s="414"/>
      <c r="F1810" s="486">
        <v>5.3449999999999998</v>
      </c>
      <c r="G1810" s="486">
        <v>0.46</v>
      </c>
      <c r="H1810" s="486">
        <v>0.3</v>
      </c>
      <c r="I1810" s="399">
        <f t="shared" si="47"/>
        <v>1.48</v>
      </c>
      <c r="J1810" s="294"/>
      <c r="K1810" s="1259"/>
      <c r="L1810" s="431"/>
      <c r="M1810" s="431"/>
      <c r="N1810" s="431"/>
    </row>
    <row r="1811" spans="1:14" s="398" customFormat="1" hidden="1" outlineLevel="1">
      <c r="A1811" s="1221"/>
      <c r="B1811" s="425"/>
      <c r="C1811" s="165" t="s">
        <v>2</v>
      </c>
      <c r="D1811" s="437">
        <v>2</v>
      </c>
      <c r="E1811" s="414"/>
      <c r="F1811" s="486">
        <v>5.3449999999999998</v>
      </c>
      <c r="G1811" s="486">
        <v>0.34499999999999997</v>
      </c>
      <c r="H1811" s="486">
        <v>0.3</v>
      </c>
      <c r="I1811" s="399">
        <f t="shared" si="47"/>
        <v>1.1100000000000001</v>
      </c>
      <c r="J1811" s="294"/>
      <c r="K1811" s="1259"/>
      <c r="L1811" s="431"/>
      <c r="M1811" s="431"/>
      <c r="N1811" s="431"/>
    </row>
    <row r="1812" spans="1:14" s="398" customFormat="1" hidden="1" outlineLevel="1">
      <c r="A1812" s="1221"/>
      <c r="B1812" s="425"/>
      <c r="C1812" s="165" t="s">
        <v>2</v>
      </c>
      <c r="D1812" s="437">
        <v>2</v>
      </c>
      <c r="E1812" s="414"/>
      <c r="F1812" s="486">
        <v>5.3449999999999998</v>
      </c>
      <c r="G1812" s="486">
        <v>0.23</v>
      </c>
      <c r="H1812" s="486">
        <v>0.19</v>
      </c>
      <c r="I1812" s="399">
        <f t="shared" si="47"/>
        <v>0.47</v>
      </c>
      <c r="J1812" s="294"/>
      <c r="K1812" s="1259"/>
      <c r="L1812" s="431"/>
      <c r="M1812" s="431"/>
      <c r="N1812" s="431"/>
    </row>
    <row r="1813" spans="1:14" s="398" customFormat="1" hidden="1" outlineLevel="1">
      <c r="A1813" s="1221"/>
      <c r="B1813" s="425" t="s">
        <v>140</v>
      </c>
      <c r="C1813" s="165" t="s">
        <v>2</v>
      </c>
      <c r="D1813" s="437">
        <v>3</v>
      </c>
      <c r="E1813" s="414"/>
      <c r="F1813" s="486">
        <v>3</v>
      </c>
      <c r="G1813" s="486">
        <v>0.115</v>
      </c>
      <c r="H1813" s="486">
        <v>0.35499999999999998</v>
      </c>
      <c r="I1813" s="399">
        <f t="shared" si="47"/>
        <v>0.37</v>
      </c>
      <c r="J1813" s="294"/>
      <c r="K1813" s="1259"/>
      <c r="L1813" s="431"/>
      <c r="M1813" s="431"/>
      <c r="N1813" s="431"/>
    </row>
    <row r="1814" spans="1:14" s="398" customFormat="1" hidden="1" outlineLevel="1">
      <c r="A1814" s="1221"/>
      <c r="B1814" s="425"/>
      <c r="C1814" s="165" t="s">
        <v>2</v>
      </c>
      <c r="D1814" s="437">
        <v>3</v>
      </c>
      <c r="E1814" s="414"/>
      <c r="F1814" s="486">
        <v>3</v>
      </c>
      <c r="G1814" s="486">
        <v>0.3</v>
      </c>
      <c r="H1814" s="486">
        <v>0.22500000000000001</v>
      </c>
      <c r="I1814" s="399">
        <f t="shared" si="47"/>
        <v>0.61</v>
      </c>
      <c r="J1814" s="294"/>
      <c r="K1814" s="1259"/>
      <c r="L1814" s="431"/>
      <c r="M1814" s="431"/>
      <c r="N1814" s="431"/>
    </row>
    <row r="1815" spans="1:14" s="398" customFormat="1" hidden="1" outlineLevel="1">
      <c r="A1815" s="1221"/>
      <c r="B1815" s="425" t="s">
        <v>130</v>
      </c>
      <c r="C1815" s="165" t="s">
        <v>2</v>
      </c>
      <c r="D1815" s="437">
        <v>2</v>
      </c>
      <c r="E1815" s="414"/>
      <c r="F1815" s="662">
        <f>27.54+0.46*2</f>
        <v>28.46</v>
      </c>
      <c r="G1815" s="486">
        <v>0.46</v>
      </c>
      <c r="H1815" s="486">
        <v>0.3</v>
      </c>
      <c r="I1815" s="399">
        <f t="shared" si="47"/>
        <v>7.85</v>
      </c>
      <c r="J1815" s="294"/>
      <c r="K1815" s="1259"/>
      <c r="L1815" s="431"/>
      <c r="M1815" s="431"/>
      <c r="N1815" s="431"/>
    </row>
    <row r="1816" spans="1:14" s="398" customFormat="1" hidden="1" outlineLevel="1">
      <c r="A1816" s="1221"/>
      <c r="B1816" s="425"/>
      <c r="C1816" s="165" t="s">
        <v>2</v>
      </c>
      <c r="D1816" s="437">
        <v>2</v>
      </c>
      <c r="E1816" s="414"/>
      <c r="F1816" s="662">
        <f>27.54+0.345*2</f>
        <v>28.23</v>
      </c>
      <c r="G1816" s="486">
        <v>0.34499999999999997</v>
      </c>
      <c r="H1816" s="486">
        <v>0.3</v>
      </c>
      <c r="I1816" s="399">
        <f t="shared" ref="I1816:I1879" si="49">IF(D1816&lt;&gt;0,ROUND(PRODUCT(E1816:H1816)*D1816,2),"")</f>
        <v>5.84</v>
      </c>
      <c r="J1816" s="294"/>
      <c r="K1816" s="1259"/>
      <c r="L1816" s="431"/>
      <c r="M1816" s="431"/>
      <c r="N1816" s="431"/>
    </row>
    <row r="1817" spans="1:14" s="398" customFormat="1" hidden="1" outlineLevel="1">
      <c r="A1817" s="1221"/>
      <c r="B1817" s="425"/>
      <c r="C1817" s="165" t="s">
        <v>2</v>
      </c>
      <c r="D1817" s="437">
        <v>2</v>
      </c>
      <c r="E1817" s="414"/>
      <c r="F1817" s="662">
        <f>27.54+0.23*2</f>
        <v>28</v>
      </c>
      <c r="G1817" s="486">
        <v>0.23</v>
      </c>
      <c r="H1817" s="486">
        <v>0.19</v>
      </c>
      <c r="I1817" s="399">
        <f t="shared" si="49"/>
        <v>2.4500000000000002</v>
      </c>
      <c r="J1817" s="294"/>
      <c r="K1817" s="1259"/>
      <c r="L1817" s="431"/>
      <c r="M1817" s="431"/>
      <c r="N1817" s="431"/>
    </row>
    <row r="1818" spans="1:14" s="398" customFormat="1" hidden="1" outlineLevel="1">
      <c r="A1818" s="1221"/>
      <c r="B1818" s="425" t="s">
        <v>131</v>
      </c>
      <c r="C1818" s="165" t="s">
        <v>2</v>
      </c>
      <c r="D1818" s="437">
        <v>2</v>
      </c>
      <c r="E1818" s="414"/>
      <c r="F1818" s="662">
        <f>14.19+0.46*2</f>
        <v>15.11</v>
      </c>
      <c r="G1818" s="486">
        <v>0.46</v>
      </c>
      <c r="H1818" s="486">
        <v>0.3</v>
      </c>
      <c r="I1818" s="399">
        <f t="shared" si="49"/>
        <v>4.17</v>
      </c>
      <c r="J1818" s="294"/>
      <c r="K1818" s="1259"/>
      <c r="L1818" s="431"/>
      <c r="M1818" s="431"/>
      <c r="N1818" s="431"/>
    </row>
    <row r="1819" spans="1:14" s="398" customFormat="1" hidden="1" outlineLevel="1">
      <c r="A1819" s="1221"/>
      <c r="B1819" s="425"/>
      <c r="C1819" s="165" t="s">
        <v>2</v>
      </c>
      <c r="D1819" s="437">
        <v>2</v>
      </c>
      <c r="E1819" s="414"/>
      <c r="F1819" s="662">
        <f>14.19+0.345*2</f>
        <v>14.879999999999999</v>
      </c>
      <c r="G1819" s="486">
        <v>0.34499999999999997</v>
      </c>
      <c r="H1819" s="486">
        <v>0.3</v>
      </c>
      <c r="I1819" s="399">
        <f t="shared" si="49"/>
        <v>3.08</v>
      </c>
      <c r="J1819" s="294"/>
      <c r="K1819" s="1259"/>
      <c r="L1819" s="431"/>
      <c r="M1819" s="431"/>
      <c r="N1819" s="431"/>
    </row>
    <row r="1820" spans="1:14" s="398" customFormat="1" hidden="1" outlineLevel="1">
      <c r="A1820" s="1221"/>
      <c r="B1820" s="425"/>
      <c r="C1820" s="165" t="s">
        <v>2</v>
      </c>
      <c r="D1820" s="437">
        <v>2</v>
      </c>
      <c r="E1820" s="414"/>
      <c r="F1820" s="662">
        <f>14.19+0.23*2</f>
        <v>14.65</v>
      </c>
      <c r="G1820" s="486">
        <v>0.23</v>
      </c>
      <c r="H1820" s="486">
        <v>0.19</v>
      </c>
      <c r="I1820" s="399">
        <f t="shared" si="49"/>
        <v>1.28</v>
      </c>
      <c r="J1820" s="294"/>
      <c r="K1820" s="1259"/>
      <c r="L1820" s="431"/>
      <c r="M1820" s="431"/>
      <c r="N1820" s="431"/>
    </row>
    <row r="1821" spans="1:14" s="398" customFormat="1" hidden="1" outlineLevel="1">
      <c r="A1821" s="1221"/>
      <c r="B1821" s="425" t="s">
        <v>140</v>
      </c>
      <c r="C1821" s="165" t="s">
        <v>2</v>
      </c>
      <c r="D1821" s="437">
        <v>2</v>
      </c>
      <c r="E1821" s="414"/>
      <c r="F1821" s="486">
        <v>3</v>
      </c>
      <c r="G1821" s="662">
        <v>0.46</v>
      </c>
      <c r="H1821" s="486">
        <v>0.35499999999999998</v>
      </c>
      <c r="I1821" s="399">
        <f t="shared" si="49"/>
        <v>0.98</v>
      </c>
      <c r="J1821" s="294"/>
      <c r="K1821" s="1259"/>
      <c r="L1821" s="431"/>
      <c r="M1821" s="431"/>
      <c r="N1821" s="431"/>
    </row>
    <row r="1822" spans="1:14" s="398" customFormat="1" hidden="1" outlineLevel="1">
      <c r="A1822" s="1221"/>
      <c r="B1822" s="425"/>
      <c r="C1822" s="165" t="s">
        <v>2</v>
      </c>
      <c r="D1822" s="437">
        <v>2</v>
      </c>
      <c r="E1822" s="414"/>
      <c r="F1822" s="486">
        <v>3</v>
      </c>
      <c r="G1822" s="486">
        <v>0.3</v>
      </c>
      <c r="H1822" s="486">
        <v>0.22500000000000001</v>
      </c>
      <c r="I1822" s="399">
        <f t="shared" si="49"/>
        <v>0.41</v>
      </c>
      <c r="J1822" s="294"/>
      <c r="K1822" s="1259"/>
      <c r="L1822" s="431"/>
      <c r="M1822" s="431"/>
      <c r="N1822" s="431"/>
    </row>
    <row r="1823" spans="1:14" s="398" customFormat="1" hidden="1" outlineLevel="1">
      <c r="A1823" s="1221"/>
      <c r="B1823" s="425" t="s">
        <v>132</v>
      </c>
      <c r="C1823" s="165" t="s">
        <v>2</v>
      </c>
      <c r="D1823" s="437">
        <v>1</v>
      </c>
      <c r="E1823" s="414"/>
      <c r="F1823" s="486">
        <f>34.935</f>
        <v>34.935000000000002</v>
      </c>
      <c r="G1823" s="486">
        <v>0.46</v>
      </c>
      <c r="H1823" s="486">
        <v>0.3</v>
      </c>
      <c r="I1823" s="399">
        <f t="shared" si="49"/>
        <v>4.82</v>
      </c>
      <c r="J1823" s="294"/>
      <c r="K1823" s="1260" t="s">
        <v>165</v>
      </c>
      <c r="L1823" s="431"/>
      <c r="M1823" s="431"/>
      <c r="N1823" s="431"/>
    </row>
    <row r="1824" spans="1:14" s="398" customFormat="1" hidden="1" outlineLevel="1">
      <c r="A1824" s="1221"/>
      <c r="B1824" s="425"/>
      <c r="C1824" s="165" t="s">
        <v>2</v>
      </c>
      <c r="D1824" s="437">
        <v>1</v>
      </c>
      <c r="E1824" s="414"/>
      <c r="F1824" s="486">
        <f>34.935</f>
        <v>34.935000000000002</v>
      </c>
      <c r="G1824" s="486">
        <v>0.34499999999999997</v>
      </c>
      <c r="H1824" s="486">
        <v>0.3</v>
      </c>
      <c r="I1824" s="399">
        <f t="shared" si="49"/>
        <v>3.62</v>
      </c>
      <c r="J1824" s="294"/>
      <c r="K1824" s="1260" t="s">
        <v>165</v>
      </c>
      <c r="L1824" s="431"/>
      <c r="M1824" s="431"/>
      <c r="N1824" s="431"/>
    </row>
    <row r="1825" spans="1:14" s="398" customFormat="1" hidden="1" outlineLevel="1">
      <c r="A1825" s="1221"/>
      <c r="B1825" s="425"/>
      <c r="C1825" s="165" t="s">
        <v>2</v>
      </c>
      <c r="D1825" s="437">
        <v>1</v>
      </c>
      <c r="E1825" s="414"/>
      <c r="F1825" s="486">
        <f>34.935</f>
        <v>34.935000000000002</v>
      </c>
      <c r="G1825" s="486">
        <v>0.23</v>
      </c>
      <c r="H1825" s="486">
        <v>0.78</v>
      </c>
      <c r="I1825" s="399">
        <f t="shared" si="49"/>
        <v>6.27</v>
      </c>
      <c r="J1825" s="294"/>
      <c r="K1825" s="1260" t="s">
        <v>165</v>
      </c>
      <c r="L1825" s="431"/>
      <c r="M1825" s="431"/>
      <c r="N1825" s="431"/>
    </row>
    <row r="1826" spans="1:14" s="398" customFormat="1" ht="34.5" hidden="1" outlineLevel="1">
      <c r="A1826" s="1221"/>
      <c r="B1826" s="425" t="s">
        <v>132</v>
      </c>
      <c r="C1826" s="165" t="s">
        <v>2</v>
      </c>
      <c r="D1826" s="437">
        <v>1</v>
      </c>
      <c r="E1826" s="414"/>
      <c r="F1826" s="486">
        <v>15</v>
      </c>
      <c r="G1826" s="486">
        <v>0.46</v>
      </c>
      <c r="H1826" s="486">
        <v>0.3</v>
      </c>
      <c r="I1826" s="399">
        <f t="shared" si="49"/>
        <v>2.0699999999999998</v>
      </c>
      <c r="J1826" s="294"/>
      <c r="K1826" s="1259" t="s">
        <v>166</v>
      </c>
      <c r="L1826" s="431"/>
      <c r="M1826" s="431"/>
      <c r="N1826" s="431"/>
    </row>
    <row r="1827" spans="1:14" s="398" customFormat="1" ht="34.5" hidden="1" outlineLevel="1">
      <c r="A1827" s="1221"/>
      <c r="B1827" s="425"/>
      <c r="C1827" s="165" t="s">
        <v>2</v>
      </c>
      <c r="D1827" s="437">
        <v>1</v>
      </c>
      <c r="E1827" s="414"/>
      <c r="F1827" s="486">
        <v>15</v>
      </c>
      <c r="G1827" s="486">
        <v>0.34499999999999997</v>
      </c>
      <c r="H1827" s="486">
        <v>0.3</v>
      </c>
      <c r="I1827" s="399">
        <f t="shared" si="49"/>
        <v>1.55</v>
      </c>
      <c r="J1827" s="294"/>
      <c r="K1827" s="1259" t="s">
        <v>166</v>
      </c>
      <c r="L1827" s="431"/>
      <c r="M1827" s="431"/>
      <c r="N1827" s="431"/>
    </row>
    <row r="1828" spans="1:14" s="398" customFormat="1" ht="34.5" hidden="1" outlineLevel="1">
      <c r="A1828" s="1221"/>
      <c r="B1828" s="425"/>
      <c r="C1828" s="165" t="s">
        <v>2</v>
      </c>
      <c r="D1828" s="437">
        <v>1</v>
      </c>
      <c r="E1828" s="414"/>
      <c r="F1828" s="486">
        <v>15</v>
      </c>
      <c r="G1828" s="486">
        <v>0.23</v>
      </c>
      <c r="H1828" s="486">
        <v>0.19</v>
      </c>
      <c r="I1828" s="399">
        <f t="shared" si="49"/>
        <v>0.66</v>
      </c>
      <c r="J1828" s="294"/>
      <c r="K1828" s="1259" t="s">
        <v>166</v>
      </c>
      <c r="L1828" s="431"/>
      <c r="M1828" s="431"/>
      <c r="N1828" s="431"/>
    </row>
    <row r="1829" spans="1:14" s="398" customFormat="1" ht="34.5" hidden="1" outlineLevel="1">
      <c r="A1829" s="1221"/>
      <c r="B1829" s="425" t="s">
        <v>146</v>
      </c>
      <c r="C1829" s="165" t="s">
        <v>2</v>
      </c>
      <c r="D1829" s="437">
        <v>1</v>
      </c>
      <c r="E1829" s="414"/>
      <c r="F1829" s="486">
        <v>31.4</v>
      </c>
      <c r="G1829" s="486">
        <v>0.46</v>
      </c>
      <c r="H1829" s="486">
        <v>0.3</v>
      </c>
      <c r="I1829" s="399">
        <f t="shared" si="49"/>
        <v>4.33</v>
      </c>
      <c r="J1829" s="294"/>
      <c r="K1829" s="1259" t="s">
        <v>166</v>
      </c>
      <c r="L1829" s="431"/>
      <c r="M1829" s="431"/>
      <c r="N1829" s="431"/>
    </row>
    <row r="1830" spans="1:14" s="398" customFormat="1" ht="34.5" hidden="1" outlineLevel="1">
      <c r="A1830" s="1221"/>
      <c r="B1830" s="425"/>
      <c r="C1830" s="165" t="s">
        <v>2</v>
      </c>
      <c r="D1830" s="437">
        <v>1</v>
      </c>
      <c r="E1830" s="414"/>
      <c r="F1830" s="486">
        <v>31.4</v>
      </c>
      <c r="G1830" s="486">
        <v>0.34499999999999997</v>
      </c>
      <c r="H1830" s="486">
        <v>0.3</v>
      </c>
      <c r="I1830" s="399">
        <f t="shared" si="49"/>
        <v>3.25</v>
      </c>
      <c r="J1830" s="294"/>
      <c r="K1830" s="1259" t="s">
        <v>166</v>
      </c>
      <c r="L1830" s="431"/>
      <c r="M1830" s="431"/>
      <c r="N1830" s="431"/>
    </row>
    <row r="1831" spans="1:14" s="398" customFormat="1" ht="34.5" hidden="1" outlineLevel="1">
      <c r="A1831" s="1221"/>
      <c r="B1831" s="425"/>
      <c r="C1831" s="165" t="s">
        <v>2</v>
      </c>
      <c r="D1831" s="437">
        <v>1</v>
      </c>
      <c r="E1831" s="414"/>
      <c r="F1831" s="486">
        <v>31.4</v>
      </c>
      <c r="G1831" s="486">
        <v>0.23</v>
      </c>
      <c r="H1831" s="486">
        <v>0.19</v>
      </c>
      <c r="I1831" s="399">
        <f t="shared" si="49"/>
        <v>1.37</v>
      </c>
      <c r="J1831" s="294"/>
      <c r="K1831" s="1259" t="s">
        <v>166</v>
      </c>
      <c r="L1831" s="431"/>
      <c r="M1831" s="431"/>
      <c r="N1831" s="431"/>
    </row>
    <row r="1832" spans="1:14" s="398" customFormat="1" ht="34.5" hidden="1" outlineLevel="1">
      <c r="A1832" s="1221"/>
      <c r="B1832" s="425" t="s">
        <v>147</v>
      </c>
      <c r="C1832" s="165" t="s">
        <v>2</v>
      </c>
      <c r="D1832" s="437">
        <v>1</v>
      </c>
      <c r="E1832" s="414"/>
      <c r="F1832" s="486">
        <v>42.55</v>
      </c>
      <c r="G1832" s="486">
        <v>0.46</v>
      </c>
      <c r="H1832" s="486">
        <v>0.3</v>
      </c>
      <c r="I1832" s="399">
        <f t="shared" si="49"/>
        <v>5.87</v>
      </c>
      <c r="J1832" s="294"/>
      <c r="K1832" s="1259" t="s">
        <v>166</v>
      </c>
      <c r="L1832" s="431"/>
      <c r="M1832" s="431"/>
      <c r="N1832" s="431"/>
    </row>
    <row r="1833" spans="1:14" s="398" customFormat="1" ht="34.5" hidden="1" outlineLevel="1">
      <c r="A1833" s="1221"/>
      <c r="B1833" s="425"/>
      <c r="C1833" s="165" t="s">
        <v>2</v>
      </c>
      <c r="D1833" s="437">
        <v>1</v>
      </c>
      <c r="E1833" s="414"/>
      <c r="F1833" s="486">
        <v>42.55</v>
      </c>
      <c r="G1833" s="486">
        <v>0.34499999999999997</v>
      </c>
      <c r="H1833" s="486">
        <v>0.3</v>
      </c>
      <c r="I1833" s="399">
        <f t="shared" si="49"/>
        <v>4.4000000000000004</v>
      </c>
      <c r="J1833" s="294"/>
      <c r="K1833" s="1259" t="s">
        <v>166</v>
      </c>
      <c r="L1833" s="431"/>
      <c r="M1833" s="431"/>
      <c r="N1833" s="431"/>
    </row>
    <row r="1834" spans="1:14" s="398" customFormat="1" ht="34.5" hidden="1" outlineLevel="1">
      <c r="A1834" s="1221"/>
      <c r="B1834" s="425"/>
      <c r="C1834" s="165" t="s">
        <v>2</v>
      </c>
      <c r="D1834" s="437">
        <v>1</v>
      </c>
      <c r="E1834" s="414"/>
      <c r="F1834" s="486">
        <v>42.55</v>
      </c>
      <c r="G1834" s="486">
        <v>0.23</v>
      </c>
      <c r="H1834" s="486">
        <v>0.19</v>
      </c>
      <c r="I1834" s="399">
        <f t="shared" si="49"/>
        <v>1.86</v>
      </c>
      <c r="J1834" s="294"/>
      <c r="K1834" s="1259" t="s">
        <v>166</v>
      </c>
      <c r="L1834" s="431"/>
      <c r="M1834" s="431"/>
      <c r="N1834" s="431"/>
    </row>
    <row r="1835" spans="1:14" s="398" customFormat="1" hidden="1" outlineLevel="1">
      <c r="A1835" s="1221"/>
      <c r="B1835" s="425" t="s">
        <v>148</v>
      </c>
      <c r="C1835" s="165" t="s">
        <v>2</v>
      </c>
      <c r="D1835" s="437"/>
      <c r="E1835" s="414"/>
      <c r="F1835" s="486"/>
      <c r="G1835" s="486"/>
      <c r="H1835" s="486"/>
      <c r="I1835" s="399" t="str">
        <f t="shared" si="49"/>
        <v/>
      </c>
      <c r="J1835" s="294"/>
      <c r="K1835" s="1259"/>
      <c r="L1835" s="431"/>
      <c r="M1835" s="431"/>
      <c r="N1835" s="431"/>
    </row>
    <row r="1836" spans="1:14" s="398" customFormat="1" ht="34.5" hidden="1" outlineLevel="1">
      <c r="A1836" s="1221"/>
      <c r="B1836" s="425"/>
      <c r="C1836" s="165" t="s">
        <v>2</v>
      </c>
      <c r="D1836" s="437">
        <v>2</v>
      </c>
      <c r="E1836" s="414"/>
      <c r="F1836" s="486">
        <v>33</v>
      </c>
      <c r="G1836" s="486">
        <v>0.46</v>
      </c>
      <c r="H1836" s="486">
        <v>0.3</v>
      </c>
      <c r="I1836" s="399">
        <f t="shared" si="49"/>
        <v>9.11</v>
      </c>
      <c r="J1836" s="294"/>
      <c r="K1836" s="1259" t="s">
        <v>166</v>
      </c>
      <c r="L1836" s="431"/>
      <c r="M1836" s="431"/>
      <c r="N1836" s="431"/>
    </row>
    <row r="1837" spans="1:14" s="398" customFormat="1" ht="34.5" hidden="1" outlineLevel="1">
      <c r="A1837" s="1221"/>
      <c r="B1837" s="425"/>
      <c r="C1837" s="165" t="s">
        <v>2</v>
      </c>
      <c r="D1837" s="437">
        <v>2</v>
      </c>
      <c r="E1837" s="414"/>
      <c r="F1837" s="486">
        <v>33</v>
      </c>
      <c r="G1837" s="486">
        <v>0.34499999999999997</v>
      </c>
      <c r="H1837" s="486">
        <v>0.3</v>
      </c>
      <c r="I1837" s="399">
        <f t="shared" si="49"/>
        <v>6.83</v>
      </c>
      <c r="J1837" s="294"/>
      <c r="K1837" s="1259" t="s">
        <v>166</v>
      </c>
      <c r="L1837" s="431"/>
      <c r="M1837" s="431"/>
      <c r="N1837" s="431"/>
    </row>
    <row r="1838" spans="1:14" s="398" customFormat="1" ht="34.5" hidden="1" outlineLevel="1">
      <c r="A1838" s="1221"/>
      <c r="B1838" s="425"/>
      <c r="C1838" s="165" t="s">
        <v>2</v>
      </c>
      <c r="D1838" s="437">
        <v>2</v>
      </c>
      <c r="E1838" s="414"/>
      <c r="F1838" s="486">
        <v>33</v>
      </c>
      <c r="G1838" s="486">
        <v>0.23</v>
      </c>
      <c r="H1838" s="486">
        <v>0.19</v>
      </c>
      <c r="I1838" s="399">
        <f t="shared" si="49"/>
        <v>2.88</v>
      </c>
      <c r="J1838" s="294"/>
      <c r="K1838" s="1259" t="s">
        <v>166</v>
      </c>
      <c r="L1838" s="431"/>
      <c r="M1838" s="431"/>
      <c r="N1838" s="431"/>
    </row>
    <row r="1839" spans="1:14" s="462" customFormat="1" hidden="1" outlineLevel="1" collapsed="1">
      <c r="A1839" s="1261"/>
      <c r="B1839" s="260" t="s">
        <v>271</v>
      </c>
      <c r="C1839" s="439"/>
      <c r="D1839" s="440"/>
      <c r="E1839" s="441"/>
      <c r="F1839" s="1363"/>
      <c r="G1839" s="1363"/>
      <c r="H1839" s="1363"/>
      <c r="I1839" s="399" t="str">
        <f t="shared" si="49"/>
        <v/>
      </c>
      <c r="J1839" s="442"/>
      <c r="K1839" s="1262"/>
      <c r="L1839" s="461"/>
      <c r="M1839" s="461"/>
      <c r="N1839" s="461"/>
    </row>
    <row r="1840" spans="1:14" s="462" customFormat="1" hidden="1" outlineLevel="1">
      <c r="A1840" s="1261"/>
      <c r="B1840" s="260"/>
      <c r="C1840" s="439"/>
      <c r="D1840" s="440"/>
      <c r="E1840" s="441"/>
      <c r="F1840" s="1363"/>
      <c r="G1840" s="1363"/>
      <c r="H1840" s="1363"/>
      <c r="I1840" s="399" t="str">
        <f t="shared" si="49"/>
        <v/>
      </c>
      <c r="J1840" s="442"/>
      <c r="K1840" s="1262"/>
      <c r="L1840" s="461"/>
      <c r="M1840" s="461"/>
      <c r="N1840" s="461"/>
    </row>
    <row r="1841" spans="1:14" s="462" customFormat="1" hidden="1" outlineLevel="1">
      <c r="A1841" s="1261"/>
      <c r="B1841" s="260" t="s">
        <v>171</v>
      </c>
      <c r="C1841" s="439" t="s">
        <v>2</v>
      </c>
      <c r="D1841" s="440">
        <v>1</v>
      </c>
      <c r="E1841" s="441">
        <v>1</v>
      </c>
      <c r="F1841" s="1364">
        <v>4.3499999999999996</v>
      </c>
      <c r="G1841" s="1363">
        <v>0.46</v>
      </c>
      <c r="H1841" s="1363">
        <v>0.3</v>
      </c>
      <c r="I1841" s="399">
        <f t="shared" si="49"/>
        <v>0.6</v>
      </c>
      <c r="J1841" s="442"/>
      <c r="K1841" s="1263"/>
      <c r="L1841" s="461"/>
      <c r="M1841" s="461"/>
      <c r="N1841" s="461"/>
    </row>
    <row r="1842" spans="1:14" s="462" customFormat="1" hidden="1" outlineLevel="1">
      <c r="A1842" s="1261"/>
      <c r="B1842" s="260"/>
      <c r="C1842" s="439" t="s">
        <v>2</v>
      </c>
      <c r="D1842" s="440">
        <v>1</v>
      </c>
      <c r="E1842" s="441">
        <v>1</v>
      </c>
      <c r="F1842" s="1364">
        <v>4.12</v>
      </c>
      <c r="G1842" s="1363">
        <v>0.34499999999999997</v>
      </c>
      <c r="H1842" s="1363">
        <v>0.3</v>
      </c>
      <c r="I1842" s="399">
        <f t="shared" si="49"/>
        <v>0.43</v>
      </c>
      <c r="J1842" s="442"/>
      <c r="K1842" s="1263"/>
      <c r="L1842" s="461"/>
      <c r="M1842" s="461"/>
      <c r="N1842" s="461"/>
    </row>
    <row r="1843" spans="1:14" s="462" customFormat="1" hidden="1" outlineLevel="1">
      <c r="A1843" s="1261"/>
      <c r="B1843" s="260"/>
      <c r="C1843" s="439" t="s">
        <v>2</v>
      </c>
      <c r="D1843" s="440">
        <v>1</v>
      </c>
      <c r="E1843" s="441">
        <v>1</v>
      </c>
      <c r="F1843" s="1364">
        <v>3.89</v>
      </c>
      <c r="G1843" s="1363">
        <v>0.23</v>
      </c>
      <c r="H1843" s="1363">
        <v>0.19000000000000006</v>
      </c>
      <c r="I1843" s="399">
        <f t="shared" si="49"/>
        <v>0.17</v>
      </c>
      <c r="J1843" s="442"/>
      <c r="K1843" s="1263"/>
      <c r="L1843" s="461"/>
      <c r="M1843" s="461"/>
      <c r="N1843" s="461"/>
    </row>
    <row r="1844" spans="1:14" s="462" customFormat="1" hidden="1" outlineLevel="1">
      <c r="A1844" s="1261"/>
      <c r="B1844" s="260"/>
      <c r="C1844" s="439"/>
      <c r="D1844" s="440"/>
      <c r="E1844" s="441"/>
      <c r="F1844" s="1363"/>
      <c r="G1844" s="1363"/>
      <c r="H1844" s="1363"/>
      <c r="I1844" s="399" t="str">
        <f t="shared" si="49"/>
        <v/>
      </c>
      <c r="J1844" s="442"/>
      <c r="K1844" s="1263"/>
      <c r="L1844" s="461"/>
      <c r="M1844" s="461"/>
      <c r="N1844" s="461"/>
    </row>
    <row r="1845" spans="1:14" s="462" customFormat="1" hidden="1" outlineLevel="1">
      <c r="A1845" s="1261"/>
      <c r="B1845" s="260"/>
      <c r="C1845" s="439" t="s">
        <v>2</v>
      </c>
      <c r="D1845" s="440">
        <v>1</v>
      </c>
      <c r="E1845" s="441">
        <v>1</v>
      </c>
      <c r="F1845" s="1363">
        <v>1.89</v>
      </c>
      <c r="G1845" s="1363">
        <v>0.46</v>
      </c>
      <c r="H1845" s="1363">
        <v>0.3</v>
      </c>
      <c r="I1845" s="399">
        <f t="shared" si="49"/>
        <v>0.26</v>
      </c>
      <c r="J1845" s="442"/>
      <c r="K1845" s="1263"/>
      <c r="L1845" s="461"/>
      <c r="M1845" s="461"/>
      <c r="N1845" s="461"/>
    </row>
    <row r="1846" spans="1:14" s="462" customFormat="1" hidden="1" outlineLevel="1">
      <c r="A1846" s="1261"/>
      <c r="B1846" s="260"/>
      <c r="C1846" s="439" t="s">
        <v>2</v>
      </c>
      <c r="D1846" s="440">
        <v>1</v>
      </c>
      <c r="E1846" s="441">
        <v>1</v>
      </c>
      <c r="F1846" s="1363">
        <v>1.7749999999999999</v>
      </c>
      <c r="G1846" s="1363">
        <v>0.34499999999999997</v>
      </c>
      <c r="H1846" s="1363">
        <v>0.3</v>
      </c>
      <c r="I1846" s="399">
        <f t="shared" si="49"/>
        <v>0.18</v>
      </c>
      <c r="J1846" s="442"/>
      <c r="K1846" s="1263"/>
      <c r="L1846" s="461"/>
      <c r="M1846" s="461"/>
      <c r="N1846" s="461"/>
    </row>
    <row r="1847" spans="1:14" s="462" customFormat="1" hidden="1" outlineLevel="1">
      <c r="A1847" s="1261"/>
      <c r="B1847" s="260"/>
      <c r="C1847" s="439" t="s">
        <v>2</v>
      </c>
      <c r="D1847" s="440">
        <v>1</v>
      </c>
      <c r="E1847" s="441">
        <v>1</v>
      </c>
      <c r="F1847" s="1363">
        <v>1.66</v>
      </c>
      <c r="G1847" s="1363">
        <v>0.23</v>
      </c>
      <c r="H1847" s="1363">
        <v>0.19000000000000006</v>
      </c>
      <c r="I1847" s="399">
        <f t="shared" si="49"/>
        <v>7.0000000000000007E-2</v>
      </c>
      <c r="J1847" s="442"/>
      <c r="K1847" s="1263"/>
      <c r="L1847" s="461"/>
      <c r="M1847" s="461"/>
      <c r="N1847" s="461"/>
    </row>
    <row r="1848" spans="1:14" s="462" customFormat="1" hidden="1" outlineLevel="1">
      <c r="A1848" s="1261"/>
      <c r="B1848" s="260" t="s">
        <v>172</v>
      </c>
      <c r="C1848" s="439" t="s">
        <v>2</v>
      </c>
      <c r="D1848" s="440">
        <v>1</v>
      </c>
      <c r="E1848" s="441">
        <v>1</v>
      </c>
      <c r="F1848" s="1363">
        <v>2.46</v>
      </c>
      <c r="G1848" s="1363">
        <v>0.46</v>
      </c>
      <c r="H1848" s="1363">
        <v>0.3</v>
      </c>
      <c r="I1848" s="399">
        <f t="shared" si="49"/>
        <v>0.34</v>
      </c>
      <c r="J1848" s="442"/>
      <c r="K1848" s="1263"/>
      <c r="L1848" s="461"/>
      <c r="M1848" s="461"/>
      <c r="N1848" s="461"/>
    </row>
    <row r="1849" spans="1:14" s="462" customFormat="1" hidden="1" outlineLevel="1">
      <c r="A1849" s="1261"/>
      <c r="B1849" s="260"/>
      <c r="C1849" s="439" t="s">
        <v>2</v>
      </c>
      <c r="D1849" s="440">
        <v>1</v>
      </c>
      <c r="E1849" s="441">
        <v>1</v>
      </c>
      <c r="F1849" s="1363">
        <v>2.3449999999999998</v>
      </c>
      <c r="G1849" s="1363">
        <v>0.34499999999999997</v>
      </c>
      <c r="H1849" s="1363">
        <v>0.3</v>
      </c>
      <c r="I1849" s="399">
        <f t="shared" si="49"/>
        <v>0.24</v>
      </c>
      <c r="J1849" s="442"/>
      <c r="K1849" s="1263"/>
      <c r="L1849" s="461"/>
      <c r="M1849" s="461"/>
      <c r="N1849" s="461"/>
    </row>
    <row r="1850" spans="1:14" s="462" customFormat="1" hidden="1" outlineLevel="1">
      <c r="A1850" s="1261"/>
      <c r="B1850" s="260"/>
      <c r="C1850" s="439" t="s">
        <v>2</v>
      </c>
      <c r="D1850" s="440">
        <v>1</v>
      </c>
      <c r="E1850" s="441">
        <v>1</v>
      </c>
      <c r="F1850" s="1363">
        <v>2.23</v>
      </c>
      <c r="G1850" s="1363">
        <v>0.23</v>
      </c>
      <c r="H1850" s="1363">
        <v>0.19000000000000006</v>
      </c>
      <c r="I1850" s="399">
        <f t="shared" si="49"/>
        <v>0.1</v>
      </c>
      <c r="J1850" s="442"/>
      <c r="K1850" s="1263"/>
      <c r="L1850" s="461"/>
      <c r="M1850" s="461"/>
      <c r="N1850" s="461"/>
    </row>
    <row r="1851" spans="1:14" s="462" customFormat="1" hidden="1" outlineLevel="1">
      <c r="A1851" s="1261"/>
      <c r="B1851" s="260"/>
      <c r="C1851" s="439"/>
      <c r="D1851" s="440"/>
      <c r="E1851" s="441"/>
      <c r="F1851" s="1363"/>
      <c r="G1851" s="1363"/>
      <c r="H1851" s="1363"/>
      <c r="I1851" s="399" t="str">
        <f t="shared" si="49"/>
        <v/>
      </c>
      <c r="J1851" s="442"/>
      <c r="K1851" s="1263"/>
      <c r="L1851" s="461"/>
      <c r="M1851" s="461"/>
      <c r="N1851" s="461"/>
    </row>
    <row r="1852" spans="1:14" s="462" customFormat="1" hidden="1" outlineLevel="1">
      <c r="A1852" s="1261"/>
      <c r="B1852" s="260"/>
      <c r="C1852" s="439" t="s">
        <v>2</v>
      </c>
      <c r="D1852" s="440">
        <v>1</v>
      </c>
      <c r="E1852" s="441">
        <v>1</v>
      </c>
      <c r="F1852" s="1363">
        <v>1.89</v>
      </c>
      <c r="G1852" s="1363">
        <v>0.46</v>
      </c>
      <c r="H1852" s="1363">
        <v>0.3</v>
      </c>
      <c r="I1852" s="399">
        <f t="shared" si="49"/>
        <v>0.26</v>
      </c>
      <c r="J1852" s="442"/>
      <c r="K1852" s="1263"/>
      <c r="L1852" s="461"/>
      <c r="M1852" s="461"/>
      <c r="N1852" s="461"/>
    </row>
    <row r="1853" spans="1:14" s="462" customFormat="1" hidden="1" outlineLevel="1">
      <c r="A1853" s="1261"/>
      <c r="B1853" s="260"/>
      <c r="C1853" s="439" t="s">
        <v>2</v>
      </c>
      <c r="D1853" s="440">
        <v>1</v>
      </c>
      <c r="E1853" s="441">
        <v>1</v>
      </c>
      <c r="F1853" s="1363">
        <v>1.7749999999999999</v>
      </c>
      <c r="G1853" s="1363">
        <v>0.34499999999999997</v>
      </c>
      <c r="H1853" s="1363">
        <v>0.3</v>
      </c>
      <c r="I1853" s="399">
        <f t="shared" si="49"/>
        <v>0.18</v>
      </c>
      <c r="J1853" s="442"/>
      <c r="K1853" s="1263"/>
      <c r="L1853" s="461"/>
      <c r="M1853" s="461"/>
      <c r="N1853" s="461"/>
    </row>
    <row r="1854" spans="1:14" s="462" customFormat="1" hidden="1" outlineLevel="1">
      <c r="A1854" s="1261"/>
      <c r="B1854" s="260"/>
      <c r="C1854" s="439" t="s">
        <v>2</v>
      </c>
      <c r="D1854" s="440">
        <v>1</v>
      </c>
      <c r="E1854" s="441">
        <v>1</v>
      </c>
      <c r="F1854" s="1363">
        <v>1.66</v>
      </c>
      <c r="G1854" s="1363">
        <v>0.23</v>
      </c>
      <c r="H1854" s="1363">
        <v>0.19000000000000006</v>
      </c>
      <c r="I1854" s="399">
        <f t="shared" si="49"/>
        <v>7.0000000000000007E-2</v>
      </c>
      <c r="J1854" s="442"/>
      <c r="K1854" s="1263"/>
      <c r="L1854" s="461"/>
      <c r="M1854" s="461"/>
      <c r="N1854" s="461"/>
    </row>
    <row r="1855" spans="1:14" s="462" customFormat="1" hidden="1" outlineLevel="1">
      <c r="A1855" s="1261"/>
      <c r="B1855" s="260"/>
      <c r="C1855" s="439"/>
      <c r="D1855" s="440"/>
      <c r="E1855" s="441"/>
      <c r="F1855" s="1363"/>
      <c r="G1855" s="1363"/>
      <c r="H1855" s="1363"/>
      <c r="I1855" s="399" t="str">
        <f t="shared" si="49"/>
        <v/>
      </c>
      <c r="J1855" s="442"/>
      <c r="K1855" s="1263"/>
      <c r="L1855" s="461"/>
      <c r="M1855" s="461"/>
      <c r="N1855" s="461"/>
    </row>
    <row r="1856" spans="1:14" s="462" customFormat="1" hidden="1" outlineLevel="1">
      <c r="A1856" s="1261"/>
      <c r="B1856" s="260"/>
      <c r="C1856" s="439" t="s">
        <v>2</v>
      </c>
      <c r="D1856" s="440">
        <v>1</v>
      </c>
      <c r="E1856" s="441">
        <v>1</v>
      </c>
      <c r="F1856" s="1363">
        <v>2.19</v>
      </c>
      <c r="G1856" s="1363">
        <v>0.46</v>
      </c>
      <c r="H1856" s="1363">
        <v>0.3</v>
      </c>
      <c r="I1856" s="399">
        <f t="shared" si="49"/>
        <v>0.3</v>
      </c>
      <c r="J1856" s="442"/>
      <c r="K1856" s="1263"/>
      <c r="L1856" s="461"/>
      <c r="M1856" s="461"/>
      <c r="N1856" s="461"/>
    </row>
    <row r="1857" spans="1:14" s="462" customFormat="1" hidden="1" outlineLevel="1">
      <c r="A1857" s="1261"/>
      <c r="B1857" s="260"/>
      <c r="C1857" s="439" t="s">
        <v>2</v>
      </c>
      <c r="D1857" s="440">
        <v>1</v>
      </c>
      <c r="E1857" s="441">
        <v>1</v>
      </c>
      <c r="F1857" s="1363">
        <v>2.0750000000000002</v>
      </c>
      <c r="G1857" s="1363">
        <v>0.34499999999999997</v>
      </c>
      <c r="H1857" s="1363">
        <v>0.3</v>
      </c>
      <c r="I1857" s="399">
        <f t="shared" si="49"/>
        <v>0.21</v>
      </c>
      <c r="J1857" s="442"/>
      <c r="K1857" s="1263"/>
      <c r="L1857" s="461"/>
      <c r="M1857" s="461"/>
      <c r="N1857" s="461"/>
    </row>
    <row r="1858" spans="1:14" s="462" customFormat="1" hidden="1" outlineLevel="1">
      <c r="A1858" s="1261"/>
      <c r="B1858" s="260"/>
      <c r="C1858" s="439" t="s">
        <v>2</v>
      </c>
      <c r="D1858" s="440">
        <v>1</v>
      </c>
      <c r="E1858" s="441">
        <v>1</v>
      </c>
      <c r="F1858" s="1363">
        <v>1.96</v>
      </c>
      <c r="G1858" s="1363">
        <v>0.23</v>
      </c>
      <c r="H1858" s="1363">
        <v>0.19000000000000006</v>
      </c>
      <c r="I1858" s="399">
        <f t="shared" si="49"/>
        <v>0.09</v>
      </c>
      <c r="J1858" s="442"/>
      <c r="K1858" s="1263"/>
      <c r="L1858" s="461"/>
      <c r="M1858" s="461"/>
      <c r="N1858" s="461"/>
    </row>
    <row r="1859" spans="1:14" s="462" customFormat="1" hidden="1" outlineLevel="1">
      <c r="A1859" s="1261"/>
      <c r="B1859" s="260"/>
      <c r="C1859" s="439"/>
      <c r="D1859" s="440"/>
      <c r="E1859" s="441"/>
      <c r="F1859" s="1363"/>
      <c r="G1859" s="1363"/>
      <c r="H1859" s="1363"/>
      <c r="I1859" s="399" t="str">
        <f t="shared" si="49"/>
        <v/>
      </c>
      <c r="J1859" s="442"/>
      <c r="K1859" s="1263"/>
      <c r="L1859" s="461"/>
      <c r="M1859" s="461"/>
      <c r="N1859" s="461"/>
    </row>
    <row r="1860" spans="1:14" s="462" customFormat="1" hidden="1" outlineLevel="1">
      <c r="A1860" s="1261"/>
      <c r="B1860" s="260"/>
      <c r="C1860" s="439" t="s">
        <v>2</v>
      </c>
      <c r="D1860" s="440">
        <v>1</v>
      </c>
      <c r="E1860" s="441">
        <v>1</v>
      </c>
      <c r="F1860" s="1363">
        <v>1.06</v>
      </c>
      <c r="G1860" s="1363">
        <v>0.46</v>
      </c>
      <c r="H1860" s="1363">
        <v>0.3</v>
      </c>
      <c r="I1860" s="399">
        <f t="shared" si="49"/>
        <v>0.15</v>
      </c>
      <c r="J1860" s="442"/>
      <c r="K1860" s="1263"/>
      <c r="L1860" s="461"/>
      <c r="M1860" s="461"/>
      <c r="N1860" s="461"/>
    </row>
    <row r="1861" spans="1:14" s="462" customFormat="1" hidden="1" outlineLevel="1">
      <c r="A1861" s="1261"/>
      <c r="B1861" s="260"/>
      <c r="C1861" s="439" t="s">
        <v>2</v>
      </c>
      <c r="D1861" s="440">
        <v>1</v>
      </c>
      <c r="E1861" s="441">
        <v>1</v>
      </c>
      <c r="F1861" s="1363">
        <v>0.94499999999999995</v>
      </c>
      <c r="G1861" s="1363">
        <v>0.34499999999999997</v>
      </c>
      <c r="H1861" s="1363">
        <v>0.3</v>
      </c>
      <c r="I1861" s="399">
        <f t="shared" si="49"/>
        <v>0.1</v>
      </c>
      <c r="J1861" s="442"/>
      <c r="K1861" s="1263"/>
      <c r="L1861" s="461"/>
      <c r="M1861" s="461"/>
      <c r="N1861" s="461"/>
    </row>
    <row r="1862" spans="1:14" s="462" customFormat="1" hidden="1" outlineLevel="1">
      <c r="A1862" s="1261"/>
      <c r="B1862" s="260"/>
      <c r="C1862" s="439" t="s">
        <v>2</v>
      </c>
      <c r="D1862" s="440">
        <v>1</v>
      </c>
      <c r="E1862" s="441">
        <v>1</v>
      </c>
      <c r="F1862" s="1363">
        <v>0.83</v>
      </c>
      <c r="G1862" s="1363">
        <v>0.23</v>
      </c>
      <c r="H1862" s="1363">
        <v>0.19000000000000006</v>
      </c>
      <c r="I1862" s="399">
        <f t="shared" si="49"/>
        <v>0.04</v>
      </c>
      <c r="J1862" s="442"/>
      <c r="K1862" s="1263"/>
      <c r="L1862" s="461"/>
      <c r="M1862" s="461"/>
      <c r="N1862" s="461"/>
    </row>
    <row r="1863" spans="1:14" s="462" customFormat="1" hidden="1" outlineLevel="1">
      <c r="A1863" s="1261"/>
      <c r="B1863" s="260"/>
      <c r="C1863" s="439"/>
      <c r="D1863" s="440"/>
      <c r="E1863" s="441"/>
      <c r="F1863" s="1363"/>
      <c r="G1863" s="1363"/>
      <c r="H1863" s="1363"/>
      <c r="I1863" s="399" t="str">
        <f t="shared" si="49"/>
        <v/>
      </c>
      <c r="J1863" s="442"/>
      <c r="K1863" s="1263"/>
      <c r="L1863" s="461"/>
      <c r="M1863" s="461"/>
      <c r="N1863" s="461"/>
    </row>
    <row r="1864" spans="1:14" s="462" customFormat="1" hidden="1" outlineLevel="1">
      <c r="A1864" s="1261"/>
      <c r="B1864" s="260" t="s">
        <v>173</v>
      </c>
      <c r="C1864" s="439" t="s">
        <v>2</v>
      </c>
      <c r="D1864" s="440">
        <v>1</v>
      </c>
      <c r="E1864" s="441">
        <v>2</v>
      </c>
      <c r="F1864" s="1363">
        <v>2.19</v>
      </c>
      <c r="G1864" s="1363">
        <v>0.46</v>
      </c>
      <c r="H1864" s="1363">
        <v>0.3</v>
      </c>
      <c r="I1864" s="399">
        <f t="shared" si="49"/>
        <v>0.6</v>
      </c>
      <c r="J1864" s="442"/>
      <c r="K1864" s="1263"/>
      <c r="L1864" s="461"/>
      <c r="M1864" s="461"/>
      <c r="N1864" s="461"/>
    </row>
    <row r="1865" spans="1:14" s="462" customFormat="1" hidden="1" outlineLevel="1">
      <c r="A1865" s="1261"/>
      <c r="B1865" s="260"/>
      <c r="C1865" s="439" t="s">
        <v>2</v>
      </c>
      <c r="D1865" s="440">
        <v>1</v>
      </c>
      <c r="E1865" s="441">
        <v>2</v>
      </c>
      <c r="F1865" s="1363">
        <v>2.0750000000000002</v>
      </c>
      <c r="G1865" s="1363">
        <v>0.34499999999999997</v>
      </c>
      <c r="H1865" s="1363">
        <v>0.3</v>
      </c>
      <c r="I1865" s="399">
        <f t="shared" si="49"/>
        <v>0.43</v>
      </c>
      <c r="J1865" s="442"/>
      <c r="K1865" s="1263"/>
      <c r="L1865" s="461"/>
      <c r="M1865" s="461"/>
      <c r="N1865" s="461"/>
    </row>
    <row r="1866" spans="1:14" s="462" customFormat="1" hidden="1" outlineLevel="1">
      <c r="A1866" s="1261"/>
      <c r="B1866" s="260"/>
      <c r="C1866" s="439" t="s">
        <v>2</v>
      </c>
      <c r="D1866" s="440">
        <v>1</v>
      </c>
      <c r="E1866" s="441">
        <v>2</v>
      </c>
      <c r="F1866" s="1363">
        <v>1.96</v>
      </c>
      <c r="G1866" s="1363">
        <v>0.23</v>
      </c>
      <c r="H1866" s="1363">
        <v>0.19000000000000006</v>
      </c>
      <c r="I1866" s="399">
        <f t="shared" si="49"/>
        <v>0.17</v>
      </c>
      <c r="J1866" s="442"/>
      <c r="K1866" s="1263"/>
      <c r="L1866" s="461"/>
      <c r="M1866" s="461"/>
      <c r="N1866" s="461"/>
    </row>
    <row r="1867" spans="1:14" s="462" customFormat="1" hidden="1" outlineLevel="1">
      <c r="A1867" s="1261"/>
      <c r="B1867" s="260"/>
      <c r="C1867" s="439"/>
      <c r="D1867" s="440"/>
      <c r="E1867" s="441"/>
      <c r="F1867" s="1363"/>
      <c r="G1867" s="1363"/>
      <c r="H1867" s="1363"/>
      <c r="I1867" s="399" t="str">
        <f t="shared" si="49"/>
        <v/>
      </c>
      <c r="J1867" s="442"/>
      <c r="K1867" s="1263"/>
      <c r="L1867" s="461"/>
      <c r="M1867" s="461"/>
      <c r="N1867" s="461"/>
    </row>
    <row r="1868" spans="1:14" s="462" customFormat="1" hidden="1" outlineLevel="1">
      <c r="A1868" s="1261"/>
      <c r="B1868" s="260" t="s">
        <v>174</v>
      </c>
      <c r="C1868" s="439" t="s">
        <v>2</v>
      </c>
      <c r="D1868" s="440">
        <v>1</v>
      </c>
      <c r="E1868" s="441">
        <v>1</v>
      </c>
      <c r="F1868" s="1363">
        <v>1.66</v>
      </c>
      <c r="G1868" s="1363">
        <v>0.46</v>
      </c>
      <c r="H1868" s="1363">
        <v>0.3</v>
      </c>
      <c r="I1868" s="399">
        <f t="shared" si="49"/>
        <v>0.23</v>
      </c>
      <c r="J1868" s="442"/>
      <c r="K1868" s="1263"/>
      <c r="L1868" s="461"/>
      <c r="M1868" s="461"/>
      <c r="N1868" s="461"/>
    </row>
    <row r="1869" spans="1:14" s="462" customFormat="1" hidden="1" outlineLevel="1">
      <c r="A1869" s="1261"/>
      <c r="B1869" s="260"/>
      <c r="C1869" s="439" t="s">
        <v>2</v>
      </c>
      <c r="D1869" s="440">
        <v>1</v>
      </c>
      <c r="E1869" s="441">
        <v>1</v>
      </c>
      <c r="F1869" s="1363">
        <v>1.5449999999999999</v>
      </c>
      <c r="G1869" s="1363">
        <v>0.34499999999999997</v>
      </c>
      <c r="H1869" s="1363">
        <v>0.3</v>
      </c>
      <c r="I1869" s="399">
        <f t="shared" si="49"/>
        <v>0.16</v>
      </c>
      <c r="J1869" s="442"/>
      <c r="K1869" s="1263"/>
      <c r="L1869" s="461"/>
      <c r="M1869" s="461"/>
      <c r="N1869" s="461"/>
    </row>
    <row r="1870" spans="1:14" s="462" customFormat="1" hidden="1" outlineLevel="1">
      <c r="A1870" s="1261"/>
      <c r="B1870" s="260"/>
      <c r="C1870" s="439" t="s">
        <v>2</v>
      </c>
      <c r="D1870" s="440">
        <v>1</v>
      </c>
      <c r="E1870" s="441">
        <v>1</v>
      </c>
      <c r="F1870" s="1363">
        <v>1.43</v>
      </c>
      <c r="G1870" s="1363">
        <v>0.23</v>
      </c>
      <c r="H1870" s="1363">
        <v>0.19000000000000006</v>
      </c>
      <c r="I1870" s="399">
        <f t="shared" si="49"/>
        <v>0.06</v>
      </c>
      <c r="J1870" s="442"/>
      <c r="K1870" s="1263"/>
      <c r="L1870" s="461"/>
      <c r="M1870" s="461"/>
      <c r="N1870" s="461"/>
    </row>
    <row r="1871" spans="1:14" s="462" customFormat="1" hidden="1" outlineLevel="1">
      <c r="A1871" s="1261"/>
      <c r="B1871" s="260"/>
      <c r="C1871" s="439"/>
      <c r="D1871" s="440"/>
      <c r="E1871" s="441"/>
      <c r="F1871" s="1363"/>
      <c r="G1871" s="1363"/>
      <c r="H1871" s="1363"/>
      <c r="I1871" s="399" t="str">
        <f t="shared" si="49"/>
        <v/>
      </c>
      <c r="J1871" s="442"/>
      <c r="K1871" s="1263"/>
      <c r="L1871" s="461"/>
      <c r="M1871" s="461"/>
      <c r="N1871" s="461"/>
    </row>
    <row r="1872" spans="1:14" s="462" customFormat="1" hidden="1" outlineLevel="1">
      <c r="A1872" s="1261"/>
      <c r="B1872" s="260"/>
      <c r="C1872" s="439" t="s">
        <v>2</v>
      </c>
      <c r="D1872" s="440">
        <v>1</v>
      </c>
      <c r="E1872" s="441">
        <v>1</v>
      </c>
      <c r="F1872" s="1363">
        <v>2.79</v>
      </c>
      <c r="G1872" s="1363">
        <v>0.46</v>
      </c>
      <c r="H1872" s="1363">
        <v>0.3</v>
      </c>
      <c r="I1872" s="399">
        <f t="shared" si="49"/>
        <v>0.39</v>
      </c>
      <c r="J1872" s="442"/>
      <c r="K1872" s="1263"/>
      <c r="L1872" s="461"/>
      <c r="M1872" s="461"/>
      <c r="N1872" s="461"/>
    </row>
    <row r="1873" spans="1:14" s="462" customFormat="1" hidden="1" outlineLevel="1">
      <c r="A1873" s="1261"/>
      <c r="B1873" s="260"/>
      <c r="C1873" s="439" t="s">
        <v>2</v>
      </c>
      <c r="D1873" s="440">
        <v>1</v>
      </c>
      <c r="E1873" s="441">
        <v>1</v>
      </c>
      <c r="F1873" s="1363">
        <v>2.6749999999999998</v>
      </c>
      <c r="G1873" s="1363">
        <v>0.34499999999999997</v>
      </c>
      <c r="H1873" s="1363">
        <v>0.3</v>
      </c>
      <c r="I1873" s="399">
        <f t="shared" si="49"/>
        <v>0.28000000000000003</v>
      </c>
      <c r="J1873" s="442"/>
      <c r="K1873" s="1263"/>
      <c r="L1873" s="461"/>
      <c r="M1873" s="461"/>
      <c r="N1873" s="461"/>
    </row>
    <row r="1874" spans="1:14" s="462" customFormat="1" hidden="1" outlineLevel="1">
      <c r="A1874" s="1261"/>
      <c r="B1874" s="260"/>
      <c r="C1874" s="439" t="s">
        <v>2</v>
      </c>
      <c r="D1874" s="440">
        <v>1</v>
      </c>
      <c r="E1874" s="441">
        <v>1</v>
      </c>
      <c r="F1874" s="1363">
        <v>2.56</v>
      </c>
      <c r="G1874" s="1363">
        <v>0.23</v>
      </c>
      <c r="H1874" s="1363">
        <v>0.19000000000000006</v>
      </c>
      <c r="I1874" s="399">
        <f t="shared" si="49"/>
        <v>0.11</v>
      </c>
      <c r="J1874" s="442"/>
      <c r="K1874" s="1263"/>
      <c r="L1874" s="461"/>
      <c r="M1874" s="461"/>
      <c r="N1874" s="461"/>
    </row>
    <row r="1875" spans="1:14" s="462" customFormat="1" hidden="1" outlineLevel="1">
      <c r="A1875" s="1261"/>
      <c r="B1875" s="260"/>
      <c r="C1875" s="439"/>
      <c r="D1875" s="440"/>
      <c r="E1875" s="441"/>
      <c r="F1875" s="1363"/>
      <c r="G1875" s="1363"/>
      <c r="H1875" s="1363"/>
      <c r="I1875" s="399" t="str">
        <f t="shared" si="49"/>
        <v/>
      </c>
      <c r="J1875" s="442"/>
      <c r="K1875" s="1263"/>
      <c r="L1875" s="461"/>
      <c r="M1875" s="461"/>
      <c r="N1875" s="461"/>
    </row>
    <row r="1876" spans="1:14" s="462" customFormat="1" hidden="1" outlineLevel="1">
      <c r="A1876" s="1261"/>
      <c r="B1876" s="260"/>
      <c r="C1876" s="439" t="s">
        <v>2</v>
      </c>
      <c r="D1876" s="440">
        <v>1</v>
      </c>
      <c r="E1876" s="441">
        <v>1</v>
      </c>
      <c r="F1876" s="1363">
        <v>6.45</v>
      </c>
      <c r="G1876" s="1363">
        <v>0.46</v>
      </c>
      <c r="H1876" s="1363">
        <v>0.3</v>
      </c>
      <c r="I1876" s="399">
        <f t="shared" si="49"/>
        <v>0.89</v>
      </c>
      <c r="J1876" s="442"/>
      <c r="K1876" s="1263"/>
      <c r="L1876" s="461"/>
      <c r="M1876" s="461"/>
      <c r="N1876" s="461"/>
    </row>
    <row r="1877" spans="1:14" s="462" customFormat="1" hidden="1" outlineLevel="1">
      <c r="A1877" s="1261"/>
      <c r="B1877" s="260"/>
      <c r="C1877" s="439" t="s">
        <v>2</v>
      </c>
      <c r="D1877" s="440">
        <v>1</v>
      </c>
      <c r="E1877" s="441">
        <v>1</v>
      </c>
      <c r="F1877" s="1363">
        <v>6.2200000000000006</v>
      </c>
      <c r="G1877" s="1363">
        <v>0.34499999999999997</v>
      </c>
      <c r="H1877" s="1363">
        <v>0.3</v>
      </c>
      <c r="I1877" s="399">
        <f t="shared" si="49"/>
        <v>0.64</v>
      </c>
      <c r="J1877" s="442"/>
      <c r="K1877" s="1263"/>
      <c r="L1877" s="461"/>
      <c r="M1877" s="461"/>
      <c r="N1877" s="461"/>
    </row>
    <row r="1878" spans="1:14" s="462" customFormat="1" hidden="1" outlineLevel="1">
      <c r="A1878" s="1261"/>
      <c r="B1878" s="260"/>
      <c r="C1878" s="439" t="s">
        <v>2</v>
      </c>
      <c r="D1878" s="440">
        <v>1</v>
      </c>
      <c r="E1878" s="441">
        <v>1</v>
      </c>
      <c r="F1878" s="1363">
        <v>5.99</v>
      </c>
      <c r="G1878" s="1363">
        <v>0.23</v>
      </c>
      <c r="H1878" s="1363">
        <v>0.19000000000000006</v>
      </c>
      <c r="I1878" s="399">
        <f t="shared" si="49"/>
        <v>0.26</v>
      </c>
      <c r="J1878" s="442"/>
      <c r="K1878" s="1263"/>
      <c r="L1878" s="461"/>
      <c r="M1878" s="461"/>
      <c r="N1878" s="461"/>
    </row>
    <row r="1879" spans="1:14" s="462" customFormat="1" hidden="1" outlineLevel="1">
      <c r="A1879" s="1261"/>
      <c r="B1879" s="260"/>
      <c r="C1879" s="439"/>
      <c r="D1879" s="440"/>
      <c r="E1879" s="441"/>
      <c r="F1879" s="1363"/>
      <c r="G1879" s="1363"/>
      <c r="H1879" s="1363"/>
      <c r="I1879" s="399" t="str">
        <f t="shared" si="49"/>
        <v/>
      </c>
      <c r="J1879" s="442"/>
      <c r="K1879" s="1263"/>
      <c r="L1879" s="461"/>
      <c r="M1879" s="461"/>
      <c r="N1879" s="461"/>
    </row>
    <row r="1880" spans="1:14" s="462" customFormat="1" hidden="1" outlineLevel="1">
      <c r="A1880" s="1261"/>
      <c r="B1880" s="260" t="s">
        <v>175</v>
      </c>
      <c r="C1880" s="439" t="s">
        <v>2</v>
      </c>
      <c r="D1880" s="440">
        <v>1</v>
      </c>
      <c r="E1880" s="441">
        <v>1</v>
      </c>
      <c r="F1880" s="1363">
        <v>0.61</v>
      </c>
      <c r="G1880" s="1363">
        <v>0.46</v>
      </c>
      <c r="H1880" s="1363">
        <v>0.3</v>
      </c>
      <c r="I1880" s="399">
        <f t="shared" ref="I1880:I1943" si="50">IF(D1880&lt;&gt;0,ROUND(PRODUCT(E1880:H1880)*D1880,2),"")</f>
        <v>0.08</v>
      </c>
      <c r="J1880" s="442"/>
      <c r="K1880" s="1263"/>
      <c r="L1880" s="461"/>
      <c r="M1880" s="461"/>
      <c r="N1880" s="461"/>
    </row>
    <row r="1881" spans="1:14" s="462" customFormat="1" hidden="1" outlineLevel="1">
      <c r="A1881" s="1261"/>
      <c r="B1881" s="260"/>
      <c r="C1881" s="439" t="s">
        <v>2</v>
      </c>
      <c r="D1881" s="440">
        <v>1</v>
      </c>
      <c r="E1881" s="441">
        <v>1</v>
      </c>
      <c r="F1881" s="1363">
        <v>0.61</v>
      </c>
      <c r="G1881" s="1363">
        <v>0.34499999999999997</v>
      </c>
      <c r="H1881" s="1363">
        <v>0.3</v>
      </c>
      <c r="I1881" s="399">
        <f t="shared" si="50"/>
        <v>0.06</v>
      </c>
      <c r="J1881" s="442"/>
      <c r="K1881" s="1263"/>
      <c r="L1881" s="461"/>
      <c r="M1881" s="461"/>
      <c r="N1881" s="461"/>
    </row>
    <row r="1882" spans="1:14" s="462" customFormat="1" hidden="1" outlineLevel="1">
      <c r="A1882" s="1261"/>
      <c r="B1882" s="260"/>
      <c r="C1882" s="439" t="s">
        <v>2</v>
      </c>
      <c r="D1882" s="440">
        <v>1</v>
      </c>
      <c r="E1882" s="441">
        <v>1</v>
      </c>
      <c r="F1882" s="1363">
        <v>0.61</v>
      </c>
      <c r="G1882" s="1363">
        <v>0.23</v>
      </c>
      <c r="H1882" s="1363">
        <v>0.19000000000000006</v>
      </c>
      <c r="I1882" s="399">
        <f t="shared" si="50"/>
        <v>0.03</v>
      </c>
      <c r="J1882" s="442"/>
      <c r="K1882" s="1263"/>
      <c r="L1882" s="461"/>
      <c r="M1882" s="461"/>
      <c r="N1882" s="461"/>
    </row>
    <row r="1883" spans="1:14" s="462" customFormat="1" hidden="1" outlineLevel="1">
      <c r="A1883" s="1261"/>
      <c r="B1883" s="260"/>
      <c r="C1883" s="439"/>
      <c r="D1883" s="440"/>
      <c r="E1883" s="441"/>
      <c r="F1883" s="1363"/>
      <c r="G1883" s="1363"/>
      <c r="H1883" s="1363"/>
      <c r="I1883" s="399" t="str">
        <f t="shared" si="50"/>
        <v/>
      </c>
      <c r="J1883" s="442"/>
      <c r="K1883" s="1263"/>
      <c r="L1883" s="461"/>
      <c r="M1883" s="461"/>
      <c r="N1883" s="461"/>
    </row>
    <row r="1884" spans="1:14" s="462" customFormat="1" hidden="1" outlineLevel="1">
      <c r="A1884" s="1261"/>
      <c r="B1884" s="260"/>
      <c r="C1884" s="439" t="s">
        <v>2</v>
      </c>
      <c r="D1884" s="440">
        <v>1</v>
      </c>
      <c r="E1884" s="441">
        <v>1</v>
      </c>
      <c r="F1884" s="1363">
        <v>1.21</v>
      </c>
      <c r="G1884" s="1363">
        <v>0.46</v>
      </c>
      <c r="H1884" s="1363">
        <v>0.3</v>
      </c>
      <c r="I1884" s="399">
        <f t="shared" si="50"/>
        <v>0.17</v>
      </c>
      <c r="J1884" s="442"/>
      <c r="K1884" s="1263"/>
      <c r="L1884" s="461"/>
      <c r="M1884" s="461"/>
      <c r="N1884" s="461"/>
    </row>
    <row r="1885" spans="1:14" s="462" customFormat="1" hidden="1" outlineLevel="1">
      <c r="A1885" s="1261"/>
      <c r="B1885" s="260"/>
      <c r="C1885" s="439" t="s">
        <v>2</v>
      </c>
      <c r="D1885" s="440">
        <v>1</v>
      </c>
      <c r="E1885" s="441">
        <v>1</v>
      </c>
      <c r="F1885" s="1363">
        <v>1.44</v>
      </c>
      <c r="G1885" s="1363">
        <v>0.34499999999999997</v>
      </c>
      <c r="H1885" s="1363">
        <v>0.3</v>
      </c>
      <c r="I1885" s="399">
        <f t="shared" si="50"/>
        <v>0.15</v>
      </c>
      <c r="J1885" s="442"/>
      <c r="K1885" s="1263"/>
      <c r="L1885" s="461"/>
      <c r="M1885" s="461"/>
      <c r="N1885" s="461"/>
    </row>
    <row r="1886" spans="1:14" s="462" customFormat="1" hidden="1" outlineLevel="1">
      <c r="A1886" s="1261"/>
      <c r="B1886" s="260"/>
      <c r="C1886" s="439" t="s">
        <v>2</v>
      </c>
      <c r="D1886" s="440">
        <v>1</v>
      </c>
      <c r="E1886" s="441">
        <v>1</v>
      </c>
      <c r="F1886" s="1363">
        <v>1.67</v>
      </c>
      <c r="G1886" s="1363">
        <v>0.23</v>
      </c>
      <c r="H1886" s="1363">
        <v>0.19000000000000006</v>
      </c>
      <c r="I1886" s="399">
        <f t="shared" si="50"/>
        <v>7.0000000000000007E-2</v>
      </c>
      <c r="J1886" s="442"/>
      <c r="K1886" s="1263"/>
      <c r="L1886" s="461"/>
      <c r="M1886" s="461"/>
      <c r="N1886" s="461"/>
    </row>
    <row r="1887" spans="1:14" s="462" customFormat="1" hidden="1" outlineLevel="1">
      <c r="A1887" s="1261"/>
      <c r="B1887" s="260"/>
      <c r="C1887" s="439"/>
      <c r="D1887" s="440"/>
      <c r="E1887" s="441"/>
      <c r="F1887" s="1363"/>
      <c r="G1887" s="1363"/>
      <c r="H1887" s="1363"/>
      <c r="I1887" s="399" t="str">
        <f t="shared" si="50"/>
        <v/>
      </c>
      <c r="J1887" s="442"/>
      <c r="K1887" s="1263"/>
      <c r="L1887" s="461"/>
      <c r="M1887" s="461"/>
      <c r="N1887" s="461"/>
    </row>
    <row r="1888" spans="1:14" s="462" customFormat="1" hidden="1" outlineLevel="1">
      <c r="A1888" s="1261"/>
      <c r="B1888" s="260"/>
      <c r="C1888" s="439" t="s">
        <v>2</v>
      </c>
      <c r="D1888" s="440">
        <v>1</v>
      </c>
      <c r="E1888" s="441">
        <v>1</v>
      </c>
      <c r="F1888" s="1363">
        <v>2.2799999999999998</v>
      </c>
      <c r="G1888" s="1363">
        <v>0.46</v>
      </c>
      <c r="H1888" s="1363">
        <v>0.3</v>
      </c>
      <c r="I1888" s="399">
        <f t="shared" si="50"/>
        <v>0.31</v>
      </c>
      <c r="J1888" s="442"/>
      <c r="K1888" s="1263"/>
      <c r="L1888" s="461"/>
      <c r="M1888" s="461"/>
      <c r="N1888" s="461"/>
    </row>
    <row r="1889" spans="1:14" s="462" customFormat="1" hidden="1" outlineLevel="1">
      <c r="A1889" s="1261"/>
      <c r="B1889" s="260"/>
      <c r="C1889" s="439" t="s">
        <v>2</v>
      </c>
      <c r="D1889" s="440">
        <v>1</v>
      </c>
      <c r="E1889" s="441">
        <v>1</v>
      </c>
      <c r="F1889" s="1363">
        <v>2.3949999999999996</v>
      </c>
      <c r="G1889" s="1363">
        <v>0.34499999999999997</v>
      </c>
      <c r="H1889" s="1363">
        <v>0.3</v>
      </c>
      <c r="I1889" s="399">
        <f t="shared" si="50"/>
        <v>0.25</v>
      </c>
      <c r="J1889" s="442"/>
      <c r="K1889" s="1263"/>
      <c r="L1889" s="461"/>
      <c r="M1889" s="461"/>
      <c r="N1889" s="461"/>
    </row>
    <row r="1890" spans="1:14" s="462" customFormat="1" hidden="1" outlineLevel="1">
      <c r="A1890" s="1261"/>
      <c r="B1890" s="260"/>
      <c r="C1890" s="439" t="s">
        <v>2</v>
      </c>
      <c r="D1890" s="440">
        <v>1</v>
      </c>
      <c r="E1890" s="441">
        <v>1</v>
      </c>
      <c r="F1890" s="1363">
        <v>2.5099999999999998</v>
      </c>
      <c r="G1890" s="1363">
        <v>0.23</v>
      </c>
      <c r="H1890" s="1363">
        <v>0.19000000000000006</v>
      </c>
      <c r="I1890" s="399">
        <f t="shared" si="50"/>
        <v>0.11</v>
      </c>
      <c r="J1890" s="442"/>
      <c r="K1890" s="1263"/>
      <c r="L1890" s="461"/>
      <c r="M1890" s="461"/>
      <c r="N1890" s="461"/>
    </row>
    <row r="1891" spans="1:14" s="462" customFormat="1" hidden="1" outlineLevel="1">
      <c r="A1891" s="1261"/>
      <c r="B1891" s="260"/>
      <c r="C1891" s="439"/>
      <c r="D1891" s="440"/>
      <c r="E1891" s="441"/>
      <c r="F1891" s="1363"/>
      <c r="G1891" s="1363"/>
      <c r="H1891" s="1363"/>
      <c r="I1891" s="399" t="str">
        <f t="shared" si="50"/>
        <v/>
      </c>
      <c r="J1891" s="442"/>
      <c r="K1891" s="1263"/>
      <c r="L1891" s="461"/>
      <c r="M1891" s="461"/>
      <c r="N1891" s="461"/>
    </row>
    <row r="1892" spans="1:14" s="462" customFormat="1" hidden="1" outlineLevel="1">
      <c r="A1892" s="1261"/>
      <c r="B1892" s="260" t="s">
        <v>176</v>
      </c>
      <c r="C1892" s="439" t="s">
        <v>2</v>
      </c>
      <c r="D1892" s="440">
        <v>1</v>
      </c>
      <c r="E1892" s="441">
        <v>2</v>
      </c>
      <c r="F1892" s="1363">
        <v>0.61499999999999999</v>
      </c>
      <c r="G1892" s="1363">
        <v>0.46</v>
      </c>
      <c r="H1892" s="1363">
        <v>0.3</v>
      </c>
      <c r="I1892" s="399">
        <f t="shared" si="50"/>
        <v>0.17</v>
      </c>
      <c r="J1892" s="442"/>
      <c r="K1892" s="1263"/>
      <c r="L1892" s="461"/>
      <c r="M1892" s="461"/>
      <c r="N1892" s="461"/>
    </row>
    <row r="1893" spans="1:14" s="462" customFormat="1" hidden="1" outlineLevel="1">
      <c r="A1893" s="1261"/>
      <c r="B1893" s="260"/>
      <c r="C1893" s="439" t="s">
        <v>2</v>
      </c>
      <c r="D1893" s="440">
        <v>1</v>
      </c>
      <c r="E1893" s="441">
        <v>2</v>
      </c>
      <c r="F1893" s="1363">
        <v>0.61499999999999999</v>
      </c>
      <c r="G1893" s="1363">
        <v>0.34499999999999997</v>
      </c>
      <c r="H1893" s="1363">
        <v>0.3</v>
      </c>
      <c r="I1893" s="399">
        <f t="shared" si="50"/>
        <v>0.13</v>
      </c>
      <c r="J1893" s="442"/>
      <c r="K1893" s="1263"/>
      <c r="L1893" s="461"/>
      <c r="M1893" s="461"/>
      <c r="N1893" s="461"/>
    </row>
    <row r="1894" spans="1:14" s="462" customFormat="1" hidden="1" outlineLevel="1">
      <c r="A1894" s="1261"/>
      <c r="B1894" s="260"/>
      <c r="C1894" s="439" t="s">
        <v>2</v>
      </c>
      <c r="D1894" s="440">
        <v>1</v>
      </c>
      <c r="E1894" s="441">
        <v>2</v>
      </c>
      <c r="F1894" s="1363">
        <v>0.61499999999999999</v>
      </c>
      <c r="G1894" s="1363">
        <v>0.23</v>
      </c>
      <c r="H1894" s="1363">
        <v>0.19000000000000006</v>
      </c>
      <c r="I1894" s="399">
        <f t="shared" si="50"/>
        <v>0.05</v>
      </c>
      <c r="J1894" s="442"/>
      <c r="K1894" s="1263"/>
      <c r="L1894" s="461"/>
      <c r="M1894" s="461"/>
      <c r="N1894" s="461"/>
    </row>
    <row r="1895" spans="1:14" s="462" customFormat="1" hidden="1" outlineLevel="1">
      <c r="A1895" s="1261"/>
      <c r="B1895" s="260"/>
      <c r="C1895" s="439"/>
      <c r="D1895" s="440"/>
      <c r="E1895" s="441"/>
      <c r="F1895" s="1363"/>
      <c r="G1895" s="1363"/>
      <c r="H1895" s="1363"/>
      <c r="I1895" s="399" t="str">
        <f t="shared" si="50"/>
        <v/>
      </c>
      <c r="J1895" s="442"/>
      <c r="K1895" s="1263"/>
      <c r="L1895" s="461"/>
      <c r="M1895" s="461"/>
      <c r="N1895" s="461"/>
    </row>
    <row r="1896" spans="1:14" s="462" customFormat="1" hidden="1" outlineLevel="1">
      <c r="A1896" s="1261"/>
      <c r="B1896" s="260"/>
      <c r="C1896" s="439" t="s">
        <v>2</v>
      </c>
      <c r="D1896" s="440">
        <v>1</v>
      </c>
      <c r="E1896" s="441">
        <v>1</v>
      </c>
      <c r="F1896" s="1363">
        <v>2.2850000000000001</v>
      </c>
      <c r="G1896" s="1363">
        <v>0.46</v>
      </c>
      <c r="H1896" s="1363">
        <v>0.3</v>
      </c>
      <c r="I1896" s="399">
        <f t="shared" si="50"/>
        <v>0.32</v>
      </c>
      <c r="J1896" s="442"/>
      <c r="K1896" s="1263"/>
      <c r="L1896" s="461"/>
      <c r="M1896" s="461"/>
      <c r="N1896" s="461"/>
    </row>
    <row r="1897" spans="1:14" s="462" customFormat="1" hidden="1" outlineLevel="1">
      <c r="A1897" s="1261"/>
      <c r="B1897" s="260"/>
      <c r="C1897" s="439" t="s">
        <v>2</v>
      </c>
      <c r="D1897" s="440">
        <v>1</v>
      </c>
      <c r="E1897" s="441">
        <v>1</v>
      </c>
      <c r="F1897" s="1363">
        <v>2.4000000000000004</v>
      </c>
      <c r="G1897" s="1363">
        <v>0.34499999999999997</v>
      </c>
      <c r="H1897" s="1363">
        <v>0.3</v>
      </c>
      <c r="I1897" s="399">
        <f t="shared" si="50"/>
        <v>0.25</v>
      </c>
      <c r="J1897" s="442"/>
      <c r="K1897" s="1263"/>
      <c r="L1897" s="461"/>
      <c r="M1897" s="461"/>
      <c r="N1897" s="461"/>
    </row>
    <row r="1898" spans="1:14" s="462" customFormat="1" hidden="1" outlineLevel="1">
      <c r="A1898" s="1261"/>
      <c r="B1898" s="260"/>
      <c r="C1898" s="439" t="s">
        <v>2</v>
      </c>
      <c r="D1898" s="440">
        <v>1</v>
      </c>
      <c r="E1898" s="441">
        <v>1</v>
      </c>
      <c r="F1898" s="1363">
        <v>2.5150000000000001</v>
      </c>
      <c r="G1898" s="1363">
        <v>0.23</v>
      </c>
      <c r="H1898" s="1363">
        <v>0.19000000000000006</v>
      </c>
      <c r="I1898" s="399">
        <f t="shared" si="50"/>
        <v>0.11</v>
      </c>
      <c r="J1898" s="442"/>
      <c r="K1898" s="1263"/>
      <c r="L1898" s="461"/>
      <c r="M1898" s="461"/>
      <c r="N1898" s="461"/>
    </row>
    <row r="1899" spans="1:14" s="462" customFormat="1" hidden="1" outlineLevel="1">
      <c r="A1899" s="1261"/>
      <c r="B1899" s="260"/>
      <c r="C1899" s="439"/>
      <c r="D1899" s="440"/>
      <c r="E1899" s="441"/>
      <c r="F1899" s="1363"/>
      <c r="G1899" s="1363"/>
      <c r="H1899" s="1363"/>
      <c r="I1899" s="399" t="str">
        <f t="shared" si="50"/>
        <v/>
      </c>
      <c r="J1899" s="442"/>
      <c r="K1899" s="1263"/>
      <c r="L1899" s="461"/>
      <c r="M1899" s="461"/>
      <c r="N1899" s="461"/>
    </row>
    <row r="1900" spans="1:14" s="462" customFormat="1" hidden="1" outlineLevel="1">
      <c r="A1900" s="1261"/>
      <c r="B1900" s="260"/>
      <c r="C1900" s="439" t="s">
        <v>2</v>
      </c>
      <c r="D1900" s="440">
        <f>1</f>
        <v>1</v>
      </c>
      <c r="E1900" s="441">
        <v>1</v>
      </c>
      <c r="F1900" s="1363">
        <v>1.6850000000000001</v>
      </c>
      <c r="G1900" s="1363">
        <v>0.46</v>
      </c>
      <c r="H1900" s="1363">
        <v>0.3</v>
      </c>
      <c r="I1900" s="399">
        <f t="shared" si="50"/>
        <v>0.23</v>
      </c>
      <c r="J1900" s="442"/>
      <c r="K1900" s="1263"/>
      <c r="L1900" s="461"/>
      <c r="M1900" s="461"/>
      <c r="N1900" s="461"/>
    </row>
    <row r="1901" spans="1:14" s="462" customFormat="1" hidden="1" outlineLevel="1">
      <c r="A1901" s="1261"/>
      <c r="B1901" s="260"/>
      <c r="C1901" s="439" t="s">
        <v>2</v>
      </c>
      <c r="D1901" s="440">
        <f>1</f>
        <v>1</v>
      </c>
      <c r="E1901" s="441">
        <v>1</v>
      </c>
      <c r="F1901" s="1363">
        <v>1.8</v>
      </c>
      <c r="G1901" s="1363">
        <v>0.34499999999999997</v>
      </c>
      <c r="H1901" s="1363">
        <v>0.3</v>
      </c>
      <c r="I1901" s="399">
        <f t="shared" si="50"/>
        <v>0.19</v>
      </c>
      <c r="J1901" s="442"/>
      <c r="K1901" s="1263"/>
      <c r="L1901" s="461"/>
      <c r="M1901" s="461"/>
      <c r="N1901" s="461"/>
    </row>
    <row r="1902" spans="1:14" s="462" customFormat="1" hidden="1" outlineLevel="1">
      <c r="A1902" s="1261"/>
      <c r="B1902" s="260"/>
      <c r="C1902" s="439" t="s">
        <v>2</v>
      </c>
      <c r="D1902" s="440">
        <f>1</f>
        <v>1</v>
      </c>
      <c r="E1902" s="441">
        <v>1</v>
      </c>
      <c r="F1902" s="1363">
        <v>1.915</v>
      </c>
      <c r="G1902" s="1363">
        <v>0.23</v>
      </c>
      <c r="H1902" s="1363">
        <v>0.19000000000000006</v>
      </c>
      <c r="I1902" s="399">
        <f t="shared" si="50"/>
        <v>0.08</v>
      </c>
      <c r="J1902" s="442"/>
      <c r="K1902" s="1263"/>
      <c r="L1902" s="461"/>
      <c r="M1902" s="461"/>
      <c r="N1902" s="461"/>
    </row>
    <row r="1903" spans="1:14" s="462" customFormat="1" hidden="1" outlineLevel="1">
      <c r="A1903" s="1261"/>
      <c r="B1903" s="260"/>
      <c r="C1903" s="439"/>
      <c r="D1903" s="440"/>
      <c r="E1903" s="441"/>
      <c r="F1903" s="1363"/>
      <c r="G1903" s="1363"/>
      <c r="H1903" s="1363"/>
      <c r="I1903" s="399" t="str">
        <f t="shared" si="50"/>
        <v/>
      </c>
      <c r="J1903" s="442"/>
      <c r="K1903" s="1263"/>
      <c r="L1903" s="461"/>
      <c r="M1903" s="461"/>
      <c r="N1903" s="461"/>
    </row>
    <row r="1904" spans="1:14" s="462" customFormat="1" hidden="1" outlineLevel="1">
      <c r="A1904" s="1261"/>
      <c r="B1904" s="260"/>
      <c r="C1904" s="439" t="s">
        <v>2</v>
      </c>
      <c r="D1904" s="440">
        <v>1</v>
      </c>
      <c r="E1904" s="441">
        <v>1</v>
      </c>
      <c r="F1904" s="1363">
        <v>1.21</v>
      </c>
      <c r="G1904" s="1363">
        <v>0.46</v>
      </c>
      <c r="H1904" s="1363">
        <v>0.3</v>
      </c>
      <c r="I1904" s="399">
        <f t="shared" si="50"/>
        <v>0.17</v>
      </c>
      <c r="J1904" s="442"/>
      <c r="K1904" s="1263"/>
      <c r="L1904" s="461"/>
      <c r="M1904" s="461"/>
      <c r="N1904" s="461"/>
    </row>
    <row r="1905" spans="1:14" s="462" customFormat="1" hidden="1" outlineLevel="1">
      <c r="A1905" s="1261"/>
      <c r="B1905" s="260"/>
      <c r="C1905" s="439" t="s">
        <v>2</v>
      </c>
      <c r="D1905" s="440">
        <v>1</v>
      </c>
      <c r="E1905" s="441">
        <v>1</v>
      </c>
      <c r="F1905" s="1363">
        <v>1.44</v>
      </c>
      <c r="G1905" s="1363">
        <v>0.34499999999999997</v>
      </c>
      <c r="H1905" s="1363">
        <v>0.3</v>
      </c>
      <c r="I1905" s="399">
        <f t="shared" si="50"/>
        <v>0.15</v>
      </c>
      <c r="J1905" s="442"/>
      <c r="K1905" s="1263"/>
      <c r="L1905" s="461"/>
      <c r="M1905" s="461"/>
      <c r="N1905" s="461"/>
    </row>
    <row r="1906" spans="1:14" s="462" customFormat="1" hidden="1" outlineLevel="1">
      <c r="A1906" s="1261"/>
      <c r="B1906" s="260"/>
      <c r="C1906" s="439" t="s">
        <v>2</v>
      </c>
      <c r="D1906" s="440">
        <v>1</v>
      </c>
      <c r="E1906" s="441">
        <v>1</v>
      </c>
      <c r="F1906" s="1363">
        <v>1.67</v>
      </c>
      <c r="G1906" s="1363">
        <v>0.23</v>
      </c>
      <c r="H1906" s="1363">
        <v>0.19000000000000006</v>
      </c>
      <c r="I1906" s="399">
        <f t="shared" si="50"/>
        <v>7.0000000000000007E-2</v>
      </c>
      <c r="J1906" s="442"/>
      <c r="K1906" s="1263"/>
      <c r="L1906" s="461"/>
      <c r="M1906" s="461"/>
      <c r="N1906" s="461"/>
    </row>
    <row r="1907" spans="1:14" s="462" customFormat="1" hidden="1" outlineLevel="1">
      <c r="A1907" s="1261"/>
      <c r="B1907" s="260"/>
      <c r="C1907" s="439"/>
      <c r="D1907" s="440"/>
      <c r="E1907" s="441"/>
      <c r="F1907" s="1363"/>
      <c r="G1907" s="1363"/>
      <c r="H1907" s="1363"/>
      <c r="I1907" s="399" t="str">
        <f t="shared" si="50"/>
        <v/>
      </c>
      <c r="J1907" s="442"/>
      <c r="K1907" s="1263"/>
      <c r="L1907" s="461"/>
      <c r="M1907" s="461"/>
      <c r="N1907" s="461"/>
    </row>
    <row r="1908" spans="1:14" s="462" customFormat="1" hidden="1" outlineLevel="1">
      <c r="A1908" s="1261"/>
      <c r="B1908" s="260"/>
      <c r="C1908" s="439" t="s">
        <v>2</v>
      </c>
      <c r="D1908" s="440">
        <v>1</v>
      </c>
      <c r="E1908" s="441">
        <v>1</v>
      </c>
      <c r="F1908" s="1363">
        <v>2.27</v>
      </c>
      <c r="G1908" s="1363">
        <v>0.46</v>
      </c>
      <c r="H1908" s="1363">
        <v>0.3</v>
      </c>
      <c r="I1908" s="399">
        <f t="shared" si="50"/>
        <v>0.31</v>
      </c>
      <c r="J1908" s="442"/>
      <c r="K1908" s="1263"/>
      <c r="L1908" s="461"/>
      <c r="M1908" s="461"/>
      <c r="N1908" s="461"/>
    </row>
    <row r="1909" spans="1:14" s="462" customFormat="1" hidden="1" outlineLevel="1">
      <c r="A1909" s="1261"/>
      <c r="B1909" s="260"/>
      <c r="C1909" s="439" t="s">
        <v>2</v>
      </c>
      <c r="D1909" s="440">
        <v>1</v>
      </c>
      <c r="E1909" s="441">
        <v>1</v>
      </c>
      <c r="F1909" s="1363">
        <v>2.3849999999999998</v>
      </c>
      <c r="G1909" s="1363">
        <v>0.34499999999999997</v>
      </c>
      <c r="H1909" s="1363">
        <v>0.3</v>
      </c>
      <c r="I1909" s="399">
        <f t="shared" si="50"/>
        <v>0.25</v>
      </c>
      <c r="J1909" s="442"/>
      <c r="K1909" s="1263"/>
      <c r="L1909" s="461"/>
      <c r="M1909" s="461"/>
      <c r="N1909" s="461"/>
    </row>
    <row r="1910" spans="1:14" s="462" customFormat="1" hidden="1" outlineLevel="1">
      <c r="A1910" s="1261"/>
      <c r="B1910" s="260"/>
      <c r="C1910" s="439" t="s">
        <v>2</v>
      </c>
      <c r="D1910" s="440">
        <v>1</v>
      </c>
      <c r="E1910" s="441">
        <v>1</v>
      </c>
      <c r="F1910" s="1363">
        <v>2.5</v>
      </c>
      <c r="G1910" s="1363">
        <v>0.23</v>
      </c>
      <c r="H1910" s="1363">
        <v>0.19000000000000006</v>
      </c>
      <c r="I1910" s="399">
        <f t="shared" si="50"/>
        <v>0.11</v>
      </c>
      <c r="J1910" s="442"/>
      <c r="K1910" s="1263"/>
      <c r="L1910" s="461"/>
      <c r="M1910" s="461"/>
      <c r="N1910" s="461"/>
    </row>
    <row r="1911" spans="1:14" s="462" customFormat="1" hidden="1" outlineLevel="1">
      <c r="A1911" s="1261"/>
      <c r="B1911" s="260"/>
      <c r="C1911" s="439"/>
      <c r="D1911" s="440"/>
      <c r="E1911" s="441"/>
      <c r="F1911" s="1363"/>
      <c r="G1911" s="1363"/>
      <c r="H1911" s="1363"/>
      <c r="I1911" s="399" t="str">
        <f t="shared" si="50"/>
        <v/>
      </c>
      <c r="J1911" s="442"/>
      <c r="K1911" s="1263"/>
      <c r="L1911" s="461"/>
      <c r="M1911" s="461"/>
      <c r="N1911" s="461"/>
    </row>
    <row r="1912" spans="1:14" s="462" customFormat="1" hidden="1" outlineLevel="1">
      <c r="A1912" s="1261"/>
      <c r="B1912" s="260" t="s">
        <v>177</v>
      </c>
      <c r="C1912" s="439" t="s">
        <v>2</v>
      </c>
      <c r="D1912" s="440">
        <v>1</v>
      </c>
      <c r="E1912" s="441">
        <v>2</v>
      </c>
      <c r="F1912" s="1363">
        <v>0.61499999999999999</v>
      </c>
      <c r="G1912" s="1363">
        <v>0.46</v>
      </c>
      <c r="H1912" s="1363">
        <v>0.3</v>
      </c>
      <c r="I1912" s="399">
        <f t="shared" si="50"/>
        <v>0.17</v>
      </c>
      <c r="J1912" s="442"/>
      <c r="K1912" s="1263"/>
      <c r="L1912" s="461"/>
      <c r="M1912" s="461"/>
      <c r="N1912" s="461"/>
    </row>
    <row r="1913" spans="1:14" s="462" customFormat="1" hidden="1" outlineLevel="1">
      <c r="A1913" s="1261"/>
      <c r="B1913" s="260"/>
      <c r="C1913" s="439" t="s">
        <v>2</v>
      </c>
      <c r="D1913" s="440">
        <v>1</v>
      </c>
      <c r="E1913" s="441">
        <v>2</v>
      </c>
      <c r="F1913" s="1363">
        <v>0.61499999999999999</v>
      </c>
      <c r="G1913" s="1363">
        <v>0.34499999999999997</v>
      </c>
      <c r="H1913" s="1363">
        <v>0.3</v>
      </c>
      <c r="I1913" s="399">
        <f t="shared" si="50"/>
        <v>0.13</v>
      </c>
      <c r="J1913" s="442"/>
      <c r="K1913" s="1263"/>
      <c r="L1913" s="461"/>
      <c r="M1913" s="461"/>
      <c r="N1913" s="461"/>
    </row>
    <row r="1914" spans="1:14" s="462" customFormat="1" hidden="1" outlineLevel="1">
      <c r="A1914" s="1261"/>
      <c r="B1914" s="260"/>
      <c r="C1914" s="439" t="s">
        <v>2</v>
      </c>
      <c r="D1914" s="440">
        <v>1</v>
      </c>
      <c r="E1914" s="441">
        <v>2</v>
      </c>
      <c r="F1914" s="1363">
        <v>0.61499999999999999</v>
      </c>
      <c r="G1914" s="1363">
        <v>0.23</v>
      </c>
      <c r="H1914" s="1363">
        <v>0.19000000000000006</v>
      </c>
      <c r="I1914" s="399">
        <f t="shared" si="50"/>
        <v>0.05</v>
      </c>
      <c r="J1914" s="442"/>
      <c r="K1914" s="1263"/>
      <c r="L1914" s="461"/>
      <c r="M1914" s="461"/>
      <c r="N1914" s="461"/>
    </row>
    <row r="1915" spans="1:14" s="462" customFormat="1" hidden="1" outlineLevel="1">
      <c r="A1915" s="1261"/>
      <c r="B1915" s="260"/>
      <c r="C1915" s="439"/>
      <c r="D1915" s="440"/>
      <c r="E1915" s="441"/>
      <c r="F1915" s="1363"/>
      <c r="G1915" s="1363"/>
      <c r="H1915" s="1363"/>
      <c r="I1915" s="399" t="str">
        <f t="shared" si="50"/>
        <v/>
      </c>
      <c r="J1915" s="442"/>
      <c r="K1915" s="1263"/>
      <c r="L1915" s="461"/>
      <c r="M1915" s="461"/>
      <c r="N1915" s="461"/>
    </row>
    <row r="1916" spans="1:14" s="462" customFormat="1" hidden="1" outlineLevel="1">
      <c r="A1916" s="1261"/>
      <c r="B1916" s="260" t="s">
        <v>272</v>
      </c>
      <c r="C1916" s="439"/>
      <c r="D1916" s="440"/>
      <c r="E1916" s="441"/>
      <c r="F1916" s="1363"/>
      <c r="G1916" s="1363"/>
      <c r="H1916" s="1363"/>
      <c r="I1916" s="399" t="str">
        <f t="shared" si="50"/>
        <v/>
      </c>
      <c r="J1916" s="442"/>
      <c r="K1916" s="1263"/>
      <c r="L1916" s="461"/>
      <c r="M1916" s="461"/>
      <c r="N1916" s="461"/>
    </row>
    <row r="1917" spans="1:14" s="462" customFormat="1" hidden="1" outlineLevel="1">
      <c r="A1917" s="1261"/>
      <c r="B1917" s="260"/>
      <c r="C1917" s="439"/>
      <c r="D1917" s="440"/>
      <c r="E1917" s="441"/>
      <c r="F1917" s="1363"/>
      <c r="G1917" s="1363"/>
      <c r="H1917" s="1363"/>
      <c r="I1917" s="399" t="str">
        <f t="shared" si="50"/>
        <v/>
      </c>
      <c r="J1917" s="442"/>
      <c r="K1917" s="1263"/>
      <c r="L1917" s="461"/>
      <c r="M1917" s="461"/>
      <c r="N1917" s="461"/>
    </row>
    <row r="1918" spans="1:14" s="462" customFormat="1" hidden="1" outlineLevel="1">
      <c r="A1918" s="1261"/>
      <c r="B1918" s="260" t="s">
        <v>179</v>
      </c>
      <c r="C1918" s="439" t="s">
        <v>2</v>
      </c>
      <c r="D1918" s="440">
        <v>1</v>
      </c>
      <c r="E1918" s="441">
        <v>1</v>
      </c>
      <c r="F1918" s="1363">
        <v>7.35</v>
      </c>
      <c r="G1918" s="1363">
        <v>0.46</v>
      </c>
      <c r="H1918" s="1363">
        <v>0.3</v>
      </c>
      <c r="I1918" s="399">
        <f t="shared" si="50"/>
        <v>1.01</v>
      </c>
      <c r="J1918" s="442"/>
      <c r="K1918" s="1263"/>
      <c r="L1918" s="461"/>
      <c r="M1918" s="461"/>
      <c r="N1918" s="461"/>
    </row>
    <row r="1919" spans="1:14" s="462" customFormat="1" hidden="1" outlineLevel="1">
      <c r="A1919" s="1261"/>
      <c r="B1919" s="260"/>
      <c r="C1919" s="439" t="s">
        <v>2</v>
      </c>
      <c r="D1919" s="440">
        <v>1</v>
      </c>
      <c r="E1919" s="441">
        <v>1</v>
      </c>
      <c r="F1919" s="1363">
        <v>7.1199999999999992</v>
      </c>
      <c r="G1919" s="1363">
        <v>0.34499999999999997</v>
      </c>
      <c r="H1919" s="1363">
        <v>0.3</v>
      </c>
      <c r="I1919" s="399">
        <f t="shared" si="50"/>
        <v>0.74</v>
      </c>
      <c r="J1919" s="442"/>
      <c r="K1919" s="1263"/>
      <c r="L1919" s="461"/>
      <c r="M1919" s="461"/>
      <c r="N1919" s="461"/>
    </row>
    <row r="1920" spans="1:14" s="462" customFormat="1" hidden="1" outlineLevel="1">
      <c r="A1920" s="1261"/>
      <c r="B1920" s="260"/>
      <c r="C1920" s="439" t="s">
        <v>2</v>
      </c>
      <c r="D1920" s="440">
        <v>1</v>
      </c>
      <c r="E1920" s="441">
        <v>1</v>
      </c>
      <c r="F1920" s="1363">
        <v>6.89</v>
      </c>
      <c r="G1920" s="1363">
        <v>0.23</v>
      </c>
      <c r="H1920" s="1363">
        <v>0.19000000000000006</v>
      </c>
      <c r="I1920" s="399">
        <f t="shared" si="50"/>
        <v>0.3</v>
      </c>
      <c r="J1920" s="442"/>
      <c r="K1920" s="1263"/>
      <c r="L1920" s="461"/>
      <c r="M1920" s="461"/>
      <c r="N1920" s="461"/>
    </row>
    <row r="1921" spans="1:14" s="462" customFormat="1" hidden="1" outlineLevel="1">
      <c r="A1921" s="1261"/>
      <c r="B1921" s="260"/>
      <c r="C1921" s="439"/>
      <c r="D1921" s="440"/>
      <c r="E1921" s="441"/>
      <c r="F1921" s="1363"/>
      <c r="G1921" s="1363"/>
      <c r="H1921" s="1363"/>
      <c r="I1921" s="399" t="str">
        <f t="shared" si="50"/>
        <v/>
      </c>
      <c r="J1921" s="442"/>
      <c r="K1921" s="1263"/>
      <c r="L1921" s="461"/>
      <c r="M1921" s="461"/>
      <c r="N1921" s="461"/>
    </row>
    <row r="1922" spans="1:14" s="462" customFormat="1" hidden="1" outlineLevel="1">
      <c r="A1922" s="1261"/>
      <c r="B1922" s="260"/>
      <c r="C1922" s="439" t="s">
        <v>2</v>
      </c>
      <c r="D1922" s="440">
        <v>1</v>
      </c>
      <c r="E1922" s="441">
        <v>1</v>
      </c>
      <c r="F1922" s="1363">
        <v>4.8899999999999997</v>
      </c>
      <c r="G1922" s="1363">
        <v>0.46</v>
      </c>
      <c r="H1922" s="1363">
        <v>0.3</v>
      </c>
      <c r="I1922" s="399">
        <f t="shared" si="50"/>
        <v>0.67</v>
      </c>
      <c r="J1922" s="442"/>
      <c r="K1922" s="1263"/>
      <c r="L1922" s="461"/>
      <c r="M1922" s="461"/>
      <c r="N1922" s="461"/>
    </row>
    <row r="1923" spans="1:14" s="462" customFormat="1" hidden="1" outlineLevel="1">
      <c r="A1923" s="1261"/>
      <c r="B1923" s="260"/>
      <c r="C1923" s="439" t="s">
        <v>2</v>
      </c>
      <c r="D1923" s="440">
        <v>1</v>
      </c>
      <c r="E1923" s="441">
        <v>1</v>
      </c>
      <c r="F1923" s="1363">
        <v>4.7749999999999995</v>
      </c>
      <c r="G1923" s="1363">
        <v>0.34499999999999997</v>
      </c>
      <c r="H1923" s="1363">
        <v>0.3</v>
      </c>
      <c r="I1923" s="399">
        <f t="shared" si="50"/>
        <v>0.49</v>
      </c>
      <c r="J1923" s="442"/>
      <c r="K1923" s="1263"/>
      <c r="L1923" s="461"/>
      <c r="M1923" s="461"/>
      <c r="N1923" s="461"/>
    </row>
    <row r="1924" spans="1:14" s="462" customFormat="1" hidden="1" outlineLevel="1">
      <c r="A1924" s="1261"/>
      <c r="B1924" s="260"/>
      <c r="C1924" s="439" t="s">
        <v>2</v>
      </c>
      <c r="D1924" s="440">
        <v>1</v>
      </c>
      <c r="E1924" s="441">
        <v>1</v>
      </c>
      <c r="F1924" s="1363">
        <v>4.66</v>
      </c>
      <c r="G1924" s="1363">
        <v>0.23</v>
      </c>
      <c r="H1924" s="1363">
        <v>0.19000000000000006</v>
      </c>
      <c r="I1924" s="399">
        <f t="shared" si="50"/>
        <v>0.2</v>
      </c>
      <c r="J1924" s="442"/>
      <c r="K1924" s="1263"/>
      <c r="L1924" s="461"/>
      <c r="M1924" s="461"/>
      <c r="N1924" s="461"/>
    </row>
    <row r="1925" spans="1:14" s="462" customFormat="1" hidden="1" outlineLevel="1">
      <c r="A1925" s="1261"/>
      <c r="B1925" s="260" t="s">
        <v>273</v>
      </c>
      <c r="C1925" s="439" t="s">
        <v>2</v>
      </c>
      <c r="D1925" s="440">
        <v>1</v>
      </c>
      <c r="E1925" s="441">
        <v>1</v>
      </c>
      <c r="F1925" s="1363">
        <v>3</v>
      </c>
      <c r="G1925" s="1363">
        <v>0.115</v>
      </c>
      <c r="H1925" s="1363">
        <v>0.19000000000000006</v>
      </c>
      <c r="I1925" s="399">
        <f t="shared" si="50"/>
        <v>7.0000000000000007E-2</v>
      </c>
      <c r="J1925" s="442"/>
      <c r="K1925" s="1263"/>
      <c r="L1925" s="461"/>
      <c r="M1925" s="461"/>
      <c r="N1925" s="461"/>
    </row>
    <row r="1926" spans="1:14" s="462" customFormat="1" hidden="1" outlineLevel="1">
      <c r="A1926" s="1261"/>
      <c r="B1926" s="260"/>
      <c r="C1926" s="439" t="s">
        <v>2</v>
      </c>
      <c r="D1926" s="440">
        <v>1</v>
      </c>
      <c r="E1926" s="441">
        <v>1</v>
      </c>
      <c r="F1926" s="1363">
        <v>3</v>
      </c>
      <c r="G1926" s="1363">
        <v>0.34499999999999997</v>
      </c>
      <c r="H1926" s="1363">
        <v>0.42499999999999999</v>
      </c>
      <c r="I1926" s="399">
        <f t="shared" si="50"/>
        <v>0.44</v>
      </c>
      <c r="J1926" s="442"/>
      <c r="K1926" s="1263"/>
      <c r="L1926" s="461"/>
      <c r="M1926" s="461"/>
      <c r="N1926" s="461"/>
    </row>
    <row r="1927" spans="1:14" s="462" customFormat="1" hidden="1" outlineLevel="1">
      <c r="A1927" s="1261"/>
      <c r="B1927" s="260"/>
      <c r="C1927" s="439"/>
      <c r="D1927" s="440"/>
      <c r="E1927" s="441"/>
      <c r="F1927" s="1363"/>
      <c r="G1927" s="1363"/>
      <c r="H1927" s="1363"/>
      <c r="I1927" s="399" t="str">
        <f t="shared" si="50"/>
        <v/>
      </c>
      <c r="J1927" s="442"/>
      <c r="K1927" s="1263"/>
      <c r="L1927" s="461"/>
      <c r="M1927" s="461"/>
      <c r="N1927" s="461"/>
    </row>
    <row r="1928" spans="1:14" s="462" customFormat="1" hidden="1" outlineLevel="1">
      <c r="A1928" s="1261"/>
      <c r="B1928" s="260" t="s">
        <v>181</v>
      </c>
      <c r="C1928" s="439" t="s">
        <v>2</v>
      </c>
      <c r="D1928" s="440">
        <v>1</v>
      </c>
      <c r="E1928" s="441">
        <v>1</v>
      </c>
      <c r="F1928" s="1363">
        <v>4.8899999999999997</v>
      </c>
      <c r="G1928" s="1363">
        <v>0.46</v>
      </c>
      <c r="H1928" s="1363">
        <v>0.3</v>
      </c>
      <c r="I1928" s="399">
        <f t="shared" si="50"/>
        <v>0.67</v>
      </c>
      <c r="J1928" s="442"/>
      <c r="K1928" s="1263"/>
      <c r="L1928" s="461"/>
      <c r="M1928" s="461"/>
      <c r="N1928" s="461"/>
    </row>
    <row r="1929" spans="1:14" s="462" customFormat="1" hidden="1" outlineLevel="1">
      <c r="A1929" s="1261"/>
      <c r="B1929" s="260"/>
      <c r="C1929" s="439" t="s">
        <v>2</v>
      </c>
      <c r="D1929" s="440">
        <v>1</v>
      </c>
      <c r="E1929" s="441">
        <v>1</v>
      </c>
      <c r="F1929" s="1363">
        <v>4.7749999999999995</v>
      </c>
      <c r="G1929" s="1363">
        <v>0.34499999999999997</v>
      </c>
      <c r="H1929" s="1363">
        <v>0.3</v>
      </c>
      <c r="I1929" s="399">
        <f t="shared" si="50"/>
        <v>0.49</v>
      </c>
      <c r="J1929" s="442"/>
      <c r="K1929" s="1263"/>
      <c r="L1929" s="461"/>
      <c r="M1929" s="461"/>
      <c r="N1929" s="461"/>
    </row>
    <row r="1930" spans="1:14" s="462" customFormat="1" hidden="1" outlineLevel="1">
      <c r="A1930" s="1261"/>
      <c r="B1930" s="260"/>
      <c r="C1930" s="439" t="s">
        <v>2</v>
      </c>
      <c r="D1930" s="440">
        <v>1</v>
      </c>
      <c r="E1930" s="441">
        <v>1</v>
      </c>
      <c r="F1930" s="1363">
        <v>4.66</v>
      </c>
      <c r="G1930" s="1363">
        <v>0.23</v>
      </c>
      <c r="H1930" s="1363">
        <v>0.19000000000000006</v>
      </c>
      <c r="I1930" s="399">
        <f t="shared" si="50"/>
        <v>0.2</v>
      </c>
      <c r="J1930" s="442"/>
      <c r="K1930" s="1263"/>
      <c r="L1930" s="461"/>
      <c r="M1930" s="461"/>
      <c r="N1930" s="461"/>
    </row>
    <row r="1931" spans="1:14" s="462" customFormat="1" hidden="1" outlineLevel="1">
      <c r="A1931" s="1261"/>
      <c r="B1931" s="260"/>
      <c r="C1931" s="439"/>
      <c r="D1931" s="440"/>
      <c r="E1931" s="441"/>
      <c r="F1931" s="1363"/>
      <c r="G1931" s="1363"/>
      <c r="H1931" s="1363"/>
      <c r="I1931" s="399" t="str">
        <f t="shared" si="50"/>
        <v/>
      </c>
      <c r="J1931" s="442"/>
      <c r="K1931" s="1263"/>
      <c r="L1931" s="461"/>
      <c r="M1931" s="461"/>
      <c r="N1931" s="461"/>
    </row>
    <row r="1932" spans="1:14" s="462" customFormat="1" hidden="1" outlineLevel="1">
      <c r="A1932" s="1261"/>
      <c r="B1932" s="260"/>
      <c r="C1932" s="439" t="s">
        <v>2</v>
      </c>
      <c r="D1932" s="440">
        <v>1</v>
      </c>
      <c r="E1932" s="441">
        <v>1</v>
      </c>
      <c r="F1932" s="1363">
        <v>2.02</v>
      </c>
      <c r="G1932" s="1363">
        <v>0.46</v>
      </c>
      <c r="H1932" s="1363">
        <v>0.3</v>
      </c>
      <c r="I1932" s="399">
        <f t="shared" si="50"/>
        <v>0.28000000000000003</v>
      </c>
      <c r="J1932" s="442"/>
      <c r="K1932" s="1263"/>
      <c r="L1932" s="461"/>
      <c r="M1932" s="461"/>
      <c r="N1932" s="461"/>
    </row>
    <row r="1933" spans="1:14" s="462" customFormat="1" hidden="1" outlineLevel="1">
      <c r="A1933" s="1261"/>
      <c r="B1933" s="260"/>
      <c r="C1933" s="439" t="s">
        <v>2</v>
      </c>
      <c r="D1933" s="440">
        <v>1</v>
      </c>
      <c r="E1933" s="441">
        <v>1</v>
      </c>
      <c r="F1933" s="1363">
        <v>1.905</v>
      </c>
      <c r="G1933" s="1363">
        <v>0.34499999999999997</v>
      </c>
      <c r="H1933" s="1363">
        <v>0.3</v>
      </c>
      <c r="I1933" s="399">
        <f t="shared" si="50"/>
        <v>0.2</v>
      </c>
      <c r="J1933" s="442"/>
      <c r="K1933" s="1263"/>
      <c r="L1933" s="461"/>
      <c r="M1933" s="461"/>
      <c r="N1933" s="461"/>
    </row>
    <row r="1934" spans="1:14" s="462" customFormat="1" hidden="1" outlineLevel="1">
      <c r="A1934" s="1261"/>
      <c r="B1934" s="260"/>
      <c r="C1934" s="439" t="s">
        <v>2</v>
      </c>
      <c r="D1934" s="440">
        <v>1</v>
      </c>
      <c r="E1934" s="441">
        <v>1</v>
      </c>
      <c r="F1934" s="1363">
        <v>1.79</v>
      </c>
      <c r="G1934" s="1363">
        <v>0.23</v>
      </c>
      <c r="H1934" s="1363">
        <v>0.19000000000000006</v>
      </c>
      <c r="I1934" s="399">
        <f t="shared" si="50"/>
        <v>0.08</v>
      </c>
      <c r="J1934" s="442"/>
      <c r="K1934" s="1263"/>
      <c r="L1934" s="461"/>
      <c r="M1934" s="461"/>
      <c r="N1934" s="461"/>
    </row>
    <row r="1935" spans="1:14" s="462" customFormat="1" hidden="1" outlineLevel="1">
      <c r="A1935" s="1261"/>
      <c r="B1935" s="260"/>
      <c r="C1935" s="439"/>
      <c r="D1935" s="440"/>
      <c r="E1935" s="441"/>
      <c r="F1935" s="1363"/>
      <c r="G1935" s="1363"/>
      <c r="H1935" s="1363"/>
      <c r="I1935" s="399" t="str">
        <f t="shared" si="50"/>
        <v/>
      </c>
      <c r="J1935" s="442"/>
      <c r="K1935" s="1263"/>
      <c r="L1935" s="461"/>
      <c r="M1935" s="461"/>
      <c r="N1935" s="461"/>
    </row>
    <row r="1936" spans="1:14" s="462" customFormat="1" hidden="1" outlineLevel="1">
      <c r="A1936" s="1261"/>
      <c r="B1936" s="260"/>
      <c r="C1936" s="439" t="s">
        <v>2</v>
      </c>
      <c r="D1936" s="440">
        <v>1</v>
      </c>
      <c r="E1936" s="441">
        <v>1</v>
      </c>
      <c r="F1936" s="1363">
        <v>5.8500000000000005</v>
      </c>
      <c r="G1936" s="1363">
        <v>0.46</v>
      </c>
      <c r="H1936" s="1363">
        <v>0.3</v>
      </c>
      <c r="I1936" s="399">
        <f t="shared" si="50"/>
        <v>0.81</v>
      </c>
      <c r="J1936" s="442"/>
      <c r="K1936" s="1263"/>
      <c r="L1936" s="461"/>
      <c r="M1936" s="461"/>
      <c r="N1936" s="461"/>
    </row>
    <row r="1937" spans="1:14" s="462" customFormat="1" hidden="1" outlineLevel="1">
      <c r="A1937" s="1261"/>
      <c r="B1937" s="260"/>
      <c r="C1937" s="439" t="s">
        <v>2</v>
      </c>
      <c r="D1937" s="440">
        <v>1</v>
      </c>
      <c r="E1937" s="441">
        <v>1</v>
      </c>
      <c r="F1937" s="1363">
        <v>5.7350000000000003</v>
      </c>
      <c r="G1937" s="1363">
        <v>0.34499999999999997</v>
      </c>
      <c r="H1937" s="1363">
        <v>0.3</v>
      </c>
      <c r="I1937" s="399">
        <f t="shared" si="50"/>
        <v>0.59</v>
      </c>
      <c r="J1937" s="442"/>
      <c r="K1937" s="1263"/>
      <c r="L1937" s="461"/>
      <c r="M1937" s="461"/>
      <c r="N1937" s="461"/>
    </row>
    <row r="1938" spans="1:14" s="462" customFormat="1" hidden="1" outlineLevel="1">
      <c r="A1938" s="1261"/>
      <c r="B1938" s="260"/>
      <c r="C1938" s="439" t="s">
        <v>2</v>
      </c>
      <c r="D1938" s="440">
        <v>1</v>
      </c>
      <c r="E1938" s="441">
        <v>1</v>
      </c>
      <c r="F1938" s="1363">
        <v>5.620000000000001</v>
      </c>
      <c r="G1938" s="1363">
        <v>0.23</v>
      </c>
      <c r="H1938" s="1363">
        <v>0.19000000000000006</v>
      </c>
      <c r="I1938" s="399">
        <f t="shared" si="50"/>
        <v>0.25</v>
      </c>
      <c r="J1938" s="442"/>
      <c r="K1938" s="1263"/>
      <c r="L1938" s="461"/>
      <c r="M1938" s="461"/>
      <c r="N1938" s="461"/>
    </row>
    <row r="1939" spans="1:14" s="462" customFormat="1" hidden="1" outlineLevel="1">
      <c r="A1939" s="1261"/>
      <c r="B1939" s="260"/>
      <c r="C1939" s="439"/>
      <c r="D1939" s="440"/>
      <c r="E1939" s="441"/>
      <c r="F1939" s="1363"/>
      <c r="G1939" s="1363"/>
      <c r="H1939" s="1363"/>
      <c r="I1939" s="399" t="str">
        <f t="shared" si="50"/>
        <v/>
      </c>
      <c r="J1939" s="442"/>
      <c r="K1939" s="1263"/>
      <c r="L1939" s="461"/>
      <c r="M1939" s="461"/>
      <c r="N1939" s="461"/>
    </row>
    <row r="1940" spans="1:14" s="462" customFormat="1" hidden="1" outlineLevel="1">
      <c r="A1940" s="1261"/>
      <c r="B1940" s="260"/>
      <c r="C1940" s="439" t="s">
        <v>2</v>
      </c>
      <c r="D1940" s="440">
        <v>1</v>
      </c>
      <c r="E1940" s="441">
        <v>1</v>
      </c>
      <c r="F1940" s="1363">
        <v>1.06</v>
      </c>
      <c r="G1940" s="1363">
        <v>0.46</v>
      </c>
      <c r="H1940" s="1363">
        <v>0.3</v>
      </c>
      <c r="I1940" s="399">
        <f t="shared" si="50"/>
        <v>0.15</v>
      </c>
      <c r="J1940" s="442"/>
      <c r="K1940" s="1263"/>
      <c r="L1940" s="461"/>
      <c r="M1940" s="461"/>
      <c r="N1940" s="461"/>
    </row>
    <row r="1941" spans="1:14" s="462" customFormat="1" hidden="1" outlineLevel="1">
      <c r="A1941" s="1261"/>
      <c r="B1941" s="260"/>
      <c r="C1941" s="439" t="s">
        <v>2</v>
      </c>
      <c r="D1941" s="440">
        <v>1</v>
      </c>
      <c r="E1941" s="441">
        <v>1</v>
      </c>
      <c r="F1941" s="1363">
        <v>0.94499999999999995</v>
      </c>
      <c r="G1941" s="1363">
        <v>0.34499999999999997</v>
      </c>
      <c r="H1941" s="1363">
        <v>0.3</v>
      </c>
      <c r="I1941" s="399">
        <f t="shared" si="50"/>
        <v>0.1</v>
      </c>
      <c r="J1941" s="442"/>
      <c r="K1941" s="1263"/>
      <c r="L1941" s="461"/>
      <c r="M1941" s="461"/>
      <c r="N1941" s="461"/>
    </row>
    <row r="1942" spans="1:14" s="462" customFormat="1" hidden="1" outlineLevel="1">
      <c r="A1942" s="1261"/>
      <c r="B1942" s="260"/>
      <c r="C1942" s="439" t="s">
        <v>2</v>
      </c>
      <c r="D1942" s="440">
        <v>1</v>
      </c>
      <c r="E1942" s="441">
        <v>1</v>
      </c>
      <c r="F1942" s="1363">
        <v>0.83</v>
      </c>
      <c r="G1942" s="1363">
        <v>0.23</v>
      </c>
      <c r="H1942" s="1363">
        <v>0.19000000000000006</v>
      </c>
      <c r="I1942" s="399">
        <f t="shared" si="50"/>
        <v>0.04</v>
      </c>
      <c r="J1942" s="442"/>
      <c r="K1942" s="1263"/>
      <c r="L1942" s="461"/>
      <c r="M1942" s="461"/>
      <c r="N1942" s="461"/>
    </row>
    <row r="1943" spans="1:14" s="462" customFormat="1" hidden="1" outlineLevel="1">
      <c r="A1943" s="1261"/>
      <c r="B1943" s="260"/>
      <c r="C1943" s="439"/>
      <c r="D1943" s="440"/>
      <c r="E1943" s="441"/>
      <c r="F1943" s="1363"/>
      <c r="G1943" s="1363"/>
      <c r="H1943" s="1363"/>
      <c r="I1943" s="399" t="str">
        <f t="shared" si="50"/>
        <v/>
      </c>
      <c r="J1943" s="442"/>
      <c r="K1943" s="1263"/>
      <c r="L1943" s="461"/>
      <c r="M1943" s="461"/>
      <c r="N1943" s="461"/>
    </row>
    <row r="1944" spans="1:14" s="462" customFormat="1" hidden="1" outlineLevel="1">
      <c r="A1944" s="1261"/>
      <c r="B1944" s="260"/>
      <c r="C1944" s="439" t="s">
        <v>2</v>
      </c>
      <c r="D1944" s="440">
        <v>1</v>
      </c>
      <c r="E1944" s="441">
        <v>1</v>
      </c>
      <c r="F1944" s="1363">
        <v>6.75</v>
      </c>
      <c r="G1944" s="1363">
        <v>0.46</v>
      </c>
      <c r="H1944" s="1363">
        <v>0.3</v>
      </c>
      <c r="I1944" s="399">
        <f t="shared" ref="I1944:I2007" si="51">IF(D1944&lt;&gt;0,ROUND(PRODUCT(E1944:H1944)*D1944,2),"")</f>
        <v>0.93</v>
      </c>
      <c r="J1944" s="442"/>
      <c r="K1944" s="1263"/>
      <c r="L1944" s="461"/>
      <c r="M1944" s="461"/>
      <c r="N1944" s="461"/>
    </row>
    <row r="1945" spans="1:14" s="462" customFormat="1" hidden="1" outlineLevel="1">
      <c r="A1945" s="1261"/>
      <c r="B1945" s="260"/>
      <c r="C1945" s="439" t="s">
        <v>2</v>
      </c>
      <c r="D1945" s="440">
        <v>1</v>
      </c>
      <c r="E1945" s="441">
        <v>1</v>
      </c>
      <c r="F1945" s="1363">
        <v>6.6349999999999998</v>
      </c>
      <c r="G1945" s="1363">
        <v>0.34499999999999997</v>
      </c>
      <c r="H1945" s="1363">
        <v>0.3</v>
      </c>
      <c r="I1945" s="399">
        <f t="shared" si="51"/>
        <v>0.69</v>
      </c>
      <c r="J1945" s="442"/>
      <c r="K1945" s="1263"/>
      <c r="L1945" s="461"/>
      <c r="M1945" s="461"/>
      <c r="N1945" s="461"/>
    </row>
    <row r="1946" spans="1:14" s="462" customFormat="1" hidden="1" outlineLevel="1">
      <c r="A1946" s="1261"/>
      <c r="B1946" s="260"/>
      <c r="C1946" s="439" t="s">
        <v>2</v>
      </c>
      <c r="D1946" s="440">
        <v>1</v>
      </c>
      <c r="E1946" s="441">
        <v>1</v>
      </c>
      <c r="F1946" s="1363">
        <v>6.5200000000000005</v>
      </c>
      <c r="G1946" s="1363">
        <v>0.23</v>
      </c>
      <c r="H1946" s="1363">
        <v>0.19000000000000006</v>
      </c>
      <c r="I1946" s="399">
        <f t="shared" si="51"/>
        <v>0.28000000000000003</v>
      </c>
      <c r="J1946" s="442"/>
      <c r="K1946" s="1263"/>
      <c r="L1946" s="461"/>
      <c r="M1946" s="461"/>
      <c r="N1946" s="461"/>
    </row>
    <row r="1947" spans="1:14" s="462" customFormat="1" hidden="1" outlineLevel="1">
      <c r="A1947" s="1261"/>
      <c r="B1947" s="260" t="s">
        <v>273</v>
      </c>
      <c r="C1947" s="439" t="s">
        <v>2</v>
      </c>
      <c r="D1947" s="440">
        <v>1</v>
      </c>
      <c r="E1947" s="441">
        <v>1</v>
      </c>
      <c r="F1947" s="1363">
        <v>3</v>
      </c>
      <c r="G1947" s="1363">
        <v>0.115</v>
      </c>
      <c r="H1947" s="1363">
        <v>0.19000000000000006</v>
      </c>
      <c r="I1947" s="399">
        <f t="shared" si="51"/>
        <v>7.0000000000000007E-2</v>
      </c>
      <c r="J1947" s="442"/>
      <c r="K1947" s="1263"/>
      <c r="L1947" s="461"/>
      <c r="M1947" s="461"/>
      <c r="N1947" s="461"/>
    </row>
    <row r="1948" spans="1:14" s="462" customFormat="1" hidden="1" outlineLevel="1">
      <c r="A1948" s="1261"/>
      <c r="B1948" s="260"/>
      <c r="C1948" s="439" t="s">
        <v>2</v>
      </c>
      <c r="D1948" s="440">
        <v>1</v>
      </c>
      <c r="E1948" s="441">
        <v>1</v>
      </c>
      <c r="F1948" s="1363">
        <v>3</v>
      </c>
      <c r="G1948" s="1363">
        <v>0.34499999999999997</v>
      </c>
      <c r="H1948" s="1363">
        <v>0.42499999999999999</v>
      </c>
      <c r="I1948" s="399">
        <f t="shared" si="51"/>
        <v>0.44</v>
      </c>
      <c r="J1948" s="442"/>
      <c r="K1948" s="1263"/>
      <c r="L1948" s="461"/>
      <c r="M1948" s="461"/>
      <c r="N1948" s="461"/>
    </row>
    <row r="1949" spans="1:14" s="462" customFormat="1" hidden="1" outlineLevel="1">
      <c r="A1949" s="1261"/>
      <c r="B1949" s="260"/>
      <c r="C1949" s="439"/>
      <c r="D1949" s="440"/>
      <c r="E1949" s="441"/>
      <c r="F1949" s="1363"/>
      <c r="G1949" s="1363"/>
      <c r="H1949" s="1363"/>
      <c r="I1949" s="399" t="str">
        <f t="shared" si="51"/>
        <v/>
      </c>
      <c r="J1949" s="442"/>
      <c r="K1949" s="1263"/>
      <c r="L1949" s="461"/>
      <c r="M1949" s="461"/>
      <c r="N1949" s="461"/>
    </row>
    <row r="1950" spans="1:14" s="462" customFormat="1" hidden="1" outlineLevel="1">
      <c r="A1950" s="1261"/>
      <c r="B1950" s="260"/>
      <c r="C1950" s="439" t="s">
        <v>2</v>
      </c>
      <c r="D1950" s="440">
        <v>1</v>
      </c>
      <c r="E1950" s="441">
        <v>1</v>
      </c>
      <c r="F1950" s="1363">
        <v>6.75</v>
      </c>
      <c r="G1950" s="1363">
        <v>0.46</v>
      </c>
      <c r="H1950" s="1363">
        <v>0.3</v>
      </c>
      <c r="I1950" s="399">
        <f t="shared" si="51"/>
        <v>0.93</v>
      </c>
      <c r="J1950" s="442"/>
      <c r="K1950" s="1263"/>
      <c r="L1950" s="461"/>
      <c r="M1950" s="461"/>
      <c r="N1950" s="461"/>
    </row>
    <row r="1951" spans="1:14" s="462" customFormat="1" hidden="1" outlineLevel="1">
      <c r="A1951" s="1261"/>
      <c r="B1951" s="260"/>
      <c r="C1951" s="439" t="s">
        <v>2</v>
      </c>
      <c r="D1951" s="440">
        <v>1</v>
      </c>
      <c r="E1951" s="441">
        <v>1</v>
      </c>
      <c r="F1951" s="1363">
        <v>6.6349999999999998</v>
      </c>
      <c r="G1951" s="1363">
        <v>0.34499999999999997</v>
      </c>
      <c r="H1951" s="1363">
        <v>0.3</v>
      </c>
      <c r="I1951" s="399">
        <f t="shared" si="51"/>
        <v>0.69</v>
      </c>
      <c r="J1951" s="442"/>
      <c r="K1951" s="1263"/>
      <c r="L1951" s="461"/>
      <c r="M1951" s="461"/>
      <c r="N1951" s="461"/>
    </row>
    <row r="1952" spans="1:14" s="462" customFormat="1" hidden="1" outlineLevel="1">
      <c r="A1952" s="1261"/>
      <c r="B1952" s="260"/>
      <c r="C1952" s="439" t="s">
        <v>2</v>
      </c>
      <c r="D1952" s="440">
        <v>1</v>
      </c>
      <c r="E1952" s="441">
        <v>1</v>
      </c>
      <c r="F1952" s="1363">
        <v>6.5200000000000005</v>
      </c>
      <c r="G1952" s="1363">
        <v>0.23</v>
      </c>
      <c r="H1952" s="1363">
        <v>0.19000000000000006</v>
      </c>
      <c r="I1952" s="399">
        <f t="shared" si="51"/>
        <v>0.28000000000000003</v>
      </c>
      <c r="J1952" s="442"/>
      <c r="K1952" s="1263"/>
      <c r="L1952" s="461"/>
      <c r="M1952" s="461"/>
      <c r="N1952" s="461"/>
    </row>
    <row r="1953" spans="1:14" s="462" customFormat="1" hidden="1" outlineLevel="1">
      <c r="A1953" s="1261"/>
      <c r="B1953" s="260" t="s">
        <v>273</v>
      </c>
      <c r="C1953" s="439" t="s">
        <v>2</v>
      </c>
      <c r="D1953" s="440">
        <v>1</v>
      </c>
      <c r="E1953" s="441">
        <v>1</v>
      </c>
      <c r="F1953" s="1363">
        <v>3</v>
      </c>
      <c r="G1953" s="1363">
        <v>0.115</v>
      </c>
      <c r="H1953" s="1363">
        <v>0.19000000000000006</v>
      </c>
      <c r="I1953" s="399">
        <f t="shared" si="51"/>
        <v>7.0000000000000007E-2</v>
      </c>
      <c r="J1953" s="442"/>
      <c r="K1953" s="1263"/>
      <c r="L1953" s="461"/>
      <c r="M1953" s="461"/>
      <c r="N1953" s="461"/>
    </row>
    <row r="1954" spans="1:14" s="462" customFormat="1" hidden="1" outlineLevel="1">
      <c r="A1954" s="1261"/>
      <c r="B1954" s="260"/>
      <c r="C1954" s="439" t="s">
        <v>2</v>
      </c>
      <c r="D1954" s="440">
        <v>1</v>
      </c>
      <c r="E1954" s="441">
        <v>1</v>
      </c>
      <c r="F1954" s="1363">
        <v>3</v>
      </c>
      <c r="G1954" s="1363">
        <v>0.34499999999999997</v>
      </c>
      <c r="H1954" s="1363">
        <v>0.42499999999999999</v>
      </c>
      <c r="I1954" s="399">
        <f t="shared" si="51"/>
        <v>0.44</v>
      </c>
      <c r="J1954" s="442"/>
      <c r="K1954" s="1263"/>
      <c r="L1954" s="461"/>
      <c r="M1954" s="461"/>
      <c r="N1954" s="461"/>
    </row>
    <row r="1955" spans="1:14" s="462" customFormat="1" hidden="1" outlineLevel="1">
      <c r="A1955" s="1261"/>
      <c r="B1955" s="260"/>
      <c r="C1955" s="439"/>
      <c r="D1955" s="440"/>
      <c r="E1955" s="441"/>
      <c r="F1955" s="1363"/>
      <c r="G1955" s="1363"/>
      <c r="H1955" s="1363"/>
      <c r="I1955" s="399" t="str">
        <f t="shared" si="51"/>
        <v/>
      </c>
      <c r="J1955" s="442"/>
      <c r="K1955" s="1263"/>
      <c r="L1955" s="461"/>
      <c r="M1955" s="461"/>
      <c r="N1955" s="461"/>
    </row>
    <row r="1956" spans="1:14" s="462" customFormat="1" hidden="1" outlineLevel="1">
      <c r="A1956" s="1261"/>
      <c r="B1956" s="260" t="s">
        <v>182</v>
      </c>
      <c r="C1956" s="439" t="s">
        <v>2</v>
      </c>
      <c r="D1956" s="440">
        <v>1</v>
      </c>
      <c r="E1956" s="441">
        <v>1</v>
      </c>
      <c r="F1956" s="1364">
        <v>6.75</v>
      </c>
      <c r="G1956" s="1363">
        <v>0.46</v>
      </c>
      <c r="H1956" s="1363">
        <v>0.3</v>
      </c>
      <c r="I1956" s="399">
        <f t="shared" si="51"/>
        <v>0.93</v>
      </c>
      <c r="J1956" s="442"/>
      <c r="K1956" s="1263"/>
      <c r="L1956" s="461"/>
      <c r="M1956" s="461"/>
      <c r="N1956" s="461"/>
    </row>
    <row r="1957" spans="1:14" s="462" customFormat="1" hidden="1" outlineLevel="1">
      <c r="A1957" s="1261"/>
      <c r="B1957" s="260"/>
      <c r="C1957" s="439" t="s">
        <v>2</v>
      </c>
      <c r="D1957" s="440">
        <v>1</v>
      </c>
      <c r="E1957" s="441">
        <v>1</v>
      </c>
      <c r="F1957" s="1364">
        <v>6.6349999999999998</v>
      </c>
      <c r="G1957" s="1363">
        <v>0.34499999999999997</v>
      </c>
      <c r="H1957" s="1363">
        <v>0.3</v>
      </c>
      <c r="I1957" s="399">
        <f t="shared" si="51"/>
        <v>0.69</v>
      </c>
      <c r="J1957" s="442"/>
      <c r="K1957" s="1263"/>
      <c r="L1957" s="461"/>
      <c r="M1957" s="461"/>
      <c r="N1957" s="461"/>
    </row>
    <row r="1958" spans="1:14" s="462" customFormat="1" hidden="1" outlineLevel="1">
      <c r="A1958" s="1261"/>
      <c r="B1958" s="260"/>
      <c r="C1958" s="439" t="s">
        <v>2</v>
      </c>
      <c r="D1958" s="440">
        <v>1</v>
      </c>
      <c r="E1958" s="441">
        <v>1</v>
      </c>
      <c r="F1958" s="1364">
        <v>6.52</v>
      </c>
      <c r="G1958" s="1363">
        <v>0.23</v>
      </c>
      <c r="H1958" s="1363">
        <v>0.19000000000000006</v>
      </c>
      <c r="I1958" s="399">
        <f t="shared" si="51"/>
        <v>0.28000000000000003</v>
      </c>
      <c r="J1958" s="442"/>
      <c r="K1958" s="1263"/>
      <c r="L1958" s="461"/>
      <c r="M1958" s="461"/>
      <c r="N1958" s="461"/>
    </row>
    <row r="1959" spans="1:14" s="462" customFormat="1" hidden="1" outlineLevel="1">
      <c r="A1959" s="1261"/>
      <c r="B1959" s="260"/>
      <c r="C1959" s="439"/>
      <c r="D1959" s="440"/>
      <c r="E1959" s="441"/>
      <c r="F1959" s="1363"/>
      <c r="G1959" s="1363"/>
      <c r="H1959" s="1363"/>
      <c r="I1959" s="399" t="str">
        <f t="shared" si="51"/>
        <v/>
      </c>
      <c r="J1959" s="442"/>
      <c r="K1959" s="1263"/>
      <c r="L1959" s="461"/>
      <c r="M1959" s="461"/>
      <c r="N1959" s="461"/>
    </row>
    <row r="1960" spans="1:14" s="462" customFormat="1" hidden="1" outlineLevel="1">
      <c r="A1960" s="1261"/>
      <c r="B1960" s="260"/>
      <c r="C1960" s="439" t="s">
        <v>2</v>
      </c>
      <c r="D1960" s="440">
        <v>1</v>
      </c>
      <c r="E1960" s="441">
        <v>1</v>
      </c>
      <c r="F1960" s="1363">
        <v>2.2600000000000002</v>
      </c>
      <c r="G1960" s="1363">
        <v>0.46</v>
      </c>
      <c r="H1960" s="1363">
        <v>0.3</v>
      </c>
      <c r="I1960" s="399">
        <f t="shared" si="51"/>
        <v>0.31</v>
      </c>
      <c r="J1960" s="442"/>
      <c r="K1960" s="1263"/>
      <c r="L1960" s="461"/>
      <c r="M1960" s="461"/>
      <c r="N1960" s="461"/>
    </row>
    <row r="1961" spans="1:14" s="462" customFormat="1" hidden="1" outlineLevel="1">
      <c r="A1961" s="1261"/>
      <c r="B1961" s="260"/>
      <c r="C1961" s="439" t="s">
        <v>2</v>
      </c>
      <c r="D1961" s="440">
        <v>1</v>
      </c>
      <c r="E1961" s="441">
        <v>1</v>
      </c>
      <c r="F1961" s="1363">
        <v>2.145</v>
      </c>
      <c r="G1961" s="1363">
        <v>0.34499999999999997</v>
      </c>
      <c r="H1961" s="1363">
        <v>0.3</v>
      </c>
      <c r="I1961" s="399">
        <f t="shared" si="51"/>
        <v>0.22</v>
      </c>
      <c r="J1961" s="442"/>
      <c r="K1961" s="1263"/>
      <c r="L1961" s="461"/>
      <c r="M1961" s="461"/>
      <c r="N1961" s="461"/>
    </row>
    <row r="1962" spans="1:14" s="462" customFormat="1" hidden="1" outlineLevel="1">
      <c r="A1962" s="1261"/>
      <c r="B1962" s="260"/>
      <c r="C1962" s="439" t="s">
        <v>2</v>
      </c>
      <c r="D1962" s="440">
        <v>1</v>
      </c>
      <c r="E1962" s="441">
        <v>1</v>
      </c>
      <c r="F1962" s="1363">
        <v>2.0300000000000002</v>
      </c>
      <c r="G1962" s="1363">
        <v>0.23</v>
      </c>
      <c r="H1962" s="1363">
        <v>0.19000000000000006</v>
      </c>
      <c r="I1962" s="399">
        <f t="shared" si="51"/>
        <v>0.09</v>
      </c>
      <c r="J1962" s="442"/>
      <c r="K1962" s="1263"/>
      <c r="L1962" s="461"/>
      <c r="M1962" s="461"/>
      <c r="N1962" s="461"/>
    </row>
    <row r="1963" spans="1:14" s="462" customFormat="1" hidden="1" outlineLevel="1">
      <c r="A1963" s="1261"/>
      <c r="B1963" s="260"/>
      <c r="C1963" s="439"/>
      <c r="D1963" s="440"/>
      <c r="E1963" s="441"/>
      <c r="F1963" s="1363"/>
      <c r="G1963" s="1363"/>
      <c r="H1963" s="1363"/>
      <c r="I1963" s="399" t="str">
        <f t="shared" si="51"/>
        <v/>
      </c>
      <c r="J1963" s="442"/>
      <c r="K1963" s="1263"/>
      <c r="L1963" s="461"/>
      <c r="M1963" s="461"/>
      <c r="N1963" s="461"/>
    </row>
    <row r="1964" spans="1:14" s="462" customFormat="1" hidden="1" outlineLevel="1">
      <c r="A1964" s="1261"/>
      <c r="B1964" s="260"/>
      <c r="C1964" s="439" t="s">
        <v>2</v>
      </c>
      <c r="D1964" s="440">
        <v>1</v>
      </c>
      <c r="E1964" s="441">
        <v>2</v>
      </c>
      <c r="F1964" s="1363">
        <v>9.15</v>
      </c>
      <c r="G1964" s="1363">
        <v>0.46</v>
      </c>
      <c r="H1964" s="1363">
        <v>0.3</v>
      </c>
      <c r="I1964" s="399">
        <f t="shared" si="51"/>
        <v>2.5299999999999998</v>
      </c>
      <c r="J1964" s="442"/>
      <c r="K1964" s="1263"/>
      <c r="L1964" s="461"/>
      <c r="M1964" s="461"/>
      <c r="N1964" s="461"/>
    </row>
    <row r="1965" spans="1:14" s="462" customFormat="1" hidden="1" outlineLevel="1">
      <c r="A1965" s="1261"/>
      <c r="B1965" s="260"/>
      <c r="C1965" s="439" t="s">
        <v>2</v>
      </c>
      <c r="D1965" s="440">
        <v>1</v>
      </c>
      <c r="E1965" s="441">
        <v>2</v>
      </c>
      <c r="F1965" s="1363">
        <v>9.0350000000000001</v>
      </c>
      <c r="G1965" s="1363">
        <v>0.34499999999999997</v>
      </c>
      <c r="H1965" s="1363">
        <v>0.3</v>
      </c>
      <c r="I1965" s="399">
        <f t="shared" si="51"/>
        <v>1.87</v>
      </c>
      <c r="J1965" s="442"/>
      <c r="K1965" s="1263"/>
      <c r="L1965" s="461"/>
      <c r="M1965" s="461"/>
      <c r="N1965" s="461"/>
    </row>
    <row r="1966" spans="1:14" s="462" customFormat="1" hidden="1" outlineLevel="1">
      <c r="A1966" s="1261"/>
      <c r="B1966" s="260"/>
      <c r="C1966" s="439" t="s">
        <v>2</v>
      </c>
      <c r="D1966" s="440">
        <v>1</v>
      </c>
      <c r="E1966" s="441">
        <v>2</v>
      </c>
      <c r="F1966" s="1363">
        <v>8.92</v>
      </c>
      <c r="G1966" s="1363">
        <v>0.23</v>
      </c>
      <c r="H1966" s="1363">
        <v>0.19000000000000006</v>
      </c>
      <c r="I1966" s="399">
        <f t="shared" si="51"/>
        <v>0.78</v>
      </c>
      <c r="J1966" s="442"/>
      <c r="K1966" s="1263"/>
      <c r="L1966" s="461"/>
      <c r="M1966" s="461"/>
      <c r="N1966" s="461"/>
    </row>
    <row r="1967" spans="1:14" s="462" customFormat="1" hidden="1" outlineLevel="1">
      <c r="A1967" s="1261"/>
      <c r="B1967" s="260"/>
      <c r="C1967" s="439"/>
      <c r="D1967" s="440"/>
      <c r="E1967" s="441"/>
      <c r="F1967" s="1363"/>
      <c r="G1967" s="1363"/>
      <c r="H1967" s="1363"/>
      <c r="I1967" s="399" t="str">
        <f t="shared" si="51"/>
        <v/>
      </c>
      <c r="J1967" s="442"/>
      <c r="K1967" s="1263"/>
      <c r="L1967" s="461"/>
      <c r="M1967" s="461"/>
      <c r="N1967" s="461"/>
    </row>
    <row r="1968" spans="1:14" s="462" customFormat="1" hidden="1" outlineLevel="1">
      <c r="A1968" s="1261"/>
      <c r="B1968" s="260" t="s">
        <v>183</v>
      </c>
      <c r="C1968" s="439" t="s">
        <v>2</v>
      </c>
      <c r="D1968" s="440">
        <v>1</v>
      </c>
      <c r="E1968" s="441">
        <v>1</v>
      </c>
      <c r="F1968" s="1363">
        <v>11.610000000000001</v>
      </c>
      <c r="G1968" s="1363">
        <v>0.46</v>
      </c>
      <c r="H1968" s="1363">
        <v>0.3</v>
      </c>
      <c r="I1968" s="399">
        <f t="shared" si="51"/>
        <v>1.6</v>
      </c>
      <c r="J1968" s="442"/>
      <c r="K1968" s="1263"/>
      <c r="L1968" s="461"/>
      <c r="M1968" s="461"/>
      <c r="N1968" s="461"/>
    </row>
    <row r="1969" spans="1:14" s="462" customFormat="1" hidden="1" outlineLevel="1">
      <c r="A1969" s="1261"/>
      <c r="B1969" s="260"/>
      <c r="C1969" s="439" t="s">
        <v>2</v>
      </c>
      <c r="D1969" s="440">
        <v>1</v>
      </c>
      <c r="E1969" s="441">
        <v>1</v>
      </c>
      <c r="F1969" s="1363">
        <v>11.38</v>
      </c>
      <c r="G1969" s="1363">
        <v>0.34499999999999997</v>
      </c>
      <c r="H1969" s="1363">
        <v>0.3</v>
      </c>
      <c r="I1969" s="399">
        <f t="shared" si="51"/>
        <v>1.18</v>
      </c>
      <c r="J1969" s="442"/>
      <c r="K1969" s="1263"/>
      <c r="L1969" s="461"/>
      <c r="M1969" s="461"/>
      <c r="N1969" s="461"/>
    </row>
    <row r="1970" spans="1:14" s="462" customFormat="1" hidden="1" outlineLevel="1">
      <c r="A1970" s="1261"/>
      <c r="B1970" s="260"/>
      <c r="C1970" s="439" t="s">
        <v>2</v>
      </c>
      <c r="D1970" s="440">
        <v>1</v>
      </c>
      <c r="E1970" s="441">
        <v>1</v>
      </c>
      <c r="F1970" s="1363">
        <v>11.150000000000002</v>
      </c>
      <c r="G1970" s="1363">
        <v>0.23</v>
      </c>
      <c r="H1970" s="1363">
        <v>0.19000000000000006</v>
      </c>
      <c r="I1970" s="399">
        <f t="shared" si="51"/>
        <v>0.49</v>
      </c>
      <c r="J1970" s="442"/>
      <c r="K1970" s="1263"/>
      <c r="L1970" s="461"/>
      <c r="M1970" s="461"/>
      <c r="N1970" s="461"/>
    </row>
    <row r="1971" spans="1:14" s="462" customFormat="1" hidden="1" outlineLevel="1">
      <c r="A1971" s="1261"/>
      <c r="B1971" s="260" t="s">
        <v>273</v>
      </c>
      <c r="C1971" s="439" t="s">
        <v>2</v>
      </c>
      <c r="D1971" s="440">
        <v>1</v>
      </c>
      <c r="E1971" s="441">
        <v>1</v>
      </c>
      <c r="F1971" s="1363">
        <v>3</v>
      </c>
      <c r="G1971" s="1363">
        <v>0.115</v>
      </c>
      <c r="H1971" s="1363">
        <v>0.19000000000000006</v>
      </c>
      <c r="I1971" s="399">
        <f t="shared" si="51"/>
        <v>7.0000000000000007E-2</v>
      </c>
      <c r="J1971" s="442"/>
      <c r="K1971" s="1263"/>
      <c r="L1971" s="461"/>
      <c r="M1971" s="461"/>
      <c r="N1971" s="461"/>
    </row>
    <row r="1972" spans="1:14" s="462" customFormat="1" hidden="1" outlineLevel="1">
      <c r="A1972" s="1261"/>
      <c r="B1972" s="260"/>
      <c r="C1972" s="439" t="s">
        <v>2</v>
      </c>
      <c r="D1972" s="440">
        <v>1</v>
      </c>
      <c r="E1972" s="441">
        <v>1</v>
      </c>
      <c r="F1972" s="1363">
        <v>3</v>
      </c>
      <c r="G1972" s="1363">
        <v>0.34499999999999997</v>
      </c>
      <c r="H1972" s="1363">
        <v>0.42499999999999999</v>
      </c>
      <c r="I1972" s="399">
        <f t="shared" si="51"/>
        <v>0.44</v>
      </c>
      <c r="J1972" s="442"/>
      <c r="K1972" s="1263"/>
      <c r="L1972" s="461"/>
      <c r="M1972" s="461"/>
      <c r="N1972" s="461"/>
    </row>
    <row r="1973" spans="1:14" s="462" customFormat="1" hidden="1" outlineLevel="1">
      <c r="A1973" s="1261"/>
      <c r="B1973" s="260"/>
      <c r="C1973" s="439"/>
      <c r="D1973" s="440"/>
      <c r="E1973" s="441"/>
      <c r="F1973" s="1363"/>
      <c r="G1973" s="1363"/>
      <c r="H1973" s="1363"/>
      <c r="I1973" s="399" t="str">
        <f t="shared" si="51"/>
        <v/>
      </c>
      <c r="J1973" s="442"/>
      <c r="K1973" s="1263"/>
      <c r="L1973" s="461"/>
      <c r="M1973" s="461"/>
      <c r="N1973" s="461"/>
    </row>
    <row r="1974" spans="1:14" s="462" customFormat="1" hidden="1" outlineLevel="1">
      <c r="A1974" s="1261"/>
      <c r="B1974" s="260" t="s">
        <v>185</v>
      </c>
      <c r="C1974" s="439" t="s">
        <v>2</v>
      </c>
      <c r="D1974" s="440">
        <v>1</v>
      </c>
      <c r="E1974" s="441">
        <v>1</v>
      </c>
      <c r="F1974" s="1363">
        <v>0.61499999999999999</v>
      </c>
      <c r="G1974" s="1363">
        <v>0.46</v>
      </c>
      <c r="H1974" s="1363">
        <v>0.3</v>
      </c>
      <c r="I1974" s="399">
        <f t="shared" si="51"/>
        <v>0.08</v>
      </c>
      <c r="J1974" s="442"/>
      <c r="K1974" s="1263"/>
      <c r="L1974" s="461"/>
      <c r="M1974" s="461"/>
      <c r="N1974" s="461"/>
    </row>
    <row r="1975" spans="1:14" s="462" customFormat="1" hidden="1" outlineLevel="1">
      <c r="A1975" s="1261"/>
      <c r="B1975" s="260"/>
      <c r="C1975" s="439" t="s">
        <v>2</v>
      </c>
      <c r="D1975" s="440">
        <v>1</v>
      </c>
      <c r="E1975" s="441">
        <v>1</v>
      </c>
      <c r="F1975" s="1363">
        <v>0.61499999999999999</v>
      </c>
      <c r="G1975" s="1363">
        <v>0.34499999999999997</v>
      </c>
      <c r="H1975" s="1363">
        <v>0.3</v>
      </c>
      <c r="I1975" s="399">
        <f t="shared" si="51"/>
        <v>0.06</v>
      </c>
      <c r="J1975" s="442"/>
      <c r="K1975" s="1263"/>
      <c r="L1975" s="461"/>
      <c r="M1975" s="461"/>
      <c r="N1975" s="461"/>
    </row>
    <row r="1976" spans="1:14" s="462" customFormat="1" hidden="1" outlineLevel="1">
      <c r="A1976" s="1261"/>
      <c r="B1976" s="260"/>
      <c r="C1976" s="439" t="s">
        <v>2</v>
      </c>
      <c r="D1976" s="440">
        <v>1</v>
      </c>
      <c r="E1976" s="441">
        <v>1</v>
      </c>
      <c r="F1976" s="1363">
        <v>0.61499999999999999</v>
      </c>
      <c r="G1976" s="1363">
        <v>0.23</v>
      </c>
      <c r="H1976" s="1363">
        <v>0.19000000000000006</v>
      </c>
      <c r="I1976" s="399">
        <f t="shared" si="51"/>
        <v>0.03</v>
      </c>
      <c r="J1976" s="442"/>
      <c r="K1976" s="1263"/>
      <c r="L1976" s="461"/>
      <c r="M1976" s="461"/>
      <c r="N1976" s="461"/>
    </row>
    <row r="1977" spans="1:14" s="462" customFormat="1" hidden="1" outlineLevel="1">
      <c r="A1977" s="1261"/>
      <c r="B1977" s="260"/>
      <c r="C1977" s="439"/>
      <c r="D1977" s="440"/>
      <c r="E1977" s="441"/>
      <c r="F1977" s="1363"/>
      <c r="G1977" s="1363"/>
      <c r="H1977" s="1363"/>
      <c r="I1977" s="399" t="str">
        <f t="shared" si="51"/>
        <v/>
      </c>
      <c r="J1977" s="442"/>
      <c r="K1977" s="1263"/>
      <c r="L1977" s="461"/>
      <c r="M1977" s="461"/>
      <c r="N1977" s="461"/>
    </row>
    <row r="1978" spans="1:14" s="462" customFormat="1" hidden="1" outlineLevel="1">
      <c r="A1978" s="1261"/>
      <c r="B1978" s="260"/>
      <c r="C1978" s="439" t="s">
        <v>2</v>
      </c>
      <c r="D1978" s="440">
        <v>1</v>
      </c>
      <c r="E1978" s="441">
        <v>1</v>
      </c>
      <c r="F1978" s="1363">
        <v>1.21</v>
      </c>
      <c r="G1978" s="1363">
        <v>0.46</v>
      </c>
      <c r="H1978" s="1363">
        <v>0.3</v>
      </c>
      <c r="I1978" s="399">
        <f t="shared" si="51"/>
        <v>0.17</v>
      </c>
      <c r="J1978" s="442"/>
      <c r="K1978" s="1263"/>
      <c r="L1978" s="461"/>
      <c r="M1978" s="461"/>
      <c r="N1978" s="461"/>
    </row>
    <row r="1979" spans="1:14" s="462" customFormat="1" hidden="1" outlineLevel="1">
      <c r="A1979" s="1261"/>
      <c r="B1979" s="260"/>
      <c r="C1979" s="439" t="s">
        <v>2</v>
      </c>
      <c r="D1979" s="440">
        <v>1</v>
      </c>
      <c r="E1979" s="441">
        <v>1</v>
      </c>
      <c r="F1979" s="1363">
        <v>1.44</v>
      </c>
      <c r="G1979" s="1363">
        <v>0.34499999999999997</v>
      </c>
      <c r="H1979" s="1363">
        <v>0.3</v>
      </c>
      <c r="I1979" s="399">
        <f t="shared" si="51"/>
        <v>0.15</v>
      </c>
      <c r="J1979" s="442"/>
      <c r="K1979" s="1263"/>
      <c r="L1979" s="461"/>
      <c r="M1979" s="461"/>
      <c r="N1979" s="461"/>
    </row>
    <row r="1980" spans="1:14" s="462" customFormat="1" hidden="1" outlineLevel="1">
      <c r="A1980" s="1261"/>
      <c r="B1980" s="260"/>
      <c r="C1980" s="439" t="s">
        <v>2</v>
      </c>
      <c r="D1980" s="440">
        <v>1</v>
      </c>
      <c r="E1980" s="441">
        <v>1</v>
      </c>
      <c r="F1980" s="1363">
        <v>1.67</v>
      </c>
      <c r="G1980" s="1363">
        <v>0.23</v>
      </c>
      <c r="H1980" s="1363">
        <v>0.19000000000000006</v>
      </c>
      <c r="I1980" s="399">
        <f t="shared" si="51"/>
        <v>7.0000000000000007E-2</v>
      </c>
      <c r="J1980" s="442"/>
      <c r="K1980" s="1263"/>
      <c r="L1980" s="461"/>
      <c r="M1980" s="461"/>
      <c r="N1980" s="461"/>
    </row>
    <row r="1981" spans="1:14" s="462" customFormat="1" hidden="1" outlineLevel="1">
      <c r="A1981" s="1261"/>
      <c r="B1981" s="260"/>
      <c r="C1981" s="439"/>
      <c r="D1981" s="440"/>
      <c r="E1981" s="441"/>
      <c r="F1981" s="1363"/>
      <c r="G1981" s="1363"/>
      <c r="H1981" s="1363"/>
      <c r="I1981" s="399" t="str">
        <f t="shared" si="51"/>
        <v/>
      </c>
      <c r="J1981" s="442"/>
      <c r="K1981" s="1263"/>
      <c r="L1981" s="461"/>
      <c r="M1981" s="461"/>
      <c r="N1981" s="461"/>
    </row>
    <row r="1982" spans="1:14" s="462" customFormat="1" hidden="1" outlineLevel="1">
      <c r="A1982" s="1261"/>
      <c r="B1982" s="260"/>
      <c r="C1982" s="439" t="s">
        <v>2</v>
      </c>
      <c r="D1982" s="440">
        <v>1</v>
      </c>
      <c r="E1982" s="441">
        <v>2</v>
      </c>
      <c r="F1982" s="1363">
        <v>0.61499999999999999</v>
      </c>
      <c r="G1982" s="1363">
        <v>0.46</v>
      </c>
      <c r="H1982" s="1363">
        <v>0.3</v>
      </c>
      <c r="I1982" s="399">
        <f t="shared" si="51"/>
        <v>0.17</v>
      </c>
      <c r="J1982" s="442"/>
      <c r="K1982" s="1263"/>
      <c r="L1982" s="461"/>
      <c r="M1982" s="461"/>
      <c r="N1982" s="461"/>
    </row>
    <row r="1983" spans="1:14" s="462" customFormat="1" hidden="1" outlineLevel="1">
      <c r="A1983" s="1261"/>
      <c r="B1983" s="260"/>
      <c r="C1983" s="439" t="s">
        <v>2</v>
      </c>
      <c r="D1983" s="440">
        <v>1</v>
      </c>
      <c r="E1983" s="441">
        <v>2</v>
      </c>
      <c r="F1983" s="1363">
        <v>0.61499999999999999</v>
      </c>
      <c r="G1983" s="1363">
        <v>0.34499999999999997</v>
      </c>
      <c r="H1983" s="1363">
        <v>0.3</v>
      </c>
      <c r="I1983" s="399">
        <f t="shared" si="51"/>
        <v>0.13</v>
      </c>
      <c r="J1983" s="442"/>
      <c r="K1983" s="1263"/>
      <c r="L1983" s="461"/>
      <c r="M1983" s="461"/>
      <c r="N1983" s="461"/>
    </row>
    <row r="1984" spans="1:14" s="462" customFormat="1" hidden="1" outlineLevel="1">
      <c r="A1984" s="1261"/>
      <c r="B1984" s="260"/>
      <c r="C1984" s="439" t="s">
        <v>2</v>
      </c>
      <c r="D1984" s="440">
        <v>1</v>
      </c>
      <c r="E1984" s="441">
        <v>2</v>
      </c>
      <c r="F1984" s="1363">
        <v>0.61499999999999999</v>
      </c>
      <c r="G1984" s="1363">
        <v>0.23</v>
      </c>
      <c r="H1984" s="1363">
        <v>0.19000000000000006</v>
      </c>
      <c r="I1984" s="399">
        <f t="shared" si="51"/>
        <v>0.05</v>
      </c>
      <c r="J1984" s="442"/>
      <c r="K1984" s="1263"/>
      <c r="L1984" s="461"/>
      <c r="M1984" s="461"/>
      <c r="N1984" s="461"/>
    </row>
    <row r="1985" spans="1:14" s="462" customFormat="1" hidden="1" outlineLevel="1">
      <c r="A1985" s="1261"/>
      <c r="B1985" s="260"/>
      <c r="C1985" s="439"/>
      <c r="D1985" s="440"/>
      <c r="E1985" s="441"/>
      <c r="F1985" s="1363"/>
      <c r="G1985" s="1363"/>
      <c r="H1985" s="1363"/>
      <c r="I1985" s="399" t="str">
        <f t="shared" si="51"/>
        <v/>
      </c>
      <c r="J1985" s="442"/>
      <c r="K1985" s="1263"/>
      <c r="L1985" s="461"/>
      <c r="M1985" s="461"/>
      <c r="N1985" s="461"/>
    </row>
    <row r="1986" spans="1:14" s="462" customFormat="1" hidden="1" outlineLevel="1">
      <c r="A1986" s="1261"/>
      <c r="B1986" s="260"/>
      <c r="C1986" s="439" t="s">
        <v>2</v>
      </c>
      <c r="D1986" s="440">
        <v>1</v>
      </c>
      <c r="E1986" s="441">
        <v>1</v>
      </c>
      <c r="F1986" s="1363">
        <v>2.2850000000000001</v>
      </c>
      <c r="G1986" s="1363">
        <v>0.46</v>
      </c>
      <c r="H1986" s="1363">
        <v>0.3</v>
      </c>
      <c r="I1986" s="399">
        <f t="shared" si="51"/>
        <v>0.32</v>
      </c>
      <c r="J1986" s="442"/>
      <c r="K1986" s="1263"/>
      <c r="L1986" s="461"/>
      <c r="M1986" s="461"/>
      <c r="N1986" s="461"/>
    </row>
    <row r="1987" spans="1:14" s="462" customFormat="1" hidden="1" outlineLevel="1">
      <c r="A1987" s="1261"/>
      <c r="B1987" s="260"/>
      <c r="C1987" s="439" t="s">
        <v>2</v>
      </c>
      <c r="D1987" s="440">
        <v>1</v>
      </c>
      <c r="E1987" s="441">
        <v>1</v>
      </c>
      <c r="F1987" s="1363">
        <v>2.4000000000000004</v>
      </c>
      <c r="G1987" s="1363">
        <v>0.34499999999999997</v>
      </c>
      <c r="H1987" s="1363">
        <v>0.3</v>
      </c>
      <c r="I1987" s="399">
        <f t="shared" si="51"/>
        <v>0.25</v>
      </c>
      <c r="J1987" s="442"/>
      <c r="K1987" s="1263"/>
      <c r="L1987" s="461"/>
      <c r="M1987" s="461"/>
      <c r="N1987" s="461"/>
    </row>
    <row r="1988" spans="1:14" s="462" customFormat="1" hidden="1" outlineLevel="1">
      <c r="A1988" s="1261"/>
      <c r="B1988" s="260"/>
      <c r="C1988" s="439" t="s">
        <v>2</v>
      </c>
      <c r="D1988" s="440">
        <v>1</v>
      </c>
      <c r="E1988" s="441">
        <v>1</v>
      </c>
      <c r="F1988" s="1363">
        <v>2.5150000000000001</v>
      </c>
      <c r="G1988" s="1363">
        <v>0.23</v>
      </c>
      <c r="H1988" s="1363">
        <v>0.19000000000000006</v>
      </c>
      <c r="I1988" s="399">
        <f t="shared" si="51"/>
        <v>0.11</v>
      </c>
      <c r="J1988" s="442"/>
      <c r="K1988" s="1263"/>
      <c r="L1988" s="461"/>
      <c r="M1988" s="461"/>
      <c r="N1988" s="461"/>
    </row>
    <row r="1989" spans="1:14" s="462" customFormat="1" hidden="1" outlineLevel="1">
      <c r="A1989" s="1261"/>
      <c r="B1989" s="260"/>
      <c r="C1989" s="439"/>
      <c r="D1989" s="440"/>
      <c r="E1989" s="441"/>
      <c r="F1989" s="1363"/>
      <c r="G1989" s="1363"/>
      <c r="H1989" s="1363"/>
      <c r="I1989" s="399" t="str">
        <f t="shared" si="51"/>
        <v/>
      </c>
      <c r="J1989" s="442"/>
      <c r="K1989" s="1263"/>
      <c r="L1989" s="461"/>
      <c r="M1989" s="461"/>
      <c r="N1989" s="461"/>
    </row>
    <row r="1990" spans="1:14" s="462" customFormat="1" hidden="1" outlineLevel="1">
      <c r="A1990" s="1261"/>
      <c r="B1990" s="260"/>
      <c r="C1990" s="439" t="s">
        <v>2</v>
      </c>
      <c r="D1990" s="440">
        <v>1</v>
      </c>
      <c r="E1990" s="441">
        <v>1</v>
      </c>
      <c r="F1990" s="1363">
        <v>0.59500000000000008</v>
      </c>
      <c r="G1990" s="1363">
        <v>0.46</v>
      </c>
      <c r="H1990" s="1363">
        <v>0.3</v>
      </c>
      <c r="I1990" s="399">
        <f t="shared" si="51"/>
        <v>0.08</v>
      </c>
      <c r="J1990" s="442"/>
      <c r="K1990" s="1263"/>
      <c r="L1990" s="461"/>
      <c r="M1990" s="461"/>
      <c r="N1990" s="461"/>
    </row>
    <row r="1991" spans="1:14" s="462" customFormat="1" hidden="1" outlineLevel="1">
      <c r="A1991" s="1261"/>
      <c r="B1991" s="260"/>
      <c r="C1991" s="439" t="s">
        <v>2</v>
      </c>
      <c r="D1991" s="440">
        <v>1</v>
      </c>
      <c r="E1991" s="441">
        <v>1</v>
      </c>
      <c r="F1991" s="1363">
        <v>0.82500000000000018</v>
      </c>
      <c r="G1991" s="1363">
        <v>0.34499999999999997</v>
      </c>
      <c r="H1991" s="1363">
        <v>0.3</v>
      </c>
      <c r="I1991" s="399">
        <f t="shared" si="51"/>
        <v>0.09</v>
      </c>
      <c r="J1991" s="442"/>
      <c r="K1991" s="1263"/>
      <c r="L1991" s="461"/>
      <c r="M1991" s="461"/>
      <c r="N1991" s="461"/>
    </row>
    <row r="1992" spans="1:14" s="462" customFormat="1" hidden="1" outlineLevel="1">
      <c r="A1992" s="1261"/>
      <c r="B1992" s="260"/>
      <c r="C1992" s="439" t="s">
        <v>2</v>
      </c>
      <c r="D1992" s="440">
        <v>1</v>
      </c>
      <c r="E1992" s="441">
        <v>1</v>
      </c>
      <c r="F1992" s="1363">
        <v>1.0550000000000002</v>
      </c>
      <c r="G1992" s="1363">
        <v>0.23</v>
      </c>
      <c r="H1992" s="1363">
        <v>0.19000000000000006</v>
      </c>
      <c r="I1992" s="399">
        <f t="shared" si="51"/>
        <v>0.05</v>
      </c>
      <c r="J1992" s="442"/>
      <c r="K1992" s="1263"/>
      <c r="L1992" s="461"/>
      <c r="M1992" s="461"/>
      <c r="N1992" s="461"/>
    </row>
    <row r="1993" spans="1:14" s="462" customFormat="1" hidden="1" outlineLevel="1">
      <c r="A1993" s="1261"/>
      <c r="B1993" s="260"/>
      <c r="C1993" s="439"/>
      <c r="D1993" s="440"/>
      <c r="E1993" s="441"/>
      <c r="F1993" s="1363"/>
      <c r="G1993" s="1363"/>
      <c r="H1993" s="1363"/>
      <c r="I1993" s="399" t="str">
        <f t="shared" si="51"/>
        <v/>
      </c>
      <c r="J1993" s="442"/>
      <c r="K1993" s="1263"/>
      <c r="L1993" s="461"/>
      <c r="M1993" s="461"/>
      <c r="N1993" s="461"/>
    </row>
    <row r="1994" spans="1:14" s="462" customFormat="1" hidden="1" outlineLevel="1">
      <c r="A1994" s="1261"/>
      <c r="B1994" s="260"/>
      <c r="C1994" s="439" t="s">
        <v>2</v>
      </c>
      <c r="D1994" s="440">
        <v>1</v>
      </c>
      <c r="E1994" s="441">
        <v>1</v>
      </c>
      <c r="F1994" s="1363">
        <v>2.2850000000000001</v>
      </c>
      <c r="G1994" s="1363">
        <v>0.46</v>
      </c>
      <c r="H1994" s="1363">
        <v>0.3</v>
      </c>
      <c r="I1994" s="399">
        <f t="shared" si="51"/>
        <v>0.32</v>
      </c>
      <c r="J1994" s="442"/>
      <c r="K1994" s="1263"/>
      <c r="L1994" s="461"/>
      <c r="M1994" s="461"/>
      <c r="N1994" s="461"/>
    </row>
    <row r="1995" spans="1:14" s="462" customFormat="1" hidden="1" outlineLevel="1">
      <c r="A1995" s="1261"/>
      <c r="B1995" s="260"/>
      <c r="C1995" s="439" t="s">
        <v>2</v>
      </c>
      <c r="D1995" s="440">
        <v>1</v>
      </c>
      <c r="E1995" s="441">
        <v>1</v>
      </c>
      <c r="F1995" s="1363">
        <v>2.4000000000000004</v>
      </c>
      <c r="G1995" s="1363">
        <v>0.34499999999999997</v>
      </c>
      <c r="H1995" s="1363">
        <v>0.3</v>
      </c>
      <c r="I1995" s="399">
        <f t="shared" si="51"/>
        <v>0.25</v>
      </c>
      <c r="J1995" s="442"/>
      <c r="K1995" s="1263"/>
      <c r="L1995" s="461"/>
      <c r="M1995" s="461"/>
      <c r="N1995" s="461"/>
    </row>
    <row r="1996" spans="1:14" s="462" customFormat="1" hidden="1" outlineLevel="1">
      <c r="A1996" s="1261"/>
      <c r="B1996" s="260"/>
      <c r="C1996" s="439" t="s">
        <v>2</v>
      </c>
      <c r="D1996" s="440">
        <v>1</v>
      </c>
      <c r="E1996" s="441">
        <v>1</v>
      </c>
      <c r="F1996" s="1363">
        <v>2.5150000000000001</v>
      </c>
      <c r="G1996" s="1363">
        <v>0.23</v>
      </c>
      <c r="H1996" s="1363">
        <v>0.19000000000000006</v>
      </c>
      <c r="I1996" s="399">
        <f t="shared" si="51"/>
        <v>0.11</v>
      </c>
      <c r="J1996" s="442"/>
      <c r="K1996" s="1263"/>
      <c r="L1996" s="461"/>
      <c r="M1996" s="461"/>
      <c r="N1996" s="461"/>
    </row>
    <row r="1997" spans="1:14" s="462" customFormat="1" hidden="1" outlineLevel="1">
      <c r="A1997" s="1261"/>
      <c r="B1997" s="260"/>
      <c r="C1997" s="439"/>
      <c r="D1997" s="440"/>
      <c r="E1997" s="441"/>
      <c r="F1997" s="1363"/>
      <c r="G1997" s="1363"/>
      <c r="H1997" s="1363"/>
      <c r="I1997" s="399" t="str">
        <f t="shared" si="51"/>
        <v/>
      </c>
      <c r="J1997" s="442"/>
      <c r="K1997" s="1263"/>
      <c r="L1997" s="461"/>
      <c r="M1997" s="461"/>
      <c r="N1997" s="461"/>
    </row>
    <row r="1998" spans="1:14" s="462" customFormat="1" hidden="1" outlineLevel="1">
      <c r="A1998" s="1261"/>
      <c r="B1998" s="260"/>
      <c r="C1998" s="439" t="s">
        <v>2</v>
      </c>
      <c r="D1998" s="440">
        <v>1</v>
      </c>
      <c r="E1998" s="441">
        <v>1</v>
      </c>
      <c r="F1998" s="1363">
        <v>1.21</v>
      </c>
      <c r="G1998" s="1363">
        <v>0.46</v>
      </c>
      <c r="H1998" s="1363">
        <v>0.3</v>
      </c>
      <c r="I1998" s="399">
        <f t="shared" si="51"/>
        <v>0.17</v>
      </c>
      <c r="J1998" s="442"/>
      <c r="K1998" s="1263"/>
      <c r="L1998" s="461"/>
      <c r="M1998" s="461"/>
      <c r="N1998" s="461"/>
    </row>
    <row r="1999" spans="1:14" s="462" customFormat="1" hidden="1" outlineLevel="1">
      <c r="A1999" s="1261"/>
      <c r="B1999" s="260"/>
      <c r="C1999" s="439" t="s">
        <v>2</v>
      </c>
      <c r="D1999" s="440">
        <v>1</v>
      </c>
      <c r="E1999" s="441">
        <v>1</v>
      </c>
      <c r="F1999" s="1363">
        <v>1.44</v>
      </c>
      <c r="G1999" s="1363">
        <v>0.34499999999999997</v>
      </c>
      <c r="H1999" s="1363">
        <v>0.3</v>
      </c>
      <c r="I1999" s="399">
        <f t="shared" si="51"/>
        <v>0.15</v>
      </c>
      <c r="J1999" s="442"/>
      <c r="K1999" s="1263"/>
      <c r="L1999" s="461"/>
      <c r="M1999" s="461"/>
      <c r="N1999" s="461"/>
    </row>
    <row r="2000" spans="1:14" s="462" customFormat="1" hidden="1" outlineLevel="1">
      <c r="A2000" s="1261"/>
      <c r="B2000" s="260"/>
      <c r="C2000" s="439" t="s">
        <v>2</v>
      </c>
      <c r="D2000" s="440">
        <v>1</v>
      </c>
      <c r="E2000" s="441">
        <v>1</v>
      </c>
      <c r="F2000" s="1363">
        <v>1.67</v>
      </c>
      <c r="G2000" s="1363">
        <v>0.23</v>
      </c>
      <c r="H2000" s="1363">
        <v>0.19000000000000006</v>
      </c>
      <c r="I2000" s="399">
        <f t="shared" si="51"/>
        <v>7.0000000000000007E-2</v>
      </c>
      <c r="J2000" s="442"/>
      <c r="K2000" s="1263"/>
      <c r="L2000" s="461"/>
      <c r="M2000" s="461"/>
      <c r="N2000" s="461"/>
    </row>
    <row r="2001" spans="1:14" s="462" customFormat="1" hidden="1" outlineLevel="1">
      <c r="A2001" s="1261"/>
      <c r="B2001" s="260"/>
      <c r="C2001" s="439"/>
      <c r="D2001" s="440"/>
      <c r="E2001" s="441"/>
      <c r="F2001" s="1363"/>
      <c r="G2001" s="1363"/>
      <c r="H2001" s="1363"/>
      <c r="I2001" s="399" t="str">
        <f t="shared" si="51"/>
        <v/>
      </c>
      <c r="J2001" s="442"/>
      <c r="K2001" s="1263"/>
      <c r="L2001" s="461"/>
      <c r="M2001" s="461"/>
      <c r="N2001" s="461"/>
    </row>
    <row r="2002" spans="1:14" s="462" customFormat="1" hidden="1" outlineLevel="1">
      <c r="A2002" s="1261"/>
      <c r="B2002" s="260"/>
      <c r="C2002" s="439" t="s">
        <v>2</v>
      </c>
      <c r="D2002" s="440">
        <v>1</v>
      </c>
      <c r="E2002" s="441">
        <v>1</v>
      </c>
      <c r="F2002" s="1363">
        <v>2.2850000000000001</v>
      </c>
      <c r="G2002" s="1363">
        <v>0.46</v>
      </c>
      <c r="H2002" s="1363">
        <v>0.3</v>
      </c>
      <c r="I2002" s="399">
        <f t="shared" si="51"/>
        <v>0.32</v>
      </c>
      <c r="J2002" s="442"/>
      <c r="K2002" s="1263"/>
      <c r="L2002" s="461"/>
      <c r="M2002" s="461"/>
      <c r="N2002" s="461"/>
    </row>
    <row r="2003" spans="1:14" s="462" customFormat="1" hidden="1" outlineLevel="1">
      <c r="A2003" s="1261"/>
      <c r="B2003" s="260"/>
      <c r="C2003" s="439" t="s">
        <v>2</v>
      </c>
      <c r="D2003" s="440">
        <v>1</v>
      </c>
      <c r="E2003" s="441">
        <v>1</v>
      </c>
      <c r="F2003" s="1363">
        <v>2.4000000000000004</v>
      </c>
      <c r="G2003" s="1363">
        <v>0.34499999999999997</v>
      </c>
      <c r="H2003" s="1363">
        <v>0.3</v>
      </c>
      <c r="I2003" s="399">
        <f t="shared" si="51"/>
        <v>0.25</v>
      </c>
      <c r="J2003" s="442"/>
      <c r="K2003" s="1263"/>
      <c r="L2003" s="461"/>
      <c r="M2003" s="461"/>
      <c r="N2003" s="461"/>
    </row>
    <row r="2004" spans="1:14" s="462" customFormat="1" hidden="1" outlineLevel="1">
      <c r="A2004" s="1261"/>
      <c r="B2004" s="260"/>
      <c r="C2004" s="439" t="s">
        <v>2</v>
      </c>
      <c r="D2004" s="440">
        <v>1</v>
      </c>
      <c r="E2004" s="441">
        <v>1</v>
      </c>
      <c r="F2004" s="1363">
        <v>2.5150000000000001</v>
      </c>
      <c r="G2004" s="1363">
        <v>0.23</v>
      </c>
      <c r="H2004" s="1363">
        <v>0.19000000000000006</v>
      </c>
      <c r="I2004" s="399">
        <f t="shared" si="51"/>
        <v>0.11</v>
      </c>
      <c r="J2004" s="442"/>
      <c r="K2004" s="1263"/>
      <c r="L2004" s="461"/>
      <c r="M2004" s="461"/>
      <c r="N2004" s="461"/>
    </row>
    <row r="2005" spans="1:14" s="462" customFormat="1" hidden="1" outlineLevel="1">
      <c r="A2005" s="1261"/>
      <c r="B2005" s="260"/>
      <c r="C2005" s="439"/>
      <c r="D2005" s="440"/>
      <c r="E2005" s="441"/>
      <c r="F2005" s="1363"/>
      <c r="G2005" s="1363"/>
      <c r="H2005" s="1363"/>
      <c r="I2005" s="399" t="str">
        <f t="shared" si="51"/>
        <v/>
      </c>
      <c r="J2005" s="442"/>
      <c r="K2005" s="1263"/>
      <c r="L2005" s="461"/>
      <c r="M2005" s="461"/>
      <c r="N2005" s="461"/>
    </row>
    <row r="2006" spans="1:14" s="462" customFormat="1" hidden="1" outlineLevel="1">
      <c r="A2006" s="1261"/>
      <c r="B2006" s="260"/>
      <c r="C2006" s="439" t="s">
        <v>2</v>
      </c>
      <c r="D2006" s="440">
        <v>1</v>
      </c>
      <c r="E2006" s="441">
        <v>1</v>
      </c>
      <c r="F2006" s="1363">
        <v>0.61499999999999999</v>
      </c>
      <c r="G2006" s="1363">
        <v>0.46</v>
      </c>
      <c r="H2006" s="1363">
        <v>0.3</v>
      </c>
      <c r="I2006" s="399">
        <f t="shared" si="51"/>
        <v>0.08</v>
      </c>
      <c r="J2006" s="442"/>
      <c r="K2006" s="1263"/>
      <c r="L2006" s="461"/>
      <c r="M2006" s="461"/>
      <c r="N2006" s="461"/>
    </row>
    <row r="2007" spans="1:14" s="462" customFormat="1" hidden="1" outlineLevel="1">
      <c r="A2007" s="1261"/>
      <c r="B2007" s="260"/>
      <c r="C2007" s="439" t="s">
        <v>2</v>
      </c>
      <c r="D2007" s="440">
        <v>1</v>
      </c>
      <c r="E2007" s="441">
        <v>1</v>
      </c>
      <c r="F2007" s="1363">
        <v>0.61499999999999999</v>
      </c>
      <c r="G2007" s="1363">
        <v>0.34499999999999997</v>
      </c>
      <c r="H2007" s="1363">
        <v>0.3</v>
      </c>
      <c r="I2007" s="399">
        <f t="shared" si="51"/>
        <v>0.06</v>
      </c>
      <c r="J2007" s="442"/>
      <c r="K2007" s="1263"/>
      <c r="L2007" s="461"/>
      <c r="M2007" s="461"/>
      <c r="N2007" s="461"/>
    </row>
    <row r="2008" spans="1:14" s="462" customFormat="1" hidden="1" outlineLevel="1">
      <c r="A2008" s="1261"/>
      <c r="B2008" s="260"/>
      <c r="C2008" s="439" t="s">
        <v>2</v>
      </c>
      <c r="D2008" s="440">
        <v>1</v>
      </c>
      <c r="E2008" s="441">
        <v>1</v>
      </c>
      <c r="F2008" s="1363">
        <v>0.61499999999999999</v>
      </c>
      <c r="G2008" s="1363">
        <v>0.23</v>
      </c>
      <c r="H2008" s="1363">
        <v>0.19000000000000006</v>
      </c>
      <c r="I2008" s="399">
        <f t="shared" ref="I2008:I2071" si="52">IF(D2008&lt;&gt;0,ROUND(PRODUCT(E2008:H2008)*D2008,2),"")</f>
        <v>0.03</v>
      </c>
      <c r="J2008" s="442"/>
      <c r="K2008" s="1263"/>
      <c r="L2008" s="461"/>
      <c r="M2008" s="461"/>
      <c r="N2008" s="461"/>
    </row>
    <row r="2009" spans="1:14" s="462" customFormat="1" hidden="1" outlineLevel="1">
      <c r="A2009" s="1261"/>
      <c r="B2009" s="260"/>
      <c r="C2009" s="439"/>
      <c r="D2009" s="440"/>
      <c r="E2009" s="441"/>
      <c r="F2009" s="1363"/>
      <c r="G2009" s="1363"/>
      <c r="H2009" s="1363"/>
      <c r="I2009" s="399" t="str">
        <f t="shared" si="52"/>
        <v/>
      </c>
      <c r="J2009" s="442"/>
      <c r="K2009" s="1263"/>
      <c r="L2009" s="461"/>
      <c r="M2009" s="461"/>
      <c r="N2009" s="461"/>
    </row>
    <row r="2010" spans="1:14" s="462" customFormat="1" hidden="1" outlineLevel="1">
      <c r="A2010" s="1261"/>
      <c r="B2010" s="260"/>
      <c r="C2010" s="439" t="s">
        <v>2</v>
      </c>
      <c r="D2010" s="440">
        <v>1</v>
      </c>
      <c r="E2010" s="441">
        <v>1</v>
      </c>
      <c r="F2010" s="1363">
        <v>3.36</v>
      </c>
      <c r="G2010" s="1363">
        <v>0.46</v>
      </c>
      <c r="H2010" s="1363">
        <v>0.3</v>
      </c>
      <c r="I2010" s="399">
        <f t="shared" si="52"/>
        <v>0.46</v>
      </c>
      <c r="J2010" s="442"/>
      <c r="K2010" s="1263"/>
      <c r="L2010" s="461"/>
      <c r="M2010" s="461"/>
      <c r="N2010" s="461"/>
    </row>
    <row r="2011" spans="1:14" s="462" customFormat="1" hidden="1" outlineLevel="1">
      <c r="A2011" s="1261"/>
      <c r="B2011" s="260"/>
      <c r="C2011" s="439" t="s">
        <v>2</v>
      </c>
      <c r="D2011" s="440">
        <v>1</v>
      </c>
      <c r="E2011" s="441">
        <v>1</v>
      </c>
      <c r="F2011" s="1363">
        <v>3.36</v>
      </c>
      <c r="G2011" s="1363">
        <v>0.34499999999999997</v>
      </c>
      <c r="H2011" s="1363">
        <v>0.3</v>
      </c>
      <c r="I2011" s="399">
        <f t="shared" si="52"/>
        <v>0.35</v>
      </c>
      <c r="J2011" s="442"/>
      <c r="K2011" s="1263"/>
      <c r="L2011" s="461"/>
      <c r="M2011" s="461"/>
      <c r="N2011" s="461"/>
    </row>
    <row r="2012" spans="1:14" s="462" customFormat="1" hidden="1" outlineLevel="1">
      <c r="A2012" s="1261"/>
      <c r="B2012" s="260"/>
      <c r="C2012" s="439" t="s">
        <v>2</v>
      </c>
      <c r="D2012" s="440">
        <v>1</v>
      </c>
      <c r="E2012" s="441">
        <v>1</v>
      </c>
      <c r="F2012" s="1363">
        <v>3.36</v>
      </c>
      <c r="G2012" s="1363">
        <v>0.23</v>
      </c>
      <c r="H2012" s="1363">
        <v>0.19000000000000006</v>
      </c>
      <c r="I2012" s="399">
        <f t="shared" si="52"/>
        <v>0.15</v>
      </c>
      <c r="J2012" s="442"/>
      <c r="K2012" s="1263"/>
      <c r="L2012" s="461"/>
      <c r="M2012" s="461"/>
      <c r="N2012" s="461"/>
    </row>
    <row r="2013" spans="1:14" s="462" customFormat="1" hidden="1" outlineLevel="1">
      <c r="A2013" s="1261"/>
      <c r="B2013" s="260"/>
      <c r="C2013" s="439"/>
      <c r="D2013" s="440"/>
      <c r="E2013" s="441"/>
      <c r="F2013" s="1363"/>
      <c r="G2013" s="1363"/>
      <c r="H2013" s="1363"/>
      <c r="I2013" s="399" t="str">
        <f t="shared" si="52"/>
        <v/>
      </c>
      <c r="J2013" s="442"/>
      <c r="K2013" s="1263"/>
      <c r="L2013" s="461"/>
      <c r="M2013" s="461"/>
      <c r="N2013" s="461"/>
    </row>
    <row r="2014" spans="1:14" s="462" customFormat="1" hidden="1" outlineLevel="1">
      <c r="A2014" s="1261"/>
      <c r="B2014" s="260"/>
      <c r="C2014" s="439" t="s">
        <v>2</v>
      </c>
      <c r="D2014" s="440">
        <v>1</v>
      </c>
      <c r="E2014" s="441">
        <v>1</v>
      </c>
      <c r="F2014" s="1363">
        <v>1.21</v>
      </c>
      <c r="G2014" s="1363">
        <v>0.46</v>
      </c>
      <c r="H2014" s="1363">
        <v>0.3</v>
      </c>
      <c r="I2014" s="399">
        <f t="shared" si="52"/>
        <v>0.17</v>
      </c>
      <c r="J2014" s="442"/>
      <c r="K2014" s="1263"/>
      <c r="L2014" s="461"/>
      <c r="M2014" s="461"/>
      <c r="N2014" s="461"/>
    </row>
    <row r="2015" spans="1:14" s="462" customFormat="1" hidden="1" outlineLevel="1">
      <c r="A2015" s="1261"/>
      <c r="B2015" s="260"/>
      <c r="C2015" s="439" t="s">
        <v>2</v>
      </c>
      <c r="D2015" s="440">
        <v>1</v>
      </c>
      <c r="E2015" s="441">
        <v>1</v>
      </c>
      <c r="F2015" s="1363">
        <v>1.44</v>
      </c>
      <c r="G2015" s="1363">
        <v>0.34499999999999997</v>
      </c>
      <c r="H2015" s="1363">
        <v>0.3</v>
      </c>
      <c r="I2015" s="399">
        <f t="shared" si="52"/>
        <v>0.15</v>
      </c>
      <c r="J2015" s="442"/>
      <c r="K2015" s="1263"/>
      <c r="L2015" s="461"/>
      <c r="M2015" s="461"/>
      <c r="N2015" s="461"/>
    </row>
    <row r="2016" spans="1:14" s="462" customFormat="1" hidden="1" outlineLevel="1">
      <c r="A2016" s="1261"/>
      <c r="B2016" s="260"/>
      <c r="C2016" s="439" t="s">
        <v>2</v>
      </c>
      <c r="D2016" s="440">
        <v>1</v>
      </c>
      <c r="E2016" s="441">
        <v>1</v>
      </c>
      <c r="F2016" s="1363">
        <v>1.67</v>
      </c>
      <c r="G2016" s="1363">
        <v>0.23</v>
      </c>
      <c r="H2016" s="1363">
        <v>0.19000000000000006</v>
      </c>
      <c r="I2016" s="399">
        <f t="shared" si="52"/>
        <v>7.0000000000000007E-2</v>
      </c>
      <c r="J2016" s="442"/>
      <c r="K2016" s="1263"/>
      <c r="L2016" s="461"/>
      <c r="M2016" s="461"/>
      <c r="N2016" s="461"/>
    </row>
    <row r="2017" spans="1:14" s="462" customFormat="1" hidden="1" outlineLevel="1">
      <c r="A2017" s="1261"/>
      <c r="B2017" s="260"/>
      <c r="C2017" s="439"/>
      <c r="D2017" s="440"/>
      <c r="E2017" s="441"/>
      <c r="F2017" s="1363"/>
      <c r="G2017" s="1363"/>
      <c r="H2017" s="1363"/>
      <c r="I2017" s="399" t="str">
        <f t="shared" si="52"/>
        <v/>
      </c>
      <c r="J2017" s="442"/>
      <c r="K2017" s="1263"/>
      <c r="L2017" s="461"/>
      <c r="M2017" s="461"/>
      <c r="N2017" s="461"/>
    </row>
    <row r="2018" spans="1:14" s="462" customFormat="1" hidden="1" outlineLevel="1">
      <c r="A2018" s="1261"/>
      <c r="B2018" s="260"/>
      <c r="C2018" s="439" t="s">
        <v>2</v>
      </c>
      <c r="D2018" s="440">
        <v>1</v>
      </c>
      <c r="E2018" s="441">
        <v>1</v>
      </c>
      <c r="F2018" s="1363">
        <v>0.61499999999999999</v>
      </c>
      <c r="G2018" s="1363">
        <v>0.46</v>
      </c>
      <c r="H2018" s="1363">
        <v>0.3</v>
      </c>
      <c r="I2018" s="399">
        <f t="shared" si="52"/>
        <v>0.08</v>
      </c>
      <c r="J2018" s="442"/>
      <c r="K2018" s="1263"/>
      <c r="L2018" s="461"/>
      <c r="M2018" s="461"/>
      <c r="N2018" s="461"/>
    </row>
    <row r="2019" spans="1:14" s="462" customFormat="1" hidden="1" outlineLevel="1">
      <c r="A2019" s="1261"/>
      <c r="B2019" s="260"/>
      <c r="C2019" s="439" t="s">
        <v>2</v>
      </c>
      <c r="D2019" s="440">
        <v>1</v>
      </c>
      <c r="E2019" s="441">
        <v>1</v>
      </c>
      <c r="F2019" s="1363">
        <v>0.61499999999999999</v>
      </c>
      <c r="G2019" s="1363">
        <v>0.34499999999999997</v>
      </c>
      <c r="H2019" s="1363">
        <v>0.3</v>
      </c>
      <c r="I2019" s="399">
        <f t="shared" si="52"/>
        <v>0.06</v>
      </c>
      <c r="J2019" s="442"/>
      <c r="K2019" s="1263"/>
      <c r="L2019" s="461"/>
      <c r="M2019" s="461"/>
      <c r="N2019" s="461"/>
    </row>
    <row r="2020" spans="1:14" s="462" customFormat="1" hidden="1" outlineLevel="1">
      <c r="A2020" s="1261"/>
      <c r="B2020" s="260"/>
      <c r="C2020" s="439" t="s">
        <v>2</v>
      </c>
      <c r="D2020" s="440">
        <v>1</v>
      </c>
      <c r="E2020" s="441">
        <v>1</v>
      </c>
      <c r="F2020" s="1363">
        <v>0.61499999999999999</v>
      </c>
      <c r="G2020" s="1363">
        <v>0.23</v>
      </c>
      <c r="H2020" s="1363">
        <v>0.19000000000000006</v>
      </c>
      <c r="I2020" s="399">
        <f t="shared" si="52"/>
        <v>0.03</v>
      </c>
      <c r="J2020" s="442"/>
      <c r="K2020" s="1263"/>
      <c r="L2020" s="461"/>
      <c r="M2020" s="461"/>
      <c r="N2020" s="461"/>
    </row>
    <row r="2021" spans="1:14" s="462" customFormat="1" hidden="1" outlineLevel="1">
      <c r="A2021" s="1261"/>
      <c r="B2021" s="260"/>
      <c r="C2021" s="439"/>
      <c r="D2021" s="440"/>
      <c r="E2021" s="441"/>
      <c r="F2021" s="1363"/>
      <c r="G2021" s="1363"/>
      <c r="H2021" s="1363"/>
      <c r="I2021" s="399" t="str">
        <f t="shared" si="52"/>
        <v/>
      </c>
      <c r="J2021" s="442"/>
      <c r="K2021" s="1263"/>
      <c r="L2021" s="461"/>
      <c r="M2021" s="461"/>
      <c r="N2021" s="461"/>
    </row>
    <row r="2022" spans="1:14" s="462" customFormat="1" hidden="1" outlineLevel="1">
      <c r="A2022" s="1261"/>
      <c r="B2022" s="260" t="s">
        <v>274</v>
      </c>
      <c r="C2022" s="439"/>
      <c r="D2022" s="440"/>
      <c r="E2022" s="441"/>
      <c r="F2022" s="1363"/>
      <c r="G2022" s="1363"/>
      <c r="H2022" s="1363"/>
      <c r="I2022" s="399" t="str">
        <f t="shared" si="52"/>
        <v/>
      </c>
      <c r="J2022" s="442"/>
      <c r="K2022" s="1263"/>
      <c r="L2022" s="461"/>
      <c r="M2022" s="461"/>
      <c r="N2022" s="461"/>
    </row>
    <row r="2023" spans="1:14" s="462" customFormat="1" hidden="1" outlineLevel="1">
      <c r="A2023" s="1261"/>
      <c r="B2023" s="260"/>
      <c r="C2023" s="439"/>
      <c r="D2023" s="440"/>
      <c r="E2023" s="441"/>
      <c r="F2023" s="1363"/>
      <c r="G2023" s="1363"/>
      <c r="H2023" s="1363"/>
      <c r="I2023" s="399" t="str">
        <f t="shared" si="52"/>
        <v/>
      </c>
      <c r="J2023" s="442"/>
      <c r="K2023" s="1263"/>
      <c r="L2023" s="461"/>
      <c r="M2023" s="461"/>
      <c r="N2023" s="461"/>
    </row>
    <row r="2024" spans="1:14" s="462" customFormat="1" hidden="1" outlineLevel="1">
      <c r="A2024" s="1261"/>
      <c r="B2024" s="260" t="s">
        <v>187</v>
      </c>
      <c r="C2024" s="439" t="s">
        <v>2</v>
      </c>
      <c r="D2024" s="440">
        <v>1</v>
      </c>
      <c r="E2024" s="441">
        <v>1</v>
      </c>
      <c r="F2024" s="1363">
        <v>9.7200000000000006</v>
      </c>
      <c r="G2024" s="1363">
        <v>0.46</v>
      </c>
      <c r="H2024" s="1363">
        <v>0.3</v>
      </c>
      <c r="I2024" s="399">
        <f t="shared" si="52"/>
        <v>1.34</v>
      </c>
      <c r="J2024" s="442"/>
      <c r="K2024" s="1263"/>
      <c r="L2024" s="461"/>
      <c r="M2024" s="461"/>
      <c r="N2024" s="461"/>
    </row>
    <row r="2025" spans="1:14" s="462" customFormat="1" hidden="1" outlineLevel="1">
      <c r="A2025" s="1261"/>
      <c r="B2025" s="260"/>
      <c r="C2025" s="439" t="s">
        <v>2</v>
      </c>
      <c r="D2025" s="440">
        <v>1</v>
      </c>
      <c r="E2025" s="441">
        <v>1</v>
      </c>
      <c r="F2025" s="1363">
        <v>9.49</v>
      </c>
      <c r="G2025" s="1363">
        <v>0.34499999999999997</v>
      </c>
      <c r="H2025" s="1363">
        <v>0.3</v>
      </c>
      <c r="I2025" s="399">
        <f t="shared" si="52"/>
        <v>0.98</v>
      </c>
      <c r="J2025" s="442"/>
      <c r="K2025" s="1263"/>
      <c r="L2025" s="461"/>
      <c r="M2025" s="461"/>
      <c r="N2025" s="461"/>
    </row>
    <row r="2026" spans="1:14" s="462" customFormat="1" hidden="1" outlineLevel="1">
      <c r="A2026" s="1261"/>
      <c r="B2026" s="260"/>
      <c r="C2026" s="439" t="s">
        <v>2</v>
      </c>
      <c r="D2026" s="440">
        <v>1</v>
      </c>
      <c r="E2026" s="441">
        <v>1</v>
      </c>
      <c r="F2026" s="1363">
        <v>9.2600000000000016</v>
      </c>
      <c r="G2026" s="1363">
        <v>0.23</v>
      </c>
      <c r="H2026" s="1363">
        <v>0.19000000000000006</v>
      </c>
      <c r="I2026" s="399">
        <f t="shared" si="52"/>
        <v>0.4</v>
      </c>
      <c r="J2026" s="442"/>
      <c r="K2026" s="1263"/>
      <c r="L2026" s="461"/>
      <c r="M2026" s="461"/>
      <c r="N2026" s="461"/>
    </row>
    <row r="2027" spans="1:14" s="462" customFormat="1" hidden="1" outlineLevel="1">
      <c r="A2027" s="1261"/>
      <c r="B2027" s="260"/>
      <c r="C2027" s="439"/>
      <c r="D2027" s="440"/>
      <c r="E2027" s="441"/>
      <c r="F2027" s="1363"/>
      <c r="G2027" s="1363"/>
      <c r="H2027" s="1363"/>
      <c r="I2027" s="399" t="str">
        <f t="shared" si="52"/>
        <v/>
      </c>
      <c r="J2027" s="442"/>
      <c r="K2027" s="1263"/>
      <c r="L2027" s="461"/>
      <c r="M2027" s="461"/>
      <c r="N2027" s="461"/>
    </row>
    <row r="2028" spans="1:14" s="462" customFormat="1" hidden="1" outlineLevel="1">
      <c r="A2028" s="1261"/>
      <c r="B2028" s="260"/>
      <c r="C2028" s="439" t="s">
        <v>2</v>
      </c>
      <c r="D2028" s="440">
        <v>1</v>
      </c>
      <c r="E2028" s="441">
        <v>1</v>
      </c>
      <c r="F2028" s="1363">
        <v>4.66</v>
      </c>
      <c r="G2028" s="1363">
        <v>0.46</v>
      </c>
      <c r="H2028" s="1363">
        <v>0.3</v>
      </c>
      <c r="I2028" s="399">
        <f t="shared" si="52"/>
        <v>0.64</v>
      </c>
      <c r="J2028" s="442"/>
      <c r="K2028" s="1263"/>
      <c r="L2028" s="461"/>
      <c r="M2028" s="461"/>
      <c r="N2028" s="461"/>
    </row>
    <row r="2029" spans="1:14" s="462" customFormat="1" hidden="1" outlineLevel="1">
      <c r="A2029" s="1261"/>
      <c r="B2029" s="260"/>
      <c r="C2029" s="439" t="s">
        <v>2</v>
      </c>
      <c r="D2029" s="440">
        <v>1</v>
      </c>
      <c r="E2029" s="441">
        <v>1</v>
      </c>
      <c r="F2029" s="1363">
        <v>4.5449999999999999</v>
      </c>
      <c r="G2029" s="1363">
        <v>0.34499999999999997</v>
      </c>
      <c r="H2029" s="1363">
        <v>0.3</v>
      </c>
      <c r="I2029" s="399">
        <f t="shared" si="52"/>
        <v>0.47</v>
      </c>
      <c r="J2029" s="442"/>
      <c r="K2029" s="1263"/>
      <c r="L2029" s="461"/>
      <c r="M2029" s="461"/>
      <c r="N2029" s="461"/>
    </row>
    <row r="2030" spans="1:14" s="462" customFormat="1" hidden="1" outlineLevel="1">
      <c r="A2030" s="1261"/>
      <c r="B2030" s="260"/>
      <c r="C2030" s="439" t="s">
        <v>2</v>
      </c>
      <c r="D2030" s="440">
        <v>1</v>
      </c>
      <c r="E2030" s="441">
        <v>1</v>
      </c>
      <c r="F2030" s="1363">
        <v>4.4300000000000006</v>
      </c>
      <c r="G2030" s="1363">
        <v>0.23</v>
      </c>
      <c r="H2030" s="1363">
        <v>0.19000000000000006</v>
      </c>
      <c r="I2030" s="399">
        <f t="shared" si="52"/>
        <v>0.19</v>
      </c>
      <c r="J2030" s="442"/>
      <c r="K2030" s="1263"/>
      <c r="L2030" s="461"/>
      <c r="M2030" s="461"/>
      <c r="N2030" s="461"/>
    </row>
    <row r="2031" spans="1:14" s="462" customFormat="1" hidden="1" outlineLevel="1">
      <c r="A2031" s="1261"/>
      <c r="B2031" s="260"/>
      <c r="C2031" s="439"/>
      <c r="D2031" s="440"/>
      <c r="E2031" s="441"/>
      <c r="F2031" s="1363"/>
      <c r="G2031" s="1363"/>
      <c r="H2031" s="1363"/>
      <c r="I2031" s="399" t="str">
        <f t="shared" si="52"/>
        <v/>
      </c>
      <c r="J2031" s="442"/>
      <c r="K2031" s="1263"/>
      <c r="L2031" s="461"/>
      <c r="M2031" s="461"/>
      <c r="N2031" s="461"/>
    </row>
    <row r="2032" spans="1:14" s="462" customFormat="1" hidden="1" outlineLevel="1">
      <c r="A2032" s="1261"/>
      <c r="B2032" s="260"/>
      <c r="C2032" s="439" t="s">
        <v>2</v>
      </c>
      <c r="D2032" s="440">
        <v>1</v>
      </c>
      <c r="E2032" s="441">
        <v>1</v>
      </c>
      <c r="F2032" s="1363">
        <v>3.26</v>
      </c>
      <c r="G2032" s="1363">
        <v>0.46</v>
      </c>
      <c r="H2032" s="1363">
        <v>0.3</v>
      </c>
      <c r="I2032" s="399">
        <f t="shared" si="52"/>
        <v>0.45</v>
      </c>
      <c r="J2032" s="442"/>
      <c r="K2032" s="1263"/>
      <c r="L2032" s="461"/>
      <c r="M2032" s="461"/>
      <c r="N2032" s="461"/>
    </row>
    <row r="2033" spans="1:14" s="462" customFormat="1" hidden="1" outlineLevel="1">
      <c r="A2033" s="1261"/>
      <c r="B2033" s="260"/>
      <c r="C2033" s="439" t="s">
        <v>2</v>
      </c>
      <c r="D2033" s="440">
        <v>1</v>
      </c>
      <c r="E2033" s="441">
        <v>1</v>
      </c>
      <c r="F2033" s="1363">
        <v>3.1449999999999996</v>
      </c>
      <c r="G2033" s="1363">
        <v>0.34499999999999997</v>
      </c>
      <c r="H2033" s="1363">
        <v>0.3</v>
      </c>
      <c r="I2033" s="399">
        <f t="shared" si="52"/>
        <v>0.33</v>
      </c>
      <c r="J2033" s="442"/>
      <c r="K2033" s="1263"/>
      <c r="L2033" s="461"/>
      <c r="M2033" s="461"/>
      <c r="N2033" s="461"/>
    </row>
    <row r="2034" spans="1:14" s="462" customFormat="1" hidden="1" outlineLevel="1">
      <c r="A2034" s="1261"/>
      <c r="B2034" s="260"/>
      <c r="C2034" s="439" t="s">
        <v>2</v>
      </c>
      <c r="D2034" s="440">
        <v>1</v>
      </c>
      <c r="E2034" s="441">
        <v>1</v>
      </c>
      <c r="F2034" s="1363">
        <v>3.03</v>
      </c>
      <c r="G2034" s="1363">
        <v>0.23</v>
      </c>
      <c r="H2034" s="1363">
        <v>0.19000000000000006</v>
      </c>
      <c r="I2034" s="399">
        <f t="shared" si="52"/>
        <v>0.13</v>
      </c>
      <c r="J2034" s="442"/>
      <c r="K2034" s="1263"/>
      <c r="L2034" s="461"/>
      <c r="M2034" s="461"/>
      <c r="N2034" s="461"/>
    </row>
    <row r="2035" spans="1:14" s="462" customFormat="1" hidden="1" outlineLevel="1">
      <c r="A2035" s="1261"/>
      <c r="B2035" s="260"/>
      <c r="C2035" s="439"/>
      <c r="D2035" s="440"/>
      <c r="E2035" s="441"/>
      <c r="F2035" s="1363"/>
      <c r="G2035" s="1363"/>
      <c r="H2035" s="1363"/>
      <c r="I2035" s="399" t="str">
        <f t="shared" si="52"/>
        <v/>
      </c>
      <c r="J2035" s="442"/>
      <c r="K2035" s="1263"/>
      <c r="L2035" s="461"/>
      <c r="M2035" s="461"/>
      <c r="N2035" s="461"/>
    </row>
    <row r="2036" spans="1:14" s="462" customFormat="1" hidden="1" outlineLevel="1">
      <c r="A2036" s="1261"/>
      <c r="B2036" s="260" t="s">
        <v>188</v>
      </c>
      <c r="C2036" s="439" t="s">
        <v>2</v>
      </c>
      <c r="D2036" s="440">
        <v>1</v>
      </c>
      <c r="E2036" s="441">
        <v>1</v>
      </c>
      <c r="F2036" s="1363">
        <v>2.2600000000000002</v>
      </c>
      <c r="G2036" s="1363">
        <v>0.46</v>
      </c>
      <c r="H2036" s="1363">
        <v>0.3</v>
      </c>
      <c r="I2036" s="399">
        <f t="shared" si="52"/>
        <v>0.31</v>
      </c>
      <c r="J2036" s="442"/>
      <c r="K2036" s="1263"/>
      <c r="L2036" s="461"/>
      <c r="M2036" s="461"/>
      <c r="N2036" s="461"/>
    </row>
    <row r="2037" spans="1:14" s="462" customFormat="1" hidden="1" outlineLevel="1">
      <c r="A2037" s="1261"/>
      <c r="B2037" s="260"/>
      <c r="C2037" s="439" t="s">
        <v>2</v>
      </c>
      <c r="D2037" s="440">
        <v>1</v>
      </c>
      <c r="E2037" s="441">
        <v>1</v>
      </c>
      <c r="F2037" s="1363">
        <v>2.145</v>
      </c>
      <c r="G2037" s="1363">
        <v>0.34499999999999997</v>
      </c>
      <c r="H2037" s="1363">
        <v>0.3</v>
      </c>
      <c r="I2037" s="399">
        <f t="shared" si="52"/>
        <v>0.22</v>
      </c>
      <c r="J2037" s="442"/>
      <c r="K2037" s="1263"/>
      <c r="L2037" s="461"/>
      <c r="M2037" s="461"/>
      <c r="N2037" s="461"/>
    </row>
    <row r="2038" spans="1:14" s="462" customFormat="1" hidden="1" outlineLevel="1">
      <c r="A2038" s="1261"/>
      <c r="B2038" s="260"/>
      <c r="C2038" s="439" t="s">
        <v>2</v>
      </c>
      <c r="D2038" s="440">
        <v>1</v>
      </c>
      <c r="E2038" s="441">
        <v>1</v>
      </c>
      <c r="F2038" s="1363">
        <v>2.0300000000000002</v>
      </c>
      <c r="G2038" s="1363">
        <v>0.23</v>
      </c>
      <c r="H2038" s="1363">
        <v>0.19000000000000006</v>
      </c>
      <c r="I2038" s="399">
        <f t="shared" si="52"/>
        <v>0.09</v>
      </c>
      <c r="J2038" s="442"/>
      <c r="K2038" s="1263"/>
      <c r="L2038" s="461"/>
      <c r="M2038" s="461"/>
      <c r="N2038" s="461"/>
    </row>
    <row r="2039" spans="1:14" s="462" customFormat="1" hidden="1" outlineLevel="1">
      <c r="A2039" s="1261"/>
      <c r="B2039" s="260"/>
      <c r="C2039" s="439"/>
      <c r="D2039" s="440"/>
      <c r="E2039" s="441"/>
      <c r="F2039" s="1363"/>
      <c r="G2039" s="1363"/>
      <c r="H2039" s="1363"/>
      <c r="I2039" s="399" t="str">
        <f t="shared" si="52"/>
        <v/>
      </c>
      <c r="J2039" s="442"/>
      <c r="K2039" s="1263"/>
      <c r="L2039" s="461"/>
      <c r="M2039" s="461"/>
      <c r="N2039" s="461"/>
    </row>
    <row r="2040" spans="1:14" s="462" customFormat="1" hidden="1" outlineLevel="1">
      <c r="A2040" s="1261"/>
      <c r="B2040" s="260"/>
      <c r="C2040" s="439" t="s">
        <v>2</v>
      </c>
      <c r="D2040" s="440">
        <v>1</v>
      </c>
      <c r="E2040" s="441">
        <v>1</v>
      </c>
      <c r="F2040" s="1363">
        <v>6.66</v>
      </c>
      <c r="G2040" s="1363">
        <v>0.46</v>
      </c>
      <c r="H2040" s="1363">
        <v>0.3</v>
      </c>
      <c r="I2040" s="399">
        <f t="shared" si="52"/>
        <v>0.92</v>
      </c>
      <c r="J2040" s="442"/>
      <c r="K2040" s="1263"/>
      <c r="L2040" s="461"/>
      <c r="M2040" s="461"/>
      <c r="N2040" s="461"/>
    </row>
    <row r="2041" spans="1:14" s="462" customFormat="1" hidden="1" outlineLevel="1">
      <c r="A2041" s="1261"/>
      <c r="B2041" s="260"/>
      <c r="C2041" s="439" t="s">
        <v>2</v>
      </c>
      <c r="D2041" s="440">
        <v>1</v>
      </c>
      <c r="E2041" s="441">
        <v>1</v>
      </c>
      <c r="F2041" s="1363">
        <v>6.5449999999999999</v>
      </c>
      <c r="G2041" s="1363">
        <v>0.34499999999999997</v>
      </c>
      <c r="H2041" s="1363">
        <v>0.3</v>
      </c>
      <c r="I2041" s="399">
        <f t="shared" si="52"/>
        <v>0.68</v>
      </c>
      <c r="J2041" s="442"/>
      <c r="K2041" s="1263"/>
      <c r="L2041" s="461"/>
      <c r="M2041" s="461"/>
      <c r="N2041" s="461"/>
    </row>
    <row r="2042" spans="1:14" s="462" customFormat="1" hidden="1" outlineLevel="1">
      <c r="A2042" s="1261"/>
      <c r="B2042" s="260"/>
      <c r="C2042" s="439" t="s">
        <v>2</v>
      </c>
      <c r="D2042" s="440">
        <v>1</v>
      </c>
      <c r="E2042" s="441">
        <v>1</v>
      </c>
      <c r="F2042" s="1363">
        <v>6.4300000000000006</v>
      </c>
      <c r="G2042" s="1363">
        <v>0.23</v>
      </c>
      <c r="H2042" s="1363">
        <v>0.19000000000000006</v>
      </c>
      <c r="I2042" s="399">
        <f t="shared" si="52"/>
        <v>0.28000000000000003</v>
      </c>
      <c r="J2042" s="442"/>
      <c r="K2042" s="1263"/>
      <c r="L2042" s="461"/>
      <c r="M2042" s="461"/>
      <c r="N2042" s="461"/>
    </row>
    <row r="2043" spans="1:14" s="462" customFormat="1" hidden="1" outlineLevel="1">
      <c r="A2043" s="1261"/>
      <c r="B2043" s="260" t="s">
        <v>273</v>
      </c>
      <c r="C2043" s="439" t="s">
        <v>2</v>
      </c>
      <c r="D2043" s="440">
        <v>1</v>
      </c>
      <c r="E2043" s="441">
        <v>1</v>
      </c>
      <c r="F2043" s="1363">
        <v>3</v>
      </c>
      <c r="G2043" s="1363">
        <v>0.115</v>
      </c>
      <c r="H2043" s="1363">
        <v>0.19000000000000006</v>
      </c>
      <c r="I2043" s="399">
        <f t="shared" si="52"/>
        <v>7.0000000000000007E-2</v>
      </c>
      <c r="J2043" s="442"/>
      <c r="K2043" s="1263"/>
      <c r="L2043" s="461"/>
      <c r="M2043" s="461"/>
      <c r="N2043" s="461"/>
    </row>
    <row r="2044" spans="1:14" s="462" customFormat="1" hidden="1" outlineLevel="1">
      <c r="A2044" s="1261"/>
      <c r="B2044" s="260"/>
      <c r="C2044" s="439" t="s">
        <v>2</v>
      </c>
      <c r="D2044" s="440">
        <v>1</v>
      </c>
      <c r="E2044" s="441">
        <v>1</v>
      </c>
      <c r="F2044" s="1363">
        <v>3</v>
      </c>
      <c r="G2044" s="1363">
        <v>0.34499999999999997</v>
      </c>
      <c r="H2044" s="1363">
        <v>0.42499999999999999</v>
      </c>
      <c r="I2044" s="399">
        <f t="shared" si="52"/>
        <v>0.44</v>
      </c>
      <c r="J2044" s="442"/>
      <c r="K2044" s="1263"/>
      <c r="L2044" s="461"/>
      <c r="M2044" s="461"/>
      <c r="N2044" s="461"/>
    </row>
    <row r="2045" spans="1:14" s="462" customFormat="1" hidden="1" outlineLevel="1">
      <c r="A2045" s="1261"/>
      <c r="B2045" s="260"/>
      <c r="C2045" s="439"/>
      <c r="D2045" s="440"/>
      <c r="E2045" s="441"/>
      <c r="F2045" s="1363"/>
      <c r="G2045" s="1363"/>
      <c r="H2045" s="1363"/>
      <c r="I2045" s="399" t="str">
        <f t="shared" si="52"/>
        <v/>
      </c>
      <c r="J2045" s="442"/>
      <c r="K2045" s="1263"/>
      <c r="L2045" s="461"/>
      <c r="M2045" s="461"/>
      <c r="N2045" s="461"/>
    </row>
    <row r="2046" spans="1:14" s="462" customFormat="1" hidden="1" outlineLevel="1">
      <c r="A2046" s="1261"/>
      <c r="B2046" s="260"/>
      <c r="C2046" s="439" t="s">
        <v>2</v>
      </c>
      <c r="D2046" s="440">
        <v>1</v>
      </c>
      <c r="E2046" s="441">
        <v>1</v>
      </c>
      <c r="F2046" s="1363">
        <v>8.4600000000000009</v>
      </c>
      <c r="G2046" s="1363">
        <v>0.46</v>
      </c>
      <c r="H2046" s="1363">
        <v>0.3</v>
      </c>
      <c r="I2046" s="399">
        <f t="shared" si="52"/>
        <v>1.17</v>
      </c>
      <c r="J2046" s="442"/>
      <c r="K2046" s="1263"/>
      <c r="L2046" s="461"/>
      <c r="M2046" s="461"/>
      <c r="N2046" s="461"/>
    </row>
    <row r="2047" spans="1:14" s="462" customFormat="1" hidden="1" outlineLevel="1">
      <c r="A2047" s="1261"/>
      <c r="B2047" s="260"/>
      <c r="C2047" s="439" t="s">
        <v>2</v>
      </c>
      <c r="D2047" s="440">
        <v>1</v>
      </c>
      <c r="E2047" s="441">
        <v>1</v>
      </c>
      <c r="F2047" s="1363">
        <v>8.3450000000000006</v>
      </c>
      <c r="G2047" s="1363">
        <v>0.34499999999999997</v>
      </c>
      <c r="H2047" s="1363">
        <v>0.3</v>
      </c>
      <c r="I2047" s="399">
        <f t="shared" si="52"/>
        <v>0.86</v>
      </c>
      <c r="J2047" s="442"/>
      <c r="K2047" s="1263"/>
      <c r="L2047" s="461"/>
      <c r="M2047" s="461"/>
      <c r="N2047" s="461"/>
    </row>
    <row r="2048" spans="1:14" s="462" customFormat="1" hidden="1" outlineLevel="1">
      <c r="A2048" s="1261"/>
      <c r="B2048" s="260"/>
      <c r="C2048" s="439" t="s">
        <v>2</v>
      </c>
      <c r="D2048" s="440">
        <v>1</v>
      </c>
      <c r="E2048" s="441">
        <v>1</v>
      </c>
      <c r="F2048" s="1363">
        <v>8.23</v>
      </c>
      <c r="G2048" s="1363">
        <v>0.23</v>
      </c>
      <c r="H2048" s="1363">
        <v>0.19000000000000006</v>
      </c>
      <c r="I2048" s="399">
        <f t="shared" si="52"/>
        <v>0.36</v>
      </c>
      <c r="J2048" s="442"/>
      <c r="K2048" s="1263"/>
      <c r="L2048" s="461"/>
      <c r="M2048" s="461"/>
      <c r="N2048" s="461"/>
    </row>
    <row r="2049" spans="1:14" s="462" customFormat="1" hidden="1" outlineLevel="1">
      <c r="A2049" s="1261"/>
      <c r="B2049" s="260" t="s">
        <v>273</v>
      </c>
      <c r="C2049" s="439" t="s">
        <v>2</v>
      </c>
      <c r="D2049" s="440">
        <v>1</v>
      </c>
      <c r="E2049" s="441">
        <v>1</v>
      </c>
      <c r="F2049" s="1363">
        <v>3</v>
      </c>
      <c r="G2049" s="1363">
        <v>0.115</v>
      </c>
      <c r="H2049" s="1363">
        <v>0.19000000000000006</v>
      </c>
      <c r="I2049" s="399">
        <f t="shared" si="52"/>
        <v>7.0000000000000007E-2</v>
      </c>
      <c r="J2049" s="442"/>
      <c r="K2049" s="1263"/>
      <c r="L2049" s="461"/>
      <c r="M2049" s="461"/>
      <c r="N2049" s="461"/>
    </row>
    <row r="2050" spans="1:14" s="462" customFormat="1" hidden="1" outlineLevel="1">
      <c r="A2050" s="1261"/>
      <c r="B2050" s="260"/>
      <c r="C2050" s="439" t="s">
        <v>2</v>
      </c>
      <c r="D2050" s="440">
        <v>1</v>
      </c>
      <c r="E2050" s="441">
        <v>1</v>
      </c>
      <c r="F2050" s="1363">
        <v>3</v>
      </c>
      <c r="G2050" s="1363">
        <v>0.34499999999999997</v>
      </c>
      <c r="H2050" s="1363">
        <v>0.42499999999999999</v>
      </c>
      <c r="I2050" s="399">
        <f t="shared" si="52"/>
        <v>0.44</v>
      </c>
      <c r="J2050" s="442"/>
      <c r="K2050" s="1263"/>
      <c r="L2050" s="461"/>
      <c r="M2050" s="461"/>
      <c r="N2050" s="461"/>
    </row>
    <row r="2051" spans="1:14" s="462" customFormat="1" hidden="1" outlineLevel="1">
      <c r="A2051" s="1261"/>
      <c r="B2051" s="260"/>
      <c r="C2051" s="439"/>
      <c r="D2051" s="440"/>
      <c r="E2051" s="441"/>
      <c r="F2051" s="1363"/>
      <c r="G2051" s="1363"/>
      <c r="H2051" s="1363"/>
      <c r="I2051" s="399" t="str">
        <f t="shared" si="52"/>
        <v/>
      </c>
      <c r="J2051" s="442"/>
      <c r="K2051" s="1263"/>
      <c r="L2051" s="461"/>
      <c r="M2051" s="461"/>
      <c r="N2051" s="461"/>
    </row>
    <row r="2052" spans="1:14" s="462" customFormat="1" hidden="1" outlineLevel="1">
      <c r="A2052" s="1261"/>
      <c r="B2052" s="260"/>
      <c r="C2052" s="439" t="s">
        <v>2</v>
      </c>
      <c r="D2052" s="440">
        <v>1</v>
      </c>
      <c r="E2052" s="441">
        <v>1</v>
      </c>
      <c r="F2052" s="1363">
        <v>1.46</v>
      </c>
      <c r="G2052" s="1363">
        <v>0.46</v>
      </c>
      <c r="H2052" s="1363">
        <v>0.3</v>
      </c>
      <c r="I2052" s="399">
        <f t="shared" si="52"/>
        <v>0.2</v>
      </c>
      <c r="J2052" s="442"/>
      <c r="K2052" s="1263"/>
      <c r="L2052" s="461"/>
      <c r="M2052" s="461"/>
      <c r="N2052" s="461"/>
    </row>
    <row r="2053" spans="1:14" s="462" customFormat="1" hidden="1" outlineLevel="1">
      <c r="A2053" s="1261"/>
      <c r="B2053" s="260"/>
      <c r="C2053" s="439" t="s">
        <v>2</v>
      </c>
      <c r="D2053" s="440">
        <v>1</v>
      </c>
      <c r="E2053" s="441">
        <v>1</v>
      </c>
      <c r="F2053" s="1363">
        <v>1.345</v>
      </c>
      <c r="G2053" s="1363">
        <v>0.34499999999999997</v>
      </c>
      <c r="H2053" s="1363">
        <v>0.3</v>
      </c>
      <c r="I2053" s="399">
        <f t="shared" si="52"/>
        <v>0.14000000000000001</v>
      </c>
      <c r="J2053" s="442"/>
      <c r="K2053" s="1263"/>
      <c r="L2053" s="461"/>
      <c r="M2053" s="461"/>
      <c r="N2053" s="461"/>
    </row>
    <row r="2054" spans="1:14" s="462" customFormat="1" hidden="1" outlineLevel="1">
      <c r="A2054" s="1261"/>
      <c r="B2054" s="260"/>
      <c r="C2054" s="439" t="s">
        <v>2</v>
      </c>
      <c r="D2054" s="440">
        <v>1</v>
      </c>
      <c r="E2054" s="441">
        <v>1</v>
      </c>
      <c r="F2054" s="1363">
        <v>1.23</v>
      </c>
      <c r="G2054" s="1363">
        <v>0.23</v>
      </c>
      <c r="H2054" s="1363">
        <v>0.19000000000000006</v>
      </c>
      <c r="I2054" s="399">
        <f t="shared" si="52"/>
        <v>0.05</v>
      </c>
      <c r="J2054" s="442"/>
      <c r="K2054" s="1263"/>
      <c r="L2054" s="461"/>
      <c r="M2054" s="461"/>
      <c r="N2054" s="461"/>
    </row>
    <row r="2055" spans="1:14" s="462" customFormat="1" hidden="1" outlineLevel="1">
      <c r="A2055" s="1261"/>
      <c r="B2055" s="260"/>
      <c r="C2055" s="439"/>
      <c r="D2055" s="440"/>
      <c r="E2055" s="441"/>
      <c r="F2055" s="1363"/>
      <c r="G2055" s="1363"/>
      <c r="H2055" s="1363"/>
      <c r="I2055" s="399" t="str">
        <f t="shared" si="52"/>
        <v/>
      </c>
      <c r="J2055" s="442"/>
      <c r="K2055" s="1263"/>
      <c r="L2055" s="461"/>
      <c r="M2055" s="461"/>
      <c r="N2055" s="461"/>
    </row>
    <row r="2056" spans="1:14" s="462" customFormat="1" hidden="1" outlineLevel="1">
      <c r="A2056" s="1261"/>
      <c r="B2056" s="260"/>
      <c r="C2056" s="439" t="s">
        <v>2</v>
      </c>
      <c r="D2056" s="440">
        <v>1</v>
      </c>
      <c r="E2056" s="441">
        <v>1</v>
      </c>
      <c r="F2056" s="1363">
        <v>6.46</v>
      </c>
      <c r="G2056" s="1363">
        <v>0.46</v>
      </c>
      <c r="H2056" s="1363">
        <v>0.3</v>
      </c>
      <c r="I2056" s="399">
        <f t="shared" si="52"/>
        <v>0.89</v>
      </c>
      <c r="J2056" s="442"/>
      <c r="K2056" s="1263"/>
      <c r="L2056" s="461"/>
      <c r="M2056" s="461"/>
      <c r="N2056" s="461"/>
    </row>
    <row r="2057" spans="1:14" s="462" customFormat="1" hidden="1" outlineLevel="1">
      <c r="A2057" s="1261"/>
      <c r="B2057" s="260"/>
      <c r="C2057" s="439" t="s">
        <v>2</v>
      </c>
      <c r="D2057" s="440">
        <v>1</v>
      </c>
      <c r="E2057" s="441">
        <v>1</v>
      </c>
      <c r="F2057" s="1363">
        <v>6.3449999999999998</v>
      </c>
      <c r="G2057" s="1363">
        <v>0.34499999999999997</v>
      </c>
      <c r="H2057" s="1363">
        <v>0.3</v>
      </c>
      <c r="I2057" s="399">
        <f t="shared" si="52"/>
        <v>0.66</v>
      </c>
      <c r="J2057" s="442"/>
      <c r="K2057" s="1263"/>
      <c r="L2057" s="461"/>
      <c r="M2057" s="461"/>
      <c r="N2057" s="461"/>
    </row>
    <row r="2058" spans="1:14" s="462" customFormat="1" hidden="1" outlineLevel="1">
      <c r="A2058" s="1261"/>
      <c r="B2058" s="260"/>
      <c r="C2058" s="439" t="s">
        <v>2</v>
      </c>
      <c r="D2058" s="440">
        <v>1</v>
      </c>
      <c r="E2058" s="441">
        <v>1</v>
      </c>
      <c r="F2058" s="1363">
        <v>6.23</v>
      </c>
      <c r="G2058" s="1363">
        <v>0.23</v>
      </c>
      <c r="H2058" s="1363">
        <v>0.19000000000000006</v>
      </c>
      <c r="I2058" s="399">
        <f t="shared" si="52"/>
        <v>0.27</v>
      </c>
      <c r="J2058" s="442"/>
      <c r="K2058" s="1263"/>
      <c r="L2058" s="461"/>
      <c r="M2058" s="461"/>
      <c r="N2058" s="461"/>
    </row>
    <row r="2059" spans="1:14" s="462" customFormat="1" hidden="1" outlineLevel="1">
      <c r="A2059" s="1261"/>
      <c r="B2059" s="260"/>
      <c r="C2059" s="439"/>
      <c r="D2059" s="440"/>
      <c r="E2059" s="441"/>
      <c r="F2059" s="1363"/>
      <c r="G2059" s="1363"/>
      <c r="H2059" s="1363"/>
      <c r="I2059" s="399" t="str">
        <f t="shared" si="52"/>
        <v/>
      </c>
      <c r="J2059" s="442"/>
      <c r="K2059" s="1263"/>
      <c r="L2059" s="461"/>
      <c r="M2059" s="461"/>
      <c r="N2059" s="461"/>
    </row>
    <row r="2060" spans="1:14" s="462" customFormat="1" hidden="1" outlineLevel="1">
      <c r="A2060" s="1261"/>
      <c r="B2060" s="260"/>
      <c r="C2060" s="439" t="s">
        <v>2</v>
      </c>
      <c r="D2060" s="440">
        <v>1</v>
      </c>
      <c r="E2060" s="441">
        <v>1</v>
      </c>
      <c r="F2060" s="1363">
        <v>3.26</v>
      </c>
      <c r="G2060" s="1363">
        <v>0.46</v>
      </c>
      <c r="H2060" s="1363">
        <v>0.3</v>
      </c>
      <c r="I2060" s="399">
        <f t="shared" si="52"/>
        <v>0.45</v>
      </c>
      <c r="J2060" s="442"/>
      <c r="K2060" s="1263"/>
      <c r="L2060" s="461"/>
      <c r="M2060" s="461"/>
      <c r="N2060" s="461"/>
    </row>
    <row r="2061" spans="1:14" s="462" customFormat="1" hidden="1" outlineLevel="1">
      <c r="A2061" s="1261"/>
      <c r="B2061" s="260"/>
      <c r="C2061" s="439" t="s">
        <v>2</v>
      </c>
      <c r="D2061" s="440">
        <v>1</v>
      </c>
      <c r="E2061" s="441">
        <v>1</v>
      </c>
      <c r="F2061" s="1363">
        <v>3.1449999999999996</v>
      </c>
      <c r="G2061" s="1363">
        <v>0.34499999999999997</v>
      </c>
      <c r="H2061" s="1363">
        <v>0.3</v>
      </c>
      <c r="I2061" s="399">
        <f t="shared" si="52"/>
        <v>0.33</v>
      </c>
      <c r="J2061" s="442"/>
      <c r="K2061" s="1263"/>
      <c r="L2061" s="461"/>
      <c r="M2061" s="461"/>
      <c r="N2061" s="461"/>
    </row>
    <row r="2062" spans="1:14" s="462" customFormat="1" hidden="1" outlineLevel="1">
      <c r="A2062" s="1261"/>
      <c r="B2062" s="260"/>
      <c r="C2062" s="439" t="s">
        <v>2</v>
      </c>
      <c r="D2062" s="440">
        <v>1</v>
      </c>
      <c r="E2062" s="441">
        <v>1</v>
      </c>
      <c r="F2062" s="1363">
        <v>3.03</v>
      </c>
      <c r="G2062" s="1363">
        <v>0.23</v>
      </c>
      <c r="H2062" s="1363">
        <v>0.19000000000000006</v>
      </c>
      <c r="I2062" s="399">
        <f t="shared" si="52"/>
        <v>0.13</v>
      </c>
      <c r="J2062" s="442"/>
      <c r="K2062" s="1263"/>
      <c r="L2062" s="461"/>
      <c r="M2062" s="461"/>
      <c r="N2062" s="461"/>
    </row>
    <row r="2063" spans="1:14" s="462" customFormat="1" hidden="1" outlineLevel="1">
      <c r="A2063" s="1261"/>
      <c r="B2063" s="260"/>
      <c r="C2063" s="439"/>
      <c r="D2063" s="440"/>
      <c r="E2063" s="441"/>
      <c r="F2063" s="1363"/>
      <c r="G2063" s="1363"/>
      <c r="H2063" s="1363"/>
      <c r="I2063" s="399" t="str">
        <f t="shared" si="52"/>
        <v/>
      </c>
      <c r="J2063" s="442"/>
      <c r="K2063" s="1263"/>
      <c r="L2063" s="461"/>
      <c r="M2063" s="461"/>
      <c r="N2063" s="461"/>
    </row>
    <row r="2064" spans="1:14" s="462" customFormat="1" hidden="1" outlineLevel="1">
      <c r="A2064" s="1261"/>
      <c r="B2064" s="260"/>
      <c r="C2064" s="439" t="s">
        <v>2</v>
      </c>
      <c r="D2064" s="440">
        <v>1</v>
      </c>
      <c r="E2064" s="441">
        <v>1</v>
      </c>
      <c r="F2064" s="1363">
        <v>4.66</v>
      </c>
      <c r="G2064" s="1363">
        <v>0.46</v>
      </c>
      <c r="H2064" s="1363">
        <v>0.3</v>
      </c>
      <c r="I2064" s="399">
        <f t="shared" si="52"/>
        <v>0.64</v>
      </c>
      <c r="J2064" s="442"/>
      <c r="K2064" s="1263"/>
      <c r="L2064" s="461"/>
      <c r="M2064" s="461"/>
      <c r="N2064" s="461"/>
    </row>
    <row r="2065" spans="1:14" s="462" customFormat="1" hidden="1" outlineLevel="1">
      <c r="A2065" s="1261"/>
      <c r="B2065" s="260"/>
      <c r="C2065" s="439" t="s">
        <v>2</v>
      </c>
      <c r="D2065" s="440">
        <v>1</v>
      </c>
      <c r="E2065" s="441">
        <v>1</v>
      </c>
      <c r="F2065" s="1363">
        <v>4.5449999999999999</v>
      </c>
      <c r="G2065" s="1363">
        <v>0.34499999999999997</v>
      </c>
      <c r="H2065" s="1363">
        <v>0.3</v>
      </c>
      <c r="I2065" s="399">
        <f t="shared" si="52"/>
        <v>0.47</v>
      </c>
      <c r="J2065" s="442"/>
      <c r="K2065" s="1263"/>
      <c r="L2065" s="461"/>
      <c r="M2065" s="461"/>
      <c r="N2065" s="461"/>
    </row>
    <row r="2066" spans="1:14" s="462" customFormat="1" hidden="1" outlineLevel="1">
      <c r="A2066" s="1261"/>
      <c r="B2066" s="260"/>
      <c r="C2066" s="439" t="s">
        <v>2</v>
      </c>
      <c r="D2066" s="440">
        <v>1</v>
      </c>
      <c r="E2066" s="441">
        <v>1</v>
      </c>
      <c r="F2066" s="1363">
        <v>4.4300000000000006</v>
      </c>
      <c r="G2066" s="1363">
        <v>0.23</v>
      </c>
      <c r="H2066" s="1363">
        <v>0.19000000000000006</v>
      </c>
      <c r="I2066" s="399">
        <f t="shared" si="52"/>
        <v>0.19</v>
      </c>
      <c r="J2066" s="442"/>
      <c r="K2066" s="1263"/>
      <c r="L2066" s="461"/>
      <c r="M2066" s="461"/>
      <c r="N2066" s="461"/>
    </row>
    <row r="2067" spans="1:14" s="462" customFormat="1" hidden="1" outlineLevel="1">
      <c r="A2067" s="1261"/>
      <c r="B2067" s="260" t="s">
        <v>273</v>
      </c>
      <c r="C2067" s="439" t="s">
        <v>2</v>
      </c>
      <c r="D2067" s="440">
        <v>1</v>
      </c>
      <c r="E2067" s="441">
        <v>1</v>
      </c>
      <c r="F2067" s="1363">
        <v>3</v>
      </c>
      <c r="G2067" s="1363">
        <v>0.115</v>
      </c>
      <c r="H2067" s="1363">
        <v>0.19000000000000006</v>
      </c>
      <c r="I2067" s="399">
        <f t="shared" si="52"/>
        <v>7.0000000000000007E-2</v>
      </c>
      <c r="J2067" s="442"/>
      <c r="K2067" s="1263"/>
      <c r="L2067" s="461"/>
      <c r="M2067" s="461"/>
      <c r="N2067" s="461"/>
    </row>
    <row r="2068" spans="1:14" s="462" customFormat="1" hidden="1" outlineLevel="1">
      <c r="A2068" s="1261"/>
      <c r="B2068" s="260"/>
      <c r="C2068" s="439" t="s">
        <v>2</v>
      </c>
      <c r="D2068" s="440">
        <v>1</v>
      </c>
      <c r="E2068" s="441">
        <v>1</v>
      </c>
      <c r="F2068" s="1363">
        <v>3</v>
      </c>
      <c r="G2068" s="1363">
        <v>0.34499999999999997</v>
      </c>
      <c r="H2068" s="1363">
        <v>0.42499999999999999</v>
      </c>
      <c r="I2068" s="399">
        <f t="shared" si="52"/>
        <v>0.44</v>
      </c>
      <c r="J2068" s="442"/>
      <c r="K2068" s="1263"/>
      <c r="L2068" s="461"/>
      <c r="M2068" s="461"/>
      <c r="N2068" s="461"/>
    </row>
    <row r="2069" spans="1:14" s="462" customFormat="1" hidden="1" outlineLevel="1">
      <c r="A2069" s="1261"/>
      <c r="B2069" s="260"/>
      <c r="C2069" s="439"/>
      <c r="D2069" s="440"/>
      <c r="E2069" s="441"/>
      <c r="F2069" s="1363"/>
      <c r="G2069" s="1363"/>
      <c r="H2069" s="1363"/>
      <c r="I2069" s="399" t="str">
        <f t="shared" si="52"/>
        <v/>
      </c>
      <c r="J2069" s="442"/>
      <c r="K2069" s="1263"/>
      <c r="L2069" s="461"/>
      <c r="M2069" s="461"/>
      <c r="N2069" s="461"/>
    </row>
    <row r="2070" spans="1:14" s="462" customFormat="1" hidden="1" outlineLevel="1">
      <c r="A2070" s="1261"/>
      <c r="B2070" s="260"/>
      <c r="C2070" s="439" t="s">
        <v>2</v>
      </c>
      <c r="D2070" s="440">
        <v>1</v>
      </c>
      <c r="E2070" s="441">
        <v>1</v>
      </c>
      <c r="F2070" s="1363">
        <v>2.2600000000000002</v>
      </c>
      <c r="G2070" s="1363">
        <v>0.46</v>
      </c>
      <c r="H2070" s="1363">
        <v>0.3</v>
      </c>
      <c r="I2070" s="399">
        <f t="shared" si="52"/>
        <v>0.31</v>
      </c>
      <c r="J2070" s="442"/>
      <c r="K2070" s="1263"/>
      <c r="L2070" s="461"/>
      <c r="M2070" s="461"/>
      <c r="N2070" s="461"/>
    </row>
    <row r="2071" spans="1:14" s="462" customFormat="1" hidden="1" outlineLevel="1">
      <c r="A2071" s="1261"/>
      <c r="B2071" s="260"/>
      <c r="C2071" s="439" t="s">
        <v>2</v>
      </c>
      <c r="D2071" s="440">
        <v>1</v>
      </c>
      <c r="E2071" s="441">
        <v>1</v>
      </c>
      <c r="F2071" s="1363">
        <v>2.145</v>
      </c>
      <c r="G2071" s="1363">
        <v>0.34499999999999997</v>
      </c>
      <c r="H2071" s="1363">
        <v>0.3</v>
      </c>
      <c r="I2071" s="399">
        <f t="shared" si="52"/>
        <v>0.22</v>
      </c>
      <c r="J2071" s="442"/>
      <c r="K2071" s="1263"/>
      <c r="L2071" s="461"/>
      <c r="M2071" s="461"/>
      <c r="N2071" s="461"/>
    </row>
    <row r="2072" spans="1:14" s="462" customFormat="1" hidden="1" outlineLevel="1">
      <c r="A2072" s="1261"/>
      <c r="B2072" s="260"/>
      <c r="C2072" s="439" t="s">
        <v>2</v>
      </c>
      <c r="D2072" s="440">
        <v>1</v>
      </c>
      <c r="E2072" s="441">
        <v>1</v>
      </c>
      <c r="F2072" s="1363">
        <v>2.0300000000000002</v>
      </c>
      <c r="G2072" s="1363">
        <v>0.23</v>
      </c>
      <c r="H2072" s="1363">
        <v>0.19000000000000006</v>
      </c>
      <c r="I2072" s="399">
        <f t="shared" ref="I2072:I2135" si="53">IF(D2072&lt;&gt;0,ROUND(PRODUCT(E2072:H2072)*D2072,2),"")</f>
        <v>0.09</v>
      </c>
      <c r="J2072" s="442"/>
      <c r="K2072" s="1263"/>
      <c r="L2072" s="461"/>
      <c r="M2072" s="461"/>
      <c r="N2072" s="461"/>
    </row>
    <row r="2073" spans="1:14" s="462" customFormat="1" hidden="1" outlineLevel="1">
      <c r="A2073" s="1261"/>
      <c r="B2073" s="260"/>
      <c r="C2073" s="439"/>
      <c r="D2073" s="440"/>
      <c r="E2073" s="441"/>
      <c r="F2073" s="1363"/>
      <c r="G2073" s="1363"/>
      <c r="H2073" s="1363"/>
      <c r="I2073" s="399" t="str">
        <f t="shared" si="53"/>
        <v/>
      </c>
      <c r="J2073" s="442"/>
      <c r="K2073" s="1263"/>
      <c r="L2073" s="461"/>
      <c r="M2073" s="461"/>
      <c r="N2073" s="461"/>
    </row>
    <row r="2074" spans="1:14" s="462" customFormat="1" hidden="1" outlineLevel="1">
      <c r="A2074" s="1261"/>
      <c r="B2074" s="260"/>
      <c r="C2074" s="439" t="s">
        <v>2</v>
      </c>
      <c r="D2074" s="440">
        <v>1</v>
      </c>
      <c r="E2074" s="441">
        <v>1</v>
      </c>
      <c r="F2074" s="1363">
        <v>3.16</v>
      </c>
      <c r="G2074" s="1363">
        <v>0.46</v>
      </c>
      <c r="H2074" s="1363">
        <v>0.3</v>
      </c>
      <c r="I2074" s="399">
        <f t="shared" si="53"/>
        <v>0.44</v>
      </c>
      <c r="J2074" s="442"/>
      <c r="K2074" s="1263"/>
      <c r="L2074" s="461"/>
      <c r="M2074" s="461"/>
      <c r="N2074" s="461"/>
    </row>
    <row r="2075" spans="1:14" s="462" customFormat="1" hidden="1" outlineLevel="1">
      <c r="A2075" s="1261"/>
      <c r="B2075" s="260"/>
      <c r="C2075" s="439" t="s">
        <v>2</v>
      </c>
      <c r="D2075" s="440">
        <v>1</v>
      </c>
      <c r="E2075" s="441">
        <v>1</v>
      </c>
      <c r="F2075" s="1363">
        <v>3.0449999999999999</v>
      </c>
      <c r="G2075" s="1363">
        <v>0.34499999999999997</v>
      </c>
      <c r="H2075" s="1363">
        <v>0.3</v>
      </c>
      <c r="I2075" s="399">
        <f t="shared" si="53"/>
        <v>0.32</v>
      </c>
      <c r="J2075" s="442"/>
      <c r="K2075" s="1263"/>
      <c r="L2075" s="461"/>
      <c r="M2075" s="461"/>
      <c r="N2075" s="461"/>
    </row>
    <row r="2076" spans="1:14" s="462" customFormat="1" hidden="1" outlineLevel="1">
      <c r="A2076" s="1261"/>
      <c r="B2076" s="260"/>
      <c r="C2076" s="439" t="s">
        <v>2</v>
      </c>
      <c r="D2076" s="440">
        <v>1</v>
      </c>
      <c r="E2076" s="441">
        <v>1</v>
      </c>
      <c r="F2076" s="1363">
        <v>2.93</v>
      </c>
      <c r="G2076" s="1363">
        <v>0.23</v>
      </c>
      <c r="H2076" s="1363">
        <v>0.19000000000000006</v>
      </c>
      <c r="I2076" s="399">
        <f t="shared" si="53"/>
        <v>0.13</v>
      </c>
      <c r="J2076" s="442"/>
      <c r="K2076" s="1263"/>
      <c r="L2076" s="461"/>
      <c r="M2076" s="461"/>
      <c r="N2076" s="461"/>
    </row>
    <row r="2077" spans="1:14" s="462" customFormat="1" hidden="1" outlineLevel="1">
      <c r="A2077" s="1261"/>
      <c r="B2077" s="260"/>
      <c r="C2077" s="439"/>
      <c r="D2077" s="440"/>
      <c r="E2077" s="441"/>
      <c r="F2077" s="1363"/>
      <c r="G2077" s="1363"/>
      <c r="H2077" s="1363"/>
      <c r="I2077" s="399" t="str">
        <f t="shared" si="53"/>
        <v/>
      </c>
      <c r="J2077" s="442"/>
      <c r="K2077" s="1263"/>
      <c r="L2077" s="461"/>
      <c r="M2077" s="461"/>
      <c r="N2077" s="461"/>
    </row>
    <row r="2078" spans="1:14" s="462" customFormat="1" hidden="1" outlineLevel="1">
      <c r="A2078" s="1261"/>
      <c r="B2078" s="260"/>
      <c r="C2078" s="439" t="s">
        <v>2</v>
      </c>
      <c r="D2078" s="440">
        <v>1</v>
      </c>
      <c r="E2078" s="441">
        <v>1</v>
      </c>
      <c r="F2078" s="1363">
        <v>4.96</v>
      </c>
      <c r="G2078" s="1363">
        <v>0.46</v>
      </c>
      <c r="H2078" s="1363">
        <v>0.3</v>
      </c>
      <c r="I2078" s="399">
        <f t="shared" si="53"/>
        <v>0.68</v>
      </c>
      <c r="J2078" s="442"/>
      <c r="K2078" s="1263"/>
      <c r="L2078" s="461"/>
      <c r="M2078" s="461"/>
      <c r="N2078" s="461"/>
    </row>
    <row r="2079" spans="1:14" s="462" customFormat="1" hidden="1" outlineLevel="1">
      <c r="A2079" s="1261"/>
      <c r="B2079" s="260"/>
      <c r="C2079" s="439" t="s">
        <v>2</v>
      </c>
      <c r="D2079" s="440">
        <v>1</v>
      </c>
      <c r="E2079" s="441">
        <v>1</v>
      </c>
      <c r="F2079" s="1363">
        <v>4.8449999999999998</v>
      </c>
      <c r="G2079" s="1363">
        <v>0.34499999999999997</v>
      </c>
      <c r="H2079" s="1363">
        <v>0.3</v>
      </c>
      <c r="I2079" s="399">
        <f t="shared" si="53"/>
        <v>0.5</v>
      </c>
      <c r="J2079" s="442"/>
      <c r="K2079" s="1263"/>
      <c r="L2079" s="461"/>
      <c r="M2079" s="461"/>
      <c r="N2079" s="461"/>
    </row>
    <row r="2080" spans="1:14" s="462" customFormat="1" hidden="1" outlineLevel="1">
      <c r="A2080" s="1261"/>
      <c r="B2080" s="260"/>
      <c r="C2080" s="439" t="s">
        <v>2</v>
      </c>
      <c r="D2080" s="440">
        <v>1</v>
      </c>
      <c r="E2080" s="441">
        <v>1</v>
      </c>
      <c r="F2080" s="1363">
        <v>4.7300000000000004</v>
      </c>
      <c r="G2080" s="1363">
        <v>0.23</v>
      </c>
      <c r="H2080" s="1363">
        <v>0.19000000000000006</v>
      </c>
      <c r="I2080" s="399">
        <f t="shared" si="53"/>
        <v>0.21</v>
      </c>
      <c r="J2080" s="442"/>
      <c r="K2080" s="1263"/>
      <c r="L2080" s="461"/>
      <c r="M2080" s="461"/>
      <c r="N2080" s="461"/>
    </row>
    <row r="2081" spans="1:14" s="462" customFormat="1" hidden="1" outlineLevel="1">
      <c r="A2081" s="1261"/>
      <c r="B2081" s="260" t="s">
        <v>273</v>
      </c>
      <c r="C2081" s="439" t="s">
        <v>2</v>
      </c>
      <c r="D2081" s="440">
        <v>1</v>
      </c>
      <c r="E2081" s="441">
        <v>1</v>
      </c>
      <c r="F2081" s="1363">
        <v>3</v>
      </c>
      <c r="G2081" s="1363">
        <v>0.115</v>
      </c>
      <c r="H2081" s="1363">
        <v>0.19000000000000006</v>
      </c>
      <c r="I2081" s="399">
        <f t="shared" si="53"/>
        <v>7.0000000000000007E-2</v>
      </c>
      <c r="J2081" s="442"/>
      <c r="K2081" s="1263"/>
      <c r="L2081" s="461"/>
      <c r="M2081" s="461"/>
      <c r="N2081" s="461"/>
    </row>
    <row r="2082" spans="1:14" s="462" customFormat="1" hidden="1" outlineLevel="1">
      <c r="A2082" s="1261"/>
      <c r="B2082" s="260"/>
      <c r="C2082" s="439" t="s">
        <v>2</v>
      </c>
      <c r="D2082" s="440">
        <v>1</v>
      </c>
      <c r="E2082" s="441">
        <v>1</v>
      </c>
      <c r="F2082" s="1363">
        <v>3</v>
      </c>
      <c r="G2082" s="1363">
        <v>0.34499999999999997</v>
      </c>
      <c r="H2082" s="1363">
        <v>0.42499999999999999</v>
      </c>
      <c r="I2082" s="399">
        <f t="shared" si="53"/>
        <v>0.44</v>
      </c>
      <c r="J2082" s="442"/>
      <c r="K2082" s="1263"/>
      <c r="L2082" s="461"/>
      <c r="M2082" s="461"/>
      <c r="N2082" s="461"/>
    </row>
    <row r="2083" spans="1:14" s="462" customFormat="1" hidden="1" outlineLevel="1">
      <c r="A2083" s="1261"/>
      <c r="B2083" s="260"/>
      <c r="C2083" s="439"/>
      <c r="D2083" s="440"/>
      <c r="E2083" s="441"/>
      <c r="F2083" s="1363"/>
      <c r="G2083" s="1363"/>
      <c r="H2083" s="1363"/>
      <c r="I2083" s="399" t="str">
        <f t="shared" si="53"/>
        <v/>
      </c>
      <c r="J2083" s="442"/>
      <c r="K2083" s="1263"/>
      <c r="L2083" s="461"/>
      <c r="M2083" s="461"/>
      <c r="N2083" s="461"/>
    </row>
    <row r="2084" spans="1:14" s="462" customFormat="1" hidden="1" outlineLevel="1">
      <c r="A2084" s="1261"/>
      <c r="B2084" s="260"/>
      <c r="C2084" s="439" t="s">
        <v>2</v>
      </c>
      <c r="D2084" s="440">
        <v>1</v>
      </c>
      <c r="E2084" s="441">
        <v>1</v>
      </c>
      <c r="F2084" s="1363">
        <v>1.2</v>
      </c>
      <c r="G2084" s="1363">
        <v>0.46</v>
      </c>
      <c r="H2084" s="1363">
        <v>0.3</v>
      </c>
      <c r="I2084" s="399">
        <f t="shared" si="53"/>
        <v>0.17</v>
      </c>
      <c r="J2084" s="442"/>
      <c r="K2084" s="1263"/>
      <c r="L2084" s="461"/>
      <c r="M2084" s="461"/>
      <c r="N2084" s="461"/>
    </row>
    <row r="2085" spans="1:14" s="462" customFormat="1" hidden="1" outlineLevel="1">
      <c r="A2085" s="1261"/>
      <c r="B2085" s="260"/>
      <c r="C2085" s="439" t="s">
        <v>2</v>
      </c>
      <c r="D2085" s="440">
        <v>1</v>
      </c>
      <c r="E2085" s="441">
        <v>1</v>
      </c>
      <c r="F2085" s="1363">
        <v>1.2</v>
      </c>
      <c r="G2085" s="1363">
        <v>0.34499999999999997</v>
      </c>
      <c r="H2085" s="1363">
        <v>0.3</v>
      </c>
      <c r="I2085" s="399">
        <f t="shared" si="53"/>
        <v>0.12</v>
      </c>
      <c r="J2085" s="442"/>
      <c r="K2085" s="1263"/>
      <c r="L2085" s="461"/>
      <c r="M2085" s="461"/>
      <c r="N2085" s="461"/>
    </row>
    <row r="2086" spans="1:14" s="462" customFormat="1" hidden="1" outlineLevel="1">
      <c r="A2086" s="1261"/>
      <c r="B2086" s="260"/>
      <c r="C2086" s="439" t="s">
        <v>2</v>
      </c>
      <c r="D2086" s="440">
        <v>1</v>
      </c>
      <c r="E2086" s="441">
        <v>1</v>
      </c>
      <c r="F2086" s="1363">
        <v>1.2</v>
      </c>
      <c r="G2086" s="1363">
        <v>0.23</v>
      </c>
      <c r="H2086" s="1363">
        <v>0.19000000000000006</v>
      </c>
      <c r="I2086" s="399">
        <f t="shared" si="53"/>
        <v>0.05</v>
      </c>
      <c r="J2086" s="442"/>
      <c r="K2086" s="1263"/>
      <c r="L2086" s="461"/>
      <c r="M2086" s="461"/>
      <c r="N2086" s="461"/>
    </row>
    <row r="2087" spans="1:14" s="462" customFormat="1" hidden="1" outlineLevel="1">
      <c r="A2087" s="1261"/>
      <c r="B2087" s="260"/>
      <c r="C2087" s="439"/>
      <c r="D2087" s="440"/>
      <c r="E2087" s="441"/>
      <c r="F2087" s="1363"/>
      <c r="G2087" s="1363"/>
      <c r="H2087" s="1363"/>
      <c r="I2087" s="399" t="str">
        <f t="shared" si="53"/>
        <v/>
      </c>
      <c r="J2087" s="442"/>
      <c r="K2087" s="1263"/>
      <c r="L2087" s="461"/>
      <c r="M2087" s="461"/>
      <c r="N2087" s="461"/>
    </row>
    <row r="2088" spans="1:14" s="462" customFormat="1" hidden="1" outlineLevel="1">
      <c r="A2088" s="1261"/>
      <c r="B2088" s="260" t="s">
        <v>190</v>
      </c>
      <c r="C2088" s="439" t="s">
        <v>2</v>
      </c>
      <c r="D2088" s="440">
        <v>1</v>
      </c>
      <c r="E2088" s="441">
        <v>1</v>
      </c>
      <c r="F2088" s="1363">
        <v>8.42</v>
      </c>
      <c r="G2088" s="1363">
        <v>0.46</v>
      </c>
      <c r="H2088" s="1363">
        <v>0.3</v>
      </c>
      <c r="I2088" s="399">
        <f t="shared" si="53"/>
        <v>1.1599999999999999</v>
      </c>
      <c r="J2088" s="442"/>
      <c r="K2088" s="1263"/>
      <c r="L2088" s="461"/>
      <c r="M2088" s="461"/>
      <c r="N2088" s="461"/>
    </row>
    <row r="2089" spans="1:14" s="462" customFormat="1" hidden="1" outlineLevel="1">
      <c r="A2089" s="1261"/>
      <c r="B2089" s="260"/>
      <c r="C2089" s="439" t="s">
        <v>2</v>
      </c>
      <c r="D2089" s="440">
        <v>1</v>
      </c>
      <c r="E2089" s="441">
        <v>1</v>
      </c>
      <c r="F2089" s="1363">
        <v>8.19</v>
      </c>
      <c r="G2089" s="1363">
        <v>0.34499999999999997</v>
      </c>
      <c r="H2089" s="1363">
        <v>0.3</v>
      </c>
      <c r="I2089" s="399">
        <f t="shared" si="53"/>
        <v>0.85</v>
      </c>
      <c r="J2089" s="442"/>
      <c r="K2089" s="1263"/>
      <c r="L2089" s="461"/>
      <c r="M2089" s="461"/>
      <c r="N2089" s="461"/>
    </row>
    <row r="2090" spans="1:14" s="462" customFormat="1" hidden="1" outlineLevel="1">
      <c r="A2090" s="1261"/>
      <c r="B2090" s="260"/>
      <c r="C2090" s="439" t="s">
        <v>2</v>
      </c>
      <c r="D2090" s="440">
        <v>1</v>
      </c>
      <c r="E2090" s="441">
        <v>1</v>
      </c>
      <c r="F2090" s="1363">
        <v>7.96</v>
      </c>
      <c r="G2090" s="1363">
        <v>0.23</v>
      </c>
      <c r="H2090" s="1363">
        <v>0.19000000000000006</v>
      </c>
      <c r="I2090" s="399">
        <f t="shared" si="53"/>
        <v>0.35</v>
      </c>
      <c r="J2090" s="442"/>
      <c r="K2090" s="1263"/>
      <c r="L2090" s="461"/>
      <c r="M2090" s="461"/>
      <c r="N2090" s="461"/>
    </row>
    <row r="2091" spans="1:14" s="462" customFormat="1" hidden="1" outlineLevel="1">
      <c r="A2091" s="1261"/>
      <c r="B2091" s="260"/>
      <c r="C2091" s="439"/>
      <c r="D2091" s="440"/>
      <c r="E2091" s="441"/>
      <c r="F2091" s="1363"/>
      <c r="G2091" s="1363"/>
      <c r="H2091" s="1363"/>
      <c r="I2091" s="399" t="str">
        <f t="shared" si="53"/>
        <v/>
      </c>
      <c r="J2091" s="442"/>
      <c r="K2091" s="1263"/>
      <c r="L2091" s="461"/>
      <c r="M2091" s="461"/>
      <c r="N2091" s="461"/>
    </row>
    <row r="2092" spans="1:14" s="462" customFormat="1" hidden="1" outlineLevel="1">
      <c r="A2092" s="1261"/>
      <c r="B2092" s="260" t="s">
        <v>191</v>
      </c>
      <c r="C2092" s="439" t="s">
        <v>2</v>
      </c>
      <c r="D2092" s="440">
        <v>1</v>
      </c>
      <c r="E2092" s="441">
        <v>8</v>
      </c>
      <c r="F2092" s="1363">
        <v>0.61499999999999999</v>
      </c>
      <c r="G2092" s="1363">
        <v>0.46</v>
      </c>
      <c r="H2092" s="1363">
        <v>0.3</v>
      </c>
      <c r="I2092" s="399">
        <f t="shared" si="53"/>
        <v>0.68</v>
      </c>
      <c r="J2092" s="442"/>
      <c r="K2092" s="1263"/>
      <c r="L2092" s="461"/>
      <c r="M2092" s="461"/>
      <c r="N2092" s="461"/>
    </row>
    <row r="2093" spans="1:14" s="462" customFormat="1" hidden="1" outlineLevel="1">
      <c r="A2093" s="1261"/>
      <c r="B2093" s="260"/>
      <c r="C2093" s="439" t="s">
        <v>2</v>
      </c>
      <c r="D2093" s="440">
        <v>1</v>
      </c>
      <c r="E2093" s="441">
        <v>8</v>
      </c>
      <c r="F2093" s="1363">
        <v>0.61499999999999999</v>
      </c>
      <c r="G2093" s="1363">
        <v>0.34499999999999997</v>
      </c>
      <c r="H2093" s="1363">
        <v>0.3</v>
      </c>
      <c r="I2093" s="399">
        <f t="shared" si="53"/>
        <v>0.51</v>
      </c>
      <c r="J2093" s="442"/>
      <c r="K2093" s="1263"/>
      <c r="L2093" s="461"/>
      <c r="M2093" s="461"/>
      <c r="N2093" s="461"/>
    </row>
    <row r="2094" spans="1:14" s="462" customFormat="1" hidden="1" outlineLevel="1">
      <c r="A2094" s="1261"/>
      <c r="B2094" s="260"/>
      <c r="C2094" s="439" t="s">
        <v>2</v>
      </c>
      <c r="D2094" s="440">
        <v>1</v>
      </c>
      <c r="E2094" s="441">
        <v>8</v>
      </c>
      <c r="F2094" s="1363">
        <v>0.61499999999999999</v>
      </c>
      <c r="G2094" s="1363">
        <v>0.23</v>
      </c>
      <c r="H2094" s="1363">
        <v>0.19000000000000006</v>
      </c>
      <c r="I2094" s="399">
        <f t="shared" si="53"/>
        <v>0.22</v>
      </c>
      <c r="J2094" s="442"/>
      <c r="K2094" s="1263"/>
      <c r="L2094" s="461"/>
      <c r="M2094" s="461"/>
      <c r="N2094" s="461"/>
    </row>
    <row r="2095" spans="1:14" s="462" customFormat="1" hidden="1" outlineLevel="1">
      <c r="A2095" s="1261"/>
      <c r="B2095" s="260"/>
      <c r="C2095" s="439"/>
      <c r="D2095" s="440"/>
      <c r="E2095" s="441"/>
      <c r="F2095" s="1363"/>
      <c r="G2095" s="1363"/>
      <c r="H2095" s="1363"/>
      <c r="I2095" s="399" t="str">
        <f t="shared" si="53"/>
        <v/>
      </c>
      <c r="J2095" s="442"/>
      <c r="K2095" s="1263"/>
      <c r="L2095" s="461"/>
      <c r="M2095" s="461"/>
      <c r="N2095" s="461"/>
    </row>
    <row r="2096" spans="1:14" s="462" customFormat="1" hidden="1" outlineLevel="1">
      <c r="A2096" s="1261"/>
      <c r="B2096" s="260"/>
      <c r="C2096" s="439" t="s">
        <v>2</v>
      </c>
      <c r="D2096" s="440">
        <v>1</v>
      </c>
      <c r="E2096" s="441">
        <v>2</v>
      </c>
      <c r="F2096" s="1363">
        <v>1.5150000000000001</v>
      </c>
      <c r="G2096" s="1363">
        <v>0.46</v>
      </c>
      <c r="H2096" s="1363">
        <v>0.3</v>
      </c>
      <c r="I2096" s="399">
        <f t="shared" si="53"/>
        <v>0.42</v>
      </c>
      <c r="J2096" s="442"/>
      <c r="K2096" s="1263"/>
      <c r="L2096" s="461"/>
      <c r="M2096" s="461"/>
      <c r="N2096" s="461"/>
    </row>
    <row r="2097" spans="1:14" s="462" customFormat="1" hidden="1" outlineLevel="1">
      <c r="A2097" s="1261"/>
      <c r="B2097" s="260"/>
      <c r="C2097" s="439" t="s">
        <v>2</v>
      </c>
      <c r="D2097" s="440">
        <v>1</v>
      </c>
      <c r="E2097" s="441">
        <v>2</v>
      </c>
      <c r="F2097" s="1363">
        <v>1.7450000000000001</v>
      </c>
      <c r="G2097" s="1363">
        <v>0.34499999999999997</v>
      </c>
      <c r="H2097" s="1363">
        <v>0.3</v>
      </c>
      <c r="I2097" s="399">
        <f t="shared" si="53"/>
        <v>0.36</v>
      </c>
      <c r="J2097" s="442"/>
      <c r="K2097" s="1263"/>
      <c r="L2097" s="461"/>
      <c r="M2097" s="461"/>
      <c r="N2097" s="461"/>
    </row>
    <row r="2098" spans="1:14" s="462" customFormat="1" hidden="1" outlineLevel="1">
      <c r="A2098" s="1261"/>
      <c r="B2098" s="260"/>
      <c r="C2098" s="439" t="s">
        <v>2</v>
      </c>
      <c r="D2098" s="440">
        <v>1</v>
      </c>
      <c r="E2098" s="441">
        <v>2</v>
      </c>
      <c r="F2098" s="1363">
        <v>1.9750000000000001</v>
      </c>
      <c r="G2098" s="1363">
        <v>0.23</v>
      </c>
      <c r="H2098" s="1363">
        <v>0.19000000000000006</v>
      </c>
      <c r="I2098" s="399">
        <f t="shared" si="53"/>
        <v>0.17</v>
      </c>
      <c r="J2098" s="442"/>
      <c r="K2098" s="1263"/>
      <c r="L2098" s="461"/>
      <c r="M2098" s="461"/>
      <c r="N2098" s="461"/>
    </row>
    <row r="2099" spans="1:14" s="462" customFormat="1" hidden="1" outlineLevel="1">
      <c r="A2099" s="1261"/>
      <c r="B2099" s="260"/>
      <c r="C2099" s="439"/>
      <c r="D2099" s="440"/>
      <c r="E2099" s="441"/>
      <c r="F2099" s="1363"/>
      <c r="G2099" s="1363"/>
      <c r="H2099" s="1363"/>
      <c r="I2099" s="399" t="str">
        <f t="shared" si="53"/>
        <v/>
      </c>
      <c r="J2099" s="442"/>
      <c r="K2099" s="1263"/>
      <c r="L2099" s="461"/>
      <c r="M2099" s="461"/>
      <c r="N2099" s="461"/>
    </row>
    <row r="2100" spans="1:14" s="462" customFormat="1" hidden="1" outlineLevel="1">
      <c r="A2100" s="1261"/>
      <c r="B2100" s="260"/>
      <c r="C2100" s="439" t="s">
        <v>2</v>
      </c>
      <c r="D2100" s="440">
        <v>1</v>
      </c>
      <c r="E2100" s="441">
        <v>1</v>
      </c>
      <c r="F2100" s="1363">
        <v>2.2850000000000001</v>
      </c>
      <c r="G2100" s="1363">
        <v>0.46</v>
      </c>
      <c r="H2100" s="1363">
        <v>0.3</v>
      </c>
      <c r="I2100" s="399">
        <f t="shared" si="53"/>
        <v>0.32</v>
      </c>
      <c r="J2100" s="442"/>
      <c r="K2100" s="1263"/>
      <c r="L2100" s="461"/>
      <c r="M2100" s="461"/>
      <c r="N2100" s="461"/>
    </row>
    <row r="2101" spans="1:14" s="462" customFormat="1" hidden="1" outlineLevel="1">
      <c r="A2101" s="1261"/>
      <c r="B2101" s="260"/>
      <c r="C2101" s="439" t="s">
        <v>2</v>
      </c>
      <c r="D2101" s="440">
        <v>1</v>
      </c>
      <c r="E2101" s="441">
        <v>1</v>
      </c>
      <c r="F2101" s="1363">
        <v>2.4000000000000004</v>
      </c>
      <c r="G2101" s="1363">
        <v>0.34499999999999997</v>
      </c>
      <c r="H2101" s="1363">
        <v>0.3</v>
      </c>
      <c r="I2101" s="399">
        <f t="shared" si="53"/>
        <v>0.25</v>
      </c>
      <c r="J2101" s="442"/>
      <c r="K2101" s="1263"/>
      <c r="L2101" s="461"/>
      <c r="M2101" s="461"/>
      <c r="N2101" s="461"/>
    </row>
    <row r="2102" spans="1:14" s="462" customFormat="1" hidden="1" outlineLevel="1">
      <c r="A2102" s="1261"/>
      <c r="B2102" s="260"/>
      <c r="C2102" s="439" t="s">
        <v>2</v>
      </c>
      <c r="D2102" s="440">
        <v>1</v>
      </c>
      <c r="E2102" s="441">
        <v>1</v>
      </c>
      <c r="F2102" s="1363">
        <v>2.5150000000000001</v>
      </c>
      <c r="G2102" s="1363">
        <v>0.23</v>
      </c>
      <c r="H2102" s="1363">
        <v>0.19000000000000006</v>
      </c>
      <c r="I2102" s="399">
        <f t="shared" si="53"/>
        <v>0.11</v>
      </c>
      <c r="J2102" s="442"/>
      <c r="K2102" s="1263"/>
      <c r="L2102" s="461"/>
      <c r="M2102" s="461"/>
      <c r="N2102" s="461"/>
    </row>
    <row r="2103" spans="1:14" s="462" customFormat="1" hidden="1" outlineLevel="1">
      <c r="A2103" s="1261"/>
      <c r="B2103" s="260"/>
      <c r="C2103" s="439"/>
      <c r="D2103" s="440"/>
      <c r="E2103" s="441"/>
      <c r="F2103" s="1363"/>
      <c r="G2103" s="1363"/>
      <c r="H2103" s="1363"/>
      <c r="I2103" s="399" t="str">
        <f t="shared" si="53"/>
        <v/>
      </c>
      <c r="J2103" s="442"/>
      <c r="K2103" s="1263"/>
      <c r="L2103" s="461"/>
      <c r="M2103" s="461"/>
      <c r="N2103" s="461"/>
    </row>
    <row r="2104" spans="1:14" s="462" customFormat="1" hidden="1" outlineLevel="1">
      <c r="A2104" s="1261"/>
      <c r="B2104" s="260"/>
      <c r="C2104" s="439" t="s">
        <v>2</v>
      </c>
      <c r="D2104" s="440">
        <v>1</v>
      </c>
      <c r="E2104" s="441">
        <v>1</v>
      </c>
      <c r="F2104" s="1363">
        <v>1.21</v>
      </c>
      <c r="G2104" s="1363">
        <v>0.46</v>
      </c>
      <c r="H2104" s="1363">
        <v>0.3</v>
      </c>
      <c r="I2104" s="399">
        <f t="shared" si="53"/>
        <v>0.17</v>
      </c>
      <c r="J2104" s="442"/>
      <c r="K2104" s="1263"/>
      <c r="L2104" s="461"/>
      <c r="M2104" s="461"/>
      <c r="N2104" s="461"/>
    </row>
    <row r="2105" spans="1:14" s="462" customFormat="1" hidden="1" outlineLevel="1">
      <c r="A2105" s="1261"/>
      <c r="B2105" s="260"/>
      <c r="C2105" s="439" t="s">
        <v>2</v>
      </c>
      <c r="D2105" s="440">
        <v>1</v>
      </c>
      <c r="E2105" s="441">
        <v>1</v>
      </c>
      <c r="F2105" s="1363">
        <v>1.44</v>
      </c>
      <c r="G2105" s="1363">
        <v>0.34499999999999997</v>
      </c>
      <c r="H2105" s="1363">
        <v>0.3</v>
      </c>
      <c r="I2105" s="399">
        <f t="shared" si="53"/>
        <v>0.15</v>
      </c>
      <c r="J2105" s="442"/>
      <c r="K2105" s="1263"/>
      <c r="L2105" s="461"/>
      <c r="M2105" s="461"/>
      <c r="N2105" s="461"/>
    </row>
    <row r="2106" spans="1:14" s="462" customFormat="1" hidden="1" outlineLevel="1">
      <c r="A2106" s="1261"/>
      <c r="B2106" s="260"/>
      <c r="C2106" s="439" t="s">
        <v>2</v>
      </c>
      <c r="D2106" s="440">
        <v>1</v>
      </c>
      <c r="E2106" s="441">
        <v>1</v>
      </c>
      <c r="F2106" s="1363">
        <v>1.67</v>
      </c>
      <c r="G2106" s="1363">
        <v>0.23</v>
      </c>
      <c r="H2106" s="1363">
        <v>0.19000000000000006</v>
      </c>
      <c r="I2106" s="399">
        <f t="shared" si="53"/>
        <v>7.0000000000000007E-2</v>
      </c>
      <c r="J2106" s="442"/>
      <c r="K2106" s="1263"/>
      <c r="L2106" s="461"/>
      <c r="M2106" s="461"/>
      <c r="N2106" s="461"/>
    </row>
    <row r="2107" spans="1:14" s="462" customFormat="1" hidden="1" outlineLevel="1">
      <c r="A2107" s="1261"/>
      <c r="B2107" s="260"/>
      <c r="C2107" s="439"/>
      <c r="D2107" s="440"/>
      <c r="E2107" s="441"/>
      <c r="F2107" s="1363"/>
      <c r="G2107" s="1363"/>
      <c r="H2107" s="1363"/>
      <c r="I2107" s="399" t="str">
        <f t="shared" si="53"/>
        <v/>
      </c>
      <c r="J2107" s="442"/>
      <c r="K2107" s="1263"/>
      <c r="L2107" s="461"/>
      <c r="M2107" s="461"/>
      <c r="N2107" s="461"/>
    </row>
    <row r="2108" spans="1:14" s="462" customFormat="1" hidden="1" outlineLevel="1">
      <c r="A2108" s="1261"/>
      <c r="B2108" s="260"/>
      <c r="C2108" s="439" t="s">
        <v>2</v>
      </c>
      <c r="D2108" s="440">
        <v>1</v>
      </c>
      <c r="E2108" s="441">
        <v>2</v>
      </c>
      <c r="F2108" s="1363">
        <v>1.21</v>
      </c>
      <c r="G2108" s="1363">
        <v>0.46</v>
      </c>
      <c r="H2108" s="1363">
        <v>0.3</v>
      </c>
      <c r="I2108" s="399">
        <f t="shared" si="53"/>
        <v>0.33</v>
      </c>
      <c r="J2108" s="442"/>
      <c r="K2108" s="1263"/>
      <c r="L2108" s="461"/>
      <c r="M2108" s="461"/>
      <c r="N2108" s="461"/>
    </row>
    <row r="2109" spans="1:14" s="462" customFormat="1" hidden="1" outlineLevel="1">
      <c r="A2109" s="1261"/>
      <c r="B2109" s="260"/>
      <c r="C2109" s="439" t="s">
        <v>2</v>
      </c>
      <c r="D2109" s="440">
        <v>1</v>
      </c>
      <c r="E2109" s="441">
        <v>2</v>
      </c>
      <c r="F2109" s="1363">
        <v>1.44</v>
      </c>
      <c r="G2109" s="1363">
        <v>0.34499999999999997</v>
      </c>
      <c r="H2109" s="1363">
        <v>0.3</v>
      </c>
      <c r="I2109" s="399">
        <f t="shared" si="53"/>
        <v>0.3</v>
      </c>
      <c r="J2109" s="442"/>
      <c r="K2109" s="1263"/>
      <c r="L2109" s="461"/>
      <c r="M2109" s="461"/>
      <c r="N2109" s="461"/>
    </row>
    <row r="2110" spans="1:14" s="462" customFormat="1" hidden="1" outlineLevel="1">
      <c r="A2110" s="1261"/>
      <c r="B2110" s="260"/>
      <c r="C2110" s="439" t="s">
        <v>2</v>
      </c>
      <c r="D2110" s="440">
        <v>1</v>
      </c>
      <c r="E2110" s="441">
        <v>2</v>
      </c>
      <c r="F2110" s="1363">
        <v>1.67</v>
      </c>
      <c r="G2110" s="1363">
        <v>0.23</v>
      </c>
      <c r="H2110" s="1363">
        <v>0.19000000000000006</v>
      </c>
      <c r="I2110" s="399">
        <f t="shared" si="53"/>
        <v>0.15</v>
      </c>
      <c r="J2110" s="442"/>
      <c r="K2110" s="1263"/>
      <c r="L2110" s="461"/>
      <c r="M2110" s="461"/>
      <c r="N2110" s="461"/>
    </row>
    <row r="2111" spans="1:14" s="462" customFormat="1" hidden="1" outlineLevel="1">
      <c r="A2111" s="1261"/>
      <c r="B2111" s="260"/>
      <c r="C2111" s="439"/>
      <c r="D2111" s="440"/>
      <c r="E2111" s="441"/>
      <c r="F2111" s="1363"/>
      <c r="G2111" s="1363"/>
      <c r="H2111" s="1363"/>
      <c r="I2111" s="399" t="str">
        <f t="shared" si="53"/>
        <v/>
      </c>
      <c r="J2111" s="442"/>
      <c r="K2111" s="1263"/>
      <c r="L2111" s="461"/>
      <c r="M2111" s="461"/>
      <c r="N2111" s="461"/>
    </row>
    <row r="2112" spans="1:14" s="462" customFormat="1" hidden="1" outlineLevel="1">
      <c r="A2112" s="1261"/>
      <c r="B2112" s="260"/>
      <c r="C2112" s="439" t="s">
        <v>2</v>
      </c>
      <c r="D2112" s="440">
        <v>1</v>
      </c>
      <c r="E2112" s="441">
        <v>1</v>
      </c>
      <c r="F2112" s="1363">
        <v>2.2850000000000001</v>
      </c>
      <c r="G2112" s="1363">
        <v>0.46</v>
      </c>
      <c r="H2112" s="1363">
        <v>0.3</v>
      </c>
      <c r="I2112" s="399">
        <f t="shared" si="53"/>
        <v>0.32</v>
      </c>
      <c r="J2112" s="442"/>
      <c r="K2112" s="1263"/>
      <c r="L2112" s="461"/>
      <c r="M2112" s="461"/>
      <c r="N2112" s="461"/>
    </row>
    <row r="2113" spans="1:14" s="462" customFormat="1" hidden="1" outlineLevel="1">
      <c r="A2113" s="1261"/>
      <c r="B2113" s="260"/>
      <c r="C2113" s="439" t="s">
        <v>2</v>
      </c>
      <c r="D2113" s="440">
        <v>1</v>
      </c>
      <c r="E2113" s="441">
        <v>1</v>
      </c>
      <c r="F2113" s="1363">
        <v>2.4000000000000004</v>
      </c>
      <c r="G2113" s="1363">
        <v>0.34499999999999997</v>
      </c>
      <c r="H2113" s="1363">
        <v>0.3</v>
      </c>
      <c r="I2113" s="399">
        <f t="shared" si="53"/>
        <v>0.25</v>
      </c>
      <c r="J2113" s="442"/>
      <c r="K2113" s="1263"/>
      <c r="L2113" s="461"/>
      <c r="M2113" s="461"/>
      <c r="N2113" s="461"/>
    </row>
    <row r="2114" spans="1:14" s="462" customFormat="1" hidden="1" outlineLevel="1">
      <c r="A2114" s="1261"/>
      <c r="B2114" s="260"/>
      <c r="C2114" s="439" t="s">
        <v>2</v>
      </c>
      <c r="D2114" s="440">
        <v>1</v>
      </c>
      <c r="E2114" s="441">
        <v>1</v>
      </c>
      <c r="F2114" s="1363">
        <v>2.5150000000000001</v>
      </c>
      <c r="G2114" s="1363">
        <v>0.23</v>
      </c>
      <c r="H2114" s="1363">
        <v>0.19000000000000006</v>
      </c>
      <c r="I2114" s="399">
        <f t="shared" si="53"/>
        <v>0.11</v>
      </c>
      <c r="J2114" s="442"/>
      <c r="K2114" s="1263"/>
      <c r="L2114" s="461"/>
      <c r="M2114" s="461"/>
      <c r="N2114" s="461"/>
    </row>
    <row r="2115" spans="1:14" s="462" customFormat="1" hidden="1" outlineLevel="1">
      <c r="A2115" s="1261"/>
      <c r="B2115" s="260"/>
      <c r="C2115" s="439"/>
      <c r="D2115" s="440"/>
      <c r="E2115" s="441"/>
      <c r="F2115" s="1363"/>
      <c r="G2115" s="1363"/>
      <c r="H2115" s="1363"/>
      <c r="I2115" s="399" t="str">
        <f t="shared" si="53"/>
        <v/>
      </c>
      <c r="J2115" s="442"/>
      <c r="K2115" s="1263"/>
      <c r="L2115" s="461"/>
      <c r="M2115" s="461"/>
      <c r="N2115" s="461"/>
    </row>
    <row r="2116" spans="1:14" s="462" customFormat="1" hidden="1" outlineLevel="1">
      <c r="A2116" s="1261"/>
      <c r="B2116" s="260"/>
      <c r="C2116" s="439" t="s">
        <v>2</v>
      </c>
      <c r="D2116" s="440">
        <v>1</v>
      </c>
      <c r="E2116" s="441">
        <v>1</v>
      </c>
      <c r="F2116" s="1363">
        <v>1.21</v>
      </c>
      <c r="G2116" s="1363">
        <v>0.46</v>
      </c>
      <c r="H2116" s="1363">
        <v>0.3</v>
      </c>
      <c r="I2116" s="399">
        <f t="shared" si="53"/>
        <v>0.17</v>
      </c>
      <c r="J2116" s="442"/>
      <c r="K2116" s="1263"/>
      <c r="L2116" s="461"/>
      <c r="M2116" s="461"/>
      <c r="N2116" s="461"/>
    </row>
    <row r="2117" spans="1:14" s="462" customFormat="1" hidden="1" outlineLevel="1">
      <c r="A2117" s="1261"/>
      <c r="B2117" s="260"/>
      <c r="C2117" s="439" t="s">
        <v>2</v>
      </c>
      <c r="D2117" s="440">
        <v>1</v>
      </c>
      <c r="E2117" s="441">
        <v>1</v>
      </c>
      <c r="F2117" s="1363">
        <v>1.44</v>
      </c>
      <c r="G2117" s="1363">
        <v>0.34499999999999997</v>
      </c>
      <c r="H2117" s="1363">
        <v>0.3</v>
      </c>
      <c r="I2117" s="399">
        <f t="shared" si="53"/>
        <v>0.15</v>
      </c>
      <c r="J2117" s="442"/>
      <c r="K2117" s="1263"/>
      <c r="L2117" s="461"/>
      <c r="M2117" s="461"/>
      <c r="N2117" s="461"/>
    </row>
    <row r="2118" spans="1:14" s="462" customFormat="1" hidden="1" outlineLevel="1">
      <c r="A2118" s="1261"/>
      <c r="B2118" s="260"/>
      <c r="C2118" s="439" t="s">
        <v>2</v>
      </c>
      <c r="D2118" s="440">
        <v>1</v>
      </c>
      <c r="E2118" s="441">
        <v>1</v>
      </c>
      <c r="F2118" s="1363">
        <v>1.67</v>
      </c>
      <c r="G2118" s="1363">
        <v>0.23</v>
      </c>
      <c r="H2118" s="1363">
        <v>0.19000000000000006</v>
      </c>
      <c r="I2118" s="399">
        <f t="shared" si="53"/>
        <v>7.0000000000000007E-2</v>
      </c>
      <c r="J2118" s="442"/>
      <c r="K2118" s="1263"/>
      <c r="L2118" s="461"/>
      <c r="M2118" s="461"/>
      <c r="N2118" s="461"/>
    </row>
    <row r="2119" spans="1:14" s="462" customFormat="1" hidden="1" outlineLevel="1">
      <c r="A2119" s="1261"/>
      <c r="B2119" s="260"/>
      <c r="C2119" s="439"/>
      <c r="D2119" s="440"/>
      <c r="E2119" s="441"/>
      <c r="F2119" s="1363"/>
      <c r="G2119" s="1363"/>
      <c r="H2119" s="1363"/>
      <c r="I2119" s="399" t="str">
        <f t="shared" si="53"/>
        <v/>
      </c>
      <c r="J2119" s="442"/>
      <c r="K2119" s="1263"/>
      <c r="L2119" s="461"/>
      <c r="M2119" s="461"/>
      <c r="N2119" s="461"/>
    </row>
    <row r="2120" spans="1:14" s="462" customFormat="1" hidden="1" outlineLevel="1">
      <c r="A2120" s="1261"/>
      <c r="B2120" s="260" t="s">
        <v>275</v>
      </c>
      <c r="C2120" s="439"/>
      <c r="D2120" s="440"/>
      <c r="E2120" s="441"/>
      <c r="F2120" s="1363"/>
      <c r="G2120" s="1363"/>
      <c r="H2120" s="1363"/>
      <c r="I2120" s="399" t="str">
        <f t="shared" si="53"/>
        <v/>
      </c>
      <c r="J2120" s="442"/>
      <c r="K2120" s="1263"/>
      <c r="L2120" s="461"/>
      <c r="M2120" s="461"/>
      <c r="N2120" s="461"/>
    </row>
    <row r="2121" spans="1:14" s="462" customFormat="1" hidden="1" outlineLevel="1">
      <c r="A2121" s="1261"/>
      <c r="B2121" s="260"/>
      <c r="C2121" s="439"/>
      <c r="D2121" s="440"/>
      <c r="E2121" s="441"/>
      <c r="F2121" s="1363"/>
      <c r="G2121" s="1363"/>
      <c r="H2121" s="1363"/>
      <c r="I2121" s="399" t="str">
        <f t="shared" si="53"/>
        <v/>
      </c>
      <c r="J2121" s="442"/>
      <c r="K2121" s="1263"/>
      <c r="L2121" s="461"/>
      <c r="M2121" s="461"/>
      <c r="N2121" s="461"/>
    </row>
    <row r="2122" spans="1:14" s="462" customFormat="1" hidden="1" outlineLevel="1">
      <c r="A2122" s="1261"/>
      <c r="B2122" s="260" t="s">
        <v>187</v>
      </c>
      <c r="C2122" s="439" t="s">
        <v>2</v>
      </c>
      <c r="D2122" s="440">
        <v>1</v>
      </c>
      <c r="E2122" s="441">
        <v>1</v>
      </c>
      <c r="F2122" s="1363">
        <v>8.92</v>
      </c>
      <c r="G2122" s="1363">
        <v>0.46</v>
      </c>
      <c r="H2122" s="1363">
        <v>0.3</v>
      </c>
      <c r="I2122" s="399">
        <f t="shared" si="53"/>
        <v>1.23</v>
      </c>
      <c r="J2122" s="442"/>
      <c r="K2122" s="1263"/>
      <c r="L2122" s="461"/>
      <c r="M2122" s="461"/>
      <c r="N2122" s="461"/>
    </row>
    <row r="2123" spans="1:14" s="462" customFormat="1" hidden="1" outlineLevel="1">
      <c r="A2123" s="1261"/>
      <c r="B2123" s="260"/>
      <c r="C2123" s="439" t="s">
        <v>2</v>
      </c>
      <c r="D2123" s="440">
        <v>1</v>
      </c>
      <c r="E2123" s="441">
        <v>1</v>
      </c>
      <c r="F2123" s="1363">
        <v>8.69</v>
      </c>
      <c r="G2123" s="1363">
        <v>0.34499999999999997</v>
      </c>
      <c r="H2123" s="1363">
        <v>0.3</v>
      </c>
      <c r="I2123" s="399">
        <f t="shared" si="53"/>
        <v>0.9</v>
      </c>
      <c r="J2123" s="442"/>
      <c r="K2123" s="1263"/>
      <c r="L2123" s="461"/>
      <c r="M2123" s="461"/>
      <c r="N2123" s="461"/>
    </row>
    <row r="2124" spans="1:14" s="462" customFormat="1" hidden="1" outlineLevel="1">
      <c r="A2124" s="1261"/>
      <c r="B2124" s="260"/>
      <c r="C2124" s="439" t="s">
        <v>2</v>
      </c>
      <c r="D2124" s="440">
        <v>1</v>
      </c>
      <c r="E2124" s="441">
        <v>1</v>
      </c>
      <c r="F2124" s="1363">
        <v>8.4600000000000009</v>
      </c>
      <c r="G2124" s="1363">
        <v>0.23</v>
      </c>
      <c r="H2124" s="1363">
        <v>0.19000000000000006</v>
      </c>
      <c r="I2124" s="399">
        <f t="shared" si="53"/>
        <v>0.37</v>
      </c>
      <c r="J2124" s="442"/>
      <c r="K2124" s="1263"/>
      <c r="L2124" s="461"/>
      <c r="M2124" s="461"/>
      <c r="N2124" s="461"/>
    </row>
    <row r="2125" spans="1:14" s="462" customFormat="1" hidden="1" outlineLevel="1">
      <c r="A2125" s="1261"/>
      <c r="B2125" s="260"/>
      <c r="C2125" s="439"/>
      <c r="D2125" s="440"/>
      <c r="E2125" s="441"/>
      <c r="F2125" s="1363"/>
      <c r="G2125" s="1363"/>
      <c r="H2125" s="1363"/>
      <c r="I2125" s="399" t="str">
        <f t="shared" si="53"/>
        <v/>
      </c>
      <c r="J2125" s="442"/>
      <c r="K2125" s="1263"/>
      <c r="L2125" s="461"/>
      <c r="M2125" s="461"/>
      <c r="N2125" s="461"/>
    </row>
    <row r="2126" spans="1:14" s="462" customFormat="1" hidden="1" outlineLevel="1">
      <c r="A2126" s="1261"/>
      <c r="B2126" s="260"/>
      <c r="C2126" s="439" t="s">
        <v>2</v>
      </c>
      <c r="D2126" s="440">
        <v>1</v>
      </c>
      <c r="E2126" s="441">
        <v>1</v>
      </c>
      <c r="F2126" s="1363">
        <v>6.66</v>
      </c>
      <c r="G2126" s="1363">
        <v>0.46</v>
      </c>
      <c r="H2126" s="1363">
        <v>0.3</v>
      </c>
      <c r="I2126" s="399">
        <f t="shared" si="53"/>
        <v>0.92</v>
      </c>
      <c r="J2126" s="442"/>
      <c r="K2126" s="1263"/>
      <c r="L2126" s="461"/>
      <c r="M2126" s="461"/>
      <c r="N2126" s="461"/>
    </row>
    <row r="2127" spans="1:14" s="462" customFormat="1" hidden="1" outlineLevel="1">
      <c r="A2127" s="1261"/>
      <c r="B2127" s="260"/>
      <c r="C2127" s="439" t="s">
        <v>2</v>
      </c>
      <c r="D2127" s="440">
        <v>1</v>
      </c>
      <c r="E2127" s="441">
        <v>1</v>
      </c>
      <c r="F2127" s="1363">
        <v>6.5449999999999999</v>
      </c>
      <c r="G2127" s="1363">
        <v>0.34499999999999997</v>
      </c>
      <c r="H2127" s="1363">
        <v>0.3</v>
      </c>
      <c r="I2127" s="399">
        <f t="shared" si="53"/>
        <v>0.68</v>
      </c>
      <c r="J2127" s="442"/>
      <c r="K2127" s="1263"/>
      <c r="L2127" s="461"/>
      <c r="M2127" s="461"/>
      <c r="N2127" s="461"/>
    </row>
    <row r="2128" spans="1:14" s="462" customFormat="1" hidden="1" outlineLevel="1">
      <c r="A2128" s="1261"/>
      <c r="B2128" s="260"/>
      <c r="C2128" s="439" t="s">
        <v>2</v>
      </c>
      <c r="D2128" s="440">
        <v>1</v>
      </c>
      <c r="E2128" s="441">
        <v>1</v>
      </c>
      <c r="F2128" s="1363">
        <v>6.4300000000000006</v>
      </c>
      <c r="G2128" s="1363">
        <v>0.23</v>
      </c>
      <c r="H2128" s="1363">
        <v>0.19000000000000006</v>
      </c>
      <c r="I2128" s="399">
        <f t="shared" si="53"/>
        <v>0.28000000000000003</v>
      </c>
      <c r="J2128" s="442"/>
      <c r="K2128" s="1263"/>
      <c r="L2128" s="461"/>
      <c r="M2128" s="461"/>
      <c r="N2128" s="461"/>
    </row>
    <row r="2129" spans="1:14" s="462" customFormat="1" hidden="1" outlineLevel="1">
      <c r="A2129" s="1261"/>
      <c r="B2129" s="260"/>
      <c r="C2129" s="439"/>
      <c r="D2129" s="440"/>
      <c r="E2129" s="441"/>
      <c r="F2129" s="1363"/>
      <c r="G2129" s="1363"/>
      <c r="H2129" s="1363"/>
      <c r="I2129" s="399" t="str">
        <f t="shared" si="53"/>
        <v/>
      </c>
      <c r="J2129" s="442"/>
      <c r="K2129" s="1263"/>
      <c r="L2129" s="461"/>
      <c r="M2129" s="461"/>
      <c r="N2129" s="461"/>
    </row>
    <row r="2130" spans="1:14" s="462" customFormat="1" hidden="1" outlineLevel="1">
      <c r="A2130" s="1261"/>
      <c r="B2130" s="260"/>
      <c r="C2130" s="439" t="s">
        <v>2</v>
      </c>
      <c r="D2130" s="440">
        <v>1</v>
      </c>
      <c r="E2130" s="441">
        <v>1</v>
      </c>
      <c r="F2130" s="1363">
        <v>4.8600000000000003</v>
      </c>
      <c r="G2130" s="1363">
        <v>0.46</v>
      </c>
      <c r="H2130" s="1363">
        <v>0.3</v>
      </c>
      <c r="I2130" s="399">
        <f t="shared" si="53"/>
        <v>0.67</v>
      </c>
      <c r="J2130" s="442"/>
      <c r="K2130" s="1263"/>
      <c r="L2130" s="461"/>
      <c r="M2130" s="461"/>
      <c r="N2130" s="461"/>
    </row>
    <row r="2131" spans="1:14" s="462" customFormat="1" hidden="1" outlineLevel="1">
      <c r="A2131" s="1261"/>
      <c r="B2131" s="260"/>
      <c r="C2131" s="439" t="s">
        <v>2</v>
      </c>
      <c r="D2131" s="440">
        <v>1</v>
      </c>
      <c r="E2131" s="441">
        <v>1</v>
      </c>
      <c r="F2131" s="1363">
        <v>4.7450000000000001</v>
      </c>
      <c r="G2131" s="1363">
        <v>0.34499999999999997</v>
      </c>
      <c r="H2131" s="1363">
        <v>0.3</v>
      </c>
      <c r="I2131" s="399">
        <f t="shared" si="53"/>
        <v>0.49</v>
      </c>
      <c r="J2131" s="442"/>
      <c r="K2131" s="1263"/>
      <c r="L2131" s="461"/>
      <c r="M2131" s="461"/>
      <c r="N2131" s="461"/>
    </row>
    <row r="2132" spans="1:14" s="462" customFormat="1" hidden="1" outlineLevel="1">
      <c r="A2132" s="1261"/>
      <c r="B2132" s="260"/>
      <c r="C2132" s="439" t="s">
        <v>2</v>
      </c>
      <c r="D2132" s="440">
        <v>1</v>
      </c>
      <c r="E2132" s="441">
        <v>1</v>
      </c>
      <c r="F2132" s="1363">
        <v>4.6300000000000008</v>
      </c>
      <c r="G2132" s="1363">
        <v>0.23</v>
      </c>
      <c r="H2132" s="1363">
        <v>0.19000000000000006</v>
      </c>
      <c r="I2132" s="399">
        <f t="shared" si="53"/>
        <v>0.2</v>
      </c>
      <c r="J2132" s="442"/>
      <c r="K2132" s="1263"/>
      <c r="L2132" s="461"/>
      <c r="M2132" s="461"/>
      <c r="N2132" s="461"/>
    </row>
    <row r="2133" spans="1:14" s="462" customFormat="1" hidden="1" outlineLevel="1">
      <c r="A2133" s="1261"/>
      <c r="B2133" s="260"/>
      <c r="C2133" s="439"/>
      <c r="D2133" s="440"/>
      <c r="E2133" s="441"/>
      <c r="F2133" s="1363"/>
      <c r="G2133" s="1363"/>
      <c r="H2133" s="1363"/>
      <c r="I2133" s="399" t="str">
        <f t="shared" si="53"/>
        <v/>
      </c>
      <c r="J2133" s="442"/>
      <c r="K2133" s="1263"/>
      <c r="L2133" s="461"/>
      <c r="M2133" s="461"/>
      <c r="N2133" s="461"/>
    </row>
    <row r="2134" spans="1:14" s="462" customFormat="1" hidden="1" outlineLevel="1">
      <c r="A2134" s="1261"/>
      <c r="B2134" s="260"/>
      <c r="C2134" s="439" t="s">
        <v>2</v>
      </c>
      <c r="D2134" s="440">
        <v>1</v>
      </c>
      <c r="E2134" s="441">
        <v>1</v>
      </c>
      <c r="F2134" s="1363">
        <v>1.66</v>
      </c>
      <c r="G2134" s="1363">
        <v>0.46</v>
      </c>
      <c r="H2134" s="1363">
        <v>0.3</v>
      </c>
      <c r="I2134" s="399">
        <f t="shared" si="53"/>
        <v>0.23</v>
      </c>
      <c r="J2134" s="442"/>
      <c r="K2134" s="1263"/>
      <c r="L2134" s="461"/>
      <c r="M2134" s="461"/>
      <c r="N2134" s="461"/>
    </row>
    <row r="2135" spans="1:14" s="462" customFormat="1" hidden="1" outlineLevel="1">
      <c r="A2135" s="1261"/>
      <c r="B2135" s="260"/>
      <c r="C2135" s="439" t="s">
        <v>2</v>
      </c>
      <c r="D2135" s="440">
        <v>1</v>
      </c>
      <c r="E2135" s="441">
        <v>1</v>
      </c>
      <c r="F2135" s="1363">
        <v>1.5449999999999999</v>
      </c>
      <c r="G2135" s="1363">
        <v>0.34499999999999997</v>
      </c>
      <c r="H2135" s="1363">
        <v>0.3</v>
      </c>
      <c r="I2135" s="399">
        <f t="shared" si="53"/>
        <v>0.16</v>
      </c>
      <c r="J2135" s="442"/>
      <c r="K2135" s="1263"/>
      <c r="L2135" s="461"/>
      <c r="M2135" s="461"/>
      <c r="N2135" s="461"/>
    </row>
    <row r="2136" spans="1:14" s="462" customFormat="1" hidden="1" outlineLevel="1">
      <c r="A2136" s="1261"/>
      <c r="B2136" s="260"/>
      <c r="C2136" s="439" t="s">
        <v>2</v>
      </c>
      <c r="D2136" s="440">
        <v>1</v>
      </c>
      <c r="E2136" s="441">
        <v>1</v>
      </c>
      <c r="F2136" s="1363">
        <v>1.43</v>
      </c>
      <c r="G2136" s="1363">
        <v>0.23</v>
      </c>
      <c r="H2136" s="1363">
        <v>0.19000000000000006</v>
      </c>
      <c r="I2136" s="399">
        <f t="shared" ref="I2136:I2199" si="54">IF(D2136&lt;&gt;0,ROUND(PRODUCT(E2136:H2136)*D2136,2),"")</f>
        <v>0.06</v>
      </c>
      <c r="J2136" s="442"/>
      <c r="K2136" s="1263"/>
      <c r="L2136" s="461"/>
      <c r="M2136" s="461"/>
      <c r="N2136" s="461"/>
    </row>
    <row r="2137" spans="1:14" s="462" customFormat="1" hidden="1" outlineLevel="1">
      <c r="A2137" s="1261"/>
      <c r="B2137" s="260"/>
      <c r="C2137" s="439"/>
      <c r="D2137" s="440"/>
      <c r="E2137" s="441"/>
      <c r="F2137" s="1363"/>
      <c r="G2137" s="1363"/>
      <c r="H2137" s="1363"/>
      <c r="I2137" s="399" t="str">
        <f t="shared" si="54"/>
        <v/>
      </c>
      <c r="J2137" s="442"/>
      <c r="K2137" s="1263"/>
      <c r="L2137" s="461"/>
      <c r="M2137" s="461"/>
      <c r="N2137" s="461"/>
    </row>
    <row r="2138" spans="1:14" s="462" customFormat="1" hidden="1" outlineLevel="1">
      <c r="A2138" s="1261"/>
      <c r="B2138" s="260"/>
      <c r="C2138" s="439" t="s">
        <v>2</v>
      </c>
      <c r="D2138" s="440">
        <v>1</v>
      </c>
      <c r="E2138" s="441">
        <v>1</v>
      </c>
      <c r="F2138" s="1363">
        <v>3.66</v>
      </c>
      <c r="G2138" s="1363">
        <v>0.46</v>
      </c>
      <c r="H2138" s="1363">
        <v>0.3</v>
      </c>
      <c r="I2138" s="399">
        <f t="shared" si="54"/>
        <v>0.51</v>
      </c>
      <c r="J2138" s="442"/>
      <c r="K2138" s="1263"/>
      <c r="L2138" s="461"/>
      <c r="M2138" s="461"/>
      <c r="N2138" s="461"/>
    </row>
    <row r="2139" spans="1:14" s="462" customFormat="1" hidden="1" outlineLevel="1">
      <c r="A2139" s="1261"/>
      <c r="B2139" s="260"/>
      <c r="C2139" s="439" t="s">
        <v>2</v>
      </c>
      <c r="D2139" s="440">
        <v>1</v>
      </c>
      <c r="E2139" s="441">
        <v>1</v>
      </c>
      <c r="F2139" s="1363">
        <v>3.5449999999999999</v>
      </c>
      <c r="G2139" s="1363">
        <v>0.34499999999999997</v>
      </c>
      <c r="H2139" s="1363">
        <v>0.3</v>
      </c>
      <c r="I2139" s="399">
        <f t="shared" si="54"/>
        <v>0.37</v>
      </c>
      <c r="J2139" s="442"/>
      <c r="K2139" s="1263"/>
      <c r="L2139" s="461"/>
      <c r="M2139" s="461"/>
      <c r="N2139" s="461"/>
    </row>
    <row r="2140" spans="1:14" s="462" customFormat="1" hidden="1" outlineLevel="1">
      <c r="A2140" s="1261"/>
      <c r="B2140" s="260"/>
      <c r="C2140" s="439" t="s">
        <v>2</v>
      </c>
      <c r="D2140" s="440">
        <v>1</v>
      </c>
      <c r="E2140" s="441">
        <v>1</v>
      </c>
      <c r="F2140" s="1363">
        <v>3.43</v>
      </c>
      <c r="G2140" s="1363">
        <v>0.23</v>
      </c>
      <c r="H2140" s="1363">
        <v>0.19000000000000006</v>
      </c>
      <c r="I2140" s="399">
        <f t="shared" si="54"/>
        <v>0.15</v>
      </c>
      <c r="J2140" s="442"/>
      <c r="K2140" s="1263"/>
      <c r="L2140" s="461"/>
      <c r="M2140" s="461"/>
      <c r="N2140" s="461"/>
    </row>
    <row r="2141" spans="1:14" s="462" customFormat="1" hidden="1" outlineLevel="1">
      <c r="A2141" s="1261"/>
      <c r="B2141" s="260" t="s">
        <v>273</v>
      </c>
      <c r="C2141" s="439" t="s">
        <v>2</v>
      </c>
      <c r="D2141" s="440">
        <v>1</v>
      </c>
      <c r="E2141" s="441">
        <v>1</v>
      </c>
      <c r="F2141" s="1363">
        <v>3</v>
      </c>
      <c r="G2141" s="1363">
        <v>0.115</v>
      </c>
      <c r="H2141" s="1363">
        <v>0.19000000000000006</v>
      </c>
      <c r="I2141" s="399">
        <f t="shared" si="54"/>
        <v>7.0000000000000007E-2</v>
      </c>
      <c r="J2141" s="442"/>
      <c r="K2141" s="1263"/>
      <c r="L2141" s="461"/>
      <c r="M2141" s="461"/>
      <c r="N2141" s="461"/>
    </row>
    <row r="2142" spans="1:14" s="462" customFormat="1" hidden="1" outlineLevel="1">
      <c r="A2142" s="1261"/>
      <c r="B2142" s="260"/>
      <c r="C2142" s="439" t="s">
        <v>2</v>
      </c>
      <c r="D2142" s="440">
        <v>1</v>
      </c>
      <c r="E2142" s="441">
        <v>1</v>
      </c>
      <c r="F2142" s="1363">
        <v>3</v>
      </c>
      <c r="G2142" s="1363">
        <v>0.34499999999999997</v>
      </c>
      <c r="H2142" s="1363">
        <v>0.42499999999999999</v>
      </c>
      <c r="I2142" s="399">
        <f t="shared" si="54"/>
        <v>0.44</v>
      </c>
      <c r="J2142" s="442"/>
      <c r="K2142" s="1263"/>
      <c r="L2142" s="461"/>
      <c r="M2142" s="461"/>
      <c r="N2142" s="461"/>
    </row>
    <row r="2143" spans="1:14" s="462" customFormat="1" hidden="1" outlineLevel="1">
      <c r="A2143" s="1261"/>
      <c r="B2143" s="260"/>
      <c r="C2143" s="439"/>
      <c r="D2143" s="440"/>
      <c r="E2143" s="441"/>
      <c r="F2143" s="1363"/>
      <c r="G2143" s="1363"/>
      <c r="H2143" s="1363"/>
      <c r="I2143" s="399" t="str">
        <f t="shared" si="54"/>
        <v/>
      </c>
      <c r="J2143" s="442"/>
      <c r="K2143" s="1263"/>
      <c r="L2143" s="461"/>
      <c r="M2143" s="461"/>
      <c r="N2143" s="461"/>
    </row>
    <row r="2144" spans="1:14" s="462" customFormat="1" hidden="1" outlineLevel="1">
      <c r="A2144" s="1261"/>
      <c r="B2144" s="260"/>
      <c r="C2144" s="439" t="s">
        <v>2</v>
      </c>
      <c r="D2144" s="440">
        <v>1</v>
      </c>
      <c r="E2144" s="441">
        <v>1</v>
      </c>
      <c r="F2144" s="1363">
        <v>3.46</v>
      </c>
      <c r="G2144" s="1363">
        <v>0.46</v>
      </c>
      <c r="H2144" s="1363">
        <v>0.3</v>
      </c>
      <c r="I2144" s="399">
        <f t="shared" si="54"/>
        <v>0.48</v>
      </c>
      <c r="J2144" s="442"/>
      <c r="K2144" s="1263"/>
      <c r="L2144" s="461"/>
      <c r="M2144" s="461"/>
      <c r="N2144" s="461"/>
    </row>
    <row r="2145" spans="1:14" s="462" customFormat="1" hidden="1" outlineLevel="1">
      <c r="A2145" s="1261"/>
      <c r="B2145" s="260"/>
      <c r="C2145" s="439" t="s">
        <v>2</v>
      </c>
      <c r="D2145" s="440">
        <v>1</v>
      </c>
      <c r="E2145" s="441">
        <v>1</v>
      </c>
      <c r="F2145" s="1363">
        <v>3.3449999999999998</v>
      </c>
      <c r="G2145" s="1363">
        <v>0.34499999999999997</v>
      </c>
      <c r="H2145" s="1363">
        <v>0.3</v>
      </c>
      <c r="I2145" s="399">
        <f t="shared" si="54"/>
        <v>0.35</v>
      </c>
      <c r="J2145" s="442"/>
      <c r="K2145" s="1263"/>
      <c r="L2145" s="461"/>
      <c r="M2145" s="461"/>
      <c r="N2145" s="461"/>
    </row>
    <row r="2146" spans="1:14" s="462" customFormat="1" hidden="1" outlineLevel="1">
      <c r="A2146" s="1261"/>
      <c r="B2146" s="260"/>
      <c r="C2146" s="439" t="s">
        <v>2</v>
      </c>
      <c r="D2146" s="440">
        <v>1</v>
      </c>
      <c r="E2146" s="441">
        <v>1</v>
      </c>
      <c r="F2146" s="1363">
        <v>3.23</v>
      </c>
      <c r="G2146" s="1363">
        <v>0.23</v>
      </c>
      <c r="H2146" s="1363">
        <v>0.19000000000000006</v>
      </c>
      <c r="I2146" s="399">
        <f t="shared" si="54"/>
        <v>0.14000000000000001</v>
      </c>
      <c r="J2146" s="442"/>
      <c r="K2146" s="1263"/>
      <c r="L2146" s="461"/>
      <c r="M2146" s="461"/>
      <c r="N2146" s="461"/>
    </row>
    <row r="2147" spans="1:14" s="462" customFormat="1" hidden="1" outlineLevel="1">
      <c r="A2147" s="1261"/>
      <c r="B2147" s="260" t="s">
        <v>273</v>
      </c>
      <c r="C2147" s="439" t="s">
        <v>2</v>
      </c>
      <c r="D2147" s="440">
        <v>1</v>
      </c>
      <c r="E2147" s="441">
        <v>1</v>
      </c>
      <c r="F2147" s="1363">
        <v>3</v>
      </c>
      <c r="G2147" s="1363">
        <v>0.115</v>
      </c>
      <c r="H2147" s="1363">
        <v>0.19000000000000006</v>
      </c>
      <c r="I2147" s="399">
        <f t="shared" si="54"/>
        <v>7.0000000000000007E-2</v>
      </c>
      <c r="J2147" s="442"/>
      <c r="K2147" s="1263"/>
      <c r="L2147" s="461"/>
      <c r="M2147" s="461"/>
      <c r="N2147" s="461"/>
    </row>
    <row r="2148" spans="1:14" s="462" customFormat="1" hidden="1" outlineLevel="1">
      <c r="A2148" s="1261"/>
      <c r="B2148" s="260"/>
      <c r="C2148" s="439" t="s">
        <v>2</v>
      </c>
      <c r="D2148" s="440">
        <v>1</v>
      </c>
      <c r="E2148" s="441">
        <v>1</v>
      </c>
      <c r="F2148" s="1363">
        <v>3</v>
      </c>
      <c r="G2148" s="1363">
        <v>0.34499999999999997</v>
      </c>
      <c r="H2148" s="1363">
        <v>0.42499999999999999</v>
      </c>
      <c r="I2148" s="399">
        <f t="shared" si="54"/>
        <v>0.44</v>
      </c>
      <c r="J2148" s="442"/>
      <c r="K2148" s="1263"/>
      <c r="L2148" s="461"/>
      <c r="M2148" s="461"/>
      <c r="N2148" s="461"/>
    </row>
    <row r="2149" spans="1:14" s="462" customFormat="1" hidden="1" outlineLevel="1">
      <c r="A2149" s="1261"/>
      <c r="B2149" s="260"/>
      <c r="C2149" s="439"/>
      <c r="D2149" s="440"/>
      <c r="E2149" s="441"/>
      <c r="F2149" s="1363"/>
      <c r="G2149" s="1363"/>
      <c r="H2149" s="1363"/>
      <c r="I2149" s="399" t="str">
        <f t="shared" si="54"/>
        <v/>
      </c>
      <c r="J2149" s="442"/>
      <c r="K2149" s="1263"/>
      <c r="L2149" s="461"/>
      <c r="M2149" s="461"/>
      <c r="N2149" s="461"/>
    </row>
    <row r="2150" spans="1:14" s="462" customFormat="1" hidden="1" outlineLevel="1">
      <c r="A2150" s="1261"/>
      <c r="B2150" s="260"/>
      <c r="C2150" s="439" t="s">
        <v>2</v>
      </c>
      <c r="D2150" s="440">
        <v>1</v>
      </c>
      <c r="E2150" s="441">
        <v>1</v>
      </c>
      <c r="F2150" s="1363">
        <v>4.66</v>
      </c>
      <c r="G2150" s="1363">
        <v>0.46</v>
      </c>
      <c r="H2150" s="1363">
        <v>0.3</v>
      </c>
      <c r="I2150" s="399">
        <f t="shared" si="54"/>
        <v>0.64</v>
      </c>
      <c r="J2150" s="442"/>
      <c r="K2150" s="1263"/>
      <c r="L2150" s="461"/>
      <c r="M2150" s="461"/>
      <c r="N2150" s="461"/>
    </row>
    <row r="2151" spans="1:14" s="462" customFormat="1" hidden="1" outlineLevel="1">
      <c r="A2151" s="1261"/>
      <c r="B2151" s="260"/>
      <c r="C2151" s="439" t="s">
        <v>2</v>
      </c>
      <c r="D2151" s="440">
        <v>1</v>
      </c>
      <c r="E2151" s="441">
        <v>1</v>
      </c>
      <c r="F2151" s="1363">
        <v>4.5449999999999999</v>
      </c>
      <c r="G2151" s="1363">
        <v>0.34499999999999997</v>
      </c>
      <c r="H2151" s="1363">
        <v>0.3</v>
      </c>
      <c r="I2151" s="399">
        <f t="shared" si="54"/>
        <v>0.47</v>
      </c>
      <c r="J2151" s="442"/>
      <c r="K2151" s="1263"/>
      <c r="L2151" s="461"/>
      <c r="M2151" s="461"/>
      <c r="N2151" s="461"/>
    </row>
    <row r="2152" spans="1:14" s="462" customFormat="1" hidden="1" outlineLevel="1">
      <c r="A2152" s="1261"/>
      <c r="B2152" s="260"/>
      <c r="C2152" s="439" t="s">
        <v>2</v>
      </c>
      <c r="D2152" s="440">
        <v>1</v>
      </c>
      <c r="E2152" s="441">
        <v>1</v>
      </c>
      <c r="F2152" s="1363">
        <v>4.4300000000000006</v>
      </c>
      <c r="G2152" s="1363">
        <v>0.23</v>
      </c>
      <c r="H2152" s="1363">
        <v>0.19000000000000006</v>
      </c>
      <c r="I2152" s="399">
        <f t="shared" si="54"/>
        <v>0.19</v>
      </c>
      <c r="J2152" s="442"/>
      <c r="K2152" s="1263"/>
      <c r="L2152" s="461"/>
      <c r="M2152" s="461"/>
      <c r="N2152" s="461"/>
    </row>
    <row r="2153" spans="1:14" s="462" customFormat="1" hidden="1" outlineLevel="1">
      <c r="A2153" s="1261"/>
      <c r="B2153" s="260"/>
      <c r="C2153" s="439"/>
      <c r="D2153" s="440"/>
      <c r="E2153" s="441"/>
      <c r="F2153" s="1363"/>
      <c r="G2153" s="1363"/>
      <c r="H2153" s="1363"/>
      <c r="I2153" s="399" t="str">
        <f t="shared" si="54"/>
        <v/>
      </c>
      <c r="J2153" s="442"/>
      <c r="K2153" s="1263"/>
      <c r="L2153" s="461"/>
      <c r="M2153" s="461"/>
      <c r="N2153" s="461"/>
    </row>
    <row r="2154" spans="1:14" s="462" customFormat="1" hidden="1" outlineLevel="1">
      <c r="A2154" s="1261"/>
      <c r="B2154" s="260"/>
      <c r="C2154" s="439" t="s">
        <v>2</v>
      </c>
      <c r="D2154" s="440">
        <v>1</v>
      </c>
      <c r="E2154" s="441">
        <v>1</v>
      </c>
      <c r="F2154" s="1363">
        <v>3.46</v>
      </c>
      <c r="G2154" s="1363">
        <v>0.46</v>
      </c>
      <c r="H2154" s="1363">
        <v>0.3</v>
      </c>
      <c r="I2154" s="399">
        <f t="shared" si="54"/>
        <v>0.48</v>
      </c>
      <c r="J2154" s="442"/>
      <c r="K2154" s="1263"/>
      <c r="L2154" s="461"/>
      <c r="M2154" s="461"/>
      <c r="N2154" s="461"/>
    </row>
    <row r="2155" spans="1:14" s="462" customFormat="1" hidden="1" outlineLevel="1">
      <c r="A2155" s="1261"/>
      <c r="B2155" s="260"/>
      <c r="C2155" s="439" t="s">
        <v>2</v>
      </c>
      <c r="D2155" s="440">
        <v>1</v>
      </c>
      <c r="E2155" s="441">
        <v>1</v>
      </c>
      <c r="F2155" s="1363">
        <v>3.3449999999999998</v>
      </c>
      <c r="G2155" s="1363">
        <v>0.34499999999999997</v>
      </c>
      <c r="H2155" s="1363">
        <v>0.3</v>
      </c>
      <c r="I2155" s="399">
        <f t="shared" si="54"/>
        <v>0.35</v>
      </c>
      <c r="J2155" s="442"/>
      <c r="K2155" s="1263"/>
      <c r="L2155" s="461"/>
      <c r="M2155" s="461"/>
      <c r="N2155" s="461"/>
    </row>
    <row r="2156" spans="1:14" s="462" customFormat="1" hidden="1" outlineLevel="1">
      <c r="A2156" s="1261"/>
      <c r="B2156" s="260"/>
      <c r="C2156" s="439" t="s">
        <v>2</v>
      </c>
      <c r="D2156" s="440">
        <v>1</v>
      </c>
      <c r="E2156" s="441">
        <v>1</v>
      </c>
      <c r="F2156" s="1363">
        <v>3.23</v>
      </c>
      <c r="G2156" s="1363">
        <v>0.23</v>
      </c>
      <c r="H2156" s="1363">
        <v>0.19000000000000006</v>
      </c>
      <c r="I2156" s="399">
        <f t="shared" si="54"/>
        <v>0.14000000000000001</v>
      </c>
      <c r="J2156" s="442"/>
      <c r="K2156" s="1263"/>
      <c r="L2156" s="461"/>
      <c r="M2156" s="461"/>
      <c r="N2156" s="461"/>
    </row>
    <row r="2157" spans="1:14" s="462" customFormat="1" hidden="1" outlineLevel="1">
      <c r="A2157" s="1261"/>
      <c r="B2157" s="260"/>
      <c r="C2157" s="439"/>
      <c r="D2157" s="440"/>
      <c r="E2157" s="441"/>
      <c r="F2157" s="1363"/>
      <c r="G2157" s="1363"/>
      <c r="H2157" s="1363"/>
      <c r="I2157" s="399" t="str">
        <f t="shared" si="54"/>
        <v/>
      </c>
      <c r="J2157" s="442"/>
      <c r="K2157" s="1263"/>
      <c r="L2157" s="461"/>
      <c r="M2157" s="461"/>
      <c r="N2157" s="461"/>
    </row>
    <row r="2158" spans="1:14" s="462" customFormat="1" hidden="1" outlineLevel="1">
      <c r="A2158" s="1261"/>
      <c r="B2158" s="260"/>
      <c r="C2158" s="439" t="s">
        <v>2</v>
      </c>
      <c r="D2158" s="440">
        <v>1</v>
      </c>
      <c r="E2158" s="441">
        <v>1</v>
      </c>
      <c r="F2158" s="1363">
        <v>4.66</v>
      </c>
      <c r="G2158" s="1363">
        <v>0.46</v>
      </c>
      <c r="H2158" s="1363">
        <v>0.3</v>
      </c>
      <c r="I2158" s="399">
        <f t="shared" si="54"/>
        <v>0.64</v>
      </c>
      <c r="J2158" s="442"/>
      <c r="K2158" s="1263"/>
      <c r="L2158" s="461"/>
      <c r="M2158" s="461"/>
      <c r="N2158" s="461"/>
    </row>
    <row r="2159" spans="1:14" s="462" customFormat="1" hidden="1" outlineLevel="1">
      <c r="A2159" s="1261"/>
      <c r="B2159" s="260"/>
      <c r="C2159" s="439" t="s">
        <v>2</v>
      </c>
      <c r="D2159" s="440">
        <v>1</v>
      </c>
      <c r="E2159" s="441">
        <v>1</v>
      </c>
      <c r="F2159" s="1363">
        <v>4.5449999999999999</v>
      </c>
      <c r="G2159" s="1363">
        <v>0.34499999999999997</v>
      </c>
      <c r="H2159" s="1363">
        <v>0.3</v>
      </c>
      <c r="I2159" s="399">
        <f t="shared" si="54"/>
        <v>0.47</v>
      </c>
      <c r="J2159" s="442"/>
      <c r="K2159" s="1263"/>
      <c r="L2159" s="461"/>
      <c r="M2159" s="461"/>
      <c r="N2159" s="461"/>
    </row>
    <row r="2160" spans="1:14" s="462" customFormat="1" hidden="1" outlineLevel="1">
      <c r="A2160" s="1261"/>
      <c r="B2160" s="260"/>
      <c r="C2160" s="439" t="s">
        <v>2</v>
      </c>
      <c r="D2160" s="440">
        <v>1</v>
      </c>
      <c r="E2160" s="441">
        <v>1</v>
      </c>
      <c r="F2160" s="1363">
        <v>4.4300000000000006</v>
      </c>
      <c r="G2160" s="1363">
        <v>0.23</v>
      </c>
      <c r="H2160" s="1363">
        <v>0.19000000000000006</v>
      </c>
      <c r="I2160" s="399">
        <f t="shared" si="54"/>
        <v>0.19</v>
      </c>
      <c r="J2160" s="442"/>
      <c r="K2160" s="1263"/>
      <c r="L2160" s="461"/>
      <c r="M2160" s="461"/>
      <c r="N2160" s="461"/>
    </row>
    <row r="2161" spans="1:14" s="462" customFormat="1" hidden="1" outlineLevel="1">
      <c r="A2161" s="1261"/>
      <c r="B2161" s="260"/>
      <c r="C2161" s="439"/>
      <c r="D2161" s="440"/>
      <c r="E2161" s="441"/>
      <c r="F2161" s="1363"/>
      <c r="G2161" s="1363"/>
      <c r="H2161" s="1363"/>
      <c r="I2161" s="399" t="str">
        <f t="shared" si="54"/>
        <v/>
      </c>
      <c r="J2161" s="442"/>
      <c r="K2161" s="1263"/>
      <c r="L2161" s="461"/>
      <c r="M2161" s="461"/>
      <c r="N2161" s="461"/>
    </row>
    <row r="2162" spans="1:14" s="462" customFormat="1" hidden="1" outlineLevel="1">
      <c r="A2162" s="1261"/>
      <c r="B2162" s="260"/>
      <c r="C2162" s="439" t="s">
        <v>2</v>
      </c>
      <c r="D2162" s="440">
        <v>1</v>
      </c>
      <c r="E2162" s="441">
        <v>1</v>
      </c>
      <c r="F2162" s="1363">
        <v>1.66</v>
      </c>
      <c r="G2162" s="1363">
        <v>0.46</v>
      </c>
      <c r="H2162" s="1363">
        <v>0.3</v>
      </c>
      <c r="I2162" s="399">
        <f t="shared" si="54"/>
        <v>0.23</v>
      </c>
      <c r="J2162" s="442"/>
      <c r="K2162" s="1263"/>
      <c r="L2162" s="461"/>
      <c r="M2162" s="461"/>
      <c r="N2162" s="461"/>
    </row>
    <row r="2163" spans="1:14" s="462" customFormat="1" hidden="1" outlineLevel="1">
      <c r="A2163" s="1261"/>
      <c r="B2163" s="260"/>
      <c r="C2163" s="439" t="s">
        <v>2</v>
      </c>
      <c r="D2163" s="440">
        <v>1</v>
      </c>
      <c r="E2163" s="441">
        <v>1</v>
      </c>
      <c r="F2163" s="1363">
        <v>1.5449999999999999</v>
      </c>
      <c r="G2163" s="1363">
        <v>0.34499999999999997</v>
      </c>
      <c r="H2163" s="1363">
        <v>0.3</v>
      </c>
      <c r="I2163" s="399">
        <f t="shared" si="54"/>
        <v>0.16</v>
      </c>
      <c r="J2163" s="442"/>
      <c r="K2163" s="1263"/>
      <c r="L2163" s="461"/>
      <c r="M2163" s="461"/>
      <c r="N2163" s="461"/>
    </row>
    <row r="2164" spans="1:14" s="462" customFormat="1" hidden="1" outlineLevel="1">
      <c r="A2164" s="1261"/>
      <c r="B2164" s="260"/>
      <c r="C2164" s="439" t="s">
        <v>2</v>
      </c>
      <c r="D2164" s="440">
        <v>1</v>
      </c>
      <c r="E2164" s="441">
        <v>1</v>
      </c>
      <c r="F2164" s="1363">
        <v>1.43</v>
      </c>
      <c r="G2164" s="1363">
        <v>0.23</v>
      </c>
      <c r="H2164" s="1363">
        <v>0.19000000000000006</v>
      </c>
      <c r="I2164" s="399">
        <f t="shared" si="54"/>
        <v>0.06</v>
      </c>
      <c r="J2164" s="442"/>
      <c r="K2164" s="1263"/>
      <c r="L2164" s="461"/>
      <c r="M2164" s="461"/>
      <c r="N2164" s="461"/>
    </row>
    <row r="2165" spans="1:14" s="462" customFormat="1" hidden="1" outlineLevel="1">
      <c r="A2165" s="1261"/>
      <c r="B2165" s="260"/>
      <c r="C2165" s="439"/>
      <c r="D2165" s="440"/>
      <c r="E2165" s="441"/>
      <c r="F2165" s="1363"/>
      <c r="G2165" s="1363"/>
      <c r="H2165" s="1363"/>
      <c r="I2165" s="399" t="str">
        <f t="shared" si="54"/>
        <v/>
      </c>
      <c r="J2165" s="442"/>
      <c r="K2165" s="1263"/>
      <c r="L2165" s="461"/>
      <c r="M2165" s="461"/>
      <c r="N2165" s="461"/>
    </row>
    <row r="2166" spans="1:14" s="462" customFormat="1" hidden="1" outlineLevel="1">
      <c r="A2166" s="1261"/>
      <c r="B2166" s="260"/>
      <c r="C2166" s="439" t="s">
        <v>2</v>
      </c>
      <c r="D2166" s="440">
        <v>1</v>
      </c>
      <c r="E2166" s="441">
        <v>1</v>
      </c>
      <c r="F2166" s="1363">
        <v>6.46</v>
      </c>
      <c r="G2166" s="1363">
        <v>0.46</v>
      </c>
      <c r="H2166" s="1363">
        <v>0.3</v>
      </c>
      <c r="I2166" s="399">
        <f t="shared" si="54"/>
        <v>0.89</v>
      </c>
      <c r="J2166" s="442"/>
      <c r="K2166" s="1263"/>
      <c r="L2166" s="461"/>
      <c r="M2166" s="461"/>
      <c r="N2166" s="461"/>
    </row>
    <row r="2167" spans="1:14" s="462" customFormat="1" hidden="1" outlineLevel="1">
      <c r="A2167" s="1261"/>
      <c r="B2167" s="260"/>
      <c r="C2167" s="439" t="s">
        <v>2</v>
      </c>
      <c r="D2167" s="440">
        <v>1</v>
      </c>
      <c r="E2167" s="441">
        <v>1</v>
      </c>
      <c r="F2167" s="1363">
        <v>6.3449999999999998</v>
      </c>
      <c r="G2167" s="1363">
        <v>0.34499999999999997</v>
      </c>
      <c r="H2167" s="1363">
        <v>0.3</v>
      </c>
      <c r="I2167" s="399">
        <f t="shared" si="54"/>
        <v>0.66</v>
      </c>
      <c r="J2167" s="442"/>
      <c r="K2167" s="1263"/>
      <c r="L2167" s="461"/>
      <c r="M2167" s="461"/>
      <c r="N2167" s="461"/>
    </row>
    <row r="2168" spans="1:14" s="462" customFormat="1" hidden="1" outlineLevel="1">
      <c r="A2168" s="1261"/>
      <c r="B2168" s="260"/>
      <c r="C2168" s="439" t="s">
        <v>2</v>
      </c>
      <c r="D2168" s="440">
        <v>1</v>
      </c>
      <c r="E2168" s="441">
        <v>1</v>
      </c>
      <c r="F2168" s="1363">
        <v>6.23</v>
      </c>
      <c r="G2168" s="1363">
        <v>0.23</v>
      </c>
      <c r="H2168" s="1363">
        <v>0.19000000000000006</v>
      </c>
      <c r="I2168" s="399">
        <f t="shared" si="54"/>
        <v>0.27</v>
      </c>
      <c r="J2168" s="442"/>
      <c r="K2168" s="1263"/>
      <c r="L2168" s="461"/>
      <c r="M2168" s="461"/>
      <c r="N2168" s="461"/>
    </row>
    <row r="2169" spans="1:14" s="462" customFormat="1" hidden="1" outlineLevel="1">
      <c r="A2169" s="1261"/>
      <c r="B2169" s="260" t="s">
        <v>273</v>
      </c>
      <c r="C2169" s="439" t="s">
        <v>2</v>
      </c>
      <c r="D2169" s="440">
        <v>1</v>
      </c>
      <c r="E2169" s="441">
        <v>1</v>
      </c>
      <c r="F2169" s="1363">
        <v>3</v>
      </c>
      <c r="G2169" s="1363">
        <v>0.115</v>
      </c>
      <c r="H2169" s="1363">
        <v>0.19000000000000006</v>
      </c>
      <c r="I2169" s="399">
        <f t="shared" si="54"/>
        <v>7.0000000000000007E-2</v>
      </c>
      <c r="J2169" s="442"/>
      <c r="K2169" s="1263"/>
      <c r="L2169" s="461"/>
      <c r="M2169" s="461"/>
      <c r="N2169" s="461"/>
    </row>
    <row r="2170" spans="1:14" s="462" customFormat="1" hidden="1" outlineLevel="1">
      <c r="A2170" s="1261"/>
      <c r="B2170" s="260"/>
      <c r="C2170" s="439" t="s">
        <v>2</v>
      </c>
      <c r="D2170" s="440">
        <v>1</v>
      </c>
      <c r="E2170" s="441">
        <v>1</v>
      </c>
      <c r="F2170" s="1363">
        <v>3</v>
      </c>
      <c r="G2170" s="1363">
        <v>0.34499999999999997</v>
      </c>
      <c r="H2170" s="1363">
        <v>0.42499999999999999</v>
      </c>
      <c r="I2170" s="399">
        <f t="shared" si="54"/>
        <v>0.44</v>
      </c>
      <c r="J2170" s="442"/>
      <c r="K2170" s="1263"/>
      <c r="L2170" s="461"/>
      <c r="M2170" s="461"/>
      <c r="N2170" s="461"/>
    </row>
    <row r="2171" spans="1:14" s="462" customFormat="1" hidden="1" outlineLevel="1">
      <c r="A2171" s="1261"/>
      <c r="B2171" s="260"/>
      <c r="C2171" s="439"/>
      <c r="D2171" s="440"/>
      <c r="E2171" s="441"/>
      <c r="F2171" s="1363"/>
      <c r="G2171" s="1363"/>
      <c r="H2171" s="1363"/>
      <c r="I2171" s="399" t="str">
        <f t="shared" si="54"/>
        <v/>
      </c>
      <c r="J2171" s="442"/>
      <c r="K2171" s="1263"/>
      <c r="L2171" s="461"/>
      <c r="M2171" s="461"/>
      <c r="N2171" s="461"/>
    </row>
    <row r="2172" spans="1:14" s="462" customFormat="1" hidden="1" outlineLevel="1">
      <c r="A2172" s="1261"/>
      <c r="B2172" s="260"/>
      <c r="C2172" s="439" t="s">
        <v>2</v>
      </c>
      <c r="D2172" s="440">
        <v>1</v>
      </c>
      <c r="E2172" s="441">
        <v>1</v>
      </c>
      <c r="F2172" s="1363">
        <v>8.4600000000000009</v>
      </c>
      <c r="G2172" s="1363">
        <v>0.46</v>
      </c>
      <c r="H2172" s="1363">
        <v>0.3</v>
      </c>
      <c r="I2172" s="399">
        <f t="shared" si="54"/>
        <v>1.17</v>
      </c>
      <c r="J2172" s="442"/>
      <c r="K2172" s="1263"/>
      <c r="L2172" s="461"/>
      <c r="M2172" s="461"/>
      <c r="N2172" s="461"/>
    </row>
    <row r="2173" spans="1:14" s="462" customFormat="1" hidden="1" outlineLevel="1">
      <c r="A2173" s="1261"/>
      <c r="B2173" s="260"/>
      <c r="C2173" s="439" t="s">
        <v>2</v>
      </c>
      <c r="D2173" s="440">
        <v>1</v>
      </c>
      <c r="E2173" s="441">
        <v>1</v>
      </c>
      <c r="F2173" s="1363">
        <v>8.3450000000000006</v>
      </c>
      <c r="G2173" s="1363">
        <v>0.34499999999999997</v>
      </c>
      <c r="H2173" s="1363">
        <v>0.3</v>
      </c>
      <c r="I2173" s="399">
        <f t="shared" si="54"/>
        <v>0.86</v>
      </c>
      <c r="J2173" s="442"/>
      <c r="K2173" s="1263"/>
      <c r="L2173" s="461"/>
      <c r="M2173" s="461"/>
      <c r="N2173" s="461"/>
    </row>
    <row r="2174" spans="1:14" s="462" customFormat="1" hidden="1" outlineLevel="1">
      <c r="A2174" s="1261"/>
      <c r="B2174" s="260"/>
      <c r="C2174" s="439" t="s">
        <v>2</v>
      </c>
      <c r="D2174" s="440">
        <v>1</v>
      </c>
      <c r="E2174" s="441">
        <v>1</v>
      </c>
      <c r="F2174" s="1363">
        <v>8.23</v>
      </c>
      <c r="G2174" s="1363">
        <v>0.23</v>
      </c>
      <c r="H2174" s="1363">
        <v>0.19000000000000006</v>
      </c>
      <c r="I2174" s="399">
        <f t="shared" si="54"/>
        <v>0.36</v>
      </c>
      <c r="J2174" s="442"/>
      <c r="K2174" s="1263"/>
      <c r="L2174" s="461"/>
      <c r="M2174" s="461"/>
      <c r="N2174" s="461"/>
    </row>
    <row r="2175" spans="1:14" s="462" customFormat="1" hidden="1" outlineLevel="1">
      <c r="A2175" s="1261"/>
      <c r="B2175" s="260"/>
      <c r="C2175" s="439"/>
      <c r="D2175" s="440"/>
      <c r="E2175" s="441"/>
      <c r="F2175" s="1363"/>
      <c r="G2175" s="1363"/>
      <c r="H2175" s="1363"/>
      <c r="I2175" s="399" t="str">
        <f t="shared" si="54"/>
        <v/>
      </c>
      <c r="J2175" s="442"/>
      <c r="K2175" s="1263"/>
      <c r="L2175" s="461"/>
      <c r="M2175" s="461"/>
      <c r="N2175" s="461"/>
    </row>
    <row r="2176" spans="1:14" s="462" customFormat="1" hidden="1" outlineLevel="1">
      <c r="A2176" s="1261"/>
      <c r="B2176" s="260"/>
      <c r="C2176" s="439" t="s">
        <v>2</v>
      </c>
      <c r="D2176" s="440">
        <v>1</v>
      </c>
      <c r="E2176" s="441">
        <v>1</v>
      </c>
      <c r="F2176" s="1363">
        <v>10.72</v>
      </c>
      <c r="G2176" s="1363">
        <v>0.46</v>
      </c>
      <c r="H2176" s="1363">
        <v>0.3</v>
      </c>
      <c r="I2176" s="399">
        <f t="shared" si="54"/>
        <v>1.48</v>
      </c>
      <c r="J2176" s="442"/>
      <c r="K2176" s="1263"/>
      <c r="L2176" s="461"/>
      <c r="M2176" s="461"/>
      <c r="N2176" s="461"/>
    </row>
    <row r="2177" spans="1:14" s="462" customFormat="1" hidden="1" outlineLevel="1">
      <c r="A2177" s="1261"/>
      <c r="B2177" s="260"/>
      <c r="C2177" s="439" t="s">
        <v>2</v>
      </c>
      <c r="D2177" s="440">
        <v>1</v>
      </c>
      <c r="E2177" s="441">
        <v>1</v>
      </c>
      <c r="F2177" s="1363">
        <v>10.49</v>
      </c>
      <c r="G2177" s="1363">
        <v>0.34499999999999997</v>
      </c>
      <c r="H2177" s="1363">
        <v>0.3</v>
      </c>
      <c r="I2177" s="399">
        <f t="shared" si="54"/>
        <v>1.0900000000000001</v>
      </c>
      <c r="J2177" s="442"/>
      <c r="K2177" s="1263"/>
      <c r="L2177" s="461"/>
      <c r="M2177" s="461"/>
      <c r="N2177" s="461"/>
    </row>
    <row r="2178" spans="1:14" s="462" customFormat="1" hidden="1" outlineLevel="1">
      <c r="A2178" s="1261"/>
      <c r="B2178" s="260"/>
      <c r="C2178" s="439" t="s">
        <v>2</v>
      </c>
      <c r="D2178" s="440">
        <v>1</v>
      </c>
      <c r="E2178" s="441">
        <v>1</v>
      </c>
      <c r="F2178" s="1363">
        <v>10.260000000000002</v>
      </c>
      <c r="G2178" s="1363">
        <v>0.23</v>
      </c>
      <c r="H2178" s="1363">
        <v>0.19000000000000006</v>
      </c>
      <c r="I2178" s="399">
        <f t="shared" si="54"/>
        <v>0.45</v>
      </c>
      <c r="J2178" s="442"/>
      <c r="K2178" s="1263"/>
      <c r="L2178" s="461"/>
      <c r="M2178" s="461"/>
      <c r="N2178" s="461"/>
    </row>
    <row r="2179" spans="1:14" s="462" customFormat="1" hidden="1" outlineLevel="1">
      <c r="A2179" s="1261"/>
      <c r="B2179" s="260"/>
      <c r="C2179" s="439"/>
      <c r="D2179" s="440"/>
      <c r="E2179" s="441"/>
      <c r="F2179" s="1363"/>
      <c r="G2179" s="1363"/>
      <c r="H2179" s="1363"/>
      <c r="I2179" s="399" t="str">
        <f t="shared" si="54"/>
        <v/>
      </c>
      <c r="J2179" s="442"/>
      <c r="K2179" s="1263"/>
      <c r="L2179" s="461"/>
      <c r="M2179" s="461"/>
      <c r="N2179" s="461"/>
    </row>
    <row r="2180" spans="1:14" s="462" customFormat="1" hidden="1" outlineLevel="1">
      <c r="A2180" s="1261"/>
      <c r="B2180" s="260" t="s">
        <v>194</v>
      </c>
      <c r="C2180" s="439" t="s">
        <v>2</v>
      </c>
      <c r="D2180" s="440">
        <v>1</v>
      </c>
      <c r="E2180" s="441">
        <v>6</v>
      </c>
      <c r="F2180" s="1363">
        <v>0.61499999999999999</v>
      </c>
      <c r="G2180" s="1363">
        <v>0.46</v>
      </c>
      <c r="H2180" s="1363">
        <v>0.3</v>
      </c>
      <c r="I2180" s="399">
        <f t="shared" si="54"/>
        <v>0.51</v>
      </c>
      <c r="J2180" s="442"/>
      <c r="K2180" s="1263"/>
      <c r="L2180" s="461"/>
      <c r="M2180" s="461"/>
      <c r="N2180" s="461"/>
    </row>
    <row r="2181" spans="1:14" s="462" customFormat="1" hidden="1" outlineLevel="1">
      <c r="A2181" s="1261"/>
      <c r="B2181" s="260"/>
      <c r="C2181" s="439" t="s">
        <v>2</v>
      </c>
      <c r="D2181" s="440">
        <v>1</v>
      </c>
      <c r="E2181" s="441">
        <v>6</v>
      </c>
      <c r="F2181" s="1363">
        <v>0.61499999999999999</v>
      </c>
      <c r="G2181" s="1363">
        <v>0.34499999999999997</v>
      </c>
      <c r="H2181" s="1363">
        <v>0.3</v>
      </c>
      <c r="I2181" s="399">
        <f t="shared" si="54"/>
        <v>0.38</v>
      </c>
      <c r="J2181" s="442"/>
      <c r="K2181" s="1263"/>
      <c r="L2181" s="461"/>
      <c r="M2181" s="461"/>
      <c r="N2181" s="461"/>
    </row>
    <row r="2182" spans="1:14" s="462" customFormat="1" hidden="1" outlineLevel="1">
      <c r="A2182" s="1261"/>
      <c r="B2182" s="260"/>
      <c r="C2182" s="439" t="s">
        <v>2</v>
      </c>
      <c r="D2182" s="440">
        <v>1</v>
      </c>
      <c r="E2182" s="441">
        <v>6</v>
      </c>
      <c r="F2182" s="1363">
        <v>0.61499999999999999</v>
      </c>
      <c r="G2182" s="1363">
        <v>0.23</v>
      </c>
      <c r="H2182" s="1363">
        <v>0.19000000000000006</v>
      </c>
      <c r="I2182" s="399">
        <f t="shared" si="54"/>
        <v>0.16</v>
      </c>
      <c r="J2182" s="442"/>
      <c r="K2182" s="1263"/>
      <c r="L2182" s="461"/>
      <c r="M2182" s="461"/>
      <c r="N2182" s="461"/>
    </row>
    <row r="2183" spans="1:14" s="462" customFormat="1" hidden="1" outlineLevel="1">
      <c r="A2183" s="1261"/>
      <c r="B2183" s="260"/>
      <c r="C2183" s="439"/>
      <c r="D2183" s="440"/>
      <c r="E2183" s="441"/>
      <c r="F2183" s="1363"/>
      <c r="G2183" s="1363"/>
      <c r="H2183" s="1363"/>
      <c r="I2183" s="399" t="str">
        <f t="shared" si="54"/>
        <v/>
      </c>
      <c r="J2183" s="442"/>
      <c r="K2183" s="1263"/>
      <c r="L2183" s="461"/>
      <c r="M2183" s="461"/>
      <c r="N2183" s="461"/>
    </row>
    <row r="2184" spans="1:14" s="462" customFormat="1" hidden="1" outlineLevel="1">
      <c r="A2184" s="1261"/>
      <c r="B2184" s="260"/>
      <c r="C2184" s="439" t="s">
        <v>2</v>
      </c>
      <c r="D2184" s="440">
        <v>1</v>
      </c>
      <c r="E2184" s="441">
        <v>1</v>
      </c>
      <c r="F2184" s="1363">
        <v>2.2850000000000001</v>
      </c>
      <c r="G2184" s="1363">
        <v>0.46</v>
      </c>
      <c r="H2184" s="1363">
        <v>0.3</v>
      </c>
      <c r="I2184" s="399">
        <f t="shared" si="54"/>
        <v>0.32</v>
      </c>
      <c r="J2184" s="442"/>
      <c r="K2184" s="1263"/>
      <c r="L2184" s="461"/>
      <c r="M2184" s="461"/>
      <c r="N2184" s="461"/>
    </row>
    <row r="2185" spans="1:14" s="462" customFormat="1" hidden="1" outlineLevel="1">
      <c r="A2185" s="1261"/>
      <c r="B2185" s="260"/>
      <c r="C2185" s="439" t="s">
        <v>2</v>
      </c>
      <c r="D2185" s="440">
        <v>1</v>
      </c>
      <c r="E2185" s="441">
        <v>1</v>
      </c>
      <c r="F2185" s="1363">
        <v>2.4000000000000004</v>
      </c>
      <c r="G2185" s="1363">
        <v>0.34499999999999997</v>
      </c>
      <c r="H2185" s="1363">
        <v>0.3</v>
      </c>
      <c r="I2185" s="399">
        <f t="shared" si="54"/>
        <v>0.25</v>
      </c>
      <c r="J2185" s="442"/>
      <c r="K2185" s="1263"/>
      <c r="L2185" s="461"/>
      <c r="M2185" s="461"/>
      <c r="N2185" s="461"/>
    </row>
    <row r="2186" spans="1:14" s="462" customFormat="1" hidden="1" outlineLevel="1">
      <c r="A2186" s="1261"/>
      <c r="B2186" s="260"/>
      <c r="C2186" s="439" t="s">
        <v>2</v>
      </c>
      <c r="D2186" s="440">
        <v>1</v>
      </c>
      <c r="E2186" s="441">
        <v>1</v>
      </c>
      <c r="F2186" s="1363">
        <v>2.5150000000000001</v>
      </c>
      <c r="G2186" s="1363">
        <v>0.23</v>
      </c>
      <c r="H2186" s="1363">
        <v>0.19000000000000006</v>
      </c>
      <c r="I2186" s="399">
        <f t="shared" si="54"/>
        <v>0.11</v>
      </c>
      <c r="J2186" s="442"/>
      <c r="K2186" s="1263"/>
      <c r="L2186" s="461"/>
      <c r="M2186" s="461"/>
      <c r="N2186" s="461"/>
    </row>
    <row r="2187" spans="1:14" s="462" customFormat="1" hidden="1" outlineLevel="1">
      <c r="A2187" s="1261"/>
      <c r="B2187" s="260"/>
      <c r="C2187" s="439"/>
      <c r="D2187" s="440"/>
      <c r="E2187" s="441"/>
      <c r="F2187" s="1363"/>
      <c r="G2187" s="1363"/>
      <c r="H2187" s="1363"/>
      <c r="I2187" s="399" t="str">
        <f t="shared" si="54"/>
        <v/>
      </c>
      <c r="J2187" s="442"/>
      <c r="K2187" s="1263"/>
      <c r="L2187" s="461"/>
      <c r="M2187" s="461"/>
      <c r="N2187" s="461"/>
    </row>
    <row r="2188" spans="1:14" s="462" customFormat="1" hidden="1" outlineLevel="1">
      <c r="A2188" s="1261"/>
      <c r="B2188" s="260"/>
      <c r="C2188" s="439" t="s">
        <v>2</v>
      </c>
      <c r="D2188" s="440">
        <v>1</v>
      </c>
      <c r="E2188" s="441">
        <v>1</v>
      </c>
      <c r="F2188" s="1363">
        <v>1.21</v>
      </c>
      <c r="G2188" s="1363">
        <v>0.46</v>
      </c>
      <c r="H2188" s="1363">
        <v>0.3</v>
      </c>
      <c r="I2188" s="399">
        <f t="shared" si="54"/>
        <v>0.17</v>
      </c>
      <c r="J2188" s="442"/>
      <c r="K2188" s="1263"/>
      <c r="L2188" s="461"/>
      <c r="M2188" s="461"/>
      <c r="N2188" s="461"/>
    </row>
    <row r="2189" spans="1:14" s="462" customFormat="1" hidden="1" outlineLevel="1">
      <c r="A2189" s="1261"/>
      <c r="B2189" s="260"/>
      <c r="C2189" s="439" t="s">
        <v>2</v>
      </c>
      <c r="D2189" s="440">
        <v>1</v>
      </c>
      <c r="E2189" s="441">
        <v>1</v>
      </c>
      <c r="F2189" s="1363">
        <v>1.44</v>
      </c>
      <c r="G2189" s="1363">
        <v>0.34499999999999997</v>
      </c>
      <c r="H2189" s="1363">
        <v>0.3</v>
      </c>
      <c r="I2189" s="399">
        <f t="shared" si="54"/>
        <v>0.15</v>
      </c>
      <c r="J2189" s="442"/>
      <c r="K2189" s="1263"/>
      <c r="L2189" s="461"/>
      <c r="M2189" s="461"/>
      <c r="N2189" s="461"/>
    </row>
    <row r="2190" spans="1:14" s="462" customFormat="1" hidden="1" outlineLevel="1">
      <c r="A2190" s="1261"/>
      <c r="B2190" s="260"/>
      <c r="C2190" s="439" t="s">
        <v>2</v>
      </c>
      <c r="D2190" s="440">
        <v>1</v>
      </c>
      <c r="E2190" s="441">
        <v>1</v>
      </c>
      <c r="F2190" s="1363">
        <v>1.67</v>
      </c>
      <c r="G2190" s="1363">
        <v>0.23</v>
      </c>
      <c r="H2190" s="1363">
        <v>0.19000000000000006</v>
      </c>
      <c r="I2190" s="399">
        <f t="shared" si="54"/>
        <v>7.0000000000000007E-2</v>
      </c>
      <c r="J2190" s="442"/>
      <c r="K2190" s="1263"/>
      <c r="L2190" s="461"/>
      <c r="M2190" s="461"/>
      <c r="N2190" s="461"/>
    </row>
    <row r="2191" spans="1:14" s="462" customFormat="1" hidden="1" outlineLevel="1">
      <c r="A2191" s="1261"/>
      <c r="B2191" s="260"/>
      <c r="C2191" s="439"/>
      <c r="D2191" s="440"/>
      <c r="E2191" s="441"/>
      <c r="F2191" s="1363"/>
      <c r="G2191" s="1363"/>
      <c r="H2191" s="1363"/>
      <c r="I2191" s="399" t="str">
        <f t="shared" si="54"/>
        <v/>
      </c>
      <c r="J2191" s="442"/>
      <c r="K2191" s="1263"/>
      <c r="L2191" s="461"/>
      <c r="M2191" s="461"/>
      <c r="N2191" s="461"/>
    </row>
    <row r="2192" spans="1:14" s="462" customFormat="1" hidden="1" outlineLevel="1">
      <c r="A2192" s="1261"/>
      <c r="B2192" s="260"/>
      <c r="C2192" s="439" t="s">
        <v>2</v>
      </c>
      <c r="D2192" s="440">
        <v>1</v>
      </c>
      <c r="E2192" s="441">
        <v>2</v>
      </c>
      <c r="F2192" s="1363">
        <v>1.21</v>
      </c>
      <c r="G2192" s="1363">
        <v>0.46</v>
      </c>
      <c r="H2192" s="1363">
        <v>0.3</v>
      </c>
      <c r="I2192" s="399">
        <f t="shared" si="54"/>
        <v>0.33</v>
      </c>
      <c r="J2192" s="442"/>
      <c r="K2192" s="1263"/>
      <c r="L2192" s="461"/>
      <c r="M2192" s="461"/>
      <c r="N2192" s="461"/>
    </row>
    <row r="2193" spans="1:14" s="462" customFormat="1" hidden="1" outlineLevel="1">
      <c r="A2193" s="1261"/>
      <c r="B2193" s="260"/>
      <c r="C2193" s="439" t="s">
        <v>2</v>
      </c>
      <c r="D2193" s="440">
        <v>1</v>
      </c>
      <c r="E2193" s="441">
        <v>2</v>
      </c>
      <c r="F2193" s="1363">
        <v>1.44</v>
      </c>
      <c r="G2193" s="1363">
        <v>0.34499999999999997</v>
      </c>
      <c r="H2193" s="1363">
        <v>0.3</v>
      </c>
      <c r="I2193" s="399">
        <f t="shared" si="54"/>
        <v>0.3</v>
      </c>
      <c r="J2193" s="442"/>
      <c r="K2193" s="1263"/>
      <c r="L2193" s="461"/>
      <c r="M2193" s="461"/>
      <c r="N2193" s="461"/>
    </row>
    <row r="2194" spans="1:14" s="462" customFormat="1" hidden="1" outlineLevel="1">
      <c r="A2194" s="1261"/>
      <c r="B2194" s="260"/>
      <c r="C2194" s="439" t="s">
        <v>2</v>
      </c>
      <c r="D2194" s="440">
        <v>1</v>
      </c>
      <c r="E2194" s="441">
        <v>2</v>
      </c>
      <c r="F2194" s="1363">
        <v>1.67</v>
      </c>
      <c r="G2194" s="1363">
        <v>0.23</v>
      </c>
      <c r="H2194" s="1363">
        <v>0.19000000000000006</v>
      </c>
      <c r="I2194" s="399">
        <f t="shared" si="54"/>
        <v>0.15</v>
      </c>
      <c r="J2194" s="442"/>
      <c r="K2194" s="1263"/>
      <c r="L2194" s="461"/>
      <c r="M2194" s="461"/>
      <c r="N2194" s="461"/>
    </row>
    <row r="2195" spans="1:14" s="462" customFormat="1" hidden="1" outlineLevel="1">
      <c r="A2195" s="1261"/>
      <c r="B2195" s="260"/>
      <c r="C2195" s="439"/>
      <c r="D2195" s="440"/>
      <c r="E2195" s="441"/>
      <c r="F2195" s="1363"/>
      <c r="G2195" s="1363"/>
      <c r="H2195" s="1363"/>
      <c r="I2195" s="399" t="str">
        <f t="shared" si="54"/>
        <v/>
      </c>
      <c r="J2195" s="442"/>
      <c r="K2195" s="1263"/>
      <c r="L2195" s="461"/>
      <c r="M2195" s="461"/>
      <c r="N2195" s="461"/>
    </row>
    <row r="2196" spans="1:14" s="462" customFormat="1" hidden="1" outlineLevel="1">
      <c r="A2196" s="1261"/>
      <c r="B2196" s="260"/>
      <c r="C2196" s="439" t="s">
        <v>2</v>
      </c>
      <c r="D2196" s="440">
        <v>1</v>
      </c>
      <c r="E2196" s="441">
        <v>1</v>
      </c>
      <c r="F2196" s="1363">
        <v>2.2850000000000001</v>
      </c>
      <c r="G2196" s="1363">
        <v>0.46</v>
      </c>
      <c r="H2196" s="1363">
        <v>0.3</v>
      </c>
      <c r="I2196" s="399">
        <f t="shared" si="54"/>
        <v>0.32</v>
      </c>
      <c r="J2196" s="442"/>
      <c r="K2196" s="1263"/>
      <c r="L2196" s="461"/>
      <c r="M2196" s="461"/>
      <c r="N2196" s="461"/>
    </row>
    <row r="2197" spans="1:14" s="462" customFormat="1" hidden="1" outlineLevel="1">
      <c r="A2197" s="1261"/>
      <c r="B2197" s="260"/>
      <c r="C2197" s="439" t="s">
        <v>2</v>
      </c>
      <c r="D2197" s="440">
        <v>1</v>
      </c>
      <c r="E2197" s="441">
        <v>1</v>
      </c>
      <c r="F2197" s="1363">
        <v>2.4000000000000004</v>
      </c>
      <c r="G2197" s="1363">
        <v>0.34499999999999997</v>
      </c>
      <c r="H2197" s="1363">
        <v>0.3</v>
      </c>
      <c r="I2197" s="399">
        <f t="shared" si="54"/>
        <v>0.25</v>
      </c>
      <c r="J2197" s="442"/>
      <c r="K2197" s="1263"/>
      <c r="L2197" s="461"/>
      <c r="M2197" s="461"/>
      <c r="N2197" s="461"/>
    </row>
    <row r="2198" spans="1:14" s="462" customFormat="1" hidden="1" outlineLevel="1">
      <c r="A2198" s="1261"/>
      <c r="B2198" s="260"/>
      <c r="C2198" s="439" t="s">
        <v>2</v>
      </c>
      <c r="D2198" s="440">
        <v>1</v>
      </c>
      <c r="E2198" s="441">
        <v>1</v>
      </c>
      <c r="F2198" s="1363">
        <v>2.5150000000000001</v>
      </c>
      <c r="G2198" s="1363">
        <v>0.23</v>
      </c>
      <c r="H2198" s="1363">
        <v>0.19000000000000006</v>
      </c>
      <c r="I2198" s="399">
        <f t="shared" si="54"/>
        <v>0.11</v>
      </c>
      <c r="J2198" s="442"/>
      <c r="K2198" s="1263"/>
      <c r="L2198" s="461"/>
      <c r="M2198" s="461"/>
      <c r="N2198" s="461"/>
    </row>
    <row r="2199" spans="1:14" s="462" customFormat="1" hidden="1" outlineLevel="1">
      <c r="A2199" s="1261"/>
      <c r="B2199" s="260"/>
      <c r="C2199" s="439"/>
      <c r="D2199" s="440"/>
      <c r="E2199" s="441"/>
      <c r="F2199" s="1363"/>
      <c r="G2199" s="1363"/>
      <c r="H2199" s="1363"/>
      <c r="I2199" s="399" t="str">
        <f t="shared" si="54"/>
        <v/>
      </c>
      <c r="J2199" s="442"/>
      <c r="K2199" s="1263"/>
      <c r="L2199" s="461"/>
      <c r="M2199" s="461"/>
      <c r="N2199" s="461"/>
    </row>
    <row r="2200" spans="1:14" s="462" customFormat="1" hidden="1" outlineLevel="1">
      <c r="A2200" s="1261"/>
      <c r="B2200" s="260"/>
      <c r="C2200" s="439" t="s">
        <v>2</v>
      </c>
      <c r="D2200" s="440">
        <v>1</v>
      </c>
      <c r="E2200" s="441">
        <v>1</v>
      </c>
      <c r="F2200" s="1363">
        <v>1.21</v>
      </c>
      <c r="G2200" s="1363">
        <v>0.46</v>
      </c>
      <c r="H2200" s="1363">
        <v>0.3</v>
      </c>
      <c r="I2200" s="399">
        <f t="shared" ref="I2200:I2263" si="55">IF(D2200&lt;&gt;0,ROUND(PRODUCT(E2200:H2200)*D2200,2),"")</f>
        <v>0.17</v>
      </c>
      <c r="J2200" s="442"/>
      <c r="K2200" s="1263"/>
      <c r="L2200" s="461"/>
      <c r="M2200" s="461"/>
      <c r="N2200" s="461"/>
    </row>
    <row r="2201" spans="1:14" s="462" customFormat="1" hidden="1" outlineLevel="1">
      <c r="A2201" s="1261"/>
      <c r="B2201" s="260"/>
      <c r="C2201" s="439" t="s">
        <v>2</v>
      </c>
      <c r="D2201" s="440">
        <v>1</v>
      </c>
      <c r="E2201" s="441">
        <v>1</v>
      </c>
      <c r="F2201" s="1363">
        <v>1.44</v>
      </c>
      <c r="G2201" s="1363">
        <v>0.34499999999999997</v>
      </c>
      <c r="H2201" s="1363">
        <v>0.3</v>
      </c>
      <c r="I2201" s="399">
        <f t="shared" si="55"/>
        <v>0.15</v>
      </c>
      <c r="J2201" s="442"/>
      <c r="K2201" s="1263"/>
      <c r="L2201" s="461"/>
      <c r="M2201" s="461"/>
      <c r="N2201" s="461"/>
    </row>
    <row r="2202" spans="1:14" s="462" customFormat="1" hidden="1" outlineLevel="1">
      <c r="A2202" s="1261"/>
      <c r="B2202" s="260"/>
      <c r="C2202" s="439" t="s">
        <v>2</v>
      </c>
      <c r="D2202" s="440">
        <v>1</v>
      </c>
      <c r="E2202" s="441">
        <v>1</v>
      </c>
      <c r="F2202" s="1363">
        <v>1.67</v>
      </c>
      <c r="G2202" s="1363">
        <v>0.23</v>
      </c>
      <c r="H2202" s="1363">
        <v>0.19000000000000006</v>
      </c>
      <c r="I2202" s="399">
        <f t="shared" si="55"/>
        <v>7.0000000000000007E-2</v>
      </c>
      <c r="J2202" s="442"/>
      <c r="K2202" s="1263"/>
      <c r="L2202" s="461"/>
      <c r="M2202" s="461"/>
      <c r="N2202" s="461"/>
    </row>
    <row r="2203" spans="1:14" s="462" customFormat="1" hidden="1" outlineLevel="1">
      <c r="A2203" s="1261"/>
      <c r="B2203" s="260"/>
      <c r="C2203" s="439"/>
      <c r="D2203" s="440"/>
      <c r="E2203" s="441"/>
      <c r="F2203" s="1363"/>
      <c r="G2203" s="1363"/>
      <c r="H2203" s="1363"/>
      <c r="I2203" s="399" t="str">
        <f t="shared" si="55"/>
        <v/>
      </c>
      <c r="J2203" s="442"/>
      <c r="K2203" s="1263"/>
      <c r="L2203" s="461"/>
      <c r="M2203" s="461"/>
      <c r="N2203" s="461"/>
    </row>
    <row r="2204" spans="1:14" s="462" customFormat="1" hidden="1" outlineLevel="1">
      <c r="A2204" s="1261"/>
      <c r="B2204" s="260" t="s">
        <v>276</v>
      </c>
      <c r="C2204" s="439"/>
      <c r="D2204" s="440"/>
      <c r="E2204" s="441"/>
      <c r="F2204" s="1363"/>
      <c r="G2204" s="1363"/>
      <c r="H2204" s="1363"/>
      <c r="I2204" s="399" t="str">
        <f t="shared" si="55"/>
        <v/>
      </c>
      <c r="J2204" s="442"/>
      <c r="K2204" s="1263"/>
      <c r="L2204" s="461"/>
      <c r="M2204" s="461"/>
      <c r="N2204" s="461"/>
    </row>
    <row r="2205" spans="1:14" s="462" customFormat="1" hidden="1" outlineLevel="1">
      <c r="A2205" s="1261"/>
      <c r="B2205" s="260"/>
      <c r="C2205" s="439"/>
      <c r="D2205" s="440"/>
      <c r="E2205" s="441"/>
      <c r="F2205" s="1363"/>
      <c r="G2205" s="1363"/>
      <c r="H2205" s="1363"/>
      <c r="I2205" s="399" t="str">
        <f t="shared" si="55"/>
        <v/>
      </c>
      <c r="J2205" s="442"/>
      <c r="K2205" s="1263"/>
      <c r="L2205" s="461"/>
      <c r="M2205" s="461"/>
      <c r="N2205" s="461"/>
    </row>
    <row r="2206" spans="1:14" s="462" customFormat="1" hidden="1" outlineLevel="1">
      <c r="A2206" s="1261"/>
      <c r="B2206" s="260" t="s">
        <v>196</v>
      </c>
      <c r="C2206" s="439" t="s">
        <v>2</v>
      </c>
      <c r="D2206" s="440">
        <v>1</v>
      </c>
      <c r="E2206" s="441">
        <v>1</v>
      </c>
      <c r="F2206" s="1363">
        <v>7.7</v>
      </c>
      <c r="G2206" s="1363">
        <v>0.46</v>
      </c>
      <c r="H2206" s="1363">
        <v>0.3</v>
      </c>
      <c r="I2206" s="399">
        <f t="shared" si="55"/>
        <v>1.06</v>
      </c>
      <c r="J2206" s="442"/>
      <c r="K2206" s="1263"/>
      <c r="L2206" s="461"/>
      <c r="M2206" s="461"/>
      <c r="N2206" s="461"/>
    </row>
    <row r="2207" spans="1:14" s="462" customFormat="1" hidden="1" outlineLevel="1">
      <c r="A2207" s="1261"/>
      <c r="B2207" s="260"/>
      <c r="C2207" s="439" t="s">
        <v>2</v>
      </c>
      <c r="D2207" s="440">
        <v>1</v>
      </c>
      <c r="E2207" s="441">
        <v>1</v>
      </c>
      <c r="F2207" s="1363">
        <v>7.4700000000000006</v>
      </c>
      <c r="G2207" s="1363">
        <v>0.34499999999999997</v>
      </c>
      <c r="H2207" s="1363">
        <v>0.3</v>
      </c>
      <c r="I2207" s="399">
        <f t="shared" si="55"/>
        <v>0.77</v>
      </c>
      <c r="J2207" s="442"/>
      <c r="K2207" s="1263"/>
      <c r="L2207" s="461"/>
      <c r="M2207" s="461"/>
      <c r="N2207" s="461"/>
    </row>
    <row r="2208" spans="1:14" s="462" customFormat="1" hidden="1" outlineLevel="1">
      <c r="A2208" s="1261"/>
      <c r="B2208" s="260"/>
      <c r="C2208" s="439" t="s">
        <v>2</v>
      </c>
      <c r="D2208" s="440">
        <v>1</v>
      </c>
      <c r="E2208" s="441">
        <v>1</v>
      </c>
      <c r="F2208" s="1363">
        <v>7.24</v>
      </c>
      <c r="G2208" s="1363">
        <v>0.23</v>
      </c>
      <c r="H2208" s="1363">
        <v>0.19000000000000006</v>
      </c>
      <c r="I2208" s="399">
        <f t="shared" si="55"/>
        <v>0.32</v>
      </c>
      <c r="J2208" s="442"/>
      <c r="K2208" s="1263"/>
      <c r="L2208" s="461"/>
      <c r="M2208" s="461"/>
      <c r="N2208" s="461"/>
    </row>
    <row r="2209" spans="1:14" s="462" customFormat="1" hidden="1" outlineLevel="1">
      <c r="A2209" s="1261"/>
      <c r="B2209" s="260"/>
      <c r="C2209" s="439"/>
      <c r="D2209" s="440"/>
      <c r="E2209" s="441"/>
      <c r="F2209" s="1363"/>
      <c r="G2209" s="1363"/>
      <c r="H2209" s="1363"/>
      <c r="I2209" s="399" t="str">
        <f t="shared" si="55"/>
        <v/>
      </c>
      <c r="J2209" s="442"/>
      <c r="K2209" s="1263"/>
      <c r="L2209" s="461"/>
      <c r="M2209" s="461"/>
      <c r="N2209" s="461"/>
    </row>
    <row r="2210" spans="1:14" s="462" customFormat="1" hidden="1" outlineLevel="1">
      <c r="A2210" s="1261"/>
      <c r="B2210" s="260"/>
      <c r="C2210" s="439" t="s">
        <v>2</v>
      </c>
      <c r="D2210" s="440">
        <v>1</v>
      </c>
      <c r="E2210" s="441">
        <v>1</v>
      </c>
      <c r="F2210" s="1363">
        <v>5.46</v>
      </c>
      <c r="G2210" s="1363">
        <v>0.46</v>
      </c>
      <c r="H2210" s="1363">
        <v>0.3</v>
      </c>
      <c r="I2210" s="399">
        <f t="shared" si="55"/>
        <v>0.75</v>
      </c>
      <c r="J2210" s="442"/>
      <c r="K2210" s="1263"/>
      <c r="L2210" s="461"/>
      <c r="M2210" s="461"/>
      <c r="N2210" s="461"/>
    </row>
    <row r="2211" spans="1:14" s="462" customFormat="1" hidden="1" outlineLevel="1">
      <c r="A2211" s="1261"/>
      <c r="B2211" s="260"/>
      <c r="C2211" s="439" t="s">
        <v>2</v>
      </c>
      <c r="D2211" s="440">
        <v>1</v>
      </c>
      <c r="E2211" s="441">
        <v>1</v>
      </c>
      <c r="F2211" s="1363">
        <v>5.3449999999999998</v>
      </c>
      <c r="G2211" s="1363">
        <v>0.34499999999999997</v>
      </c>
      <c r="H2211" s="1363">
        <v>0.3</v>
      </c>
      <c r="I2211" s="399">
        <f t="shared" si="55"/>
        <v>0.55000000000000004</v>
      </c>
      <c r="J2211" s="442"/>
      <c r="K2211" s="1263"/>
      <c r="L2211" s="461"/>
      <c r="M2211" s="461"/>
      <c r="N2211" s="461"/>
    </row>
    <row r="2212" spans="1:14" s="462" customFormat="1" hidden="1" outlineLevel="1">
      <c r="A2212" s="1261"/>
      <c r="B2212" s="260"/>
      <c r="C2212" s="439" t="s">
        <v>2</v>
      </c>
      <c r="D2212" s="440">
        <v>1</v>
      </c>
      <c r="E2212" s="441">
        <v>1</v>
      </c>
      <c r="F2212" s="1363">
        <v>5.23</v>
      </c>
      <c r="G2212" s="1363">
        <v>0.23</v>
      </c>
      <c r="H2212" s="1363">
        <v>0.19000000000000006</v>
      </c>
      <c r="I2212" s="399">
        <f t="shared" si="55"/>
        <v>0.23</v>
      </c>
      <c r="J2212" s="442"/>
      <c r="K2212" s="1263"/>
      <c r="L2212" s="461"/>
      <c r="M2212" s="461"/>
      <c r="N2212" s="461"/>
    </row>
    <row r="2213" spans="1:14" s="462" customFormat="1" hidden="1" outlineLevel="1">
      <c r="A2213" s="1261"/>
      <c r="B2213" s="260"/>
      <c r="C2213" s="439"/>
      <c r="D2213" s="440"/>
      <c r="E2213" s="441"/>
      <c r="F2213" s="1363"/>
      <c r="G2213" s="1363"/>
      <c r="H2213" s="1363"/>
      <c r="I2213" s="399" t="str">
        <f t="shared" si="55"/>
        <v/>
      </c>
      <c r="J2213" s="442"/>
      <c r="K2213" s="1263"/>
      <c r="L2213" s="461"/>
      <c r="M2213" s="461"/>
      <c r="N2213" s="461"/>
    </row>
    <row r="2214" spans="1:14" s="462" customFormat="1" hidden="1" outlineLevel="1">
      <c r="A2214" s="1261"/>
      <c r="B2214" s="260"/>
      <c r="C2214" s="439" t="s">
        <v>2</v>
      </c>
      <c r="D2214" s="440">
        <v>1</v>
      </c>
      <c r="E2214" s="441">
        <v>1</v>
      </c>
      <c r="F2214" s="1363">
        <v>4.46</v>
      </c>
      <c r="G2214" s="1363">
        <v>0.46</v>
      </c>
      <c r="H2214" s="1363">
        <v>0.3</v>
      </c>
      <c r="I2214" s="399">
        <f t="shared" si="55"/>
        <v>0.62</v>
      </c>
      <c r="J2214" s="442"/>
      <c r="K2214" s="1263"/>
      <c r="L2214" s="461"/>
      <c r="M2214" s="461"/>
      <c r="N2214" s="461"/>
    </row>
    <row r="2215" spans="1:14" s="462" customFormat="1" hidden="1" outlineLevel="1">
      <c r="A2215" s="1261"/>
      <c r="B2215" s="260"/>
      <c r="C2215" s="439" t="s">
        <v>2</v>
      </c>
      <c r="D2215" s="440">
        <v>1</v>
      </c>
      <c r="E2215" s="441">
        <v>1</v>
      </c>
      <c r="F2215" s="1363">
        <v>4.3449999999999998</v>
      </c>
      <c r="G2215" s="1363">
        <v>0.34499999999999997</v>
      </c>
      <c r="H2215" s="1363">
        <v>0.3</v>
      </c>
      <c r="I2215" s="399">
        <f t="shared" si="55"/>
        <v>0.45</v>
      </c>
      <c r="J2215" s="442"/>
      <c r="K2215" s="1263"/>
      <c r="L2215" s="461"/>
      <c r="M2215" s="461"/>
      <c r="N2215" s="461"/>
    </row>
    <row r="2216" spans="1:14" s="462" customFormat="1" hidden="1" outlineLevel="1">
      <c r="A2216" s="1261"/>
      <c r="B2216" s="260"/>
      <c r="C2216" s="439" t="s">
        <v>2</v>
      </c>
      <c r="D2216" s="440">
        <v>1</v>
      </c>
      <c r="E2216" s="441">
        <v>1</v>
      </c>
      <c r="F2216" s="1363">
        <v>4.2300000000000004</v>
      </c>
      <c r="G2216" s="1363">
        <v>0.23</v>
      </c>
      <c r="H2216" s="1363">
        <v>0.19000000000000006</v>
      </c>
      <c r="I2216" s="399">
        <f t="shared" si="55"/>
        <v>0.18</v>
      </c>
      <c r="J2216" s="442"/>
      <c r="K2216" s="1263"/>
      <c r="L2216" s="461"/>
      <c r="M2216" s="461"/>
      <c r="N2216" s="461"/>
    </row>
    <row r="2217" spans="1:14" s="462" customFormat="1" hidden="1" outlineLevel="1">
      <c r="A2217" s="1261"/>
      <c r="B2217" s="260" t="s">
        <v>273</v>
      </c>
      <c r="C2217" s="439" t="s">
        <v>2</v>
      </c>
      <c r="D2217" s="440">
        <v>1</v>
      </c>
      <c r="E2217" s="441">
        <v>1</v>
      </c>
      <c r="F2217" s="1363">
        <v>3</v>
      </c>
      <c r="G2217" s="1363">
        <v>0.115</v>
      </c>
      <c r="H2217" s="1363">
        <v>0.19000000000000006</v>
      </c>
      <c r="I2217" s="399">
        <f t="shared" si="55"/>
        <v>7.0000000000000007E-2</v>
      </c>
      <c r="J2217" s="442"/>
      <c r="K2217" s="1263"/>
      <c r="L2217" s="461"/>
      <c r="M2217" s="461"/>
      <c r="N2217" s="461"/>
    </row>
    <row r="2218" spans="1:14" s="462" customFormat="1" hidden="1" outlineLevel="1">
      <c r="A2218" s="1261"/>
      <c r="B2218" s="260"/>
      <c r="C2218" s="439" t="s">
        <v>2</v>
      </c>
      <c r="D2218" s="440">
        <v>1</v>
      </c>
      <c r="E2218" s="441">
        <v>1</v>
      </c>
      <c r="F2218" s="1363">
        <v>3</v>
      </c>
      <c r="G2218" s="1363">
        <v>0.34499999999999997</v>
      </c>
      <c r="H2218" s="1363">
        <v>0.42499999999999999</v>
      </c>
      <c r="I2218" s="399">
        <f t="shared" si="55"/>
        <v>0.44</v>
      </c>
      <c r="J2218" s="442"/>
      <c r="K2218" s="1263"/>
      <c r="L2218" s="461"/>
      <c r="M2218" s="461"/>
      <c r="N2218" s="461"/>
    </row>
    <row r="2219" spans="1:14" s="462" customFormat="1" hidden="1" outlineLevel="1">
      <c r="A2219" s="1261"/>
      <c r="B2219" s="260"/>
      <c r="C2219" s="439"/>
      <c r="D2219" s="440"/>
      <c r="E2219" s="441"/>
      <c r="F2219" s="1363"/>
      <c r="G2219" s="1363"/>
      <c r="H2219" s="1363"/>
      <c r="I2219" s="399" t="str">
        <f t="shared" si="55"/>
        <v/>
      </c>
      <c r="J2219" s="442"/>
      <c r="K2219" s="1263"/>
      <c r="L2219" s="461"/>
      <c r="M2219" s="461"/>
      <c r="N2219" s="461"/>
    </row>
    <row r="2220" spans="1:14" s="462" customFormat="1" hidden="1" outlineLevel="1">
      <c r="A2220" s="1261"/>
      <c r="B2220" s="260"/>
      <c r="C2220" s="439" t="s">
        <v>2</v>
      </c>
      <c r="D2220" s="440">
        <v>1</v>
      </c>
      <c r="E2220" s="441">
        <v>1</v>
      </c>
      <c r="F2220" s="1363">
        <v>1.46</v>
      </c>
      <c r="G2220" s="1363">
        <v>0.46</v>
      </c>
      <c r="H2220" s="1363">
        <v>0.3</v>
      </c>
      <c r="I2220" s="399">
        <f t="shared" si="55"/>
        <v>0.2</v>
      </c>
      <c r="J2220" s="442"/>
      <c r="K2220" s="1263"/>
      <c r="L2220" s="461"/>
      <c r="M2220" s="461"/>
      <c r="N2220" s="461"/>
    </row>
    <row r="2221" spans="1:14" s="462" customFormat="1" hidden="1" outlineLevel="1">
      <c r="A2221" s="1261"/>
      <c r="B2221" s="260"/>
      <c r="C2221" s="439" t="s">
        <v>2</v>
      </c>
      <c r="D2221" s="440">
        <v>1</v>
      </c>
      <c r="E2221" s="441">
        <v>1</v>
      </c>
      <c r="F2221" s="1363">
        <v>1.345</v>
      </c>
      <c r="G2221" s="1363">
        <v>0.34499999999999997</v>
      </c>
      <c r="H2221" s="1363">
        <v>0.3</v>
      </c>
      <c r="I2221" s="399">
        <f t="shared" si="55"/>
        <v>0.14000000000000001</v>
      </c>
      <c r="J2221" s="442"/>
      <c r="K2221" s="1263"/>
      <c r="L2221" s="461"/>
      <c r="M2221" s="461"/>
      <c r="N2221" s="461"/>
    </row>
    <row r="2222" spans="1:14" s="462" customFormat="1" hidden="1" outlineLevel="1">
      <c r="A2222" s="1261"/>
      <c r="B2222" s="260"/>
      <c r="C2222" s="439" t="s">
        <v>2</v>
      </c>
      <c r="D2222" s="440">
        <v>1</v>
      </c>
      <c r="E2222" s="441">
        <v>1</v>
      </c>
      <c r="F2222" s="1363">
        <v>1.23</v>
      </c>
      <c r="G2222" s="1363">
        <v>0.23</v>
      </c>
      <c r="H2222" s="1363">
        <v>0.19000000000000006</v>
      </c>
      <c r="I2222" s="399">
        <f t="shared" si="55"/>
        <v>0.05</v>
      </c>
      <c r="J2222" s="442"/>
      <c r="K2222" s="1263"/>
      <c r="L2222" s="461"/>
      <c r="M2222" s="461"/>
      <c r="N2222" s="461"/>
    </row>
    <row r="2223" spans="1:14" s="462" customFormat="1" hidden="1" outlineLevel="1">
      <c r="A2223" s="1261"/>
      <c r="B2223" s="260"/>
      <c r="C2223" s="439"/>
      <c r="D2223" s="440"/>
      <c r="E2223" s="441"/>
      <c r="F2223" s="1363"/>
      <c r="G2223" s="1363"/>
      <c r="H2223" s="1363"/>
      <c r="I2223" s="399" t="str">
        <f t="shared" si="55"/>
        <v/>
      </c>
      <c r="J2223" s="442"/>
      <c r="K2223" s="1263"/>
      <c r="L2223" s="461"/>
      <c r="M2223" s="461"/>
      <c r="N2223" s="461"/>
    </row>
    <row r="2224" spans="1:14" s="462" customFormat="1" hidden="1" outlineLevel="1">
      <c r="A2224" s="1261"/>
      <c r="B2224" s="260"/>
      <c r="C2224" s="439" t="s">
        <v>2</v>
      </c>
      <c r="D2224" s="440">
        <v>1</v>
      </c>
      <c r="E2224" s="441">
        <v>6</v>
      </c>
      <c r="F2224" s="1363">
        <v>3.46</v>
      </c>
      <c r="G2224" s="1363">
        <v>0.46</v>
      </c>
      <c r="H2224" s="1363">
        <v>0.3</v>
      </c>
      <c r="I2224" s="399">
        <f t="shared" si="55"/>
        <v>2.86</v>
      </c>
      <c r="J2224" s="442"/>
      <c r="K2224" s="1263"/>
      <c r="L2224" s="461"/>
      <c r="M2224" s="461"/>
      <c r="N2224" s="461"/>
    </row>
    <row r="2225" spans="1:14" s="462" customFormat="1" hidden="1" outlineLevel="1">
      <c r="A2225" s="1261"/>
      <c r="B2225" s="260"/>
      <c r="C2225" s="439" t="s">
        <v>2</v>
      </c>
      <c r="D2225" s="440">
        <v>1</v>
      </c>
      <c r="E2225" s="441">
        <v>6</v>
      </c>
      <c r="F2225" s="1363">
        <v>3.3449999999999998</v>
      </c>
      <c r="G2225" s="1363">
        <v>0.34499999999999997</v>
      </c>
      <c r="H2225" s="1363">
        <v>0.3</v>
      </c>
      <c r="I2225" s="399">
        <f t="shared" si="55"/>
        <v>2.08</v>
      </c>
      <c r="J2225" s="442"/>
      <c r="K2225" s="1263"/>
      <c r="L2225" s="461"/>
      <c r="M2225" s="461"/>
      <c r="N2225" s="461"/>
    </row>
    <row r="2226" spans="1:14" s="462" customFormat="1" hidden="1" outlineLevel="1">
      <c r="A2226" s="1261"/>
      <c r="B2226" s="260"/>
      <c r="C2226" s="439" t="s">
        <v>2</v>
      </c>
      <c r="D2226" s="440">
        <v>1</v>
      </c>
      <c r="E2226" s="441">
        <v>6</v>
      </c>
      <c r="F2226" s="1363">
        <v>3.23</v>
      </c>
      <c r="G2226" s="1363">
        <v>0.23</v>
      </c>
      <c r="H2226" s="1363">
        <v>0.19000000000000006</v>
      </c>
      <c r="I2226" s="399">
        <f t="shared" si="55"/>
        <v>0.85</v>
      </c>
      <c r="J2226" s="442"/>
      <c r="K2226" s="1263"/>
      <c r="L2226" s="461"/>
      <c r="M2226" s="461"/>
      <c r="N2226" s="461"/>
    </row>
    <row r="2227" spans="1:14" s="462" customFormat="1" hidden="1" outlineLevel="1">
      <c r="A2227" s="1261"/>
      <c r="B2227" s="260"/>
      <c r="C2227" s="439"/>
      <c r="D2227" s="440"/>
      <c r="E2227" s="441"/>
      <c r="F2227" s="1363"/>
      <c r="G2227" s="1363"/>
      <c r="H2227" s="1363"/>
      <c r="I2227" s="399" t="str">
        <f t="shared" si="55"/>
        <v/>
      </c>
      <c r="J2227" s="442"/>
      <c r="K2227" s="1263"/>
      <c r="L2227" s="461"/>
      <c r="M2227" s="461"/>
      <c r="N2227" s="461"/>
    </row>
    <row r="2228" spans="1:14" s="462" customFormat="1" hidden="1" outlineLevel="1">
      <c r="A2228" s="1261"/>
      <c r="B2228" s="260"/>
      <c r="C2228" s="439" t="s">
        <v>2</v>
      </c>
      <c r="D2228" s="440">
        <v>1</v>
      </c>
      <c r="E2228" s="441">
        <v>1</v>
      </c>
      <c r="F2228" s="1363">
        <v>5.46</v>
      </c>
      <c r="G2228" s="1363">
        <v>0.46</v>
      </c>
      <c r="H2228" s="1363">
        <v>0.3</v>
      </c>
      <c r="I2228" s="399">
        <f t="shared" si="55"/>
        <v>0.75</v>
      </c>
      <c r="J2228" s="442"/>
      <c r="K2228" s="1263"/>
      <c r="L2228" s="461"/>
      <c r="M2228" s="461"/>
      <c r="N2228" s="461"/>
    </row>
    <row r="2229" spans="1:14" s="462" customFormat="1" hidden="1" outlineLevel="1">
      <c r="A2229" s="1261"/>
      <c r="B2229" s="260"/>
      <c r="C2229" s="439" t="s">
        <v>2</v>
      </c>
      <c r="D2229" s="440">
        <v>1</v>
      </c>
      <c r="E2229" s="441">
        <v>1</v>
      </c>
      <c r="F2229" s="1363">
        <v>5.3449999999999998</v>
      </c>
      <c r="G2229" s="1363">
        <v>0.34499999999999997</v>
      </c>
      <c r="H2229" s="1363">
        <v>0.3</v>
      </c>
      <c r="I2229" s="399">
        <f t="shared" si="55"/>
        <v>0.55000000000000004</v>
      </c>
      <c r="J2229" s="442"/>
      <c r="K2229" s="1263"/>
      <c r="L2229" s="461"/>
      <c r="M2229" s="461"/>
      <c r="N2229" s="461"/>
    </row>
    <row r="2230" spans="1:14" s="462" customFormat="1" hidden="1" outlineLevel="1">
      <c r="A2230" s="1261"/>
      <c r="B2230" s="260"/>
      <c r="C2230" s="439" t="s">
        <v>2</v>
      </c>
      <c r="D2230" s="440">
        <v>1</v>
      </c>
      <c r="E2230" s="441">
        <v>1</v>
      </c>
      <c r="F2230" s="1363">
        <v>5.23</v>
      </c>
      <c r="G2230" s="1363">
        <v>0.23</v>
      </c>
      <c r="H2230" s="1363">
        <v>0.19000000000000006</v>
      </c>
      <c r="I2230" s="399">
        <f t="shared" si="55"/>
        <v>0.23</v>
      </c>
      <c r="J2230" s="442"/>
      <c r="K2230" s="1263"/>
      <c r="L2230" s="461"/>
      <c r="M2230" s="461"/>
      <c r="N2230" s="461"/>
    </row>
    <row r="2231" spans="1:14" s="462" customFormat="1" hidden="1" outlineLevel="1">
      <c r="A2231" s="1261"/>
      <c r="B2231" s="260" t="s">
        <v>273</v>
      </c>
      <c r="C2231" s="439" t="s">
        <v>2</v>
      </c>
      <c r="D2231" s="440">
        <v>1</v>
      </c>
      <c r="E2231" s="441">
        <v>3</v>
      </c>
      <c r="F2231" s="1363">
        <v>3</v>
      </c>
      <c r="G2231" s="1363">
        <v>0.115</v>
      </c>
      <c r="H2231" s="1363">
        <v>0.19000000000000006</v>
      </c>
      <c r="I2231" s="399">
        <f t="shared" si="55"/>
        <v>0.2</v>
      </c>
      <c r="J2231" s="442"/>
      <c r="K2231" s="1263"/>
      <c r="L2231" s="461"/>
      <c r="M2231" s="461"/>
      <c r="N2231" s="461"/>
    </row>
    <row r="2232" spans="1:14" s="462" customFormat="1" hidden="1" outlineLevel="1">
      <c r="A2232" s="1261"/>
      <c r="B2232" s="260"/>
      <c r="C2232" s="439" t="s">
        <v>2</v>
      </c>
      <c r="D2232" s="440">
        <v>1</v>
      </c>
      <c r="E2232" s="441">
        <v>3</v>
      </c>
      <c r="F2232" s="1363">
        <v>3</v>
      </c>
      <c r="G2232" s="1363">
        <v>0.34499999999999997</v>
      </c>
      <c r="H2232" s="1363">
        <v>0.42499999999999999</v>
      </c>
      <c r="I2232" s="399">
        <f t="shared" si="55"/>
        <v>1.32</v>
      </c>
      <c r="J2232" s="442"/>
      <c r="K2232" s="1263"/>
      <c r="L2232" s="461"/>
      <c r="M2232" s="461"/>
      <c r="N2232" s="461"/>
    </row>
    <row r="2233" spans="1:14" s="462" customFormat="1" hidden="1" outlineLevel="1">
      <c r="A2233" s="1261"/>
      <c r="B2233" s="260"/>
      <c r="C2233" s="439"/>
      <c r="D2233" s="440"/>
      <c r="E2233" s="441"/>
      <c r="F2233" s="1363"/>
      <c r="G2233" s="1363"/>
      <c r="H2233" s="1363"/>
      <c r="I2233" s="399" t="str">
        <f t="shared" si="55"/>
        <v/>
      </c>
      <c r="J2233" s="442"/>
      <c r="K2233" s="1263"/>
      <c r="L2233" s="461"/>
      <c r="M2233" s="461"/>
      <c r="N2233" s="461"/>
    </row>
    <row r="2234" spans="1:14" s="462" customFormat="1" hidden="1" outlineLevel="1">
      <c r="A2234" s="1261"/>
      <c r="B2234" s="260"/>
      <c r="C2234" s="439" t="s">
        <v>2</v>
      </c>
      <c r="D2234" s="440">
        <v>1</v>
      </c>
      <c r="E2234" s="441">
        <v>1</v>
      </c>
      <c r="F2234" s="1363">
        <v>4.46</v>
      </c>
      <c r="G2234" s="1363">
        <v>0.46</v>
      </c>
      <c r="H2234" s="1363">
        <v>0.3</v>
      </c>
      <c r="I2234" s="399">
        <f t="shared" si="55"/>
        <v>0.62</v>
      </c>
      <c r="J2234" s="442"/>
      <c r="K2234" s="1263"/>
      <c r="L2234" s="461"/>
      <c r="M2234" s="461"/>
      <c r="N2234" s="461"/>
    </row>
    <row r="2235" spans="1:14" s="462" customFormat="1" hidden="1" outlineLevel="1">
      <c r="A2235" s="1261"/>
      <c r="B2235" s="260"/>
      <c r="C2235" s="439" t="s">
        <v>2</v>
      </c>
      <c r="D2235" s="440">
        <v>1</v>
      </c>
      <c r="E2235" s="441">
        <v>1</v>
      </c>
      <c r="F2235" s="1363">
        <v>4.3449999999999998</v>
      </c>
      <c r="G2235" s="1363">
        <v>0.34499999999999997</v>
      </c>
      <c r="H2235" s="1363">
        <v>0.3</v>
      </c>
      <c r="I2235" s="399">
        <f t="shared" si="55"/>
        <v>0.45</v>
      </c>
      <c r="J2235" s="442"/>
      <c r="K2235" s="1263"/>
      <c r="L2235" s="461"/>
      <c r="M2235" s="461"/>
      <c r="N2235" s="461"/>
    </row>
    <row r="2236" spans="1:14" s="462" customFormat="1" hidden="1" outlineLevel="1">
      <c r="A2236" s="1261"/>
      <c r="B2236" s="260"/>
      <c r="C2236" s="439" t="s">
        <v>2</v>
      </c>
      <c r="D2236" s="440">
        <v>1</v>
      </c>
      <c r="E2236" s="441">
        <v>1</v>
      </c>
      <c r="F2236" s="1363">
        <v>4.2300000000000004</v>
      </c>
      <c r="G2236" s="1363">
        <v>0.23</v>
      </c>
      <c r="H2236" s="1363">
        <v>0.19000000000000006</v>
      </c>
      <c r="I2236" s="399">
        <f t="shared" si="55"/>
        <v>0.18</v>
      </c>
      <c r="J2236" s="442"/>
      <c r="K2236" s="1263"/>
      <c r="L2236" s="461"/>
      <c r="M2236" s="461"/>
      <c r="N2236" s="461"/>
    </row>
    <row r="2237" spans="1:14" s="462" customFormat="1" hidden="1" outlineLevel="1">
      <c r="A2237" s="1261"/>
      <c r="B2237" s="260"/>
      <c r="C2237" s="439"/>
      <c r="D2237" s="440"/>
      <c r="E2237" s="441"/>
      <c r="F2237" s="1363"/>
      <c r="G2237" s="1363"/>
      <c r="H2237" s="1363"/>
      <c r="I2237" s="399" t="str">
        <f t="shared" si="55"/>
        <v/>
      </c>
      <c r="J2237" s="442"/>
      <c r="K2237" s="1263"/>
      <c r="L2237" s="461"/>
      <c r="M2237" s="461"/>
      <c r="N2237" s="461"/>
    </row>
    <row r="2238" spans="1:14" s="462" customFormat="1" hidden="1" outlineLevel="1">
      <c r="A2238" s="1261"/>
      <c r="B2238" s="260" t="s">
        <v>197</v>
      </c>
      <c r="C2238" s="439" t="s">
        <v>2</v>
      </c>
      <c r="D2238" s="440">
        <v>1</v>
      </c>
      <c r="E2238" s="441">
        <v>1</v>
      </c>
      <c r="F2238" s="1363">
        <v>5.72</v>
      </c>
      <c r="G2238" s="1363">
        <v>0.46</v>
      </c>
      <c r="H2238" s="1363">
        <v>0.3</v>
      </c>
      <c r="I2238" s="399">
        <f t="shared" si="55"/>
        <v>0.79</v>
      </c>
      <c r="J2238" s="442"/>
      <c r="K2238" s="1263"/>
      <c r="L2238" s="461"/>
      <c r="M2238" s="461"/>
      <c r="N2238" s="461"/>
    </row>
    <row r="2239" spans="1:14" s="462" customFormat="1" hidden="1" outlineLevel="1">
      <c r="A2239" s="1261"/>
      <c r="B2239" s="260"/>
      <c r="C2239" s="439" t="s">
        <v>2</v>
      </c>
      <c r="D2239" s="440">
        <v>1</v>
      </c>
      <c r="E2239" s="441">
        <v>1</v>
      </c>
      <c r="F2239" s="1363">
        <v>5.49</v>
      </c>
      <c r="G2239" s="1363">
        <v>0.34499999999999997</v>
      </c>
      <c r="H2239" s="1363">
        <v>0.3</v>
      </c>
      <c r="I2239" s="399">
        <f t="shared" si="55"/>
        <v>0.56999999999999995</v>
      </c>
      <c r="J2239" s="442"/>
      <c r="K2239" s="1263"/>
      <c r="L2239" s="461"/>
      <c r="M2239" s="461"/>
      <c r="N2239" s="461"/>
    </row>
    <row r="2240" spans="1:14" s="462" customFormat="1" hidden="1" outlineLevel="1">
      <c r="A2240" s="1261"/>
      <c r="B2240" s="260"/>
      <c r="C2240" s="439" t="s">
        <v>2</v>
      </c>
      <c r="D2240" s="440">
        <v>1</v>
      </c>
      <c r="E2240" s="441">
        <v>1</v>
      </c>
      <c r="F2240" s="1363">
        <v>5.26</v>
      </c>
      <c r="G2240" s="1363">
        <v>0.23</v>
      </c>
      <c r="H2240" s="1363">
        <v>0.19000000000000006</v>
      </c>
      <c r="I2240" s="399">
        <f t="shared" si="55"/>
        <v>0.23</v>
      </c>
      <c r="J2240" s="442"/>
      <c r="K2240" s="1263"/>
      <c r="L2240" s="461"/>
      <c r="M2240" s="461"/>
      <c r="N2240" s="461"/>
    </row>
    <row r="2241" spans="1:14" s="462" customFormat="1" hidden="1" outlineLevel="1">
      <c r="A2241" s="1261"/>
      <c r="B2241" s="260"/>
      <c r="C2241" s="439"/>
      <c r="D2241" s="440"/>
      <c r="E2241" s="441"/>
      <c r="F2241" s="1363"/>
      <c r="G2241" s="1363"/>
      <c r="H2241" s="1363"/>
      <c r="I2241" s="399" t="str">
        <f t="shared" si="55"/>
        <v/>
      </c>
      <c r="J2241" s="442"/>
      <c r="K2241" s="1263"/>
      <c r="L2241" s="461"/>
      <c r="M2241" s="461"/>
      <c r="N2241" s="461"/>
    </row>
    <row r="2242" spans="1:14" s="462" customFormat="1" hidden="1" outlineLevel="1">
      <c r="A2242" s="1261"/>
      <c r="B2242" s="260" t="s">
        <v>198</v>
      </c>
      <c r="C2242" s="439" t="s">
        <v>2</v>
      </c>
      <c r="D2242" s="440">
        <v>1</v>
      </c>
      <c r="E2242" s="441">
        <v>3</v>
      </c>
      <c r="F2242" s="1363">
        <v>3.36</v>
      </c>
      <c r="G2242" s="1363">
        <v>0.46</v>
      </c>
      <c r="H2242" s="1363">
        <v>0.3</v>
      </c>
      <c r="I2242" s="399">
        <f t="shared" si="55"/>
        <v>1.39</v>
      </c>
      <c r="J2242" s="442"/>
      <c r="K2242" s="1263"/>
      <c r="L2242" s="461"/>
      <c r="M2242" s="461"/>
      <c r="N2242" s="461"/>
    </row>
    <row r="2243" spans="1:14" s="462" customFormat="1" hidden="1" outlineLevel="1">
      <c r="A2243" s="1261"/>
      <c r="B2243" s="260"/>
      <c r="C2243" s="439" t="s">
        <v>2</v>
      </c>
      <c r="D2243" s="440">
        <v>1</v>
      </c>
      <c r="E2243" s="441">
        <v>3</v>
      </c>
      <c r="F2243" s="1363">
        <v>3.36</v>
      </c>
      <c r="G2243" s="1363">
        <v>0.34499999999999997</v>
      </c>
      <c r="H2243" s="1363">
        <v>0.3</v>
      </c>
      <c r="I2243" s="399">
        <f t="shared" si="55"/>
        <v>1.04</v>
      </c>
      <c r="J2243" s="442"/>
      <c r="K2243" s="1263"/>
      <c r="L2243" s="461"/>
      <c r="M2243" s="461"/>
      <c r="N2243" s="461"/>
    </row>
    <row r="2244" spans="1:14" s="462" customFormat="1" hidden="1" outlineLevel="1">
      <c r="A2244" s="1261"/>
      <c r="B2244" s="260"/>
      <c r="C2244" s="439" t="s">
        <v>2</v>
      </c>
      <c r="D2244" s="440">
        <v>1</v>
      </c>
      <c r="E2244" s="441">
        <v>3</v>
      </c>
      <c r="F2244" s="1363">
        <v>3.36</v>
      </c>
      <c r="G2244" s="1363">
        <v>0.23</v>
      </c>
      <c r="H2244" s="1363">
        <v>0.19000000000000006</v>
      </c>
      <c r="I2244" s="399">
        <f t="shared" si="55"/>
        <v>0.44</v>
      </c>
      <c r="J2244" s="442"/>
      <c r="K2244" s="1263"/>
      <c r="L2244" s="461"/>
      <c r="M2244" s="461"/>
      <c r="N2244" s="461"/>
    </row>
    <row r="2245" spans="1:14" s="462" customFormat="1" hidden="1" outlineLevel="1">
      <c r="A2245" s="1261"/>
      <c r="B2245" s="260"/>
      <c r="C2245" s="439"/>
      <c r="D2245" s="440"/>
      <c r="E2245" s="441"/>
      <c r="F2245" s="1363"/>
      <c r="G2245" s="1363"/>
      <c r="H2245" s="1363"/>
      <c r="I2245" s="399" t="str">
        <f t="shared" si="55"/>
        <v/>
      </c>
      <c r="J2245" s="442"/>
      <c r="K2245" s="1263"/>
      <c r="L2245" s="461"/>
      <c r="M2245" s="461"/>
      <c r="N2245" s="461"/>
    </row>
    <row r="2246" spans="1:14" s="462" customFormat="1" hidden="1" outlineLevel="1">
      <c r="A2246" s="1261"/>
      <c r="B2246" s="260"/>
      <c r="C2246" s="439" t="s">
        <v>2</v>
      </c>
      <c r="D2246" s="440">
        <v>1</v>
      </c>
      <c r="E2246" s="441">
        <v>3</v>
      </c>
      <c r="F2246" s="1363">
        <v>1.21</v>
      </c>
      <c r="G2246" s="1363">
        <v>0.46</v>
      </c>
      <c r="H2246" s="1363">
        <v>0.3</v>
      </c>
      <c r="I2246" s="399">
        <f t="shared" si="55"/>
        <v>0.5</v>
      </c>
      <c r="J2246" s="442"/>
      <c r="K2246" s="1263"/>
      <c r="L2246" s="461"/>
      <c r="M2246" s="461"/>
      <c r="N2246" s="461"/>
    </row>
    <row r="2247" spans="1:14" s="462" customFormat="1" hidden="1" outlineLevel="1">
      <c r="A2247" s="1261"/>
      <c r="B2247" s="260"/>
      <c r="C2247" s="439" t="s">
        <v>2</v>
      </c>
      <c r="D2247" s="440">
        <v>1</v>
      </c>
      <c r="E2247" s="441">
        <v>3</v>
      </c>
      <c r="F2247" s="1363">
        <v>1.44</v>
      </c>
      <c r="G2247" s="1363">
        <v>0.34499999999999997</v>
      </c>
      <c r="H2247" s="1363">
        <v>0.3</v>
      </c>
      <c r="I2247" s="399">
        <f t="shared" si="55"/>
        <v>0.45</v>
      </c>
      <c r="J2247" s="442"/>
      <c r="K2247" s="1263"/>
      <c r="L2247" s="461"/>
      <c r="M2247" s="461"/>
      <c r="N2247" s="461"/>
    </row>
    <row r="2248" spans="1:14" s="462" customFormat="1" hidden="1" outlineLevel="1">
      <c r="A2248" s="1261"/>
      <c r="B2248" s="260"/>
      <c r="C2248" s="439" t="s">
        <v>2</v>
      </c>
      <c r="D2248" s="440">
        <v>1</v>
      </c>
      <c r="E2248" s="441">
        <v>3</v>
      </c>
      <c r="F2248" s="1363">
        <v>1.67</v>
      </c>
      <c r="G2248" s="1363">
        <v>0.23</v>
      </c>
      <c r="H2248" s="1363">
        <v>0.19000000000000006</v>
      </c>
      <c r="I2248" s="399">
        <f t="shared" si="55"/>
        <v>0.22</v>
      </c>
      <c r="J2248" s="442"/>
      <c r="K2248" s="1263"/>
      <c r="L2248" s="461"/>
      <c r="M2248" s="461"/>
      <c r="N2248" s="461"/>
    </row>
    <row r="2249" spans="1:14" s="462" customFormat="1" hidden="1" outlineLevel="1">
      <c r="A2249" s="1261"/>
      <c r="B2249" s="260"/>
      <c r="C2249" s="439"/>
      <c r="D2249" s="440"/>
      <c r="E2249" s="441"/>
      <c r="F2249" s="1363"/>
      <c r="G2249" s="1363"/>
      <c r="H2249" s="1363"/>
      <c r="I2249" s="399" t="str">
        <f t="shared" si="55"/>
        <v/>
      </c>
      <c r="J2249" s="442"/>
      <c r="K2249" s="1263"/>
      <c r="L2249" s="461"/>
      <c r="M2249" s="461"/>
      <c r="N2249" s="461"/>
    </row>
    <row r="2250" spans="1:14" s="462" customFormat="1" hidden="1" outlineLevel="1">
      <c r="A2250" s="1261"/>
      <c r="B2250" s="260"/>
      <c r="C2250" s="439" t="s">
        <v>2</v>
      </c>
      <c r="D2250" s="440">
        <v>1</v>
      </c>
      <c r="E2250" s="441">
        <v>1</v>
      </c>
      <c r="F2250" s="1363">
        <v>1.21</v>
      </c>
      <c r="G2250" s="1363">
        <v>0.46</v>
      </c>
      <c r="H2250" s="1363">
        <v>0.3</v>
      </c>
      <c r="I2250" s="399">
        <f t="shared" si="55"/>
        <v>0.17</v>
      </c>
      <c r="J2250" s="442"/>
      <c r="K2250" s="1263"/>
      <c r="L2250" s="461"/>
      <c r="M2250" s="461"/>
      <c r="N2250" s="461"/>
    </row>
    <row r="2251" spans="1:14" s="462" customFormat="1" hidden="1" outlineLevel="1">
      <c r="A2251" s="1261"/>
      <c r="B2251" s="260"/>
      <c r="C2251" s="439" t="s">
        <v>2</v>
      </c>
      <c r="D2251" s="440">
        <v>1</v>
      </c>
      <c r="E2251" s="441">
        <v>1</v>
      </c>
      <c r="F2251" s="1363">
        <v>1.44</v>
      </c>
      <c r="G2251" s="1363">
        <v>0.34499999999999997</v>
      </c>
      <c r="H2251" s="1363">
        <v>0.3</v>
      </c>
      <c r="I2251" s="399">
        <f t="shared" si="55"/>
        <v>0.15</v>
      </c>
      <c r="J2251" s="442"/>
      <c r="K2251" s="1263"/>
      <c r="L2251" s="461"/>
      <c r="M2251" s="461"/>
      <c r="N2251" s="461"/>
    </row>
    <row r="2252" spans="1:14" s="462" customFormat="1" hidden="1" outlineLevel="1">
      <c r="A2252" s="1261"/>
      <c r="B2252" s="260"/>
      <c r="C2252" s="439" t="s">
        <v>2</v>
      </c>
      <c r="D2252" s="440">
        <v>1</v>
      </c>
      <c r="E2252" s="441">
        <v>1</v>
      </c>
      <c r="F2252" s="1363">
        <v>1.67</v>
      </c>
      <c r="G2252" s="1363">
        <v>0.23</v>
      </c>
      <c r="H2252" s="1363">
        <v>0.19000000000000006</v>
      </c>
      <c r="I2252" s="399">
        <f t="shared" si="55"/>
        <v>7.0000000000000007E-2</v>
      </c>
      <c r="J2252" s="442"/>
      <c r="K2252" s="1263"/>
      <c r="L2252" s="461"/>
      <c r="M2252" s="461"/>
      <c r="N2252" s="461"/>
    </row>
    <row r="2253" spans="1:14" s="462" customFormat="1" hidden="1" outlineLevel="1">
      <c r="A2253" s="1261"/>
      <c r="B2253" s="260"/>
      <c r="C2253" s="439"/>
      <c r="D2253" s="440"/>
      <c r="E2253" s="441"/>
      <c r="F2253" s="1363"/>
      <c r="G2253" s="1363"/>
      <c r="H2253" s="1363"/>
      <c r="I2253" s="399" t="str">
        <f t="shared" si="55"/>
        <v/>
      </c>
      <c r="J2253" s="442"/>
      <c r="K2253" s="1263"/>
      <c r="L2253" s="461"/>
      <c r="M2253" s="461"/>
      <c r="N2253" s="461"/>
    </row>
    <row r="2254" spans="1:14" s="462" customFormat="1" hidden="1" outlineLevel="1">
      <c r="A2254" s="1261"/>
      <c r="B2254" s="260"/>
      <c r="C2254" s="439" t="s">
        <v>2</v>
      </c>
      <c r="D2254" s="440">
        <v>1</v>
      </c>
      <c r="E2254" s="441">
        <v>1</v>
      </c>
      <c r="F2254" s="1363">
        <v>2.2850000000000001</v>
      </c>
      <c r="G2254" s="1363">
        <v>0.46</v>
      </c>
      <c r="H2254" s="1363">
        <v>0.3</v>
      </c>
      <c r="I2254" s="399">
        <f t="shared" si="55"/>
        <v>0.32</v>
      </c>
      <c r="J2254" s="442"/>
      <c r="K2254" s="1263"/>
      <c r="L2254" s="461"/>
      <c r="M2254" s="461"/>
      <c r="N2254" s="461"/>
    </row>
    <row r="2255" spans="1:14" s="462" customFormat="1" hidden="1" outlineLevel="1">
      <c r="A2255" s="1261"/>
      <c r="B2255" s="260"/>
      <c r="C2255" s="439" t="s">
        <v>2</v>
      </c>
      <c r="D2255" s="440">
        <v>1</v>
      </c>
      <c r="E2255" s="441">
        <v>1</v>
      </c>
      <c r="F2255" s="1363">
        <v>2.4000000000000004</v>
      </c>
      <c r="G2255" s="1363">
        <v>0.34499999999999997</v>
      </c>
      <c r="H2255" s="1363">
        <v>0.3</v>
      </c>
      <c r="I2255" s="399">
        <f t="shared" si="55"/>
        <v>0.25</v>
      </c>
      <c r="J2255" s="442"/>
      <c r="K2255" s="1263"/>
      <c r="L2255" s="461"/>
      <c r="M2255" s="461"/>
      <c r="N2255" s="461"/>
    </row>
    <row r="2256" spans="1:14" s="462" customFormat="1" hidden="1" outlineLevel="1">
      <c r="A2256" s="1261"/>
      <c r="B2256" s="260"/>
      <c r="C2256" s="439" t="s">
        <v>2</v>
      </c>
      <c r="D2256" s="440">
        <v>1</v>
      </c>
      <c r="E2256" s="441">
        <v>1</v>
      </c>
      <c r="F2256" s="1363">
        <v>2.5150000000000001</v>
      </c>
      <c r="G2256" s="1363">
        <v>0.23</v>
      </c>
      <c r="H2256" s="1363">
        <v>0.19000000000000006</v>
      </c>
      <c r="I2256" s="399">
        <f t="shared" si="55"/>
        <v>0.11</v>
      </c>
      <c r="J2256" s="442"/>
      <c r="K2256" s="1263"/>
      <c r="L2256" s="461"/>
      <c r="M2256" s="461"/>
      <c r="N2256" s="461"/>
    </row>
    <row r="2257" spans="1:14" s="462" customFormat="1" hidden="1" outlineLevel="1">
      <c r="A2257" s="1261"/>
      <c r="B2257" s="260"/>
      <c r="C2257" s="439"/>
      <c r="D2257" s="440"/>
      <c r="E2257" s="441"/>
      <c r="F2257" s="1363"/>
      <c r="G2257" s="1363"/>
      <c r="H2257" s="1363"/>
      <c r="I2257" s="399" t="str">
        <f t="shared" si="55"/>
        <v/>
      </c>
      <c r="J2257" s="442"/>
      <c r="K2257" s="1263"/>
      <c r="L2257" s="461"/>
      <c r="M2257" s="461"/>
      <c r="N2257" s="461"/>
    </row>
    <row r="2258" spans="1:14" s="462" customFormat="1" hidden="1" outlineLevel="1">
      <c r="A2258" s="1261"/>
      <c r="B2258" s="260"/>
      <c r="C2258" s="439" t="s">
        <v>2</v>
      </c>
      <c r="D2258" s="440">
        <v>1</v>
      </c>
      <c r="E2258" s="441">
        <v>2</v>
      </c>
      <c r="F2258" s="1363">
        <v>1.21</v>
      </c>
      <c r="G2258" s="1363">
        <v>0.46</v>
      </c>
      <c r="H2258" s="1363">
        <v>0.3</v>
      </c>
      <c r="I2258" s="399">
        <f t="shared" si="55"/>
        <v>0.33</v>
      </c>
      <c r="J2258" s="442"/>
      <c r="K2258" s="1263"/>
      <c r="L2258" s="461"/>
      <c r="M2258" s="461"/>
      <c r="N2258" s="461"/>
    </row>
    <row r="2259" spans="1:14" s="462" customFormat="1" hidden="1" outlineLevel="1">
      <c r="A2259" s="1261"/>
      <c r="B2259" s="260"/>
      <c r="C2259" s="439" t="s">
        <v>2</v>
      </c>
      <c r="D2259" s="440">
        <v>1</v>
      </c>
      <c r="E2259" s="441">
        <v>2</v>
      </c>
      <c r="F2259" s="1363">
        <v>1.44</v>
      </c>
      <c r="G2259" s="1363">
        <v>0.34499999999999997</v>
      </c>
      <c r="H2259" s="1363">
        <v>0.3</v>
      </c>
      <c r="I2259" s="399">
        <f t="shared" si="55"/>
        <v>0.3</v>
      </c>
      <c r="J2259" s="442"/>
      <c r="K2259" s="1263"/>
      <c r="L2259" s="461"/>
      <c r="M2259" s="461"/>
      <c r="N2259" s="461"/>
    </row>
    <row r="2260" spans="1:14" s="462" customFormat="1" hidden="1" outlineLevel="1">
      <c r="A2260" s="1261"/>
      <c r="B2260" s="260"/>
      <c r="C2260" s="439" t="s">
        <v>2</v>
      </c>
      <c r="D2260" s="440">
        <v>1</v>
      </c>
      <c r="E2260" s="441">
        <v>2</v>
      </c>
      <c r="F2260" s="1363">
        <v>1.67</v>
      </c>
      <c r="G2260" s="1363">
        <v>0.23</v>
      </c>
      <c r="H2260" s="1363">
        <v>0.19000000000000006</v>
      </c>
      <c r="I2260" s="399">
        <f t="shared" si="55"/>
        <v>0.15</v>
      </c>
      <c r="J2260" s="442"/>
      <c r="K2260" s="1263"/>
      <c r="L2260" s="461"/>
      <c r="M2260" s="461"/>
      <c r="N2260" s="461"/>
    </row>
    <row r="2261" spans="1:14" s="462" customFormat="1" hidden="1" outlineLevel="1">
      <c r="A2261" s="1261"/>
      <c r="B2261" s="260"/>
      <c r="C2261" s="439"/>
      <c r="D2261" s="440"/>
      <c r="E2261" s="441"/>
      <c r="F2261" s="1363"/>
      <c r="G2261" s="1363"/>
      <c r="H2261" s="1363"/>
      <c r="I2261" s="399" t="str">
        <f t="shared" si="55"/>
        <v/>
      </c>
      <c r="J2261" s="442"/>
      <c r="K2261" s="1263"/>
      <c r="L2261" s="461"/>
      <c r="M2261" s="461"/>
      <c r="N2261" s="461"/>
    </row>
    <row r="2262" spans="1:14" s="462" customFormat="1" hidden="1" outlineLevel="1">
      <c r="A2262" s="1261"/>
      <c r="B2262" s="260"/>
      <c r="C2262" s="439" t="s">
        <v>2</v>
      </c>
      <c r="D2262" s="440">
        <v>1</v>
      </c>
      <c r="E2262" s="441">
        <v>5</v>
      </c>
      <c r="F2262" s="1363">
        <v>0.61499999999999999</v>
      </c>
      <c r="G2262" s="1363">
        <v>0.46</v>
      </c>
      <c r="H2262" s="1363">
        <v>0.3</v>
      </c>
      <c r="I2262" s="399">
        <f t="shared" si="55"/>
        <v>0.42</v>
      </c>
      <c r="J2262" s="442"/>
      <c r="K2262" s="1263"/>
      <c r="L2262" s="461"/>
      <c r="M2262" s="461"/>
      <c r="N2262" s="461"/>
    </row>
    <row r="2263" spans="1:14" s="462" customFormat="1" hidden="1" outlineLevel="1">
      <c r="A2263" s="1261"/>
      <c r="B2263" s="260"/>
      <c r="C2263" s="439" t="s">
        <v>2</v>
      </c>
      <c r="D2263" s="440">
        <v>1</v>
      </c>
      <c r="E2263" s="441">
        <v>5</v>
      </c>
      <c r="F2263" s="1363">
        <v>0.61499999999999999</v>
      </c>
      <c r="G2263" s="1363">
        <v>0.34499999999999997</v>
      </c>
      <c r="H2263" s="1363">
        <v>0.3</v>
      </c>
      <c r="I2263" s="399">
        <f t="shared" si="55"/>
        <v>0.32</v>
      </c>
      <c r="J2263" s="442"/>
      <c r="K2263" s="1263"/>
      <c r="L2263" s="461"/>
      <c r="M2263" s="461"/>
      <c r="N2263" s="461"/>
    </row>
    <row r="2264" spans="1:14" s="462" customFormat="1" hidden="1" outlineLevel="1">
      <c r="A2264" s="1261"/>
      <c r="B2264" s="260"/>
      <c r="C2264" s="439" t="s">
        <v>2</v>
      </c>
      <c r="D2264" s="440">
        <v>1</v>
      </c>
      <c r="E2264" s="441">
        <v>5</v>
      </c>
      <c r="F2264" s="1363">
        <v>0.61499999999999999</v>
      </c>
      <c r="G2264" s="1363">
        <v>0.23</v>
      </c>
      <c r="H2264" s="1363">
        <v>0.19000000000000006</v>
      </c>
      <c r="I2264" s="399">
        <f t="shared" ref="I2264:I2327" si="56">IF(D2264&lt;&gt;0,ROUND(PRODUCT(E2264:H2264)*D2264,2),"")</f>
        <v>0.13</v>
      </c>
      <c r="J2264" s="442"/>
      <c r="K2264" s="1263"/>
      <c r="L2264" s="461"/>
      <c r="M2264" s="461"/>
      <c r="N2264" s="461"/>
    </row>
    <row r="2265" spans="1:14" s="462" customFormat="1" hidden="1" outlineLevel="1">
      <c r="A2265" s="1261"/>
      <c r="B2265" s="260" t="s">
        <v>273</v>
      </c>
      <c r="C2265" s="439" t="s">
        <v>2</v>
      </c>
      <c r="D2265" s="440">
        <v>1</v>
      </c>
      <c r="E2265" s="441">
        <v>4</v>
      </c>
      <c r="F2265" s="1363">
        <v>3</v>
      </c>
      <c r="G2265" s="1363">
        <v>0.115</v>
      </c>
      <c r="H2265" s="1363">
        <v>0.19000000000000006</v>
      </c>
      <c r="I2265" s="399">
        <f t="shared" si="56"/>
        <v>0.26</v>
      </c>
      <c r="J2265" s="442"/>
      <c r="K2265" s="1263"/>
      <c r="L2265" s="461"/>
      <c r="M2265" s="461"/>
      <c r="N2265" s="461"/>
    </row>
    <row r="2266" spans="1:14" s="462" customFormat="1" hidden="1" outlineLevel="1">
      <c r="A2266" s="1261"/>
      <c r="B2266" s="260"/>
      <c r="C2266" s="439" t="s">
        <v>2</v>
      </c>
      <c r="D2266" s="440">
        <v>1</v>
      </c>
      <c r="E2266" s="441">
        <v>4</v>
      </c>
      <c r="F2266" s="1363">
        <v>3</v>
      </c>
      <c r="G2266" s="1363">
        <v>0.34499999999999997</v>
      </c>
      <c r="H2266" s="1363">
        <v>0.42499999999999999</v>
      </c>
      <c r="I2266" s="399">
        <f t="shared" si="56"/>
        <v>1.76</v>
      </c>
      <c r="J2266" s="442"/>
      <c r="K2266" s="1263"/>
      <c r="L2266" s="461"/>
      <c r="M2266" s="461"/>
      <c r="N2266" s="461"/>
    </row>
    <row r="2267" spans="1:14" s="462" customFormat="1" hidden="1" outlineLevel="1">
      <c r="A2267" s="1261"/>
      <c r="B2267" s="260"/>
      <c r="C2267" s="439"/>
      <c r="D2267" s="440"/>
      <c r="E2267" s="441"/>
      <c r="F2267" s="1363"/>
      <c r="G2267" s="1363"/>
      <c r="H2267" s="1363"/>
      <c r="I2267" s="399" t="str">
        <f t="shared" si="56"/>
        <v/>
      </c>
      <c r="J2267" s="442"/>
      <c r="K2267" s="1263"/>
      <c r="L2267" s="461"/>
      <c r="M2267" s="461"/>
      <c r="N2267" s="461"/>
    </row>
    <row r="2268" spans="1:14" s="462" customFormat="1" hidden="1" outlineLevel="1">
      <c r="A2268" s="1261"/>
      <c r="B2268" s="260" t="s">
        <v>277</v>
      </c>
      <c r="C2268" s="439"/>
      <c r="D2268" s="440"/>
      <c r="E2268" s="441"/>
      <c r="F2268" s="1363"/>
      <c r="G2268" s="1363"/>
      <c r="H2268" s="1363"/>
      <c r="I2268" s="399" t="str">
        <f t="shared" si="56"/>
        <v/>
      </c>
      <c r="J2268" s="442"/>
      <c r="K2268" s="1263"/>
      <c r="L2268" s="461"/>
      <c r="M2268" s="461"/>
      <c r="N2268" s="461"/>
    </row>
    <row r="2269" spans="1:14" s="462" customFormat="1" hidden="1" outlineLevel="1">
      <c r="A2269" s="1261"/>
      <c r="B2269" s="260"/>
      <c r="C2269" s="439"/>
      <c r="D2269" s="440"/>
      <c r="E2269" s="441"/>
      <c r="F2269" s="1363"/>
      <c r="G2269" s="1363"/>
      <c r="H2269" s="1363"/>
      <c r="I2269" s="399" t="str">
        <f t="shared" si="56"/>
        <v/>
      </c>
      <c r="J2269" s="442"/>
      <c r="K2269" s="1263"/>
      <c r="L2269" s="461"/>
      <c r="M2269" s="461"/>
      <c r="N2269" s="461"/>
    </row>
    <row r="2270" spans="1:14" s="462" customFormat="1" hidden="1" outlineLevel="1">
      <c r="A2270" s="1261"/>
      <c r="B2270" s="260" t="s">
        <v>278</v>
      </c>
      <c r="C2270" s="439" t="s">
        <v>2</v>
      </c>
      <c r="D2270" s="440">
        <v>1</v>
      </c>
      <c r="E2270" s="441">
        <v>1</v>
      </c>
      <c r="F2270" s="1363">
        <v>3.52</v>
      </c>
      <c r="G2270" s="1363">
        <v>0.46</v>
      </c>
      <c r="H2270" s="1363">
        <v>0.3</v>
      </c>
      <c r="I2270" s="399">
        <f t="shared" si="56"/>
        <v>0.49</v>
      </c>
      <c r="J2270" s="442"/>
      <c r="K2270" s="1263"/>
      <c r="L2270" s="461"/>
      <c r="M2270" s="461"/>
      <c r="N2270" s="461"/>
    </row>
    <row r="2271" spans="1:14" s="462" customFormat="1" hidden="1" outlineLevel="1">
      <c r="A2271" s="1261"/>
      <c r="B2271" s="260"/>
      <c r="C2271" s="439" t="s">
        <v>2</v>
      </c>
      <c r="D2271" s="440">
        <v>1</v>
      </c>
      <c r="E2271" s="441">
        <v>1</v>
      </c>
      <c r="F2271" s="1363">
        <v>3.29</v>
      </c>
      <c r="G2271" s="1363">
        <v>0.34499999999999997</v>
      </c>
      <c r="H2271" s="1363">
        <v>0.3</v>
      </c>
      <c r="I2271" s="399">
        <f t="shared" si="56"/>
        <v>0.34</v>
      </c>
      <c r="J2271" s="442"/>
      <c r="K2271" s="1263"/>
      <c r="L2271" s="461"/>
      <c r="M2271" s="461"/>
      <c r="N2271" s="461"/>
    </row>
    <row r="2272" spans="1:14" s="462" customFormat="1" hidden="1" outlineLevel="1">
      <c r="A2272" s="1261"/>
      <c r="B2272" s="260"/>
      <c r="C2272" s="439" t="s">
        <v>2</v>
      </c>
      <c r="D2272" s="440">
        <v>1</v>
      </c>
      <c r="E2272" s="441">
        <v>1</v>
      </c>
      <c r="F2272" s="1363">
        <v>3.06</v>
      </c>
      <c r="G2272" s="1363">
        <v>0.23</v>
      </c>
      <c r="H2272" s="1363">
        <v>0.19000000000000006</v>
      </c>
      <c r="I2272" s="399">
        <f t="shared" si="56"/>
        <v>0.13</v>
      </c>
      <c r="J2272" s="442"/>
      <c r="K2272" s="1263"/>
      <c r="L2272" s="461"/>
      <c r="M2272" s="461"/>
      <c r="N2272" s="461"/>
    </row>
    <row r="2273" spans="1:14" s="462" customFormat="1" hidden="1" outlineLevel="1">
      <c r="A2273" s="1261"/>
      <c r="B2273" s="260"/>
      <c r="C2273" s="439"/>
      <c r="D2273" s="440"/>
      <c r="E2273" s="441"/>
      <c r="F2273" s="1363"/>
      <c r="G2273" s="1363"/>
      <c r="H2273" s="1363"/>
      <c r="I2273" s="399" t="str">
        <f t="shared" si="56"/>
        <v/>
      </c>
      <c r="J2273" s="442"/>
      <c r="K2273" s="1263"/>
      <c r="L2273" s="461"/>
      <c r="M2273" s="461"/>
      <c r="N2273" s="461"/>
    </row>
    <row r="2274" spans="1:14" s="462" customFormat="1" hidden="1" outlineLevel="1">
      <c r="A2274" s="1261"/>
      <c r="B2274" s="260"/>
      <c r="C2274" s="439" t="s">
        <v>2</v>
      </c>
      <c r="D2274" s="440">
        <v>1</v>
      </c>
      <c r="E2274" s="441">
        <v>3</v>
      </c>
      <c r="F2274" s="1364">
        <v>1.327</v>
      </c>
      <c r="G2274" s="1363">
        <v>0.46</v>
      </c>
      <c r="H2274" s="1363">
        <v>0.3</v>
      </c>
      <c r="I2274" s="399">
        <f t="shared" si="56"/>
        <v>0.55000000000000004</v>
      </c>
      <c r="J2274" s="442"/>
      <c r="K2274" s="1263"/>
      <c r="L2274" s="461"/>
      <c r="M2274" s="461"/>
      <c r="N2274" s="461"/>
    </row>
    <row r="2275" spans="1:14" s="462" customFormat="1" hidden="1" outlineLevel="1">
      <c r="A2275" s="1261"/>
      <c r="B2275" s="260"/>
      <c r="C2275" s="439" t="s">
        <v>2</v>
      </c>
      <c r="D2275" s="440">
        <v>1</v>
      </c>
      <c r="E2275" s="441">
        <v>3</v>
      </c>
      <c r="F2275" s="1364">
        <v>1.097</v>
      </c>
      <c r="G2275" s="1363">
        <v>0.34499999999999997</v>
      </c>
      <c r="H2275" s="1363">
        <v>0.3</v>
      </c>
      <c r="I2275" s="399">
        <f t="shared" si="56"/>
        <v>0.34</v>
      </c>
      <c r="J2275" s="442"/>
      <c r="K2275" s="1263"/>
      <c r="L2275" s="461"/>
      <c r="M2275" s="461"/>
      <c r="N2275" s="461"/>
    </row>
    <row r="2276" spans="1:14" s="462" customFormat="1" hidden="1" outlineLevel="1">
      <c r="A2276" s="1261"/>
      <c r="B2276" s="260"/>
      <c r="C2276" s="439" t="s">
        <v>2</v>
      </c>
      <c r="D2276" s="440">
        <v>1</v>
      </c>
      <c r="E2276" s="441">
        <v>3</v>
      </c>
      <c r="F2276" s="1364">
        <v>0.86699999999999999</v>
      </c>
      <c r="G2276" s="1363">
        <v>0.23</v>
      </c>
      <c r="H2276" s="1363">
        <v>0.19000000000000006</v>
      </c>
      <c r="I2276" s="399">
        <f t="shared" si="56"/>
        <v>0.11</v>
      </c>
      <c r="J2276" s="442"/>
      <c r="K2276" s="1263"/>
      <c r="L2276" s="461"/>
      <c r="M2276" s="461"/>
      <c r="N2276" s="461"/>
    </row>
    <row r="2277" spans="1:14" s="462" customFormat="1" hidden="1" outlineLevel="1">
      <c r="A2277" s="1261"/>
      <c r="B2277" s="260"/>
      <c r="C2277" s="439"/>
      <c r="D2277" s="440"/>
      <c r="E2277" s="441"/>
      <c r="F2277" s="1363"/>
      <c r="G2277" s="1363"/>
      <c r="H2277" s="1363"/>
      <c r="I2277" s="399" t="str">
        <f t="shared" si="56"/>
        <v/>
      </c>
      <c r="J2277" s="442"/>
      <c r="K2277" s="1263"/>
      <c r="L2277" s="461"/>
      <c r="M2277" s="461"/>
      <c r="N2277" s="461"/>
    </row>
    <row r="2278" spans="1:14" s="462" customFormat="1" hidden="1" outlineLevel="1">
      <c r="A2278" s="1261"/>
      <c r="B2278" s="260"/>
      <c r="C2278" s="439" t="s">
        <v>2</v>
      </c>
      <c r="D2278" s="440">
        <v>1</v>
      </c>
      <c r="E2278" s="441">
        <v>1</v>
      </c>
      <c r="F2278" s="1363">
        <v>4.12</v>
      </c>
      <c r="G2278" s="1363">
        <v>0.46</v>
      </c>
      <c r="H2278" s="1363">
        <v>0.3</v>
      </c>
      <c r="I2278" s="399">
        <f t="shared" si="56"/>
        <v>0.56999999999999995</v>
      </c>
      <c r="J2278" s="442"/>
      <c r="K2278" s="1263"/>
      <c r="L2278" s="461"/>
      <c r="M2278" s="461"/>
      <c r="N2278" s="461"/>
    </row>
    <row r="2279" spans="1:14" s="462" customFormat="1" hidden="1" outlineLevel="1">
      <c r="A2279" s="1261"/>
      <c r="B2279" s="260"/>
      <c r="C2279" s="439" t="s">
        <v>2</v>
      </c>
      <c r="D2279" s="440">
        <v>1</v>
      </c>
      <c r="E2279" s="441">
        <v>1</v>
      </c>
      <c r="F2279" s="1363">
        <v>3.89</v>
      </c>
      <c r="G2279" s="1363">
        <v>0.34499999999999997</v>
      </c>
      <c r="H2279" s="1363">
        <v>0.3</v>
      </c>
      <c r="I2279" s="399">
        <f t="shared" si="56"/>
        <v>0.4</v>
      </c>
      <c r="J2279" s="442"/>
      <c r="K2279" s="1263"/>
      <c r="L2279" s="461"/>
      <c r="M2279" s="461"/>
      <c r="N2279" s="461"/>
    </row>
    <row r="2280" spans="1:14" s="462" customFormat="1" hidden="1" outlineLevel="1">
      <c r="A2280" s="1261"/>
      <c r="B2280" s="260"/>
      <c r="C2280" s="439" t="s">
        <v>2</v>
      </c>
      <c r="D2280" s="440">
        <v>1</v>
      </c>
      <c r="E2280" s="441">
        <v>1</v>
      </c>
      <c r="F2280" s="1363">
        <v>3.66</v>
      </c>
      <c r="G2280" s="1363">
        <v>0.23</v>
      </c>
      <c r="H2280" s="1363">
        <v>0.19000000000000006</v>
      </c>
      <c r="I2280" s="399">
        <f t="shared" si="56"/>
        <v>0.16</v>
      </c>
      <c r="J2280" s="442"/>
      <c r="K2280" s="1263"/>
      <c r="L2280" s="461"/>
      <c r="M2280" s="461"/>
      <c r="N2280" s="461"/>
    </row>
    <row r="2281" spans="1:14" s="462" customFormat="1" hidden="1" outlineLevel="1">
      <c r="A2281" s="1261"/>
      <c r="B2281" s="260"/>
      <c r="C2281" s="439"/>
      <c r="D2281" s="440"/>
      <c r="E2281" s="441"/>
      <c r="F2281" s="1363"/>
      <c r="G2281" s="1363"/>
      <c r="H2281" s="1363"/>
      <c r="I2281" s="399" t="str">
        <f t="shared" si="56"/>
        <v/>
      </c>
      <c r="J2281" s="442"/>
      <c r="K2281" s="1263"/>
      <c r="L2281" s="461"/>
      <c r="M2281" s="461"/>
      <c r="N2281" s="461"/>
    </row>
    <row r="2282" spans="1:14" s="462" customFormat="1" hidden="1" outlineLevel="1">
      <c r="A2282" s="1261"/>
      <c r="B2282" s="260"/>
      <c r="C2282" s="439" t="s">
        <v>2</v>
      </c>
      <c r="D2282" s="440">
        <v>1</v>
      </c>
      <c r="E2282" s="441">
        <v>1</v>
      </c>
      <c r="F2282" s="1363">
        <v>3.06</v>
      </c>
      <c r="G2282" s="1363">
        <v>0.46</v>
      </c>
      <c r="H2282" s="1363">
        <v>0.3</v>
      </c>
      <c r="I2282" s="399">
        <f t="shared" si="56"/>
        <v>0.42</v>
      </c>
      <c r="J2282" s="442"/>
      <c r="K2282" s="1263"/>
      <c r="L2282" s="461"/>
      <c r="M2282" s="461"/>
      <c r="N2282" s="461"/>
    </row>
    <row r="2283" spans="1:14" s="462" customFormat="1" hidden="1" outlineLevel="1">
      <c r="A2283" s="1261"/>
      <c r="B2283" s="260"/>
      <c r="C2283" s="439" t="s">
        <v>2</v>
      </c>
      <c r="D2283" s="440">
        <v>1</v>
      </c>
      <c r="E2283" s="441">
        <v>1</v>
      </c>
      <c r="F2283" s="1363">
        <v>2.9450000000000003</v>
      </c>
      <c r="G2283" s="1363">
        <v>0.34499999999999997</v>
      </c>
      <c r="H2283" s="1363">
        <v>0.3</v>
      </c>
      <c r="I2283" s="399">
        <f t="shared" si="56"/>
        <v>0.3</v>
      </c>
      <c r="J2283" s="442"/>
      <c r="K2283" s="1263"/>
      <c r="L2283" s="461"/>
      <c r="M2283" s="461"/>
      <c r="N2283" s="461"/>
    </row>
    <row r="2284" spans="1:14" s="462" customFormat="1" hidden="1" outlineLevel="1">
      <c r="A2284" s="1261"/>
      <c r="B2284" s="260"/>
      <c r="C2284" s="439" t="s">
        <v>2</v>
      </c>
      <c r="D2284" s="440">
        <v>1</v>
      </c>
      <c r="E2284" s="441">
        <v>1</v>
      </c>
      <c r="F2284" s="1363">
        <v>2.83</v>
      </c>
      <c r="G2284" s="1363">
        <v>0.23</v>
      </c>
      <c r="H2284" s="1363">
        <v>0.19000000000000006</v>
      </c>
      <c r="I2284" s="399">
        <f t="shared" si="56"/>
        <v>0.12</v>
      </c>
      <c r="J2284" s="442"/>
      <c r="K2284" s="1263"/>
      <c r="L2284" s="461"/>
      <c r="M2284" s="461"/>
      <c r="N2284" s="461"/>
    </row>
    <row r="2285" spans="1:14" s="462" customFormat="1" hidden="1" outlineLevel="1">
      <c r="A2285" s="1261"/>
      <c r="B2285" s="260"/>
      <c r="C2285" s="439"/>
      <c r="D2285" s="440"/>
      <c r="E2285" s="441"/>
      <c r="F2285" s="1363"/>
      <c r="G2285" s="1363"/>
      <c r="H2285" s="1363"/>
      <c r="I2285" s="399" t="str">
        <f t="shared" si="56"/>
        <v/>
      </c>
      <c r="J2285" s="442"/>
      <c r="K2285" s="1263"/>
      <c r="L2285" s="461"/>
      <c r="M2285" s="461"/>
      <c r="N2285" s="461"/>
    </row>
    <row r="2286" spans="1:14" s="462" customFormat="1" hidden="1" outlineLevel="1">
      <c r="A2286" s="1261"/>
      <c r="B2286" s="260"/>
      <c r="C2286" s="439" t="s">
        <v>2</v>
      </c>
      <c r="D2286" s="440">
        <v>1</v>
      </c>
      <c r="E2286" s="441">
        <v>4</v>
      </c>
      <c r="F2286" s="1364">
        <v>0.76500000000000001</v>
      </c>
      <c r="G2286" s="1363">
        <v>0.46</v>
      </c>
      <c r="H2286" s="1363">
        <v>0.3</v>
      </c>
      <c r="I2286" s="399">
        <f t="shared" si="56"/>
        <v>0.42</v>
      </c>
      <c r="J2286" s="442"/>
      <c r="K2286" s="1263"/>
      <c r="L2286" s="461"/>
      <c r="M2286" s="461"/>
      <c r="N2286" s="461"/>
    </row>
    <row r="2287" spans="1:14" s="462" customFormat="1" hidden="1" outlineLevel="1">
      <c r="A2287" s="1261"/>
      <c r="B2287" s="260"/>
      <c r="C2287" s="439" t="s">
        <v>2</v>
      </c>
      <c r="D2287" s="440">
        <v>1</v>
      </c>
      <c r="E2287" s="441">
        <v>4</v>
      </c>
      <c r="F2287" s="1364">
        <v>0.65</v>
      </c>
      <c r="G2287" s="1363">
        <v>0.34499999999999997</v>
      </c>
      <c r="H2287" s="1363">
        <v>0.3</v>
      </c>
      <c r="I2287" s="399">
        <f t="shared" si="56"/>
        <v>0.27</v>
      </c>
      <c r="J2287" s="442"/>
      <c r="K2287" s="1263"/>
      <c r="L2287" s="461"/>
      <c r="M2287" s="461"/>
      <c r="N2287" s="461"/>
    </row>
    <row r="2288" spans="1:14" s="462" customFormat="1" hidden="1" outlineLevel="1">
      <c r="A2288" s="1261"/>
      <c r="B2288" s="260"/>
      <c r="C2288" s="439" t="s">
        <v>2</v>
      </c>
      <c r="D2288" s="440">
        <v>1</v>
      </c>
      <c r="E2288" s="441">
        <v>4</v>
      </c>
      <c r="F2288" s="1364">
        <v>0.53500000000000003</v>
      </c>
      <c r="G2288" s="1363">
        <v>0.23</v>
      </c>
      <c r="H2288" s="1363">
        <v>0.19000000000000006</v>
      </c>
      <c r="I2288" s="399">
        <f t="shared" si="56"/>
        <v>0.09</v>
      </c>
      <c r="J2288" s="442"/>
      <c r="K2288" s="1263"/>
      <c r="L2288" s="461"/>
      <c r="M2288" s="461"/>
      <c r="N2288" s="461"/>
    </row>
    <row r="2289" spans="1:14" s="462" customFormat="1" hidden="1" outlineLevel="1">
      <c r="A2289" s="1261"/>
      <c r="B2289" s="260"/>
      <c r="C2289" s="439"/>
      <c r="D2289" s="440"/>
      <c r="E2289" s="441"/>
      <c r="F2289" s="1363"/>
      <c r="G2289" s="1363"/>
      <c r="H2289" s="1363"/>
      <c r="I2289" s="399" t="str">
        <f t="shared" si="56"/>
        <v/>
      </c>
      <c r="J2289" s="442"/>
      <c r="K2289" s="1263"/>
      <c r="L2289" s="461"/>
      <c r="M2289" s="461"/>
      <c r="N2289" s="461"/>
    </row>
    <row r="2290" spans="1:14" s="462" customFormat="1" hidden="1" outlineLevel="1">
      <c r="A2290" s="1261"/>
      <c r="B2290" s="260" t="s">
        <v>279</v>
      </c>
      <c r="C2290" s="439"/>
      <c r="D2290" s="440"/>
      <c r="E2290" s="441"/>
      <c r="F2290" s="1363"/>
      <c r="G2290" s="1363"/>
      <c r="H2290" s="1363"/>
      <c r="I2290" s="399" t="str">
        <f t="shared" si="56"/>
        <v/>
      </c>
      <c r="J2290" s="442"/>
      <c r="K2290" s="1263"/>
      <c r="L2290" s="461"/>
      <c r="M2290" s="461"/>
      <c r="N2290" s="461"/>
    </row>
    <row r="2291" spans="1:14" s="462" customFormat="1" hidden="1" outlineLevel="1">
      <c r="A2291" s="1261"/>
      <c r="B2291" s="260" t="s">
        <v>280</v>
      </c>
      <c r="C2291" s="439" t="s">
        <v>2</v>
      </c>
      <c r="D2291" s="440">
        <v>1</v>
      </c>
      <c r="E2291" s="441">
        <v>1</v>
      </c>
      <c r="F2291" s="1363">
        <v>4.125</v>
      </c>
      <c r="G2291" s="1363">
        <v>0.46</v>
      </c>
      <c r="H2291" s="1363">
        <v>0.3</v>
      </c>
      <c r="I2291" s="399">
        <f t="shared" si="56"/>
        <v>0.56999999999999995</v>
      </c>
      <c r="J2291" s="442"/>
      <c r="K2291" s="1263"/>
      <c r="L2291" s="461"/>
      <c r="M2291" s="461"/>
      <c r="N2291" s="461"/>
    </row>
    <row r="2292" spans="1:14" s="462" customFormat="1" hidden="1" outlineLevel="1">
      <c r="A2292" s="1261"/>
      <c r="B2292" s="260"/>
      <c r="C2292" s="439" t="s">
        <v>2</v>
      </c>
      <c r="D2292" s="440">
        <v>1</v>
      </c>
      <c r="E2292" s="441">
        <v>1</v>
      </c>
      <c r="F2292" s="1363">
        <v>3.895</v>
      </c>
      <c r="G2292" s="1363">
        <v>0.34499999999999997</v>
      </c>
      <c r="H2292" s="1363">
        <v>0.3</v>
      </c>
      <c r="I2292" s="399">
        <f t="shared" si="56"/>
        <v>0.4</v>
      </c>
      <c r="J2292" s="442"/>
      <c r="K2292" s="1263"/>
      <c r="L2292" s="461"/>
      <c r="M2292" s="461"/>
      <c r="N2292" s="461"/>
    </row>
    <row r="2293" spans="1:14" s="462" customFormat="1" hidden="1" outlineLevel="1">
      <c r="A2293" s="1261"/>
      <c r="B2293" s="260"/>
      <c r="C2293" s="439" t="s">
        <v>2</v>
      </c>
      <c r="D2293" s="440">
        <v>1</v>
      </c>
      <c r="E2293" s="441">
        <v>1</v>
      </c>
      <c r="F2293" s="1363">
        <v>3.665</v>
      </c>
      <c r="G2293" s="1363">
        <v>0.23</v>
      </c>
      <c r="H2293" s="1363">
        <v>0.19000000000000006</v>
      </c>
      <c r="I2293" s="399">
        <f t="shared" si="56"/>
        <v>0.16</v>
      </c>
      <c r="J2293" s="442"/>
      <c r="K2293" s="1263"/>
      <c r="L2293" s="461"/>
      <c r="M2293" s="461"/>
      <c r="N2293" s="461"/>
    </row>
    <row r="2294" spans="1:14" s="462" customFormat="1" hidden="1" outlineLevel="1">
      <c r="A2294" s="1261"/>
      <c r="B2294" s="260"/>
      <c r="C2294" s="439"/>
      <c r="D2294" s="440"/>
      <c r="E2294" s="441"/>
      <c r="F2294" s="1363"/>
      <c r="G2294" s="1363"/>
      <c r="H2294" s="1363"/>
      <c r="I2294" s="399" t="str">
        <f t="shared" si="56"/>
        <v/>
      </c>
      <c r="J2294" s="442"/>
      <c r="K2294" s="1263"/>
      <c r="L2294" s="461"/>
      <c r="M2294" s="461"/>
      <c r="N2294" s="461"/>
    </row>
    <row r="2295" spans="1:14" s="462" customFormat="1" hidden="1" outlineLevel="1">
      <c r="A2295" s="1261"/>
      <c r="B2295" s="260"/>
      <c r="C2295" s="439" t="s">
        <v>2</v>
      </c>
      <c r="D2295" s="440">
        <v>1</v>
      </c>
      <c r="E2295" s="441">
        <v>2</v>
      </c>
      <c r="F2295" s="1364">
        <v>1.1950000000000001</v>
      </c>
      <c r="G2295" s="1363">
        <v>0.46</v>
      </c>
      <c r="H2295" s="1363">
        <v>0.3</v>
      </c>
      <c r="I2295" s="399">
        <f t="shared" si="56"/>
        <v>0.33</v>
      </c>
      <c r="J2295" s="442"/>
      <c r="K2295" s="1263"/>
      <c r="L2295" s="461"/>
      <c r="M2295" s="461"/>
      <c r="N2295" s="461"/>
    </row>
    <row r="2296" spans="1:14" s="462" customFormat="1" hidden="1" outlineLevel="1">
      <c r="A2296" s="1261"/>
      <c r="B2296" s="260"/>
      <c r="C2296" s="439" t="s">
        <v>2</v>
      </c>
      <c r="D2296" s="440">
        <v>1</v>
      </c>
      <c r="E2296" s="441">
        <v>2</v>
      </c>
      <c r="F2296" s="1364">
        <v>0.96499999999999997</v>
      </c>
      <c r="G2296" s="1363">
        <v>0.34499999999999997</v>
      </c>
      <c r="H2296" s="1363">
        <v>0.3</v>
      </c>
      <c r="I2296" s="399">
        <f t="shared" si="56"/>
        <v>0.2</v>
      </c>
      <c r="J2296" s="442"/>
      <c r="K2296" s="1263"/>
      <c r="L2296" s="461"/>
      <c r="M2296" s="461"/>
      <c r="N2296" s="461"/>
    </row>
    <row r="2297" spans="1:14" s="462" customFormat="1" hidden="1" outlineLevel="1">
      <c r="A2297" s="1261"/>
      <c r="B2297" s="260"/>
      <c r="C2297" s="439" t="s">
        <v>2</v>
      </c>
      <c r="D2297" s="440">
        <v>1</v>
      </c>
      <c r="E2297" s="441">
        <v>2</v>
      </c>
      <c r="F2297" s="1364">
        <v>0.73499999999999999</v>
      </c>
      <c r="G2297" s="1363">
        <v>0.23</v>
      </c>
      <c r="H2297" s="1363">
        <v>0.19000000000000006</v>
      </c>
      <c r="I2297" s="399">
        <f t="shared" si="56"/>
        <v>0.06</v>
      </c>
      <c r="J2297" s="442"/>
      <c r="K2297" s="1263"/>
      <c r="L2297" s="461"/>
      <c r="M2297" s="461"/>
      <c r="N2297" s="461"/>
    </row>
    <row r="2298" spans="1:14" s="462" customFormat="1" hidden="1" outlineLevel="1">
      <c r="A2298" s="1261"/>
      <c r="B2298" s="260"/>
      <c r="C2298" s="439"/>
      <c r="D2298" s="440"/>
      <c r="E2298" s="441"/>
      <c r="F2298" s="1363"/>
      <c r="G2298" s="1363"/>
      <c r="H2298" s="1363"/>
      <c r="I2298" s="399" t="str">
        <f t="shared" si="56"/>
        <v/>
      </c>
      <c r="J2298" s="442"/>
      <c r="K2298" s="1263"/>
      <c r="L2298" s="461"/>
      <c r="M2298" s="461"/>
      <c r="N2298" s="461"/>
    </row>
    <row r="2299" spans="1:14" s="462" customFormat="1" hidden="1" outlineLevel="1">
      <c r="A2299" s="1261"/>
      <c r="B2299" s="260" t="s">
        <v>281</v>
      </c>
      <c r="C2299" s="439" t="s">
        <v>2</v>
      </c>
      <c r="D2299" s="440">
        <v>1</v>
      </c>
      <c r="E2299" s="441">
        <v>3</v>
      </c>
      <c r="F2299" s="1363">
        <v>3.06</v>
      </c>
      <c r="G2299" s="1363">
        <v>0.46</v>
      </c>
      <c r="H2299" s="1363">
        <v>0.3</v>
      </c>
      <c r="I2299" s="399">
        <f t="shared" si="56"/>
        <v>1.27</v>
      </c>
      <c r="J2299" s="442"/>
      <c r="K2299" s="1263"/>
      <c r="L2299" s="461"/>
      <c r="M2299" s="461"/>
      <c r="N2299" s="461"/>
    </row>
    <row r="2300" spans="1:14" s="462" customFormat="1" hidden="1" outlineLevel="1">
      <c r="A2300" s="1261"/>
      <c r="B2300" s="260"/>
      <c r="C2300" s="439" t="s">
        <v>2</v>
      </c>
      <c r="D2300" s="440">
        <v>1</v>
      </c>
      <c r="E2300" s="441">
        <v>3</v>
      </c>
      <c r="F2300" s="1363">
        <v>2.9450000000000003</v>
      </c>
      <c r="G2300" s="1363">
        <v>0.34499999999999997</v>
      </c>
      <c r="H2300" s="1363">
        <v>0.3</v>
      </c>
      <c r="I2300" s="399">
        <f t="shared" si="56"/>
        <v>0.91</v>
      </c>
      <c r="J2300" s="442"/>
      <c r="K2300" s="1263"/>
      <c r="L2300" s="461"/>
      <c r="M2300" s="461"/>
      <c r="N2300" s="461"/>
    </row>
    <row r="2301" spans="1:14" s="462" customFormat="1" hidden="1" outlineLevel="1">
      <c r="A2301" s="1261"/>
      <c r="B2301" s="260"/>
      <c r="C2301" s="439" t="s">
        <v>2</v>
      </c>
      <c r="D2301" s="440">
        <v>1</v>
      </c>
      <c r="E2301" s="441">
        <v>3</v>
      </c>
      <c r="F2301" s="1363">
        <v>2.83</v>
      </c>
      <c r="G2301" s="1363">
        <v>0.23</v>
      </c>
      <c r="H2301" s="1363">
        <v>0.19000000000000006</v>
      </c>
      <c r="I2301" s="399">
        <f t="shared" si="56"/>
        <v>0.37</v>
      </c>
      <c r="J2301" s="442"/>
      <c r="K2301" s="1263"/>
      <c r="L2301" s="461"/>
      <c r="M2301" s="461"/>
      <c r="N2301" s="461"/>
    </row>
    <row r="2302" spans="1:14" s="462" customFormat="1" hidden="1" outlineLevel="1">
      <c r="A2302" s="1261"/>
      <c r="B2302" s="260"/>
      <c r="C2302" s="439"/>
      <c r="D2302" s="440"/>
      <c r="E2302" s="441"/>
      <c r="F2302" s="1363"/>
      <c r="G2302" s="1363"/>
      <c r="H2302" s="1363"/>
      <c r="I2302" s="399" t="str">
        <f t="shared" si="56"/>
        <v/>
      </c>
      <c r="J2302" s="442"/>
      <c r="K2302" s="1263"/>
      <c r="L2302" s="461"/>
      <c r="M2302" s="461"/>
      <c r="N2302" s="461"/>
    </row>
    <row r="2303" spans="1:14" s="462" customFormat="1" hidden="1" outlineLevel="1">
      <c r="A2303" s="1261"/>
      <c r="B2303" s="260"/>
      <c r="C2303" s="439" t="s">
        <v>2</v>
      </c>
      <c r="D2303" s="440">
        <v>1</v>
      </c>
      <c r="E2303" s="441">
        <v>2</v>
      </c>
      <c r="F2303" s="1364">
        <v>1.1950000000000001</v>
      </c>
      <c r="G2303" s="1363">
        <v>0.46</v>
      </c>
      <c r="H2303" s="1363">
        <v>0.3</v>
      </c>
      <c r="I2303" s="399">
        <f t="shared" si="56"/>
        <v>0.33</v>
      </c>
      <c r="J2303" s="442"/>
      <c r="K2303" s="1263"/>
      <c r="L2303" s="461"/>
      <c r="M2303" s="461"/>
      <c r="N2303" s="461"/>
    </row>
    <row r="2304" spans="1:14" s="462" customFormat="1" hidden="1" outlineLevel="1">
      <c r="A2304" s="1261"/>
      <c r="B2304" s="260"/>
      <c r="C2304" s="439" t="s">
        <v>2</v>
      </c>
      <c r="D2304" s="440">
        <v>1</v>
      </c>
      <c r="E2304" s="441">
        <v>2</v>
      </c>
      <c r="F2304" s="1364">
        <v>0.96499999999999997</v>
      </c>
      <c r="G2304" s="1363">
        <v>0.34499999999999997</v>
      </c>
      <c r="H2304" s="1363">
        <v>0.3</v>
      </c>
      <c r="I2304" s="399">
        <f t="shared" si="56"/>
        <v>0.2</v>
      </c>
      <c r="J2304" s="442"/>
      <c r="K2304" s="1263"/>
      <c r="L2304" s="461"/>
      <c r="M2304" s="461"/>
      <c r="N2304" s="461"/>
    </row>
    <row r="2305" spans="1:14" s="462" customFormat="1" hidden="1" outlineLevel="1">
      <c r="A2305" s="1261"/>
      <c r="B2305" s="260"/>
      <c r="C2305" s="439" t="s">
        <v>2</v>
      </c>
      <c r="D2305" s="440">
        <v>1</v>
      </c>
      <c r="E2305" s="441">
        <v>2</v>
      </c>
      <c r="F2305" s="1364">
        <v>0.73499999999999999</v>
      </c>
      <c r="G2305" s="1363">
        <v>0.23</v>
      </c>
      <c r="H2305" s="1363">
        <v>0.19000000000000006</v>
      </c>
      <c r="I2305" s="399">
        <f t="shared" si="56"/>
        <v>0.06</v>
      </c>
      <c r="J2305" s="442"/>
      <c r="K2305" s="1263"/>
      <c r="L2305" s="461"/>
      <c r="M2305" s="461"/>
      <c r="N2305" s="461"/>
    </row>
    <row r="2306" spans="1:14" s="462" customFormat="1" hidden="1" outlineLevel="1">
      <c r="A2306" s="1261"/>
      <c r="B2306" s="260"/>
      <c r="C2306" s="439"/>
      <c r="D2306" s="440"/>
      <c r="E2306" s="441"/>
      <c r="F2306" s="1363"/>
      <c r="G2306" s="1363"/>
      <c r="H2306" s="1363"/>
      <c r="I2306" s="399" t="str">
        <f t="shared" si="56"/>
        <v/>
      </c>
      <c r="J2306" s="442"/>
      <c r="K2306" s="1263"/>
      <c r="L2306" s="461"/>
      <c r="M2306" s="461"/>
      <c r="N2306" s="461"/>
    </row>
    <row r="2307" spans="1:14" s="462" customFormat="1" hidden="1" outlineLevel="1">
      <c r="A2307" s="1261"/>
      <c r="B2307" s="260"/>
      <c r="C2307" s="439" t="s">
        <v>2</v>
      </c>
      <c r="D2307" s="440">
        <v>1</v>
      </c>
      <c r="E2307" s="441">
        <v>1</v>
      </c>
      <c r="F2307" s="1363">
        <v>2.46</v>
      </c>
      <c r="G2307" s="1363">
        <v>0.46</v>
      </c>
      <c r="H2307" s="1363">
        <v>0.3</v>
      </c>
      <c r="I2307" s="399">
        <f t="shared" si="56"/>
        <v>0.34</v>
      </c>
      <c r="J2307" s="442"/>
      <c r="K2307" s="1263"/>
      <c r="L2307" s="461"/>
      <c r="M2307" s="461"/>
      <c r="N2307" s="461"/>
    </row>
    <row r="2308" spans="1:14" s="462" customFormat="1" hidden="1" outlineLevel="1">
      <c r="A2308" s="1261"/>
      <c r="B2308" s="260"/>
      <c r="C2308" s="439" t="s">
        <v>2</v>
      </c>
      <c r="D2308" s="440">
        <v>1</v>
      </c>
      <c r="E2308" s="441">
        <v>1</v>
      </c>
      <c r="F2308" s="1363">
        <v>2.3449999999999998</v>
      </c>
      <c r="G2308" s="1363">
        <v>0.34499999999999997</v>
      </c>
      <c r="H2308" s="1363">
        <v>0.3</v>
      </c>
      <c r="I2308" s="399">
        <f t="shared" si="56"/>
        <v>0.24</v>
      </c>
      <c r="J2308" s="442"/>
      <c r="K2308" s="1263"/>
      <c r="L2308" s="461"/>
      <c r="M2308" s="461"/>
      <c r="N2308" s="461"/>
    </row>
    <row r="2309" spans="1:14" s="462" customFormat="1" hidden="1" outlineLevel="1">
      <c r="A2309" s="1261"/>
      <c r="B2309" s="260"/>
      <c r="C2309" s="439" t="s">
        <v>2</v>
      </c>
      <c r="D2309" s="440">
        <v>1</v>
      </c>
      <c r="E2309" s="441">
        <v>1</v>
      </c>
      <c r="F2309" s="1363">
        <v>2.23</v>
      </c>
      <c r="G2309" s="1363">
        <v>0.23</v>
      </c>
      <c r="H2309" s="1363">
        <v>0.19000000000000006</v>
      </c>
      <c r="I2309" s="399">
        <f t="shared" si="56"/>
        <v>0.1</v>
      </c>
      <c r="J2309" s="442"/>
      <c r="K2309" s="1263"/>
      <c r="L2309" s="461"/>
      <c r="M2309" s="461"/>
      <c r="N2309" s="461"/>
    </row>
    <row r="2310" spans="1:14" s="462" customFormat="1" hidden="1" outlineLevel="1">
      <c r="A2310" s="1261"/>
      <c r="B2310" s="260"/>
      <c r="C2310" s="439"/>
      <c r="D2310" s="440"/>
      <c r="E2310" s="441"/>
      <c r="F2310" s="1363"/>
      <c r="G2310" s="1363"/>
      <c r="H2310" s="1363"/>
      <c r="I2310" s="399" t="str">
        <f t="shared" si="56"/>
        <v/>
      </c>
      <c r="J2310" s="442"/>
      <c r="K2310" s="1263"/>
      <c r="L2310" s="461"/>
      <c r="M2310" s="461"/>
      <c r="N2310" s="461"/>
    </row>
    <row r="2311" spans="1:14" s="462" customFormat="1" hidden="1" outlineLevel="1">
      <c r="A2311" s="1261"/>
      <c r="B2311" s="260" t="s">
        <v>282</v>
      </c>
      <c r="C2311" s="439"/>
      <c r="D2311" s="440"/>
      <c r="E2311" s="441"/>
      <c r="F2311" s="1363"/>
      <c r="G2311" s="1363"/>
      <c r="H2311" s="1363"/>
      <c r="I2311" s="399" t="str">
        <f t="shared" si="56"/>
        <v/>
      </c>
      <c r="J2311" s="442"/>
      <c r="K2311" s="1263"/>
      <c r="L2311" s="461"/>
      <c r="M2311" s="461"/>
      <c r="N2311" s="461"/>
    </row>
    <row r="2312" spans="1:14" s="462" customFormat="1" hidden="1" outlineLevel="1">
      <c r="A2312" s="1261"/>
      <c r="B2312" s="260" t="s">
        <v>282</v>
      </c>
      <c r="C2312" s="439" t="s">
        <v>2</v>
      </c>
      <c r="D2312" s="440">
        <v>1</v>
      </c>
      <c r="E2312" s="441">
        <v>1</v>
      </c>
      <c r="F2312" s="1363">
        <v>9.1549999999999994</v>
      </c>
      <c r="G2312" s="1363">
        <v>0.46</v>
      </c>
      <c r="H2312" s="1363">
        <v>0.3</v>
      </c>
      <c r="I2312" s="399">
        <f t="shared" si="56"/>
        <v>1.26</v>
      </c>
      <c r="J2312" s="442"/>
      <c r="K2312" s="1263"/>
      <c r="L2312" s="461"/>
      <c r="M2312" s="461"/>
      <c r="N2312" s="461"/>
    </row>
    <row r="2313" spans="1:14" s="462" customFormat="1" hidden="1" outlineLevel="1">
      <c r="A2313" s="1261"/>
      <c r="B2313" s="260"/>
      <c r="C2313" s="439" t="s">
        <v>2</v>
      </c>
      <c r="D2313" s="440">
        <v>1</v>
      </c>
      <c r="E2313" s="441">
        <v>1</v>
      </c>
      <c r="F2313" s="1363">
        <v>9.1549999999999994</v>
      </c>
      <c r="G2313" s="1363">
        <v>0.34499999999999997</v>
      </c>
      <c r="H2313" s="1363">
        <v>0.3</v>
      </c>
      <c r="I2313" s="399">
        <f t="shared" si="56"/>
        <v>0.95</v>
      </c>
      <c r="J2313" s="442"/>
      <c r="K2313" s="1263"/>
      <c r="L2313" s="461"/>
      <c r="M2313" s="461"/>
      <c r="N2313" s="461"/>
    </row>
    <row r="2314" spans="1:14" s="462" customFormat="1" hidden="1" outlineLevel="1">
      <c r="A2314" s="1261"/>
      <c r="B2314" s="260"/>
      <c r="C2314" s="439" t="s">
        <v>2</v>
      </c>
      <c r="D2314" s="440">
        <v>1</v>
      </c>
      <c r="E2314" s="441">
        <v>1</v>
      </c>
      <c r="F2314" s="1363">
        <v>9.1549999999999994</v>
      </c>
      <c r="G2314" s="1363">
        <v>0.23</v>
      </c>
      <c r="H2314" s="1363">
        <v>0.19000000000000006</v>
      </c>
      <c r="I2314" s="399">
        <f t="shared" si="56"/>
        <v>0.4</v>
      </c>
      <c r="J2314" s="442"/>
      <c r="K2314" s="1263"/>
      <c r="L2314" s="461"/>
      <c r="M2314" s="461"/>
      <c r="N2314" s="461"/>
    </row>
    <row r="2315" spans="1:14" s="462" customFormat="1" hidden="1" outlineLevel="1">
      <c r="A2315" s="1261"/>
      <c r="B2315" s="260"/>
      <c r="C2315" s="439"/>
      <c r="D2315" s="440"/>
      <c r="E2315" s="441"/>
      <c r="F2315" s="1363"/>
      <c r="G2315" s="1363"/>
      <c r="H2315" s="1363"/>
      <c r="I2315" s="399" t="str">
        <f t="shared" si="56"/>
        <v/>
      </c>
      <c r="J2315" s="442"/>
      <c r="K2315" s="1263"/>
      <c r="L2315" s="461"/>
      <c r="M2315" s="461"/>
      <c r="N2315" s="461"/>
    </row>
    <row r="2316" spans="1:14" s="462" customFormat="1" hidden="1" outlineLevel="1">
      <c r="A2316" s="1261"/>
      <c r="B2316" s="260"/>
      <c r="C2316" s="439" t="s">
        <v>2</v>
      </c>
      <c r="D2316" s="440">
        <v>1</v>
      </c>
      <c r="E2316" s="441">
        <v>2</v>
      </c>
      <c r="F2316" s="1363">
        <v>6.5549999999999997</v>
      </c>
      <c r="G2316" s="1363">
        <v>0.46</v>
      </c>
      <c r="H2316" s="1363">
        <v>0.3</v>
      </c>
      <c r="I2316" s="399">
        <f t="shared" si="56"/>
        <v>1.81</v>
      </c>
      <c r="J2316" s="442"/>
      <c r="K2316" s="1263"/>
      <c r="L2316" s="461"/>
      <c r="M2316" s="461"/>
      <c r="N2316" s="461"/>
    </row>
    <row r="2317" spans="1:14" s="462" customFormat="1" hidden="1" outlineLevel="1">
      <c r="A2317" s="1261"/>
      <c r="B2317" s="260"/>
      <c r="C2317" s="439" t="s">
        <v>2</v>
      </c>
      <c r="D2317" s="440">
        <v>1</v>
      </c>
      <c r="E2317" s="441">
        <v>2</v>
      </c>
      <c r="F2317" s="1363">
        <v>6.67</v>
      </c>
      <c r="G2317" s="1363">
        <v>0.34499999999999997</v>
      </c>
      <c r="H2317" s="1363">
        <v>0.3</v>
      </c>
      <c r="I2317" s="399">
        <f t="shared" si="56"/>
        <v>1.38</v>
      </c>
      <c r="J2317" s="442"/>
      <c r="K2317" s="1263"/>
      <c r="L2317" s="461"/>
      <c r="M2317" s="461"/>
      <c r="N2317" s="461"/>
    </row>
    <row r="2318" spans="1:14" s="462" customFormat="1" hidden="1" outlineLevel="1">
      <c r="A2318" s="1261"/>
      <c r="B2318" s="260"/>
      <c r="C2318" s="439" t="s">
        <v>2</v>
      </c>
      <c r="D2318" s="440">
        <v>1</v>
      </c>
      <c r="E2318" s="441">
        <v>2</v>
      </c>
      <c r="F2318" s="1363">
        <v>6.7849999999999993</v>
      </c>
      <c r="G2318" s="1363">
        <v>0.23</v>
      </c>
      <c r="H2318" s="1363">
        <v>0.19000000000000006</v>
      </c>
      <c r="I2318" s="399">
        <f t="shared" si="56"/>
        <v>0.59</v>
      </c>
      <c r="J2318" s="442"/>
      <c r="K2318" s="1263"/>
      <c r="L2318" s="461"/>
      <c r="M2318" s="461"/>
      <c r="N2318" s="461"/>
    </row>
    <row r="2319" spans="1:14" s="462" customFormat="1" hidden="1" outlineLevel="1">
      <c r="A2319" s="1261"/>
      <c r="B2319" s="260" t="s">
        <v>273</v>
      </c>
      <c r="C2319" s="439" t="s">
        <v>2</v>
      </c>
      <c r="D2319" s="440">
        <v>1</v>
      </c>
      <c r="E2319" s="441">
        <v>4</v>
      </c>
      <c r="F2319" s="1363">
        <v>3</v>
      </c>
      <c r="G2319" s="1363">
        <v>0.115</v>
      </c>
      <c r="H2319" s="1363">
        <v>0.19000000000000006</v>
      </c>
      <c r="I2319" s="399">
        <f t="shared" si="56"/>
        <v>0.26</v>
      </c>
      <c r="J2319" s="442"/>
      <c r="K2319" s="1263"/>
      <c r="L2319" s="461"/>
      <c r="M2319" s="461"/>
      <c r="N2319" s="461"/>
    </row>
    <row r="2320" spans="1:14" s="462" customFormat="1" hidden="1" outlineLevel="1">
      <c r="A2320" s="1261"/>
      <c r="B2320" s="260"/>
      <c r="C2320" s="439" t="s">
        <v>2</v>
      </c>
      <c r="D2320" s="440">
        <v>1</v>
      </c>
      <c r="E2320" s="441">
        <v>4</v>
      </c>
      <c r="F2320" s="1363">
        <v>3</v>
      </c>
      <c r="G2320" s="1363">
        <v>0.34499999999999997</v>
      </c>
      <c r="H2320" s="1363">
        <v>0.42499999999999999</v>
      </c>
      <c r="I2320" s="399">
        <f t="shared" si="56"/>
        <v>1.76</v>
      </c>
      <c r="J2320" s="442"/>
      <c r="K2320" s="1263"/>
      <c r="L2320" s="461"/>
      <c r="M2320" s="461"/>
      <c r="N2320" s="461"/>
    </row>
    <row r="2321" spans="1:14" s="462" customFormat="1" hidden="1" outlineLevel="1">
      <c r="A2321" s="1261"/>
      <c r="B2321" s="260"/>
      <c r="C2321" s="439"/>
      <c r="D2321" s="440"/>
      <c r="E2321" s="441"/>
      <c r="F2321" s="1363"/>
      <c r="G2321" s="1363"/>
      <c r="H2321" s="1363"/>
      <c r="I2321" s="399" t="str">
        <f t="shared" si="56"/>
        <v/>
      </c>
      <c r="J2321" s="442"/>
      <c r="K2321" s="1263"/>
      <c r="L2321" s="461"/>
      <c r="M2321" s="461"/>
      <c r="N2321" s="461"/>
    </row>
    <row r="2322" spans="1:14" s="462" customFormat="1" hidden="1" outlineLevel="1">
      <c r="A2322" s="1261"/>
      <c r="B2322" s="260"/>
      <c r="C2322" s="439" t="s">
        <v>2</v>
      </c>
      <c r="D2322" s="440">
        <v>1</v>
      </c>
      <c r="E2322" s="441">
        <v>1</v>
      </c>
      <c r="F2322" s="1363">
        <v>5.03</v>
      </c>
      <c r="G2322" s="1363">
        <v>0.46</v>
      </c>
      <c r="H2322" s="1363">
        <v>0.3</v>
      </c>
      <c r="I2322" s="399">
        <f t="shared" si="56"/>
        <v>0.69</v>
      </c>
      <c r="J2322" s="442"/>
      <c r="K2322" s="1263"/>
      <c r="L2322" s="461"/>
      <c r="M2322" s="461"/>
      <c r="N2322" s="461"/>
    </row>
    <row r="2323" spans="1:14" s="462" customFormat="1" hidden="1" outlineLevel="1">
      <c r="A2323" s="1261"/>
      <c r="B2323" s="260"/>
      <c r="C2323" s="439" t="s">
        <v>2</v>
      </c>
      <c r="D2323" s="440">
        <v>1</v>
      </c>
      <c r="E2323" s="441">
        <v>1</v>
      </c>
      <c r="F2323" s="1363">
        <v>5.1450000000000005</v>
      </c>
      <c r="G2323" s="1363">
        <v>0.34499999999999997</v>
      </c>
      <c r="H2323" s="1363">
        <v>0.3</v>
      </c>
      <c r="I2323" s="399">
        <f t="shared" si="56"/>
        <v>0.53</v>
      </c>
      <c r="J2323" s="442"/>
      <c r="K2323" s="1263"/>
      <c r="L2323" s="461"/>
      <c r="M2323" s="461"/>
      <c r="N2323" s="461"/>
    </row>
    <row r="2324" spans="1:14" s="462" customFormat="1" hidden="1" outlineLevel="1">
      <c r="A2324" s="1261"/>
      <c r="B2324" s="260"/>
      <c r="C2324" s="439" t="s">
        <v>2</v>
      </c>
      <c r="D2324" s="440">
        <v>1</v>
      </c>
      <c r="E2324" s="441">
        <v>1</v>
      </c>
      <c r="F2324" s="1363">
        <v>5.26</v>
      </c>
      <c r="G2324" s="1363">
        <v>0.23</v>
      </c>
      <c r="H2324" s="1363">
        <v>0.19000000000000006</v>
      </c>
      <c r="I2324" s="399">
        <f t="shared" si="56"/>
        <v>0.23</v>
      </c>
      <c r="J2324" s="442"/>
      <c r="K2324" s="1263"/>
      <c r="L2324" s="461"/>
      <c r="M2324" s="461"/>
      <c r="N2324" s="461"/>
    </row>
    <row r="2325" spans="1:14" s="462" customFormat="1" hidden="1" outlineLevel="1">
      <c r="A2325" s="1261"/>
      <c r="B2325" s="260"/>
      <c r="C2325" s="439"/>
      <c r="D2325" s="440"/>
      <c r="E2325" s="441"/>
      <c r="F2325" s="1363"/>
      <c r="G2325" s="1363"/>
      <c r="H2325" s="1363"/>
      <c r="I2325" s="399" t="str">
        <f t="shared" si="56"/>
        <v/>
      </c>
      <c r="J2325" s="442"/>
      <c r="K2325" s="1263"/>
      <c r="L2325" s="461"/>
      <c r="M2325" s="461"/>
      <c r="N2325" s="461"/>
    </row>
    <row r="2326" spans="1:14" s="462" customFormat="1" hidden="1" outlineLevel="1">
      <c r="A2326" s="1261"/>
      <c r="B2326" s="260"/>
      <c r="C2326" s="439" t="s">
        <v>2</v>
      </c>
      <c r="D2326" s="440">
        <v>1</v>
      </c>
      <c r="E2326" s="441">
        <v>1</v>
      </c>
      <c r="F2326" s="1364">
        <v>0.93</v>
      </c>
      <c r="G2326" s="1363">
        <v>0.46</v>
      </c>
      <c r="H2326" s="1363">
        <v>0.3</v>
      </c>
      <c r="I2326" s="399">
        <f t="shared" si="56"/>
        <v>0.13</v>
      </c>
      <c r="J2326" s="442"/>
      <c r="K2326" s="1263"/>
      <c r="L2326" s="461"/>
      <c r="M2326" s="461"/>
      <c r="N2326" s="461"/>
    </row>
    <row r="2327" spans="1:14" s="462" customFormat="1" hidden="1" outlineLevel="1">
      <c r="A2327" s="1261"/>
      <c r="B2327" s="260"/>
      <c r="C2327" s="439" t="s">
        <v>2</v>
      </c>
      <c r="D2327" s="440">
        <v>1</v>
      </c>
      <c r="E2327" s="441">
        <v>1</v>
      </c>
      <c r="F2327" s="1364">
        <v>1.0449999999999999</v>
      </c>
      <c r="G2327" s="1363">
        <v>0.34499999999999997</v>
      </c>
      <c r="H2327" s="1363">
        <v>0.3</v>
      </c>
      <c r="I2327" s="399">
        <f t="shared" si="56"/>
        <v>0.11</v>
      </c>
      <c r="J2327" s="442"/>
      <c r="K2327" s="1263"/>
      <c r="L2327" s="461"/>
      <c r="M2327" s="461"/>
      <c r="N2327" s="461"/>
    </row>
    <row r="2328" spans="1:14" s="462" customFormat="1" hidden="1" outlineLevel="1">
      <c r="A2328" s="1261"/>
      <c r="B2328" s="260"/>
      <c r="C2328" s="439" t="s">
        <v>2</v>
      </c>
      <c r="D2328" s="440">
        <v>1</v>
      </c>
      <c r="E2328" s="441">
        <v>1</v>
      </c>
      <c r="F2328" s="1364">
        <v>1.1599999999999999</v>
      </c>
      <c r="G2328" s="1363">
        <v>0.23</v>
      </c>
      <c r="H2328" s="1363">
        <v>0.19000000000000006</v>
      </c>
      <c r="I2328" s="399">
        <f t="shared" ref="I2328:I2391" si="57">IF(D2328&lt;&gt;0,ROUND(PRODUCT(E2328:H2328)*D2328,2),"")</f>
        <v>0.05</v>
      </c>
      <c r="J2328" s="442"/>
      <c r="K2328" s="1263"/>
      <c r="L2328" s="461"/>
      <c r="M2328" s="461"/>
      <c r="N2328" s="461"/>
    </row>
    <row r="2329" spans="1:14" s="462" customFormat="1" hidden="1" outlineLevel="1">
      <c r="A2329" s="1261"/>
      <c r="B2329" s="260"/>
      <c r="C2329" s="439"/>
      <c r="D2329" s="440"/>
      <c r="E2329" s="441"/>
      <c r="F2329" s="1363"/>
      <c r="G2329" s="1363"/>
      <c r="H2329" s="1363"/>
      <c r="I2329" s="399" t="str">
        <f t="shared" si="57"/>
        <v/>
      </c>
      <c r="J2329" s="442"/>
      <c r="K2329" s="1263"/>
      <c r="L2329" s="461"/>
      <c r="M2329" s="461"/>
      <c r="N2329" s="461"/>
    </row>
    <row r="2330" spans="1:14" s="462" customFormat="1" hidden="1" outlineLevel="1">
      <c r="A2330" s="1261"/>
      <c r="B2330" s="260" t="s">
        <v>207</v>
      </c>
      <c r="C2330" s="439" t="s">
        <v>2</v>
      </c>
      <c r="D2330" s="440">
        <v>1</v>
      </c>
      <c r="E2330" s="441">
        <v>1</v>
      </c>
      <c r="F2330" s="1364">
        <v>1.68</v>
      </c>
      <c r="G2330" s="1363">
        <v>0.46</v>
      </c>
      <c r="H2330" s="1363">
        <v>0.3</v>
      </c>
      <c r="I2330" s="399">
        <f t="shared" si="57"/>
        <v>0.23</v>
      </c>
      <c r="J2330" s="442"/>
      <c r="K2330" s="1263"/>
      <c r="L2330" s="461"/>
      <c r="M2330" s="461"/>
      <c r="N2330" s="461"/>
    </row>
    <row r="2331" spans="1:14" s="462" customFormat="1" hidden="1" outlineLevel="1">
      <c r="A2331" s="1261"/>
      <c r="B2331" s="260"/>
      <c r="C2331" s="439" t="s">
        <v>2</v>
      </c>
      <c r="D2331" s="440">
        <v>1</v>
      </c>
      <c r="E2331" s="441">
        <v>1</v>
      </c>
      <c r="F2331" s="1364">
        <v>1.5649999999999999</v>
      </c>
      <c r="G2331" s="1363">
        <v>0.34499999999999997</v>
      </c>
      <c r="H2331" s="1363">
        <v>0.3</v>
      </c>
      <c r="I2331" s="399">
        <f t="shared" si="57"/>
        <v>0.16</v>
      </c>
      <c r="J2331" s="442"/>
      <c r="K2331" s="1263"/>
      <c r="L2331" s="461"/>
      <c r="M2331" s="461"/>
      <c r="N2331" s="461"/>
    </row>
    <row r="2332" spans="1:14" s="462" customFormat="1" hidden="1" outlineLevel="1">
      <c r="A2332" s="1261"/>
      <c r="B2332" s="260"/>
      <c r="C2332" s="439" t="s">
        <v>2</v>
      </c>
      <c r="D2332" s="440">
        <v>1</v>
      </c>
      <c r="E2332" s="441">
        <v>1</v>
      </c>
      <c r="F2332" s="1364">
        <v>1.45</v>
      </c>
      <c r="G2332" s="1363">
        <v>0.23</v>
      </c>
      <c r="H2332" s="1363">
        <v>0.19000000000000006</v>
      </c>
      <c r="I2332" s="399">
        <f t="shared" si="57"/>
        <v>0.06</v>
      </c>
      <c r="J2332" s="442"/>
      <c r="K2332" s="1263"/>
      <c r="L2332" s="461"/>
      <c r="M2332" s="461"/>
      <c r="N2332" s="461"/>
    </row>
    <row r="2333" spans="1:14" s="462" customFormat="1" hidden="1" outlineLevel="1">
      <c r="A2333" s="1261"/>
      <c r="B2333" s="260"/>
      <c r="C2333" s="439"/>
      <c r="D2333" s="440"/>
      <c r="E2333" s="441"/>
      <c r="F2333" s="1363"/>
      <c r="G2333" s="1363"/>
      <c r="H2333" s="1363"/>
      <c r="I2333" s="399" t="str">
        <f t="shared" si="57"/>
        <v/>
      </c>
      <c r="J2333" s="442"/>
      <c r="K2333" s="1263"/>
      <c r="L2333" s="461"/>
      <c r="M2333" s="461"/>
      <c r="N2333" s="461"/>
    </row>
    <row r="2334" spans="1:14" s="462" customFormat="1" hidden="1" outlineLevel="1">
      <c r="A2334" s="1261"/>
      <c r="B2334" s="260"/>
      <c r="C2334" s="439" t="s">
        <v>2</v>
      </c>
      <c r="D2334" s="440">
        <v>1</v>
      </c>
      <c r="E2334" s="441">
        <v>1</v>
      </c>
      <c r="F2334" s="1364">
        <v>0.6</v>
      </c>
      <c r="G2334" s="1363">
        <v>0.46</v>
      </c>
      <c r="H2334" s="1363">
        <v>0.3</v>
      </c>
      <c r="I2334" s="399">
        <f t="shared" si="57"/>
        <v>0.08</v>
      </c>
      <c r="J2334" s="442"/>
      <c r="K2334" s="1263"/>
      <c r="L2334" s="461"/>
      <c r="M2334" s="461"/>
      <c r="N2334" s="461"/>
    </row>
    <row r="2335" spans="1:14" s="462" customFormat="1" hidden="1" outlineLevel="1">
      <c r="A2335" s="1261"/>
      <c r="B2335" s="260"/>
      <c r="C2335" s="439" t="s">
        <v>2</v>
      </c>
      <c r="D2335" s="440">
        <v>1</v>
      </c>
      <c r="E2335" s="441">
        <v>1</v>
      </c>
      <c r="F2335" s="1364">
        <v>0.6</v>
      </c>
      <c r="G2335" s="1363">
        <v>0.34499999999999997</v>
      </c>
      <c r="H2335" s="1363">
        <v>0.3</v>
      </c>
      <c r="I2335" s="399">
        <f t="shared" si="57"/>
        <v>0.06</v>
      </c>
      <c r="J2335" s="442"/>
      <c r="K2335" s="1263"/>
      <c r="L2335" s="461"/>
      <c r="M2335" s="461"/>
      <c r="N2335" s="461"/>
    </row>
    <row r="2336" spans="1:14" s="462" customFormat="1" hidden="1" outlineLevel="1">
      <c r="A2336" s="1261"/>
      <c r="B2336" s="260"/>
      <c r="C2336" s="439" t="s">
        <v>2</v>
      </c>
      <c r="D2336" s="440">
        <v>1</v>
      </c>
      <c r="E2336" s="441">
        <v>1</v>
      </c>
      <c r="F2336" s="1364">
        <v>0.6</v>
      </c>
      <c r="G2336" s="1363">
        <v>0.23</v>
      </c>
      <c r="H2336" s="1363">
        <v>0.19000000000000006</v>
      </c>
      <c r="I2336" s="399">
        <f t="shared" si="57"/>
        <v>0.03</v>
      </c>
      <c r="J2336" s="442"/>
      <c r="K2336" s="1263"/>
      <c r="L2336" s="461"/>
      <c r="M2336" s="461"/>
      <c r="N2336" s="461"/>
    </row>
    <row r="2337" spans="1:14" s="462" customFormat="1" hidden="1" outlineLevel="1">
      <c r="A2337" s="1261"/>
      <c r="B2337" s="260"/>
      <c r="C2337" s="439"/>
      <c r="D2337" s="440"/>
      <c r="E2337" s="441"/>
      <c r="F2337" s="1363"/>
      <c r="G2337" s="1363"/>
      <c r="H2337" s="1363"/>
      <c r="I2337" s="399" t="str">
        <f t="shared" si="57"/>
        <v/>
      </c>
      <c r="J2337" s="442"/>
      <c r="K2337" s="1263"/>
      <c r="L2337" s="461"/>
      <c r="M2337" s="461"/>
      <c r="N2337" s="461"/>
    </row>
    <row r="2338" spans="1:14" s="462" customFormat="1" hidden="1" outlineLevel="1">
      <c r="A2338" s="1261"/>
      <c r="B2338" s="260"/>
      <c r="C2338" s="439" t="s">
        <v>2</v>
      </c>
      <c r="D2338" s="440">
        <v>1</v>
      </c>
      <c r="E2338" s="441">
        <v>1</v>
      </c>
      <c r="F2338" s="1363">
        <v>3.5149999999999997</v>
      </c>
      <c r="G2338" s="1363">
        <v>0.46</v>
      </c>
      <c r="H2338" s="1363">
        <v>0.3</v>
      </c>
      <c r="I2338" s="399">
        <f t="shared" si="57"/>
        <v>0.49</v>
      </c>
      <c r="J2338" s="442"/>
      <c r="K2338" s="1263"/>
      <c r="L2338" s="461"/>
      <c r="M2338" s="461"/>
      <c r="N2338" s="461"/>
    </row>
    <row r="2339" spans="1:14" s="462" customFormat="1" hidden="1" outlineLevel="1">
      <c r="A2339" s="1261"/>
      <c r="B2339" s="260"/>
      <c r="C2339" s="439" t="s">
        <v>2</v>
      </c>
      <c r="D2339" s="440">
        <v>1</v>
      </c>
      <c r="E2339" s="441">
        <v>1</v>
      </c>
      <c r="F2339" s="1363">
        <v>3.63</v>
      </c>
      <c r="G2339" s="1363">
        <v>0.34499999999999997</v>
      </c>
      <c r="H2339" s="1363">
        <v>0.3</v>
      </c>
      <c r="I2339" s="399">
        <f t="shared" si="57"/>
        <v>0.38</v>
      </c>
      <c r="J2339" s="442"/>
      <c r="K2339" s="1263"/>
      <c r="L2339" s="461"/>
      <c r="M2339" s="461"/>
      <c r="N2339" s="461"/>
    </row>
    <row r="2340" spans="1:14" s="462" customFormat="1" hidden="1" outlineLevel="1">
      <c r="A2340" s="1261"/>
      <c r="B2340" s="260"/>
      <c r="C2340" s="439" t="s">
        <v>2</v>
      </c>
      <c r="D2340" s="440">
        <v>1</v>
      </c>
      <c r="E2340" s="441">
        <v>1</v>
      </c>
      <c r="F2340" s="1363">
        <v>3.7449999999999997</v>
      </c>
      <c r="G2340" s="1363">
        <v>0.23</v>
      </c>
      <c r="H2340" s="1363">
        <v>0.19000000000000006</v>
      </c>
      <c r="I2340" s="399">
        <f t="shared" si="57"/>
        <v>0.16</v>
      </c>
      <c r="J2340" s="442"/>
      <c r="K2340" s="1263"/>
      <c r="L2340" s="461"/>
      <c r="M2340" s="461"/>
      <c r="N2340" s="461"/>
    </row>
    <row r="2341" spans="1:14" s="462" customFormat="1" hidden="1" outlineLevel="1">
      <c r="A2341" s="1261"/>
      <c r="B2341" s="260"/>
      <c r="C2341" s="439"/>
      <c r="D2341" s="440"/>
      <c r="E2341" s="441"/>
      <c r="F2341" s="1363"/>
      <c r="G2341" s="1363"/>
      <c r="H2341" s="1363"/>
      <c r="I2341" s="399" t="str">
        <f t="shared" si="57"/>
        <v/>
      </c>
      <c r="J2341" s="442"/>
      <c r="K2341" s="1263"/>
      <c r="L2341" s="461"/>
      <c r="M2341" s="461"/>
      <c r="N2341" s="461"/>
    </row>
    <row r="2342" spans="1:14" s="462" customFormat="1" hidden="1" outlineLevel="1">
      <c r="A2342" s="1261"/>
      <c r="B2342" s="260"/>
      <c r="C2342" s="439" t="s">
        <v>2</v>
      </c>
      <c r="D2342" s="440">
        <v>1</v>
      </c>
      <c r="E2342" s="441">
        <v>2</v>
      </c>
      <c r="F2342" s="1363">
        <v>3.5049999999999999</v>
      </c>
      <c r="G2342" s="1363">
        <v>0.46</v>
      </c>
      <c r="H2342" s="1363">
        <v>0.3</v>
      </c>
      <c r="I2342" s="399">
        <f t="shared" si="57"/>
        <v>0.97</v>
      </c>
      <c r="J2342" s="442"/>
      <c r="K2342" s="1263"/>
      <c r="L2342" s="461"/>
      <c r="M2342" s="461"/>
      <c r="N2342" s="461"/>
    </row>
    <row r="2343" spans="1:14" s="462" customFormat="1" hidden="1" outlineLevel="1">
      <c r="A2343" s="1261"/>
      <c r="B2343" s="260"/>
      <c r="C2343" s="439" t="s">
        <v>2</v>
      </c>
      <c r="D2343" s="440">
        <v>1</v>
      </c>
      <c r="E2343" s="441">
        <v>2</v>
      </c>
      <c r="F2343" s="1363">
        <v>3.62</v>
      </c>
      <c r="G2343" s="1363">
        <v>0.34499999999999997</v>
      </c>
      <c r="H2343" s="1363">
        <v>0.3</v>
      </c>
      <c r="I2343" s="399">
        <f t="shared" si="57"/>
        <v>0.75</v>
      </c>
      <c r="J2343" s="442"/>
      <c r="K2343" s="1263"/>
      <c r="L2343" s="461"/>
      <c r="M2343" s="461"/>
      <c r="N2343" s="461"/>
    </row>
    <row r="2344" spans="1:14" s="462" customFormat="1" hidden="1" outlineLevel="1">
      <c r="A2344" s="1261"/>
      <c r="B2344" s="260"/>
      <c r="C2344" s="439" t="s">
        <v>2</v>
      </c>
      <c r="D2344" s="440">
        <v>1</v>
      </c>
      <c r="E2344" s="441">
        <v>2</v>
      </c>
      <c r="F2344" s="1363">
        <v>3.7349999999999999</v>
      </c>
      <c r="G2344" s="1363">
        <v>0.23</v>
      </c>
      <c r="H2344" s="1363">
        <v>0.19000000000000006</v>
      </c>
      <c r="I2344" s="399">
        <f t="shared" si="57"/>
        <v>0.33</v>
      </c>
      <c r="J2344" s="442"/>
      <c r="K2344" s="1263"/>
      <c r="L2344" s="461"/>
      <c r="M2344" s="461"/>
      <c r="N2344" s="461"/>
    </row>
    <row r="2345" spans="1:14" s="462" customFormat="1" hidden="1" outlineLevel="1">
      <c r="A2345" s="1261"/>
      <c r="B2345" s="260"/>
      <c r="C2345" s="439"/>
      <c r="D2345" s="440"/>
      <c r="E2345" s="441"/>
      <c r="F2345" s="1363"/>
      <c r="G2345" s="1363"/>
      <c r="H2345" s="1363"/>
      <c r="I2345" s="399" t="str">
        <f t="shared" si="57"/>
        <v/>
      </c>
      <c r="J2345" s="442"/>
      <c r="K2345" s="1263"/>
      <c r="L2345" s="461"/>
      <c r="M2345" s="461"/>
      <c r="N2345" s="461"/>
    </row>
    <row r="2346" spans="1:14" s="462" customFormat="1" hidden="1" outlineLevel="1">
      <c r="A2346" s="1261"/>
      <c r="B2346" s="260"/>
      <c r="C2346" s="439" t="s">
        <v>2</v>
      </c>
      <c r="D2346" s="440">
        <v>1</v>
      </c>
      <c r="E2346" s="441">
        <v>1</v>
      </c>
      <c r="F2346" s="1364">
        <v>3.2</v>
      </c>
      <c r="G2346" s="1363">
        <v>0.46</v>
      </c>
      <c r="H2346" s="1363">
        <v>0.3</v>
      </c>
      <c r="I2346" s="399">
        <f t="shared" si="57"/>
        <v>0.44</v>
      </c>
      <c r="J2346" s="442"/>
      <c r="K2346" s="1263"/>
      <c r="L2346" s="461"/>
      <c r="M2346" s="461"/>
      <c r="N2346" s="461"/>
    </row>
    <row r="2347" spans="1:14" s="462" customFormat="1" hidden="1" outlineLevel="1">
      <c r="A2347" s="1261"/>
      <c r="B2347" s="260"/>
      <c r="C2347" s="439" t="s">
        <v>2</v>
      </c>
      <c r="D2347" s="440">
        <v>1</v>
      </c>
      <c r="E2347" s="441">
        <v>1</v>
      </c>
      <c r="F2347" s="1364">
        <v>3.3149999999999999</v>
      </c>
      <c r="G2347" s="1363">
        <v>0.34499999999999997</v>
      </c>
      <c r="H2347" s="1363">
        <v>0.3</v>
      </c>
      <c r="I2347" s="399">
        <f t="shared" si="57"/>
        <v>0.34</v>
      </c>
      <c r="J2347" s="442"/>
      <c r="K2347" s="1263"/>
      <c r="L2347" s="461"/>
      <c r="M2347" s="461"/>
      <c r="N2347" s="461"/>
    </row>
    <row r="2348" spans="1:14" s="462" customFormat="1" hidden="1" outlineLevel="1">
      <c r="A2348" s="1261"/>
      <c r="B2348" s="260"/>
      <c r="C2348" s="439" t="s">
        <v>2</v>
      </c>
      <c r="D2348" s="440">
        <v>1</v>
      </c>
      <c r="E2348" s="441">
        <v>1</v>
      </c>
      <c r="F2348" s="1364">
        <v>3.43</v>
      </c>
      <c r="G2348" s="1363">
        <v>0.23</v>
      </c>
      <c r="H2348" s="1363">
        <v>0.19000000000000006</v>
      </c>
      <c r="I2348" s="399">
        <f t="shared" si="57"/>
        <v>0.15</v>
      </c>
      <c r="J2348" s="442"/>
      <c r="K2348" s="1263"/>
      <c r="L2348" s="461"/>
      <c r="M2348" s="461"/>
      <c r="N2348" s="461"/>
    </row>
    <row r="2349" spans="1:14" s="462" customFormat="1" hidden="1" outlineLevel="1">
      <c r="A2349" s="1261"/>
      <c r="B2349" s="260"/>
      <c r="C2349" s="439"/>
      <c r="D2349" s="440"/>
      <c r="E2349" s="441"/>
      <c r="F2349" s="1363"/>
      <c r="G2349" s="1363"/>
      <c r="H2349" s="1363"/>
      <c r="I2349" s="399" t="str">
        <f t="shared" si="57"/>
        <v/>
      </c>
      <c r="J2349" s="442"/>
      <c r="K2349" s="1263"/>
      <c r="L2349" s="461"/>
      <c r="M2349" s="461"/>
      <c r="N2349" s="461"/>
    </row>
    <row r="2350" spans="1:14" s="462" customFormat="1" hidden="1" outlineLevel="1">
      <c r="A2350" s="1261"/>
      <c r="B2350" s="260"/>
      <c r="C2350" s="439" t="s">
        <v>2</v>
      </c>
      <c r="D2350" s="440">
        <v>1</v>
      </c>
      <c r="E2350" s="441">
        <v>2</v>
      </c>
      <c r="F2350" s="1363">
        <v>0.45500000000000002</v>
      </c>
      <c r="G2350" s="1363">
        <v>0.46</v>
      </c>
      <c r="H2350" s="1363">
        <v>0.3</v>
      </c>
      <c r="I2350" s="399">
        <f t="shared" si="57"/>
        <v>0.13</v>
      </c>
      <c r="J2350" s="442"/>
      <c r="K2350" s="1263"/>
      <c r="L2350" s="461"/>
      <c r="M2350" s="461"/>
      <c r="N2350" s="461"/>
    </row>
    <row r="2351" spans="1:14" s="462" customFormat="1" hidden="1" outlineLevel="1">
      <c r="A2351" s="1261"/>
      <c r="B2351" s="260"/>
      <c r="C2351" s="439" t="s">
        <v>2</v>
      </c>
      <c r="D2351" s="440">
        <v>1</v>
      </c>
      <c r="E2351" s="441">
        <v>2</v>
      </c>
      <c r="F2351" s="1363">
        <v>0.57000000000000006</v>
      </c>
      <c r="G2351" s="1363">
        <v>0.34499999999999997</v>
      </c>
      <c r="H2351" s="1363">
        <v>0.3</v>
      </c>
      <c r="I2351" s="399">
        <f t="shared" si="57"/>
        <v>0.12</v>
      </c>
      <c r="J2351" s="442"/>
      <c r="K2351" s="1263"/>
      <c r="L2351" s="461"/>
      <c r="M2351" s="461"/>
      <c r="N2351" s="461"/>
    </row>
    <row r="2352" spans="1:14" s="462" customFormat="1" hidden="1" outlineLevel="1">
      <c r="A2352" s="1261"/>
      <c r="B2352" s="260"/>
      <c r="C2352" s="439" t="s">
        <v>2</v>
      </c>
      <c r="D2352" s="440">
        <v>1</v>
      </c>
      <c r="E2352" s="441">
        <v>2</v>
      </c>
      <c r="F2352" s="1363">
        <v>0.68500000000000005</v>
      </c>
      <c r="G2352" s="1363">
        <v>0.23</v>
      </c>
      <c r="H2352" s="1363">
        <v>0.19000000000000006</v>
      </c>
      <c r="I2352" s="399">
        <f t="shared" si="57"/>
        <v>0.06</v>
      </c>
      <c r="J2352" s="442"/>
      <c r="K2352" s="1263"/>
      <c r="L2352" s="461"/>
      <c r="M2352" s="461"/>
      <c r="N2352" s="461"/>
    </row>
    <row r="2353" spans="1:14" s="462" customFormat="1" hidden="1" outlineLevel="1">
      <c r="A2353" s="1261"/>
      <c r="B2353" s="260"/>
      <c r="C2353" s="439"/>
      <c r="D2353" s="440"/>
      <c r="E2353" s="441"/>
      <c r="F2353" s="1363"/>
      <c r="G2353" s="1363"/>
      <c r="H2353" s="1363"/>
      <c r="I2353" s="399" t="str">
        <f t="shared" si="57"/>
        <v/>
      </c>
      <c r="J2353" s="442"/>
      <c r="K2353" s="1263"/>
      <c r="L2353" s="461"/>
      <c r="M2353" s="461"/>
      <c r="N2353" s="461"/>
    </row>
    <row r="2354" spans="1:14" s="462" customFormat="1" hidden="1" outlineLevel="1">
      <c r="A2354" s="1261"/>
      <c r="B2354" s="260"/>
      <c r="C2354" s="439" t="s">
        <v>2</v>
      </c>
      <c r="D2354" s="440">
        <v>1</v>
      </c>
      <c r="E2354" s="441">
        <v>1</v>
      </c>
      <c r="F2354" s="1363">
        <v>1.0649999999999999</v>
      </c>
      <c r="G2354" s="1363">
        <v>0.46</v>
      </c>
      <c r="H2354" s="1363">
        <v>0.3</v>
      </c>
      <c r="I2354" s="399">
        <f t="shared" si="57"/>
        <v>0.15</v>
      </c>
      <c r="J2354" s="442"/>
      <c r="K2354" s="1263"/>
      <c r="L2354" s="461"/>
      <c r="M2354" s="461"/>
      <c r="N2354" s="461"/>
    </row>
    <row r="2355" spans="1:14" s="462" customFormat="1" hidden="1" outlineLevel="1">
      <c r="A2355" s="1261"/>
      <c r="B2355" s="260"/>
      <c r="C2355" s="439" t="s">
        <v>2</v>
      </c>
      <c r="D2355" s="440">
        <v>1</v>
      </c>
      <c r="E2355" s="441">
        <v>1</v>
      </c>
      <c r="F2355" s="1363">
        <v>1.18</v>
      </c>
      <c r="G2355" s="1363">
        <v>0.34499999999999997</v>
      </c>
      <c r="H2355" s="1363">
        <v>0.3</v>
      </c>
      <c r="I2355" s="399">
        <f t="shared" si="57"/>
        <v>0.12</v>
      </c>
      <c r="J2355" s="442"/>
      <c r="K2355" s="1263"/>
      <c r="L2355" s="461"/>
      <c r="M2355" s="461"/>
      <c r="N2355" s="461"/>
    </row>
    <row r="2356" spans="1:14" s="462" customFormat="1" hidden="1" outlineLevel="1">
      <c r="A2356" s="1261"/>
      <c r="B2356" s="260"/>
      <c r="C2356" s="439" t="s">
        <v>2</v>
      </c>
      <c r="D2356" s="440">
        <v>1</v>
      </c>
      <c r="E2356" s="441">
        <v>1</v>
      </c>
      <c r="F2356" s="1363">
        <v>1.2949999999999999</v>
      </c>
      <c r="G2356" s="1363">
        <v>0.23</v>
      </c>
      <c r="H2356" s="1363">
        <v>0.19000000000000006</v>
      </c>
      <c r="I2356" s="399">
        <f t="shared" si="57"/>
        <v>0.06</v>
      </c>
      <c r="J2356" s="442"/>
      <c r="K2356" s="1263"/>
      <c r="L2356" s="461"/>
      <c r="M2356" s="461"/>
      <c r="N2356" s="461"/>
    </row>
    <row r="2357" spans="1:14" s="462" customFormat="1" hidden="1" outlineLevel="1">
      <c r="A2357" s="1261"/>
      <c r="B2357" s="260"/>
      <c r="C2357" s="439"/>
      <c r="D2357" s="440"/>
      <c r="E2357" s="441"/>
      <c r="F2357" s="1363"/>
      <c r="G2357" s="1363"/>
      <c r="H2357" s="1363"/>
      <c r="I2357" s="399" t="str">
        <f t="shared" si="57"/>
        <v/>
      </c>
      <c r="J2357" s="442"/>
      <c r="K2357" s="1263"/>
      <c r="L2357" s="461"/>
      <c r="M2357" s="461"/>
      <c r="N2357" s="461"/>
    </row>
    <row r="2358" spans="1:14" s="462" customFormat="1" hidden="1" outlineLevel="1">
      <c r="A2358" s="1261"/>
      <c r="B2358" s="260"/>
      <c r="C2358" s="439" t="s">
        <v>2</v>
      </c>
      <c r="D2358" s="440">
        <v>1</v>
      </c>
      <c r="E2358" s="441">
        <v>1</v>
      </c>
      <c r="F2358" s="1363">
        <v>2.11</v>
      </c>
      <c r="G2358" s="1363">
        <v>0.46</v>
      </c>
      <c r="H2358" s="1363">
        <v>0.3</v>
      </c>
      <c r="I2358" s="399">
        <f t="shared" si="57"/>
        <v>0.28999999999999998</v>
      </c>
      <c r="J2358" s="442"/>
      <c r="K2358" s="1263"/>
      <c r="L2358" s="461"/>
      <c r="M2358" s="461"/>
      <c r="N2358" s="461"/>
    </row>
    <row r="2359" spans="1:14" s="462" customFormat="1" hidden="1" outlineLevel="1">
      <c r="A2359" s="1261"/>
      <c r="B2359" s="260"/>
      <c r="C2359" s="439" t="s">
        <v>2</v>
      </c>
      <c r="D2359" s="440">
        <v>1</v>
      </c>
      <c r="E2359" s="441">
        <v>1</v>
      </c>
      <c r="F2359" s="1363">
        <v>2.11</v>
      </c>
      <c r="G2359" s="1363">
        <v>0.34499999999999997</v>
      </c>
      <c r="H2359" s="1363">
        <v>0.3</v>
      </c>
      <c r="I2359" s="399">
        <f t="shared" si="57"/>
        <v>0.22</v>
      </c>
      <c r="J2359" s="442"/>
      <c r="K2359" s="1263"/>
      <c r="L2359" s="461"/>
      <c r="M2359" s="461"/>
      <c r="N2359" s="461"/>
    </row>
    <row r="2360" spans="1:14" s="462" customFormat="1" hidden="1" outlineLevel="1">
      <c r="A2360" s="1261"/>
      <c r="B2360" s="260"/>
      <c r="C2360" s="439" t="s">
        <v>2</v>
      </c>
      <c r="D2360" s="440">
        <v>1</v>
      </c>
      <c r="E2360" s="441">
        <v>1</v>
      </c>
      <c r="F2360" s="1363">
        <v>2.11</v>
      </c>
      <c r="G2360" s="1363">
        <v>0.23</v>
      </c>
      <c r="H2360" s="1363">
        <v>0.19000000000000006</v>
      </c>
      <c r="I2360" s="399">
        <f t="shared" si="57"/>
        <v>0.09</v>
      </c>
      <c r="J2360" s="442"/>
      <c r="K2360" s="1263"/>
      <c r="L2360" s="461"/>
      <c r="M2360" s="461"/>
      <c r="N2360" s="461"/>
    </row>
    <row r="2361" spans="1:14" s="462" customFormat="1" hidden="1" outlineLevel="1">
      <c r="A2361" s="1261"/>
      <c r="B2361" s="260"/>
      <c r="C2361" s="439"/>
      <c r="D2361" s="440"/>
      <c r="E2361" s="441"/>
      <c r="F2361" s="1363"/>
      <c r="G2361" s="1363"/>
      <c r="H2361" s="1363"/>
      <c r="I2361" s="399" t="str">
        <f t="shared" si="57"/>
        <v/>
      </c>
      <c r="J2361" s="442"/>
      <c r="K2361" s="1263"/>
      <c r="L2361" s="461"/>
      <c r="M2361" s="461"/>
      <c r="N2361" s="461"/>
    </row>
    <row r="2362" spans="1:14" s="462" customFormat="1" hidden="1" outlineLevel="1">
      <c r="A2362" s="1261"/>
      <c r="B2362" s="260" t="s">
        <v>283</v>
      </c>
      <c r="C2362" s="439"/>
      <c r="D2362" s="440"/>
      <c r="E2362" s="441"/>
      <c r="F2362" s="1363"/>
      <c r="G2362" s="1363"/>
      <c r="H2362" s="1363"/>
      <c r="I2362" s="399" t="str">
        <f t="shared" si="57"/>
        <v/>
      </c>
      <c r="J2362" s="442"/>
      <c r="K2362" s="1263"/>
      <c r="L2362" s="461"/>
      <c r="M2362" s="461"/>
      <c r="N2362" s="461"/>
    </row>
    <row r="2363" spans="1:14" s="462" customFormat="1" hidden="1" outlineLevel="1">
      <c r="A2363" s="1261"/>
      <c r="B2363" s="260"/>
      <c r="C2363" s="439"/>
      <c r="D2363" s="440"/>
      <c r="E2363" s="441"/>
      <c r="F2363" s="1363"/>
      <c r="G2363" s="1363"/>
      <c r="H2363" s="1363"/>
      <c r="I2363" s="399" t="str">
        <f t="shared" si="57"/>
        <v/>
      </c>
      <c r="J2363" s="442"/>
      <c r="K2363" s="1263"/>
      <c r="L2363" s="461"/>
      <c r="M2363" s="461"/>
      <c r="N2363" s="461"/>
    </row>
    <row r="2364" spans="1:14" s="462" customFormat="1" hidden="1" outlineLevel="1">
      <c r="A2364" s="1261"/>
      <c r="B2364" s="260" t="s">
        <v>209</v>
      </c>
      <c r="C2364" s="439" t="s">
        <v>2</v>
      </c>
      <c r="D2364" s="440">
        <v>1</v>
      </c>
      <c r="E2364" s="441">
        <v>2</v>
      </c>
      <c r="F2364" s="1363">
        <v>30.17</v>
      </c>
      <c r="G2364" s="1363">
        <v>0.46</v>
      </c>
      <c r="H2364" s="1363">
        <v>0.3</v>
      </c>
      <c r="I2364" s="399">
        <f t="shared" si="57"/>
        <v>8.33</v>
      </c>
      <c r="J2364" s="442"/>
      <c r="K2364" s="1263"/>
      <c r="L2364" s="461"/>
      <c r="M2364" s="461"/>
      <c r="N2364" s="461"/>
    </row>
    <row r="2365" spans="1:14" s="462" customFormat="1" hidden="1" outlineLevel="1">
      <c r="A2365" s="1261"/>
      <c r="B2365" s="260"/>
      <c r="C2365" s="439" t="s">
        <v>2</v>
      </c>
      <c r="D2365" s="440">
        <v>1</v>
      </c>
      <c r="E2365" s="441">
        <v>2</v>
      </c>
      <c r="F2365" s="1363">
        <v>29.94</v>
      </c>
      <c r="G2365" s="1363">
        <v>0.34499999999999997</v>
      </c>
      <c r="H2365" s="1363">
        <v>0.3</v>
      </c>
      <c r="I2365" s="399">
        <f t="shared" si="57"/>
        <v>6.2</v>
      </c>
      <c r="J2365" s="442"/>
      <c r="K2365" s="1263"/>
      <c r="L2365" s="461"/>
      <c r="M2365" s="461"/>
      <c r="N2365" s="461"/>
    </row>
    <row r="2366" spans="1:14" s="462" customFormat="1" hidden="1" outlineLevel="1">
      <c r="A2366" s="1261"/>
      <c r="B2366" s="260"/>
      <c r="C2366" s="439" t="s">
        <v>2</v>
      </c>
      <c r="D2366" s="440">
        <v>1</v>
      </c>
      <c r="E2366" s="441">
        <v>2</v>
      </c>
      <c r="F2366" s="1363">
        <v>29.71</v>
      </c>
      <c r="G2366" s="1363">
        <v>0.23</v>
      </c>
      <c r="H2366" s="1363">
        <v>0.19000000000000006</v>
      </c>
      <c r="I2366" s="399">
        <f t="shared" si="57"/>
        <v>2.6</v>
      </c>
      <c r="J2366" s="442"/>
      <c r="K2366" s="1263"/>
      <c r="L2366" s="461"/>
      <c r="M2366" s="461"/>
      <c r="N2366" s="461"/>
    </row>
    <row r="2367" spans="1:14" s="462" customFormat="1" hidden="1" outlineLevel="1">
      <c r="A2367" s="1261"/>
      <c r="B2367" s="260"/>
      <c r="C2367" s="439"/>
      <c r="D2367" s="440"/>
      <c r="E2367" s="441"/>
      <c r="F2367" s="1363"/>
      <c r="G2367" s="1363"/>
      <c r="H2367" s="1363"/>
      <c r="I2367" s="399" t="str">
        <f t="shared" si="57"/>
        <v/>
      </c>
      <c r="J2367" s="442"/>
      <c r="K2367" s="1263"/>
      <c r="L2367" s="461"/>
      <c r="M2367" s="461"/>
      <c r="N2367" s="461"/>
    </row>
    <row r="2368" spans="1:14" s="462" customFormat="1" hidden="1" outlineLevel="1">
      <c r="A2368" s="1261"/>
      <c r="B2368" s="260"/>
      <c r="C2368" s="439" t="s">
        <v>2</v>
      </c>
      <c r="D2368" s="440">
        <v>1</v>
      </c>
      <c r="E2368" s="441">
        <v>2</v>
      </c>
      <c r="F2368" s="1363">
        <v>0.6</v>
      </c>
      <c r="G2368" s="1363">
        <v>0.46</v>
      </c>
      <c r="H2368" s="1363">
        <v>0.3</v>
      </c>
      <c r="I2368" s="399">
        <f t="shared" si="57"/>
        <v>0.17</v>
      </c>
      <c r="J2368" s="442"/>
      <c r="K2368" s="1263"/>
      <c r="L2368" s="461"/>
      <c r="M2368" s="461"/>
      <c r="N2368" s="461"/>
    </row>
    <row r="2369" spans="1:14" s="462" customFormat="1" hidden="1" outlineLevel="1">
      <c r="A2369" s="1261"/>
      <c r="B2369" s="260"/>
      <c r="C2369" s="439" t="s">
        <v>2</v>
      </c>
      <c r="D2369" s="440">
        <v>1</v>
      </c>
      <c r="E2369" s="441">
        <v>2</v>
      </c>
      <c r="F2369" s="1363">
        <v>0.6</v>
      </c>
      <c r="G2369" s="1363">
        <v>0.34499999999999997</v>
      </c>
      <c r="H2369" s="1363">
        <v>0.3</v>
      </c>
      <c r="I2369" s="399">
        <f t="shared" si="57"/>
        <v>0.12</v>
      </c>
      <c r="J2369" s="442"/>
      <c r="K2369" s="1263"/>
      <c r="L2369" s="461"/>
      <c r="M2369" s="461"/>
      <c r="N2369" s="461"/>
    </row>
    <row r="2370" spans="1:14" s="462" customFormat="1" hidden="1" outlineLevel="1">
      <c r="A2370" s="1261"/>
      <c r="B2370" s="260"/>
      <c r="C2370" s="439" t="s">
        <v>2</v>
      </c>
      <c r="D2370" s="440">
        <v>1</v>
      </c>
      <c r="E2370" s="441">
        <v>2</v>
      </c>
      <c r="F2370" s="1363">
        <v>0.6</v>
      </c>
      <c r="G2370" s="1363">
        <v>0.23</v>
      </c>
      <c r="H2370" s="1363">
        <v>0.19000000000000006</v>
      </c>
      <c r="I2370" s="399">
        <f t="shared" si="57"/>
        <v>0.05</v>
      </c>
      <c r="J2370" s="442"/>
      <c r="K2370" s="1263"/>
      <c r="L2370" s="461"/>
      <c r="M2370" s="461"/>
      <c r="N2370" s="461"/>
    </row>
    <row r="2371" spans="1:14" s="462" customFormat="1" hidden="1" outlineLevel="1">
      <c r="A2371" s="1261"/>
      <c r="B2371" s="260"/>
      <c r="C2371" s="439"/>
      <c r="D2371" s="440"/>
      <c r="E2371" s="441"/>
      <c r="F2371" s="1363"/>
      <c r="G2371" s="1363"/>
      <c r="H2371" s="1363"/>
      <c r="I2371" s="399" t="str">
        <f t="shared" si="57"/>
        <v/>
      </c>
      <c r="J2371" s="442"/>
      <c r="K2371" s="1263"/>
      <c r="L2371" s="461"/>
      <c r="M2371" s="461"/>
      <c r="N2371" s="461"/>
    </row>
    <row r="2372" spans="1:14" s="462" customFormat="1" hidden="1" outlineLevel="1">
      <c r="A2372" s="1261"/>
      <c r="B2372" s="260" t="s">
        <v>210</v>
      </c>
      <c r="C2372" s="439" t="s">
        <v>2</v>
      </c>
      <c r="D2372" s="440">
        <v>1</v>
      </c>
      <c r="E2372" s="441">
        <v>2</v>
      </c>
      <c r="F2372" s="1363">
        <v>5.9450000000000003</v>
      </c>
      <c r="G2372" s="1363">
        <v>0.46</v>
      </c>
      <c r="H2372" s="1363">
        <v>0.3</v>
      </c>
      <c r="I2372" s="399">
        <f t="shared" si="57"/>
        <v>1.64</v>
      </c>
      <c r="J2372" s="442"/>
      <c r="K2372" s="1263"/>
      <c r="L2372" s="461"/>
      <c r="M2372" s="461"/>
      <c r="N2372" s="461"/>
    </row>
    <row r="2373" spans="1:14" s="462" customFormat="1" hidden="1" outlineLevel="1">
      <c r="A2373" s="1261"/>
      <c r="B2373" s="260"/>
      <c r="C2373" s="439" t="s">
        <v>2</v>
      </c>
      <c r="D2373" s="440">
        <v>1</v>
      </c>
      <c r="E2373" s="441">
        <v>2</v>
      </c>
      <c r="F2373" s="1363">
        <v>5.7149999999999999</v>
      </c>
      <c r="G2373" s="1363">
        <v>0.34499999999999997</v>
      </c>
      <c r="H2373" s="1363">
        <v>0.3</v>
      </c>
      <c r="I2373" s="399">
        <f t="shared" si="57"/>
        <v>1.18</v>
      </c>
      <c r="J2373" s="442"/>
      <c r="K2373" s="1263"/>
      <c r="L2373" s="461"/>
      <c r="M2373" s="461"/>
      <c r="N2373" s="461"/>
    </row>
    <row r="2374" spans="1:14" s="462" customFormat="1" hidden="1" outlineLevel="1">
      <c r="A2374" s="1261"/>
      <c r="B2374" s="260"/>
      <c r="C2374" s="439" t="s">
        <v>2</v>
      </c>
      <c r="D2374" s="440">
        <v>1</v>
      </c>
      <c r="E2374" s="441">
        <v>2</v>
      </c>
      <c r="F2374" s="1363">
        <v>5.4850000000000003</v>
      </c>
      <c r="G2374" s="1363">
        <v>0.23</v>
      </c>
      <c r="H2374" s="1363">
        <v>0.19000000000000006</v>
      </c>
      <c r="I2374" s="399">
        <f t="shared" si="57"/>
        <v>0.48</v>
      </c>
      <c r="J2374" s="442"/>
      <c r="K2374" s="1263"/>
      <c r="L2374" s="461"/>
      <c r="M2374" s="461"/>
      <c r="N2374" s="461"/>
    </row>
    <row r="2375" spans="1:14" s="462" customFormat="1" hidden="1" outlineLevel="1">
      <c r="A2375" s="1261"/>
      <c r="B2375" s="260"/>
      <c r="C2375" s="439"/>
      <c r="D2375" s="440"/>
      <c r="E2375" s="441"/>
      <c r="F2375" s="1363"/>
      <c r="G2375" s="1363"/>
      <c r="H2375" s="1363"/>
      <c r="I2375" s="399" t="str">
        <f t="shared" si="57"/>
        <v/>
      </c>
      <c r="J2375" s="442"/>
      <c r="K2375" s="1263"/>
      <c r="L2375" s="461"/>
      <c r="M2375" s="461"/>
      <c r="N2375" s="461"/>
    </row>
    <row r="2376" spans="1:14" s="462" customFormat="1" hidden="1" outlineLevel="1">
      <c r="A2376" s="1261"/>
      <c r="B2376" s="260"/>
      <c r="C2376" s="439" t="s">
        <v>2</v>
      </c>
      <c r="D2376" s="440">
        <v>1</v>
      </c>
      <c r="E2376" s="441">
        <v>2</v>
      </c>
      <c r="F2376" s="1363">
        <v>1.1950000000000001</v>
      </c>
      <c r="G2376" s="1363">
        <v>0.46</v>
      </c>
      <c r="H2376" s="1363">
        <v>0.3</v>
      </c>
      <c r="I2376" s="399">
        <f t="shared" si="57"/>
        <v>0.33</v>
      </c>
      <c r="J2376" s="442"/>
      <c r="K2376" s="1263"/>
      <c r="L2376" s="461"/>
      <c r="M2376" s="461"/>
      <c r="N2376" s="461"/>
    </row>
    <row r="2377" spans="1:14" s="462" customFormat="1" hidden="1" outlineLevel="1">
      <c r="A2377" s="1261"/>
      <c r="B2377" s="260"/>
      <c r="C2377" s="439" t="s">
        <v>2</v>
      </c>
      <c r="D2377" s="440">
        <v>1</v>
      </c>
      <c r="E2377" s="441">
        <v>2</v>
      </c>
      <c r="F2377" s="1363">
        <v>1.1950000000000001</v>
      </c>
      <c r="G2377" s="1363">
        <v>0.34499999999999997</v>
      </c>
      <c r="H2377" s="1363">
        <v>0.3</v>
      </c>
      <c r="I2377" s="399">
        <f t="shared" si="57"/>
        <v>0.25</v>
      </c>
      <c r="J2377" s="442"/>
      <c r="K2377" s="1263"/>
      <c r="L2377" s="461"/>
      <c r="M2377" s="461"/>
      <c r="N2377" s="461"/>
    </row>
    <row r="2378" spans="1:14" s="462" customFormat="1" hidden="1" outlineLevel="1">
      <c r="A2378" s="1261"/>
      <c r="B2378" s="260"/>
      <c r="C2378" s="439" t="s">
        <v>2</v>
      </c>
      <c r="D2378" s="440">
        <v>1</v>
      </c>
      <c r="E2378" s="441">
        <v>2</v>
      </c>
      <c r="F2378" s="1363">
        <v>1.1950000000000001</v>
      </c>
      <c r="G2378" s="1363">
        <v>0.23</v>
      </c>
      <c r="H2378" s="1363">
        <v>0.19000000000000006</v>
      </c>
      <c r="I2378" s="399">
        <f t="shared" si="57"/>
        <v>0.1</v>
      </c>
      <c r="J2378" s="442"/>
      <c r="K2378" s="1263"/>
      <c r="L2378" s="461"/>
      <c r="M2378" s="461"/>
      <c r="N2378" s="461"/>
    </row>
    <row r="2379" spans="1:14" s="462" customFormat="1" hidden="1" outlineLevel="1">
      <c r="A2379" s="1261"/>
      <c r="B2379" s="260"/>
      <c r="C2379" s="439"/>
      <c r="D2379" s="440"/>
      <c r="E2379" s="441"/>
      <c r="F2379" s="1363"/>
      <c r="G2379" s="1363"/>
      <c r="H2379" s="1363"/>
      <c r="I2379" s="399" t="str">
        <f t="shared" si="57"/>
        <v/>
      </c>
      <c r="J2379" s="442"/>
      <c r="K2379" s="1263"/>
      <c r="L2379" s="461"/>
      <c r="M2379" s="461"/>
      <c r="N2379" s="461"/>
    </row>
    <row r="2380" spans="1:14" s="462" customFormat="1" hidden="1" outlineLevel="1">
      <c r="A2380" s="1261"/>
      <c r="B2380" s="260" t="s">
        <v>211</v>
      </c>
      <c r="C2380" s="439" t="s">
        <v>2</v>
      </c>
      <c r="D2380" s="440">
        <v>1</v>
      </c>
      <c r="E2380" s="441">
        <v>2</v>
      </c>
      <c r="F2380" s="1363">
        <v>6.77</v>
      </c>
      <c r="G2380" s="1363">
        <v>0.46</v>
      </c>
      <c r="H2380" s="1363">
        <v>0.3</v>
      </c>
      <c r="I2380" s="399">
        <f t="shared" si="57"/>
        <v>1.87</v>
      </c>
      <c r="J2380" s="442"/>
      <c r="K2380" s="1263"/>
      <c r="L2380" s="461"/>
      <c r="M2380" s="461"/>
      <c r="N2380" s="461"/>
    </row>
    <row r="2381" spans="1:14" s="462" customFormat="1" hidden="1" outlineLevel="1">
      <c r="A2381" s="1261"/>
      <c r="B2381" s="260"/>
      <c r="C2381" s="439" t="s">
        <v>2</v>
      </c>
      <c r="D2381" s="440">
        <v>1</v>
      </c>
      <c r="E2381" s="441">
        <v>2</v>
      </c>
      <c r="F2381" s="1363">
        <v>6.5399999999999991</v>
      </c>
      <c r="G2381" s="1363">
        <v>0.34499999999999997</v>
      </c>
      <c r="H2381" s="1363">
        <v>0.3</v>
      </c>
      <c r="I2381" s="399">
        <f t="shared" si="57"/>
        <v>1.35</v>
      </c>
      <c r="J2381" s="442"/>
      <c r="K2381" s="1263"/>
      <c r="L2381" s="461"/>
      <c r="M2381" s="461"/>
      <c r="N2381" s="461"/>
    </row>
    <row r="2382" spans="1:14" s="462" customFormat="1" hidden="1" outlineLevel="1">
      <c r="A2382" s="1261"/>
      <c r="B2382" s="260"/>
      <c r="C2382" s="439" t="s">
        <v>2</v>
      </c>
      <c r="D2382" s="440">
        <v>1</v>
      </c>
      <c r="E2382" s="441">
        <v>2</v>
      </c>
      <c r="F2382" s="1363">
        <v>6.31</v>
      </c>
      <c r="G2382" s="1363">
        <v>0.23</v>
      </c>
      <c r="H2382" s="1363">
        <v>0.19000000000000006</v>
      </c>
      <c r="I2382" s="399">
        <f t="shared" si="57"/>
        <v>0.55000000000000004</v>
      </c>
      <c r="J2382" s="442"/>
      <c r="K2382" s="1263"/>
      <c r="L2382" s="461"/>
      <c r="M2382" s="461"/>
      <c r="N2382" s="461"/>
    </row>
    <row r="2383" spans="1:14" s="462" customFormat="1" hidden="1" outlineLevel="1">
      <c r="A2383" s="1261"/>
      <c r="B2383" s="260"/>
      <c r="C2383" s="439"/>
      <c r="D2383" s="440"/>
      <c r="E2383" s="441"/>
      <c r="F2383" s="1363"/>
      <c r="G2383" s="1363"/>
      <c r="H2383" s="1363"/>
      <c r="I2383" s="399" t="str">
        <f t="shared" si="57"/>
        <v/>
      </c>
      <c r="J2383" s="442"/>
      <c r="K2383" s="1263"/>
      <c r="L2383" s="461"/>
      <c r="M2383" s="461"/>
      <c r="N2383" s="461"/>
    </row>
    <row r="2384" spans="1:14" s="462" customFormat="1" hidden="1" outlineLevel="1">
      <c r="A2384" s="1261"/>
      <c r="B2384" s="260"/>
      <c r="C2384" s="439" t="s">
        <v>2</v>
      </c>
      <c r="D2384" s="440">
        <v>1</v>
      </c>
      <c r="E2384" s="441">
        <v>2</v>
      </c>
      <c r="F2384" s="1363">
        <v>1.1950000000000001</v>
      </c>
      <c r="G2384" s="1363">
        <v>0.46</v>
      </c>
      <c r="H2384" s="1363">
        <v>0.3</v>
      </c>
      <c r="I2384" s="399">
        <f t="shared" si="57"/>
        <v>0.33</v>
      </c>
      <c r="J2384" s="442"/>
      <c r="K2384" s="1263"/>
      <c r="L2384" s="461"/>
      <c r="M2384" s="461"/>
      <c r="N2384" s="461"/>
    </row>
    <row r="2385" spans="1:14" s="462" customFormat="1" hidden="1" outlineLevel="1">
      <c r="A2385" s="1261"/>
      <c r="B2385" s="260"/>
      <c r="C2385" s="439" t="s">
        <v>2</v>
      </c>
      <c r="D2385" s="440">
        <v>1</v>
      </c>
      <c r="E2385" s="441">
        <v>2</v>
      </c>
      <c r="F2385" s="1363">
        <v>1.1950000000000001</v>
      </c>
      <c r="G2385" s="1363">
        <v>0.34499999999999997</v>
      </c>
      <c r="H2385" s="1363">
        <v>0.3</v>
      </c>
      <c r="I2385" s="399">
        <f t="shared" si="57"/>
        <v>0.25</v>
      </c>
      <c r="J2385" s="442"/>
      <c r="K2385" s="1263"/>
      <c r="L2385" s="461"/>
      <c r="M2385" s="461"/>
      <c r="N2385" s="461"/>
    </row>
    <row r="2386" spans="1:14" s="462" customFormat="1" hidden="1" outlineLevel="1">
      <c r="A2386" s="1261"/>
      <c r="B2386" s="260"/>
      <c r="C2386" s="439" t="s">
        <v>2</v>
      </c>
      <c r="D2386" s="440">
        <v>1</v>
      </c>
      <c r="E2386" s="441">
        <v>2</v>
      </c>
      <c r="F2386" s="1363">
        <v>1.1950000000000001</v>
      </c>
      <c r="G2386" s="1363">
        <v>0.23</v>
      </c>
      <c r="H2386" s="1363">
        <v>0.19000000000000006</v>
      </c>
      <c r="I2386" s="399">
        <f t="shared" si="57"/>
        <v>0.1</v>
      </c>
      <c r="J2386" s="442"/>
      <c r="K2386" s="1263"/>
      <c r="L2386" s="461"/>
      <c r="M2386" s="461"/>
      <c r="N2386" s="461"/>
    </row>
    <row r="2387" spans="1:14" s="462" customFormat="1" hidden="1" outlineLevel="1">
      <c r="A2387" s="1261"/>
      <c r="B2387" s="260"/>
      <c r="C2387" s="439"/>
      <c r="D2387" s="440"/>
      <c r="E2387" s="441"/>
      <c r="F2387" s="1363"/>
      <c r="G2387" s="1363"/>
      <c r="H2387" s="1363"/>
      <c r="I2387" s="399" t="str">
        <f t="shared" si="57"/>
        <v/>
      </c>
      <c r="J2387" s="442"/>
      <c r="K2387" s="1263"/>
      <c r="L2387" s="461"/>
      <c r="M2387" s="461"/>
      <c r="N2387" s="461"/>
    </row>
    <row r="2388" spans="1:14" s="462" customFormat="1" hidden="1" outlineLevel="1">
      <c r="A2388" s="1261"/>
      <c r="B2388" s="260" t="s">
        <v>277</v>
      </c>
      <c r="C2388" s="439"/>
      <c r="D2388" s="440"/>
      <c r="E2388" s="441"/>
      <c r="F2388" s="1363"/>
      <c r="G2388" s="1363"/>
      <c r="H2388" s="1363"/>
      <c r="I2388" s="399" t="str">
        <f t="shared" si="57"/>
        <v/>
      </c>
      <c r="J2388" s="442"/>
      <c r="K2388" s="1263"/>
      <c r="L2388" s="461"/>
      <c r="M2388" s="461"/>
      <c r="N2388" s="461"/>
    </row>
    <row r="2389" spans="1:14" s="462" customFormat="1" hidden="1" outlineLevel="1">
      <c r="A2389" s="1261"/>
      <c r="B2389" s="260"/>
      <c r="C2389" s="439"/>
      <c r="D2389" s="440"/>
      <c r="E2389" s="441"/>
      <c r="F2389" s="1363"/>
      <c r="G2389" s="1363"/>
      <c r="H2389" s="1363"/>
      <c r="I2389" s="399" t="str">
        <f t="shared" si="57"/>
        <v/>
      </c>
      <c r="J2389" s="442"/>
      <c r="K2389" s="1263"/>
      <c r="L2389" s="461"/>
      <c r="M2389" s="461"/>
      <c r="N2389" s="461"/>
    </row>
    <row r="2390" spans="1:14" s="462" customFormat="1" hidden="1" outlineLevel="1">
      <c r="A2390" s="1261"/>
      <c r="B2390" s="260" t="s">
        <v>284</v>
      </c>
      <c r="C2390" s="439" t="s">
        <v>2</v>
      </c>
      <c r="D2390" s="440">
        <v>1</v>
      </c>
      <c r="E2390" s="441">
        <v>1</v>
      </c>
      <c r="F2390" s="1363">
        <v>5.12</v>
      </c>
      <c r="G2390" s="1363">
        <v>0.46</v>
      </c>
      <c r="H2390" s="1363">
        <v>0.3</v>
      </c>
      <c r="I2390" s="399">
        <f t="shared" si="57"/>
        <v>0.71</v>
      </c>
      <c r="J2390" s="442"/>
      <c r="K2390" s="1263"/>
      <c r="L2390" s="461"/>
      <c r="M2390" s="461"/>
      <c r="N2390" s="461"/>
    </row>
    <row r="2391" spans="1:14" s="462" customFormat="1" hidden="1" outlineLevel="1">
      <c r="A2391" s="1261"/>
      <c r="B2391" s="260"/>
      <c r="C2391" s="439" t="s">
        <v>2</v>
      </c>
      <c r="D2391" s="440">
        <v>1</v>
      </c>
      <c r="E2391" s="441">
        <v>1</v>
      </c>
      <c r="F2391" s="1363">
        <v>4.8900000000000006</v>
      </c>
      <c r="G2391" s="1363">
        <v>0.34499999999999997</v>
      </c>
      <c r="H2391" s="1363">
        <v>0.3</v>
      </c>
      <c r="I2391" s="399">
        <f t="shared" si="57"/>
        <v>0.51</v>
      </c>
      <c r="J2391" s="442"/>
      <c r="K2391" s="1263"/>
      <c r="L2391" s="461"/>
      <c r="M2391" s="461"/>
      <c r="N2391" s="461"/>
    </row>
    <row r="2392" spans="1:14" s="462" customFormat="1" hidden="1" outlineLevel="1">
      <c r="A2392" s="1261"/>
      <c r="B2392" s="260"/>
      <c r="C2392" s="439" t="s">
        <v>2</v>
      </c>
      <c r="D2392" s="440">
        <v>1</v>
      </c>
      <c r="E2392" s="441">
        <v>1</v>
      </c>
      <c r="F2392" s="1363">
        <v>4.66</v>
      </c>
      <c r="G2392" s="1363">
        <v>0.23</v>
      </c>
      <c r="H2392" s="1363">
        <v>0.19000000000000006</v>
      </c>
      <c r="I2392" s="399">
        <f t="shared" ref="I2392:I2455" si="58">IF(D2392&lt;&gt;0,ROUND(PRODUCT(E2392:H2392)*D2392,2),"")</f>
        <v>0.2</v>
      </c>
      <c r="J2392" s="442"/>
      <c r="K2392" s="1263"/>
      <c r="L2392" s="461"/>
      <c r="M2392" s="461"/>
      <c r="N2392" s="461"/>
    </row>
    <row r="2393" spans="1:14" s="462" customFormat="1" hidden="1" outlineLevel="1">
      <c r="A2393" s="1261"/>
      <c r="B2393" s="260"/>
      <c r="C2393" s="439"/>
      <c r="D2393" s="440"/>
      <c r="E2393" s="441"/>
      <c r="F2393" s="1363"/>
      <c r="G2393" s="1363"/>
      <c r="H2393" s="1363"/>
      <c r="I2393" s="399" t="str">
        <f t="shared" si="58"/>
        <v/>
      </c>
      <c r="J2393" s="442"/>
      <c r="K2393" s="1263"/>
      <c r="L2393" s="461"/>
      <c r="M2393" s="461"/>
      <c r="N2393" s="461"/>
    </row>
    <row r="2394" spans="1:14" s="462" customFormat="1" hidden="1" outlineLevel="1">
      <c r="A2394" s="1261"/>
      <c r="B2394" s="260"/>
      <c r="C2394" s="439" t="s">
        <v>2</v>
      </c>
      <c r="D2394" s="440">
        <v>1</v>
      </c>
      <c r="E2394" s="441">
        <v>1</v>
      </c>
      <c r="F2394" s="1363">
        <v>2.66</v>
      </c>
      <c r="G2394" s="1363">
        <v>0.46</v>
      </c>
      <c r="H2394" s="1363">
        <v>0.3</v>
      </c>
      <c r="I2394" s="399">
        <f t="shared" si="58"/>
        <v>0.37</v>
      </c>
      <c r="J2394" s="442"/>
      <c r="K2394" s="1263"/>
      <c r="L2394" s="461"/>
      <c r="M2394" s="461"/>
      <c r="N2394" s="461"/>
    </row>
    <row r="2395" spans="1:14" s="462" customFormat="1" hidden="1" outlineLevel="1">
      <c r="A2395" s="1261"/>
      <c r="B2395" s="260"/>
      <c r="C2395" s="439" t="s">
        <v>2</v>
      </c>
      <c r="D2395" s="440">
        <v>1</v>
      </c>
      <c r="E2395" s="441">
        <v>1</v>
      </c>
      <c r="F2395" s="1363">
        <v>2.5449999999999999</v>
      </c>
      <c r="G2395" s="1363">
        <v>0.34499999999999997</v>
      </c>
      <c r="H2395" s="1363">
        <v>0.3</v>
      </c>
      <c r="I2395" s="399">
        <f t="shared" si="58"/>
        <v>0.26</v>
      </c>
      <c r="J2395" s="442"/>
      <c r="K2395" s="1263"/>
      <c r="L2395" s="461"/>
      <c r="M2395" s="461"/>
      <c r="N2395" s="461"/>
    </row>
    <row r="2396" spans="1:14" s="462" customFormat="1" hidden="1" outlineLevel="1">
      <c r="A2396" s="1261"/>
      <c r="B2396" s="260"/>
      <c r="C2396" s="439" t="s">
        <v>2</v>
      </c>
      <c r="D2396" s="440">
        <v>1</v>
      </c>
      <c r="E2396" s="441">
        <v>1</v>
      </c>
      <c r="F2396" s="1363">
        <v>2.4300000000000002</v>
      </c>
      <c r="G2396" s="1363">
        <v>0.23</v>
      </c>
      <c r="H2396" s="1363">
        <v>0.19000000000000006</v>
      </c>
      <c r="I2396" s="399">
        <f t="shared" si="58"/>
        <v>0.11</v>
      </c>
      <c r="J2396" s="442"/>
      <c r="K2396" s="1263"/>
      <c r="L2396" s="461"/>
      <c r="M2396" s="461"/>
      <c r="N2396" s="461"/>
    </row>
    <row r="2397" spans="1:14" s="462" customFormat="1" hidden="1" outlineLevel="1">
      <c r="A2397" s="1261"/>
      <c r="B2397" s="260"/>
      <c r="C2397" s="439"/>
      <c r="D2397" s="440"/>
      <c r="E2397" s="441"/>
      <c r="F2397" s="1363"/>
      <c r="G2397" s="1363"/>
      <c r="H2397" s="1363"/>
      <c r="I2397" s="399" t="str">
        <f t="shared" si="58"/>
        <v/>
      </c>
      <c r="J2397" s="442"/>
      <c r="K2397" s="1263"/>
      <c r="L2397" s="461"/>
      <c r="M2397" s="461"/>
      <c r="N2397" s="461"/>
    </row>
    <row r="2398" spans="1:14" s="462" customFormat="1" hidden="1" outlineLevel="1">
      <c r="A2398" s="1261"/>
      <c r="B2398" s="260"/>
      <c r="C2398" s="439" t="s">
        <v>2</v>
      </c>
      <c r="D2398" s="440">
        <v>1</v>
      </c>
      <c r="E2398" s="441">
        <v>1</v>
      </c>
      <c r="F2398" s="1363">
        <v>3.86</v>
      </c>
      <c r="G2398" s="1363">
        <v>0.46</v>
      </c>
      <c r="H2398" s="1363">
        <v>0.3</v>
      </c>
      <c r="I2398" s="399">
        <f t="shared" si="58"/>
        <v>0.53</v>
      </c>
      <c r="J2398" s="442"/>
      <c r="K2398" s="1263"/>
      <c r="L2398" s="461"/>
      <c r="M2398" s="461"/>
      <c r="N2398" s="461"/>
    </row>
    <row r="2399" spans="1:14" s="462" customFormat="1" hidden="1" outlineLevel="1">
      <c r="A2399" s="1261"/>
      <c r="B2399" s="260"/>
      <c r="C2399" s="439" t="s">
        <v>2</v>
      </c>
      <c r="D2399" s="440">
        <v>1</v>
      </c>
      <c r="E2399" s="441">
        <v>1</v>
      </c>
      <c r="F2399" s="1363">
        <v>3.7450000000000001</v>
      </c>
      <c r="G2399" s="1363">
        <v>0.34499999999999997</v>
      </c>
      <c r="H2399" s="1363">
        <v>0.3</v>
      </c>
      <c r="I2399" s="399">
        <f t="shared" si="58"/>
        <v>0.39</v>
      </c>
      <c r="J2399" s="442"/>
      <c r="K2399" s="1263"/>
      <c r="L2399" s="461"/>
      <c r="M2399" s="461"/>
      <c r="N2399" s="461"/>
    </row>
    <row r="2400" spans="1:14" s="462" customFormat="1" hidden="1" outlineLevel="1">
      <c r="A2400" s="1261"/>
      <c r="B2400" s="260"/>
      <c r="C2400" s="439" t="s">
        <v>2</v>
      </c>
      <c r="D2400" s="440">
        <v>1</v>
      </c>
      <c r="E2400" s="441">
        <v>1</v>
      </c>
      <c r="F2400" s="1363">
        <v>3.63</v>
      </c>
      <c r="G2400" s="1363">
        <v>0.23</v>
      </c>
      <c r="H2400" s="1363">
        <v>0.19000000000000006</v>
      </c>
      <c r="I2400" s="399">
        <f t="shared" si="58"/>
        <v>0.16</v>
      </c>
      <c r="J2400" s="442"/>
      <c r="K2400" s="1263"/>
      <c r="L2400" s="461"/>
      <c r="M2400" s="461"/>
      <c r="N2400" s="461"/>
    </row>
    <row r="2401" spans="1:14" s="462" customFormat="1" hidden="1" outlineLevel="1">
      <c r="A2401" s="1261"/>
      <c r="B2401" s="260"/>
      <c r="C2401" s="439"/>
      <c r="D2401" s="440"/>
      <c r="E2401" s="441"/>
      <c r="F2401" s="1363"/>
      <c r="G2401" s="1363"/>
      <c r="H2401" s="1363"/>
      <c r="I2401" s="399" t="str">
        <f t="shared" si="58"/>
        <v/>
      </c>
      <c r="J2401" s="442"/>
      <c r="K2401" s="1263"/>
      <c r="L2401" s="461"/>
      <c r="M2401" s="461"/>
      <c r="N2401" s="461"/>
    </row>
    <row r="2402" spans="1:14" s="462" customFormat="1" hidden="1" outlineLevel="1">
      <c r="A2402" s="1261"/>
      <c r="B2402" s="260"/>
      <c r="C2402" s="439" t="s">
        <v>2</v>
      </c>
      <c r="D2402" s="440">
        <v>1</v>
      </c>
      <c r="E2402" s="441">
        <v>1</v>
      </c>
      <c r="F2402" s="1363">
        <v>1.1200000000000001</v>
      </c>
      <c r="G2402" s="1363">
        <v>0.46</v>
      </c>
      <c r="H2402" s="1363">
        <v>0.3</v>
      </c>
      <c r="I2402" s="399">
        <f t="shared" si="58"/>
        <v>0.15</v>
      </c>
      <c r="J2402" s="442"/>
      <c r="K2402" s="1263"/>
      <c r="L2402" s="461"/>
      <c r="M2402" s="461"/>
      <c r="N2402" s="461"/>
    </row>
    <row r="2403" spans="1:14" s="462" customFormat="1" hidden="1" outlineLevel="1">
      <c r="A2403" s="1261"/>
      <c r="B2403" s="260"/>
      <c r="C2403" s="439" t="s">
        <v>2</v>
      </c>
      <c r="D2403" s="440">
        <v>1</v>
      </c>
      <c r="E2403" s="441">
        <v>1</v>
      </c>
      <c r="F2403" s="1363">
        <v>1.0049999999999999</v>
      </c>
      <c r="G2403" s="1363">
        <v>0.34499999999999997</v>
      </c>
      <c r="H2403" s="1363">
        <v>0.3</v>
      </c>
      <c r="I2403" s="399">
        <f t="shared" si="58"/>
        <v>0.1</v>
      </c>
      <c r="J2403" s="442"/>
      <c r="K2403" s="1263"/>
      <c r="L2403" s="461"/>
      <c r="M2403" s="461"/>
      <c r="N2403" s="461"/>
    </row>
    <row r="2404" spans="1:14" s="462" customFormat="1" hidden="1" outlineLevel="1">
      <c r="A2404" s="1261"/>
      <c r="B2404" s="260"/>
      <c r="C2404" s="439" t="s">
        <v>2</v>
      </c>
      <c r="D2404" s="440">
        <v>1</v>
      </c>
      <c r="E2404" s="441">
        <v>1</v>
      </c>
      <c r="F2404" s="1363">
        <v>0.89</v>
      </c>
      <c r="G2404" s="1363">
        <v>0.23</v>
      </c>
      <c r="H2404" s="1363">
        <v>0.19000000000000006</v>
      </c>
      <c r="I2404" s="399">
        <f t="shared" si="58"/>
        <v>0.04</v>
      </c>
      <c r="J2404" s="442"/>
      <c r="K2404" s="1263"/>
      <c r="L2404" s="461"/>
      <c r="M2404" s="461"/>
      <c r="N2404" s="461"/>
    </row>
    <row r="2405" spans="1:14" s="462" customFormat="1" hidden="1" outlineLevel="1">
      <c r="A2405" s="1261"/>
      <c r="B2405" s="260"/>
      <c r="C2405" s="439"/>
      <c r="D2405" s="440"/>
      <c r="E2405" s="441"/>
      <c r="F2405" s="1363"/>
      <c r="G2405" s="1363"/>
      <c r="H2405" s="1363"/>
      <c r="I2405" s="399" t="str">
        <f t="shared" si="58"/>
        <v/>
      </c>
      <c r="J2405" s="442"/>
      <c r="K2405" s="1263"/>
      <c r="L2405" s="461"/>
      <c r="M2405" s="461"/>
      <c r="N2405" s="461"/>
    </row>
    <row r="2406" spans="1:14" s="462" customFormat="1" hidden="1" outlineLevel="1">
      <c r="A2406" s="1261"/>
      <c r="B2406" s="260"/>
      <c r="C2406" s="439" t="s">
        <v>2</v>
      </c>
      <c r="D2406" s="440">
        <v>1</v>
      </c>
      <c r="E2406" s="441">
        <v>2</v>
      </c>
      <c r="F2406" s="1363">
        <v>4.5200000000000005</v>
      </c>
      <c r="G2406" s="1363">
        <v>0.46</v>
      </c>
      <c r="H2406" s="1363">
        <v>0.3</v>
      </c>
      <c r="I2406" s="399">
        <f t="shared" si="58"/>
        <v>1.25</v>
      </c>
      <c r="J2406" s="442"/>
      <c r="K2406" s="1263"/>
      <c r="L2406" s="461"/>
      <c r="M2406" s="461"/>
      <c r="N2406" s="461"/>
    </row>
    <row r="2407" spans="1:14" s="462" customFormat="1" hidden="1" outlineLevel="1">
      <c r="A2407" s="1261"/>
      <c r="B2407" s="260"/>
      <c r="C2407" s="439" t="s">
        <v>2</v>
      </c>
      <c r="D2407" s="440">
        <v>1</v>
      </c>
      <c r="E2407" s="441">
        <v>2</v>
      </c>
      <c r="F2407" s="1363">
        <v>4.4050000000000002</v>
      </c>
      <c r="G2407" s="1363">
        <v>0.34499999999999997</v>
      </c>
      <c r="H2407" s="1363">
        <v>0.3</v>
      </c>
      <c r="I2407" s="399">
        <f t="shared" si="58"/>
        <v>0.91</v>
      </c>
      <c r="J2407" s="442"/>
      <c r="K2407" s="1263"/>
      <c r="L2407" s="461"/>
      <c r="M2407" s="461"/>
      <c r="N2407" s="461"/>
    </row>
    <row r="2408" spans="1:14" s="462" customFormat="1" hidden="1" outlineLevel="1">
      <c r="A2408" s="1261"/>
      <c r="B2408" s="260"/>
      <c r="C2408" s="439" t="s">
        <v>2</v>
      </c>
      <c r="D2408" s="440">
        <v>1</v>
      </c>
      <c r="E2408" s="441">
        <v>2</v>
      </c>
      <c r="F2408" s="1363">
        <v>4.2900000000000009</v>
      </c>
      <c r="G2408" s="1363">
        <v>0.23</v>
      </c>
      <c r="H2408" s="1363">
        <v>0.19000000000000006</v>
      </c>
      <c r="I2408" s="399">
        <f t="shared" si="58"/>
        <v>0.37</v>
      </c>
      <c r="J2408" s="442"/>
      <c r="K2408" s="1263"/>
      <c r="L2408" s="461"/>
      <c r="M2408" s="461"/>
      <c r="N2408" s="461"/>
    </row>
    <row r="2409" spans="1:14" s="462" customFormat="1" hidden="1" outlineLevel="1">
      <c r="A2409" s="1261"/>
      <c r="B2409" s="260"/>
      <c r="C2409" s="439"/>
      <c r="D2409" s="440"/>
      <c r="E2409" s="441"/>
      <c r="F2409" s="1363"/>
      <c r="G2409" s="1363"/>
      <c r="H2409" s="1363"/>
      <c r="I2409" s="399" t="str">
        <f t="shared" si="58"/>
        <v/>
      </c>
      <c r="J2409" s="442"/>
      <c r="K2409" s="1263"/>
      <c r="L2409" s="461"/>
      <c r="M2409" s="461"/>
      <c r="N2409" s="461"/>
    </row>
    <row r="2410" spans="1:14" s="462" customFormat="1" hidden="1" outlineLevel="1">
      <c r="A2410" s="1261"/>
      <c r="B2410" s="260"/>
      <c r="C2410" s="439" t="s">
        <v>2</v>
      </c>
      <c r="D2410" s="440">
        <v>1</v>
      </c>
      <c r="E2410" s="441">
        <v>1</v>
      </c>
      <c r="F2410" s="1363">
        <v>0.84000000000000008</v>
      </c>
      <c r="G2410" s="1363">
        <v>0.46</v>
      </c>
      <c r="H2410" s="1363">
        <v>0.3</v>
      </c>
      <c r="I2410" s="399">
        <f t="shared" si="58"/>
        <v>0.12</v>
      </c>
      <c r="J2410" s="442"/>
      <c r="K2410" s="1263"/>
      <c r="L2410" s="461"/>
      <c r="M2410" s="461"/>
      <c r="N2410" s="461"/>
    </row>
    <row r="2411" spans="1:14" s="462" customFormat="1" hidden="1" outlineLevel="1">
      <c r="A2411" s="1261"/>
      <c r="B2411" s="260"/>
      <c r="C2411" s="439" t="s">
        <v>2</v>
      </c>
      <c r="D2411" s="440">
        <v>1</v>
      </c>
      <c r="E2411" s="441">
        <v>1</v>
      </c>
      <c r="F2411" s="1363">
        <v>0.72499999999999998</v>
      </c>
      <c r="G2411" s="1363">
        <v>0.34499999999999997</v>
      </c>
      <c r="H2411" s="1363">
        <v>0.3</v>
      </c>
      <c r="I2411" s="399">
        <f t="shared" si="58"/>
        <v>0.08</v>
      </c>
      <c r="J2411" s="442"/>
      <c r="K2411" s="1263"/>
      <c r="L2411" s="461"/>
      <c r="M2411" s="461"/>
      <c r="N2411" s="461"/>
    </row>
    <row r="2412" spans="1:14" s="462" customFormat="1" hidden="1" outlineLevel="1">
      <c r="A2412" s="1261"/>
      <c r="B2412" s="260"/>
      <c r="C2412" s="439" t="s">
        <v>2</v>
      </c>
      <c r="D2412" s="440">
        <v>1</v>
      </c>
      <c r="E2412" s="441">
        <v>1</v>
      </c>
      <c r="F2412" s="1363">
        <v>0.61</v>
      </c>
      <c r="G2412" s="1363">
        <v>0.23</v>
      </c>
      <c r="H2412" s="1363">
        <v>0.19000000000000006</v>
      </c>
      <c r="I2412" s="399">
        <f t="shared" si="58"/>
        <v>0.03</v>
      </c>
      <c r="J2412" s="442"/>
      <c r="K2412" s="1263"/>
      <c r="L2412" s="461"/>
      <c r="M2412" s="461"/>
      <c r="N2412" s="461"/>
    </row>
    <row r="2413" spans="1:14" s="462" customFormat="1" hidden="1" outlineLevel="1">
      <c r="A2413" s="1261"/>
      <c r="B2413" s="260"/>
      <c r="C2413" s="439"/>
      <c r="D2413" s="440"/>
      <c r="E2413" s="441"/>
      <c r="F2413" s="1363"/>
      <c r="G2413" s="1363"/>
      <c r="H2413" s="1363"/>
      <c r="I2413" s="399" t="str">
        <f t="shared" si="58"/>
        <v/>
      </c>
      <c r="J2413" s="442"/>
      <c r="K2413" s="1263"/>
      <c r="L2413" s="461"/>
      <c r="M2413" s="461"/>
      <c r="N2413" s="461"/>
    </row>
    <row r="2414" spans="1:14" s="462" customFormat="1" hidden="1" outlineLevel="1">
      <c r="A2414" s="1261"/>
      <c r="B2414" s="260"/>
      <c r="C2414" s="439" t="s">
        <v>2</v>
      </c>
      <c r="D2414" s="440">
        <v>1</v>
      </c>
      <c r="E2414" s="441">
        <v>1</v>
      </c>
      <c r="F2414" s="1363">
        <v>4.1400000000000006</v>
      </c>
      <c r="G2414" s="1363">
        <v>0.46</v>
      </c>
      <c r="H2414" s="1363">
        <v>0.3</v>
      </c>
      <c r="I2414" s="399">
        <f t="shared" si="58"/>
        <v>0.56999999999999995</v>
      </c>
      <c r="J2414" s="442"/>
      <c r="K2414" s="1263"/>
      <c r="L2414" s="461"/>
      <c r="M2414" s="461"/>
      <c r="N2414" s="461"/>
    </row>
    <row r="2415" spans="1:14" s="462" customFormat="1" hidden="1" outlineLevel="1">
      <c r="A2415" s="1261"/>
      <c r="B2415" s="260"/>
      <c r="C2415" s="439" t="s">
        <v>2</v>
      </c>
      <c r="D2415" s="440">
        <v>1</v>
      </c>
      <c r="E2415" s="441">
        <v>1</v>
      </c>
      <c r="F2415" s="1363">
        <v>4.0250000000000004</v>
      </c>
      <c r="G2415" s="1363">
        <v>0.34499999999999997</v>
      </c>
      <c r="H2415" s="1363">
        <v>0.3</v>
      </c>
      <c r="I2415" s="399">
        <f t="shared" si="58"/>
        <v>0.42</v>
      </c>
      <c r="J2415" s="442"/>
      <c r="K2415" s="1263"/>
      <c r="L2415" s="461"/>
      <c r="M2415" s="461"/>
      <c r="N2415" s="461"/>
    </row>
    <row r="2416" spans="1:14" s="462" customFormat="1" hidden="1" outlineLevel="1">
      <c r="A2416" s="1261"/>
      <c r="B2416" s="260"/>
      <c r="C2416" s="439" t="s">
        <v>2</v>
      </c>
      <c r="D2416" s="440">
        <v>1</v>
      </c>
      <c r="E2416" s="441">
        <v>1</v>
      </c>
      <c r="F2416" s="1363">
        <v>3.91</v>
      </c>
      <c r="G2416" s="1363">
        <v>0.23</v>
      </c>
      <c r="H2416" s="1363">
        <v>0.19000000000000006</v>
      </c>
      <c r="I2416" s="399">
        <f t="shared" si="58"/>
        <v>0.17</v>
      </c>
      <c r="J2416" s="442"/>
      <c r="K2416" s="1263"/>
      <c r="L2416" s="461"/>
      <c r="M2416" s="461"/>
      <c r="N2416" s="461"/>
    </row>
    <row r="2417" spans="1:14" s="462" customFormat="1" hidden="1" outlineLevel="1">
      <c r="A2417" s="1261"/>
      <c r="B2417" s="260"/>
      <c r="C2417" s="439"/>
      <c r="D2417" s="440"/>
      <c r="E2417" s="441"/>
      <c r="F2417" s="1363"/>
      <c r="G2417" s="1363"/>
      <c r="H2417" s="1363"/>
      <c r="I2417" s="399" t="str">
        <f t="shared" si="58"/>
        <v/>
      </c>
      <c r="J2417" s="442"/>
      <c r="K2417" s="1263"/>
      <c r="L2417" s="461"/>
      <c r="M2417" s="461"/>
      <c r="N2417" s="461"/>
    </row>
    <row r="2418" spans="1:14" s="462" customFormat="1" hidden="1" outlineLevel="1">
      <c r="A2418" s="1261"/>
      <c r="B2418" s="260" t="s">
        <v>213</v>
      </c>
      <c r="C2418" s="439" t="s">
        <v>2</v>
      </c>
      <c r="D2418" s="440">
        <v>1</v>
      </c>
      <c r="E2418" s="441">
        <v>1</v>
      </c>
      <c r="F2418" s="1363">
        <v>1.74</v>
      </c>
      <c r="G2418" s="1363">
        <v>0.46</v>
      </c>
      <c r="H2418" s="1363">
        <v>0.3</v>
      </c>
      <c r="I2418" s="399">
        <f t="shared" si="58"/>
        <v>0.24</v>
      </c>
      <c r="J2418" s="442"/>
      <c r="K2418" s="1263"/>
      <c r="L2418" s="461"/>
      <c r="M2418" s="461"/>
      <c r="N2418" s="461"/>
    </row>
    <row r="2419" spans="1:14" s="462" customFormat="1" hidden="1" outlineLevel="1">
      <c r="A2419" s="1261"/>
      <c r="B2419" s="260"/>
      <c r="C2419" s="439" t="s">
        <v>2</v>
      </c>
      <c r="D2419" s="440">
        <v>1</v>
      </c>
      <c r="E2419" s="441">
        <v>1</v>
      </c>
      <c r="F2419" s="1363">
        <v>1.625</v>
      </c>
      <c r="G2419" s="1363">
        <v>0.34499999999999997</v>
      </c>
      <c r="H2419" s="1363">
        <v>0.3</v>
      </c>
      <c r="I2419" s="399">
        <f t="shared" si="58"/>
        <v>0.17</v>
      </c>
      <c r="J2419" s="442"/>
      <c r="K2419" s="1263"/>
      <c r="L2419" s="461"/>
      <c r="M2419" s="461"/>
      <c r="N2419" s="461"/>
    </row>
    <row r="2420" spans="1:14" s="462" customFormat="1" hidden="1" outlineLevel="1">
      <c r="A2420" s="1261"/>
      <c r="B2420" s="260"/>
      <c r="C2420" s="439" t="s">
        <v>2</v>
      </c>
      <c r="D2420" s="440">
        <v>1</v>
      </c>
      <c r="E2420" s="441">
        <v>1</v>
      </c>
      <c r="F2420" s="1363">
        <v>1.51</v>
      </c>
      <c r="G2420" s="1363">
        <v>0.23</v>
      </c>
      <c r="H2420" s="1363">
        <v>0.19000000000000006</v>
      </c>
      <c r="I2420" s="399">
        <f t="shared" si="58"/>
        <v>7.0000000000000007E-2</v>
      </c>
      <c r="J2420" s="442"/>
      <c r="K2420" s="1263"/>
      <c r="L2420" s="461"/>
      <c r="M2420" s="461"/>
      <c r="N2420" s="461"/>
    </row>
    <row r="2421" spans="1:14" s="462" customFormat="1" hidden="1" outlineLevel="1">
      <c r="A2421" s="1261"/>
      <c r="B2421" s="260"/>
      <c r="C2421" s="439"/>
      <c r="D2421" s="440"/>
      <c r="E2421" s="441"/>
      <c r="F2421" s="1363"/>
      <c r="G2421" s="1363"/>
      <c r="H2421" s="1363"/>
      <c r="I2421" s="399" t="str">
        <f t="shared" si="58"/>
        <v/>
      </c>
      <c r="J2421" s="442"/>
      <c r="K2421" s="1263"/>
      <c r="L2421" s="461"/>
      <c r="M2421" s="461"/>
      <c r="N2421" s="461"/>
    </row>
    <row r="2422" spans="1:14" s="462" customFormat="1" hidden="1" outlineLevel="1">
      <c r="A2422" s="1261"/>
      <c r="B2422" s="260"/>
      <c r="C2422" s="439" t="s">
        <v>2</v>
      </c>
      <c r="D2422" s="440">
        <v>1</v>
      </c>
      <c r="E2422" s="441">
        <v>1</v>
      </c>
      <c r="F2422" s="1363">
        <v>3.54</v>
      </c>
      <c r="G2422" s="1363">
        <v>0.46</v>
      </c>
      <c r="H2422" s="1363">
        <v>0.3</v>
      </c>
      <c r="I2422" s="399">
        <f t="shared" si="58"/>
        <v>0.49</v>
      </c>
      <c r="J2422" s="442"/>
      <c r="K2422" s="1263"/>
      <c r="L2422" s="461"/>
      <c r="M2422" s="461"/>
      <c r="N2422" s="461"/>
    </row>
    <row r="2423" spans="1:14" s="462" customFormat="1" hidden="1" outlineLevel="1">
      <c r="A2423" s="1261"/>
      <c r="B2423" s="260"/>
      <c r="C2423" s="439" t="s">
        <v>2</v>
      </c>
      <c r="D2423" s="440">
        <v>1</v>
      </c>
      <c r="E2423" s="441">
        <v>1</v>
      </c>
      <c r="F2423" s="1363">
        <v>3.4249999999999998</v>
      </c>
      <c r="G2423" s="1363">
        <v>0.34499999999999997</v>
      </c>
      <c r="H2423" s="1363">
        <v>0.3</v>
      </c>
      <c r="I2423" s="399">
        <f t="shared" si="58"/>
        <v>0.35</v>
      </c>
      <c r="J2423" s="442"/>
      <c r="K2423" s="1263"/>
      <c r="L2423" s="461"/>
      <c r="M2423" s="461"/>
      <c r="N2423" s="461"/>
    </row>
    <row r="2424" spans="1:14" s="462" customFormat="1" hidden="1" outlineLevel="1">
      <c r="A2424" s="1261"/>
      <c r="B2424" s="260"/>
      <c r="C2424" s="439" t="s">
        <v>2</v>
      </c>
      <c r="D2424" s="440">
        <v>1</v>
      </c>
      <c r="E2424" s="441">
        <v>1</v>
      </c>
      <c r="F2424" s="1363">
        <v>3.31</v>
      </c>
      <c r="G2424" s="1363">
        <v>0.23</v>
      </c>
      <c r="H2424" s="1363">
        <v>0.19000000000000006</v>
      </c>
      <c r="I2424" s="399">
        <f t="shared" si="58"/>
        <v>0.14000000000000001</v>
      </c>
      <c r="J2424" s="442"/>
      <c r="K2424" s="1263"/>
      <c r="L2424" s="461"/>
      <c r="M2424" s="461"/>
      <c r="N2424" s="461"/>
    </row>
    <row r="2425" spans="1:14" s="462" customFormat="1" hidden="1" outlineLevel="1">
      <c r="A2425" s="1261"/>
      <c r="B2425" s="260"/>
      <c r="C2425" s="439"/>
      <c r="D2425" s="440"/>
      <c r="E2425" s="441"/>
      <c r="F2425" s="1363"/>
      <c r="G2425" s="1363"/>
      <c r="H2425" s="1363"/>
      <c r="I2425" s="399" t="str">
        <f t="shared" si="58"/>
        <v/>
      </c>
      <c r="J2425" s="442"/>
      <c r="K2425" s="1263"/>
      <c r="L2425" s="461"/>
      <c r="M2425" s="461"/>
      <c r="N2425" s="461"/>
    </row>
    <row r="2426" spans="1:14" s="462" customFormat="1" hidden="1" outlineLevel="1">
      <c r="A2426" s="1261"/>
      <c r="B2426" s="260"/>
      <c r="C2426" s="439" t="s">
        <v>2</v>
      </c>
      <c r="D2426" s="440">
        <v>1</v>
      </c>
      <c r="E2426" s="441">
        <v>1</v>
      </c>
      <c r="F2426" s="1363">
        <v>4.74</v>
      </c>
      <c r="G2426" s="1363">
        <v>0.46</v>
      </c>
      <c r="H2426" s="1363">
        <v>0.3</v>
      </c>
      <c r="I2426" s="399">
        <f t="shared" si="58"/>
        <v>0.65</v>
      </c>
      <c r="J2426" s="442"/>
      <c r="K2426" s="1263"/>
      <c r="L2426" s="461"/>
      <c r="M2426" s="461"/>
      <c r="N2426" s="461"/>
    </row>
    <row r="2427" spans="1:14" s="462" customFormat="1" hidden="1" outlineLevel="1">
      <c r="A2427" s="1261"/>
      <c r="B2427" s="260"/>
      <c r="C2427" s="439" t="s">
        <v>2</v>
      </c>
      <c r="D2427" s="440">
        <v>1</v>
      </c>
      <c r="E2427" s="441">
        <v>1</v>
      </c>
      <c r="F2427" s="1363">
        <v>3.4249999999999998</v>
      </c>
      <c r="G2427" s="1363">
        <v>0.34499999999999997</v>
      </c>
      <c r="H2427" s="1363">
        <v>0.3</v>
      </c>
      <c r="I2427" s="399">
        <f t="shared" si="58"/>
        <v>0.35</v>
      </c>
      <c r="J2427" s="442"/>
      <c r="K2427" s="1263"/>
      <c r="L2427" s="461"/>
      <c r="M2427" s="461"/>
      <c r="N2427" s="461"/>
    </row>
    <row r="2428" spans="1:14" s="462" customFormat="1" hidden="1" outlineLevel="1">
      <c r="A2428" s="1261"/>
      <c r="B2428" s="260"/>
      <c r="C2428" s="439" t="s">
        <v>2</v>
      </c>
      <c r="D2428" s="440">
        <v>1</v>
      </c>
      <c r="E2428" s="441">
        <v>1</v>
      </c>
      <c r="F2428" s="1363">
        <v>3.31</v>
      </c>
      <c r="G2428" s="1363">
        <v>0.23</v>
      </c>
      <c r="H2428" s="1363">
        <v>0.19000000000000006</v>
      </c>
      <c r="I2428" s="399">
        <f t="shared" si="58"/>
        <v>0.14000000000000001</v>
      </c>
      <c r="J2428" s="442"/>
      <c r="K2428" s="1263"/>
      <c r="L2428" s="461"/>
      <c r="M2428" s="461"/>
      <c r="N2428" s="461"/>
    </row>
    <row r="2429" spans="1:14" s="462" customFormat="1" hidden="1" outlineLevel="1">
      <c r="A2429" s="1261"/>
      <c r="B2429" s="260"/>
      <c r="C2429" s="439"/>
      <c r="D2429" s="440"/>
      <c r="E2429" s="441"/>
      <c r="F2429" s="1363"/>
      <c r="G2429" s="1363"/>
      <c r="H2429" s="1363"/>
      <c r="I2429" s="399" t="str">
        <f t="shared" si="58"/>
        <v/>
      </c>
      <c r="J2429" s="442"/>
      <c r="K2429" s="1263"/>
      <c r="L2429" s="461"/>
      <c r="M2429" s="461"/>
      <c r="N2429" s="461"/>
    </row>
    <row r="2430" spans="1:14" s="462" customFormat="1" hidden="1" outlineLevel="1">
      <c r="A2430" s="1261"/>
      <c r="B2430" s="260" t="s">
        <v>214</v>
      </c>
      <c r="C2430" s="439" t="s">
        <v>2</v>
      </c>
      <c r="D2430" s="440">
        <v>1</v>
      </c>
      <c r="E2430" s="441">
        <v>1</v>
      </c>
      <c r="F2430" s="1363">
        <v>6.0200000000000005</v>
      </c>
      <c r="G2430" s="1363">
        <v>0.46</v>
      </c>
      <c r="H2430" s="1363">
        <v>0.3</v>
      </c>
      <c r="I2430" s="399">
        <f t="shared" si="58"/>
        <v>0.83</v>
      </c>
      <c r="J2430" s="442"/>
      <c r="K2430" s="1263"/>
      <c r="L2430" s="461"/>
      <c r="M2430" s="461"/>
      <c r="N2430" s="461"/>
    </row>
    <row r="2431" spans="1:14" s="462" customFormat="1" hidden="1" outlineLevel="1">
      <c r="A2431" s="1261"/>
      <c r="B2431" s="260"/>
      <c r="C2431" s="439" t="s">
        <v>2</v>
      </c>
      <c r="D2431" s="440">
        <v>1</v>
      </c>
      <c r="E2431" s="441">
        <v>1</v>
      </c>
      <c r="F2431" s="1363">
        <v>5.9050000000000002</v>
      </c>
      <c r="G2431" s="1363">
        <v>0.34499999999999997</v>
      </c>
      <c r="H2431" s="1363">
        <v>0.3</v>
      </c>
      <c r="I2431" s="399">
        <f t="shared" si="58"/>
        <v>0.61</v>
      </c>
      <c r="J2431" s="442"/>
      <c r="K2431" s="1263"/>
      <c r="L2431" s="461"/>
      <c r="M2431" s="461"/>
      <c r="N2431" s="461"/>
    </row>
    <row r="2432" spans="1:14" s="462" customFormat="1" hidden="1" outlineLevel="1">
      <c r="A2432" s="1261"/>
      <c r="B2432" s="260"/>
      <c r="C2432" s="439" t="s">
        <v>2</v>
      </c>
      <c r="D2432" s="440">
        <v>1</v>
      </c>
      <c r="E2432" s="441">
        <v>1</v>
      </c>
      <c r="F2432" s="1363">
        <v>5.7900000000000009</v>
      </c>
      <c r="G2432" s="1363">
        <v>0.23</v>
      </c>
      <c r="H2432" s="1363">
        <v>0.19000000000000006</v>
      </c>
      <c r="I2432" s="399">
        <f t="shared" si="58"/>
        <v>0.25</v>
      </c>
      <c r="J2432" s="442"/>
      <c r="K2432" s="1263"/>
      <c r="L2432" s="461"/>
      <c r="M2432" s="461"/>
      <c r="N2432" s="461"/>
    </row>
    <row r="2433" spans="1:14" s="462" customFormat="1" hidden="1" outlineLevel="1">
      <c r="A2433" s="1261"/>
      <c r="B2433" s="260"/>
      <c r="C2433" s="439"/>
      <c r="D2433" s="440"/>
      <c r="E2433" s="441"/>
      <c r="F2433" s="1363"/>
      <c r="G2433" s="1363"/>
      <c r="H2433" s="1363"/>
      <c r="I2433" s="399" t="str">
        <f t="shared" si="58"/>
        <v/>
      </c>
      <c r="J2433" s="442"/>
      <c r="K2433" s="1263"/>
      <c r="L2433" s="461"/>
      <c r="M2433" s="461"/>
      <c r="N2433" s="461"/>
    </row>
    <row r="2434" spans="1:14" s="462" customFormat="1" hidden="1" outlineLevel="1">
      <c r="A2434" s="1261"/>
      <c r="B2434" s="260"/>
      <c r="C2434" s="439" t="s">
        <v>2</v>
      </c>
      <c r="D2434" s="440">
        <v>1</v>
      </c>
      <c r="E2434" s="441">
        <v>1</v>
      </c>
      <c r="F2434" s="1363">
        <v>1.06</v>
      </c>
      <c r="G2434" s="1363">
        <v>0.46</v>
      </c>
      <c r="H2434" s="1363">
        <v>0.3</v>
      </c>
      <c r="I2434" s="399">
        <f t="shared" si="58"/>
        <v>0.15</v>
      </c>
      <c r="J2434" s="442"/>
      <c r="K2434" s="1263"/>
      <c r="L2434" s="461"/>
      <c r="M2434" s="461"/>
      <c r="N2434" s="461"/>
    </row>
    <row r="2435" spans="1:14" s="462" customFormat="1" hidden="1" outlineLevel="1">
      <c r="A2435" s="1261"/>
      <c r="B2435" s="260"/>
      <c r="C2435" s="439" t="s">
        <v>2</v>
      </c>
      <c r="D2435" s="440">
        <v>1</v>
      </c>
      <c r="E2435" s="441">
        <v>1</v>
      </c>
      <c r="F2435" s="1363">
        <v>0.94499999999999995</v>
      </c>
      <c r="G2435" s="1363">
        <v>0.34499999999999997</v>
      </c>
      <c r="H2435" s="1363">
        <v>0.3</v>
      </c>
      <c r="I2435" s="399">
        <f t="shared" si="58"/>
        <v>0.1</v>
      </c>
      <c r="J2435" s="442"/>
      <c r="K2435" s="1263"/>
      <c r="L2435" s="461"/>
      <c r="M2435" s="461"/>
      <c r="N2435" s="461"/>
    </row>
    <row r="2436" spans="1:14" s="462" customFormat="1" hidden="1" outlineLevel="1">
      <c r="A2436" s="1261"/>
      <c r="B2436" s="260"/>
      <c r="C2436" s="439" t="s">
        <v>2</v>
      </c>
      <c r="D2436" s="440">
        <v>1</v>
      </c>
      <c r="E2436" s="441">
        <v>1</v>
      </c>
      <c r="F2436" s="1363">
        <v>0.83</v>
      </c>
      <c r="G2436" s="1363">
        <v>0.23</v>
      </c>
      <c r="H2436" s="1363">
        <v>0.19000000000000006</v>
      </c>
      <c r="I2436" s="399">
        <f t="shared" si="58"/>
        <v>0.04</v>
      </c>
      <c r="J2436" s="442"/>
      <c r="K2436" s="1263"/>
      <c r="L2436" s="461"/>
      <c r="M2436" s="461"/>
      <c r="N2436" s="461"/>
    </row>
    <row r="2437" spans="1:14" s="462" customFormat="1" hidden="1" outlineLevel="1">
      <c r="A2437" s="1261"/>
      <c r="B2437" s="260"/>
      <c r="C2437" s="439"/>
      <c r="D2437" s="440"/>
      <c r="E2437" s="441"/>
      <c r="F2437" s="1363"/>
      <c r="G2437" s="1363"/>
      <c r="H2437" s="1363"/>
      <c r="I2437" s="399" t="str">
        <f t="shared" si="58"/>
        <v/>
      </c>
      <c r="J2437" s="442"/>
      <c r="K2437" s="1263"/>
      <c r="L2437" s="461"/>
      <c r="M2437" s="461"/>
      <c r="N2437" s="461"/>
    </row>
    <row r="2438" spans="1:14" s="462" customFormat="1" hidden="1" outlineLevel="1">
      <c r="A2438" s="1261"/>
      <c r="B2438" s="260"/>
      <c r="C2438" s="439" t="s">
        <v>2</v>
      </c>
      <c r="D2438" s="440">
        <v>1</v>
      </c>
      <c r="E2438" s="441">
        <v>2</v>
      </c>
      <c r="F2438" s="1363">
        <v>6.62</v>
      </c>
      <c r="G2438" s="1363">
        <v>0.46</v>
      </c>
      <c r="H2438" s="1363">
        <v>0.3</v>
      </c>
      <c r="I2438" s="399">
        <f t="shared" si="58"/>
        <v>1.83</v>
      </c>
      <c r="J2438" s="442"/>
      <c r="K2438" s="1263"/>
      <c r="L2438" s="461"/>
      <c r="M2438" s="461"/>
      <c r="N2438" s="461"/>
    </row>
    <row r="2439" spans="1:14" s="462" customFormat="1" hidden="1" outlineLevel="1">
      <c r="A2439" s="1261"/>
      <c r="B2439" s="260"/>
      <c r="C2439" s="439" t="s">
        <v>2</v>
      </c>
      <c r="D2439" s="440">
        <v>1</v>
      </c>
      <c r="E2439" s="441">
        <v>2</v>
      </c>
      <c r="F2439" s="1363">
        <v>6.5049999999999999</v>
      </c>
      <c r="G2439" s="1363">
        <v>0.34499999999999997</v>
      </c>
      <c r="H2439" s="1363">
        <v>0.3</v>
      </c>
      <c r="I2439" s="399">
        <f t="shared" si="58"/>
        <v>1.35</v>
      </c>
      <c r="J2439" s="442"/>
      <c r="K2439" s="1263"/>
      <c r="L2439" s="461"/>
      <c r="M2439" s="461"/>
      <c r="N2439" s="461"/>
    </row>
    <row r="2440" spans="1:14" s="462" customFormat="1" hidden="1" outlineLevel="1">
      <c r="A2440" s="1261"/>
      <c r="B2440" s="260"/>
      <c r="C2440" s="439" t="s">
        <v>2</v>
      </c>
      <c r="D2440" s="440">
        <v>1</v>
      </c>
      <c r="E2440" s="441">
        <v>2</v>
      </c>
      <c r="F2440" s="1363">
        <v>6.3900000000000006</v>
      </c>
      <c r="G2440" s="1363">
        <v>0.23</v>
      </c>
      <c r="H2440" s="1363">
        <v>0.19000000000000006</v>
      </c>
      <c r="I2440" s="399">
        <f t="shared" si="58"/>
        <v>0.56000000000000005</v>
      </c>
      <c r="J2440" s="442"/>
      <c r="K2440" s="1263"/>
      <c r="L2440" s="461"/>
      <c r="M2440" s="461"/>
      <c r="N2440" s="461"/>
    </row>
    <row r="2441" spans="1:14" s="462" customFormat="1" hidden="1" outlineLevel="1">
      <c r="A2441" s="1261"/>
      <c r="B2441" s="260"/>
      <c r="C2441" s="439"/>
      <c r="D2441" s="440"/>
      <c r="E2441" s="441"/>
      <c r="F2441" s="1363"/>
      <c r="G2441" s="1363"/>
      <c r="H2441" s="1363"/>
      <c r="I2441" s="399" t="str">
        <f t="shared" si="58"/>
        <v/>
      </c>
      <c r="J2441" s="442"/>
      <c r="K2441" s="1263"/>
      <c r="L2441" s="461"/>
      <c r="M2441" s="461"/>
      <c r="N2441" s="461"/>
    </row>
    <row r="2442" spans="1:14" s="462" customFormat="1" hidden="1" outlineLevel="1">
      <c r="A2442" s="1261"/>
      <c r="B2442" s="260"/>
      <c r="C2442" s="439" t="s">
        <v>2</v>
      </c>
      <c r="D2442" s="440">
        <v>1</v>
      </c>
      <c r="E2442" s="441">
        <v>1</v>
      </c>
      <c r="F2442" s="1363">
        <v>1.66</v>
      </c>
      <c r="G2442" s="1363">
        <v>0.46</v>
      </c>
      <c r="H2442" s="1363">
        <v>0.3</v>
      </c>
      <c r="I2442" s="399">
        <f t="shared" si="58"/>
        <v>0.23</v>
      </c>
      <c r="J2442" s="442"/>
      <c r="K2442" s="1263"/>
      <c r="L2442" s="461"/>
      <c r="M2442" s="461"/>
      <c r="N2442" s="461"/>
    </row>
    <row r="2443" spans="1:14" s="462" customFormat="1" hidden="1" outlineLevel="1">
      <c r="A2443" s="1261"/>
      <c r="B2443" s="260"/>
      <c r="C2443" s="439" t="s">
        <v>2</v>
      </c>
      <c r="D2443" s="440">
        <v>1</v>
      </c>
      <c r="E2443" s="441">
        <v>1</v>
      </c>
      <c r="F2443" s="1363">
        <v>1.5449999999999999</v>
      </c>
      <c r="G2443" s="1363">
        <v>0.34499999999999997</v>
      </c>
      <c r="H2443" s="1363">
        <v>0.3</v>
      </c>
      <c r="I2443" s="399">
        <f t="shared" si="58"/>
        <v>0.16</v>
      </c>
      <c r="J2443" s="442"/>
      <c r="K2443" s="1263"/>
      <c r="L2443" s="461"/>
      <c r="M2443" s="461"/>
      <c r="N2443" s="461"/>
    </row>
    <row r="2444" spans="1:14" s="462" customFormat="1" hidden="1" outlineLevel="1">
      <c r="A2444" s="1261"/>
      <c r="B2444" s="260"/>
      <c r="C2444" s="439" t="s">
        <v>2</v>
      </c>
      <c r="D2444" s="440">
        <v>1</v>
      </c>
      <c r="E2444" s="441">
        <v>1</v>
      </c>
      <c r="F2444" s="1363">
        <v>1.43</v>
      </c>
      <c r="G2444" s="1363">
        <v>0.23</v>
      </c>
      <c r="H2444" s="1363">
        <v>0.19000000000000006</v>
      </c>
      <c r="I2444" s="399">
        <f t="shared" si="58"/>
        <v>0.06</v>
      </c>
      <c r="J2444" s="442"/>
      <c r="K2444" s="1263"/>
      <c r="L2444" s="461"/>
      <c r="M2444" s="461"/>
      <c r="N2444" s="461"/>
    </row>
    <row r="2445" spans="1:14" s="462" customFormat="1" hidden="1" outlineLevel="1">
      <c r="A2445" s="1261"/>
      <c r="B2445" s="260"/>
      <c r="C2445" s="439"/>
      <c r="D2445" s="440"/>
      <c r="E2445" s="441"/>
      <c r="F2445" s="1363"/>
      <c r="G2445" s="1363"/>
      <c r="H2445" s="1363"/>
      <c r="I2445" s="399" t="str">
        <f t="shared" si="58"/>
        <v/>
      </c>
      <c r="J2445" s="442"/>
      <c r="K2445" s="1263"/>
      <c r="L2445" s="461"/>
      <c r="M2445" s="461"/>
      <c r="N2445" s="461"/>
    </row>
    <row r="2446" spans="1:14" s="462" customFormat="1" hidden="1" outlineLevel="1">
      <c r="A2446" s="1261"/>
      <c r="B2446" s="260"/>
      <c r="C2446" s="439" t="s">
        <v>2</v>
      </c>
      <c r="D2446" s="440">
        <v>1</v>
      </c>
      <c r="E2446" s="441">
        <v>1</v>
      </c>
      <c r="F2446" s="1363">
        <v>10.28</v>
      </c>
      <c r="G2446" s="1363">
        <v>0.46</v>
      </c>
      <c r="H2446" s="1363">
        <v>0.3</v>
      </c>
      <c r="I2446" s="399">
        <f t="shared" si="58"/>
        <v>1.42</v>
      </c>
      <c r="J2446" s="442"/>
      <c r="K2446" s="1263"/>
      <c r="L2446" s="461"/>
      <c r="M2446" s="461"/>
      <c r="N2446" s="461"/>
    </row>
    <row r="2447" spans="1:14" s="462" customFormat="1" hidden="1" outlineLevel="1">
      <c r="A2447" s="1261"/>
      <c r="B2447" s="260"/>
      <c r="C2447" s="439" t="s">
        <v>2</v>
      </c>
      <c r="D2447" s="440">
        <v>1</v>
      </c>
      <c r="E2447" s="441">
        <v>1</v>
      </c>
      <c r="F2447" s="1363">
        <v>10.049999999999999</v>
      </c>
      <c r="G2447" s="1363">
        <v>0.34499999999999997</v>
      </c>
      <c r="H2447" s="1363">
        <v>0.3</v>
      </c>
      <c r="I2447" s="399">
        <f t="shared" si="58"/>
        <v>1.04</v>
      </c>
      <c r="J2447" s="442"/>
      <c r="K2447" s="1263"/>
      <c r="L2447" s="461"/>
      <c r="M2447" s="461"/>
      <c r="N2447" s="461"/>
    </row>
    <row r="2448" spans="1:14" s="462" customFormat="1" hidden="1" outlineLevel="1">
      <c r="A2448" s="1261"/>
      <c r="B2448" s="260"/>
      <c r="C2448" s="439" t="s">
        <v>2</v>
      </c>
      <c r="D2448" s="440">
        <v>1</v>
      </c>
      <c r="E2448" s="441">
        <v>1</v>
      </c>
      <c r="F2448" s="1363">
        <v>9.82</v>
      </c>
      <c r="G2448" s="1363">
        <v>0.23</v>
      </c>
      <c r="H2448" s="1363">
        <v>0.19000000000000006</v>
      </c>
      <c r="I2448" s="399">
        <f t="shared" si="58"/>
        <v>0.43</v>
      </c>
      <c r="J2448" s="442"/>
      <c r="K2448" s="1263"/>
      <c r="L2448" s="461"/>
      <c r="M2448" s="461"/>
      <c r="N2448" s="461"/>
    </row>
    <row r="2449" spans="1:14" s="462" customFormat="1" hidden="1" outlineLevel="1">
      <c r="A2449" s="1261"/>
      <c r="B2449" s="260" t="s">
        <v>273</v>
      </c>
      <c r="C2449" s="439" t="s">
        <v>2</v>
      </c>
      <c r="D2449" s="440">
        <v>1</v>
      </c>
      <c r="E2449" s="441">
        <v>5</v>
      </c>
      <c r="F2449" s="1363">
        <v>3</v>
      </c>
      <c r="G2449" s="1363">
        <v>0.115</v>
      </c>
      <c r="H2449" s="1363">
        <v>0.19000000000000006</v>
      </c>
      <c r="I2449" s="399">
        <f t="shared" si="58"/>
        <v>0.33</v>
      </c>
      <c r="J2449" s="442"/>
      <c r="K2449" s="1263"/>
      <c r="L2449" s="461"/>
      <c r="M2449" s="461"/>
      <c r="N2449" s="461"/>
    </row>
    <row r="2450" spans="1:14" s="462" customFormat="1" hidden="1" outlineLevel="1">
      <c r="A2450" s="1261"/>
      <c r="B2450" s="260"/>
      <c r="C2450" s="439" t="s">
        <v>2</v>
      </c>
      <c r="D2450" s="440">
        <v>1</v>
      </c>
      <c r="E2450" s="441">
        <v>5</v>
      </c>
      <c r="F2450" s="1363">
        <v>3</v>
      </c>
      <c r="G2450" s="1363">
        <v>0.34499999999999997</v>
      </c>
      <c r="H2450" s="1363">
        <v>0.42499999999999999</v>
      </c>
      <c r="I2450" s="399">
        <f t="shared" si="58"/>
        <v>2.2000000000000002</v>
      </c>
      <c r="J2450" s="442"/>
      <c r="K2450" s="1263"/>
      <c r="L2450" s="461"/>
      <c r="M2450" s="461"/>
      <c r="N2450" s="461"/>
    </row>
    <row r="2451" spans="1:14" s="462" customFormat="1" hidden="1" outlineLevel="1">
      <c r="A2451" s="1261"/>
      <c r="B2451" s="260"/>
      <c r="C2451" s="439"/>
      <c r="D2451" s="440"/>
      <c r="E2451" s="441"/>
      <c r="F2451" s="1363"/>
      <c r="G2451" s="1363"/>
      <c r="H2451" s="1363"/>
      <c r="I2451" s="399" t="str">
        <f t="shared" si="58"/>
        <v/>
      </c>
      <c r="J2451" s="442"/>
      <c r="K2451" s="1263"/>
      <c r="L2451" s="461"/>
      <c r="M2451" s="461"/>
      <c r="N2451" s="461"/>
    </row>
    <row r="2452" spans="1:14" s="462" customFormat="1" hidden="1" outlineLevel="1">
      <c r="A2452" s="1261"/>
      <c r="B2452" s="260" t="s">
        <v>215</v>
      </c>
      <c r="C2452" s="439"/>
      <c r="D2452" s="440"/>
      <c r="E2452" s="441"/>
      <c r="F2452" s="1363"/>
      <c r="G2452" s="1363"/>
      <c r="H2452" s="1363"/>
      <c r="I2452" s="399" t="str">
        <f t="shared" si="58"/>
        <v/>
      </c>
      <c r="J2452" s="442"/>
      <c r="K2452" s="1263"/>
      <c r="L2452" s="461"/>
      <c r="M2452" s="461"/>
      <c r="N2452" s="461"/>
    </row>
    <row r="2453" spans="1:14" s="462" customFormat="1" hidden="1" outlineLevel="1">
      <c r="A2453" s="1261"/>
      <c r="B2453" s="260"/>
      <c r="C2453" s="439" t="s">
        <v>2</v>
      </c>
      <c r="D2453" s="440">
        <v>1</v>
      </c>
      <c r="E2453" s="441">
        <v>7</v>
      </c>
      <c r="F2453" s="1363">
        <v>0.61499999999999999</v>
      </c>
      <c r="G2453" s="1363">
        <v>0.46</v>
      </c>
      <c r="H2453" s="1363">
        <v>0.3</v>
      </c>
      <c r="I2453" s="399">
        <f t="shared" si="58"/>
        <v>0.59</v>
      </c>
      <c r="J2453" s="442"/>
      <c r="K2453" s="1263"/>
      <c r="L2453" s="461"/>
      <c r="M2453" s="461"/>
      <c r="N2453" s="461"/>
    </row>
    <row r="2454" spans="1:14" s="462" customFormat="1" hidden="1" outlineLevel="1">
      <c r="A2454" s="1261"/>
      <c r="B2454" s="260"/>
      <c r="C2454" s="439" t="s">
        <v>2</v>
      </c>
      <c r="D2454" s="440">
        <v>1</v>
      </c>
      <c r="E2454" s="441">
        <v>7</v>
      </c>
      <c r="F2454" s="1363">
        <v>0.61499999999999999</v>
      </c>
      <c r="G2454" s="1363">
        <v>0.34499999999999997</v>
      </c>
      <c r="H2454" s="1363">
        <v>0.3</v>
      </c>
      <c r="I2454" s="399">
        <f t="shared" si="58"/>
        <v>0.45</v>
      </c>
      <c r="J2454" s="442"/>
      <c r="K2454" s="1263"/>
      <c r="L2454" s="461"/>
      <c r="M2454" s="461"/>
      <c r="N2454" s="461"/>
    </row>
    <row r="2455" spans="1:14" s="462" customFormat="1" hidden="1" outlineLevel="1">
      <c r="A2455" s="1261"/>
      <c r="B2455" s="260"/>
      <c r="C2455" s="439" t="s">
        <v>2</v>
      </c>
      <c r="D2455" s="440">
        <v>1</v>
      </c>
      <c r="E2455" s="441">
        <v>7</v>
      </c>
      <c r="F2455" s="1363">
        <v>0.61499999999999999</v>
      </c>
      <c r="G2455" s="1363">
        <v>0.23</v>
      </c>
      <c r="H2455" s="1363">
        <v>0.19000000000000006</v>
      </c>
      <c r="I2455" s="399">
        <f t="shared" si="58"/>
        <v>0.19</v>
      </c>
      <c r="J2455" s="442"/>
      <c r="K2455" s="1263"/>
      <c r="L2455" s="461"/>
      <c r="M2455" s="461"/>
      <c r="N2455" s="461"/>
    </row>
    <row r="2456" spans="1:14" s="462" customFormat="1" hidden="1" outlineLevel="1">
      <c r="A2456" s="1261"/>
      <c r="B2456" s="260"/>
      <c r="C2456" s="439"/>
      <c r="D2456" s="440"/>
      <c r="E2456" s="441"/>
      <c r="F2456" s="1363"/>
      <c r="G2456" s="1363"/>
      <c r="H2456" s="1363"/>
      <c r="I2456" s="399" t="str">
        <f t="shared" ref="I2456:I2519" si="59">IF(D2456&lt;&gt;0,ROUND(PRODUCT(E2456:H2456)*D2456,2),"")</f>
        <v/>
      </c>
      <c r="J2456" s="442"/>
      <c r="K2456" s="1263"/>
      <c r="L2456" s="461"/>
      <c r="M2456" s="461"/>
      <c r="N2456" s="461"/>
    </row>
    <row r="2457" spans="1:14" s="462" customFormat="1" hidden="1" outlineLevel="1">
      <c r="A2457" s="1261"/>
      <c r="B2457" s="260"/>
      <c r="C2457" s="439" t="s">
        <v>2</v>
      </c>
      <c r="D2457" s="440">
        <v>1</v>
      </c>
      <c r="E2457" s="441">
        <v>1</v>
      </c>
      <c r="F2457" s="1364">
        <v>1.675</v>
      </c>
      <c r="G2457" s="1363">
        <v>0.46</v>
      </c>
      <c r="H2457" s="1363">
        <v>0.3</v>
      </c>
      <c r="I2457" s="399">
        <f t="shared" si="59"/>
        <v>0.23</v>
      </c>
      <c r="J2457" s="442"/>
      <c r="K2457" s="1263"/>
      <c r="L2457" s="461"/>
      <c r="M2457" s="461"/>
      <c r="N2457" s="461"/>
    </row>
    <row r="2458" spans="1:14" s="462" customFormat="1" hidden="1" outlineLevel="1">
      <c r="A2458" s="1261"/>
      <c r="B2458" s="260"/>
      <c r="C2458" s="439" t="s">
        <v>2</v>
      </c>
      <c r="D2458" s="440">
        <v>1</v>
      </c>
      <c r="E2458" s="441">
        <v>1</v>
      </c>
      <c r="F2458" s="1364">
        <v>1.79</v>
      </c>
      <c r="G2458" s="1363">
        <v>0.34499999999999997</v>
      </c>
      <c r="H2458" s="1363">
        <v>0.3</v>
      </c>
      <c r="I2458" s="399">
        <f t="shared" si="59"/>
        <v>0.19</v>
      </c>
      <c r="J2458" s="442"/>
      <c r="K2458" s="1263"/>
      <c r="L2458" s="461"/>
      <c r="M2458" s="461"/>
      <c r="N2458" s="461"/>
    </row>
    <row r="2459" spans="1:14" s="462" customFormat="1" hidden="1" outlineLevel="1">
      <c r="A2459" s="1261"/>
      <c r="B2459" s="260"/>
      <c r="C2459" s="439" t="s">
        <v>2</v>
      </c>
      <c r="D2459" s="440">
        <v>1</v>
      </c>
      <c r="E2459" s="441">
        <v>1</v>
      </c>
      <c r="F2459" s="1364">
        <v>1.905</v>
      </c>
      <c r="G2459" s="1363">
        <v>0.23</v>
      </c>
      <c r="H2459" s="1363">
        <v>0.19000000000000006</v>
      </c>
      <c r="I2459" s="399">
        <f t="shared" si="59"/>
        <v>0.08</v>
      </c>
      <c r="J2459" s="442"/>
      <c r="K2459" s="1263"/>
      <c r="L2459" s="461"/>
      <c r="M2459" s="461"/>
      <c r="N2459" s="461"/>
    </row>
    <row r="2460" spans="1:14" s="462" customFormat="1" hidden="1" outlineLevel="1">
      <c r="A2460" s="1261"/>
      <c r="B2460" s="260"/>
      <c r="C2460" s="439"/>
      <c r="D2460" s="440"/>
      <c r="E2460" s="441"/>
      <c r="F2460" s="1363"/>
      <c r="G2460" s="1363"/>
      <c r="H2460" s="1363"/>
      <c r="I2460" s="399" t="str">
        <f t="shared" si="59"/>
        <v/>
      </c>
      <c r="J2460" s="442"/>
      <c r="K2460" s="1263"/>
      <c r="L2460" s="461"/>
      <c r="M2460" s="461"/>
      <c r="N2460" s="461"/>
    </row>
    <row r="2461" spans="1:14" s="462" customFormat="1" hidden="1" outlineLevel="1">
      <c r="A2461" s="1261"/>
      <c r="B2461" s="260"/>
      <c r="C2461" s="439" t="s">
        <v>2</v>
      </c>
      <c r="D2461" s="440">
        <v>1</v>
      </c>
      <c r="E2461" s="441">
        <v>1</v>
      </c>
      <c r="F2461" s="1363">
        <v>0.6</v>
      </c>
      <c r="G2461" s="1363">
        <v>0.46</v>
      </c>
      <c r="H2461" s="1363">
        <v>0.3</v>
      </c>
      <c r="I2461" s="399">
        <f t="shared" si="59"/>
        <v>0.08</v>
      </c>
      <c r="J2461" s="442"/>
      <c r="K2461" s="1263"/>
      <c r="L2461" s="461"/>
      <c r="M2461" s="461"/>
      <c r="N2461" s="461"/>
    </row>
    <row r="2462" spans="1:14" s="462" customFormat="1" hidden="1" outlineLevel="1">
      <c r="A2462" s="1261"/>
      <c r="B2462" s="260"/>
      <c r="C2462" s="439" t="s">
        <v>2</v>
      </c>
      <c r="D2462" s="440">
        <v>1</v>
      </c>
      <c r="E2462" s="441">
        <v>1</v>
      </c>
      <c r="F2462" s="1363">
        <v>0.83000000000000007</v>
      </c>
      <c r="G2462" s="1363">
        <v>0.34499999999999997</v>
      </c>
      <c r="H2462" s="1363">
        <v>0.3</v>
      </c>
      <c r="I2462" s="399">
        <f t="shared" si="59"/>
        <v>0.09</v>
      </c>
      <c r="J2462" s="442"/>
      <c r="K2462" s="1263"/>
      <c r="L2462" s="461"/>
      <c r="M2462" s="461"/>
      <c r="N2462" s="461"/>
    </row>
    <row r="2463" spans="1:14" s="462" customFormat="1" hidden="1" outlineLevel="1">
      <c r="A2463" s="1261"/>
      <c r="B2463" s="260"/>
      <c r="C2463" s="439" t="s">
        <v>2</v>
      </c>
      <c r="D2463" s="440">
        <v>1</v>
      </c>
      <c r="E2463" s="441">
        <v>1</v>
      </c>
      <c r="F2463" s="1363">
        <v>1.06</v>
      </c>
      <c r="G2463" s="1363">
        <v>0.23</v>
      </c>
      <c r="H2463" s="1363">
        <v>0.19000000000000006</v>
      </c>
      <c r="I2463" s="399">
        <f t="shared" si="59"/>
        <v>0.05</v>
      </c>
      <c r="J2463" s="442"/>
      <c r="K2463" s="1263"/>
      <c r="L2463" s="461"/>
      <c r="M2463" s="461"/>
      <c r="N2463" s="461"/>
    </row>
    <row r="2464" spans="1:14" s="462" customFormat="1" hidden="1" outlineLevel="1">
      <c r="A2464" s="1261"/>
      <c r="B2464" s="260"/>
      <c r="C2464" s="439"/>
      <c r="D2464" s="440"/>
      <c r="E2464" s="441"/>
      <c r="F2464" s="1363"/>
      <c r="G2464" s="1363"/>
      <c r="H2464" s="1363"/>
      <c r="I2464" s="399" t="str">
        <f t="shared" si="59"/>
        <v/>
      </c>
      <c r="J2464" s="442"/>
      <c r="K2464" s="1263"/>
      <c r="L2464" s="461"/>
      <c r="M2464" s="461"/>
      <c r="N2464" s="461"/>
    </row>
    <row r="2465" spans="1:14" s="462" customFormat="1" hidden="1" outlineLevel="1">
      <c r="A2465" s="1261"/>
      <c r="B2465" s="260"/>
      <c r="C2465" s="439" t="s">
        <v>2</v>
      </c>
      <c r="D2465" s="440">
        <v>1</v>
      </c>
      <c r="E2465" s="441">
        <v>5</v>
      </c>
      <c r="F2465" s="1363">
        <v>1.21</v>
      </c>
      <c r="G2465" s="1363">
        <v>0.46</v>
      </c>
      <c r="H2465" s="1363">
        <v>0.3</v>
      </c>
      <c r="I2465" s="399">
        <f t="shared" si="59"/>
        <v>0.83</v>
      </c>
      <c r="J2465" s="442"/>
      <c r="K2465" s="1263"/>
      <c r="L2465" s="461"/>
      <c r="M2465" s="461"/>
      <c r="N2465" s="461"/>
    </row>
    <row r="2466" spans="1:14" s="462" customFormat="1" hidden="1" outlineLevel="1">
      <c r="A2466" s="1261"/>
      <c r="B2466" s="260"/>
      <c r="C2466" s="439" t="s">
        <v>2</v>
      </c>
      <c r="D2466" s="440">
        <v>1</v>
      </c>
      <c r="E2466" s="441">
        <v>5</v>
      </c>
      <c r="F2466" s="1363">
        <v>1.44</v>
      </c>
      <c r="G2466" s="1363">
        <v>0.34499999999999997</v>
      </c>
      <c r="H2466" s="1363">
        <v>0.3</v>
      </c>
      <c r="I2466" s="399">
        <f t="shared" si="59"/>
        <v>0.75</v>
      </c>
      <c r="J2466" s="442"/>
      <c r="K2466" s="1263"/>
      <c r="L2466" s="461"/>
      <c r="M2466" s="461"/>
      <c r="N2466" s="461"/>
    </row>
    <row r="2467" spans="1:14" s="462" customFormat="1" hidden="1" outlineLevel="1">
      <c r="A2467" s="1261"/>
      <c r="B2467" s="260"/>
      <c r="C2467" s="439" t="s">
        <v>2</v>
      </c>
      <c r="D2467" s="440">
        <v>1</v>
      </c>
      <c r="E2467" s="441">
        <v>5</v>
      </c>
      <c r="F2467" s="1363">
        <v>1.67</v>
      </c>
      <c r="G2467" s="1363">
        <v>0.23</v>
      </c>
      <c r="H2467" s="1363">
        <v>0.19000000000000006</v>
      </c>
      <c r="I2467" s="399">
        <f t="shared" si="59"/>
        <v>0.36</v>
      </c>
      <c r="J2467" s="442"/>
      <c r="K2467" s="1263"/>
      <c r="L2467" s="461"/>
      <c r="M2467" s="461"/>
      <c r="N2467" s="461"/>
    </row>
    <row r="2468" spans="1:14" s="462" customFormat="1" hidden="1" outlineLevel="1">
      <c r="A2468" s="1261"/>
      <c r="B2468" s="260"/>
      <c r="C2468" s="439"/>
      <c r="D2468" s="440"/>
      <c r="E2468" s="441"/>
      <c r="F2468" s="1363"/>
      <c r="G2468" s="1363"/>
      <c r="H2468" s="1363"/>
      <c r="I2468" s="399" t="str">
        <f t="shared" si="59"/>
        <v/>
      </c>
      <c r="J2468" s="442"/>
      <c r="K2468" s="1263"/>
      <c r="L2468" s="461"/>
      <c r="M2468" s="461"/>
      <c r="N2468" s="461"/>
    </row>
    <row r="2469" spans="1:14" s="462" customFormat="1" hidden="1" outlineLevel="1">
      <c r="A2469" s="1261"/>
      <c r="B2469" s="260"/>
      <c r="C2469" s="439" t="s">
        <v>2</v>
      </c>
      <c r="D2469" s="440">
        <v>1</v>
      </c>
      <c r="E2469" s="441">
        <v>1</v>
      </c>
      <c r="F2469" s="1363">
        <v>3.36</v>
      </c>
      <c r="G2469" s="1363">
        <v>0.46</v>
      </c>
      <c r="H2469" s="1363">
        <v>0.3</v>
      </c>
      <c r="I2469" s="399">
        <f t="shared" si="59"/>
        <v>0.46</v>
      </c>
      <c r="J2469" s="442"/>
      <c r="K2469" s="1263"/>
      <c r="L2469" s="461"/>
      <c r="M2469" s="461"/>
      <c r="N2469" s="461"/>
    </row>
    <row r="2470" spans="1:14" s="462" customFormat="1" hidden="1" outlineLevel="1">
      <c r="A2470" s="1261"/>
      <c r="B2470" s="260"/>
      <c r="C2470" s="439" t="s">
        <v>2</v>
      </c>
      <c r="D2470" s="440">
        <v>1</v>
      </c>
      <c r="E2470" s="441">
        <v>1</v>
      </c>
      <c r="F2470" s="1363">
        <v>3.36</v>
      </c>
      <c r="G2470" s="1363">
        <v>0.34499999999999997</v>
      </c>
      <c r="H2470" s="1363">
        <v>0.3</v>
      </c>
      <c r="I2470" s="399">
        <f t="shared" si="59"/>
        <v>0.35</v>
      </c>
      <c r="J2470" s="442"/>
      <c r="K2470" s="1263"/>
      <c r="L2470" s="461"/>
      <c r="M2470" s="461"/>
      <c r="N2470" s="461"/>
    </row>
    <row r="2471" spans="1:14" s="462" customFormat="1" hidden="1" outlineLevel="1">
      <c r="A2471" s="1261"/>
      <c r="B2471" s="260"/>
      <c r="C2471" s="439" t="s">
        <v>2</v>
      </c>
      <c r="D2471" s="440">
        <v>1</v>
      </c>
      <c r="E2471" s="441">
        <v>1</v>
      </c>
      <c r="F2471" s="1363">
        <v>3.36</v>
      </c>
      <c r="G2471" s="1363">
        <v>0.23</v>
      </c>
      <c r="H2471" s="1363">
        <v>0.19000000000000006</v>
      </c>
      <c r="I2471" s="399">
        <f t="shared" si="59"/>
        <v>0.15</v>
      </c>
      <c r="J2471" s="442"/>
      <c r="K2471" s="1263"/>
      <c r="L2471" s="461"/>
      <c r="M2471" s="461"/>
      <c r="N2471" s="461"/>
    </row>
    <row r="2472" spans="1:14" s="462" customFormat="1" hidden="1" outlineLevel="1">
      <c r="A2472" s="1261"/>
      <c r="B2472" s="260"/>
      <c r="C2472" s="439"/>
      <c r="D2472" s="440"/>
      <c r="E2472" s="441"/>
      <c r="F2472" s="1363"/>
      <c r="G2472" s="1363"/>
      <c r="H2472" s="1363"/>
      <c r="I2472" s="399" t="str">
        <f t="shared" si="59"/>
        <v/>
      </c>
      <c r="J2472" s="442"/>
      <c r="K2472" s="1263"/>
      <c r="L2472" s="461"/>
      <c r="M2472" s="461"/>
      <c r="N2472" s="461"/>
    </row>
    <row r="2473" spans="1:14" s="462" customFormat="1" hidden="1" outlineLevel="1">
      <c r="A2473" s="1261"/>
      <c r="B2473" s="260"/>
      <c r="C2473" s="439" t="s">
        <v>2</v>
      </c>
      <c r="D2473" s="440">
        <v>1</v>
      </c>
      <c r="E2473" s="441">
        <v>2</v>
      </c>
      <c r="F2473" s="1364">
        <v>2.2850000000000001</v>
      </c>
      <c r="G2473" s="1363">
        <v>0.46</v>
      </c>
      <c r="H2473" s="1363">
        <v>0.3</v>
      </c>
      <c r="I2473" s="399">
        <f t="shared" si="59"/>
        <v>0.63</v>
      </c>
      <c r="J2473" s="442"/>
      <c r="K2473" s="1263"/>
      <c r="L2473" s="461"/>
      <c r="M2473" s="461"/>
      <c r="N2473" s="461"/>
    </row>
    <row r="2474" spans="1:14" s="462" customFormat="1" hidden="1" outlineLevel="1">
      <c r="A2474" s="1261"/>
      <c r="B2474" s="260"/>
      <c r="C2474" s="439" t="s">
        <v>2</v>
      </c>
      <c r="D2474" s="440">
        <v>1</v>
      </c>
      <c r="E2474" s="441">
        <v>2</v>
      </c>
      <c r="F2474" s="1364">
        <v>2.17</v>
      </c>
      <c r="G2474" s="1363">
        <v>0.34499999999999997</v>
      </c>
      <c r="H2474" s="1363">
        <v>0.3</v>
      </c>
      <c r="I2474" s="399">
        <f t="shared" si="59"/>
        <v>0.45</v>
      </c>
      <c r="J2474" s="442"/>
      <c r="K2474" s="1263"/>
      <c r="L2474" s="461"/>
      <c r="M2474" s="461"/>
      <c r="N2474" s="461"/>
    </row>
    <row r="2475" spans="1:14" s="462" customFormat="1" hidden="1" outlineLevel="1">
      <c r="A2475" s="1261"/>
      <c r="B2475" s="260"/>
      <c r="C2475" s="439" t="s">
        <v>2</v>
      </c>
      <c r="D2475" s="440">
        <v>1</v>
      </c>
      <c r="E2475" s="441">
        <v>2</v>
      </c>
      <c r="F2475" s="1364">
        <v>2.0350000000000001</v>
      </c>
      <c r="G2475" s="1363">
        <v>0.23</v>
      </c>
      <c r="H2475" s="1363">
        <v>0.19000000000000006</v>
      </c>
      <c r="I2475" s="399">
        <f t="shared" si="59"/>
        <v>0.18</v>
      </c>
      <c r="J2475" s="442"/>
      <c r="K2475" s="1263"/>
      <c r="L2475" s="461"/>
      <c r="M2475" s="461"/>
      <c r="N2475" s="461"/>
    </row>
    <row r="2476" spans="1:14" s="462" customFormat="1" hidden="1" outlineLevel="1">
      <c r="A2476" s="1261"/>
      <c r="B2476" s="260"/>
      <c r="C2476" s="439"/>
      <c r="D2476" s="440"/>
      <c r="E2476" s="441"/>
      <c r="F2476" s="1363"/>
      <c r="G2476" s="1363"/>
      <c r="H2476" s="1363"/>
      <c r="I2476" s="399" t="str">
        <f t="shared" si="59"/>
        <v/>
      </c>
      <c r="J2476" s="442"/>
      <c r="K2476" s="1263"/>
      <c r="L2476" s="461"/>
      <c r="M2476" s="461"/>
      <c r="N2476" s="461"/>
    </row>
    <row r="2477" spans="1:14" s="462" customFormat="1" hidden="1" outlineLevel="1">
      <c r="A2477" s="1261"/>
      <c r="B2477" s="260"/>
      <c r="C2477" s="439"/>
      <c r="D2477" s="440"/>
      <c r="E2477" s="441"/>
      <c r="F2477" s="1363"/>
      <c r="G2477" s="1363"/>
      <c r="H2477" s="1363"/>
      <c r="I2477" s="399" t="str">
        <f t="shared" si="59"/>
        <v/>
      </c>
      <c r="J2477" s="442"/>
      <c r="K2477" s="1263"/>
      <c r="L2477" s="461"/>
      <c r="M2477" s="461"/>
      <c r="N2477" s="461"/>
    </row>
    <row r="2478" spans="1:14" s="462" customFormat="1" hidden="1" outlineLevel="1">
      <c r="A2478" s="1261"/>
      <c r="B2478" s="260" t="s">
        <v>277</v>
      </c>
      <c r="C2478" s="439"/>
      <c r="D2478" s="440"/>
      <c r="E2478" s="441"/>
      <c r="F2478" s="1363"/>
      <c r="G2478" s="1363"/>
      <c r="H2478" s="1363"/>
      <c r="I2478" s="399" t="str">
        <f t="shared" si="59"/>
        <v/>
      </c>
      <c r="J2478" s="442"/>
      <c r="K2478" s="1263"/>
      <c r="L2478" s="461"/>
      <c r="M2478" s="461"/>
      <c r="N2478" s="461"/>
    </row>
    <row r="2479" spans="1:14" s="462" customFormat="1" hidden="1" outlineLevel="1">
      <c r="A2479" s="1261"/>
      <c r="B2479" s="260"/>
      <c r="C2479" s="439"/>
      <c r="D2479" s="440"/>
      <c r="E2479" s="441"/>
      <c r="F2479" s="1363"/>
      <c r="G2479" s="1363"/>
      <c r="H2479" s="1363"/>
      <c r="I2479" s="399" t="str">
        <f t="shared" si="59"/>
        <v/>
      </c>
      <c r="J2479" s="442"/>
      <c r="K2479" s="1263"/>
      <c r="L2479" s="461"/>
      <c r="M2479" s="461"/>
      <c r="N2479" s="461"/>
    </row>
    <row r="2480" spans="1:14" s="462" customFormat="1" hidden="1" outlineLevel="1">
      <c r="A2480" s="1261"/>
      <c r="B2480" s="260" t="s">
        <v>285</v>
      </c>
      <c r="C2480" s="439" t="s">
        <v>2</v>
      </c>
      <c r="D2480" s="440">
        <v>1</v>
      </c>
      <c r="E2480" s="441">
        <v>1</v>
      </c>
      <c r="F2480" s="1363">
        <v>11.08</v>
      </c>
      <c r="G2480" s="1363">
        <v>0.46</v>
      </c>
      <c r="H2480" s="1363">
        <v>0.3</v>
      </c>
      <c r="I2480" s="399">
        <f t="shared" si="59"/>
        <v>1.53</v>
      </c>
      <c r="J2480" s="442"/>
      <c r="K2480" s="1263"/>
      <c r="L2480" s="461"/>
      <c r="M2480" s="461"/>
      <c r="N2480" s="461"/>
    </row>
    <row r="2481" spans="1:14" s="462" customFormat="1" hidden="1" outlineLevel="1">
      <c r="A2481" s="1261"/>
      <c r="B2481" s="260"/>
      <c r="C2481" s="439" t="s">
        <v>2</v>
      </c>
      <c r="D2481" s="440">
        <v>1</v>
      </c>
      <c r="E2481" s="441">
        <v>1</v>
      </c>
      <c r="F2481" s="1363">
        <v>10.85</v>
      </c>
      <c r="G2481" s="1363">
        <v>0.34499999999999997</v>
      </c>
      <c r="H2481" s="1363">
        <v>0.3</v>
      </c>
      <c r="I2481" s="399">
        <f t="shared" si="59"/>
        <v>1.1200000000000001</v>
      </c>
      <c r="J2481" s="442"/>
      <c r="K2481" s="1263"/>
      <c r="L2481" s="461"/>
      <c r="M2481" s="461"/>
      <c r="N2481" s="461"/>
    </row>
    <row r="2482" spans="1:14" s="462" customFormat="1" hidden="1" outlineLevel="1">
      <c r="A2482" s="1261"/>
      <c r="B2482" s="260"/>
      <c r="C2482" s="439" t="s">
        <v>2</v>
      </c>
      <c r="D2482" s="440">
        <v>1</v>
      </c>
      <c r="E2482" s="441">
        <v>1</v>
      </c>
      <c r="F2482" s="1363">
        <v>10.620000000000001</v>
      </c>
      <c r="G2482" s="1363">
        <v>0.23</v>
      </c>
      <c r="H2482" s="1363">
        <v>0.19000000000000006</v>
      </c>
      <c r="I2482" s="399">
        <f t="shared" si="59"/>
        <v>0.46</v>
      </c>
      <c r="J2482" s="442"/>
      <c r="K2482" s="1263"/>
      <c r="L2482" s="461"/>
      <c r="M2482" s="461"/>
      <c r="N2482" s="461"/>
    </row>
    <row r="2483" spans="1:14" s="462" customFormat="1" hidden="1" outlineLevel="1">
      <c r="A2483" s="1261"/>
      <c r="B2483" s="260"/>
      <c r="C2483" s="439"/>
      <c r="D2483" s="440"/>
      <c r="E2483" s="441"/>
      <c r="F2483" s="1363"/>
      <c r="G2483" s="1363"/>
      <c r="H2483" s="1363"/>
      <c r="I2483" s="399" t="str">
        <f t="shared" si="59"/>
        <v/>
      </c>
      <c r="J2483" s="442"/>
      <c r="K2483" s="1263"/>
      <c r="L2483" s="461"/>
      <c r="M2483" s="461"/>
      <c r="N2483" s="461"/>
    </row>
    <row r="2484" spans="1:14" s="462" customFormat="1" hidden="1" outlineLevel="1">
      <c r="A2484" s="1261"/>
      <c r="B2484" s="260"/>
      <c r="C2484" s="439" t="s">
        <v>2</v>
      </c>
      <c r="D2484" s="440">
        <v>1</v>
      </c>
      <c r="E2484" s="441">
        <v>1</v>
      </c>
      <c r="F2484" s="1363">
        <v>8.620000000000001</v>
      </c>
      <c r="G2484" s="1363">
        <v>0.46</v>
      </c>
      <c r="H2484" s="1363">
        <v>0.3</v>
      </c>
      <c r="I2484" s="399">
        <f t="shared" si="59"/>
        <v>1.19</v>
      </c>
      <c r="J2484" s="442"/>
      <c r="K2484" s="1263"/>
      <c r="L2484" s="461"/>
      <c r="M2484" s="461"/>
      <c r="N2484" s="461"/>
    </row>
    <row r="2485" spans="1:14" s="462" customFormat="1" hidden="1" outlineLevel="1">
      <c r="A2485" s="1261"/>
      <c r="B2485" s="260"/>
      <c r="C2485" s="439" t="s">
        <v>2</v>
      </c>
      <c r="D2485" s="440">
        <v>1</v>
      </c>
      <c r="E2485" s="441">
        <v>1</v>
      </c>
      <c r="F2485" s="1363">
        <v>8.5050000000000008</v>
      </c>
      <c r="G2485" s="1363">
        <v>0.34499999999999997</v>
      </c>
      <c r="H2485" s="1363">
        <v>0.3</v>
      </c>
      <c r="I2485" s="399">
        <f t="shared" si="59"/>
        <v>0.88</v>
      </c>
      <c r="J2485" s="442"/>
      <c r="K2485" s="1263"/>
      <c r="L2485" s="461"/>
      <c r="M2485" s="461"/>
      <c r="N2485" s="461"/>
    </row>
    <row r="2486" spans="1:14" s="462" customFormat="1" hidden="1" outlineLevel="1">
      <c r="A2486" s="1261"/>
      <c r="B2486" s="260"/>
      <c r="C2486" s="439" t="s">
        <v>2</v>
      </c>
      <c r="D2486" s="440">
        <v>1</v>
      </c>
      <c r="E2486" s="441">
        <v>1</v>
      </c>
      <c r="F2486" s="1363">
        <v>8.39</v>
      </c>
      <c r="G2486" s="1363">
        <v>0.23</v>
      </c>
      <c r="H2486" s="1363">
        <v>0.19000000000000006</v>
      </c>
      <c r="I2486" s="399">
        <f t="shared" si="59"/>
        <v>0.37</v>
      </c>
      <c r="J2486" s="442"/>
      <c r="K2486" s="1263"/>
      <c r="L2486" s="461"/>
      <c r="M2486" s="461"/>
      <c r="N2486" s="461"/>
    </row>
    <row r="2487" spans="1:14" s="462" customFormat="1" hidden="1" outlineLevel="1">
      <c r="A2487" s="1261"/>
      <c r="B2487" s="260"/>
      <c r="C2487" s="439"/>
      <c r="D2487" s="440"/>
      <c r="E2487" s="441"/>
      <c r="F2487" s="1363"/>
      <c r="G2487" s="1363"/>
      <c r="H2487" s="1363"/>
      <c r="I2487" s="399" t="str">
        <f t="shared" si="59"/>
        <v/>
      </c>
      <c r="J2487" s="442"/>
      <c r="K2487" s="1263"/>
      <c r="L2487" s="461"/>
      <c r="M2487" s="461"/>
      <c r="N2487" s="461"/>
    </row>
    <row r="2488" spans="1:14" s="462" customFormat="1" hidden="1" outlineLevel="1">
      <c r="A2488" s="1261"/>
      <c r="B2488" s="260" t="s">
        <v>218</v>
      </c>
      <c r="C2488" s="439" t="s">
        <v>2</v>
      </c>
      <c r="D2488" s="440">
        <v>1</v>
      </c>
      <c r="E2488" s="441">
        <v>2</v>
      </c>
      <c r="F2488" s="1363">
        <v>6.62</v>
      </c>
      <c r="G2488" s="1363">
        <v>0.46</v>
      </c>
      <c r="H2488" s="1363">
        <v>0.3</v>
      </c>
      <c r="I2488" s="399">
        <f t="shared" si="59"/>
        <v>1.83</v>
      </c>
      <c r="J2488" s="442"/>
      <c r="K2488" s="1263"/>
      <c r="L2488" s="461"/>
      <c r="M2488" s="461"/>
      <c r="N2488" s="461"/>
    </row>
    <row r="2489" spans="1:14" s="462" customFormat="1" hidden="1" outlineLevel="1">
      <c r="A2489" s="1261"/>
      <c r="B2489" s="260"/>
      <c r="C2489" s="439" t="s">
        <v>2</v>
      </c>
      <c r="D2489" s="440">
        <v>1</v>
      </c>
      <c r="E2489" s="441">
        <v>2</v>
      </c>
      <c r="F2489" s="1363">
        <v>6.5049999999999999</v>
      </c>
      <c r="G2489" s="1363">
        <v>0.34499999999999997</v>
      </c>
      <c r="H2489" s="1363">
        <v>0.3</v>
      </c>
      <c r="I2489" s="399">
        <f t="shared" si="59"/>
        <v>1.35</v>
      </c>
      <c r="J2489" s="442"/>
      <c r="K2489" s="1263"/>
      <c r="L2489" s="461"/>
      <c r="M2489" s="461"/>
      <c r="N2489" s="461"/>
    </row>
    <row r="2490" spans="1:14" s="462" customFormat="1" hidden="1" outlineLevel="1">
      <c r="A2490" s="1261"/>
      <c r="B2490" s="260"/>
      <c r="C2490" s="439" t="s">
        <v>2</v>
      </c>
      <c r="D2490" s="440">
        <v>1</v>
      </c>
      <c r="E2490" s="441">
        <v>2</v>
      </c>
      <c r="F2490" s="1363">
        <v>6.3900000000000006</v>
      </c>
      <c r="G2490" s="1363">
        <v>0.23</v>
      </c>
      <c r="H2490" s="1363">
        <v>0.19000000000000006</v>
      </c>
      <c r="I2490" s="399">
        <f t="shared" si="59"/>
        <v>0.56000000000000005</v>
      </c>
      <c r="J2490" s="442"/>
      <c r="K2490" s="1263"/>
      <c r="L2490" s="461"/>
      <c r="M2490" s="461"/>
      <c r="N2490" s="461"/>
    </row>
    <row r="2491" spans="1:14" s="462" customFormat="1" hidden="1" outlineLevel="1">
      <c r="A2491" s="1261"/>
      <c r="B2491" s="260"/>
      <c r="C2491" s="439"/>
      <c r="D2491" s="440"/>
      <c r="E2491" s="441"/>
      <c r="F2491" s="1363"/>
      <c r="G2491" s="1363"/>
      <c r="H2491" s="1363"/>
      <c r="I2491" s="399" t="str">
        <f t="shared" si="59"/>
        <v/>
      </c>
      <c r="J2491" s="442"/>
      <c r="K2491" s="1263"/>
      <c r="L2491" s="461"/>
      <c r="M2491" s="461"/>
      <c r="N2491" s="461"/>
    </row>
    <row r="2492" spans="1:14" s="462" customFormat="1" hidden="1" outlineLevel="1">
      <c r="A2492" s="1261"/>
      <c r="B2492" s="260" t="s">
        <v>219</v>
      </c>
      <c r="C2492" s="439" t="s">
        <v>2</v>
      </c>
      <c r="D2492" s="440">
        <v>1</v>
      </c>
      <c r="E2492" s="441">
        <v>2</v>
      </c>
      <c r="F2492" s="1363">
        <v>9.0200000000000014</v>
      </c>
      <c r="G2492" s="1363">
        <v>0.46</v>
      </c>
      <c r="H2492" s="1363">
        <v>0.3</v>
      </c>
      <c r="I2492" s="399">
        <f t="shared" si="59"/>
        <v>2.4900000000000002</v>
      </c>
      <c r="J2492" s="442"/>
      <c r="K2492" s="1263"/>
      <c r="L2492" s="461"/>
      <c r="M2492" s="461"/>
      <c r="N2492" s="461"/>
    </row>
    <row r="2493" spans="1:14" s="462" customFormat="1" hidden="1" outlineLevel="1">
      <c r="A2493" s="1261"/>
      <c r="B2493" s="260"/>
      <c r="C2493" s="439" t="s">
        <v>2</v>
      </c>
      <c r="D2493" s="440">
        <v>1</v>
      </c>
      <c r="E2493" s="441">
        <v>2</v>
      </c>
      <c r="F2493" s="1363">
        <v>8.9050000000000011</v>
      </c>
      <c r="G2493" s="1363">
        <v>0.34499999999999997</v>
      </c>
      <c r="H2493" s="1363">
        <v>0.3</v>
      </c>
      <c r="I2493" s="399">
        <f t="shared" si="59"/>
        <v>1.84</v>
      </c>
      <c r="J2493" s="442"/>
      <c r="K2493" s="1263"/>
      <c r="L2493" s="461"/>
      <c r="M2493" s="461"/>
      <c r="N2493" s="461"/>
    </row>
    <row r="2494" spans="1:14" s="462" customFormat="1" hidden="1" outlineLevel="1">
      <c r="A2494" s="1261"/>
      <c r="B2494" s="260"/>
      <c r="C2494" s="439" t="s">
        <v>2</v>
      </c>
      <c r="D2494" s="440">
        <v>1</v>
      </c>
      <c r="E2494" s="441">
        <v>2</v>
      </c>
      <c r="F2494" s="1363">
        <v>8.7900000000000009</v>
      </c>
      <c r="G2494" s="1363">
        <v>0.23</v>
      </c>
      <c r="H2494" s="1363">
        <v>0.19000000000000006</v>
      </c>
      <c r="I2494" s="399">
        <f t="shared" si="59"/>
        <v>0.77</v>
      </c>
      <c r="J2494" s="442"/>
      <c r="K2494" s="1263"/>
      <c r="L2494" s="461"/>
      <c r="M2494" s="461"/>
      <c r="N2494" s="461"/>
    </row>
    <row r="2495" spans="1:14" s="462" customFormat="1" hidden="1" outlineLevel="1">
      <c r="A2495" s="1261"/>
      <c r="B2495" s="260"/>
      <c r="C2495" s="439"/>
      <c r="D2495" s="440"/>
      <c r="E2495" s="441"/>
      <c r="F2495" s="1363"/>
      <c r="G2495" s="1363"/>
      <c r="H2495" s="1363"/>
      <c r="I2495" s="399" t="str">
        <f t="shared" si="59"/>
        <v/>
      </c>
      <c r="J2495" s="442"/>
      <c r="K2495" s="1263"/>
      <c r="L2495" s="461"/>
      <c r="M2495" s="461"/>
      <c r="N2495" s="461"/>
    </row>
    <row r="2496" spans="1:14" s="462" customFormat="1" hidden="1" outlineLevel="1">
      <c r="A2496" s="1261"/>
      <c r="B2496" s="260"/>
      <c r="C2496" s="439" t="s">
        <v>2</v>
      </c>
      <c r="D2496" s="440">
        <v>1</v>
      </c>
      <c r="E2496" s="441">
        <v>1</v>
      </c>
      <c r="F2496" s="1363">
        <v>8.120000000000001</v>
      </c>
      <c r="G2496" s="1363">
        <v>0.46</v>
      </c>
      <c r="H2496" s="1363">
        <v>0.3</v>
      </c>
      <c r="I2496" s="399">
        <f t="shared" si="59"/>
        <v>1.1200000000000001</v>
      </c>
      <c r="J2496" s="442"/>
      <c r="K2496" s="1263"/>
      <c r="L2496" s="461"/>
      <c r="M2496" s="461"/>
      <c r="N2496" s="461"/>
    </row>
    <row r="2497" spans="1:14" s="462" customFormat="1" hidden="1" outlineLevel="1">
      <c r="A2497" s="1261"/>
      <c r="B2497" s="260"/>
      <c r="C2497" s="439" t="s">
        <v>2</v>
      </c>
      <c r="D2497" s="440">
        <v>1</v>
      </c>
      <c r="E2497" s="441">
        <v>1</v>
      </c>
      <c r="F2497" s="1363">
        <v>8.0050000000000008</v>
      </c>
      <c r="G2497" s="1363">
        <v>0.34499999999999997</v>
      </c>
      <c r="H2497" s="1363">
        <v>0.3</v>
      </c>
      <c r="I2497" s="399">
        <f t="shared" si="59"/>
        <v>0.83</v>
      </c>
      <c r="J2497" s="442"/>
      <c r="K2497" s="1263"/>
      <c r="L2497" s="461"/>
      <c r="M2497" s="461"/>
      <c r="N2497" s="461"/>
    </row>
    <row r="2498" spans="1:14" s="462" customFormat="1" hidden="1" outlineLevel="1">
      <c r="A2498" s="1261"/>
      <c r="B2498" s="260"/>
      <c r="C2498" s="439" t="s">
        <v>2</v>
      </c>
      <c r="D2498" s="440">
        <v>1</v>
      </c>
      <c r="E2498" s="441">
        <v>1</v>
      </c>
      <c r="F2498" s="1363">
        <v>7.8900000000000006</v>
      </c>
      <c r="G2498" s="1363">
        <v>0.23</v>
      </c>
      <c r="H2498" s="1363">
        <v>0.19000000000000006</v>
      </c>
      <c r="I2498" s="399">
        <f t="shared" si="59"/>
        <v>0.34</v>
      </c>
      <c r="J2498" s="442"/>
      <c r="K2498" s="1263"/>
      <c r="L2498" s="461"/>
      <c r="M2498" s="461"/>
      <c r="N2498" s="461"/>
    </row>
    <row r="2499" spans="1:14" s="462" customFormat="1" hidden="1" outlineLevel="1">
      <c r="A2499" s="1261"/>
      <c r="B2499" s="260"/>
      <c r="C2499" s="439"/>
      <c r="D2499" s="440"/>
      <c r="E2499" s="441"/>
      <c r="F2499" s="1363"/>
      <c r="G2499" s="1363"/>
      <c r="H2499" s="1363"/>
      <c r="I2499" s="399" t="str">
        <f t="shared" si="59"/>
        <v/>
      </c>
      <c r="J2499" s="442"/>
      <c r="K2499" s="1263"/>
      <c r="L2499" s="461"/>
      <c r="M2499" s="461"/>
      <c r="N2499" s="461"/>
    </row>
    <row r="2500" spans="1:14" s="462" customFormat="1" hidden="1" outlineLevel="1">
      <c r="A2500" s="1261"/>
      <c r="B2500" s="260" t="s">
        <v>220</v>
      </c>
      <c r="C2500" s="439" t="s">
        <v>2</v>
      </c>
      <c r="D2500" s="440">
        <v>1</v>
      </c>
      <c r="E2500" s="441">
        <v>1</v>
      </c>
      <c r="F2500" s="1363">
        <v>10.58</v>
      </c>
      <c r="G2500" s="1363">
        <v>0.46</v>
      </c>
      <c r="H2500" s="1363">
        <v>0.3</v>
      </c>
      <c r="I2500" s="399">
        <f t="shared" si="59"/>
        <v>1.46</v>
      </c>
      <c r="J2500" s="442"/>
      <c r="K2500" s="1263"/>
      <c r="L2500" s="461"/>
      <c r="M2500" s="461"/>
      <c r="N2500" s="461"/>
    </row>
    <row r="2501" spans="1:14" s="462" customFormat="1" hidden="1" outlineLevel="1">
      <c r="A2501" s="1261"/>
      <c r="B2501" s="260"/>
      <c r="C2501" s="439" t="s">
        <v>2</v>
      </c>
      <c r="D2501" s="440">
        <v>1</v>
      </c>
      <c r="E2501" s="441">
        <v>1</v>
      </c>
      <c r="F2501" s="1363">
        <v>10.35</v>
      </c>
      <c r="G2501" s="1363">
        <v>0.34499999999999997</v>
      </c>
      <c r="H2501" s="1363">
        <v>0.3</v>
      </c>
      <c r="I2501" s="399">
        <f t="shared" si="59"/>
        <v>1.07</v>
      </c>
      <c r="J2501" s="442"/>
      <c r="K2501" s="1263"/>
      <c r="L2501" s="461"/>
      <c r="M2501" s="461"/>
      <c r="N2501" s="461"/>
    </row>
    <row r="2502" spans="1:14" s="462" customFormat="1" hidden="1" outlineLevel="1">
      <c r="A2502" s="1261"/>
      <c r="B2502" s="260"/>
      <c r="C2502" s="439" t="s">
        <v>2</v>
      </c>
      <c r="D2502" s="440">
        <v>1</v>
      </c>
      <c r="E2502" s="441">
        <v>1</v>
      </c>
      <c r="F2502" s="1363">
        <v>10.120000000000001</v>
      </c>
      <c r="G2502" s="1363">
        <v>0.23</v>
      </c>
      <c r="H2502" s="1363">
        <v>0.19000000000000006</v>
      </c>
      <c r="I2502" s="399">
        <f t="shared" si="59"/>
        <v>0.44</v>
      </c>
      <c r="J2502" s="442"/>
      <c r="K2502" s="1263"/>
      <c r="L2502" s="461"/>
      <c r="M2502" s="461"/>
      <c r="N2502" s="461"/>
    </row>
    <row r="2503" spans="1:14" s="462" customFormat="1" hidden="1" outlineLevel="1">
      <c r="A2503" s="1261"/>
      <c r="B2503" s="260" t="s">
        <v>273</v>
      </c>
      <c r="C2503" s="439" t="s">
        <v>2</v>
      </c>
      <c r="D2503" s="440">
        <v>1</v>
      </c>
      <c r="E2503" s="441">
        <v>3</v>
      </c>
      <c r="F2503" s="1363">
        <v>3</v>
      </c>
      <c r="G2503" s="1363">
        <v>0.115</v>
      </c>
      <c r="H2503" s="1363">
        <v>0.19000000000000006</v>
      </c>
      <c r="I2503" s="399">
        <f t="shared" si="59"/>
        <v>0.2</v>
      </c>
      <c r="J2503" s="442"/>
      <c r="K2503" s="1263"/>
      <c r="L2503" s="461"/>
      <c r="M2503" s="461"/>
      <c r="N2503" s="461"/>
    </row>
    <row r="2504" spans="1:14" s="462" customFormat="1" hidden="1" outlineLevel="1">
      <c r="A2504" s="1261"/>
      <c r="B2504" s="260"/>
      <c r="C2504" s="439" t="s">
        <v>2</v>
      </c>
      <c r="D2504" s="440">
        <v>1</v>
      </c>
      <c r="E2504" s="441">
        <v>3</v>
      </c>
      <c r="F2504" s="1363">
        <v>3</v>
      </c>
      <c r="G2504" s="1363">
        <v>0.34499999999999997</v>
      </c>
      <c r="H2504" s="1363">
        <v>0.42499999999999999</v>
      </c>
      <c r="I2504" s="399">
        <f t="shared" si="59"/>
        <v>1.32</v>
      </c>
      <c r="J2504" s="442"/>
      <c r="K2504" s="1263"/>
      <c r="L2504" s="461"/>
      <c r="M2504" s="461"/>
      <c r="N2504" s="461"/>
    </row>
    <row r="2505" spans="1:14" s="462" customFormat="1" hidden="1" outlineLevel="1">
      <c r="A2505" s="1261"/>
      <c r="B2505" s="260"/>
      <c r="C2505" s="439"/>
      <c r="D2505" s="440"/>
      <c r="E2505" s="441"/>
      <c r="F2505" s="1363"/>
      <c r="G2505" s="1363"/>
      <c r="H2505" s="1363"/>
      <c r="I2505" s="399" t="str">
        <f t="shared" si="59"/>
        <v/>
      </c>
      <c r="J2505" s="442"/>
      <c r="K2505" s="1263"/>
      <c r="L2505" s="461"/>
      <c r="M2505" s="461"/>
      <c r="N2505" s="461"/>
    </row>
    <row r="2506" spans="1:14" s="462" customFormat="1" hidden="1" outlineLevel="1">
      <c r="A2506" s="1261"/>
      <c r="B2506" s="260" t="s">
        <v>221</v>
      </c>
      <c r="C2506" s="439" t="s">
        <v>2</v>
      </c>
      <c r="D2506" s="440">
        <v>1</v>
      </c>
      <c r="E2506" s="441">
        <v>2</v>
      </c>
      <c r="F2506" s="1363">
        <v>0.61499999999999999</v>
      </c>
      <c r="G2506" s="1363">
        <v>0.46</v>
      </c>
      <c r="H2506" s="1363">
        <v>0.3</v>
      </c>
      <c r="I2506" s="399">
        <f t="shared" si="59"/>
        <v>0.17</v>
      </c>
      <c r="J2506" s="442"/>
      <c r="K2506" s="1263"/>
      <c r="L2506" s="461"/>
      <c r="M2506" s="461"/>
      <c r="N2506" s="461"/>
    </row>
    <row r="2507" spans="1:14" s="462" customFormat="1" hidden="1" outlineLevel="1">
      <c r="A2507" s="1261"/>
      <c r="B2507" s="260"/>
      <c r="C2507" s="439" t="s">
        <v>2</v>
      </c>
      <c r="D2507" s="440">
        <v>1</v>
      </c>
      <c r="E2507" s="441">
        <v>2</v>
      </c>
      <c r="F2507" s="1363">
        <v>0.61499999999999999</v>
      </c>
      <c r="G2507" s="1363">
        <v>0.34499999999999997</v>
      </c>
      <c r="H2507" s="1363">
        <v>0.3</v>
      </c>
      <c r="I2507" s="399">
        <f t="shared" si="59"/>
        <v>0.13</v>
      </c>
      <c r="J2507" s="442"/>
      <c r="K2507" s="1263"/>
      <c r="L2507" s="461"/>
      <c r="M2507" s="461"/>
      <c r="N2507" s="461"/>
    </row>
    <row r="2508" spans="1:14" s="462" customFormat="1" hidden="1" outlineLevel="1">
      <c r="A2508" s="1261"/>
      <c r="B2508" s="260"/>
      <c r="C2508" s="439" t="s">
        <v>2</v>
      </c>
      <c r="D2508" s="440">
        <v>1</v>
      </c>
      <c r="E2508" s="441">
        <v>2</v>
      </c>
      <c r="F2508" s="1363">
        <v>0.61499999999999999</v>
      </c>
      <c r="G2508" s="1363">
        <v>0.23</v>
      </c>
      <c r="H2508" s="1363">
        <v>0.19000000000000006</v>
      </c>
      <c r="I2508" s="399">
        <f t="shared" si="59"/>
        <v>0.05</v>
      </c>
      <c r="J2508" s="442"/>
      <c r="K2508" s="1263"/>
      <c r="L2508" s="461"/>
      <c r="M2508" s="461"/>
      <c r="N2508" s="461"/>
    </row>
    <row r="2509" spans="1:14" s="462" customFormat="1" hidden="1" outlineLevel="1">
      <c r="A2509" s="1261"/>
      <c r="B2509" s="260"/>
      <c r="C2509" s="439"/>
      <c r="D2509" s="440"/>
      <c r="E2509" s="441"/>
      <c r="F2509" s="1363"/>
      <c r="G2509" s="1363"/>
      <c r="H2509" s="1363"/>
      <c r="I2509" s="399" t="str">
        <f t="shared" si="59"/>
        <v/>
      </c>
      <c r="J2509" s="442"/>
      <c r="K2509" s="1263"/>
      <c r="L2509" s="461"/>
      <c r="M2509" s="461"/>
      <c r="N2509" s="461"/>
    </row>
    <row r="2510" spans="1:14" s="462" customFormat="1" hidden="1" outlineLevel="1">
      <c r="A2510" s="1261"/>
      <c r="B2510" s="260" t="s">
        <v>222</v>
      </c>
      <c r="C2510" s="439" t="s">
        <v>2</v>
      </c>
      <c r="D2510" s="440">
        <v>1</v>
      </c>
      <c r="E2510" s="441">
        <v>3</v>
      </c>
      <c r="F2510" s="1363">
        <v>1.1800000000000002</v>
      </c>
      <c r="G2510" s="1363">
        <v>0.46</v>
      </c>
      <c r="H2510" s="1363">
        <v>0.3</v>
      </c>
      <c r="I2510" s="399">
        <f t="shared" si="59"/>
        <v>0.49</v>
      </c>
      <c r="J2510" s="442"/>
      <c r="K2510" s="1263"/>
      <c r="L2510" s="461"/>
      <c r="M2510" s="461"/>
      <c r="N2510" s="461"/>
    </row>
    <row r="2511" spans="1:14" s="462" customFormat="1" hidden="1" outlineLevel="1">
      <c r="A2511" s="1261"/>
      <c r="B2511" s="260"/>
      <c r="C2511" s="439" t="s">
        <v>2</v>
      </c>
      <c r="D2511" s="440">
        <v>1</v>
      </c>
      <c r="E2511" s="441">
        <v>3</v>
      </c>
      <c r="F2511" s="1363">
        <v>1.4100000000000001</v>
      </c>
      <c r="G2511" s="1363">
        <v>0.34499999999999997</v>
      </c>
      <c r="H2511" s="1363">
        <v>0.3</v>
      </c>
      <c r="I2511" s="399">
        <f t="shared" si="59"/>
        <v>0.44</v>
      </c>
      <c r="J2511" s="442"/>
      <c r="K2511" s="1263"/>
      <c r="L2511" s="461"/>
      <c r="M2511" s="461"/>
      <c r="N2511" s="461"/>
    </row>
    <row r="2512" spans="1:14" s="462" customFormat="1" hidden="1" outlineLevel="1">
      <c r="A2512" s="1261"/>
      <c r="B2512" s="260"/>
      <c r="C2512" s="439" t="s">
        <v>2</v>
      </c>
      <c r="D2512" s="440">
        <v>1</v>
      </c>
      <c r="E2512" s="441">
        <v>3</v>
      </c>
      <c r="F2512" s="1363">
        <v>1.6400000000000001</v>
      </c>
      <c r="G2512" s="1363">
        <v>0.23</v>
      </c>
      <c r="H2512" s="1363">
        <v>0.19000000000000006</v>
      </c>
      <c r="I2512" s="399">
        <f t="shared" si="59"/>
        <v>0.22</v>
      </c>
      <c r="J2512" s="442"/>
      <c r="K2512" s="1263"/>
      <c r="L2512" s="461"/>
      <c r="M2512" s="461"/>
      <c r="N2512" s="461"/>
    </row>
    <row r="2513" spans="1:14" s="462" customFormat="1" hidden="1" outlineLevel="1">
      <c r="A2513" s="1261"/>
      <c r="B2513" s="260"/>
      <c r="C2513" s="439"/>
      <c r="D2513" s="440"/>
      <c r="E2513" s="441"/>
      <c r="F2513" s="1363"/>
      <c r="G2513" s="1363"/>
      <c r="H2513" s="1363"/>
      <c r="I2513" s="399" t="str">
        <f t="shared" si="59"/>
        <v/>
      </c>
      <c r="J2513" s="442"/>
      <c r="K2513" s="1263"/>
      <c r="L2513" s="461"/>
      <c r="M2513" s="461"/>
      <c r="N2513" s="461"/>
    </row>
    <row r="2514" spans="1:14" s="462" customFormat="1" hidden="1" outlineLevel="1">
      <c r="A2514" s="1261"/>
      <c r="B2514" s="260"/>
      <c r="C2514" s="439" t="s">
        <v>2</v>
      </c>
      <c r="D2514" s="440">
        <v>1</v>
      </c>
      <c r="E2514" s="441">
        <v>3</v>
      </c>
      <c r="F2514" s="1363">
        <v>3.36</v>
      </c>
      <c r="G2514" s="1363">
        <v>0.46</v>
      </c>
      <c r="H2514" s="1363">
        <v>0.3</v>
      </c>
      <c r="I2514" s="399">
        <f t="shared" si="59"/>
        <v>1.39</v>
      </c>
      <c r="J2514" s="442"/>
      <c r="K2514" s="1263"/>
      <c r="L2514" s="461"/>
      <c r="M2514" s="461"/>
      <c r="N2514" s="461"/>
    </row>
    <row r="2515" spans="1:14" s="462" customFormat="1" hidden="1" outlineLevel="1">
      <c r="A2515" s="1261"/>
      <c r="B2515" s="260"/>
      <c r="C2515" s="439" t="s">
        <v>2</v>
      </c>
      <c r="D2515" s="440">
        <v>1</v>
      </c>
      <c r="E2515" s="441">
        <v>3</v>
      </c>
      <c r="F2515" s="1363">
        <v>3.36</v>
      </c>
      <c r="G2515" s="1363">
        <v>0.34499999999999997</v>
      </c>
      <c r="H2515" s="1363">
        <v>0.3</v>
      </c>
      <c r="I2515" s="399">
        <f t="shared" si="59"/>
        <v>1.04</v>
      </c>
      <c r="J2515" s="442"/>
      <c r="K2515" s="1263"/>
      <c r="L2515" s="461"/>
      <c r="M2515" s="461"/>
      <c r="N2515" s="461"/>
    </row>
    <row r="2516" spans="1:14" s="462" customFormat="1" hidden="1" outlineLevel="1">
      <c r="A2516" s="1261"/>
      <c r="B2516" s="260"/>
      <c r="C2516" s="439" t="s">
        <v>2</v>
      </c>
      <c r="D2516" s="440">
        <v>1</v>
      </c>
      <c r="E2516" s="441">
        <v>3</v>
      </c>
      <c r="F2516" s="1363">
        <v>3.36</v>
      </c>
      <c r="G2516" s="1363">
        <v>0.23</v>
      </c>
      <c r="H2516" s="1363">
        <v>0.19000000000000006</v>
      </c>
      <c r="I2516" s="399">
        <f t="shared" si="59"/>
        <v>0.44</v>
      </c>
      <c r="J2516" s="442"/>
      <c r="K2516" s="1263"/>
      <c r="L2516" s="461"/>
      <c r="M2516" s="461"/>
      <c r="N2516" s="461"/>
    </row>
    <row r="2517" spans="1:14" s="462" customFormat="1" hidden="1" outlineLevel="1">
      <c r="A2517" s="1261"/>
      <c r="B2517" s="260"/>
      <c r="C2517" s="439"/>
      <c r="D2517" s="440"/>
      <c r="E2517" s="441"/>
      <c r="F2517" s="1363"/>
      <c r="G2517" s="1363"/>
      <c r="H2517" s="1363"/>
      <c r="I2517" s="399" t="str">
        <f t="shared" si="59"/>
        <v/>
      </c>
      <c r="J2517" s="442"/>
      <c r="K2517" s="1263"/>
      <c r="L2517" s="461"/>
      <c r="M2517" s="461"/>
      <c r="N2517" s="461"/>
    </row>
    <row r="2518" spans="1:14" s="462" customFormat="1" ht="34.5" hidden="1" outlineLevel="1">
      <c r="A2518" s="1261"/>
      <c r="B2518" s="260" t="s">
        <v>286</v>
      </c>
      <c r="C2518" s="439"/>
      <c r="D2518" s="440"/>
      <c r="E2518" s="441"/>
      <c r="F2518" s="1363"/>
      <c r="G2518" s="1363"/>
      <c r="H2518" s="1363"/>
      <c r="I2518" s="399" t="str">
        <f t="shared" si="59"/>
        <v/>
      </c>
      <c r="J2518" s="442"/>
      <c r="K2518" s="1263"/>
      <c r="L2518" s="461"/>
      <c r="M2518" s="461"/>
      <c r="N2518" s="461"/>
    </row>
    <row r="2519" spans="1:14" s="462" customFormat="1" hidden="1" outlineLevel="1">
      <c r="A2519" s="1261"/>
      <c r="B2519" s="260"/>
      <c r="C2519" s="439"/>
      <c r="D2519" s="440"/>
      <c r="E2519" s="441"/>
      <c r="F2519" s="1363"/>
      <c r="G2519" s="1363"/>
      <c r="H2519" s="1363"/>
      <c r="I2519" s="399" t="str">
        <f t="shared" si="59"/>
        <v/>
      </c>
      <c r="J2519" s="442"/>
      <c r="K2519" s="1263"/>
      <c r="L2519" s="461"/>
      <c r="M2519" s="461"/>
      <c r="N2519" s="461"/>
    </row>
    <row r="2520" spans="1:14" s="462" customFormat="1" hidden="1" outlineLevel="1">
      <c r="A2520" s="1261"/>
      <c r="B2520" s="260" t="s">
        <v>287</v>
      </c>
      <c r="C2520" s="439" t="s">
        <v>2</v>
      </c>
      <c r="D2520" s="440">
        <v>1</v>
      </c>
      <c r="E2520" s="441">
        <v>1</v>
      </c>
      <c r="F2520" s="1363">
        <v>33.619999999999997</v>
      </c>
      <c r="G2520" s="1363">
        <v>0.46</v>
      </c>
      <c r="H2520" s="1363">
        <v>0.3</v>
      </c>
      <c r="I2520" s="399">
        <f t="shared" ref="I2520:I2583" si="60">IF(D2520&lt;&gt;0,ROUND(PRODUCT(E2520:H2520)*D2520,2),"")</f>
        <v>4.6399999999999997</v>
      </c>
      <c r="J2520" s="442"/>
      <c r="K2520" s="1263"/>
      <c r="L2520" s="461"/>
      <c r="M2520" s="461"/>
      <c r="N2520" s="461"/>
    </row>
    <row r="2521" spans="1:14" s="462" customFormat="1" hidden="1" outlineLevel="1">
      <c r="A2521" s="1261"/>
      <c r="B2521" s="260"/>
      <c r="C2521" s="439" t="s">
        <v>2</v>
      </c>
      <c r="D2521" s="440">
        <v>1</v>
      </c>
      <c r="E2521" s="441">
        <v>1</v>
      </c>
      <c r="F2521" s="1363">
        <v>33.389999999999993</v>
      </c>
      <c r="G2521" s="1363">
        <v>0.34499999999999997</v>
      </c>
      <c r="H2521" s="1363">
        <v>0.3</v>
      </c>
      <c r="I2521" s="399">
        <f t="shared" si="60"/>
        <v>3.46</v>
      </c>
      <c r="J2521" s="442"/>
      <c r="K2521" s="1263"/>
      <c r="L2521" s="461"/>
      <c r="M2521" s="461"/>
      <c r="N2521" s="461"/>
    </row>
    <row r="2522" spans="1:14" s="462" customFormat="1" hidden="1" outlineLevel="1">
      <c r="A2522" s="1261"/>
      <c r="B2522" s="260"/>
      <c r="C2522" s="439" t="s">
        <v>2</v>
      </c>
      <c r="D2522" s="440">
        <v>1</v>
      </c>
      <c r="E2522" s="441">
        <v>1</v>
      </c>
      <c r="F2522" s="1363">
        <v>33.159999999999997</v>
      </c>
      <c r="G2522" s="1363">
        <v>0.23</v>
      </c>
      <c r="H2522" s="1363">
        <v>0.19000000000000006</v>
      </c>
      <c r="I2522" s="399">
        <f t="shared" si="60"/>
        <v>1.45</v>
      </c>
      <c r="J2522" s="442"/>
      <c r="K2522" s="1263"/>
      <c r="L2522" s="461"/>
      <c r="M2522" s="461"/>
      <c r="N2522" s="461"/>
    </row>
    <row r="2523" spans="1:14" s="462" customFormat="1" hidden="1" outlineLevel="1">
      <c r="A2523" s="1261"/>
      <c r="B2523" s="260"/>
      <c r="C2523" s="439"/>
      <c r="D2523" s="440"/>
      <c r="E2523" s="441"/>
      <c r="F2523" s="1363"/>
      <c r="G2523" s="1363"/>
      <c r="H2523" s="1363"/>
      <c r="I2523" s="399" t="str">
        <f t="shared" si="60"/>
        <v/>
      </c>
      <c r="J2523" s="442"/>
      <c r="K2523" s="1263"/>
      <c r="L2523" s="461"/>
      <c r="M2523" s="461"/>
      <c r="N2523" s="461"/>
    </row>
    <row r="2524" spans="1:14" s="462" customFormat="1" hidden="1" outlineLevel="1">
      <c r="A2524" s="1261"/>
      <c r="B2524" s="260"/>
      <c r="C2524" s="439" t="s">
        <v>2</v>
      </c>
      <c r="D2524" s="440">
        <v>1</v>
      </c>
      <c r="E2524" s="441">
        <v>1</v>
      </c>
      <c r="F2524" s="1363">
        <v>30.129999999999995</v>
      </c>
      <c r="G2524" s="1363">
        <v>0.46</v>
      </c>
      <c r="H2524" s="1363">
        <v>0.3</v>
      </c>
      <c r="I2524" s="399">
        <f t="shared" si="60"/>
        <v>4.16</v>
      </c>
      <c r="J2524" s="442"/>
      <c r="K2524" s="1263"/>
      <c r="L2524" s="461"/>
      <c r="M2524" s="461"/>
      <c r="N2524" s="461"/>
    </row>
    <row r="2525" spans="1:14" s="462" customFormat="1" hidden="1" outlineLevel="1">
      <c r="A2525" s="1261"/>
      <c r="B2525" s="260"/>
      <c r="C2525" s="439" t="s">
        <v>2</v>
      </c>
      <c r="D2525" s="440">
        <v>1</v>
      </c>
      <c r="E2525" s="441">
        <v>1</v>
      </c>
      <c r="F2525" s="1363">
        <v>30.129999999999995</v>
      </c>
      <c r="G2525" s="1363">
        <v>0.34499999999999997</v>
      </c>
      <c r="H2525" s="1363">
        <v>0.3</v>
      </c>
      <c r="I2525" s="399">
        <f t="shared" si="60"/>
        <v>3.12</v>
      </c>
      <c r="J2525" s="442"/>
      <c r="K2525" s="1263"/>
      <c r="L2525" s="461"/>
      <c r="M2525" s="461"/>
      <c r="N2525" s="461"/>
    </row>
    <row r="2526" spans="1:14" s="462" customFormat="1" hidden="1" outlineLevel="1">
      <c r="A2526" s="1261"/>
      <c r="B2526" s="260"/>
      <c r="C2526" s="439" t="s">
        <v>2</v>
      </c>
      <c r="D2526" s="440">
        <v>1</v>
      </c>
      <c r="E2526" s="441">
        <v>1</v>
      </c>
      <c r="F2526" s="1363">
        <v>30.129999999999995</v>
      </c>
      <c r="G2526" s="1363">
        <v>0.23</v>
      </c>
      <c r="H2526" s="1363">
        <v>0.19000000000000006</v>
      </c>
      <c r="I2526" s="399">
        <f t="shared" si="60"/>
        <v>1.32</v>
      </c>
      <c r="J2526" s="442"/>
      <c r="K2526" s="1263"/>
      <c r="L2526" s="461"/>
      <c r="M2526" s="461"/>
      <c r="N2526" s="461"/>
    </row>
    <row r="2527" spans="1:14" s="462" customFormat="1" hidden="1" outlineLevel="1">
      <c r="A2527" s="1261"/>
      <c r="B2527" s="260"/>
      <c r="C2527" s="439"/>
      <c r="D2527" s="440"/>
      <c r="E2527" s="441"/>
      <c r="F2527" s="1363"/>
      <c r="G2527" s="1363"/>
      <c r="H2527" s="1363"/>
      <c r="I2527" s="399" t="str">
        <f t="shared" si="60"/>
        <v/>
      </c>
      <c r="J2527" s="442"/>
      <c r="K2527" s="1263"/>
      <c r="L2527" s="461"/>
      <c r="M2527" s="461"/>
      <c r="N2527" s="461"/>
    </row>
    <row r="2528" spans="1:14" s="462" customFormat="1" ht="34.5" hidden="1" outlineLevel="1">
      <c r="A2528" s="1261"/>
      <c r="B2528" s="260" t="s">
        <v>288</v>
      </c>
      <c r="C2528" s="439" t="s">
        <v>2</v>
      </c>
      <c r="D2528" s="440">
        <v>1</v>
      </c>
      <c r="E2528" s="441">
        <v>1</v>
      </c>
      <c r="F2528" s="1363">
        <v>1.375</v>
      </c>
      <c r="G2528" s="1363">
        <v>0.46</v>
      </c>
      <c r="H2528" s="1363">
        <v>0.3</v>
      </c>
      <c r="I2528" s="399">
        <f t="shared" si="60"/>
        <v>0.19</v>
      </c>
      <c r="J2528" s="442"/>
      <c r="K2528" s="1263"/>
      <c r="L2528" s="461"/>
      <c r="M2528" s="461"/>
      <c r="N2528" s="461"/>
    </row>
    <row r="2529" spans="1:14" s="462" customFormat="1" hidden="1" outlineLevel="1">
      <c r="A2529" s="1261"/>
      <c r="B2529" s="260"/>
      <c r="C2529" s="439" t="s">
        <v>2</v>
      </c>
      <c r="D2529" s="440">
        <v>1</v>
      </c>
      <c r="E2529" s="441">
        <v>1</v>
      </c>
      <c r="F2529" s="1363">
        <v>1.26</v>
      </c>
      <c r="G2529" s="1363">
        <v>0.34499999999999997</v>
      </c>
      <c r="H2529" s="1363">
        <v>0.3</v>
      </c>
      <c r="I2529" s="399">
        <f t="shared" si="60"/>
        <v>0.13</v>
      </c>
      <c r="J2529" s="442"/>
      <c r="K2529" s="1263"/>
      <c r="L2529" s="461"/>
      <c r="M2529" s="461"/>
      <c r="N2529" s="461"/>
    </row>
    <row r="2530" spans="1:14" s="462" customFormat="1" hidden="1" outlineLevel="1">
      <c r="A2530" s="1261"/>
      <c r="B2530" s="260"/>
      <c r="C2530" s="439" t="s">
        <v>2</v>
      </c>
      <c r="D2530" s="440">
        <v>1</v>
      </c>
      <c r="E2530" s="441">
        <v>1</v>
      </c>
      <c r="F2530" s="1363">
        <v>1.145</v>
      </c>
      <c r="G2530" s="1363">
        <v>0.23</v>
      </c>
      <c r="H2530" s="1363">
        <v>0.19000000000000006</v>
      </c>
      <c r="I2530" s="399">
        <f t="shared" si="60"/>
        <v>0.05</v>
      </c>
      <c r="J2530" s="442"/>
      <c r="K2530" s="1263"/>
      <c r="L2530" s="461"/>
      <c r="M2530" s="461"/>
      <c r="N2530" s="461"/>
    </row>
    <row r="2531" spans="1:14" s="462" customFormat="1" hidden="1" outlineLevel="1">
      <c r="A2531" s="1261"/>
      <c r="B2531" s="260"/>
      <c r="C2531" s="439"/>
      <c r="D2531" s="440"/>
      <c r="E2531" s="441"/>
      <c r="F2531" s="1363"/>
      <c r="G2531" s="1363"/>
      <c r="H2531" s="1363"/>
      <c r="I2531" s="399" t="str">
        <f t="shared" si="60"/>
        <v/>
      </c>
      <c r="J2531" s="442"/>
      <c r="K2531" s="1263"/>
      <c r="L2531" s="461"/>
      <c r="M2531" s="461"/>
      <c r="N2531" s="461"/>
    </row>
    <row r="2532" spans="1:14" s="462" customFormat="1" hidden="1" outlineLevel="1">
      <c r="A2532" s="1261"/>
      <c r="B2532" s="260"/>
      <c r="C2532" s="439" t="s">
        <v>2</v>
      </c>
      <c r="D2532" s="440">
        <v>1</v>
      </c>
      <c r="E2532" s="441">
        <v>1</v>
      </c>
      <c r="F2532" s="1363">
        <v>0.92500000000000004</v>
      </c>
      <c r="G2532" s="1363">
        <v>0.46</v>
      </c>
      <c r="H2532" s="1363">
        <v>0.3</v>
      </c>
      <c r="I2532" s="399">
        <f t="shared" si="60"/>
        <v>0.13</v>
      </c>
      <c r="J2532" s="442"/>
      <c r="K2532" s="1263"/>
      <c r="L2532" s="461"/>
      <c r="M2532" s="461"/>
      <c r="N2532" s="461"/>
    </row>
    <row r="2533" spans="1:14" s="462" customFormat="1" hidden="1" outlineLevel="1">
      <c r="A2533" s="1261"/>
      <c r="B2533" s="260"/>
      <c r="C2533" s="439" t="s">
        <v>2</v>
      </c>
      <c r="D2533" s="440">
        <v>1</v>
      </c>
      <c r="E2533" s="441">
        <v>1</v>
      </c>
      <c r="F2533" s="1363">
        <v>0.81</v>
      </c>
      <c r="G2533" s="1363">
        <v>0.34499999999999997</v>
      </c>
      <c r="H2533" s="1363">
        <v>0.3</v>
      </c>
      <c r="I2533" s="399">
        <f t="shared" si="60"/>
        <v>0.08</v>
      </c>
      <c r="J2533" s="442"/>
      <c r="K2533" s="1263"/>
      <c r="L2533" s="461"/>
      <c r="M2533" s="461"/>
      <c r="N2533" s="461"/>
    </row>
    <row r="2534" spans="1:14" s="462" customFormat="1" hidden="1" outlineLevel="1">
      <c r="A2534" s="1261"/>
      <c r="B2534" s="260"/>
      <c r="C2534" s="439" t="s">
        <v>2</v>
      </c>
      <c r="D2534" s="440">
        <v>1</v>
      </c>
      <c r="E2534" s="441">
        <v>1</v>
      </c>
      <c r="F2534" s="1363">
        <v>0.69500000000000006</v>
      </c>
      <c r="G2534" s="1363">
        <v>0.23</v>
      </c>
      <c r="H2534" s="1363">
        <v>0.19000000000000006</v>
      </c>
      <c r="I2534" s="399">
        <f t="shared" si="60"/>
        <v>0.03</v>
      </c>
      <c r="J2534" s="442"/>
      <c r="K2534" s="1263"/>
      <c r="L2534" s="461"/>
      <c r="M2534" s="461"/>
      <c r="N2534" s="461"/>
    </row>
    <row r="2535" spans="1:14" s="462" customFormat="1" hidden="1" outlineLevel="1">
      <c r="A2535" s="1261"/>
      <c r="B2535" s="260"/>
      <c r="C2535" s="439"/>
      <c r="D2535" s="440"/>
      <c r="E2535" s="441"/>
      <c r="F2535" s="1363"/>
      <c r="G2535" s="1363"/>
      <c r="H2535" s="1363"/>
      <c r="I2535" s="399" t="str">
        <f t="shared" si="60"/>
        <v/>
      </c>
      <c r="J2535" s="442"/>
      <c r="K2535" s="1263"/>
      <c r="L2535" s="461"/>
      <c r="M2535" s="461"/>
      <c r="N2535" s="461"/>
    </row>
    <row r="2536" spans="1:14" s="462" customFormat="1" hidden="1" outlineLevel="1">
      <c r="A2536" s="1261"/>
      <c r="B2536" s="260"/>
      <c r="C2536" s="439" t="s">
        <v>2</v>
      </c>
      <c r="D2536" s="440">
        <v>1</v>
      </c>
      <c r="E2536" s="441">
        <v>1</v>
      </c>
      <c r="F2536" s="1363">
        <v>2.4500000000000002</v>
      </c>
      <c r="G2536" s="1363">
        <v>0.46</v>
      </c>
      <c r="H2536" s="1363">
        <v>0.3</v>
      </c>
      <c r="I2536" s="399">
        <f t="shared" si="60"/>
        <v>0.34</v>
      </c>
      <c r="J2536" s="442"/>
      <c r="K2536" s="1263"/>
      <c r="L2536" s="461"/>
      <c r="M2536" s="461"/>
      <c r="N2536" s="461"/>
    </row>
    <row r="2537" spans="1:14" s="462" customFormat="1" hidden="1" outlineLevel="1">
      <c r="A2537" s="1261"/>
      <c r="B2537" s="260"/>
      <c r="C2537" s="439" t="s">
        <v>2</v>
      </c>
      <c r="D2537" s="440">
        <v>1</v>
      </c>
      <c r="E2537" s="441">
        <v>1</v>
      </c>
      <c r="F2537" s="1363">
        <v>2.335</v>
      </c>
      <c r="G2537" s="1363">
        <v>0.34499999999999997</v>
      </c>
      <c r="H2537" s="1363">
        <v>0.3</v>
      </c>
      <c r="I2537" s="399">
        <f t="shared" si="60"/>
        <v>0.24</v>
      </c>
      <c r="J2537" s="442"/>
      <c r="K2537" s="1263"/>
      <c r="L2537" s="461"/>
      <c r="M2537" s="461"/>
      <c r="N2537" s="461"/>
    </row>
    <row r="2538" spans="1:14" s="462" customFormat="1" hidden="1" outlineLevel="1">
      <c r="A2538" s="1261"/>
      <c r="B2538" s="260"/>
      <c r="C2538" s="439" t="s">
        <v>2</v>
      </c>
      <c r="D2538" s="440">
        <v>1</v>
      </c>
      <c r="E2538" s="441">
        <v>1</v>
      </c>
      <c r="F2538" s="1363">
        <v>2.2200000000000002</v>
      </c>
      <c r="G2538" s="1363">
        <v>0.23</v>
      </c>
      <c r="H2538" s="1363">
        <v>0.19000000000000006</v>
      </c>
      <c r="I2538" s="399">
        <f t="shared" si="60"/>
        <v>0.1</v>
      </c>
      <c r="J2538" s="442"/>
      <c r="K2538" s="1263"/>
      <c r="L2538" s="461"/>
      <c r="M2538" s="461"/>
      <c r="N2538" s="461"/>
    </row>
    <row r="2539" spans="1:14" s="462" customFormat="1" hidden="1" outlineLevel="1">
      <c r="A2539" s="1261"/>
      <c r="B2539" s="260"/>
      <c r="C2539" s="439"/>
      <c r="D2539" s="440"/>
      <c r="E2539" s="441"/>
      <c r="F2539" s="1363"/>
      <c r="G2539" s="1363"/>
      <c r="H2539" s="1363"/>
      <c r="I2539" s="399" t="str">
        <f t="shared" si="60"/>
        <v/>
      </c>
      <c r="J2539" s="442"/>
      <c r="K2539" s="1263"/>
      <c r="L2539" s="461"/>
      <c r="M2539" s="461"/>
      <c r="N2539" s="461"/>
    </row>
    <row r="2540" spans="1:14" s="462" customFormat="1" hidden="1" outlineLevel="1">
      <c r="A2540" s="1261"/>
      <c r="B2540" s="260"/>
      <c r="C2540" s="439" t="s">
        <v>2</v>
      </c>
      <c r="D2540" s="440">
        <v>1</v>
      </c>
      <c r="E2540" s="441">
        <v>1</v>
      </c>
      <c r="F2540" s="1363">
        <v>0.95</v>
      </c>
      <c r="G2540" s="1363">
        <v>0.46</v>
      </c>
      <c r="H2540" s="1363">
        <v>0.3</v>
      </c>
      <c r="I2540" s="399">
        <f t="shared" si="60"/>
        <v>0.13</v>
      </c>
      <c r="J2540" s="442"/>
      <c r="K2540" s="1263"/>
      <c r="L2540" s="461"/>
      <c r="M2540" s="461"/>
      <c r="N2540" s="461"/>
    </row>
    <row r="2541" spans="1:14" s="462" customFormat="1" hidden="1" outlineLevel="1">
      <c r="A2541" s="1261"/>
      <c r="B2541" s="260"/>
      <c r="C2541" s="439" t="s">
        <v>2</v>
      </c>
      <c r="D2541" s="440">
        <v>1</v>
      </c>
      <c r="E2541" s="441">
        <v>1</v>
      </c>
      <c r="F2541" s="1363">
        <v>0.83499999999999996</v>
      </c>
      <c r="G2541" s="1363">
        <v>0.34499999999999997</v>
      </c>
      <c r="H2541" s="1363">
        <v>0.3</v>
      </c>
      <c r="I2541" s="399">
        <f t="shared" si="60"/>
        <v>0.09</v>
      </c>
      <c r="J2541" s="442"/>
      <c r="K2541" s="1263"/>
      <c r="L2541" s="461"/>
      <c r="M2541" s="461"/>
      <c r="N2541" s="461"/>
    </row>
    <row r="2542" spans="1:14" s="462" customFormat="1" hidden="1" outlineLevel="1">
      <c r="A2542" s="1261"/>
      <c r="B2542" s="260"/>
      <c r="C2542" s="439" t="s">
        <v>2</v>
      </c>
      <c r="D2542" s="440">
        <v>1</v>
      </c>
      <c r="E2542" s="441">
        <v>1</v>
      </c>
      <c r="F2542" s="1363">
        <v>0.72</v>
      </c>
      <c r="G2542" s="1363">
        <v>0.23</v>
      </c>
      <c r="H2542" s="1363">
        <v>0.19000000000000006</v>
      </c>
      <c r="I2542" s="399">
        <f t="shared" si="60"/>
        <v>0.03</v>
      </c>
      <c r="J2542" s="442"/>
      <c r="K2542" s="1263"/>
      <c r="L2542" s="461"/>
      <c r="M2542" s="461"/>
      <c r="N2542" s="461"/>
    </row>
    <row r="2543" spans="1:14" s="462" customFormat="1" hidden="1" outlineLevel="1">
      <c r="A2543" s="1261"/>
      <c r="B2543" s="260"/>
      <c r="C2543" s="439"/>
      <c r="D2543" s="440"/>
      <c r="E2543" s="441"/>
      <c r="F2543" s="1363"/>
      <c r="G2543" s="1363"/>
      <c r="H2543" s="1363"/>
      <c r="I2543" s="399" t="str">
        <f t="shared" si="60"/>
        <v/>
      </c>
      <c r="J2543" s="442"/>
      <c r="K2543" s="1263"/>
      <c r="L2543" s="461"/>
      <c r="M2543" s="461"/>
      <c r="N2543" s="461"/>
    </row>
    <row r="2544" spans="1:14" s="462" customFormat="1" hidden="1" outlineLevel="1">
      <c r="A2544" s="1261"/>
      <c r="B2544" s="260"/>
      <c r="C2544" s="439" t="s">
        <v>2</v>
      </c>
      <c r="D2544" s="440">
        <v>1</v>
      </c>
      <c r="E2544" s="441">
        <v>1</v>
      </c>
      <c r="F2544" s="1363">
        <v>3.64</v>
      </c>
      <c r="G2544" s="1363">
        <v>0.46</v>
      </c>
      <c r="H2544" s="1363">
        <v>0.3</v>
      </c>
      <c r="I2544" s="399">
        <f t="shared" si="60"/>
        <v>0.5</v>
      </c>
      <c r="J2544" s="442"/>
      <c r="K2544" s="1263"/>
      <c r="L2544" s="461"/>
      <c r="M2544" s="461"/>
      <c r="N2544" s="461"/>
    </row>
    <row r="2545" spans="1:14" s="462" customFormat="1" hidden="1" outlineLevel="1">
      <c r="A2545" s="1261"/>
      <c r="B2545" s="260"/>
      <c r="C2545" s="439" t="s">
        <v>2</v>
      </c>
      <c r="D2545" s="440">
        <v>1</v>
      </c>
      <c r="E2545" s="441">
        <v>1</v>
      </c>
      <c r="F2545" s="1363">
        <v>3.41</v>
      </c>
      <c r="G2545" s="1363">
        <v>0.34499999999999997</v>
      </c>
      <c r="H2545" s="1363">
        <v>0.3</v>
      </c>
      <c r="I2545" s="399">
        <f t="shared" si="60"/>
        <v>0.35</v>
      </c>
      <c r="J2545" s="442"/>
      <c r="K2545" s="1263"/>
      <c r="L2545" s="461"/>
      <c r="M2545" s="461"/>
      <c r="N2545" s="461"/>
    </row>
    <row r="2546" spans="1:14" s="462" customFormat="1" hidden="1" outlineLevel="1">
      <c r="A2546" s="1261"/>
      <c r="B2546" s="260"/>
      <c r="C2546" s="439" t="s">
        <v>2</v>
      </c>
      <c r="D2546" s="440">
        <v>1</v>
      </c>
      <c r="E2546" s="441">
        <v>1</v>
      </c>
      <c r="F2546" s="1363">
        <v>3.18</v>
      </c>
      <c r="G2546" s="1363">
        <v>0.23</v>
      </c>
      <c r="H2546" s="1363">
        <v>0.19000000000000006</v>
      </c>
      <c r="I2546" s="399">
        <f t="shared" si="60"/>
        <v>0.14000000000000001</v>
      </c>
      <c r="J2546" s="442"/>
      <c r="K2546" s="1263"/>
      <c r="L2546" s="461"/>
      <c r="M2546" s="461"/>
      <c r="N2546" s="461"/>
    </row>
    <row r="2547" spans="1:14" s="462" customFormat="1" hidden="1" outlineLevel="1">
      <c r="A2547" s="1261"/>
      <c r="B2547" s="260"/>
      <c r="C2547" s="439"/>
      <c r="D2547" s="440"/>
      <c r="E2547" s="441"/>
      <c r="F2547" s="1363"/>
      <c r="G2547" s="1363"/>
      <c r="H2547" s="1363"/>
      <c r="I2547" s="399" t="str">
        <f t="shared" si="60"/>
        <v/>
      </c>
      <c r="J2547" s="442"/>
      <c r="K2547" s="1263"/>
      <c r="L2547" s="461"/>
      <c r="M2547" s="461"/>
      <c r="N2547" s="461"/>
    </row>
    <row r="2548" spans="1:14" s="462" customFormat="1" ht="34.5" hidden="1" outlineLevel="1">
      <c r="A2548" s="1261"/>
      <c r="B2548" s="260" t="s">
        <v>289</v>
      </c>
      <c r="C2548" s="439" t="s">
        <v>2</v>
      </c>
      <c r="D2548" s="440">
        <v>1</v>
      </c>
      <c r="E2548" s="441">
        <v>1</v>
      </c>
      <c r="F2548" s="1363">
        <v>1.54</v>
      </c>
      <c r="G2548" s="1363">
        <v>0.46</v>
      </c>
      <c r="H2548" s="1363">
        <v>0.3</v>
      </c>
      <c r="I2548" s="399">
        <f t="shared" si="60"/>
        <v>0.21</v>
      </c>
      <c r="J2548" s="442"/>
      <c r="K2548" s="1263"/>
      <c r="L2548" s="461"/>
      <c r="M2548" s="461"/>
      <c r="N2548" s="461"/>
    </row>
    <row r="2549" spans="1:14" s="462" customFormat="1" hidden="1" outlineLevel="1">
      <c r="A2549" s="1261"/>
      <c r="B2549" s="260"/>
      <c r="C2549" s="439" t="s">
        <v>2</v>
      </c>
      <c r="D2549" s="440">
        <v>1</v>
      </c>
      <c r="E2549" s="441">
        <v>1</v>
      </c>
      <c r="F2549" s="1363">
        <v>1.655</v>
      </c>
      <c r="G2549" s="1363">
        <v>0.34499999999999997</v>
      </c>
      <c r="H2549" s="1363">
        <v>0.3</v>
      </c>
      <c r="I2549" s="399">
        <f t="shared" si="60"/>
        <v>0.17</v>
      </c>
      <c r="J2549" s="442"/>
      <c r="K2549" s="1263"/>
      <c r="L2549" s="461"/>
      <c r="M2549" s="461"/>
      <c r="N2549" s="461"/>
    </row>
    <row r="2550" spans="1:14" s="462" customFormat="1" hidden="1" outlineLevel="1">
      <c r="A2550" s="1261"/>
      <c r="B2550" s="260"/>
      <c r="C2550" s="439" t="s">
        <v>2</v>
      </c>
      <c r="D2550" s="440">
        <v>1</v>
      </c>
      <c r="E2550" s="441">
        <v>1</v>
      </c>
      <c r="F2550" s="1363">
        <v>1.77</v>
      </c>
      <c r="G2550" s="1363">
        <v>0.23</v>
      </c>
      <c r="H2550" s="1363">
        <v>0.19000000000000006</v>
      </c>
      <c r="I2550" s="399">
        <f t="shared" si="60"/>
        <v>0.08</v>
      </c>
      <c r="J2550" s="442"/>
      <c r="K2550" s="1263"/>
      <c r="L2550" s="461"/>
      <c r="M2550" s="461"/>
      <c r="N2550" s="461"/>
    </row>
    <row r="2551" spans="1:14" s="462" customFormat="1" hidden="1" outlineLevel="1">
      <c r="A2551" s="1261"/>
      <c r="B2551" s="260"/>
      <c r="C2551" s="439"/>
      <c r="D2551" s="440"/>
      <c r="E2551" s="441"/>
      <c r="F2551" s="1363"/>
      <c r="G2551" s="1363"/>
      <c r="H2551" s="1363"/>
      <c r="I2551" s="399" t="str">
        <f t="shared" si="60"/>
        <v/>
      </c>
      <c r="J2551" s="442"/>
      <c r="K2551" s="1263"/>
      <c r="L2551" s="461"/>
      <c r="M2551" s="461"/>
      <c r="N2551" s="461"/>
    </row>
    <row r="2552" spans="1:14" s="462" customFormat="1" hidden="1" outlineLevel="1">
      <c r="A2552" s="1261"/>
      <c r="B2552" s="260"/>
      <c r="C2552" s="439" t="s">
        <v>2</v>
      </c>
      <c r="D2552" s="440">
        <v>1</v>
      </c>
      <c r="E2552" s="441">
        <v>1</v>
      </c>
      <c r="F2552" s="1363">
        <v>2</v>
      </c>
      <c r="G2552" s="1363">
        <v>0.46</v>
      </c>
      <c r="H2552" s="1363">
        <v>0.3</v>
      </c>
      <c r="I2552" s="399">
        <f t="shared" si="60"/>
        <v>0.28000000000000003</v>
      </c>
      <c r="J2552" s="442"/>
      <c r="K2552" s="1263"/>
      <c r="L2552" s="461"/>
      <c r="M2552" s="461"/>
      <c r="N2552" s="461"/>
    </row>
    <row r="2553" spans="1:14" s="462" customFormat="1" hidden="1" outlineLevel="1">
      <c r="A2553" s="1261"/>
      <c r="B2553" s="260"/>
      <c r="C2553" s="439" t="s">
        <v>2</v>
      </c>
      <c r="D2553" s="440">
        <v>1</v>
      </c>
      <c r="E2553" s="441">
        <v>1</v>
      </c>
      <c r="F2553" s="1363">
        <v>2</v>
      </c>
      <c r="G2553" s="1363">
        <v>0.34499999999999997</v>
      </c>
      <c r="H2553" s="1363">
        <v>0.3</v>
      </c>
      <c r="I2553" s="399">
        <f t="shared" si="60"/>
        <v>0.21</v>
      </c>
      <c r="J2553" s="442"/>
      <c r="K2553" s="1263"/>
      <c r="L2553" s="461"/>
      <c r="M2553" s="461"/>
      <c r="N2553" s="461"/>
    </row>
    <row r="2554" spans="1:14" s="462" customFormat="1" hidden="1" outlineLevel="1">
      <c r="A2554" s="1261"/>
      <c r="B2554" s="260"/>
      <c r="C2554" s="439" t="s">
        <v>2</v>
      </c>
      <c r="D2554" s="440">
        <v>1</v>
      </c>
      <c r="E2554" s="441">
        <v>1</v>
      </c>
      <c r="F2554" s="1363">
        <v>2</v>
      </c>
      <c r="G2554" s="1363">
        <v>0.23</v>
      </c>
      <c r="H2554" s="1363">
        <v>0.19000000000000006</v>
      </c>
      <c r="I2554" s="399">
        <f t="shared" si="60"/>
        <v>0.09</v>
      </c>
      <c r="J2554" s="442"/>
      <c r="K2554" s="1263"/>
      <c r="L2554" s="461"/>
      <c r="M2554" s="461"/>
      <c r="N2554" s="461"/>
    </row>
    <row r="2555" spans="1:14" s="462" customFormat="1" hidden="1" outlineLevel="1">
      <c r="A2555" s="1261"/>
      <c r="B2555" s="260"/>
      <c r="C2555" s="439"/>
      <c r="D2555" s="440"/>
      <c r="E2555" s="441"/>
      <c r="F2555" s="1363"/>
      <c r="G2555" s="1363"/>
      <c r="H2555" s="1363"/>
      <c r="I2555" s="399" t="str">
        <f t="shared" si="60"/>
        <v/>
      </c>
      <c r="J2555" s="442"/>
      <c r="K2555" s="1263"/>
      <c r="L2555" s="461"/>
      <c r="M2555" s="461"/>
      <c r="N2555" s="461"/>
    </row>
    <row r="2556" spans="1:14" s="462" customFormat="1" hidden="1" outlineLevel="1">
      <c r="A2556" s="1261"/>
      <c r="B2556" s="260"/>
      <c r="C2556" s="439" t="s">
        <v>2</v>
      </c>
      <c r="D2556" s="440">
        <v>1</v>
      </c>
      <c r="E2556" s="441">
        <v>1</v>
      </c>
      <c r="F2556" s="1363">
        <v>7.999999999999996E-2</v>
      </c>
      <c r="G2556" s="1363">
        <v>0.46</v>
      </c>
      <c r="H2556" s="1363">
        <v>0.3</v>
      </c>
      <c r="I2556" s="399">
        <f t="shared" si="60"/>
        <v>0.01</v>
      </c>
      <c r="J2556" s="442"/>
      <c r="K2556" s="1263"/>
      <c r="L2556" s="461"/>
      <c r="M2556" s="461"/>
      <c r="N2556" s="461"/>
    </row>
    <row r="2557" spans="1:14" s="462" customFormat="1" hidden="1" outlineLevel="1">
      <c r="A2557" s="1261"/>
      <c r="B2557" s="260"/>
      <c r="C2557" s="439" t="s">
        <v>2</v>
      </c>
      <c r="D2557" s="440">
        <v>1</v>
      </c>
      <c r="E2557" s="441">
        <v>1</v>
      </c>
      <c r="F2557" s="1363">
        <v>0.31000000000000005</v>
      </c>
      <c r="G2557" s="1363">
        <v>0.34499999999999997</v>
      </c>
      <c r="H2557" s="1363">
        <v>0.3</v>
      </c>
      <c r="I2557" s="399">
        <f t="shared" si="60"/>
        <v>0.03</v>
      </c>
      <c r="J2557" s="442"/>
      <c r="K2557" s="1263"/>
      <c r="L2557" s="461"/>
      <c r="M2557" s="461"/>
      <c r="N2557" s="461"/>
    </row>
    <row r="2558" spans="1:14" s="462" customFormat="1" hidden="1" outlineLevel="1">
      <c r="A2558" s="1261"/>
      <c r="B2558" s="260"/>
      <c r="C2558" s="439" t="s">
        <v>2</v>
      </c>
      <c r="D2558" s="440">
        <v>1</v>
      </c>
      <c r="E2558" s="441">
        <v>1</v>
      </c>
      <c r="F2558" s="1363">
        <v>0.54</v>
      </c>
      <c r="G2558" s="1363">
        <v>0.23</v>
      </c>
      <c r="H2558" s="1363">
        <v>0.19000000000000006</v>
      </c>
      <c r="I2558" s="399">
        <f t="shared" si="60"/>
        <v>0.02</v>
      </c>
      <c r="J2558" s="442"/>
      <c r="K2558" s="1263"/>
      <c r="L2558" s="461"/>
      <c r="M2558" s="461"/>
      <c r="N2558" s="461"/>
    </row>
    <row r="2559" spans="1:14" s="462" customFormat="1" hidden="1" outlineLevel="1">
      <c r="A2559" s="1261"/>
      <c r="B2559" s="260"/>
      <c r="C2559" s="439"/>
      <c r="D2559" s="440"/>
      <c r="E2559" s="441"/>
      <c r="F2559" s="1363"/>
      <c r="G2559" s="1363"/>
      <c r="H2559" s="1363"/>
      <c r="I2559" s="399" t="str">
        <f t="shared" si="60"/>
        <v/>
      </c>
      <c r="J2559" s="442"/>
      <c r="K2559" s="1263"/>
      <c r="L2559" s="461"/>
      <c r="M2559" s="461"/>
      <c r="N2559" s="461"/>
    </row>
    <row r="2560" spans="1:14" s="462" customFormat="1" hidden="1" outlineLevel="1">
      <c r="A2560" s="1261"/>
      <c r="B2560" s="260"/>
      <c r="C2560" s="439" t="s">
        <v>2</v>
      </c>
      <c r="D2560" s="440">
        <v>1</v>
      </c>
      <c r="E2560" s="441">
        <v>1</v>
      </c>
      <c r="F2560" s="1363">
        <v>1</v>
      </c>
      <c r="G2560" s="1363">
        <v>0.46</v>
      </c>
      <c r="H2560" s="1363">
        <v>0.3</v>
      </c>
      <c r="I2560" s="399">
        <f t="shared" si="60"/>
        <v>0.14000000000000001</v>
      </c>
      <c r="J2560" s="442"/>
      <c r="K2560" s="1263"/>
      <c r="L2560" s="461"/>
      <c r="M2560" s="461"/>
      <c r="N2560" s="461"/>
    </row>
    <row r="2561" spans="1:14" s="462" customFormat="1" hidden="1" outlineLevel="1">
      <c r="A2561" s="1261"/>
      <c r="B2561" s="260"/>
      <c r="C2561" s="439" t="s">
        <v>2</v>
      </c>
      <c r="D2561" s="440">
        <v>1</v>
      </c>
      <c r="E2561" s="441">
        <v>1</v>
      </c>
      <c r="F2561" s="1363">
        <v>1</v>
      </c>
      <c r="G2561" s="1363">
        <v>0.34499999999999997</v>
      </c>
      <c r="H2561" s="1363">
        <v>0.3</v>
      </c>
      <c r="I2561" s="399">
        <f t="shared" si="60"/>
        <v>0.1</v>
      </c>
      <c r="J2561" s="442"/>
      <c r="K2561" s="1263"/>
      <c r="L2561" s="461"/>
      <c r="M2561" s="461"/>
      <c r="N2561" s="461"/>
    </row>
    <row r="2562" spans="1:14" s="462" customFormat="1" hidden="1" outlineLevel="1">
      <c r="A2562" s="1261"/>
      <c r="B2562" s="260"/>
      <c r="C2562" s="439" t="s">
        <v>2</v>
      </c>
      <c r="D2562" s="440">
        <v>1</v>
      </c>
      <c r="E2562" s="441">
        <v>1</v>
      </c>
      <c r="F2562" s="1363">
        <v>1</v>
      </c>
      <c r="G2562" s="1363">
        <v>0.23</v>
      </c>
      <c r="H2562" s="1363">
        <v>0.19000000000000006</v>
      </c>
      <c r="I2562" s="399">
        <f t="shared" si="60"/>
        <v>0.04</v>
      </c>
      <c r="J2562" s="442"/>
      <c r="K2562" s="1263"/>
      <c r="L2562" s="461"/>
      <c r="M2562" s="461"/>
      <c r="N2562" s="461"/>
    </row>
    <row r="2563" spans="1:14" s="462" customFormat="1" hidden="1" outlineLevel="1">
      <c r="A2563" s="1261"/>
      <c r="B2563" s="260"/>
      <c r="C2563" s="439"/>
      <c r="D2563" s="440"/>
      <c r="E2563" s="441"/>
      <c r="F2563" s="1363"/>
      <c r="G2563" s="1363"/>
      <c r="H2563" s="1363"/>
      <c r="I2563" s="399" t="str">
        <f t="shared" si="60"/>
        <v/>
      </c>
      <c r="J2563" s="442"/>
      <c r="K2563" s="1263"/>
      <c r="L2563" s="461"/>
      <c r="M2563" s="461"/>
      <c r="N2563" s="461"/>
    </row>
    <row r="2564" spans="1:14" s="462" customFormat="1" hidden="1" outlineLevel="1">
      <c r="A2564" s="1261"/>
      <c r="B2564" s="260"/>
      <c r="C2564" s="439" t="s">
        <v>2</v>
      </c>
      <c r="D2564" s="440">
        <v>1</v>
      </c>
      <c r="E2564" s="441">
        <v>1</v>
      </c>
      <c r="F2564" s="1363">
        <v>1.51</v>
      </c>
      <c r="G2564" s="1363">
        <v>0.46</v>
      </c>
      <c r="H2564" s="1363">
        <v>0.3</v>
      </c>
      <c r="I2564" s="399">
        <f t="shared" si="60"/>
        <v>0.21</v>
      </c>
      <c r="J2564" s="442"/>
      <c r="K2564" s="1263"/>
      <c r="L2564" s="461"/>
      <c r="M2564" s="461"/>
      <c r="N2564" s="461"/>
    </row>
    <row r="2565" spans="1:14" s="462" customFormat="1" hidden="1" outlineLevel="1">
      <c r="A2565" s="1261"/>
      <c r="B2565" s="260"/>
      <c r="C2565" s="439" t="s">
        <v>2</v>
      </c>
      <c r="D2565" s="440">
        <v>1</v>
      </c>
      <c r="E2565" s="441">
        <v>1</v>
      </c>
      <c r="F2565" s="1363">
        <v>1.625</v>
      </c>
      <c r="G2565" s="1363">
        <v>0.34499999999999997</v>
      </c>
      <c r="H2565" s="1363">
        <v>0.3</v>
      </c>
      <c r="I2565" s="399">
        <f t="shared" si="60"/>
        <v>0.17</v>
      </c>
      <c r="J2565" s="442"/>
      <c r="K2565" s="1263"/>
      <c r="L2565" s="461"/>
      <c r="M2565" s="461"/>
      <c r="N2565" s="461"/>
    </row>
    <row r="2566" spans="1:14" s="462" customFormat="1" hidden="1" outlineLevel="1">
      <c r="A2566" s="1261"/>
      <c r="B2566" s="260"/>
      <c r="C2566" s="439" t="s">
        <v>2</v>
      </c>
      <c r="D2566" s="440">
        <v>1</v>
      </c>
      <c r="E2566" s="441">
        <v>1</v>
      </c>
      <c r="F2566" s="1363">
        <v>1.74</v>
      </c>
      <c r="G2566" s="1363">
        <v>0.23</v>
      </c>
      <c r="H2566" s="1363">
        <v>0.19000000000000006</v>
      </c>
      <c r="I2566" s="399">
        <f t="shared" si="60"/>
        <v>0.08</v>
      </c>
      <c r="J2566" s="442"/>
      <c r="K2566" s="1263"/>
      <c r="L2566" s="461"/>
      <c r="M2566" s="461"/>
      <c r="N2566" s="461"/>
    </row>
    <row r="2567" spans="1:14" s="462" customFormat="1" hidden="1" outlineLevel="1">
      <c r="A2567" s="1261"/>
      <c r="B2567" s="260"/>
      <c r="C2567" s="439"/>
      <c r="D2567" s="440"/>
      <c r="E2567" s="441"/>
      <c r="F2567" s="1363"/>
      <c r="G2567" s="1363"/>
      <c r="H2567" s="1363"/>
      <c r="I2567" s="399" t="str">
        <f t="shared" si="60"/>
        <v/>
      </c>
      <c r="J2567" s="442"/>
      <c r="K2567" s="1263"/>
      <c r="L2567" s="461"/>
      <c r="M2567" s="461"/>
      <c r="N2567" s="461"/>
    </row>
    <row r="2568" spans="1:14" s="462" customFormat="1" hidden="1" outlineLevel="1">
      <c r="A2568" s="1261"/>
      <c r="B2568" s="260"/>
      <c r="C2568" s="439" t="s">
        <v>2</v>
      </c>
      <c r="D2568" s="440">
        <v>1</v>
      </c>
      <c r="E2568" s="441">
        <v>1</v>
      </c>
      <c r="F2568" s="1363">
        <v>5.71</v>
      </c>
      <c r="G2568" s="1363">
        <v>0.46</v>
      </c>
      <c r="H2568" s="1363">
        <v>0.3</v>
      </c>
      <c r="I2568" s="399">
        <f t="shared" si="60"/>
        <v>0.79</v>
      </c>
      <c r="J2568" s="442"/>
      <c r="K2568" s="1263"/>
      <c r="L2568" s="461"/>
      <c r="M2568" s="461"/>
      <c r="N2568" s="461"/>
    </row>
    <row r="2569" spans="1:14" s="462" customFormat="1" hidden="1" outlineLevel="1">
      <c r="A2569" s="1261"/>
      <c r="B2569" s="260"/>
      <c r="C2569" s="439" t="s">
        <v>2</v>
      </c>
      <c r="D2569" s="440">
        <v>1</v>
      </c>
      <c r="E2569" s="441">
        <v>1</v>
      </c>
      <c r="F2569" s="1363">
        <v>5.8250000000000002</v>
      </c>
      <c r="G2569" s="1363">
        <v>0.34499999999999997</v>
      </c>
      <c r="H2569" s="1363">
        <v>0.3</v>
      </c>
      <c r="I2569" s="399">
        <f t="shared" si="60"/>
        <v>0.6</v>
      </c>
      <c r="J2569" s="442"/>
      <c r="K2569" s="1263"/>
      <c r="L2569" s="461"/>
      <c r="M2569" s="461"/>
      <c r="N2569" s="461"/>
    </row>
    <row r="2570" spans="1:14" s="462" customFormat="1" hidden="1" outlineLevel="1">
      <c r="A2570" s="1261"/>
      <c r="B2570" s="260"/>
      <c r="C2570" s="439" t="s">
        <v>2</v>
      </c>
      <c r="D2570" s="440">
        <v>1</v>
      </c>
      <c r="E2570" s="441">
        <v>1</v>
      </c>
      <c r="F2570" s="1363">
        <v>5.9399999999999995</v>
      </c>
      <c r="G2570" s="1363">
        <v>0.23</v>
      </c>
      <c r="H2570" s="1363">
        <v>0.19000000000000006</v>
      </c>
      <c r="I2570" s="399">
        <f t="shared" si="60"/>
        <v>0.26</v>
      </c>
      <c r="J2570" s="442"/>
      <c r="K2570" s="1263"/>
      <c r="L2570" s="461"/>
      <c r="M2570" s="461"/>
      <c r="N2570" s="461"/>
    </row>
    <row r="2571" spans="1:14" s="462" customFormat="1" hidden="1" outlineLevel="1">
      <c r="A2571" s="1261"/>
      <c r="B2571" s="260"/>
      <c r="C2571" s="439"/>
      <c r="D2571" s="440"/>
      <c r="E2571" s="441"/>
      <c r="F2571" s="1363"/>
      <c r="G2571" s="1363"/>
      <c r="H2571" s="1363"/>
      <c r="I2571" s="399" t="str">
        <f t="shared" si="60"/>
        <v/>
      </c>
      <c r="J2571" s="442"/>
      <c r="K2571" s="1263"/>
      <c r="L2571" s="461"/>
      <c r="M2571" s="461"/>
      <c r="N2571" s="461"/>
    </row>
    <row r="2572" spans="1:14" s="462" customFormat="1" hidden="1" outlineLevel="1">
      <c r="A2572" s="1261"/>
      <c r="B2572" s="260"/>
      <c r="C2572" s="439"/>
      <c r="D2572" s="440"/>
      <c r="E2572" s="441"/>
      <c r="F2572" s="1363"/>
      <c r="G2572" s="1363"/>
      <c r="H2572" s="1363"/>
      <c r="I2572" s="399" t="str">
        <f t="shared" si="60"/>
        <v/>
      </c>
      <c r="J2572" s="442"/>
      <c r="K2572" s="1263"/>
      <c r="L2572" s="461"/>
      <c r="M2572" s="461"/>
      <c r="N2572" s="461"/>
    </row>
    <row r="2573" spans="1:14" s="462" customFormat="1" ht="34.5" hidden="1" outlineLevel="1">
      <c r="A2573" s="1261"/>
      <c r="B2573" s="260" t="s">
        <v>290</v>
      </c>
      <c r="C2573" s="439" t="s">
        <v>2</v>
      </c>
      <c r="D2573" s="440">
        <f>1</f>
        <v>1</v>
      </c>
      <c r="E2573" s="441">
        <v>1</v>
      </c>
      <c r="F2573" s="1363">
        <v>2.72</v>
      </c>
      <c r="G2573" s="1363">
        <v>0.46</v>
      </c>
      <c r="H2573" s="1363">
        <v>0.3</v>
      </c>
      <c r="I2573" s="399">
        <f t="shared" si="60"/>
        <v>0.38</v>
      </c>
      <c r="J2573" s="442"/>
      <c r="K2573" s="1263"/>
      <c r="L2573" s="461"/>
      <c r="M2573" s="461"/>
      <c r="N2573" s="461"/>
    </row>
    <row r="2574" spans="1:14" s="462" customFormat="1" hidden="1" outlineLevel="1">
      <c r="A2574" s="1261"/>
      <c r="B2574" s="260"/>
      <c r="C2574" s="439" t="s">
        <v>2</v>
      </c>
      <c r="D2574" s="440">
        <f>1</f>
        <v>1</v>
      </c>
      <c r="E2574" s="441">
        <v>1</v>
      </c>
      <c r="F2574" s="1363">
        <v>2.4900000000000002</v>
      </c>
      <c r="G2574" s="1363">
        <v>0.34499999999999997</v>
      </c>
      <c r="H2574" s="1363">
        <v>0.3</v>
      </c>
      <c r="I2574" s="399">
        <f t="shared" si="60"/>
        <v>0.26</v>
      </c>
      <c r="J2574" s="442"/>
      <c r="K2574" s="1263"/>
      <c r="L2574" s="461"/>
      <c r="M2574" s="461"/>
      <c r="N2574" s="461"/>
    </row>
    <row r="2575" spans="1:14" s="462" customFormat="1" hidden="1" outlineLevel="1">
      <c r="A2575" s="1261"/>
      <c r="B2575" s="260"/>
      <c r="C2575" s="439" t="s">
        <v>2</v>
      </c>
      <c r="D2575" s="440">
        <f>1</f>
        <v>1</v>
      </c>
      <c r="E2575" s="441">
        <v>1</v>
      </c>
      <c r="F2575" s="1363">
        <v>2.2600000000000002</v>
      </c>
      <c r="G2575" s="1363">
        <v>0.23</v>
      </c>
      <c r="H2575" s="1363">
        <v>0.19000000000000006</v>
      </c>
      <c r="I2575" s="399">
        <f t="shared" si="60"/>
        <v>0.1</v>
      </c>
      <c r="J2575" s="442"/>
      <c r="K2575" s="1263"/>
      <c r="L2575" s="461"/>
      <c r="M2575" s="461"/>
      <c r="N2575" s="461"/>
    </row>
    <row r="2576" spans="1:14" s="462" customFormat="1" hidden="1" outlineLevel="1">
      <c r="A2576" s="1261"/>
      <c r="B2576" s="260"/>
      <c r="C2576" s="439"/>
      <c r="D2576" s="440">
        <f>1</f>
        <v>1</v>
      </c>
      <c r="E2576" s="441"/>
      <c r="F2576" s="1363"/>
      <c r="G2576" s="1363"/>
      <c r="H2576" s="1363"/>
      <c r="I2576" s="399">
        <f t="shared" si="60"/>
        <v>0</v>
      </c>
      <c r="J2576" s="442"/>
      <c r="K2576" s="1263"/>
      <c r="L2576" s="461"/>
      <c r="M2576" s="461"/>
      <c r="N2576" s="461"/>
    </row>
    <row r="2577" spans="1:14" s="462" customFormat="1" ht="34.5" hidden="1" outlineLevel="1">
      <c r="A2577" s="1261"/>
      <c r="B2577" s="260" t="s">
        <v>291</v>
      </c>
      <c r="C2577" s="439" t="s">
        <v>2</v>
      </c>
      <c r="D2577" s="440">
        <f>1</f>
        <v>1</v>
      </c>
      <c r="E2577" s="441">
        <v>1</v>
      </c>
      <c r="F2577" s="1363">
        <v>4.4950000000000001</v>
      </c>
      <c r="G2577" s="1363">
        <v>0.46</v>
      </c>
      <c r="H2577" s="1363">
        <v>0.3</v>
      </c>
      <c r="I2577" s="399">
        <f t="shared" si="60"/>
        <v>0.62</v>
      </c>
      <c r="J2577" s="442"/>
      <c r="K2577" s="1263"/>
      <c r="L2577" s="461"/>
      <c r="M2577" s="461"/>
      <c r="N2577" s="461"/>
    </row>
    <row r="2578" spans="1:14" s="462" customFormat="1" hidden="1" outlineLevel="1">
      <c r="A2578" s="1261"/>
      <c r="B2578" s="260"/>
      <c r="C2578" s="439" t="s">
        <v>2</v>
      </c>
      <c r="D2578" s="440">
        <f>1</f>
        <v>1</v>
      </c>
      <c r="E2578" s="441">
        <v>1</v>
      </c>
      <c r="F2578" s="1363">
        <v>4.4950000000000001</v>
      </c>
      <c r="G2578" s="1363">
        <v>0.34499999999999997</v>
      </c>
      <c r="H2578" s="1363">
        <v>0.3</v>
      </c>
      <c r="I2578" s="399">
        <f t="shared" si="60"/>
        <v>0.47</v>
      </c>
      <c r="J2578" s="442"/>
      <c r="K2578" s="1263"/>
      <c r="L2578" s="461"/>
      <c r="M2578" s="461"/>
      <c r="N2578" s="461"/>
    </row>
    <row r="2579" spans="1:14" s="462" customFormat="1" hidden="1" outlineLevel="1">
      <c r="A2579" s="1261"/>
      <c r="B2579" s="260"/>
      <c r="C2579" s="439" t="s">
        <v>2</v>
      </c>
      <c r="D2579" s="440">
        <f>1</f>
        <v>1</v>
      </c>
      <c r="E2579" s="441">
        <v>1</v>
      </c>
      <c r="F2579" s="1363">
        <v>4.4950000000000001</v>
      </c>
      <c r="G2579" s="1363">
        <v>0.23</v>
      </c>
      <c r="H2579" s="1363">
        <v>0.19000000000000006</v>
      </c>
      <c r="I2579" s="399">
        <f t="shared" si="60"/>
        <v>0.2</v>
      </c>
      <c r="J2579" s="442"/>
      <c r="K2579" s="1263"/>
      <c r="L2579" s="461"/>
      <c r="M2579" s="461"/>
      <c r="N2579" s="461"/>
    </row>
    <row r="2580" spans="1:14" s="462" customFormat="1" hidden="1" outlineLevel="1">
      <c r="A2580" s="1261"/>
      <c r="B2580" s="260"/>
      <c r="C2580" s="439"/>
      <c r="D2580" s="440">
        <f>1</f>
        <v>1</v>
      </c>
      <c r="E2580" s="441"/>
      <c r="F2580" s="1363"/>
      <c r="G2580" s="1363"/>
      <c r="H2580" s="1363"/>
      <c r="I2580" s="399">
        <f t="shared" si="60"/>
        <v>0</v>
      </c>
      <c r="J2580" s="442"/>
      <c r="K2580" s="1263"/>
      <c r="L2580" s="461"/>
      <c r="M2580" s="461"/>
      <c r="N2580" s="461"/>
    </row>
    <row r="2581" spans="1:14" s="462" customFormat="1" hidden="1" outlineLevel="1">
      <c r="A2581" s="1261"/>
      <c r="B2581" s="260" t="s">
        <v>229</v>
      </c>
      <c r="C2581" s="439" t="s">
        <v>2</v>
      </c>
      <c r="D2581" s="440">
        <f>1</f>
        <v>1</v>
      </c>
      <c r="E2581" s="441">
        <v>1</v>
      </c>
      <c r="F2581" s="1364">
        <v>2.4649999999999999</v>
      </c>
      <c r="G2581" s="1363">
        <v>0.46</v>
      </c>
      <c r="H2581" s="1363">
        <v>0.3</v>
      </c>
      <c r="I2581" s="399">
        <f t="shared" si="60"/>
        <v>0.34</v>
      </c>
      <c r="J2581" s="442"/>
      <c r="K2581" s="1263"/>
      <c r="L2581" s="461"/>
      <c r="M2581" s="461"/>
      <c r="N2581" s="461"/>
    </row>
    <row r="2582" spans="1:14" s="462" customFormat="1" hidden="1" outlineLevel="1">
      <c r="A2582" s="1261"/>
      <c r="B2582" s="260"/>
      <c r="C2582" s="439" t="s">
        <v>2</v>
      </c>
      <c r="D2582" s="440">
        <f>1</f>
        <v>1</v>
      </c>
      <c r="E2582" s="441">
        <v>1</v>
      </c>
      <c r="F2582" s="1364">
        <v>2.58</v>
      </c>
      <c r="G2582" s="1363">
        <v>0.34499999999999997</v>
      </c>
      <c r="H2582" s="1363">
        <v>0.3</v>
      </c>
      <c r="I2582" s="399">
        <f t="shared" si="60"/>
        <v>0.27</v>
      </c>
      <c r="J2582" s="442"/>
      <c r="K2582" s="1263"/>
      <c r="L2582" s="461"/>
      <c r="M2582" s="461"/>
      <c r="N2582" s="461"/>
    </row>
    <row r="2583" spans="1:14" s="462" customFormat="1" hidden="1" outlineLevel="1">
      <c r="A2583" s="1261"/>
      <c r="B2583" s="260"/>
      <c r="C2583" s="439" t="s">
        <v>2</v>
      </c>
      <c r="D2583" s="440">
        <f>1</f>
        <v>1</v>
      </c>
      <c r="E2583" s="441">
        <v>1</v>
      </c>
      <c r="F2583" s="1364">
        <v>2.6949999999999998</v>
      </c>
      <c r="G2583" s="1363">
        <v>0.23</v>
      </c>
      <c r="H2583" s="1363">
        <v>0.19000000000000006</v>
      </c>
      <c r="I2583" s="399">
        <f t="shared" si="60"/>
        <v>0.12</v>
      </c>
      <c r="J2583" s="442"/>
      <c r="K2583" s="1263"/>
      <c r="L2583" s="461"/>
      <c r="M2583" s="461"/>
      <c r="N2583" s="461"/>
    </row>
    <row r="2584" spans="1:14" s="462" customFormat="1" hidden="1" outlineLevel="1">
      <c r="A2584" s="1261"/>
      <c r="B2584" s="260"/>
      <c r="C2584" s="439"/>
      <c r="D2584" s="440"/>
      <c r="E2584" s="441"/>
      <c r="F2584" s="1363"/>
      <c r="G2584" s="1363"/>
      <c r="H2584" s="1363"/>
      <c r="I2584" s="399" t="str">
        <f t="shared" ref="I2584:I2647" si="61">IF(D2584&lt;&gt;0,ROUND(PRODUCT(E2584:H2584)*D2584,2),"")</f>
        <v/>
      </c>
      <c r="J2584" s="442"/>
      <c r="K2584" s="1263"/>
      <c r="L2584" s="461"/>
      <c r="M2584" s="461"/>
      <c r="N2584" s="461"/>
    </row>
    <row r="2585" spans="1:14" s="462" customFormat="1" ht="34.5" hidden="1" outlineLevel="1">
      <c r="A2585" s="1261"/>
      <c r="B2585" s="260" t="s">
        <v>292</v>
      </c>
      <c r="C2585" s="439"/>
      <c r="D2585" s="440"/>
      <c r="E2585" s="441"/>
      <c r="F2585" s="1363"/>
      <c r="G2585" s="1363"/>
      <c r="H2585" s="1363"/>
      <c r="I2585" s="399" t="str">
        <f t="shared" si="61"/>
        <v/>
      </c>
      <c r="J2585" s="442"/>
      <c r="K2585" s="1263"/>
      <c r="L2585" s="461"/>
      <c r="M2585" s="461"/>
      <c r="N2585" s="461"/>
    </row>
    <row r="2586" spans="1:14" s="462" customFormat="1" hidden="1" outlineLevel="1">
      <c r="A2586" s="1261"/>
      <c r="B2586" s="260"/>
      <c r="C2586" s="439"/>
      <c r="D2586" s="440"/>
      <c r="E2586" s="441"/>
      <c r="F2586" s="1363"/>
      <c r="G2586" s="1363"/>
      <c r="H2586" s="1363"/>
      <c r="I2586" s="399" t="str">
        <f t="shared" si="61"/>
        <v/>
      </c>
      <c r="J2586" s="442"/>
      <c r="K2586" s="1263"/>
      <c r="L2586" s="461"/>
      <c r="M2586" s="461"/>
      <c r="N2586" s="461"/>
    </row>
    <row r="2587" spans="1:14" s="462" customFormat="1" hidden="1" outlineLevel="1">
      <c r="A2587" s="1261"/>
      <c r="B2587" s="260" t="s">
        <v>293</v>
      </c>
      <c r="C2587" s="439" t="s">
        <v>2</v>
      </c>
      <c r="D2587" s="440">
        <v>1</v>
      </c>
      <c r="E2587" s="441">
        <v>2</v>
      </c>
      <c r="F2587" s="1363">
        <v>32.74</v>
      </c>
      <c r="G2587" s="1363">
        <v>0.46</v>
      </c>
      <c r="H2587" s="1363">
        <v>0.3</v>
      </c>
      <c r="I2587" s="399">
        <f t="shared" si="61"/>
        <v>9.0399999999999991</v>
      </c>
      <c r="J2587" s="442"/>
      <c r="K2587" s="1263"/>
      <c r="L2587" s="461"/>
      <c r="M2587" s="461"/>
      <c r="N2587" s="461"/>
    </row>
    <row r="2588" spans="1:14" s="462" customFormat="1" hidden="1" outlineLevel="1">
      <c r="A2588" s="1261"/>
      <c r="B2588" s="260"/>
      <c r="C2588" s="439" t="s">
        <v>2</v>
      </c>
      <c r="D2588" s="440">
        <v>1</v>
      </c>
      <c r="E2588" s="441">
        <v>2</v>
      </c>
      <c r="F2588" s="1363">
        <v>32.51</v>
      </c>
      <c r="G2588" s="1363">
        <v>0.34499999999999997</v>
      </c>
      <c r="H2588" s="1363">
        <v>0.3</v>
      </c>
      <c r="I2588" s="399">
        <f t="shared" si="61"/>
        <v>6.73</v>
      </c>
      <c r="J2588" s="442"/>
      <c r="K2588" s="1263"/>
      <c r="L2588" s="461"/>
      <c r="M2588" s="461"/>
      <c r="N2588" s="461"/>
    </row>
    <row r="2589" spans="1:14" s="462" customFormat="1" hidden="1" outlineLevel="1">
      <c r="A2589" s="1261"/>
      <c r="B2589" s="260"/>
      <c r="C2589" s="439" t="s">
        <v>2</v>
      </c>
      <c r="D2589" s="440">
        <v>1</v>
      </c>
      <c r="E2589" s="441">
        <v>2</v>
      </c>
      <c r="F2589" s="1363">
        <v>32.28</v>
      </c>
      <c r="G2589" s="1363">
        <v>0.23</v>
      </c>
      <c r="H2589" s="1363">
        <v>0.19000000000000006</v>
      </c>
      <c r="I2589" s="399">
        <f t="shared" si="61"/>
        <v>2.82</v>
      </c>
      <c r="J2589" s="442"/>
      <c r="K2589" s="1263"/>
      <c r="L2589" s="461"/>
      <c r="M2589" s="461"/>
      <c r="N2589" s="461"/>
    </row>
    <row r="2590" spans="1:14" s="462" customFormat="1" hidden="1" outlineLevel="1">
      <c r="A2590" s="1261"/>
      <c r="B2590" s="260"/>
      <c r="C2590" s="439"/>
      <c r="D2590" s="440"/>
      <c r="E2590" s="441"/>
      <c r="F2590" s="1363"/>
      <c r="G2590" s="1363"/>
      <c r="H2590" s="1363"/>
      <c r="I2590" s="399" t="str">
        <f t="shared" si="61"/>
        <v/>
      </c>
      <c r="J2590" s="442"/>
      <c r="K2590" s="1263"/>
      <c r="L2590" s="461"/>
      <c r="M2590" s="461"/>
      <c r="N2590" s="461"/>
    </row>
    <row r="2591" spans="1:14" s="462" customFormat="1" hidden="1" outlineLevel="1">
      <c r="A2591" s="1261"/>
      <c r="B2591" s="260"/>
      <c r="C2591" s="439" t="s">
        <v>2</v>
      </c>
      <c r="D2591" s="440">
        <v>1</v>
      </c>
      <c r="E2591" s="441">
        <v>2</v>
      </c>
      <c r="F2591" s="1363">
        <v>1.57</v>
      </c>
      <c r="G2591" s="1363">
        <v>0.46</v>
      </c>
      <c r="H2591" s="1363">
        <v>0.3</v>
      </c>
      <c r="I2591" s="399">
        <f t="shared" si="61"/>
        <v>0.43</v>
      </c>
      <c r="J2591" s="442"/>
      <c r="K2591" s="1263"/>
      <c r="L2591" s="461"/>
      <c r="M2591" s="461"/>
      <c r="N2591" s="461"/>
    </row>
    <row r="2592" spans="1:14" s="462" customFormat="1" hidden="1" outlineLevel="1">
      <c r="A2592" s="1261"/>
      <c r="B2592" s="260"/>
      <c r="C2592" s="439" t="s">
        <v>2</v>
      </c>
      <c r="D2592" s="440">
        <v>1</v>
      </c>
      <c r="E2592" s="441">
        <v>2</v>
      </c>
      <c r="F2592" s="1363">
        <v>1.57</v>
      </c>
      <c r="G2592" s="1363">
        <v>0.34499999999999997</v>
      </c>
      <c r="H2592" s="1363">
        <v>0.3</v>
      </c>
      <c r="I2592" s="399">
        <f t="shared" si="61"/>
        <v>0.32</v>
      </c>
      <c r="J2592" s="442"/>
      <c r="K2592" s="1263"/>
      <c r="L2592" s="461"/>
      <c r="M2592" s="461"/>
      <c r="N2592" s="461"/>
    </row>
    <row r="2593" spans="1:14" s="462" customFormat="1" hidden="1" outlineLevel="1">
      <c r="A2593" s="1261"/>
      <c r="B2593" s="260"/>
      <c r="C2593" s="439" t="s">
        <v>2</v>
      </c>
      <c r="D2593" s="440">
        <v>1</v>
      </c>
      <c r="E2593" s="441">
        <v>2</v>
      </c>
      <c r="F2593" s="1363">
        <v>1.57</v>
      </c>
      <c r="G2593" s="1363">
        <v>0.23</v>
      </c>
      <c r="H2593" s="1363">
        <v>0.19000000000000006</v>
      </c>
      <c r="I2593" s="399">
        <f t="shared" si="61"/>
        <v>0.14000000000000001</v>
      </c>
      <c r="J2593" s="442"/>
      <c r="K2593" s="1263"/>
      <c r="L2593" s="461"/>
      <c r="M2593" s="461"/>
      <c r="N2593" s="461"/>
    </row>
    <row r="2594" spans="1:14" s="462" customFormat="1" hidden="1" outlineLevel="1">
      <c r="A2594" s="1261"/>
      <c r="B2594" s="260"/>
      <c r="C2594" s="439"/>
      <c r="D2594" s="440"/>
      <c r="E2594" s="441"/>
      <c r="F2594" s="1363"/>
      <c r="G2594" s="1363"/>
      <c r="H2594" s="1363"/>
      <c r="I2594" s="399" t="str">
        <f t="shared" si="61"/>
        <v/>
      </c>
      <c r="J2594" s="442"/>
      <c r="K2594" s="1263"/>
      <c r="L2594" s="461"/>
      <c r="M2594" s="461"/>
      <c r="N2594" s="461"/>
    </row>
    <row r="2595" spans="1:14" s="462" customFormat="1" ht="51.75" hidden="1" outlineLevel="1">
      <c r="A2595" s="1261"/>
      <c r="B2595" s="260" t="s">
        <v>294</v>
      </c>
      <c r="C2595" s="439"/>
      <c r="D2595" s="440"/>
      <c r="E2595" s="441"/>
      <c r="F2595" s="1363"/>
      <c r="G2595" s="1363"/>
      <c r="H2595" s="1363"/>
      <c r="I2595" s="399" t="str">
        <f t="shared" si="61"/>
        <v/>
      </c>
      <c r="J2595" s="442"/>
      <c r="K2595" s="1263"/>
      <c r="L2595" s="461"/>
      <c r="M2595" s="461"/>
      <c r="N2595" s="461"/>
    </row>
    <row r="2596" spans="1:14" s="462" customFormat="1" hidden="1" outlineLevel="1">
      <c r="A2596" s="1261"/>
      <c r="B2596" s="260"/>
      <c r="C2596" s="439"/>
      <c r="D2596" s="440"/>
      <c r="E2596" s="441"/>
      <c r="F2596" s="1363"/>
      <c r="G2596" s="1363"/>
      <c r="H2596" s="1363"/>
      <c r="I2596" s="399" t="str">
        <f t="shared" si="61"/>
        <v/>
      </c>
      <c r="J2596" s="442"/>
      <c r="K2596" s="1263"/>
      <c r="L2596" s="461"/>
      <c r="M2596" s="461"/>
      <c r="N2596" s="461"/>
    </row>
    <row r="2597" spans="1:14" s="462" customFormat="1" hidden="1" outlineLevel="1">
      <c r="A2597" s="1261"/>
      <c r="B2597" s="260" t="s">
        <v>295</v>
      </c>
      <c r="C2597" s="439"/>
      <c r="D2597" s="440"/>
      <c r="E2597" s="441"/>
      <c r="F2597" s="1363"/>
      <c r="G2597" s="1363"/>
      <c r="H2597" s="1363"/>
      <c r="I2597" s="399" t="str">
        <f t="shared" si="61"/>
        <v/>
      </c>
      <c r="J2597" s="442"/>
      <c r="K2597" s="1263"/>
      <c r="L2597" s="461"/>
      <c r="M2597" s="461"/>
      <c r="N2597" s="461"/>
    </row>
    <row r="2598" spans="1:14" s="462" customFormat="1" hidden="1" outlineLevel="1">
      <c r="A2598" s="1261"/>
      <c r="B2598" s="260" t="s">
        <v>234</v>
      </c>
      <c r="C2598" s="439" t="s">
        <v>2</v>
      </c>
      <c r="D2598" s="440">
        <v>1</v>
      </c>
      <c r="E2598" s="441">
        <v>2</v>
      </c>
      <c r="F2598" s="1363">
        <v>4.4000000000000004</v>
      </c>
      <c r="G2598" s="1363">
        <v>0.46</v>
      </c>
      <c r="H2598" s="1363">
        <v>0.3</v>
      </c>
      <c r="I2598" s="399">
        <f t="shared" si="61"/>
        <v>1.21</v>
      </c>
      <c r="J2598" s="442"/>
      <c r="K2598" s="1263"/>
      <c r="L2598" s="461"/>
      <c r="M2598" s="461"/>
      <c r="N2598" s="461"/>
    </row>
    <row r="2599" spans="1:14" s="462" customFormat="1" hidden="1" outlineLevel="1">
      <c r="A2599" s="1261"/>
      <c r="B2599" s="260"/>
      <c r="C2599" s="439" t="s">
        <v>2</v>
      </c>
      <c r="D2599" s="440">
        <v>1</v>
      </c>
      <c r="E2599" s="441">
        <v>2</v>
      </c>
      <c r="F2599" s="1363">
        <v>4.17</v>
      </c>
      <c r="G2599" s="1363">
        <v>0.34499999999999997</v>
      </c>
      <c r="H2599" s="1363">
        <v>0.3</v>
      </c>
      <c r="I2599" s="399">
        <f t="shared" si="61"/>
        <v>0.86</v>
      </c>
      <c r="J2599" s="442"/>
      <c r="K2599" s="1263"/>
      <c r="L2599" s="461"/>
      <c r="M2599" s="461"/>
      <c r="N2599" s="461"/>
    </row>
    <row r="2600" spans="1:14" s="462" customFormat="1" hidden="1" outlineLevel="1">
      <c r="A2600" s="1261"/>
      <c r="B2600" s="260"/>
      <c r="C2600" s="439" t="s">
        <v>2</v>
      </c>
      <c r="D2600" s="440">
        <v>1</v>
      </c>
      <c r="E2600" s="441">
        <v>2</v>
      </c>
      <c r="F2600" s="1363">
        <v>3.94</v>
      </c>
      <c r="G2600" s="1363">
        <v>0.23</v>
      </c>
      <c r="H2600" s="1363">
        <v>0.19000000000000006</v>
      </c>
      <c r="I2600" s="399">
        <f t="shared" si="61"/>
        <v>0.34</v>
      </c>
      <c r="J2600" s="442"/>
      <c r="K2600" s="1263"/>
      <c r="L2600" s="461"/>
      <c r="M2600" s="461"/>
      <c r="N2600" s="461"/>
    </row>
    <row r="2601" spans="1:14" s="462" customFormat="1" hidden="1" outlineLevel="1">
      <c r="A2601" s="1261"/>
      <c r="B2601" s="260"/>
      <c r="C2601" s="439"/>
      <c r="D2601" s="440"/>
      <c r="E2601" s="441"/>
      <c r="F2601" s="1363"/>
      <c r="G2601" s="1363"/>
      <c r="H2601" s="1363"/>
      <c r="I2601" s="399" t="str">
        <f t="shared" si="61"/>
        <v/>
      </c>
      <c r="J2601" s="442"/>
      <c r="K2601" s="1263"/>
      <c r="L2601" s="461"/>
      <c r="M2601" s="461"/>
      <c r="N2601" s="461"/>
    </row>
    <row r="2602" spans="1:14" s="462" customFormat="1" hidden="1" outlineLevel="1">
      <c r="A2602" s="1261"/>
      <c r="B2602" s="260"/>
      <c r="C2602" s="439" t="s">
        <v>2</v>
      </c>
      <c r="D2602" s="440">
        <v>1</v>
      </c>
      <c r="E2602" s="441">
        <v>1</v>
      </c>
      <c r="F2602" s="1363">
        <v>1.94</v>
      </c>
      <c r="G2602" s="1363">
        <v>0.46</v>
      </c>
      <c r="H2602" s="1363">
        <v>0.3</v>
      </c>
      <c r="I2602" s="399">
        <f t="shared" si="61"/>
        <v>0.27</v>
      </c>
      <c r="J2602" s="442"/>
      <c r="K2602" s="1263"/>
      <c r="L2602" s="461"/>
      <c r="M2602" s="461"/>
      <c r="N2602" s="461"/>
    </row>
    <row r="2603" spans="1:14" s="462" customFormat="1" hidden="1" outlineLevel="1">
      <c r="A2603" s="1261"/>
      <c r="B2603" s="260"/>
      <c r="C2603" s="439" t="s">
        <v>2</v>
      </c>
      <c r="D2603" s="440">
        <v>1</v>
      </c>
      <c r="E2603" s="441">
        <v>1</v>
      </c>
      <c r="F2603" s="1363">
        <v>1.825</v>
      </c>
      <c r="G2603" s="1363">
        <v>0.34499999999999997</v>
      </c>
      <c r="H2603" s="1363">
        <v>0.3</v>
      </c>
      <c r="I2603" s="399">
        <f t="shared" si="61"/>
        <v>0.19</v>
      </c>
      <c r="J2603" s="442"/>
      <c r="K2603" s="1263"/>
      <c r="L2603" s="461"/>
      <c r="M2603" s="461"/>
      <c r="N2603" s="461"/>
    </row>
    <row r="2604" spans="1:14" s="462" customFormat="1" hidden="1" outlineLevel="1">
      <c r="A2604" s="1261"/>
      <c r="B2604" s="260"/>
      <c r="C2604" s="439" t="s">
        <v>2</v>
      </c>
      <c r="D2604" s="440">
        <v>1</v>
      </c>
      <c r="E2604" s="441">
        <v>1</v>
      </c>
      <c r="F2604" s="1363">
        <v>1.71</v>
      </c>
      <c r="G2604" s="1363">
        <v>0.23</v>
      </c>
      <c r="H2604" s="1363">
        <v>0.19000000000000006</v>
      </c>
      <c r="I2604" s="399">
        <f t="shared" si="61"/>
        <v>7.0000000000000007E-2</v>
      </c>
      <c r="J2604" s="442"/>
      <c r="K2604" s="1263"/>
      <c r="L2604" s="461"/>
      <c r="M2604" s="461"/>
      <c r="N2604" s="461"/>
    </row>
    <row r="2605" spans="1:14" s="462" customFormat="1" hidden="1" outlineLevel="1">
      <c r="A2605" s="1261"/>
      <c r="B2605" s="260"/>
      <c r="C2605" s="439"/>
      <c r="D2605" s="440"/>
      <c r="E2605" s="441"/>
      <c r="F2605" s="1363"/>
      <c r="G2605" s="1363"/>
      <c r="H2605" s="1363"/>
      <c r="I2605" s="399" t="str">
        <f t="shared" si="61"/>
        <v/>
      </c>
      <c r="J2605" s="442"/>
      <c r="K2605" s="1263"/>
      <c r="L2605" s="461"/>
      <c r="M2605" s="461"/>
      <c r="N2605" s="461"/>
    </row>
    <row r="2606" spans="1:14" s="462" customFormat="1" hidden="1" outlineLevel="1">
      <c r="A2606" s="1261"/>
      <c r="B2606" s="260"/>
      <c r="C2606" s="439" t="s">
        <v>2</v>
      </c>
      <c r="D2606" s="440">
        <v>1</v>
      </c>
      <c r="E2606" s="441">
        <v>4</v>
      </c>
      <c r="F2606" s="1363">
        <v>2.84</v>
      </c>
      <c r="G2606" s="1363">
        <v>0.46</v>
      </c>
      <c r="H2606" s="1363">
        <v>0.3</v>
      </c>
      <c r="I2606" s="399">
        <f t="shared" si="61"/>
        <v>1.57</v>
      </c>
      <c r="J2606" s="442"/>
      <c r="K2606" s="1263"/>
      <c r="L2606" s="461"/>
      <c r="M2606" s="461"/>
      <c r="N2606" s="461"/>
    </row>
    <row r="2607" spans="1:14" s="462" customFormat="1" hidden="1" outlineLevel="1">
      <c r="A2607" s="1261"/>
      <c r="B2607" s="260"/>
      <c r="C2607" s="439" t="s">
        <v>2</v>
      </c>
      <c r="D2607" s="440">
        <v>1</v>
      </c>
      <c r="E2607" s="441">
        <v>4</v>
      </c>
      <c r="F2607" s="1363">
        <v>2.7249999999999996</v>
      </c>
      <c r="G2607" s="1363">
        <v>0.34499999999999997</v>
      </c>
      <c r="H2607" s="1363">
        <v>0.3</v>
      </c>
      <c r="I2607" s="399">
        <f t="shared" si="61"/>
        <v>1.1299999999999999</v>
      </c>
      <c r="J2607" s="442"/>
      <c r="K2607" s="1263"/>
      <c r="L2607" s="461"/>
      <c r="M2607" s="461"/>
      <c r="N2607" s="461"/>
    </row>
    <row r="2608" spans="1:14" s="462" customFormat="1" hidden="1" outlineLevel="1">
      <c r="A2608" s="1261"/>
      <c r="B2608" s="260"/>
      <c r="C2608" s="439" t="s">
        <v>2</v>
      </c>
      <c r="D2608" s="440">
        <v>1</v>
      </c>
      <c r="E2608" s="441">
        <v>4</v>
      </c>
      <c r="F2608" s="1363">
        <v>2.61</v>
      </c>
      <c r="G2608" s="1363">
        <v>0.23</v>
      </c>
      <c r="H2608" s="1363">
        <v>0.19000000000000006</v>
      </c>
      <c r="I2608" s="399">
        <f t="shared" si="61"/>
        <v>0.46</v>
      </c>
      <c r="J2608" s="442"/>
      <c r="K2608" s="1263"/>
      <c r="L2608" s="461"/>
      <c r="M2608" s="461"/>
      <c r="N2608" s="461"/>
    </row>
    <row r="2609" spans="1:14" s="462" customFormat="1" hidden="1" outlineLevel="1">
      <c r="A2609" s="1261"/>
      <c r="B2609" s="260"/>
      <c r="C2609" s="439"/>
      <c r="D2609" s="440"/>
      <c r="E2609" s="441"/>
      <c r="F2609" s="1363"/>
      <c r="G2609" s="1363"/>
      <c r="H2609" s="1363"/>
      <c r="I2609" s="399" t="str">
        <f t="shared" si="61"/>
        <v/>
      </c>
      <c r="J2609" s="442"/>
      <c r="K2609" s="1263"/>
      <c r="L2609" s="461"/>
      <c r="M2609" s="461"/>
      <c r="N2609" s="461"/>
    </row>
    <row r="2610" spans="1:14" s="462" customFormat="1" hidden="1" outlineLevel="1">
      <c r="A2610" s="1261"/>
      <c r="B2610" s="260"/>
      <c r="C2610" s="439" t="s">
        <v>2</v>
      </c>
      <c r="D2610" s="440">
        <v>1</v>
      </c>
      <c r="E2610" s="441">
        <v>2</v>
      </c>
      <c r="F2610" s="1363">
        <v>4.9400000000000004</v>
      </c>
      <c r="G2610" s="1363">
        <v>0.46</v>
      </c>
      <c r="H2610" s="1363">
        <v>0.3</v>
      </c>
      <c r="I2610" s="399">
        <f t="shared" si="61"/>
        <v>1.36</v>
      </c>
      <c r="J2610" s="442"/>
      <c r="K2610" s="1263"/>
      <c r="L2610" s="461"/>
      <c r="M2610" s="461"/>
      <c r="N2610" s="461"/>
    </row>
    <row r="2611" spans="1:14" s="462" customFormat="1" hidden="1" outlineLevel="1">
      <c r="A2611" s="1261"/>
      <c r="B2611" s="260"/>
      <c r="C2611" s="439" t="s">
        <v>2</v>
      </c>
      <c r="D2611" s="440">
        <v>1</v>
      </c>
      <c r="E2611" s="441">
        <v>2</v>
      </c>
      <c r="F2611" s="1363">
        <v>4.8250000000000002</v>
      </c>
      <c r="G2611" s="1363">
        <v>0.34499999999999997</v>
      </c>
      <c r="H2611" s="1363">
        <v>0.3</v>
      </c>
      <c r="I2611" s="399">
        <f t="shared" si="61"/>
        <v>1</v>
      </c>
      <c r="J2611" s="442"/>
      <c r="K2611" s="1263"/>
      <c r="L2611" s="461"/>
      <c r="M2611" s="461"/>
      <c r="N2611" s="461"/>
    </row>
    <row r="2612" spans="1:14" s="462" customFormat="1" hidden="1" outlineLevel="1">
      <c r="A2612" s="1261"/>
      <c r="B2612" s="260"/>
      <c r="C2612" s="439" t="s">
        <v>2</v>
      </c>
      <c r="D2612" s="440">
        <v>1</v>
      </c>
      <c r="E2612" s="441">
        <v>2</v>
      </c>
      <c r="F2612" s="1363">
        <v>4.7100000000000009</v>
      </c>
      <c r="G2612" s="1363">
        <v>0.23</v>
      </c>
      <c r="H2612" s="1363">
        <v>0.19000000000000006</v>
      </c>
      <c r="I2612" s="399">
        <f t="shared" si="61"/>
        <v>0.41</v>
      </c>
      <c r="J2612" s="442"/>
      <c r="K2612" s="1263"/>
      <c r="L2612" s="461"/>
      <c r="M2612" s="461"/>
      <c r="N2612" s="461"/>
    </row>
    <row r="2613" spans="1:14" s="462" customFormat="1" hidden="1" outlineLevel="1">
      <c r="A2613" s="1261"/>
      <c r="B2613" s="260"/>
      <c r="C2613" s="439"/>
      <c r="D2613" s="440"/>
      <c r="E2613" s="441"/>
      <c r="F2613" s="1363"/>
      <c r="G2613" s="1363"/>
      <c r="H2613" s="1363"/>
      <c r="I2613" s="399" t="str">
        <f t="shared" si="61"/>
        <v/>
      </c>
      <c r="J2613" s="442"/>
      <c r="K2613" s="1263"/>
      <c r="L2613" s="461"/>
      <c r="M2613" s="461"/>
      <c r="N2613" s="461"/>
    </row>
    <row r="2614" spans="1:14" s="462" customFormat="1" hidden="1" outlineLevel="1">
      <c r="A2614" s="1261"/>
      <c r="B2614" s="260"/>
      <c r="C2614" s="439" t="s">
        <v>2</v>
      </c>
      <c r="D2614" s="440">
        <v>1</v>
      </c>
      <c r="E2614" s="441">
        <v>2</v>
      </c>
      <c r="F2614" s="1363">
        <v>4.6399999999999997</v>
      </c>
      <c r="G2614" s="1363">
        <v>0.46</v>
      </c>
      <c r="H2614" s="1363">
        <v>0.3</v>
      </c>
      <c r="I2614" s="399">
        <f t="shared" si="61"/>
        <v>1.28</v>
      </c>
      <c r="J2614" s="442"/>
      <c r="K2614" s="1263"/>
      <c r="L2614" s="461"/>
      <c r="M2614" s="461"/>
      <c r="N2614" s="461"/>
    </row>
    <row r="2615" spans="1:14" s="462" customFormat="1" hidden="1" outlineLevel="1">
      <c r="A2615" s="1261"/>
      <c r="B2615" s="260"/>
      <c r="C2615" s="439" t="s">
        <v>2</v>
      </c>
      <c r="D2615" s="440">
        <v>1</v>
      </c>
      <c r="E2615" s="441">
        <v>2</v>
      </c>
      <c r="F2615" s="1363">
        <v>4.5249999999999995</v>
      </c>
      <c r="G2615" s="1363">
        <v>0.34499999999999997</v>
      </c>
      <c r="H2615" s="1363">
        <v>0.3</v>
      </c>
      <c r="I2615" s="399">
        <f t="shared" si="61"/>
        <v>0.94</v>
      </c>
      <c r="J2615" s="442"/>
      <c r="K2615" s="1263"/>
      <c r="L2615" s="461"/>
      <c r="M2615" s="461"/>
      <c r="N2615" s="461"/>
    </row>
    <row r="2616" spans="1:14" s="462" customFormat="1" hidden="1" outlineLevel="1">
      <c r="A2616" s="1261"/>
      <c r="B2616" s="260"/>
      <c r="C2616" s="439" t="s">
        <v>2</v>
      </c>
      <c r="D2616" s="440">
        <v>1</v>
      </c>
      <c r="E2616" s="441">
        <v>2</v>
      </c>
      <c r="F2616" s="1363">
        <v>4.41</v>
      </c>
      <c r="G2616" s="1363">
        <v>0.23</v>
      </c>
      <c r="H2616" s="1363">
        <v>0.19000000000000006</v>
      </c>
      <c r="I2616" s="399">
        <f t="shared" si="61"/>
        <v>0.39</v>
      </c>
      <c r="J2616" s="442"/>
      <c r="K2616" s="1263"/>
      <c r="L2616" s="461"/>
      <c r="M2616" s="461"/>
      <c r="N2616" s="461"/>
    </row>
    <row r="2617" spans="1:14" s="462" customFormat="1" hidden="1" outlineLevel="1">
      <c r="A2617" s="1261"/>
      <c r="B2617" s="260"/>
      <c r="C2617" s="439"/>
      <c r="D2617" s="440"/>
      <c r="E2617" s="441"/>
      <c r="F2617" s="1363"/>
      <c r="G2617" s="1363"/>
      <c r="H2617" s="1363"/>
      <c r="I2617" s="399" t="str">
        <f t="shared" si="61"/>
        <v/>
      </c>
      <c r="J2617" s="442"/>
      <c r="K2617" s="1263"/>
      <c r="L2617" s="461"/>
      <c r="M2617" s="461"/>
      <c r="N2617" s="461"/>
    </row>
    <row r="2618" spans="1:14" s="462" customFormat="1" hidden="1" outlineLevel="1">
      <c r="A2618" s="1261"/>
      <c r="B2618" s="260"/>
      <c r="C2618" s="439" t="s">
        <v>2</v>
      </c>
      <c r="D2618" s="440">
        <v>1</v>
      </c>
      <c r="E2618" s="441">
        <v>2</v>
      </c>
      <c r="F2618" s="1363">
        <v>5.54</v>
      </c>
      <c r="G2618" s="1363">
        <v>0.46</v>
      </c>
      <c r="H2618" s="1363">
        <v>0.3</v>
      </c>
      <c r="I2618" s="399">
        <f t="shared" si="61"/>
        <v>1.53</v>
      </c>
      <c r="J2618" s="442"/>
      <c r="K2618" s="1263"/>
      <c r="L2618" s="461"/>
      <c r="M2618" s="461"/>
      <c r="N2618" s="461"/>
    </row>
    <row r="2619" spans="1:14" s="462" customFormat="1" hidden="1" outlineLevel="1">
      <c r="A2619" s="1261"/>
      <c r="B2619" s="260"/>
      <c r="C2619" s="439" t="s">
        <v>2</v>
      </c>
      <c r="D2619" s="440">
        <v>1</v>
      </c>
      <c r="E2619" s="441">
        <v>2</v>
      </c>
      <c r="F2619" s="1363">
        <v>5.4249999999999998</v>
      </c>
      <c r="G2619" s="1363">
        <v>0.34499999999999997</v>
      </c>
      <c r="H2619" s="1363">
        <v>0.3</v>
      </c>
      <c r="I2619" s="399">
        <f t="shared" si="61"/>
        <v>1.1200000000000001</v>
      </c>
      <c r="J2619" s="442"/>
      <c r="K2619" s="1263"/>
      <c r="L2619" s="461"/>
      <c r="M2619" s="461"/>
      <c r="N2619" s="461"/>
    </row>
    <row r="2620" spans="1:14" s="462" customFormat="1" hidden="1" outlineLevel="1">
      <c r="A2620" s="1261"/>
      <c r="B2620" s="260"/>
      <c r="C2620" s="439" t="s">
        <v>2</v>
      </c>
      <c r="D2620" s="440">
        <v>1</v>
      </c>
      <c r="E2620" s="441">
        <v>2</v>
      </c>
      <c r="F2620" s="1363">
        <v>5.3100000000000005</v>
      </c>
      <c r="G2620" s="1363">
        <v>0.23</v>
      </c>
      <c r="H2620" s="1363">
        <v>0.19000000000000006</v>
      </c>
      <c r="I2620" s="399">
        <f t="shared" si="61"/>
        <v>0.46</v>
      </c>
      <c r="J2620" s="442"/>
      <c r="K2620" s="1263"/>
      <c r="L2620" s="461"/>
      <c r="M2620" s="461"/>
      <c r="N2620" s="461"/>
    </row>
    <row r="2621" spans="1:14" s="462" customFormat="1" hidden="1" outlineLevel="1">
      <c r="A2621" s="1261"/>
      <c r="B2621" s="260"/>
      <c r="C2621" s="439"/>
      <c r="D2621" s="440"/>
      <c r="E2621" s="441"/>
      <c r="F2621" s="1363"/>
      <c r="G2621" s="1363"/>
      <c r="H2621" s="1363"/>
      <c r="I2621" s="399" t="str">
        <f t="shared" si="61"/>
        <v/>
      </c>
      <c r="J2621" s="442"/>
      <c r="K2621" s="1263"/>
      <c r="L2621" s="461"/>
      <c r="M2621" s="461"/>
      <c r="N2621" s="461"/>
    </row>
    <row r="2622" spans="1:14" s="462" customFormat="1" hidden="1" outlineLevel="1">
      <c r="A2622" s="1261"/>
      <c r="B2622" s="260"/>
      <c r="C2622" s="439" t="s">
        <v>2</v>
      </c>
      <c r="D2622" s="440">
        <v>1</v>
      </c>
      <c r="E2622" s="441">
        <v>2</v>
      </c>
      <c r="F2622" s="1363">
        <v>6.44</v>
      </c>
      <c r="G2622" s="1363">
        <v>0.46</v>
      </c>
      <c r="H2622" s="1363">
        <v>0.3</v>
      </c>
      <c r="I2622" s="399">
        <f t="shared" si="61"/>
        <v>1.78</v>
      </c>
      <c r="J2622" s="442"/>
      <c r="K2622" s="1263"/>
      <c r="L2622" s="461"/>
      <c r="M2622" s="461"/>
      <c r="N2622" s="461"/>
    </row>
    <row r="2623" spans="1:14" s="462" customFormat="1" hidden="1" outlineLevel="1">
      <c r="A2623" s="1261"/>
      <c r="B2623" s="260"/>
      <c r="C2623" s="439" t="s">
        <v>2</v>
      </c>
      <c r="D2623" s="440">
        <v>1</v>
      </c>
      <c r="E2623" s="441">
        <v>2</v>
      </c>
      <c r="F2623" s="1363">
        <v>6.3250000000000002</v>
      </c>
      <c r="G2623" s="1363">
        <v>0.34499999999999997</v>
      </c>
      <c r="H2623" s="1363">
        <v>0.3</v>
      </c>
      <c r="I2623" s="399">
        <f t="shared" si="61"/>
        <v>1.31</v>
      </c>
      <c r="J2623" s="442"/>
      <c r="K2623" s="1263"/>
      <c r="L2623" s="461"/>
      <c r="M2623" s="461"/>
      <c r="N2623" s="461"/>
    </row>
    <row r="2624" spans="1:14" s="462" customFormat="1" hidden="1" outlineLevel="1">
      <c r="A2624" s="1261"/>
      <c r="B2624" s="260"/>
      <c r="C2624" s="439" t="s">
        <v>2</v>
      </c>
      <c r="D2624" s="440">
        <v>1</v>
      </c>
      <c r="E2624" s="441">
        <v>2</v>
      </c>
      <c r="F2624" s="1363">
        <v>6.2100000000000009</v>
      </c>
      <c r="G2624" s="1363">
        <v>0.23</v>
      </c>
      <c r="H2624" s="1363">
        <v>0.19000000000000006</v>
      </c>
      <c r="I2624" s="399">
        <f t="shared" si="61"/>
        <v>0.54</v>
      </c>
      <c r="J2624" s="442"/>
      <c r="K2624" s="1263"/>
      <c r="L2624" s="461"/>
      <c r="M2624" s="461"/>
      <c r="N2624" s="461"/>
    </row>
    <row r="2625" spans="1:14" s="462" customFormat="1" hidden="1" outlineLevel="1">
      <c r="A2625" s="1261"/>
      <c r="B2625" s="260"/>
      <c r="C2625" s="439"/>
      <c r="D2625" s="440"/>
      <c r="E2625" s="441"/>
      <c r="F2625" s="1363"/>
      <c r="G2625" s="1363"/>
      <c r="H2625" s="1363"/>
      <c r="I2625" s="399" t="str">
        <f t="shared" si="61"/>
        <v/>
      </c>
      <c r="J2625" s="442"/>
      <c r="K2625" s="1263"/>
      <c r="L2625" s="461"/>
      <c r="M2625" s="461"/>
      <c r="N2625" s="461"/>
    </row>
    <row r="2626" spans="1:14" s="462" customFormat="1" hidden="1" outlineLevel="1">
      <c r="A2626" s="1261"/>
      <c r="B2626" s="260"/>
      <c r="C2626" s="439" t="s">
        <v>2</v>
      </c>
      <c r="D2626" s="440">
        <v>1</v>
      </c>
      <c r="E2626" s="441">
        <v>1</v>
      </c>
      <c r="F2626" s="1363">
        <v>7.64</v>
      </c>
      <c r="G2626" s="1363">
        <v>0.46</v>
      </c>
      <c r="H2626" s="1363">
        <v>0.3</v>
      </c>
      <c r="I2626" s="399">
        <f t="shared" si="61"/>
        <v>1.05</v>
      </c>
      <c r="J2626" s="442"/>
      <c r="K2626" s="1263"/>
      <c r="L2626" s="461"/>
      <c r="M2626" s="461"/>
      <c r="N2626" s="461"/>
    </row>
    <row r="2627" spans="1:14" s="462" customFormat="1" hidden="1" outlineLevel="1">
      <c r="A2627" s="1261"/>
      <c r="B2627" s="260"/>
      <c r="C2627" s="439" t="s">
        <v>2</v>
      </c>
      <c r="D2627" s="440">
        <v>1</v>
      </c>
      <c r="E2627" s="441">
        <v>1</v>
      </c>
      <c r="F2627" s="1363">
        <v>7.5249999999999995</v>
      </c>
      <c r="G2627" s="1363">
        <v>0.34499999999999997</v>
      </c>
      <c r="H2627" s="1363">
        <v>0.3</v>
      </c>
      <c r="I2627" s="399">
        <f t="shared" si="61"/>
        <v>0.78</v>
      </c>
      <c r="J2627" s="442"/>
      <c r="K2627" s="1263"/>
      <c r="L2627" s="461"/>
      <c r="M2627" s="461"/>
      <c r="N2627" s="461"/>
    </row>
    <row r="2628" spans="1:14" s="462" customFormat="1" hidden="1" outlineLevel="1">
      <c r="A2628" s="1261"/>
      <c r="B2628" s="260"/>
      <c r="C2628" s="439" t="s">
        <v>2</v>
      </c>
      <c r="D2628" s="440">
        <v>1</v>
      </c>
      <c r="E2628" s="441">
        <v>1</v>
      </c>
      <c r="F2628" s="1363">
        <v>7.41</v>
      </c>
      <c r="G2628" s="1363">
        <v>0.23</v>
      </c>
      <c r="H2628" s="1363">
        <v>0.19000000000000006</v>
      </c>
      <c r="I2628" s="399">
        <f t="shared" si="61"/>
        <v>0.32</v>
      </c>
      <c r="J2628" s="442"/>
      <c r="K2628" s="1263"/>
      <c r="L2628" s="461"/>
      <c r="M2628" s="461"/>
      <c r="N2628" s="461"/>
    </row>
    <row r="2629" spans="1:14" s="462" customFormat="1" hidden="1" outlineLevel="1">
      <c r="A2629" s="1261"/>
      <c r="B2629" s="260"/>
      <c r="C2629" s="439"/>
      <c r="D2629" s="440"/>
      <c r="E2629" s="441"/>
      <c r="F2629" s="1363"/>
      <c r="G2629" s="1363"/>
      <c r="H2629" s="1363"/>
      <c r="I2629" s="399" t="str">
        <f t="shared" si="61"/>
        <v/>
      </c>
      <c r="J2629" s="442"/>
      <c r="K2629" s="1263"/>
      <c r="L2629" s="461"/>
      <c r="M2629" s="461"/>
      <c r="N2629" s="461"/>
    </row>
    <row r="2630" spans="1:14" s="462" customFormat="1" hidden="1" outlineLevel="1">
      <c r="A2630" s="1261"/>
      <c r="B2630" s="260"/>
      <c r="C2630" s="439" t="s">
        <v>2</v>
      </c>
      <c r="D2630" s="440">
        <v>1</v>
      </c>
      <c r="E2630" s="441">
        <v>1</v>
      </c>
      <c r="F2630" s="1363">
        <v>1.96</v>
      </c>
      <c r="G2630" s="1363">
        <v>0.46</v>
      </c>
      <c r="H2630" s="1363">
        <v>0.3</v>
      </c>
      <c r="I2630" s="399">
        <f t="shared" si="61"/>
        <v>0.27</v>
      </c>
      <c r="J2630" s="442"/>
      <c r="K2630" s="1263"/>
      <c r="L2630" s="461"/>
      <c r="M2630" s="461"/>
      <c r="N2630" s="461"/>
    </row>
    <row r="2631" spans="1:14" s="462" customFormat="1" hidden="1" outlineLevel="1">
      <c r="A2631" s="1261"/>
      <c r="B2631" s="260"/>
      <c r="C2631" s="439" t="s">
        <v>2</v>
      </c>
      <c r="D2631" s="440">
        <v>1</v>
      </c>
      <c r="E2631" s="441">
        <v>1</v>
      </c>
      <c r="F2631" s="1363">
        <v>1.845</v>
      </c>
      <c r="G2631" s="1363">
        <v>0.34499999999999997</v>
      </c>
      <c r="H2631" s="1363">
        <v>0.3</v>
      </c>
      <c r="I2631" s="399">
        <f t="shared" si="61"/>
        <v>0.19</v>
      </c>
      <c r="J2631" s="442"/>
      <c r="K2631" s="1263"/>
      <c r="L2631" s="461"/>
      <c r="M2631" s="461"/>
      <c r="N2631" s="461"/>
    </row>
    <row r="2632" spans="1:14" s="462" customFormat="1" hidden="1" outlineLevel="1">
      <c r="A2632" s="1261"/>
      <c r="B2632" s="260"/>
      <c r="C2632" s="439" t="s">
        <v>2</v>
      </c>
      <c r="D2632" s="440">
        <v>1</v>
      </c>
      <c r="E2632" s="441">
        <v>1</v>
      </c>
      <c r="F2632" s="1363">
        <v>1.73</v>
      </c>
      <c r="G2632" s="1363">
        <v>0.23</v>
      </c>
      <c r="H2632" s="1363">
        <v>0.19000000000000006</v>
      </c>
      <c r="I2632" s="399">
        <f t="shared" si="61"/>
        <v>0.08</v>
      </c>
      <c r="J2632" s="442"/>
      <c r="K2632" s="1263"/>
      <c r="L2632" s="461"/>
      <c r="M2632" s="461"/>
      <c r="N2632" s="461"/>
    </row>
    <row r="2633" spans="1:14" s="462" customFormat="1" hidden="1" outlineLevel="1">
      <c r="A2633" s="1261"/>
      <c r="B2633" s="260"/>
      <c r="C2633" s="439"/>
      <c r="D2633" s="440"/>
      <c r="E2633" s="441"/>
      <c r="F2633" s="1363"/>
      <c r="G2633" s="1363"/>
      <c r="H2633" s="1363"/>
      <c r="I2633" s="399" t="str">
        <f t="shared" si="61"/>
        <v/>
      </c>
      <c r="J2633" s="442"/>
      <c r="K2633" s="1263"/>
      <c r="L2633" s="461"/>
      <c r="M2633" s="461"/>
      <c r="N2633" s="461"/>
    </row>
    <row r="2634" spans="1:14" s="462" customFormat="1" hidden="1" outlineLevel="1">
      <c r="A2634" s="1261"/>
      <c r="B2634" s="260" t="s">
        <v>235</v>
      </c>
      <c r="C2634" s="439" t="s">
        <v>2</v>
      </c>
      <c r="D2634" s="440">
        <v>1</v>
      </c>
      <c r="E2634" s="441">
        <v>1</v>
      </c>
      <c r="F2634" s="1364">
        <v>11.08</v>
      </c>
      <c r="G2634" s="1363">
        <v>0.46</v>
      </c>
      <c r="H2634" s="1363">
        <v>0.3</v>
      </c>
      <c r="I2634" s="399">
        <f t="shared" si="61"/>
        <v>1.53</v>
      </c>
      <c r="J2634" s="442"/>
      <c r="K2634" s="1263"/>
      <c r="L2634" s="461"/>
      <c r="M2634" s="461"/>
      <c r="N2634" s="461"/>
    </row>
    <row r="2635" spans="1:14" s="462" customFormat="1" hidden="1" outlineLevel="1">
      <c r="A2635" s="1261"/>
      <c r="B2635" s="260"/>
      <c r="C2635" s="439" t="s">
        <v>2</v>
      </c>
      <c r="D2635" s="440">
        <v>1</v>
      </c>
      <c r="E2635" s="441">
        <v>1</v>
      </c>
      <c r="F2635" s="1364">
        <v>10.85</v>
      </c>
      <c r="G2635" s="1363">
        <v>0.34499999999999997</v>
      </c>
      <c r="H2635" s="1363">
        <v>0.3</v>
      </c>
      <c r="I2635" s="399">
        <f t="shared" si="61"/>
        <v>1.1200000000000001</v>
      </c>
      <c r="J2635" s="442"/>
      <c r="K2635" s="1263"/>
      <c r="L2635" s="461"/>
      <c r="M2635" s="461"/>
      <c r="N2635" s="461"/>
    </row>
    <row r="2636" spans="1:14" s="462" customFormat="1" hidden="1" outlineLevel="1">
      <c r="A2636" s="1261"/>
      <c r="B2636" s="260"/>
      <c r="C2636" s="439" t="s">
        <v>2</v>
      </c>
      <c r="D2636" s="440">
        <v>1</v>
      </c>
      <c r="E2636" s="441">
        <v>1</v>
      </c>
      <c r="F2636" s="1364">
        <v>10.62</v>
      </c>
      <c r="G2636" s="1363">
        <v>0.23</v>
      </c>
      <c r="H2636" s="1363">
        <v>0.19000000000000006</v>
      </c>
      <c r="I2636" s="399">
        <f t="shared" si="61"/>
        <v>0.46</v>
      </c>
      <c r="J2636" s="442"/>
      <c r="K2636" s="1263"/>
      <c r="L2636" s="461"/>
      <c r="M2636" s="461"/>
      <c r="N2636" s="461"/>
    </row>
    <row r="2637" spans="1:14" s="462" customFormat="1" hidden="1" outlineLevel="1">
      <c r="A2637" s="1261"/>
      <c r="B2637" s="260" t="s">
        <v>273</v>
      </c>
      <c r="C2637" s="439" t="s">
        <v>2</v>
      </c>
      <c r="D2637" s="440">
        <v>1</v>
      </c>
      <c r="E2637" s="441">
        <v>4</v>
      </c>
      <c r="F2637" s="1363">
        <v>3</v>
      </c>
      <c r="G2637" s="1363">
        <v>0.115</v>
      </c>
      <c r="H2637" s="1363">
        <v>0.19000000000000006</v>
      </c>
      <c r="I2637" s="399">
        <f t="shared" si="61"/>
        <v>0.26</v>
      </c>
      <c r="J2637" s="442"/>
      <c r="K2637" s="1263"/>
      <c r="L2637" s="461"/>
      <c r="M2637" s="461"/>
      <c r="N2637" s="461"/>
    </row>
    <row r="2638" spans="1:14" s="462" customFormat="1" hidden="1" outlineLevel="1">
      <c r="A2638" s="1261"/>
      <c r="B2638" s="260"/>
      <c r="C2638" s="439" t="s">
        <v>2</v>
      </c>
      <c r="D2638" s="440">
        <v>1</v>
      </c>
      <c r="E2638" s="441">
        <v>4</v>
      </c>
      <c r="F2638" s="1363">
        <v>3</v>
      </c>
      <c r="G2638" s="1363">
        <v>0.34499999999999997</v>
      </c>
      <c r="H2638" s="1363">
        <v>0.42499999999999999</v>
      </c>
      <c r="I2638" s="399">
        <f t="shared" si="61"/>
        <v>1.76</v>
      </c>
      <c r="J2638" s="442"/>
      <c r="K2638" s="1263"/>
      <c r="L2638" s="461"/>
      <c r="M2638" s="461"/>
      <c r="N2638" s="461"/>
    </row>
    <row r="2639" spans="1:14" s="462" customFormat="1" hidden="1" outlineLevel="1">
      <c r="A2639" s="1261"/>
      <c r="B2639" s="260"/>
      <c r="C2639" s="439"/>
      <c r="D2639" s="440"/>
      <c r="E2639" s="441"/>
      <c r="F2639" s="1363"/>
      <c r="G2639" s="1363"/>
      <c r="H2639" s="1363"/>
      <c r="I2639" s="399" t="str">
        <f t="shared" si="61"/>
        <v/>
      </c>
      <c r="J2639" s="442"/>
      <c r="K2639" s="1263"/>
      <c r="L2639" s="461"/>
      <c r="M2639" s="461"/>
      <c r="N2639" s="461"/>
    </row>
    <row r="2640" spans="1:14" s="462" customFormat="1" hidden="1" outlineLevel="1">
      <c r="A2640" s="1261"/>
      <c r="B2640" s="260" t="s">
        <v>236</v>
      </c>
      <c r="C2640" s="439" t="s">
        <v>2</v>
      </c>
      <c r="D2640" s="440">
        <v>1</v>
      </c>
      <c r="E2640" s="441">
        <v>3</v>
      </c>
      <c r="F2640" s="1363">
        <v>0.61499999999999999</v>
      </c>
      <c r="G2640" s="1363">
        <v>0.46</v>
      </c>
      <c r="H2640" s="1363">
        <v>0.3</v>
      </c>
      <c r="I2640" s="399">
        <f t="shared" si="61"/>
        <v>0.25</v>
      </c>
      <c r="J2640" s="442"/>
      <c r="K2640" s="1263"/>
      <c r="L2640" s="461"/>
      <c r="M2640" s="461"/>
      <c r="N2640" s="461"/>
    </row>
    <row r="2641" spans="1:14" s="462" customFormat="1" hidden="1" outlineLevel="1">
      <c r="A2641" s="1261"/>
      <c r="B2641" s="260"/>
      <c r="C2641" s="439" t="s">
        <v>2</v>
      </c>
      <c r="D2641" s="440">
        <v>1</v>
      </c>
      <c r="E2641" s="441">
        <v>3</v>
      </c>
      <c r="F2641" s="1363">
        <v>0.61499999999999999</v>
      </c>
      <c r="G2641" s="1363">
        <v>0.34499999999999997</v>
      </c>
      <c r="H2641" s="1363">
        <v>0.3</v>
      </c>
      <c r="I2641" s="399">
        <f t="shared" si="61"/>
        <v>0.19</v>
      </c>
      <c r="J2641" s="442"/>
      <c r="K2641" s="1263"/>
      <c r="L2641" s="461"/>
      <c r="M2641" s="461"/>
      <c r="N2641" s="461"/>
    </row>
    <row r="2642" spans="1:14" s="462" customFormat="1" hidden="1" outlineLevel="1">
      <c r="A2642" s="1261"/>
      <c r="B2642" s="260"/>
      <c r="C2642" s="439" t="s">
        <v>2</v>
      </c>
      <c r="D2642" s="440">
        <v>1</v>
      </c>
      <c r="E2642" s="441">
        <v>3</v>
      </c>
      <c r="F2642" s="1363">
        <v>0.61499999999999999</v>
      </c>
      <c r="G2642" s="1363">
        <v>0.23</v>
      </c>
      <c r="H2642" s="1363">
        <v>0.19000000000000006</v>
      </c>
      <c r="I2642" s="399">
        <f t="shared" si="61"/>
        <v>0.08</v>
      </c>
      <c r="J2642" s="442"/>
      <c r="K2642" s="1263"/>
      <c r="L2642" s="461"/>
      <c r="M2642" s="461"/>
      <c r="N2642" s="461"/>
    </row>
    <row r="2643" spans="1:14" s="462" customFormat="1" hidden="1" outlineLevel="1">
      <c r="A2643" s="1261"/>
      <c r="B2643" s="260"/>
      <c r="C2643" s="439"/>
      <c r="D2643" s="440"/>
      <c r="E2643" s="441"/>
      <c r="F2643" s="1363"/>
      <c r="G2643" s="1363"/>
      <c r="H2643" s="1363"/>
      <c r="I2643" s="399" t="str">
        <f t="shared" si="61"/>
        <v/>
      </c>
      <c r="J2643" s="442"/>
      <c r="K2643" s="1263"/>
      <c r="L2643" s="461"/>
      <c r="M2643" s="461"/>
      <c r="N2643" s="461"/>
    </row>
    <row r="2644" spans="1:14" s="462" customFormat="1" hidden="1" outlineLevel="1">
      <c r="A2644" s="1261"/>
      <c r="B2644" s="260"/>
      <c r="C2644" s="439" t="s">
        <v>2</v>
      </c>
      <c r="D2644" s="440">
        <v>1</v>
      </c>
      <c r="E2644" s="441">
        <v>6</v>
      </c>
      <c r="F2644" s="1363">
        <v>3.36</v>
      </c>
      <c r="G2644" s="1363">
        <v>0.46</v>
      </c>
      <c r="H2644" s="1363">
        <v>0.3</v>
      </c>
      <c r="I2644" s="399">
        <f t="shared" si="61"/>
        <v>2.78</v>
      </c>
      <c r="J2644" s="442"/>
      <c r="K2644" s="1263"/>
      <c r="L2644" s="461"/>
      <c r="M2644" s="461"/>
      <c r="N2644" s="461"/>
    </row>
    <row r="2645" spans="1:14" s="462" customFormat="1" hidden="1" outlineLevel="1">
      <c r="A2645" s="1261"/>
      <c r="B2645" s="260"/>
      <c r="C2645" s="439" t="s">
        <v>2</v>
      </c>
      <c r="D2645" s="440">
        <v>1</v>
      </c>
      <c r="E2645" s="441">
        <v>6</v>
      </c>
      <c r="F2645" s="1363">
        <v>3.36</v>
      </c>
      <c r="G2645" s="1363">
        <v>0.34499999999999997</v>
      </c>
      <c r="H2645" s="1363">
        <v>0.3</v>
      </c>
      <c r="I2645" s="399">
        <f t="shared" si="61"/>
        <v>2.09</v>
      </c>
      <c r="J2645" s="442"/>
      <c r="K2645" s="1263"/>
      <c r="L2645" s="461"/>
      <c r="M2645" s="461"/>
      <c r="N2645" s="461"/>
    </row>
    <row r="2646" spans="1:14" s="462" customFormat="1" hidden="1" outlineLevel="1">
      <c r="A2646" s="1261"/>
      <c r="B2646" s="260"/>
      <c r="C2646" s="439" t="s">
        <v>2</v>
      </c>
      <c r="D2646" s="440">
        <v>1</v>
      </c>
      <c r="E2646" s="441">
        <v>6</v>
      </c>
      <c r="F2646" s="1363">
        <v>3.36</v>
      </c>
      <c r="G2646" s="1363">
        <v>0.23</v>
      </c>
      <c r="H2646" s="1363">
        <v>0.19000000000000006</v>
      </c>
      <c r="I2646" s="399">
        <f t="shared" si="61"/>
        <v>0.88</v>
      </c>
      <c r="J2646" s="442"/>
      <c r="K2646" s="1263"/>
      <c r="L2646" s="461"/>
      <c r="M2646" s="461"/>
      <c r="N2646" s="461"/>
    </row>
    <row r="2647" spans="1:14" s="462" customFormat="1" hidden="1" outlineLevel="1">
      <c r="A2647" s="1261"/>
      <c r="B2647" s="260"/>
      <c r="C2647" s="439"/>
      <c r="D2647" s="440"/>
      <c r="E2647" s="441"/>
      <c r="F2647" s="1363"/>
      <c r="G2647" s="1363"/>
      <c r="H2647" s="1363"/>
      <c r="I2647" s="399" t="str">
        <f t="shared" si="61"/>
        <v/>
      </c>
      <c r="J2647" s="442"/>
      <c r="K2647" s="1263"/>
      <c r="L2647" s="461"/>
      <c r="M2647" s="461"/>
      <c r="N2647" s="461"/>
    </row>
    <row r="2648" spans="1:14" s="462" customFormat="1" hidden="1" outlineLevel="1">
      <c r="A2648" s="1261"/>
      <c r="B2648" s="260"/>
      <c r="C2648" s="439" t="s">
        <v>2</v>
      </c>
      <c r="D2648" s="440">
        <v>1</v>
      </c>
      <c r="E2648" s="441">
        <v>7</v>
      </c>
      <c r="F2648" s="1363">
        <v>1.21</v>
      </c>
      <c r="G2648" s="1363">
        <v>0.46</v>
      </c>
      <c r="H2648" s="1363">
        <v>0.3</v>
      </c>
      <c r="I2648" s="399">
        <f t="shared" ref="I2648:I2711" si="62">IF(D2648&lt;&gt;0,ROUND(PRODUCT(E2648:H2648)*D2648,2),"")</f>
        <v>1.17</v>
      </c>
      <c r="J2648" s="442"/>
      <c r="K2648" s="1263"/>
      <c r="L2648" s="461"/>
      <c r="M2648" s="461"/>
      <c r="N2648" s="461"/>
    </row>
    <row r="2649" spans="1:14" s="462" customFormat="1" hidden="1" outlineLevel="1">
      <c r="A2649" s="1261"/>
      <c r="B2649" s="260"/>
      <c r="C2649" s="439" t="s">
        <v>2</v>
      </c>
      <c r="D2649" s="440">
        <v>1</v>
      </c>
      <c r="E2649" s="441">
        <v>7</v>
      </c>
      <c r="F2649" s="1363">
        <v>1.44</v>
      </c>
      <c r="G2649" s="1363">
        <v>0.34499999999999997</v>
      </c>
      <c r="H2649" s="1363">
        <v>0.3</v>
      </c>
      <c r="I2649" s="399">
        <f t="shared" si="62"/>
        <v>1.04</v>
      </c>
      <c r="J2649" s="442"/>
      <c r="K2649" s="1263"/>
      <c r="L2649" s="461"/>
      <c r="M2649" s="461"/>
      <c r="N2649" s="461"/>
    </row>
    <row r="2650" spans="1:14" s="462" customFormat="1" hidden="1" outlineLevel="1">
      <c r="A2650" s="1261"/>
      <c r="B2650" s="260"/>
      <c r="C2650" s="439" t="s">
        <v>2</v>
      </c>
      <c r="D2650" s="440">
        <v>1</v>
      </c>
      <c r="E2650" s="441">
        <v>7</v>
      </c>
      <c r="F2650" s="1363">
        <v>1.67</v>
      </c>
      <c r="G2650" s="1363">
        <v>0.23</v>
      </c>
      <c r="H2650" s="1363">
        <v>0.19000000000000006</v>
      </c>
      <c r="I2650" s="399">
        <f t="shared" si="62"/>
        <v>0.51</v>
      </c>
      <c r="J2650" s="442"/>
      <c r="K2650" s="1263"/>
      <c r="L2650" s="461"/>
      <c r="M2650" s="461"/>
      <c r="N2650" s="461"/>
    </row>
    <row r="2651" spans="1:14" s="462" customFormat="1" hidden="1" outlineLevel="1">
      <c r="A2651" s="1261"/>
      <c r="B2651" s="260"/>
      <c r="C2651" s="439"/>
      <c r="D2651" s="440"/>
      <c r="E2651" s="441"/>
      <c r="F2651" s="1363"/>
      <c r="G2651" s="1363"/>
      <c r="H2651" s="1363"/>
      <c r="I2651" s="399" t="str">
        <f t="shared" si="62"/>
        <v/>
      </c>
      <c r="J2651" s="442"/>
      <c r="K2651" s="1263"/>
      <c r="L2651" s="461"/>
      <c r="M2651" s="461"/>
      <c r="N2651" s="461"/>
    </row>
    <row r="2652" spans="1:14" s="462" customFormat="1" hidden="1" outlineLevel="1">
      <c r="A2652" s="1261"/>
      <c r="B2652" s="260"/>
      <c r="C2652" s="439" t="s">
        <v>2</v>
      </c>
      <c r="D2652" s="440">
        <v>1</v>
      </c>
      <c r="E2652" s="441">
        <v>1</v>
      </c>
      <c r="F2652" s="1363">
        <v>2.2850000000000001</v>
      </c>
      <c r="G2652" s="1363">
        <v>0.46</v>
      </c>
      <c r="H2652" s="1363">
        <v>0.3</v>
      </c>
      <c r="I2652" s="399">
        <f t="shared" si="62"/>
        <v>0.32</v>
      </c>
      <c r="J2652" s="442"/>
      <c r="K2652" s="1263"/>
      <c r="L2652" s="461"/>
      <c r="M2652" s="461"/>
      <c r="N2652" s="461"/>
    </row>
    <row r="2653" spans="1:14" s="462" customFormat="1" hidden="1" outlineLevel="1">
      <c r="A2653" s="1261"/>
      <c r="B2653" s="260"/>
      <c r="C2653" s="439" t="s">
        <v>2</v>
      </c>
      <c r="D2653" s="440">
        <v>1</v>
      </c>
      <c r="E2653" s="441">
        <v>1</v>
      </c>
      <c r="F2653" s="1363">
        <v>2.4000000000000004</v>
      </c>
      <c r="G2653" s="1363">
        <v>0.34499999999999997</v>
      </c>
      <c r="H2653" s="1363">
        <v>0.3</v>
      </c>
      <c r="I2653" s="399">
        <f t="shared" si="62"/>
        <v>0.25</v>
      </c>
      <c r="J2653" s="442"/>
      <c r="K2653" s="1263"/>
      <c r="L2653" s="461"/>
      <c r="M2653" s="461"/>
      <c r="N2653" s="461"/>
    </row>
    <row r="2654" spans="1:14" s="462" customFormat="1" hidden="1" outlineLevel="1">
      <c r="A2654" s="1261"/>
      <c r="B2654" s="260"/>
      <c r="C2654" s="439" t="s">
        <v>2</v>
      </c>
      <c r="D2654" s="440">
        <v>1</v>
      </c>
      <c r="E2654" s="441">
        <v>1</v>
      </c>
      <c r="F2654" s="1363">
        <v>2.5150000000000001</v>
      </c>
      <c r="G2654" s="1363">
        <v>0.23</v>
      </c>
      <c r="H2654" s="1363">
        <v>0.19000000000000006</v>
      </c>
      <c r="I2654" s="399">
        <f t="shared" si="62"/>
        <v>0.11</v>
      </c>
      <c r="J2654" s="442"/>
      <c r="K2654" s="1263"/>
      <c r="L2654" s="461"/>
      <c r="M2654" s="461"/>
      <c r="N2654" s="461"/>
    </row>
    <row r="2655" spans="1:14" s="462" customFormat="1" ht="51.75" hidden="1" outlineLevel="1">
      <c r="A2655" s="1261"/>
      <c r="B2655" s="260" t="s">
        <v>296</v>
      </c>
      <c r="C2655" s="439"/>
      <c r="D2655" s="440"/>
      <c r="E2655" s="441"/>
      <c r="F2655" s="1363"/>
      <c r="G2655" s="1363"/>
      <c r="H2655" s="1363"/>
      <c r="I2655" s="399" t="str">
        <f t="shared" si="62"/>
        <v/>
      </c>
      <c r="J2655" s="442"/>
      <c r="K2655" s="1263"/>
      <c r="L2655" s="461"/>
      <c r="M2655" s="461"/>
      <c r="N2655" s="461"/>
    </row>
    <row r="2656" spans="1:14" s="462" customFormat="1" hidden="1" outlineLevel="1">
      <c r="A2656" s="1261"/>
      <c r="B2656" s="260" t="s">
        <v>297</v>
      </c>
      <c r="C2656" s="439" t="s">
        <v>2</v>
      </c>
      <c r="D2656" s="440">
        <v>1</v>
      </c>
      <c r="E2656" s="441">
        <v>1</v>
      </c>
      <c r="F2656" s="1363">
        <v>19.450000000000003</v>
      </c>
      <c r="G2656" s="1363">
        <v>0.46</v>
      </c>
      <c r="H2656" s="1363">
        <v>0.3</v>
      </c>
      <c r="I2656" s="399">
        <f t="shared" si="62"/>
        <v>2.68</v>
      </c>
      <c r="J2656" s="442"/>
      <c r="K2656" s="1263"/>
      <c r="L2656" s="461"/>
      <c r="M2656" s="461"/>
      <c r="N2656" s="461"/>
    </row>
    <row r="2657" spans="1:14" s="462" customFormat="1" hidden="1" outlineLevel="1">
      <c r="A2657" s="1261"/>
      <c r="B2657" s="260"/>
      <c r="C2657" s="439" t="s">
        <v>2</v>
      </c>
      <c r="D2657" s="440">
        <v>1</v>
      </c>
      <c r="E2657" s="441">
        <v>1</v>
      </c>
      <c r="F2657" s="1363">
        <v>19.220000000000002</v>
      </c>
      <c r="G2657" s="1363">
        <v>0.34499999999999997</v>
      </c>
      <c r="H2657" s="1363">
        <v>0.3</v>
      </c>
      <c r="I2657" s="399">
        <f t="shared" si="62"/>
        <v>1.99</v>
      </c>
      <c r="J2657" s="442"/>
      <c r="K2657" s="1263"/>
      <c r="L2657" s="461"/>
      <c r="M2657" s="461"/>
      <c r="N2657" s="461"/>
    </row>
    <row r="2658" spans="1:14" s="462" customFormat="1" hidden="1" outlineLevel="1">
      <c r="A2658" s="1261"/>
      <c r="B2658" s="260"/>
      <c r="C2658" s="439" t="s">
        <v>2</v>
      </c>
      <c r="D2658" s="440">
        <v>1</v>
      </c>
      <c r="E2658" s="441">
        <v>1</v>
      </c>
      <c r="F2658" s="1363">
        <v>18.990000000000002</v>
      </c>
      <c r="G2658" s="1363">
        <v>0.23</v>
      </c>
      <c r="H2658" s="1363">
        <v>0.19000000000000006</v>
      </c>
      <c r="I2658" s="399">
        <f t="shared" si="62"/>
        <v>0.83</v>
      </c>
      <c r="J2658" s="442"/>
      <c r="K2658" s="1263"/>
      <c r="L2658" s="461"/>
      <c r="M2658" s="461"/>
      <c r="N2658" s="461"/>
    </row>
    <row r="2659" spans="1:14" s="462" customFormat="1" hidden="1" outlineLevel="1">
      <c r="A2659" s="1261"/>
      <c r="B2659" s="260" t="s">
        <v>273</v>
      </c>
      <c r="C2659" s="439" t="s">
        <v>2</v>
      </c>
      <c r="D2659" s="440">
        <v>1</v>
      </c>
      <c r="E2659" s="441">
        <v>3</v>
      </c>
      <c r="F2659" s="1363">
        <v>3</v>
      </c>
      <c r="G2659" s="1363">
        <v>0.115</v>
      </c>
      <c r="H2659" s="1363">
        <v>0.19000000000000006</v>
      </c>
      <c r="I2659" s="399">
        <f t="shared" si="62"/>
        <v>0.2</v>
      </c>
      <c r="J2659" s="442"/>
      <c r="K2659" s="1263"/>
      <c r="L2659" s="461"/>
      <c r="M2659" s="461"/>
      <c r="N2659" s="461"/>
    </row>
    <row r="2660" spans="1:14" s="462" customFormat="1" hidden="1" outlineLevel="1">
      <c r="A2660" s="1261"/>
      <c r="B2660" s="260"/>
      <c r="C2660" s="439" t="s">
        <v>2</v>
      </c>
      <c r="D2660" s="440">
        <v>1</v>
      </c>
      <c r="E2660" s="441">
        <v>3</v>
      </c>
      <c r="F2660" s="1363">
        <v>3</v>
      </c>
      <c r="G2660" s="1363">
        <v>0.34499999999999997</v>
      </c>
      <c r="H2660" s="1363">
        <v>0.42499999999999999</v>
      </c>
      <c r="I2660" s="399">
        <f t="shared" si="62"/>
        <v>1.32</v>
      </c>
      <c r="J2660" s="442"/>
      <c r="K2660" s="1263"/>
      <c r="L2660" s="461"/>
      <c r="M2660" s="461"/>
      <c r="N2660" s="461"/>
    </row>
    <row r="2661" spans="1:14" s="462" customFormat="1" hidden="1" outlineLevel="1">
      <c r="A2661" s="1261"/>
      <c r="B2661" s="260"/>
      <c r="C2661" s="439"/>
      <c r="D2661" s="440"/>
      <c r="E2661" s="441"/>
      <c r="F2661" s="1363"/>
      <c r="G2661" s="1363"/>
      <c r="H2661" s="1363"/>
      <c r="I2661" s="399" t="str">
        <f t="shared" si="62"/>
        <v/>
      </c>
      <c r="J2661" s="442"/>
      <c r="K2661" s="1263"/>
      <c r="L2661" s="461"/>
      <c r="M2661" s="461"/>
      <c r="N2661" s="461"/>
    </row>
    <row r="2662" spans="1:14" s="462" customFormat="1" hidden="1" outlineLevel="1">
      <c r="A2662" s="1261"/>
      <c r="B2662" s="260" t="s">
        <v>240</v>
      </c>
      <c r="C2662" s="439" t="s">
        <v>2</v>
      </c>
      <c r="D2662" s="440">
        <v>2</v>
      </c>
      <c r="E2662" s="441">
        <v>1</v>
      </c>
      <c r="F2662" s="1363">
        <v>2</v>
      </c>
      <c r="G2662" s="1363">
        <v>0.46</v>
      </c>
      <c r="H2662" s="1363">
        <v>0.3</v>
      </c>
      <c r="I2662" s="399">
        <f t="shared" si="62"/>
        <v>0.55000000000000004</v>
      </c>
      <c r="J2662" s="442"/>
      <c r="K2662" s="1263"/>
      <c r="L2662" s="461"/>
      <c r="M2662" s="461"/>
      <c r="N2662" s="461"/>
    </row>
    <row r="2663" spans="1:14" s="462" customFormat="1" hidden="1" outlineLevel="1">
      <c r="A2663" s="1261"/>
      <c r="B2663" s="260"/>
      <c r="C2663" s="439" t="s">
        <v>2</v>
      </c>
      <c r="D2663" s="440">
        <v>2</v>
      </c>
      <c r="E2663" s="441">
        <v>1</v>
      </c>
      <c r="F2663" s="1363">
        <v>2</v>
      </c>
      <c r="G2663" s="1363">
        <v>0.34499999999999997</v>
      </c>
      <c r="H2663" s="1363">
        <v>0.3</v>
      </c>
      <c r="I2663" s="399">
        <f t="shared" si="62"/>
        <v>0.41</v>
      </c>
      <c r="J2663" s="442"/>
      <c r="K2663" s="1263"/>
      <c r="L2663" s="461"/>
      <c r="M2663" s="461"/>
      <c r="N2663" s="461"/>
    </row>
    <row r="2664" spans="1:14" s="462" customFormat="1" hidden="1" outlineLevel="1">
      <c r="A2664" s="1261"/>
      <c r="B2664" s="260"/>
      <c r="C2664" s="439" t="s">
        <v>2</v>
      </c>
      <c r="D2664" s="440">
        <v>2</v>
      </c>
      <c r="E2664" s="441">
        <v>1</v>
      </c>
      <c r="F2664" s="1363">
        <v>2</v>
      </c>
      <c r="G2664" s="1363">
        <v>0.23</v>
      </c>
      <c r="H2664" s="1363">
        <v>0.19000000000000006</v>
      </c>
      <c r="I2664" s="399">
        <f t="shared" si="62"/>
        <v>0.17</v>
      </c>
      <c r="J2664" s="442"/>
      <c r="K2664" s="1263"/>
      <c r="L2664" s="461"/>
      <c r="M2664" s="461"/>
      <c r="N2664" s="461"/>
    </row>
    <row r="2665" spans="1:14" s="462" customFormat="1" hidden="1" outlineLevel="1">
      <c r="A2665" s="1261"/>
      <c r="B2665" s="260" t="s">
        <v>298</v>
      </c>
      <c r="C2665" s="439" t="s">
        <v>2</v>
      </c>
      <c r="D2665" s="440">
        <v>1</v>
      </c>
      <c r="E2665" s="441">
        <v>1</v>
      </c>
      <c r="F2665" s="1363">
        <v>1.9850000000000001</v>
      </c>
      <c r="G2665" s="1363">
        <v>0.46</v>
      </c>
      <c r="H2665" s="1363">
        <v>0.3</v>
      </c>
      <c r="I2665" s="399">
        <f t="shared" si="62"/>
        <v>0.27</v>
      </c>
      <c r="J2665" s="442"/>
      <c r="K2665" s="1263"/>
      <c r="L2665" s="461"/>
      <c r="M2665" s="461"/>
      <c r="N2665" s="461"/>
    </row>
    <row r="2666" spans="1:14" s="462" customFormat="1" hidden="1" outlineLevel="1">
      <c r="A2666" s="1261"/>
      <c r="B2666" s="260"/>
      <c r="C2666" s="439" t="s">
        <v>2</v>
      </c>
      <c r="D2666" s="440">
        <v>1</v>
      </c>
      <c r="E2666" s="441">
        <v>1</v>
      </c>
      <c r="F2666" s="1363">
        <v>1.87</v>
      </c>
      <c r="G2666" s="1363">
        <v>0.34499999999999997</v>
      </c>
      <c r="H2666" s="1363">
        <v>0.3</v>
      </c>
      <c r="I2666" s="399">
        <f t="shared" si="62"/>
        <v>0.19</v>
      </c>
      <c r="J2666" s="442"/>
      <c r="K2666" s="1263"/>
      <c r="L2666" s="461"/>
      <c r="M2666" s="461"/>
      <c r="N2666" s="461"/>
    </row>
    <row r="2667" spans="1:14" s="462" customFormat="1" hidden="1" outlineLevel="1">
      <c r="A2667" s="1261"/>
      <c r="B2667" s="260"/>
      <c r="C2667" s="439" t="s">
        <v>2</v>
      </c>
      <c r="D2667" s="440">
        <v>1</v>
      </c>
      <c r="E2667" s="441">
        <v>1</v>
      </c>
      <c r="F2667" s="1363">
        <v>1.7550000000000001</v>
      </c>
      <c r="G2667" s="1363">
        <v>0.23</v>
      </c>
      <c r="H2667" s="1363">
        <v>0.19000000000000006</v>
      </c>
      <c r="I2667" s="399">
        <f t="shared" si="62"/>
        <v>0.08</v>
      </c>
      <c r="J2667" s="442"/>
      <c r="K2667" s="1263"/>
      <c r="L2667" s="461"/>
      <c r="M2667" s="461"/>
      <c r="N2667" s="461"/>
    </row>
    <row r="2668" spans="1:14" s="462" customFormat="1" hidden="1" outlineLevel="1">
      <c r="A2668" s="1261"/>
      <c r="B2668" s="260"/>
      <c r="C2668" s="439"/>
      <c r="D2668" s="440"/>
      <c r="E2668" s="441"/>
      <c r="F2668" s="1363"/>
      <c r="G2668" s="1363"/>
      <c r="H2668" s="1363"/>
      <c r="I2668" s="399" t="str">
        <f t="shared" si="62"/>
        <v/>
      </c>
      <c r="J2668" s="442"/>
      <c r="K2668" s="1263"/>
      <c r="L2668" s="461"/>
      <c r="M2668" s="461"/>
      <c r="N2668" s="461"/>
    </row>
    <row r="2669" spans="1:14" s="462" customFormat="1" hidden="1" outlineLevel="1">
      <c r="A2669" s="1261"/>
      <c r="B2669" s="260"/>
      <c r="C2669" s="439" t="s">
        <v>2</v>
      </c>
      <c r="D2669" s="440">
        <v>1</v>
      </c>
      <c r="E2669" s="441">
        <v>3</v>
      </c>
      <c r="F2669" s="1363">
        <v>2.4350000000000001</v>
      </c>
      <c r="G2669" s="1363">
        <v>0.46</v>
      </c>
      <c r="H2669" s="1363">
        <v>0.3</v>
      </c>
      <c r="I2669" s="399">
        <f t="shared" si="62"/>
        <v>1.01</v>
      </c>
      <c r="J2669" s="442"/>
      <c r="K2669" s="1263"/>
      <c r="L2669" s="461"/>
      <c r="M2669" s="461"/>
      <c r="N2669" s="461"/>
    </row>
    <row r="2670" spans="1:14" s="462" customFormat="1" hidden="1" outlineLevel="1">
      <c r="A2670" s="1261"/>
      <c r="B2670" s="260"/>
      <c r="C2670" s="439" t="s">
        <v>2</v>
      </c>
      <c r="D2670" s="440">
        <v>1</v>
      </c>
      <c r="E2670" s="441">
        <v>3</v>
      </c>
      <c r="F2670" s="1363">
        <v>2.4350000000000001</v>
      </c>
      <c r="G2670" s="1363">
        <v>0.34499999999999997</v>
      </c>
      <c r="H2670" s="1363">
        <v>0.3</v>
      </c>
      <c r="I2670" s="399">
        <f t="shared" si="62"/>
        <v>0.76</v>
      </c>
      <c r="J2670" s="442"/>
      <c r="K2670" s="1263"/>
      <c r="L2670" s="461"/>
      <c r="M2670" s="461"/>
      <c r="N2670" s="461"/>
    </row>
    <row r="2671" spans="1:14" s="462" customFormat="1" hidden="1" outlineLevel="1">
      <c r="A2671" s="1261"/>
      <c r="B2671" s="260"/>
      <c r="C2671" s="439" t="s">
        <v>2</v>
      </c>
      <c r="D2671" s="440">
        <v>1</v>
      </c>
      <c r="E2671" s="441">
        <v>3</v>
      </c>
      <c r="F2671" s="1363">
        <v>2.4350000000000001</v>
      </c>
      <c r="G2671" s="1363">
        <v>0.23</v>
      </c>
      <c r="H2671" s="1363">
        <v>0.19000000000000006</v>
      </c>
      <c r="I2671" s="399">
        <f t="shared" si="62"/>
        <v>0.32</v>
      </c>
      <c r="J2671" s="442"/>
      <c r="K2671" s="1263"/>
      <c r="L2671" s="461"/>
      <c r="M2671" s="461"/>
      <c r="N2671" s="461"/>
    </row>
    <row r="2672" spans="1:14" s="462" customFormat="1" hidden="1" outlineLevel="1">
      <c r="A2672" s="1261"/>
      <c r="B2672" s="260"/>
      <c r="C2672" s="439"/>
      <c r="D2672" s="440"/>
      <c r="E2672" s="441"/>
      <c r="F2672" s="1363"/>
      <c r="G2672" s="1363"/>
      <c r="H2672" s="1363"/>
      <c r="I2672" s="399" t="str">
        <f t="shared" si="62"/>
        <v/>
      </c>
      <c r="J2672" s="442"/>
      <c r="K2672" s="1263"/>
      <c r="L2672" s="461"/>
      <c r="M2672" s="461"/>
      <c r="N2672" s="461"/>
    </row>
    <row r="2673" spans="1:14" s="462" customFormat="1" hidden="1" outlineLevel="1">
      <c r="A2673" s="1261"/>
      <c r="B2673" s="260"/>
      <c r="C2673" s="439" t="s">
        <v>2</v>
      </c>
      <c r="D2673" s="440">
        <v>1</v>
      </c>
      <c r="E2673" s="441">
        <v>1</v>
      </c>
      <c r="F2673" s="1363">
        <v>2.44</v>
      </c>
      <c r="G2673" s="1363">
        <v>0.46</v>
      </c>
      <c r="H2673" s="1363">
        <v>0.3</v>
      </c>
      <c r="I2673" s="399">
        <f t="shared" si="62"/>
        <v>0.34</v>
      </c>
      <c r="J2673" s="442"/>
      <c r="K2673" s="1263"/>
      <c r="L2673" s="461"/>
      <c r="M2673" s="461"/>
      <c r="N2673" s="461"/>
    </row>
    <row r="2674" spans="1:14" s="462" customFormat="1" hidden="1" outlineLevel="1">
      <c r="A2674" s="1261"/>
      <c r="B2674" s="260"/>
      <c r="C2674" s="439" t="s">
        <v>2</v>
      </c>
      <c r="D2674" s="440">
        <v>1</v>
      </c>
      <c r="E2674" s="441">
        <v>1</v>
      </c>
      <c r="F2674" s="1363">
        <v>2.44</v>
      </c>
      <c r="G2674" s="1363">
        <v>0.34499999999999997</v>
      </c>
      <c r="H2674" s="1363">
        <v>0.3</v>
      </c>
      <c r="I2674" s="399">
        <f t="shared" si="62"/>
        <v>0.25</v>
      </c>
      <c r="J2674" s="442"/>
      <c r="K2674" s="1263"/>
      <c r="L2674" s="461"/>
      <c r="M2674" s="461"/>
      <c r="N2674" s="461"/>
    </row>
    <row r="2675" spans="1:14" s="462" customFormat="1" hidden="1" outlineLevel="1">
      <c r="A2675" s="1261"/>
      <c r="B2675" s="260"/>
      <c r="C2675" s="439" t="s">
        <v>2</v>
      </c>
      <c r="D2675" s="440">
        <v>1</v>
      </c>
      <c r="E2675" s="441">
        <v>1</v>
      </c>
      <c r="F2675" s="1363">
        <v>2.44</v>
      </c>
      <c r="G2675" s="1363">
        <v>0.23</v>
      </c>
      <c r="H2675" s="1363">
        <v>0.19000000000000006</v>
      </c>
      <c r="I2675" s="399">
        <f t="shared" si="62"/>
        <v>0.11</v>
      </c>
      <c r="J2675" s="442"/>
      <c r="K2675" s="1263"/>
      <c r="L2675" s="461"/>
      <c r="M2675" s="461"/>
      <c r="N2675" s="461"/>
    </row>
    <row r="2676" spans="1:14" s="462" customFormat="1" hidden="1" outlineLevel="1">
      <c r="A2676" s="1261"/>
      <c r="B2676" s="260"/>
      <c r="C2676" s="439"/>
      <c r="D2676" s="440"/>
      <c r="E2676" s="441"/>
      <c r="F2676" s="1363"/>
      <c r="G2676" s="1363"/>
      <c r="H2676" s="1363"/>
      <c r="I2676" s="399" t="str">
        <f t="shared" si="62"/>
        <v/>
      </c>
      <c r="J2676" s="442"/>
      <c r="K2676" s="1263"/>
      <c r="L2676" s="461"/>
      <c r="M2676" s="461"/>
      <c r="N2676" s="461"/>
    </row>
    <row r="2677" spans="1:14" s="462" customFormat="1" hidden="1" outlineLevel="1">
      <c r="A2677" s="1261"/>
      <c r="B2677" s="260"/>
      <c r="C2677" s="439" t="s">
        <v>2</v>
      </c>
      <c r="D2677" s="440">
        <v>1</v>
      </c>
      <c r="E2677" s="441">
        <v>1</v>
      </c>
      <c r="F2677" s="1363">
        <v>2.13</v>
      </c>
      <c r="G2677" s="1363">
        <v>0.46</v>
      </c>
      <c r="H2677" s="1363">
        <v>0.3</v>
      </c>
      <c r="I2677" s="399">
        <f t="shared" si="62"/>
        <v>0.28999999999999998</v>
      </c>
      <c r="J2677" s="442"/>
      <c r="K2677" s="1263"/>
      <c r="L2677" s="461"/>
      <c r="M2677" s="461"/>
      <c r="N2677" s="461"/>
    </row>
    <row r="2678" spans="1:14" s="462" customFormat="1" hidden="1" outlineLevel="1">
      <c r="A2678" s="1261"/>
      <c r="B2678" s="260"/>
      <c r="C2678" s="439" t="s">
        <v>2</v>
      </c>
      <c r="D2678" s="440">
        <v>1</v>
      </c>
      <c r="E2678" s="441">
        <v>1</v>
      </c>
      <c r="F2678" s="1363">
        <v>2.13</v>
      </c>
      <c r="G2678" s="1363">
        <v>0.34499999999999997</v>
      </c>
      <c r="H2678" s="1363">
        <v>0.3</v>
      </c>
      <c r="I2678" s="399">
        <f t="shared" si="62"/>
        <v>0.22</v>
      </c>
      <c r="J2678" s="442"/>
      <c r="K2678" s="1263"/>
      <c r="L2678" s="461"/>
      <c r="M2678" s="461"/>
      <c r="N2678" s="461"/>
    </row>
    <row r="2679" spans="1:14" s="462" customFormat="1" hidden="1" outlineLevel="1">
      <c r="A2679" s="1261"/>
      <c r="B2679" s="260"/>
      <c r="C2679" s="439" t="s">
        <v>2</v>
      </c>
      <c r="D2679" s="440">
        <v>1</v>
      </c>
      <c r="E2679" s="441">
        <v>1</v>
      </c>
      <c r="F2679" s="1363">
        <v>2.13</v>
      </c>
      <c r="G2679" s="1363">
        <v>0.23</v>
      </c>
      <c r="H2679" s="1363">
        <v>0.19000000000000006</v>
      </c>
      <c r="I2679" s="399">
        <f t="shared" si="62"/>
        <v>0.09</v>
      </c>
      <c r="J2679" s="442"/>
      <c r="K2679" s="1263"/>
      <c r="L2679" s="461"/>
      <c r="M2679" s="461"/>
      <c r="N2679" s="461"/>
    </row>
    <row r="2680" spans="1:14" s="462" customFormat="1" hidden="1" outlineLevel="1">
      <c r="A2680" s="1261"/>
      <c r="B2680" s="260"/>
      <c r="C2680" s="439"/>
      <c r="D2680" s="440"/>
      <c r="E2680" s="441"/>
      <c r="F2680" s="1363"/>
      <c r="G2680" s="1363"/>
      <c r="H2680" s="1363"/>
      <c r="I2680" s="399" t="str">
        <f t="shared" si="62"/>
        <v/>
      </c>
      <c r="J2680" s="442"/>
      <c r="K2680" s="1263"/>
      <c r="L2680" s="461"/>
      <c r="M2680" s="461"/>
      <c r="N2680" s="461"/>
    </row>
    <row r="2681" spans="1:14" s="462" customFormat="1" hidden="1" outlineLevel="1">
      <c r="A2681" s="1261"/>
      <c r="B2681" s="260"/>
      <c r="C2681" s="439" t="s">
        <v>2</v>
      </c>
      <c r="D2681" s="440">
        <v>1</v>
      </c>
      <c r="E2681" s="441">
        <v>1</v>
      </c>
      <c r="F2681" s="1363">
        <v>1.94</v>
      </c>
      <c r="G2681" s="1363">
        <v>0.46</v>
      </c>
      <c r="H2681" s="1363">
        <v>0.3</v>
      </c>
      <c r="I2681" s="399">
        <f t="shared" si="62"/>
        <v>0.27</v>
      </c>
      <c r="J2681" s="442"/>
      <c r="K2681" s="1263"/>
      <c r="L2681" s="461"/>
      <c r="M2681" s="461"/>
      <c r="N2681" s="461"/>
    </row>
    <row r="2682" spans="1:14" s="462" customFormat="1" hidden="1" outlineLevel="1">
      <c r="A2682" s="1261"/>
      <c r="B2682" s="260"/>
      <c r="C2682" s="439" t="s">
        <v>2</v>
      </c>
      <c r="D2682" s="440">
        <v>1</v>
      </c>
      <c r="E2682" s="441">
        <v>1</v>
      </c>
      <c r="F2682" s="1363">
        <v>1.825</v>
      </c>
      <c r="G2682" s="1363">
        <v>0.34499999999999997</v>
      </c>
      <c r="H2682" s="1363">
        <v>0.3</v>
      </c>
      <c r="I2682" s="399">
        <f t="shared" si="62"/>
        <v>0.19</v>
      </c>
      <c r="J2682" s="442"/>
      <c r="K2682" s="1263"/>
      <c r="L2682" s="461"/>
      <c r="M2682" s="461"/>
      <c r="N2682" s="461"/>
    </row>
    <row r="2683" spans="1:14" s="462" customFormat="1" hidden="1" outlineLevel="1">
      <c r="A2683" s="1261"/>
      <c r="B2683" s="260"/>
      <c r="C2683" s="439" t="s">
        <v>2</v>
      </c>
      <c r="D2683" s="440">
        <v>1</v>
      </c>
      <c r="E2683" s="441">
        <v>1</v>
      </c>
      <c r="F2683" s="1363">
        <v>1.71</v>
      </c>
      <c r="G2683" s="1363">
        <v>0.23</v>
      </c>
      <c r="H2683" s="1363">
        <v>0.19000000000000006</v>
      </c>
      <c r="I2683" s="399">
        <f t="shared" si="62"/>
        <v>7.0000000000000007E-2</v>
      </c>
      <c r="J2683" s="442"/>
      <c r="K2683" s="1263"/>
      <c r="L2683" s="461"/>
      <c r="M2683" s="461"/>
      <c r="N2683" s="461"/>
    </row>
    <row r="2684" spans="1:14" s="462" customFormat="1" hidden="1" outlineLevel="1">
      <c r="A2684" s="1261"/>
      <c r="B2684" s="260"/>
      <c r="C2684" s="439"/>
      <c r="D2684" s="440"/>
      <c r="E2684" s="441"/>
      <c r="F2684" s="1363"/>
      <c r="G2684" s="1363"/>
      <c r="H2684" s="1363"/>
      <c r="I2684" s="399" t="str">
        <f t="shared" si="62"/>
        <v/>
      </c>
      <c r="J2684" s="442"/>
      <c r="K2684" s="1263"/>
      <c r="L2684" s="461"/>
      <c r="M2684" s="461"/>
      <c r="N2684" s="461"/>
    </row>
    <row r="2685" spans="1:14" s="462" customFormat="1" hidden="1" outlineLevel="1">
      <c r="A2685" s="1261"/>
      <c r="B2685" s="260"/>
      <c r="C2685" s="439" t="s">
        <v>2</v>
      </c>
      <c r="D2685" s="440">
        <v>1</v>
      </c>
      <c r="E2685" s="441">
        <v>2</v>
      </c>
      <c r="F2685" s="1363">
        <v>5.3449999999999998</v>
      </c>
      <c r="G2685" s="1363">
        <v>0.46</v>
      </c>
      <c r="H2685" s="1363">
        <v>0.3</v>
      </c>
      <c r="I2685" s="399">
        <f t="shared" si="62"/>
        <v>1.48</v>
      </c>
      <c r="J2685" s="442"/>
      <c r="K2685" s="1263"/>
      <c r="L2685" s="461"/>
      <c r="M2685" s="461"/>
      <c r="N2685" s="461"/>
    </row>
    <row r="2686" spans="1:14" s="462" customFormat="1" hidden="1" outlineLevel="1">
      <c r="A2686" s="1261"/>
      <c r="B2686" s="260"/>
      <c r="C2686" s="439" t="s">
        <v>2</v>
      </c>
      <c r="D2686" s="440">
        <v>1</v>
      </c>
      <c r="E2686" s="441">
        <v>2</v>
      </c>
      <c r="F2686" s="1363">
        <v>5.3449999999999998</v>
      </c>
      <c r="G2686" s="1363">
        <v>0.34499999999999997</v>
      </c>
      <c r="H2686" s="1363">
        <v>0.3</v>
      </c>
      <c r="I2686" s="399">
        <f t="shared" si="62"/>
        <v>1.1100000000000001</v>
      </c>
      <c r="J2686" s="442"/>
      <c r="K2686" s="1263"/>
      <c r="L2686" s="461"/>
      <c r="M2686" s="461"/>
      <c r="N2686" s="461"/>
    </row>
    <row r="2687" spans="1:14" s="462" customFormat="1" hidden="1" outlineLevel="1">
      <c r="A2687" s="1261"/>
      <c r="B2687" s="260"/>
      <c r="C2687" s="439" t="s">
        <v>2</v>
      </c>
      <c r="D2687" s="440">
        <v>1</v>
      </c>
      <c r="E2687" s="441">
        <v>2</v>
      </c>
      <c r="F2687" s="1363">
        <v>5.3449999999999998</v>
      </c>
      <c r="G2687" s="1363">
        <v>0.23</v>
      </c>
      <c r="H2687" s="1363">
        <v>0.19000000000000006</v>
      </c>
      <c r="I2687" s="399">
        <f t="shared" si="62"/>
        <v>0.47</v>
      </c>
      <c r="J2687" s="442"/>
      <c r="K2687" s="1263"/>
      <c r="L2687" s="461"/>
      <c r="M2687" s="461"/>
      <c r="N2687" s="461"/>
    </row>
    <row r="2688" spans="1:14" s="462" customFormat="1" hidden="1" outlineLevel="1">
      <c r="A2688" s="1261"/>
      <c r="B2688" s="260"/>
      <c r="C2688" s="439"/>
      <c r="D2688" s="440"/>
      <c r="E2688" s="441"/>
      <c r="F2688" s="1363"/>
      <c r="G2688" s="1363"/>
      <c r="H2688" s="1363"/>
      <c r="I2688" s="399" t="str">
        <f t="shared" si="62"/>
        <v/>
      </c>
      <c r="J2688" s="442"/>
      <c r="K2688" s="1263"/>
      <c r="L2688" s="461"/>
      <c r="M2688" s="461"/>
      <c r="N2688" s="461"/>
    </row>
    <row r="2689" spans="1:14" s="462" customFormat="1" hidden="1" outlineLevel="1">
      <c r="A2689" s="1261"/>
      <c r="B2689" s="260"/>
      <c r="C2689" s="439" t="s">
        <v>2</v>
      </c>
      <c r="D2689" s="440">
        <v>1</v>
      </c>
      <c r="E2689" s="441">
        <v>2</v>
      </c>
      <c r="F2689" s="1363">
        <v>6.38</v>
      </c>
      <c r="G2689" s="1363">
        <v>0.46</v>
      </c>
      <c r="H2689" s="1363">
        <v>0.3</v>
      </c>
      <c r="I2689" s="399">
        <f t="shared" si="62"/>
        <v>1.76</v>
      </c>
      <c r="J2689" s="442"/>
      <c r="K2689" s="1263"/>
      <c r="L2689" s="461"/>
      <c r="M2689" s="461"/>
      <c r="N2689" s="461"/>
    </row>
    <row r="2690" spans="1:14" s="462" customFormat="1" hidden="1" outlineLevel="1">
      <c r="A2690" s="1261"/>
      <c r="B2690" s="260"/>
      <c r="C2690" s="439" t="s">
        <v>2</v>
      </c>
      <c r="D2690" s="440">
        <v>1</v>
      </c>
      <c r="E2690" s="441">
        <v>2</v>
      </c>
      <c r="F2690" s="1363">
        <v>6.38</v>
      </c>
      <c r="G2690" s="1363">
        <v>0.34499999999999997</v>
      </c>
      <c r="H2690" s="1363">
        <v>0.3</v>
      </c>
      <c r="I2690" s="399">
        <f t="shared" si="62"/>
        <v>1.32</v>
      </c>
      <c r="J2690" s="442"/>
      <c r="K2690" s="1263"/>
      <c r="L2690" s="461"/>
      <c r="M2690" s="461"/>
      <c r="N2690" s="461"/>
    </row>
    <row r="2691" spans="1:14" s="462" customFormat="1" hidden="1" outlineLevel="1">
      <c r="A2691" s="1261"/>
      <c r="B2691" s="260"/>
      <c r="C2691" s="439" t="s">
        <v>2</v>
      </c>
      <c r="D2691" s="440">
        <v>1</v>
      </c>
      <c r="E2691" s="441">
        <v>2</v>
      </c>
      <c r="F2691" s="1363">
        <v>6.38</v>
      </c>
      <c r="G2691" s="1363">
        <v>0.23</v>
      </c>
      <c r="H2691" s="1363">
        <v>0.19000000000000006</v>
      </c>
      <c r="I2691" s="399">
        <f t="shared" si="62"/>
        <v>0.56000000000000005</v>
      </c>
      <c r="J2691" s="442"/>
      <c r="K2691" s="1263"/>
      <c r="L2691" s="461"/>
      <c r="M2691" s="461"/>
      <c r="N2691" s="461"/>
    </row>
    <row r="2692" spans="1:14" s="462" customFormat="1" hidden="1" outlineLevel="1">
      <c r="A2692" s="1261"/>
      <c r="B2692" s="260"/>
      <c r="C2692" s="439"/>
      <c r="D2692" s="440"/>
      <c r="E2692" s="441"/>
      <c r="F2692" s="1363"/>
      <c r="G2692" s="1363"/>
      <c r="H2692" s="1363"/>
      <c r="I2692" s="399" t="str">
        <f t="shared" si="62"/>
        <v/>
      </c>
      <c r="J2692" s="442"/>
      <c r="K2692" s="1263"/>
      <c r="L2692" s="461"/>
      <c r="M2692" s="461"/>
      <c r="N2692" s="461"/>
    </row>
    <row r="2693" spans="1:14" s="462" customFormat="1" hidden="1" outlineLevel="1">
      <c r="A2693" s="1261"/>
      <c r="B2693" s="260"/>
      <c r="C2693" s="439" t="s">
        <v>2</v>
      </c>
      <c r="D2693" s="440">
        <v>1</v>
      </c>
      <c r="E2693" s="441">
        <v>2</v>
      </c>
      <c r="F2693" s="1363">
        <v>6.95</v>
      </c>
      <c r="G2693" s="1363">
        <v>0.46</v>
      </c>
      <c r="H2693" s="1363">
        <v>0.3</v>
      </c>
      <c r="I2693" s="399">
        <f t="shared" si="62"/>
        <v>1.92</v>
      </c>
      <c r="J2693" s="442"/>
      <c r="K2693" s="1263"/>
      <c r="L2693" s="461"/>
      <c r="M2693" s="461"/>
      <c r="N2693" s="461"/>
    </row>
    <row r="2694" spans="1:14" s="462" customFormat="1" hidden="1" outlineLevel="1">
      <c r="A2694" s="1261"/>
      <c r="B2694" s="260"/>
      <c r="C2694" s="439" t="s">
        <v>2</v>
      </c>
      <c r="D2694" s="440">
        <v>1</v>
      </c>
      <c r="E2694" s="441">
        <v>2</v>
      </c>
      <c r="F2694" s="1363">
        <v>6.95</v>
      </c>
      <c r="G2694" s="1363">
        <v>0.34499999999999997</v>
      </c>
      <c r="H2694" s="1363">
        <v>0.3</v>
      </c>
      <c r="I2694" s="399">
        <f t="shared" si="62"/>
        <v>1.44</v>
      </c>
      <c r="J2694" s="442"/>
      <c r="K2694" s="1263"/>
      <c r="L2694" s="461"/>
      <c r="M2694" s="461"/>
      <c r="N2694" s="461"/>
    </row>
    <row r="2695" spans="1:14" s="462" customFormat="1" hidden="1" outlineLevel="1">
      <c r="A2695" s="1261"/>
      <c r="B2695" s="260"/>
      <c r="C2695" s="439" t="s">
        <v>2</v>
      </c>
      <c r="D2695" s="440">
        <v>1</v>
      </c>
      <c r="E2695" s="441">
        <v>2</v>
      </c>
      <c r="F2695" s="1363">
        <v>6.95</v>
      </c>
      <c r="G2695" s="1363">
        <v>0.23</v>
      </c>
      <c r="H2695" s="1363">
        <v>0.19000000000000006</v>
      </c>
      <c r="I2695" s="399">
        <f t="shared" si="62"/>
        <v>0.61</v>
      </c>
      <c r="J2695" s="442"/>
      <c r="K2695" s="1263"/>
      <c r="L2695" s="461"/>
      <c r="M2695" s="461"/>
      <c r="N2695" s="461"/>
    </row>
    <row r="2696" spans="1:14" s="462" customFormat="1" hidden="1" outlineLevel="1">
      <c r="A2696" s="1261"/>
      <c r="B2696" s="260"/>
      <c r="C2696" s="439"/>
      <c r="D2696" s="440"/>
      <c r="E2696" s="441"/>
      <c r="F2696" s="1363"/>
      <c r="G2696" s="1363"/>
      <c r="H2696" s="1363"/>
      <c r="I2696" s="399" t="str">
        <f t="shared" si="62"/>
        <v/>
      </c>
      <c r="J2696" s="442"/>
      <c r="K2696" s="1263"/>
      <c r="L2696" s="461"/>
      <c r="M2696" s="461"/>
      <c r="N2696" s="461"/>
    </row>
    <row r="2697" spans="1:14" s="462" customFormat="1" hidden="1" outlineLevel="1">
      <c r="A2697" s="1261"/>
      <c r="B2697" s="260"/>
      <c r="C2697" s="439" t="s">
        <v>2</v>
      </c>
      <c r="D2697" s="440">
        <v>1</v>
      </c>
      <c r="E2697" s="441">
        <v>2</v>
      </c>
      <c r="F2697" s="1363">
        <v>6.12</v>
      </c>
      <c r="G2697" s="1363">
        <v>0.46</v>
      </c>
      <c r="H2697" s="1363">
        <v>0.3</v>
      </c>
      <c r="I2697" s="399">
        <f t="shared" si="62"/>
        <v>1.69</v>
      </c>
      <c r="J2697" s="442"/>
      <c r="K2697" s="1263"/>
      <c r="L2697" s="461"/>
      <c r="M2697" s="461"/>
      <c r="N2697" s="461"/>
    </row>
    <row r="2698" spans="1:14" s="462" customFormat="1" hidden="1" outlineLevel="1">
      <c r="A2698" s="1261"/>
      <c r="B2698" s="260"/>
      <c r="C2698" s="439" t="s">
        <v>2</v>
      </c>
      <c r="D2698" s="440">
        <v>1</v>
      </c>
      <c r="E2698" s="441">
        <v>2</v>
      </c>
      <c r="F2698" s="1363">
        <v>6.12</v>
      </c>
      <c r="G2698" s="1363">
        <v>0.34499999999999997</v>
      </c>
      <c r="H2698" s="1363">
        <v>0.3</v>
      </c>
      <c r="I2698" s="399">
        <f t="shared" si="62"/>
        <v>1.27</v>
      </c>
      <c r="J2698" s="442"/>
      <c r="K2698" s="1263"/>
      <c r="L2698" s="461"/>
      <c r="M2698" s="461"/>
      <c r="N2698" s="461"/>
    </row>
    <row r="2699" spans="1:14" s="462" customFormat="1" hidden="1" outlineLevel="1">
      <c r="A2699" s="1261"/>
      <c r="B2699" s="260"/>
      <c r="C2699" s="439" t="s">
        <v>2</v>
      </c>
      <c r="D2699" s="440">
        <v>1</v>
      </c>
      <c r="E2699" s="441">
        <v>2</v>
      </c>
      <c r="F2699" s="1363">
        <v>6.12</v>
      </c>
      <c r="G2699" s="1363">
        <v>0.23</v>
      </c>
      <c r="H2699" s="1363">
        <v>0.19000000000000006</v>
      </c>
      <c r="I2699" s="399">
        <f t="shared" si="62"/>
        <v>0.53</v>
      </c>
      <c r="J2699" s="442"/>
      <c r="K2699" s="1263"/>
      <c r="L2699" s="461"/>
      <c r="M2699" s="461"/>
      <c r="N2699" s="461"/>
    </row>
    <row r="2700" spans="1:14" s="462" customFormat="1" hidden="1" outlineLevel="1">
      <c r="A2700" s="1261"/>
      <c r="B2700" s="260"/>
      <c r="C2700" s="439"/>
      <c r="D2700" s="440"/>
      <c r="E2700" s="441"/>
      <c r="F2700" s="1363"/>
      <c r="G2700" s="1363"/>
      <c r="H2700" s="1363"/>
      <c r="I2700" s="399" t="str">
        <f t="shared" si="62"/>
        <v/>
      </c>
      <c r="J2700" s="442"/>
      <c r="K2700" s="1263"/>
      <c r="L2700" s="461"/>
      <c r="M2700" s="461"/>
      <c r="N2700" s="461"/>
    </row>
    <row r="2701" spans="1:14" s="462" customFormat="1" hidden="1" outlineLevel="1">
      <c r="A2701" s="1261"/>
      <c r="B2701" s="260"/>
      <c r="C2701" s="439" t="s">
        <v>2</v>
      </c>
      <c r="D2701" s="440">
        <v>1</v>
      </c>
      <c r="E2701" s="441">
        <v>2</v>
      </c>
      <c r="F2701" s="1363">
        <v>4.6449999999999996</v>
      </c>
      <c r="G2701" s="1363">
        <v>0.46</v>
      </c>
      <c r="H2701" s="1363">
        <v>0.3</v>
      </c>
      <c r="I2701" s="399">
        <f t="shared" si="62"/>
        <v>1.28</v>
      </c>
      <c r="J2701" s="442"/>
      <c r="K2701" s="1263"/>
      <c r="L2701" s="461"/>
      <c r="M2701" s="461"/>
      <c r="N2701" s="461"/>
    </row>
    <row r="2702" spans="1:14" s="462" customFormat="1" hidden="1" outlineLevel="1">
      <c r="A2702" s="1261"/>
      <c r="B2702" s="260"/>
      <c r="C2702" s="439" t="s">
        <v>2</v>
      </c>
      <c r="D2702" s="440">
        <v>1</v>
      </c>
      <c r="E2702" s="441">
        <v>2</v>
      </c>
      <c r="F2702" s="1363">
        <v>4.6449999999999996</v>
      </c>
      <c r="G2702" s="1363">
        <v>0.34499999999999997</v>
      </c>
      <c r="H2702" s="1363">
        <v>0.3</v>
      </c>
      <c r="I2702" s="399">
        <f t="shared" si="62"/>
        <v>0.96</v>
      </c>
      <c r="J2702" s="442"/>
      <c r="K2702" s="1263"/>
      <c r="L2702" s="461"/>
      <c r="M2702" s="461"/>
      <c r="N2702" s="461"/>
    </row>
    <row r="2703" spans="1:14" s="462" customFormat="1" hidden="1" outlineLevel="1">
      <c r="A2703" s="1261"/>
      <c r="B2703" s="260"/>
      <c r="C2703" s="439" t="s">
        <v>2</v>
      </c>
      <c r="D2703" s="440">
        <v>1</v>
      </c>
      <c r="E2703" s="441">
        <v>2</v>
      </c>
      <c r="F2703" s="1363">
        <v>4.6449999999999996</v>
      </c>
      <c r="G2703" s="1363">
        <v>0.23</v>
      </c>
      <c r="H2703" s="1363">
        <v>0.19000000000000006</v>
      </c>
      <c r="I2703" s="399">
        <f t="shared" si="62"/>
        <v>0.41</v>
      </c>
      <c r="J2703" s="442"/>
      <c r="K2703" s="1263"/>
      <c r="L2703" s="461"/>
      <c r="M2703" s="461"/>
      <c r="N2703" s="461"/>
    </row>
    <row r="2704" spans="1:14" s="462" customFormat="1" hidden="1" outlineLevel="1">
      <c r="A2704" s="1261"/>
      <c r="B2704" s="260"/>
      <c r="C2704" s="439"/>
      <c r="D2704" s="440"/>
      <c r="E2704" s="441"/>
      <c r="F2704" s="1363"/>
      <c r="G2704" s="1363"/>
      <c r="H2704" s="1363"/>
      <c r="I2704" s="399" t="str">
        <f t="shared" si="62"/>
        <v/>
      </c>
      <c r="J2704" s="442"/>
      <c r="K2704" s="1263"/>
      <c r="L2704" s="461"/>
      <c r="M2704" s="461"/>
      <c r="N2704" s="461"/>
    </row>
    <row r="2705" spans="1:14" s="462" customFormat="1" hidden="1" outlineLevel="1">
      <c r="A2705" s="1261"/>
      <c r="B2705" s="260"/>
      <c r="C2705" s="439" t="s">
        <v>2</v>
      </c>
      <c r="D2705" s="440">
        <v>1</v>
      </c>
      <c r="E2705" s="441">
        <v>2</v>
      </c>
      <c r="F2705" s="1363">
        <v>3</v>
      </c>
      <c r="G2705" s="1363">
        <v>0.46</v>
      </c>
      <c r="H2705" s="1363">
        <v>0.3</v>
      </c>
      <c r="I2705" s="399">
        <f t="shared" si="62"/>
        <v>0.83</v>
      </c>
      <c r="J2705" s="442"/>
      <c r="K2705" s="1263"/>
      <c r="L2705" s="461"/>
      <c r="M2705" s="461"/>
      <c r="N2705" s="461"/>
    </row>
    <row r="2706" spans="1:14" s="462" customFormat="1" hidden="1" outlineLevel="1">
      <c r="A2706" s="1261"/>
      <c r="B2706" s="260"/>
      <c r="C2706" s="439" t="s">
        <v>2</v>
      </c>
      <c r="D2706" s="440">
        <v>1</v>
      </c>
      <c r="E2706" s="441">
        <v>2</v>
      </c>
      <c r="F2706" s="1363">
        <v>3</v>
      </c>
      <c r="G2706" s="1363">
        <v>0.34499999999999997</v>
      </c>
      <c r="H2706" s="1363">
        <v>0.3</v>
      </c>
      <c r="I2706" s="399">
        <f t="shared" si="62"/>
        <v>0.62</v>
      </c>
      <c r="J2706" s="442"/>
      <c r="K2706" s="1263"/>
      <c r="L2706" s="461"/>
      <c r="M2706" s="461"/>
      <c r="N2706" s="461"/>
    </row>
    <row r="2707" spans="1:14" s="462" customFormat="1" hidden="1" outlineLevel="1">
      <c r="A2707" s="1261"/>
      <c r="B2707" s="260"/>
      <c r="C2707" s="439" t="s">
        <v>2</v>
      </c>
      <c r="D2707" s="440">
        <v>1</v>
      </c>
      <c r="E2707" s="441">
        <v>2</v>
      </c>
      <c r="F2707" s="1363">
        <v>3</v>
      </c>
      <c r="G2707" s="1363">
        <v>0.23</v>
      </c>
      <c r="H2707" s="1363">
        <v>0.19000000000000006</v>
      </c>
      <c r="I2707" s="399">
        <f t="shared" si="62"/>
        <v>0.26</v>
      </c>
      <c r="J2707" s="442"/>
      <c r="K2707" s="1263"/>
      <c r="L2707" s="461"/>
      <c r="M2707" s="461"/>
      <c r="N2707" s="461"/>
    </row>
    <row r="2708" spans="1:14" s="462" customFormat="1" hidden="1" outlineLevel="1">
      <c r="A2708" s="1261"/>
      <c r="B2708" s="260"/>
      <c r="C2708" s="439"/>
      <c r="D2708" s="440"/>
      <c r="E2708" s="441"/>
      <c r="F2708" s="1363"/>
      <c r="G2708" s="1363"/>
      <c r="H2708" s="1363"/>
      <c r="I2708" s="399" t="str">
        <f t="shared" si="62"/>
        <v/>
      </c>
      <c r="J2708" s="442"/>
      <c r="K2708" s="1263"/>
      <c r="L2708" s="461"/>
      <c r="M2708" s="461"/>
      <c r="N2708" s="461"/>
    </row>
    <row r="2709" spans="1:14" s="462" customFormat="1" hidden="1" outlineLevel="1">
      <c r="A2709" s="1261"/>
      <c r="B2709" s="260"/>
      <c r="C2709" s="439" t="s">
        <v>2</v>
      </c>
      <c r="D2709" s="440">
        <v>1</v>
      </c>
      <c r="E2709" s="441">
        <v>4</v>
      </c>
      <c r="F2709" s="1363">
        <v>0.61499999999999999</v>
      </c>
      <c r="G2709" s="1363">
        <v>0.46</v>
      </c>
      <c r="H2709" s="1363">
        <v>0.3</v>
      </c>
      <c r="I2709" s="399">
        <f t="shared" si="62"/>
        <v>0.34</v>
      </c>
      <c r="J2709" s="442"/>
      <c r="K2709" s="1263"/>
      <c r="L2709" s="461"/>
      <c r="M2709" s="461"/>
      <c r="N2709" s="461"/>
    </row>
    <row r="2710" spans="1:14" s="462" customFormat="1" hidden="1" outlineLevel="1">
      <c r="A2710" s="1261"/>
      <c r="B2710" s="260"/>
      <c r="C2710" s="439" t="s">
        <v>2</v>
      </c>
      <c r="D2710" s="440">
        <v>1</v>
      </c>
      <c r="E2710" s="441">
        <v>4</v>
      </c>
      <c r="F2710" s="1363">
        <v>0.61499999999999999</v>
      </c>
      <c r="G2710" s="1363">
        <v>0.34499999999999997</v>
      </c>
      <c r="H2710" s="1363">
        <v>0.3</v>
      </c>
      <c r="I2710" s="399">
        <f t="shared" si="62"/>
        <v>0.25</v>
      </c>
      <c r="J2710" s="442"/>
      <c r="K2710" s="1263"/>
      <c r="L2710" s="461"/>
      <c r="M2710" s="461"/>
      <c r="N2710" s="461"/>
    </row>
    <row r="2711" spans="1:14" s="462" customFormat="1" hidden="1" outlineLevel="1">
      <c r="A2711" s="1261"/>
      <c r="B2711" s="260"/>
      <c r="C2711" s="439" t="s">
        <v>2</v>
      </c>
      <c r="D2711" s="440">
        <v>1</v>
      </c>
      <c r="E2711" s="441">
        <v>4</v>
      </c>
      <c r="F2711" s="1363">
        <v>0.61499999999999999</v>
      </c>
      <c r="G2711" s="1363">
        <v>0.23</v>
      </c>
      <c r="H2711" s="1363">
        <v>0.19000000000000006</v>
      </c>
      <c r="I2711" s="399">
        <f t="shared" si="62"/>
        <v>0.11</v>
      </c>
      <c r="J2711" s="442"/>
      <c r="K2711" s="1263"/>
      <c r="L2711" s="461"/>
      <c r="M2711" s="461"/>
      <c r="N2711" s="461"/>
    </row>
    <row r="2712" spans="1:14" s="462" customFormat="1" hidden="1" outlineLevel="1">
      <c r="A2712" s="1261"/>
      <c r="B2712" s="260"/>
      <c r="C2712" s="439"/>
      <c r="D2712" s="440"/>
      <c r="E2712" s="441"/>
      <c r="F2712" s="1363"/>
      <c r="G2712" s="1363"/>
      <c r="H2712" s="1363"/>
      <c r="I2712" s="399" t="str">
        <f t="shared" ref="I2712:I2775" si="63">IF(D2712&lt;&gt;0,ROUND(PRODUCT(E2712:H2712)*D2712,2),"")</f>
        <v/>
      </c>
      <c r="J2712" s="442"/>
      <c r="K2712" s="1263"/>
      <c r="L2712" s="461"/>
      <c r="M2712" s="461"/>
      <c r="N2712" s="461"/>
    </row>
    <row r="2713" spans="1:14" s="462" customFormat="1" hidden="1" outlineLevel="1">
      <c r="A2713" s="1261"/>
      <c r="B2713" s="260"/>
      <c r="C2713" s="439" t="s">
        <v>2</v>
      </c>
      <c r="D2713" s="440">
        <v>1</v>
      </c>
      <c r="E2713" s="441">
        <v>2</v>
      </c>
      <c r="F2713" s="1363">
        <v>0.61</v>
      </c>
      <c r="G2713" s="1363">
        <v>0.46</v>
      </c>
      <c r="H2713" s="1363">
        <v>0.3</v>
      </c>
      <c r="I2713" s="399">
        <f t="shared" si="63"/>
        <v>0.17</v>
      </c>
      <c r="J2713" s="442"/>
      <c r="K2713" s="1263"/>
      <c r="L2713" s="461"/>
      <c r="M2713" s="461"/>
      <c r="N2713" s="461"/>
    </row>
    <row r="2714" spans="1:14" s="462" customFormat="1" hidden="1" outlineLevel="1">
      <c r="A2714" s="1261"/>
      <c r="B2714" s="260"/>
      <c r="C2714" s="439" t="s">
        <v>2</v>
      </c>
      <c r="D2714" s="440">
        <v>1</v>
      </c>
      <c r="E2714" s="441">
        <v>2</v>
      </c>
      <c r="F2714" s="1363">
        <v>0.61</v>
      </c>
      <c r="G2714" s="1363">
        <v>0.34499999999999997</v>
      </c>
      <c r="H2714" s="1363">
        <v>0.3</v>
      </c>
      <c r="I2714" s="399">
        <f t="shared" si="63"/>
        <v>0.13</v>
      </c>
      <c r="J2714" s="442"/>
      <c r="K2714" s="1263"/>
      <c r="L2714" s="461"/>
      <c r="M2714" s="461"/>
      <c r="N2714" s="461"/>
    </row>
    <row r="2715" spans="1:14" s="462" customFormat="1" hidden="1" outlineLevel="1">
      <c r="A2715" s="1261"/>
      <c r="B2715" s="260"/>
      <c r="C2715" s="439" t="s">
        <v>2</v>
      </c>
      <c r="D2715" s="440">
        <v>1</v>
      </c>
      <c r="E2715" s="441">
        <v>2</v>
      </c>
      <c r="F2715" s="1363">
        <v>0.61</v>
      </c>
      <c r="G2715" s="1363">
        <v>0.23</v>
      </c>
      <c r="H2715" s="1363">
        <v>0.19000000000000006</v>
      </c>
      <c r="I2715" s="399">
        <f t="shared" si="63"/>
        <v>0.05</v>
      </c>
      <c r="J2715" s="442"/>
      <c r="K2715" s="1263"/>
      <c r="L2715" s="461"/>
      <c r="M2715" s="461"/>
      <c r="N2715" s="461"/>
    </row>
    <row r="2716" spans="1:14" s="462" customFormat="1" hidden="1" outlineLevel="1">
      <c r="A2716" s="1261"/>
      <c r="B2716" s="260"/>
      <c r="C2716" s="439"/>
      <c r="D2716" s="440"/>
      <c r="E2716" s="441"/>
      <c r="F2716" s="1363"/>
      <c r="G2716" s="1363"/>
      <c r="H2716" s="1363"/>
      <c r="I2716" s="399" t="str">
        <f t="shared" si="63"/>
        <v/>
      </c>
      <c r="J2716" s="442"/>
      <c r="K2716" s="1263"/>
      <c r="L2716" s="461"/>
      <c r="M2716" s="461"/>
      <c r="N2716" s="461"/>
    </row>
    <row r="2717" spans="1:14" s="462" customFormat="1" ht="51.75" hidden="1" outlineLevel="1">
      <c r="A2717" s="1261"/>
      <c r="B2717" s="260" t="s">
        <v>299</v>
      </c>
      <c r="C2717" s="439"/>
      <c r="D2717" s="440"/>
      <c r="E2717" s="441"/>
      <c r="F2717" s="1363"/>
      <c r="G2717" s="1363"/>
      <c r="H2717" s="1363"/>
      <c r="I2717" s="399" t="str">
        <f t="shared" si="63"/>
        <v/>
      </c>
      <c r="J2717" s="442"/>
      <c r="K2717" s="1263"/>
      <c r="L2717" s="461"/>
      <c r="M2717" s="461"/>
      <c r="N2717" s="461"/>
    </row>
    <row r="2718" spans="1:14" s="462" customFormat="1" ht="34.5" hidden="1" outlineLevel="1">
      <c r="A2718" s="1261"/>
      <c r="B2718" s="260" t="s">
        <v>300</v>
      </c>
      <c r="C2718" s="439"/>
      <c r="D2718" s="440"/>
      <c r="E2718" s="441"/>
      <c r="F2718" s="1363"/>
      <c r="G2718" s="1363"/>
      <c r="H2718" s="1363"/>
      <c r="I2718" s="399" t="str">
        <f t="shared" si="63"/>
        <v/>
      </c>
      <c r="J2718" s="442"/>
      <c r="K2718" s="1263"/>
      <c r="L2718" s="461"/>
      <c r="M2718" s="461"/>
      <c r="N2718" s="461"/>
    </row>
    <row r="2719" spans="1:14" s="462" customFormat="1" hidden="1" outlineLevel="1">
      <c r="A2719" s="1261"/>
      <c r="B2719" s="260" t="s">
        <v>243</v>
      </c>
      <c r="C2719" s="439" t="s">
        <v>2</v>
      </c>
      <c r="D2719" s="440">
        <v>1</v>
      </c>
      <c r="E2719" s="441">
        <v>1</v>
      </c>
      <c r="F2719" s="1363">
        <v>8.32</v>
      </c>
      <c r="G2719" s="1363">
        <v>0.46</v>
      </c>
      <c r="H2719" s="1363">
        <v>0.3</v>
      </c>
      <c r="I2719" s="399">
        <f t="shared" si="63"/>
        <v>1.1499999999999999</v>
      </c>
      <c r="J2719" s="442"/>
      <c r="K2719" s="1263"/>
      <c r="L2719" s="461"/>
      <c r="M2719" s="461"/>
      <c r="N2719" s="461"/>
    </row>
    <row r="2720" spans="1:14" s="462" customFormat="1" hidden="1" outlineLevel="1">
      <c r="A2720" s="1261"/>
      <c r="B2720" s="260"/>
      <c r="C2720" s="439" t="s">
        <v>2</v>
      </c>
      <c r="D2720" s="440">
        <v>1</v>
      </c>
      <c r="E2720" s="441">
        <v>1</v>
      </c>
      <c r="F2720" s="1363">
        <v>8.09</v>
      </c>
      <c r="G2720" s="1363">
        <v>0.34499999999999997</v>
      </c>
      <c r="H2720" s="1363">
        <v>0.3</v>
      </c>
      <c r="I2720" s="399">
        <f t="shared" si="63"/>
        <v>0.84</v>
      </c>
      <c r="J2720" s="442"/>
      <c r="K2720" s="1263"/>
      <c r="L2720" s="461"/>
      <c r="M2720" s="461"/>
      <c r="N2720" s="461"/>
    </row>
    <row r="2721" spans="1:14" s="462" customFormat="1" hidden="1" outlineLevel="1">
      <c r="A2721" s="1261"/>
      <c r="B2721" s="260"/>
      <c r="C2721" s="439" t="s">
        <v>2</v>
      </c>
      <c r="D2721" s="440">
        <v>1</v>
      </c>
      <c r="E2721" s="441">
        <v>1</v>
      </c>
      <c r="F2721" s="1363">
        <v>7.86</v>
      </c>
      <c r="G2721" s="1363">
        <v>0.23</v>
      </c>
      <c r="H2721" s="1363">
        <v>0.19000000000000006</v>
      </c>
      <c r="I2721" s="399">
        <f t="shared" si="63"/>
        <v>0.34</v>
      </c>
      <c r="J2721" s="442"/>
      <c r="K2721" s="1263"/>
      <c r="L2721" s="461"/>
      <c r="M2721" s="461"/>
      <c r="N2721" s="461"/>
    </row>
    <row r="2722" spans="1:14" s="462" customFormat="1" hidden="1" outlineLevel="1">
      <c r="A2722" s="1261"/>
      <c r="B2722" s="260"/>
      <c r="C2722" s="439"/>
      <c r="D2722" s="440"/>
      <c r="E2722" s="441"/>
      <c r="F2722" s="1363"/>
      <c r="G2722" s="1363"/>
      <c r="H2722" s="1363"/>
      <c r="I2722" s="399" t="str">
        <f t="shared" si="63"/>
        <v/>
      </c>
      <c r="J2722" s="442"/>
      <c r="K2722" s="1263"/>
      <c r="L2722" s="461"/>
      <c r="M2722" s="461"/>
      <c r="N2722" s="461"/>
    </row>
    <row r="2723" spans="1:14" s="462" customFormat="1" hidden="1" outlineLevel="1">
      <c r="A2723" s="1261"/>
      <c r="B2723" s="260"/>
      <c r="C2723" s="439" t="s">
        <v>2</v>
      </c>
      <c r="D2723" s="440">
        <v>1</v>
      </c>
      <c r="E2723" s="441">
        <v>1</v>
      </c>
      <c r="F2723" s="1363">
        <v>5.86</v>
      </c>
      <c r="G2723" s="1363">
        <v>0.46</v>
      </c>
      <c r="H2723" s="1363">
        <v>0.3</v>
      </c>
      <c r="I2723" s="399">
        <f t="shared" si="63"/>
        <v>0.81</v>
      </c>
      <c r="J2723" s="442"/>
      <c r="K2723" s="1263"/>
      <c r="L2723" s="461"/>
      <c r="M2723" s="461"/>
      <c r="N2723" s="461"/>
    </row>
    <row r="2724" spans="1:14" s="462" customFormat="1" hidden="1" outlineLevel="1">
      <c r="A2724" s="1261"/>
      <c r="B2724" s="260"/>
      <c r="C2724" s="439" t="s">
        <v>2</v>
      </c>
      <c r="D2724" s="440">
        <v>1</v>
      </c>
      <c r="E2724" s="441">
        <v>1</v>
      </c>
      <c r="F2724" s="1363">
        <v>5.7450000000000001</v>
      </c>
      <c r="G2724" s="1363">
        <v>0.34499999999999997</v>
      </c>
      <c r="H2724" s="1363">
        <v>0.3</v>
      </c>
      <c r="I2724" s="399">
        <f t="shared" si="63"/>
        <v>0.59</v>
      </c>
      <c r="J2724" s="442"/>
      <c r="K2724" s="1263"/>
      <c r="L2724" s="461"/>
      <c r="M2724" s="461"/>
      <c r="N2724" s="461"/>
    </row>
    <row r="2725" spans="1:14" s="462" customFormat="1" hidden="1" outlineLevel="1">
      <c r="A2725" s="1261"/>
      <c r="B2725" s="260"/>
      <c r="C2725" s="439" t="s">
        <v>2</v>
      </c>
      <c r="D2725" s="440">
        <v>1</v>
      </c>
      <c r="E2725" s="441">
        <v>1</v>
      </c>
      <c r="F2725" s="1363">
        <v>5.6300000000000008</v>
      </c>
      <c r="G2725" s="1363">
        <v>0.23</v>
      </c>
      <c r="H2725" s="1363">
        <v>0.19000000000000006</v>
      </c>
      <c r="I2725" s="399">
        <f t="shared" si="63"/>
        <v>0.25</v>
      </c>
      <c r="J2725" s="442"/>
      <c r="K2725" s="1263"/>
      <c r="L2725" s="461"/>
      <c r="M2725" s="461"/>
      <c r="N2725" s="461"/>
    </row>
    <row r="2726" spans="1:14" s="462" customFormat="1" hidden="1" outlineLevel="1">
      <c r="A2726" s="1261"/>
      <c r="B2726" s="260"/>
      <c r="C2726" s="439"/>
      <c r="D2726" s="440"/>
      <c r="E2726" s="441"/>
      <c r="F2726" s="1363"/>
      <c r="G2726" s="1363"/>
      <c r="H2726" s="1363"/>
      <c r="I2726" s="399" t="str">
        <f t="shared" si="63"/>
        <v/>
      </c>
      <c r="J2726" s="442"/>
      <c r="K2726" s="1263"/>
      <c r="L2726" s="461"/>
      <c r="M2726" s="461"/>
      <c r="N2726" s="461"/>
    </row>
    <row r="2727" spans="1:14" s="462" customFormat="1" hidden="1" outlineLevel="1">
      <c r="A2727" s="1261"/>
      <c r="B2727" s="260"/>
      <c r="C2727" s="439" t="s">
        <v>2</v>
      </c>
      <c r="D2727" s="440">
        <v>1</v>
      </c>
      <c r="E2727" s="441">
        <v>2</v>
      </c>
      <c r="F2727" s="1363">
        <v>6.46</v>
      </c>
      <c r="G2727" s="1363">
        <v>0.46</v>
      </c>
      <c r="H2727" s="1363">
        <v>0.3</v>
      </c>
      <c r="I2727" s="399">
        <f t="shared" si="63"/>
        <v>1.78</v>
      </c>
      <c r="J2727" s="442"/>
      <c r="K2727" s="1263"/>
      <c r="L2727" s="461"/>
      <c r="M2727" s="461"/>
      <c r="N2727" s="461"/>
    </row>
    <row r="2728" spans="1:14" s="462" customFormat="1" hidden="1" outlineLevel="1">
      <c r="A2728" s="1261"/>
      <c r="B2728" s="260"/>
      <c r="C2728" s="439" t="s">
        <v>2</v>
      </c>
      <c r="D2728" s="440">
        <v>1</v>
      </c>
      <c r="E2728" s="441">
        <v>2</v>
      </c>
      <c r="F2728" s="1363">
        <v>6.3449999999999998</v>
      </c>
      <c r="G2728" s="1363">
        <v>0.34499999999999997</v>
      </c>
      <c r="H2728" s="1363">
        <v>0.3</v>
      </c>
      <c r="I2728" s="399">
        <f t="shared" si="63"/>
        <v>1.31</v>
      </c>
      <c r="J2728" s="442"/>
      <c r="K2728" s="1263"/>
      <c r="L2728" s="461"/>
      <c r="M2728" s="461"/>
      <c r="N2728" s="461"/>
    </row>
    <row r="2729" spans="1:14" s="462" customFormat="1" hidden="1" outlineLevel="1">
      <c r="A2729" s="1261"/>
      <c r="B2729" s="260"/>
      <c r="C2729" s="439" t="s">
        <v>2</v>
      </c>
      <c r="D2729" s="440">
        <v>1</v>
      </c>
      <c r="E2729" s="441">
        <v>2</v>
      </c>
      <c r="F2729" s="1363">
        <v>6.23</v>
      </c>
      <c r="G2729" s="1363">
        <v>0.23</v>
      </c>
      <c r="H2729" s="1363">
        <v>0.19000000000000006</v>
      </c>
      <c r="I2729" s="399">
        <f t="shared" si="63"/>
        <v>0.54</v>
      </c>
      <c r="J2729" s="442"/>
      <c r="K2729" s="1263"/>
      <c r="L2729" s="461"/>
      <c r="M2729" s="461"/>
      <c r="N2729" s="461"/>
    </row>
    <row r="2730" spans="1:14" s="462" customFormat="1" hidden="1" outlineLevel="1">
      <c r="A2730" s="1261"/>
      <c r="B2730" s="260"/>
      <c r="C2730" s="439"/>
      <c r="D2730" s="440"/>
      <c r="E2730" s="441"/>
      <c r="F2730" s="1363"/>
      <c r="G2730" s="1363"/>
      <c r="H2730" s="1363"/>
      <c r="I2730" s="399" t="str">
        <f t="shared" si="63"/>
        <v/>
      </c>
      <c r="J2730" s="442"/>
      <c r="K2730" s="1263"/>
      <c r="L2730" s="461"/>
      <c r="M2730" s="461"/>
      <c r="N2730" s="461"/>
    </row>
    <row r="2731" spans="1:14" s="462" customFormat="1" hidden="1" outlineLevel="1">
      <c r="A2731" s="1261"/>
      <c r="B2731" s="260"/>
      <c r="C2731" s="439" t="s">
        <v>2</v>
      </c>
      <c r="D2731" s="440">
        <v>1</v>
      </c>
      <c r="E2731" s="441">
        <v>3</v>
      </c>
      <c r="F2731" s="1363">
        <v>5.26</v>
      </c>
      <c r="G2731" s="1363">
        <v>0.46</v>
      </c>
      <c r="H2731" s="1363">
        <v>0.3</v>
      </c>
      <c r="I2731" s="399">
        <f t="shared" si="63"/>
        <v>2.1800000000000002</v>
      </c>
      <c r="J2731" s="442"/>
      <c r="K2731" s="1263"/>
      <c r="L2731" s="461"/>
      <c r="M2731" s="461"/>
      <c r="N2731" s="461"/>
    </row>
    <row r="2732" spans="1:14" s="462" customFormat="1" hidden="1" outlineLevel="1">
      <c r="A2732" s="1261"/>
      <c r="B2732" s="260"/>
      <c r="C2732" s="439" t="s">
        <v>2</v>
      </c>
      <c r="D2732" s="440">
        <v>1</v>
      </c>
      <c r="E2732" s="441">
        <v>3</v>
      </c>
      <c r="F2732" s="1363">
        <v>5.1449999999999996</v>
      </c>
      <c r="G2732" s="1363">
        <v>0.34499999999999997</v>
      </c>
      <c r="H2732" s="1363">
        <v>0.3</v>
      </c>
      <c r="I2732" s="399">
        <f t="shared" si="63"/>
        <v>1.6</v>
      </c>
      <c r="J2732" s="442"/>
      <c r="K2732" s="1263"/>
      <c r="L2732" s="461"/>
      <c r="M2732" s="461"/>
      <c r="N2732" s="461"/>
    </row>
    <row r="2733" spans="1:14" s="462" customFormat="1" hidden="1" outlineLevel="1">
      <c r="A2733" s="1261"/>
      <c r="B2733" s="260"/>
      <c r="C2733" s="439" t="s">
        <v>2</v>
      </c>
      <c r="D2733" s="440">
        <v>1</v>
      </c>
      <c r="E2733" s="441">
        <v>3</v>
      </c>
      <c r="F2733" s="1363">
        <v>5.03</v>
      </c>
      <c r="G2733" s="1363">
        <v>0.23</v>
      </c>
      <c r="H2733" s="1363">
        <v>0.19000000000000006</v>
      </c>
      <c r="I2733" s="399">
        <f t="shared" si="63"/>
        <v>0.66</v>
      </c>
      <c r="J2733" s="442"/>
      <c r="K2733" s="1263"/>
      <c r="L2733" s="461"/>
      <c r="M2733" s="461"/>
      <c r="N2733" s="461"/>
    </row>
    <row r="2734" spans="1:14" s="462" customFormat="1" hidden="1" outlineLevel="1">
      <c r="A2734" s="1261"/>
      <c r="B2734" s="260"/>
      <c r="C2734" s="439"/>
      <c r="D2734" s="440"/>
      <c r="E2734" s="441"/>
      <c r="F2734" s="1363"/>
      <c r="G2734" s="1363"/>
      <c r="H2734" s="1363"/>
      <c r="I2734" s="399" t="str">
        <f t="shared" si="63"/>
        <v/>
      </c>
      <c r="J2734" s="442"/>
      <c r="K2734" s="1263"/>
      <c r="L2734" s="461"/>
      <c r="M2734" s="461"/>
      <c r="N2734" s="461"/>
    </row>
    <row r="2735" spans="1:14" s="462" customFormat="1" hidden="1" outlineLevel="1">
      <c r="A2735" s="1261"/>
      <c r="B2735" s="260"/>
      <c r="C2735" s="439" t="s">
        <v>2</v>
      </c>
      <c r="D2735" s="440">
        <v>1</v>
      </c>
      <c r="E2735" s="441">
        <v>1</v>
      </c>
      <c r="F2735" s="1363">
        <v>1.66</v>
      </c>
      <c r="G2735" s="1363">
        <v>0.46</v>
      </c>
      <c r="H2735" s="1363">
        <v>0.3</v>
      </c>
      <c r="I2735" s="399">
        <f t="shared" si="63"/>
        <v>0.23</v>
      </c>
      <c r="J2735" s="442"/>
      <c r="K2735" s="1263"/>
      <c r="L2735" s="461"/>
      <c r="M2735" s="461"/>
      <c r="N2735" s="461"/>
    </row>
    <row r="2736" spans="1:14" s="462" customFormat="1" hidden="1" outlineLevel="1">
      <c r="A2736" s="1261"/>
      <c r="B2736" s="260"/>
      <c r="C2736" s="439" t="s">
        <v>2</v>
      </c>
      <c r="D2736" s="440">
        <v>1</v>
      </c>
      <c r="E2736" s="441">
        <v>1</v>
      </c>
      <c r="F2736" s="1363">
        <v>1.5449999999999999</v>
      </c>
      <c r="G2736" s="1363">
        <v>0.34499999999999997</v>
      </c>
      <c r="H2736" s="1363">
        <v>0.3</v>
      </c>
      <c r="I2736" s="399">
        <f t="shared" si="63"/>
        <v>0.16</v>
      </c>
      <c r="J2736" s="442"/>
      <c r="K2736" s="1263"/>
      <c r="L2736" s="461"/>
      <c r="M2736" s="461"/>
      <c r="N2736" s="461"/>
    </row>
    <row r="2737" spans="1:14" s="462" customFormat="1" hidden="1" outlineLevel="1">
      <c r="A2737" s="1261"/>
      <c r="B2737" s="260"/>
      <c r="C2737" s="439" t="s">
        <v>2</v>
      </c>
      <c r="D2737" s="440">
        <v>1</v>
      </c>
      <c r="E2737" s="441">
        <v>1</v>
      </c>
      <c r="F2737" s="1363">
        <v>1.43</v>
      </c>
      <c r="G2737" s="1363">
        <v>0.23</v>
      </c>
      <c r="H2737" s="1363">
        <v>0.19000000000000006</v>
      </c>
      <c r="I2737" s="399">
        <f t="shared" si="63"/>
        <v>0.06</v>
      </c>
      <c r="J2737" s="442"/>
      <c r="K2737" s="1263"/>
      <c r="L2737" s="461"/>
      <c r="M2737" s="461"/>
      <c r="N2737" s="461"/>
    </row>
    <row r="2738" spans="1:14" s="462" customFormat="1" hidden="1" outlineLevel="1">
      <c r="A2738" s="1261"/>
      <c r="B2738" s="260"/>
      <c r="C2738" s="439"/>
      <c r="D2738" s="440"/>
      <c r="E2738" s="441"/>
      <c r="F2738" s="1363"/>
      <c r="G2738" s="1363"/>
      <c r="H2738" s="1363"/>
      <c r="I2738" s="399" t="str">
        <f t="shared" si="63"/>
        <v/>
      </c>
      <c r="J2738" s="442"/>
      <c r="K2738" s="1263"/>
      <c r="L2738" s="461"/>
      <c r="M2738" s="461"/>
      <c r="N2738" s="461"/>
    </row>
    <row r="2739" spans="1:14" s="462" customFormat="1" hidden="1" outlineLevel="1">
      <c r="A2739" s="1261"/>
      <c r="B2739" s="260"/>
      <c r="C2739" s="439" t="s">
        <v>2</v>
      </c>
      <c r="D2739" s="440">
        <v>1</v>
      </c>
      <c r="E2739" s="441">
        <v>1</v>
      </c>
      <c r="F2739" s="1363">
        <v>5.8599999999999994</v>
      </c>
      <c r="G2739" s="1363">
        <v>0.46</v>
      </c>
      <c r="H2739" s="1363">
        <v>0.3</v>
      </c>
      <c r="I2739" s="399">
        <f t="shared" si="63"/>
        <v>0.81</v>
      </c>
      <c r="J2739" s="442"/>
      <c r="K2739" s="1263"/>
      <c r="L2739" s="461"/>
      <c r="M2739" s="461"/>
      <c r="N2739" s="461"/>
    </row>
    <row r="2740" spans="1:14" s="462" customFormat="1" hidden="1" outlineLevel="1">
      <c r="A2740" s="1261"/>
      <c r="B2740" s="260"/>
      <c r="C2740" s="439" t="s">
        <v>2</v>
      </c>
      <c r="D2740" s="440">
        <v>1</v>
      </c>
      <c r="E2740" s="441">
        <v>1</v>
      </c>
      <c r="F2740" s="1363">
        <v>5.7449999999999992</v>
      </c>
      <c r="G2740" s="1363">
        <v>0.34499999999999997</v>
      </c>
      <c r="H2740" s="1363">
        <v>0.3</v>
      </c>
      <c r="I2740" s="399">
        <f t="shared" si="63"/>
        <v>0.59</v>
      </c>
      <c r="J2740" s="442"/>
      <c r="K2740" s="1263"/>
      <c r="L2740" s="461"/>
      <c r="M2740" s="461"/>
      <c r="N2740" s="461"/>
    </row>
    <row r="2741" spans="1:14" s="462" customFormat="1" hidden="1" outlineLevel="1">
      <c r="A2741" s="1261"/>
      <c r="B2741" s="260"/>
      <c r="C2741" s="439" t="s">
        <v>2</v>
      </c>
      <c r="D2741" s="440">
        <v>1</v>
      </c>
      <c r="E2741" s="441">
        <v>1</v>
      </c>
      <c r="F2741" s="1363">
        <v>5.63</v>
      </c>
      <c r="G2741" s="1363">
        <v>0.23</v>
      </c>
      <c r="H2741" s="1363">
        <v>0.19000000000000006</v>
      </c>
      <c r="I2741" s="399">
        <f t="shared" si="63"/>
        <v>0.25</v>
      </c>
      <c r="J2741" s="442"/>
      <c r="K2741" s="1263"/>
      <c r="L2741" s="461"/>
      <c r="M2741" s="461"/>
      <c r="N2741" s="461"/>
    </row>
    <row r="2742" spans="1:14" s="462" customFormat="1" hidden="1" outlineLevel="1">
      <c r="A2742" s="1261"/>
      <c r="B2742" s="260"/>
      <c r="C2742" s="439"/>
      <c r="D2742" s="440"/>
      <c r="E2742" s="441"/>
      <c r="F2742" s="1363"/>
      <c r="G2742" s="1363"/>
      <c r="H2742" s="1363"/>
      <c r="I2742" s="399" t="str">
        <f t="shared" si="63"/>
        <v/>
      </c>
      <c r="J2742" s="442"/>
      <c r="K2742" s="1263"/>
      <c r="L2742" s="461"/>
      <c r="M2742" s="461"/>
      <c r="N2742" s="461"/>
    </row>
    <row r="2743" spans="1:14" s="462" customFormat="1" hidden="1" outlineLevel="1">
      <c r="A2743" s="1261"/>
      <c r="B2743" s="260"/>
      <c r="C2743" s="439" t="s">
        <v>2</v>
      </c>
      <c r="D2743" s="440">
        <v>1</v>
      </c>
      <c r="E2743" s="441">
        <v>1</v>
      </c>
      <c r="F2743" s="1363">
        <v>1.06</v>
      </c>
      <c r="G2743" s="1363">
        <v>0.46</v>
      </c>
      <c r="H2743" s="1363">
        <v>0.3</v>
      </c>
      <c r="I2743" s="399">
        <f t="shared" si="63"/>
        <v>0.15</v>
      </c>
      <c r="J2743" s="442"/>
      <c r="K2743" s="1263"/>
      <c r="L2743" s="461"/>
      <c r="M2743" s="461"/>
      <c r="N2743" s="461"/>
    </row>
    <row r="2744" spans="1:14" s="462" customFormat="1" hidden="1" outlineLevel="1">
      <c r="A2744" s="1261"/>
      <c r="B2744" s="260"/>
      <c r="C2744" s="439" t="s">
        <v>2</v>
      </c>
      <c r="D2744" s="440">
        <v>1</v>
      </c>
      <c r="E2744" s="441">
        <v>1</v>
      </c>
      <c r="F2744" s="1363">
        <v>0.94499999999999995</v>
      </c>
      <c r="G2744" s="1363">
        <v>0.34499999999999997</v>
      </c>
      <c r="H2744" s="1363">
        <v>0.3</v>
      </c>
      <c r="I2744" s="399">
        <f t="shared" si="63"/>
        <v>0.1</v>
      </c>
      <c r="J2744" s="442"/>
      <c r="K2744" s="1263"/>
      <c r="L2744" s="461"/>
      <c r="M2744" s="461"/>
      <c r="N2744" s="461"/>
    </row>
    <row r="2745" spans="1:14" s="462" customFormat="1" hidden="1" outlineLevel="1">
      <c r="A2745" s="1261"/>
      <c r="B2745" s="260"/>
      <c r="C2745" s="439" t="s">
        <v>2</v>
      </c>
      <c r="D2745" s="440">
        <v>1</v>
      </c>
      <c r="E2745" s="441">
        <v>1</v>
      </c>
      <c r="F2745" s="1363">
        <v>0.83</v>
      </c>
      <c r="G2745" s="1363">
        <v>0.23</v>
      </c>
      <c r="H2745" s="1363">
        <v>0.19000000000000006</v>
      </c>
      <c r="I2745" s="399">
        <f t="shared" si="63"/>
        <v>0.04</v>
      </c>
      <c r="J2745" s="442"/>
      <c r="K2745" s="1263"/>
      <c r="L2745" s="461"/>
      <c r="M2745" s="461"/>
      <c r="N2745" s="461"/>
    </row>
    <row r="2746" spans="1:14" s="462" customFormat="1" hidden="1" outlineLevel="1">
      <c r="A2746" s="1261"/>
      <c r="B2746" s="260"/>
      <c r="C2746" s="439"/>
      <c r="D2746" s="440"/>
      <c r="E2746" s="441"/>
      <c r="F2746" s="1363"/>
      <c r="G2746" s="1363"/>
      <c r="H2746" s="1363"/>
      <c r="I2746" s="399" t="str">
        <f t="shared" si="63"/>
        <v/>
      </c>
      <c r="J2746" s="442"/>
      <c r="K2746" s="1263"/>
      <c r="L2746" s="461"/>
      <c r="M2746" s="461"/>
      <c r="N2746" s="461"/>
    </row>
    <row r="2747" spans="1:14" s="462" customFormat="1" hidden="1" outlineLevel="1">
      <c r="A2747" s="1261"/>
      <c r="B2747" s="260"/>
      <c r="C2747" s="439" t="s">
        <v>2</v>
      </c>
      <c r="D2747" s="440">
        <v>1</v>
      </c>
      <c r="E2747" s="443">
        <v>5</v>
      </c>
      <c r="F2747" s="1363">
        <v>4.66</v>
      </c>
      <c r="G2747" s="1363">
        <v>0.46</v>
      </c>
      <c r="H2747" s="1363">
        <v>0.3</v>
      </c>
      <c r="I2747" s="399">
        <f t="shared" si="63"/>
        <v>3.22</v>
      </c>
      <c r="J2747" s="442"/>
      <c r="K2747" s="1263"/>
      <c r="L2747" s="461"/>
      <c r="M2747" s="461"/>
      <c r="N2747" s="461"/>
    </row>
    <row r="2748" spans="1:14" s="462" customFormat="1" hidden="1" outlineLevel="1">
      <c r="A2748" s="1261"/>
      <c r="B2748" s="260"/>
      <c r="C2748" s="439" t="s">
        <v>2</v>
      </c>
      <c r="D2748" s="440">
        <v>1</v>
      </c>
      <c r="E2748" s="443">
        <v>5</v>
      </c>
      <c r="F2748" s="1363">
        <v>4.5449999999999999</v>
      </c>
      <c r="G2748" s="1363">
        <v>0.34499999999999997</v>
      </c>
      <c r="H2748" s="1363">
        <v>0.3</v>
      </c>
      <c r="I2748" s="399">
        <f t="shared" si="63"/>
        <v>2.35</v>
      </c>
      <c r="J2748" s="442"/>
      <c r="K2748" s="1263"/>
      <c r="L2748" s="461"/>
      <c r="M2748" s="461"/>
      <c r="N2748" s="461"/>
    </row>
    <row r="2749" spans="1:14" s="462" customFormat="1" hidden="1" outlineLevel="1">
      <c r="A2749" s="1261"/>
      <c r="B2749" s="260"/>
      <c r="C2749" s="439" t="s">
        <v>2</v>
      </c>
      <c r="D2749" s="440">
        <v>1</v>
      </c>
      <c r="E2749" s="443">
        <v>5</v>
      </c>
      <c r="F2749" s="1363">
        <v>4.4300000000000006</v>
      </c>
      <c r="G2749" s="1363">
        <v>0.23</v>
      </c>
      <c r="H2749" s="1363">
        <v>0.19000000000000006</v>
      </c>
      <c r="I2749" s="399">
        <f t="shared" si="63"/>
        <v>0.97</v>
      </c>
      <c r="J2749" s="442"/>
      <c r="K2749" s="1263"/>
      <c r="L2749" s="461"/>
      <c r="M2749" s="461"/>
      <c r="N2749" s="461"/>
    </row>
    <row r="2750" spans="1:14" s="462" customFormat="1" hidden="1" outlineLevel="1">
      <c r="A2750" s="1261"/>
      <c r="B2750" s="260"/>
      <c r="C2750" s="439"/>
      <c r="D2750" s="440"/>
      <c r="E2750" s="441"/>
      <c r="F2750" s="1363"/>
      <c r="G2750" s="1363"/>
      <c r="H2750" s="1363"/>
      <c r="I2750" s="399" t="str">
        <f t="shared" si="63"/>
        <v/>
      </c>
      <c r="J2750" s="442"/>
      <c r="K2750" s="1263"/>
      <c r="L2750" s="461"/>
      <c r="M2750" s="461"/>
      <c r="N2750" s="461"/>
    </row>
    <row r="2751" spans="1:14" s="462" customFormat="1" hidden="1" outlineLevel="1">
      <c r="A2751" s="1261"/>
      <c r="B2751" s="260"/>
      <c r="C2751" s="439" t="s">
        <v>2</v>
      </c>
      <c r="D2751" s="440">
        <v>1</v>
      </c>
      <c r="E2751" s="441">
        <v>1</v>
      </c>
      <c r="F2751" s="1363">
        <v>1.06</v>
      </c>
      <c r="G2751" s="1363">
        <v>0.46</v>
      </c>
      <c r="H2751" s="1363">
        <v>0.3</v>
      </c>
      <c r="I2751" s="399">
        <f t="shared" si="63"/>
        <v>0.15</v>
      </c>
      <c r="J2751" s="442"/>
      <c r="K2751" s="1263"/>
      <c r="L2751" s="461"/>
      <c r="M2751" s="461"/>
      <c r="N2751" s="461"/>
    </row>
    <row r="2752" spans="1:14" s="462" customFormat="1" hidden="1" outlineLevel="1">
      <c r="A2752" s="1261"/>
      <c r="B2752" s="260"/>
      <c r="C2752" s="439" t="s">
        <v>2</v>
      </c>
      <c r="D2752" s="440">
        <v>1</v>
      </c>
      <c r="E2752" s="441">
        <v>1</v>
      </c>
      <c r="F2752" s="1363">
        <v>0.94499999999999995</v>
      </c>
      <c r="G2752" s="1363">
        <v>0.34499999999999997</v>
      </c>
      <c r="H2752" s="1363">
        <v>0.3</v>
      </c>
      <c r="I2752" s="399">
        <f t="shared" si="63"/>
        <v>0.1</v>
      </c>
      <c r="J2752" s="442"/>
      <c r="K2752" s="1263"/>
      <c r="L2752" s="461"/>
      <c r="M2752" s="461"/>
      <c r="N2752" s="461"/>
    </row>
    <row r="2753" spans="1:14" s="462" customFormat="1" hidden="1" outlineLevel="1">
      <c r="A2753" s="1261"/>
      <c r="B2753" s="260"/>
      <c r="C2753" s="439" t="s">
        <v>2</v>
      </c>
      <c r="D2753" s="440">
        <v>1</v>
      </c>
      <c r="E2753" s="441">
        <v>1</v>
      </c>
      <c r="F2753" s="1363">
        <v>0.83</v>
      </c>
      <c r="G2753" s="1363">
        <v>0.23</v>
      </c>
      <c r="H2753" s="1363">
        <v>0.19000000000000006</v>
      </c>
      <c r="I2753" s="399">
        <f t="shared" si="63"/>
        <v>0.04</v>
      </c>
      <c r="J2753" s="442"/>
      <c r="K2753" s="1263"/>
      <c r="L2753" s="461"/>
      <c r="M2753" s="461"/>
      <c r="N2753" s="461"/>
    </row>
    <row r="2754" spans="1:14" s="462" customFormat="1" hidden="1" outlineLevel="1">
      <c r="A2754" s="1261"/>
      <c r="B2754" s="260"/>
      <c r="C2754" s="439"/>
      <c r="D2754" s="440"/>
      <c r="E2754" s="441"/>
      <c r="F2754" s="1363"/>
      <c r="G2754" s="1363"/>
      <c r="H2754" s="1363"/>
      <c r="I2754" s="399" t="str">
        <f t="shared" si="63"/>
        <v/>
      </c>
      <c r="J2754" s="442"/>
      <c r="K2754" s="1263"/>
      <c r="L2754" s="461"/>
      <c r="M2754" s="461"/>
      <c r="N2754" s="461"/>
    </row>
    <row r="2755" spans="1:14" s="462" customFormat="1" hidden="1" outlineLevel="1">
      <c r="A2755" s="1261"/>
      <c r="B2755" s="260"/>
      <c r="C2755" s="439" t="s">
        <v>2</v>
      </c>
      <c r="D2755" s="440">
        <v>1</v>
      </c>
      <c r="E2755" s="441">
        <v>1</v>
      </c>
      <c r="F2755" s="1363">
        <v>5.26</v>
      </c>
      <c r="G2755" s="1363">
        <v>0.46</v>
      </c>
      <c r="H2755" s="1363">
        <v>0.3</v>
      </c>
      <c r="I2755" s="399">
        <f t="shared" si="63"/>
        <v>0.73</v>
      </c>
      <c r="J2755" s="442"/>
      <c r="K2755" s="1263"/>
      <c r="L2755" s="461"/>
      <c r="M2755" s="461"/>
      <c r="N2755" s="461"/>
    </row>
    <row r="2756" spans="1:14" s="462" customFormat="1" hidden="1" outlineLevel="1">
      <c r="A2756" s="1261"/>
      <c r="B2756" s="260"/>
      <c r="C2756" s="439" t="s">
        <v>2</v>
      </c>
      <c r="D2756" s="440">
        <v>1</v>
      </c>
      <c r="E2756" s="441">
        <v>1</v>
      </c>
      <c r="F2756" s="1363">
        <v>5.1449999999999996</v>
      </c>
      <c r="G2756" s="1363">
        <v>0.34499999999999997</v>
      </c>
      <c r="H2756" s="1363">
        <v>0.3</v>
      </c>
      <c r="I2756" s="399">
        <f t="shared" si="63"/>
        <v>0.53</v>
      </c>
      <c r="J2756" s="442"/>
      <c r="K2756" s="1263"/>
      <c r="L2756" s="461"/>
      <c r="M2756" s="461"/>
      <c r="N2756" s="461"/>
    </row>
    <row r="2757" spans="1:14" s="462" customFormat="1" hidden="1" outlineLevel="1">
      <c r="A2757" s="1261"/>
      <c r="B2757" s="260"/>
      <c r="C2757" s="439" t="s">
        <v>2</v>
      </c>
      <c r="D2757" s="440">
        <v>1</v>
      </c>
      <c r="E2757" s="441">
        <v>1</v>
      </c>
      <c r="F2757" s="1363">
        <v>5.03</v>
      </c>
      <c r="G2757" s="1363">
        <v>0.23</v>
      </c>
      <c r="H2757" s="1363">
        <v>0.19000000000000006</v>
      </c>
      <c r="I2757" s="399">
        <f t="shared" si="63"/>
        <v>0.22</v>
      </c>
      <c r="J2757" s="442"/>
      <c r="K2757" s="1263"/>
      <c r="L2757" s="461"/>
      <c r="M2757" s="461"/>
      <c r="N2757" s="461"/>
    </row>
    <row r="2758" spans="1:14" s="462" customFormat="1" hidden="1" outlineLevel="1">
      <c r="A2758" s="1261"/>
      <c r="B2758" s="260"/>
      <c r="C2758" s="439"/>
      <c r="D2758" s="440"/>
      <c r="E2758" s="441"/>
      <c r="F2758" s="1363"/>
      <c r="G2758" s="1363"/>
      <c r="H2758" s="1363"/>
      <c r="I2758" s="399" t="str">
        <f t="shared" si="63"/>
        <v/>
      </c>
      <c r="J2758" s="442"/>
      <c r="K2758" s="1263"/>
      <c r="L2758" s="461"/>
      <c r="M2758" s="461"/>
      <c r="N2758" s="461"/>
    </row>
    <row r="2759" spans="1:14" s="462" customFormat="1" hidden="1" outlineLevel="1">
      <c r="A2759" s="1261"/>
      <c r="B2759" s="260"/>
      <c r="C2759" s="439" t="s">
        <v>2</v>
      </c>
      <c r="D2759" s="440">
        <v>1</v>
      </c>
      <c r="E2759" s="441">
        <v>1</v>
      </c>
      <c r="F2759" s="1363">
        <v>1.66</v>
      </c>
      <c r="G2759" s="1363">
        <v>0.46</v>
      </c>
      <c r="H2759" s="1363">
        <v>0.3</v>
      </c>
      <c r="I2759" s="399">
        <f t="shared" si="63"/>
        <v>0.23</v>
      </c>
      <c r="J2759" s="442"/>
      <c r="K2759" s="1263"/>
      <c r="L2759" s="461"/>
      <c r="M2759" s="461"/>
      <c r="N2759" s="461"/>
    </row>
    <row r="2760" spans="1:14" s="462" customFormat="1" hidden="1" outlineLevel="1">
      <c r="A2760" s="1261"/>
      <c r="B2760" s="260"/>
      <c r="C2760" s="439" t="s">
        <v>2</v>
      </c>
      <c r="D2760" s="440">
        <v>1</v>
      </c>
      <c r="E2760" s="441">
        <v>1</v>
      </c>
      <c r="F2760" s="1363">
        <v>1.5449999999999999</v>
      </c>
      <c r="G2760" s="1363">
        <v>0.34499999999999997</v>
      </c>
      <c r="H2760" s="1363">
        <v>0.3</v>
      </c>
      <c r="I2760" s="399">
        <f t="shared" si="63"/>
        <v>0.16</v>
      </c>
      <c r="J2760" s="442"/>
      <c r="K2760" s="1263"/>
      <c r="L2760" s="461"/>
      <c r="M2760" s="461"/>
      <c r="N2760" s="461"/>
    </row>
    <row r="2761" spans="1:14" s="462" customFormat="1" hidden="1" outlineLevel="1">
      <c r="A2761" s="1261"/>
      <c r="B2761" s="260"/>
      <c r="C2761" s="439" t="s">
        <v>2</v>
      </c>
      <c r="D2761" s="440">
        <v>1</v>
      </c>
      <c r="E2761" s="441">
        <v>1</v>
      </c>
      <c r="F2761" s="1363">
        <v>1.43</v>
      </c>
      <c r="G2761" s="1363">
        <v>0.23</v>
      </c>
      <c r="H2761" s="1363">
        <v>0.19000000000000006</v>
      </c>
      <c r="I2761" s="399">
        <f t="shared" si="63"/>
        <v>0.06</v>
      </c>
      <c r="J2761" s="442"/>
      <c r="K2761" s="1263"/>
      <c r="L2761" s="461"/>
      <c r="M2761" s="461"/>
      <c r="N2761" s="461"/>
    </row>
    <row r="2762" spans="1:14" s="462" customFormat="1" hidden="1" outlineLevel="1">
      <c r="A2762" s="1261"/>
      <c r="B2762" s="260"/>
      <c r="C2762" s="439"/>
      <c r="D2762" s="440"/>
      <c r="E2762" s="441"/>
      <c r="F2762" s="1363"/>
      <c r="G2762" s="1363"/>
      <c r="H2762" s="1363"/>
      <c r="I2762" s="399" t="str">
        <f t="shared" si="63"/>
        <v/>
      </c>
      <c r="J2762" s="442"/>
      <c r="K2762" s="1263"/>
      <c r="L2762" s="461"/>
      <c r="M2762" s="461"/>
      <c r="N2762" s="461"/>
    </row>
    <row r="2763" spans="1:14" s="462" customFormat="1" hidden="1" outlineLevel="1">
      <c r="A2763" s="1261"/>
      <c r="B2763" s="260" t="s">
        <v>244</v>
      </c>
      <c r="C2763" s="439" t="s">
        <v>2</v>
      </c>
      <c r="D2763" s="440">
        <v>1</v>
      </c>
      <c r="E2763" s="441">
        <v>2</v>
      </c>
      <c r="F2763" s="1363">
        <v>6.46</v>
      </c>
      <c r="G2763" s="1363">
        <v>0.46</v>
      </c>
      <c r="H2763" s="1363">
        <v>0.3</v>
      </c>
      <c r="I2763" s="399">
        <f t="shared" si="63"/>
        <v>1.78</v>
      </c>
      <c r="J2763" s="442"/>
      <c r="K2763" s="1263"/>
      <c r="L2763" s="461"/>
      <c r="M2763" s="461"/>
      <c r="N2763" s="461"/>
    </row>
    <row r="2764" spans="1:14" s="462" customFormat="1" hidden="1" outlineLevel="1">
      <c r="A2764" s="1261"/>
      <c r="B2764" s="260"/>
      <c r="C2764" s="439" t="s">
        <v>2</v>
      </c>
      <c r="D2764" s="440">
        <v>1</v>
      </c>
      <c r="E2764" s="441">
        <v>2</v>
      </c>
      <c r="F2764" s="1363">
        <v>6.3449999999999998</v>
      </c>
      <c r="G2764" s="1363">
        <v>0.34499999999999997</v>
      </c>
      <c r="H2764" s="1363">
        <v>0.3</v>
      </c>
      <c r="I2764" s="399">
        <f t="shared" si="63"/>
        <v>1.31</v>
      </c>
      <c r="J2764" s="442"/>
      <c r="K2764" s="1263"/>
      <c r="L2764" s="461"/>
      <c r="M2764" s="461"/>
      <c r="N2764" s="461"/>
    </row>
    <row r="2765" spans="1:14" s="462" customFormat="1" hidden="1" outlineLevel="1">
      <c r="A2765" s="1261"/>
      <c r="B2765" s="260"/>
      <c r="C2765" s="439" t="s">
        <v>2</v>
      </c>
      <c r="D2765" s="440">
        <v>1</v>
      </c>
      <c r="E2765" s="441">
        <v>2</v>
      </c>
      <c r="F2765" s="1363">
        <v>6.23</v>
      </c>
      <c r="G2765" s="1363">
        <v>0.23</v>
      </c>
      <c r="H2765" s="1363">
        <v>0.19000000000000006</v>
      </c>
      <c r="I2765" s="399">
        <f t="shared" si="63"/>
        <v>0.54</v>
      </c>
      <c r="J2765" s="442"/>
      <c r="K2765" s="1263"/>
      <c r="L2765" s="461"/>
      <c r="M2765" s="461"/>
      <c r="N2765" s="461"/>
    </row>
    <row r="2766" spans="1:14" s="462" customFormat="1" hidden="1" outlineLevel="1">
      <c r="A2766" s="1261"/>
      <c r="B2766" s="260"/>
      <c r="C2766" s="439"/>
      <c r="D2766" s="440"/>
      <c r="E2766" s="441"/>
      <c r="F2766" s="1363"/>
      <c r="G2766" s="1363"/>
      <c r="H2766" s="1363"/>
      <c r="I2766" s="399" t="str">
        <f t="shared" si="63"/>
        <v/>
      </c>
      <c r="J2766" s="442"/>
      <c r="K2766" s="1263"/>
      <c r="L2766" s="461"/>
      <c r="M2766" s="461"/>
      <c r="N2766" s="461"/>
    </row>
    <row r="2767" spans="1:14" s="462" customFormat="1" hidden="1" outlineLevel="1">
      <c r="A2767" s="1261"/>
      <c r="B2767" s="260"/>
      <c r="C2767" s="439" t="s">
        <v>2</v>
      </c>
      <c r="D2767" s="440">
        <v>1</v>
      </c>
      <c r="E2767" s="441">
        <v>1</v>
      </c>
      <c r="F2767" s="1363">
        <v>8.92</v>
      </c>
      <c r="G2767" s="1363">
        <v>0.46</v>
      </c>
      <c r="H2767" s="1363">
        <v>0.3</v>
      </c>
      <c r="I2767" s="399">
        <f t="shared" si="63"/>
        <v>1.23</v>
      </c>
      <c r="J2767" s="442"/>
      <c r="K2767" s="1263"/>
      <c r="L2767" s="461"/>
      <c r="M2767" s="461"/>
      <c r="N2767" s="461"/>
    </row>
    <row r="2768" spans="1:14" s="462" customFormat="1" hidden="1" outlineLevel="1">
      <c r="A2768" s="1261"/>
      <c r="B2768" s="260"/>
      <c r="C2768" s="439" t="s">
        <v>2</v>
      </c>
      <c r="D2768" s="440">
        <v>1</v>
      </c>
      <c r="E2768" s="441">
        <v>1</v>
      </c>
      <c r="F2768" s="1363">
        <v>8.69</v>
      </c>
      <c r="G2768" s="1363">
        <v>0.34499999999999997</v>
      </c>
      <c r="H2768" s="1363">
        <v>0.3</v>
      </c>
      <c r="I2768" s="399">
        <f t="shared" si="63"/>
        <v>0.9</v>
      </c>
      <c r="J2768" s="442"/>
      <c r="K2768" s="1263"/>
      <c r="L2768" s="461"/>
      <c r="M2768" s="461"/>
      <c r="N2768" s="461"/>
    </row>
    <row r="2769" spans="1:14" s="462" customFormat="1" hidden="1" outlineLevel="1">
      <c r="A2769" s="1261"/>
      <c r="B2769" s="260"/>
      <c r="C2769" s="439" t="s">
        <v>2</v>
      </c>
      <c r="D2769" s="440">
        <v>1</v>
      </c>
      <c r="E2769" s="441">
        <v>1</v>
      </c>
      <c r="F2769" s="1363">
        <v>8.4600000000000009</v>
      </c>
      <c r="G2769" s="1363">
        <v>0.23</v>
      </c>
      <c r="H2769" s="1363">
        <v>0.19000000000000006</v>
      </c>
      <c r="I2769" s="399">
        <f t="shared" si="63"/>
        <v>0.37</v>
      </c>
      <c r="J2769" s="442"/>
      <c r="K2769" s="1263"/>
      <c r="L2769" s="461"/>
      <c r="M2769" s="461"/>
      <c r="N2769" s="461"/>
    </row>
    <row r="2770" spans="1:14" s="462" customFormat="1" hidden="1" outlineLevel="1">
      <c r="A2770" s="1261"/>
      <c r="B2770" s="260" t="s">
        <v>273</v>
      </c>
      <c r="C2770" s="439" t="s">
        <v>2</v>
      </c>
      <c r="D2770" s="440">
        <v>1</v>
      </c>
      <c r="E2770" s="441">
        <v>8</v>
      </c>
      <c r="F2770" s="1363">
        <v>3</v>
      </c>
      <c r="G2770" s="1363">
        <v>0.115</v>
      </c>
      <c r="H2770" s="1363">
        <v>0.19000000000000006</v>
      </c>
      <c r="I2770" s="399">
        <f t="shared" si="63"/>
        <v>0.52</v>
      </c>
      <c r="J2770" s="442"/>
      <c r="K2770" s="1263"/>
      <c r="L2770" s="461"/>
      <c r="M2770" s="461"/>
      <c r="N2770" s="461"/>
    </row>
    <row r="2771" spans="1:14" s="462" customFormat="1" hidden="1" outlineLevel="1">
      <c r="A2771" s="1261"/>
      <c r="B2771" s="260"/>
      <c r="C2771" s="439" t="s">
        <v>2</v>
      </c>
      <c r="D2771" s="440">
        <v>1</v>
      </c>
      <c r="E2771" s="441">
        <v>8</v>
      </c>
      <c r="F2771" s="1363">
        <v>3</v>
      </c>
      <c r="G2771" s="1363">
        <v>0.34499999999999997</v>
      </c>
      <c r="H2771" s="1363">
        <v>0.42499999999999999</v>
      </c>
      <c r="I2771" s="399">
        <f t="shared" si="63"/>
        <v>3.52</v>
      </c>
      <c r="J2771" s="442"/>
      <c r="K2771" s="1263"/>
      <c r="L2771" s="461"/>
      <c r="M2771" s="461"/>
      <c r="N2771" s="461"/>
    </row>
    <row r="2772" spans="1:14" s="462" customFormat="1" hidden="1" outlineLevel="1">
      <c r="A2772" s="1261"/>
      <c r="B2772" s="260"/>
      <c r="C2772" s="439"/>
      <c r="D2772" s="440"/>
      <c r="E2772" s="441"/>
      <c r="F2772" s="1363"/>
      <c r="G2772" s="1363"/>
      <c r="H2772" s="1363"/>
      <c r="I2772" s="399" t="str">
        <f t="shared" si="63"/>
        <v/>
      </c>
      <c r="J2772" s="442"/>
      <c r="K2772" s="1263"/>
      <c r="L2772" s="461"/>
      <c r="M2772" s="461"/>
      <c r="N2772" s="461"/>
    </row>
    <row r="2773" spans="1:14" s="462" customFormat="1" hidden="1" outlineLevel="1">
      <c r="A2773" s="1261"/>
      <c r="B2773" s="260" t="s">
        <v>246</v>
      </c>
      <c r="C2773" s="439"/>
      <c r="D2773" s="440"/>
      <c r="E2773" s="441"/>
      <c r="F2773" s="1363"/>
      <c r="G2773" s="1363"/>
      <c r="H2773" s="1363"/>
      <c r="I2773" s="399" t="str">
        <f t="shared" si="63"/>
        <v/>
      </c>
      <c r="J2773" s="442"/>
      <c r="K2773" s="1263"/>
      <c r="L2773" s="461"/>
      <c r="M2773" s="461"/>
      <c r="N2773" s="461"/>
    </row>
    <row r="2774" spans="1:14" s="462" customFormat="1" hidden="1" outlineLevel="1">
      <c r="A2774" s="1261"/>
      <c r="B2774" s="260"/>
      <c r="C2774" s="439" t="s">
        <v>2</v>
      </c>
      <c r="D2774" s="440">
        <v>1</v>
      </c>
      <c r="E2774" s="441">
        <v>6</v>
      </c>
      <c r="F2774" s="1363">
        <v>0.61499999999999999</v>
      </c>
      <c r="G2774" s="1363">
        <v>0.46</v>
      </c>
      <c r="H2774" s="1363">
        <v>0.3</v>
      </c>
      <c r="I2774" s="399">
        <f t="shared" si="63"/>
        <v>0.51</v>
      </c>
      <c r="J2774" s="442"/>
      <c r="K2774" s="1263"/>
      <c r="L2774" s="461"/>
      <c r="M2774" s="461"/>
      <c r="N2774" s="461"/>
    </row>
    <row r="2775" spans="1:14" s="462" customFormat="1" hidden="1" outlineLevel="1">
      <c r="A2775" s="1261"/>
      <c r="B2775" s="260"/>
      <c r="C2775" s="439" t="s">
        <v>2</v>
      </c>
      <c r="D2775" s="440">
        <v>1</v>
      </c>
      <c r="E2775" s="441">
        <v>6</v>
      </c>
      <c r="F2775" s="1363">
        <v>0.61499999999999999</v>
      </c>
      <c r="G2775" s="1363">
        <v>0.34499999999999997</v>
      </c>
      <c r="H2775" s="1363">
        <v>0.3</v>
      </c>
      <c r="I2775" s="399">
        <f t="shared" si="63"/>
        <v>0.38</v>
      </c>
      <c r="J2775" s="442"/>
      <c r="K2775" s="1263"/>
      <c r="L2775" s="461"/>
      <c r="M2775" s="461"/>
      <c r="N2775" s="461"/>
    </row>
    <row r="2776" spans="1:14" s="462" customFormat="1" hidden="1" outlineLevel="1">
      <c r="A2776" s="1261"/>
      <c r="B2776" s="260"/>
      <c r="C2776" s="439" t="s">
        <v>2</v>
      </c>
      <c r="D2776" s="440">
        <v>1</v>
      </c>
      <c r="E2776" s="441">
        <v>6</v>
      </c>
      <c r="F2776" s="1363">
        <v>0.61499999999999999</v>
      </c>
      <c r="G2776" s="1363">
        <v>0.23</v>
      </c>
      <c r="H2776" s="1363">
        <v>0.19000000000000006</v>
      </c>
      <c r="I2776" s="399">
        <f t="shared" ref="I2776:I2839" si="64">IF(D2776&lt;&gt;0,ROUND(PRODUCT(E2776:H2776)*D2776,2),"")</f>
        <v>0.16</v>
      </c>
      <c r="J2776" s="442"/>
      <c r="K2776" s="1263"/>
      <c r="L2776" s="461"/>
      <c r="M2776" s="461"/>
      <c r="N2776" s="461"/>
    </row>
    <row r="2777" spans="1:14" s="462" customFormat="1" hidden="1" outlineLevel="1">
      <c r="A2777" s="1261"/>
      <c r="B2777" s="260"/>
      <c r="C2777" s="439"/>
      <c r="D2777" s="440"/>
      <c r="E2777" s="441"/>
      <c r="F2777" s="1363"/>
      <c r="G2777" s="1363"/>
      <c r="H2777" s="1363"/>
      <c r="I2777" s="399" t="str">
        <f t="shared" si="64"/>
        <v/>
      </c>
      <c r="J2777" s="442"/>
      <c r="K2777" s="1263"/>
      <c r="L2777" s="461"/>
      <c r="M2777" s="461"/>
      <c r="N2777" s="461"/>
    </row>
    <row r="2778" spans="1:14" s="462" customFormat="1" hidden="1" outlineLevel="1">
      <c r="A2778" s="1261"/>
      <c r="B2778" s="260"/>
      <c r="C2778" s="439" t="s">
        <v>2</v>
      </c>
      <c r="D2778" s="440">
        <v>1</v>
      </c>
      <c r="E2778" s="441">
        <v>4</v>
      </c>
      <c r="F2778" s="1363">
        <v>1.21</v>
      </c>
      <c r="G2778" s="1363">
        <v>0.46</v>
      </c>
      <c r="H2778" s="1363">
        <v>0.3</v>
      </c>
      <c r="I2778" s="399">
        <f t="shared" si="64"/>
        <v>0.67</v>
      </c>
      <c r="J2778" s="442"/>
      <c r="K2778" s="1263"/>
      <c r="L2778" s="461"/>
      <c r="M2778" s="461"/>
      <c r="N2778" s="461"/>
    </row>
    <row r="2779" spans="1:14" s="462" customFormat="1" hidden="1" outlineLevel="1">
      <c r="A2779" s="1261"/>
      <c r="B2779" s="260"/>
      <c r="C2779" s="439" t="s">
        <v>2</v>
      </c>
      <c r="D2779" s="440">
        <v>1</v>
      </c>
      <c r="E2779" s="441">
        <v>4</v>
      </c>
      <c r="F2779" s="1363">
        <v>1.44</v>
      </c>
      <c r="G2779" s="1363">
        <v>0.34499999999999997</v>
      </c>
      <c r="H2779" s="1363">
        <v>0.3</v>
      </c>
      <c r="I2779" s="399">
        <f t="shared" si="64"/>
        <v>0.6</v>
      </c>
      <c r="J2779" s="442"/>
      <c r="K2779" s="1263"/>
      <c r="L2779" s="461"/>
      <c r="M2779" s="461"/>
      <c r="N2779" s="461"/>
    </row>
    <row r="2780" spans="1:14" s="462" customFormat="1" hidden="1" outlineLevel="1">
      <c r="A2780" s="1261"/>
      <c r="B2780" s="260"/>
      <c r="C2780" s="439" t="s">
        <v>2</v>
      </c>
      <c r="D2780" s="440">
        <v>1</v>
      </c>
      <c r="E2780" s="441">
        <v>4</v>
      </c>
      <c r="F2780" s="1363">
        <v>1.67</v>
      </c>
      <c r="G2780" s="1363">
        <v>0.23</v>
      </c>
      <c r="H2780" s="1363">
        <v>0.19000000000000006</v>
      </c>
      <c r="I2780" s="399">
        <f t="shared" si="64"/>
        <v>0.28999999999999998</v>
      </c>
      <c r="J2780" s="442"/>
      <c r="K2780" s="1263"/>
      <c r="L2780" s="461"/>
      <c r="M2780" s="461"/>
      <c r="N2780" s="461"/>
    </row>
    <row r="2781" spans="1:14" s="462" customFormat="1" hidden="1" outlineLevel="1">
      <c r="A2781" s="1261"/>
      <c r="B2781" s="260"/>
      <c r="C2781" s="439"/>
      <c r="D2781" s="440"/>
      <c r="E2781" s="441"/>
      <c r="F2781" s="1363"/>
      <c r="G2781" s="1363"/>
      <c r="H2781" s="1363"/>
      <c r="I2781" s="399" t="str">
        <f t="shared" si="64"/>
        <v/>
      </c>
      <c r="J2781" s="442"/>
      <c r="K2781" s="1263"/>
      <c r="L2781" s="461"/>
      <c r="M2781" s="461"/>
      <c r="N2781" s="461"/>
    </row>
    <row r="2782" spans="1:14" s="462" customFormat="1" hidden="1" outlineLevel="1">
      <c r="A2782" s="1261"/>
      <c r="B2782" s="260"/>
      <c r="C2782" s="439" t="s">
        <v>2</v>
      </c>
      <c r="D2782" s="440">
        <v>1</v>
      </c>
      <c r="E2782" s="441">
        <v>2</v>
      </c>
      <c r="F2782" s="1363">
        <v>3.36</v>
      </c>
      <c r="G2782" s="1363">
        <v>0.46</v>
      </c>
      <c r="H2782" s="1363">
        <v>0.3</v>
      </c>
      <c r="I2782" s="399">
        <f t="shared" si="64"/>
        <v>0.93</v>
      </c>
      <c r="J2782" s="442"/>
      <c r="K2782" s="1263"/>
      <c r="L2782" s="461"/>
      <c r="M2782" s="461"/>
      <c r="N2782" s="461"/>
    </row>
    <row r="2783" spans="1:14" s="462" customFormat="1" hidden="1" outlineLevel="1">
      <c r="A2783" s="1261"/>
      <c r="B2783" s="260"/>
      <c r="C2783" s="439" t="s">
        <v>2</v>
      </c>
      <c r="D2783" s="440">
        <v>1</v>
      </c>
      <c r="E2783" s="441">
        <v>2</v>
      </c>
      <c r="F2783" s="1363">
        <v>3.36</v>
      </c>
      <c r="G2783" s="1363">
        <v>0.34499999999999997</v>
      </c>
      <c r="H2783" s="1363">
        <v>0.3</v>
      </c>
      <c r="I2783" s="399">
        <f t="shared" si="64"/>
        <v>0.7</v>
      </c>
      <c r="J2783" s="442"/>
      <c r="K2783" s="1263"/>
      <c r="L2783" s="461"/>
      <c r="M2783" s="461"/>
      <c r="N2783" s="461"/>
    </row>
    <row r="2784" spans="1:14" s="462" customFormat="1" hidden="1" outlineLevel="1">
      <c r="A2784" s="1261"/>
      <c r="B2784" s="260"/>
      <c r="C2784" s="439" t="s">
        <v>2</v>
      </c>
      <c r="D2784" s="440">
        <v>1</v>
      </c>
      <c r="E2784" s="441">
        <v>2</v>
      </c>
      <c r="F2784" s="1363">
        <v>3.36</v>
      </c>
      <c r="G2784" s="1363">
        <v>0.23</v>
      </c>
      <c r="H2784" s="1363">
        <v>0.19000000000000006</v>
      </c>
      <c r="I2784" s="399">
        <f t="shared" si="64"/>
        <v>0.28999999999999998</v>
      </c>
      <c r="J2784" s="442"/>
      <c r="K2784" s="1263"/>
      <c r="L2784" s="461"/>
      <c r="M2784" s="461"/>
      <c r="N2784" s="461"/>
    </row>
    <row r="2785" spans="1:14" s="462" customFormat="1" hidden="1" outlineLevel="1">
      <c r="A2785" s="1261"/>
      <c r="B2785" s="260"/>
      <c r="C2785" s="439"/>
      <c r="D2785" s="440"/>
      <c r="E2785" s="441"/>
      <c r="F2785" s="1363"/>
      <c r="G2785" s="1363"/>
      <c r="H2785" s="1363"/>
      <c r="I2785" s="399" t="str">
        <f t="shared" si="64"/>
        <v/>
      </c>
      <c r="J2785" s="442"/>
      <c r="K2785" s="1263"/>
      <c r="L2785" s="461"/>
      <c r="M2785" s="461"/>
      <c r="N2785" s="461"/>
    </row>
    <row r="2786" spans="1:14" s="462" customFormat="1" hidden="1" outlineLevel="1">
      <c r="A2786" s="1261"/>
      <c r="B2786" s="260"/>
      <c r="C2786" s="439" t="s">
        <v>2</v>
      </c>
      <c r="D2786" s="440">
        <v>1</v>
      </c>
      <c r="E2786" s="441">
        <v>3</v>
      </c>
      <c r="F2786" s="1363">
        <v>0.90499999999999992</v>
      </c>
      <c r="G2786" s="1363">
        <v>0.46</v>
      </c>
      <c r="H2786" s="1363">
        <v>0.3</v>
      </c>
      <c r="I2786" s="399">
        <f t="shared" si="64"/>
        <v>0.37</v>
      </c>
      <c r="J2786" s="442"/>
      <c r="K2786" s="1263"/>
      <c r="L2786" s="461"/>
      <c r="M2786" s="461"/>
      <c r="N2786" s="461"/>
    </row>
    <row r="2787" spans="1:14" s="462" customFormat="1" hidden="1" outlineLevel="1">
      <c r="A2787" s="1261"/>
      <c r="B2787" s="260"/>
      <c r="C2787" s="439" t="s">
        <v>2</v>
      </c>
      <c r="D2787" s="440">
        <v>1</v>
      </c>
      <c r="E2787" s="441">
        <v>3</v>
      </c>
      <c r="F2787" s="1363">
        <v>1.135</v>
      </c>
      <c r="G2787" s="1363">
        <v>0.34499999999999997</v>
      </c>
      <c r="H2787" s="1363">
        <v>0.3</v>
      </c>
      <c r="I2787" s="399">
        <f t="shared" si="64"/>
        <v>0.35</v>
      </c>
      <c r="J2787" s="442"/>
      <c r="K2787" s="1263"/>
      <c r="L2787" s="461"/>
      <c r="M2787" s="461"/>
      <c r="N2787" s="461"/>
    </row>
    <row r="2788" spans="1:14" s="462" customFormat="1" hidden="1" outlineLevel="1">
      <c r="A2788" s="1261"/>
      <c r="B2788" s="260"/>
      <c r="C2788" s="439" t="s">
        <v>2</v>
      </c>
      <c r="D2788" s="440">
        <v>1</v>
      </c>
      <c r="E2788" s="441">
        <v>3</v>
      </c>
      <c r="F2788" s="1363">
        <v>1.365</v>
      </c>
      <c r="G2788" s="1363">
        <v>0.23</v>
      </c>
      <c r="H2788" s="1363">
        <v>0.19000000000000006</v>
      </c>
      <c r="I2788" s="399">
        <f t="shared" si="64"/>
        <v>0.18</v>
      </c>
      <c r="J2788" s="442"/>
      <c r="K2788" s="1263"/>
      <c r="L2788" s="461"/>
      <c r="M2788" s="461"/>
      <c r="N2788" s="461"/>
    </row>
    <row r="2789" spans="1:14" s="462" customFormat="1" hidden="1" outlineLevel="1">
      <c r="A2789" s="1261"/>
      <c r="B2789" s="260"/>
      <c r="C2789" s="439"/>
      <c r="D2789" s="440"/>
      <c r="E2789" s="441"/>
      <c r="F2789" s="1363"/>
      <c r="G2789" s="1363"/>
      <c r="H2789" s="1363"/>
      <c r="I2789" s="399" t="str">
        <f t="shared" si="64"/>
        <v/>
      </c>
      <c r="J2789" s="442"/>
      <c r="K2789" s="1263"/>
      <c r="L2789" s="461"/>
      <c r="M2789" s="461"/>
      <c r="N2789" s="461"/>
    </row>
    <row r="2790" spans="1:14" s="462" customFormat="1" hidden="1" outlineLevel="1">
      <c r="A2790" s="1261"/>
      <c r="B2790" s="260"/>
      <c r="C2790" s="439" t="s">
        <v>2</v>
      </c>
      <c r="D2790" s="440">
        <v>1</v>
      </c>
      <c r="E2790" s="441">
        <v>2</v>
      </c>
      <c r="F2790" s="1363">
        <v>1.98</v>
      </c>
      <c r="G2790" s="1363">
        <v>0.46</v>
      </c>
      <c r="H2790" s="1363">
        <v>0.3</v>
      </c>
      <c r="I2790" s="399">
        <f t="shared" si="64"/>
        <v>0.55000000000000004</v>
      </c>
      <c r="J2790" s="442"/>
      <c r="K2790" s="1263"/>
      <c r="L2790" s="461"/>
      <c r="M2790" s="461"/>
      <c r="N2790" s="461"/>
    </row>
    <row r="2791" spans="1:14" s="462" customFormat="1" hidden="1" outlineLevel="1">
      <c r="A2791" s="1261"/>
      <c r="B2791" s="260"/>
      <c r="C2791" s="439" t="s">
        <v>2</v>
      </c>
      <c r="D2791" s="440">
        <v>1</v>
      </c>
      <c r="E2791" s="441">
        <v>2</v>
      </c>
      <c r="F2791" s="1363">
        <v>2.0949999999999998</v>
      </c>
      <c r="G2791" s="1363">
        <v>0.34499999999999997</v>
      </c>
      <c r="H2791" s="1363">
        <v>0.3</v>
      </c>
      <c r="I2791" s="399">
        <f t="shared" si="64"/>
        <v>0.43</v>
      </c>
      <c r="J2791" s="442"/>
      <c r="K2791" s="1263"/>
      <c r="L2791" s="461"/>
      <c r="M2791" s="461"/>
      <c r="N2791" s="461"/>
    </row>
    <row r="2792" spans="1:14" s="462" customFormat="1" hidden="1" outlineLevel="1">
      <c r="A2792" s="1261"/>
      <c r="B2792" s="260"/>
      <c r="C2792" s="439" t="s">
        <v>2</v>
      </c>
      <c r="D2792" s="440">
        <v>1</v>
      </c>
      <c r="E2792" s="441">
        <v>2</v>
      </c>
      <c r="F2792" s="1363">
        <v>2.21</v>
      </c>
      <c r="G2792" s="1363">
        <v>0.23</v>
      </c>
      <c r="H2792" s="1363">
        <v>0.19000000000000006</v>
      </c>
      <c r="I2792" s="399">
        <f t="shared" si="64"/>
        <v>0.19</v>
      </c>
      <c r="J2792" s="442"/>
      <c r="K2792" s="1263"/>
      <c r="L2792" s="461"/>
      <c r="M2792" s="461"/>
      <c r="N2792" s="461"/>
    </row>
    <row r="2793" spans="1:14" s="462" customFormat="1" hidden="1" outlineLevel="1">
      <c r="A2793" s="1261"/>
      <c r="B2793" s="260"/>
      <c r="C2793" s="439"/>
      <c r="D2793" s="440"/>
      <c r="E2793" s="441"/>
      <c r="F2793" s="1363"/>
      <c r="G2793" s="1363"/>
      <c r="H2793" s="1363"/>
      <c r="I2793" s="399" t="str">
        <f t="shared" si="64"/>
        <v/>
      </c>
      <c r="J2793" s="442"/>
      <c r="K2793" s="1263"/>
      <c r="L2793" s="461"/>
      <c r="M2793" s="461"/>
      <c r="N2793" s="461"/>
    </row>
    <row r="2794" spans="1:14" s="462" customFormat="1" hidden="1" outlineLevel="1">
      <c r="A2794" s="1261"/>
      <c r="B2794" s="260"/>
      <c r="C2794" s="439" t="s">
        <v>2</v>
      </c>
      <c r="D2794" s="440">
        <v>1</v>
      </c>
      <c r="E2794" s="441">
        <v>2</v>
      </c>
      <c r="F2794" s="1363">
        <v>2.2850000000000001</v>
      </c>
      <c r="G2794" s="1363">
        <v>0.46</v>
      </c>
      <c r="H2794" s="1363">
        <v>0.3</v>
      </c>
      <c r="I2794" s="399">
        <f t="shared" si="64"/>
        <v>0.63</v>
      </c>
      <c r="J2794" s="442"/>
      <c r="K2794" s="1263"/>
      <c r="L2794" s="461"/>
      <c r="M2794" s="461"/>
      <c r="N2794" s="461"/>
    </row>
    <row r="2795" spans="1:14" s="462" customFormat="1" hidden="1" outlineLevel="1">
      <c r="A2795" s="1261"/>
      <c r="B2795" s="260"/>
      <c r="C2795" s="439" t="s">
        <v>2</v>
      </c>
      <c r="D2795" s="440">
        <v>1</v>
      </c>
      <c r="E2795" s="441">
        <v>2</v>
      </c>
      <c r="F2795" s="1363">
        <v>2.4000000000000004</v>
      </c>
      <c r="G2795" s="1363">
        <v>0.34499999999999997</v>
      </c>
      <c r="H2795" s="1363">
        <v>0.3</v>
      </c>
      <c r="I2795" s="399">
        <f t="shared" si="64"/>
        <v>0.5</v>
      </c>
      <c r="J2795" s="442"/>
      <c r="K2795" s="1263"/>
      <c r="L2795" s="461"/>
      <c r="M2795" s="461"/>
      <c r="N2795" s="461"/>
    </row>
    <row r="2796" spans="1:14" s="462" customFormat="1" hidden="1" outlineLevel="1">
      <c r="A2796" s="1261"/>
      <c r="B2796" s="260"/>
      <c r="C2796" s="439" t="s">
        <v>2</v>
      </c>
      <c r="D2796" s="440">
        <v>1</v>
      </c>
      <c r="E2796" s="441">
        <v>2</v>
      </c>
      <c r="F2796" s="1363">
        <v>2.5150000000000001</v>
      </c>
      <c r="G2796" s="1363">
        <v>0.23</v>
      </c>
      <c r="H2796" s="1363">
        <v>0.19000000000000006</v>
      </c>
      <c r="I2796" s="399">
        <f t="shared" si="64"/>
        <v>0.22</v>
      </c>
      <c r="J2796" s="442"/>
      <c r="K2796" s="1263"/>
      <c r="L2796" s="461"/>
      <c r="M2796" s="461"/>
      <c r="N2796" s="461"/>
    </row>
    <row r="2797" spans="1:14" s="462" customFormat="1" hidden="1" outlineLevel="1">
      <c r="A2797" s="1261"/>
      <c r="B2797" s="260"/>
      <c r="C2797" s="439"/>
      <c r="D2797" s="440"/>
      <c r="E2797" s="441"/>
      <c r="F2797" s="1363"/>
      <c r="G2797" s="1363"/>
      <c r="H2797" s="1363"/>
      <c r="I2797" s="399" t="str">
        <f t="shared" si="64"/>
        <v/>
      </c>
      <c r="J2797" s="442"/>
      <c r="K2797" s="1263"/>
      <c r="L2797" s="461"/>
      <c r="M2797" s="461"/>
      <c r="N2797" s="461"/>
    </row>
    <row r="2798" spans="1:14" s="462" customFormat="1" hidden="1" outlineLevel="1">
      <c r="A2798" s="1261"/>
      <c r="B2798" s="260"/>
      <c r="C2798" s="439" t="s">
        <v>2</v>
      </c>
      <c r="D2798" s="440">
        <v>1</v>
      </c>
      <c r="E2798" s="441">
        <v>1</v>
      </c>
      <c r="F2798" s="1363">
        <v>3.0549999999999997</v>
      </c>
      <c r="G2798" s="1363">
        <v>0.46</v>
      </c>
      <c r="H2798" s="1363">
        <v>0.3</v>
      </c>
      <c r="I2798" s="399">
        <f t="shared" si="64"/>
        <v>0.42</v>
      </c>
      <c r="J2798" s="442"/>
      <c r="K2798" s="1263"/>
      <c r="L2798" s="461"/>
      <c r="M2798" s="461"/>
      <c r="N2798" s="461"/>
    </row>
    <row r="2799" spans="1:14" s="462" customFormat="1" hidden="1" outlineLevel="1">
      <c r="A2799" s="1261"/>
      <c r="B2799" s="260"/>
      <c r="C2799" s="439" t="s">
        <v>2</v>
      </c>
      <c r="D2799" s="440">
        <v>1</v>
      </c>
      <c r="E2799" s="441">
        <v>1</v>
      </c>
      <c r="F2799" s="1363">
        <v>3.0549999999999997</v>
      </c>
      <c r="G2799" s="1363">
        <v>0.34499999999999997</v>
      </c>
      <c r="H2799" s="1363">
        <v>0.3</v>
      </c>
      <c r="I2799" s="399">
        <f t="shared" si="64"/>
        <v>0.32</v>
      </c>
      <c r="J2799" s="442"/>
      <c r="K2799" s="1263"/>
      <c r="L2799" s="461"/>
      <c r="M2799" s="461"/>
      <c r="N2799" s="461"/>
    </row>
    <row r="2800" spans="1:14" s="462" customFormat="1" hidden="1" outlineLevel="1">
      <c r="A2800" s="1261"/>
      <c r="B2800" s="260"/>
      <c r="C2800" s="439" t="s">
        <v>2</v>
      </c>
      <c r="D2800" s="440">
        <v>1</v>
      </c>
      <c r="E2800" s="441">
        <v>1</v>
      </c>
      <c r="F2800" s="1363">
        <v>3.0549999999999997</v>
      </c>
      <c r="G2800" s="1363">
        <v>0.23</v>
      </c>
      <c r="H2800" s="1363">
        <v>0.19000000000000006</v>
      </c>
      <c r="I2800" s="399">
        <f t="shared" si="64"/>
        <v>0.13</v>
      </c>
      <c r="J2800" s="442"/>
      <c r="K2800" s="1263"/>
      <c r="L2800" s="461"/>
      <c r="M2800" s="461"/>
      <c r="N2800" s="461"/>
    </row>
    <row r="2801" spans="1:14" s="462" customFormat="1" hidden="1" outlineLevel="1">
      <c r="A2801" s="1261"/>
      <c r="B2801" s="260"/>
      <c r="C2801" s="439"/>
      <c r="D2801" s="440"/>
      <c r="E2801" s="441"/>
      <c r="F2801" s="1363"/>
      <c r="G2801" s="1363"/>
      <c r="H2801" s="1363"/>
      <c r="I2801" s="399" t="str">
        <f t="shared" si="64"/>
        <v/>
      </c>
      <c r="J2801" s="442"/>
      <c r="K2801" s="1263"/>
      <c r="L2801" s="461"/>
      <c r="M2801" s="461"/>
      <c r="N2801" s="461"/>
    </row>
    <row r="2802" spans="1:14" s="462" customFormat="1" hidden="1" outlineLevel="1">
      <c r="A2802" s="1261"/>
      <c r="B2802" s="260"/>
      <c r="C2802" s="439" t="s">
        <v>2</v>
      </c>
      <c r="D2802" s="440">
        <v>1</v>
      </c>
      <c r="E2802" s="441">
        <v>1</v>
      </c>
      <c r="F2802" s="1363">
        <v>3.165</v>
      </c>
      <c r="G2802" s="1363">
        <v>0.46</v>
      </c>
      <c r="H2802" s="1363">
        <v>0.3</v>
      </c>
      <c r="I2802" s="399">
        <f t="shared" si="64"/>
        <v>0.44</v>
      </c>
      <c r="J2802" s="442"/>
      <c r="K2802" s="1263"/>
      <c r="L2802" s="461"/>
      <c r="M2802" s="461"/>
      <c r="N2802" s="461"/>
    </row>
    <row r="2803" spans="1:14" s="462" customFormat="1" hidden="1" outlineLevel="1">
      <c r="A2803" s="1261"/>
      <c r="B2803" s="260"/>
      <c r="C2803" s="439" t="s">
        <v>2</v>
      </c>
      <c r="D2803" s="440">
        <v>1</v>
      </c>
      <c r="E2803" s="441">
        <v>1</v>
      </c>
      <c r="F2803" s="1363">
        <v>3.165</v>
      </c>
      <c r="G2803" s="1363">
        <v>0.34499999999999997</v>
      </c>
      <c r="H2803" s="1363">
        <v>0.3</v>
      </c>
      <c r="I2803" s="399">
        <f t="shared" si="64"/>
        <v>0.33</v>
      </c>
      <c r="J2803" s="442"/>
      <c r="K2803" s="1263"/>
      <c r="L2803" s="461"/>
      <c r="M2803" s="461"/>
      <c r="N2803" s="461"/>
    </row>
    <row r="2804" spans="1:14" s="462" customFormat="1" hidden="1" outlineLevel="1">
      <c r="A2804" s="1261"/>
      <c r="B2804" s="260"/>
      <c r="C2804" s="439" t="s">
        <v>2</v>
      </c>
      <c r="D2804" s="440">
        <v>1</v>
      </c>
      <c r="E2804" s="441">
        <v>1</v>
      </c>
      <c r="F2804" s="1363">
        <v>3.165</v>
      </c>
      <c r="G2804" s="1363">
        <v>0.23</v>
      </c>
      <c r="H2804" s="1363">
        <v>0.19000000000000006</v>
      </c>
      <c r="I2804" s="399">
        <f t="shared" si="64"/>
        <v>0.14000000000000001</v>
      </c>
      <c r="J2804" s="442"/>
      <c r="K2804" s="1263"/>
      <c r="L2804" s="461"/>
      <c r="M2804" s="461"/>
      <c r="N2804" s="461"/>
    </row>
    <row r="2805" spans="1:14" s="462" customFormat="1" hidden="1" outlineLevel="1">
      <c r="A2805" s="1261"/>
      <c r="B2805" s="260"/>
      <c r="C2805" s="439"/>
      <c r="D2805" s="440"/>
      <c r="E2805" s="441"/>
      <c r="F2805" s="1363"/>
      <c r="G2805" s="1363"/>
      <c r="H2805" s="1363"/>
      <c r="I2805" s="399" t="str">
        <f t="shared" si="64"/>
        <v/>
      </c>
      <c r="J2805" s="442"/>
      <c r="K2805" s="1263"/>
      <c r="L2805" s="461"/>
      <c r="M2805" s="461"/>
      <c r="N2805" s="461"/>
    </row>
    <row r="2806" spans="1:14" s="462" customFormat="1" hidden="1" outlineLevel="1">
      <c r="A2806" s="1261"/>
      <c r="B2806" s="260"/>
      <c r="C2806" s="439" t="s">
        <v>2</v>
      </c>
      <c r="D2806" s="440">
        <v>1</v>
      </c>
      <c r="E2806" s="441">
        <v>1</v>
      </c>
      <c r="F2806" s="1363">
        <v>1.0149999999999997</v>
      </c>
      <c r="G2806" s="1363">
        <v>0.46</v>
      </c>
      <c r="H2806" s="1363">
        <v>0.3</v>
      </c>
      <c r="I2806" s="399">
        <f t="shared" si="64"/>
        <v>0.14000000000000001</v>
      </c>
      <c r="J2806" s="442"/>
      <c r="K2806" s="1263"/>
      <c r="L2806" s="461"/>
      <c r="M2806" s="461"/>
      <c r="N2806" s="461"/>
    </row>
    <row r="2807" spans="1:14" s="462" customFormat="1" hidden="1" outlineLevel="1">
      <c r="A2807" s="1261"/>
      <c r="B2807" s="260"/>
      <c r="C2807" s="439" t="s">
        <v>2</v>
      </c>
      <c r="D2807" s="440">
        <v>1</v>
      </c>
      <c r="E2807" s="441">
        <v>1</v>
      </c>
      <c r="F2807" s="1363">
        <v>1.2449999999999999</v>
      </c>
      <c r="G2807" s="1363">
        <v>0.34499999999999997</v>
      </c>
      <c r="H2807" s="1363">
        <v>0.3</v>
      </c>
      <c r="I2807" s="399">
        <f t="shared" si="64"/>
        <v>0.13</v>
      </c>
      <c r="J2807" s="442"/>
      <c r="K2807" s="1263"/>
      <c r="L2807" s="461"/>
      <c r="M2807" s="461"/>
      <c r="N2807" s="461"/>
    </row>
    <row r="2808" spans="1:14" s="462" customFormat="1" hidden="1" outlineLevel="1">
      <c r="A2808" s="1261"/>
      <c r="B2808" s="260"/>
      <c r="C2808" s="439" t="s">
        <v>2</v>
      </c>
      <c r="D2808" s="440">
        <v>1</v>
      </c>
      <c r="E2808" s="441">
        <v>1</v>
      </c>
      <c r="F2808" s="1363">
        <v>1.4749999999999999</v>
      </c>
      <c r="G2808" s="1363">
        <v>0.23</v>
      </c>
      <c r="H2808" s="1363">
        <v>0.19000000000000006</v>
      </c>
      <c r="I2808" s="399">
        <f t="shared" si="64"/>
        <v>0.06</v>
      </c>
      <c r="J2808" s="442"/>
      <c r="K2808" s="1263"/>
      <c r="L2808" s="461"/>
      <c r="M2808" s="461"/>
      <c r="N2808" s="461"/>
    </row>
    <row r="2809" spans="1:14" s="462" customFormat="1" ht="34.5" hidden="1" outlineLevel="1">
      <c r="A2809" s="1261"/>
      <c r="B2809" s="260" t="s">
        <v>301</v>
      </c>
      <c r="C2809" s="439"/>
      <c r="D2809" s="440"/>
      <c r="E2809" s="441"/>
      <c r="F2809" s="1363"/>
      <c r="G2809" s="1363"/>
      <c r="H2809" s="1363"/>
      <c r="I2809" s="399" t="str">
        <f t="shared" si="64"/>
        <v/>
      </c>
      <c r="J2809" s="442"/>
      <c r="K2809" s="1263"/>
      <c r="L2809" s="461"/>
      <c r="M2809" s="461"/>
      <c r="N2809" s="461"/>
    </row>
    <row r="2810" spans="1:14" s="462" customFormat="1" ht="34.5" hidden="1" outlineLevel="1">
      <c r="A2810" s="1261"/>
      <c r="B2810" s="260" t="s">
        <v>302</v>
      </c>
      <c r="C2810" s="439" t="s">
        <v>2</v>
      </c>
      <c r="D2810" s="440">
        <v>1</v>
      </c>
      <c r="E2810" s="441">
        <v>1</v>
      </c>
      <c r="F2810" s="1363">
        <v>34.935000000000002</v>
      </c>
      <c r="G2810" s="1363">
        <v>0.46</v>
      </c>
      <c r="H2810" s="1363">
        <v>0.3</v>
      </c>
      <c r="I2810" s="399">
        <f t="shared" si="64"/>
        <v>4.82</v>
      </c>
      <c r="J2810" s="442"/>
      <c r="K2810" s="1263"/>
      <c r="L2810" s="461"/>
      <c r="M2810" s="461"/>
      <c r="N2810" s="461"/>
    </row>
    <row r="2811" spans="1:14" s="462" customFormat="1" hidden="1" outlineLevel="1">
      <c r="A2811" s="1261"/>
      <c r="B2811" s="260"/>
      <c r="C2811" s="439" t="s">
        <v>2</v>
      </c>
      <c r="D2811" s="440">
        <v>1</v>
      </c>
      <c r="E2811" s="441">
        <v>1</v>
      </c>
      <c r="F2811" s="1363">
        <v>34.935000000000002</v>
      </c>
      <c r="G2811" s="1363">
        <v>0.34499999999999997</v>
      </c>
      <c r="H2811" s="1363">
        <v>0.3</v>
      </c>
      <c r="I2811" s="399">
        <f t="shared" si="64"/>
        <v>3.62</v>
      </c>
      <c r="J2811" s="442"/>
      <c r="K2811" s="1263"/>
      <c r="L2811" s="461"/>
      <c r="M2811" s="461"/>
      <c r="N2811" s="461"/>
    </row>
    <row r="2812" spans="1:14" s="462" customFormat="1" hidden="1" outlineLevel="1">
      <c r="A2812" s="1261"/>
      <c r="B2812" s="260"/>
      <c r="C2812" s="439" t="s">
        <v>2</v>
      </c>
      <c r="D2812" s="440">
        <v>1</v>
      </c>
      <c r="E2812" s="441">
        <v>1</v>
      </c>
      <c r="F2812" s="1363">
        <v>34.935000000000002</v>
      </c>
      <c r="G2812" s="1363">
        <v>0.23</v>
      </c>
      <c r="H2812" s="1363">
        <v>0.79000000000000026</v>
      </c>
      <c r="I2812" s="399">
        <f t="shared" si="64"/>
        <v>6.35</v>
      </c>
      <c r="J2812" s="442"/>
      <c r="K2812" s="1263"/>
      <c r="L2812" s="461"/>
      <c r="M2812" s="461"/>
      <c r="N2812" s="461"/>
    </row>
    <row r="2813" spans="1:14" s="462" customFormat="1" hidden="1" outlineLevel="1">
      <c r="A2813" s="1261"/>
      <c r="B2813" s="260"/>
      <c r="C2813" s="439"/>
      <c r="D2813" s="440"/>
      <c r="E2813" s="441"/>
      <c r="F2813" s="1363"/>
      <c r="G2813" s="1363"/>
      <c r="H2813" s="1363"/>
      <c r="I2813" s="399" t="str">
        <f t="shared" si="64"/>
        <v/>
      </c>
      <c r="J2813" s="442"/>
      <c r="K2813" s="1263"/>
      <c r="L2813" s="461"/>
      <c r="M2813" s="461"/>
      <c r="N2813" s="461"/>
    </row>
    <row r="2814" spans="1:14" s="462" customFormat="1" ht="34.5" hidden="1" outlineLevel="1">
      <c r="A2814" s="1261"/>
      <c r="B2814" s="260" t="s">
        <v>303</v>
      </c>
      <c r="C2814" s="439" t="s">
        <v>2</v>
      </c>
      <c r="D2814" s="440">
        <v>1</v>
      </c>
      <c r="E2814" s="441">
        <v>1</v>
      </c>
      <c r="F2814" s="1363">
        <v>15</v>
      </c>
      <c r="G2814" s="1363">
        <v>0.46</v>
      </c>
      <c r="H2814" s="1363">
        <v>0.3</v>
      </c>
      <c r="I2814" s="399">
        <f t="shared" si="64"/>
        <v>2.0699999999999998</v>
      </c>
      <c r="J2814" s="442"/>
      <c r="K2814" s="1263"/>
      <c r="L2814" s="461"/>
      <c r="M2814" s="461"/>
      <c r="N2814" s="461"/>
    </row>
    <row r="2815" spans="1:14" s="462" customFormat="1" hidden="1" outlineLevel="1">
      <c r="A2815" s="1261"/>
      <c r="B2815" s="260"/>
      <c r="C2815" s="439" t="s">
        <v>2</v>
      </c>
      <c r="D2815" s="440">
        <v>1</v>
      </c>
      <c r="E2815" s="441">
        <v>1</v>
      </c>
      <c r="F2815" s="1363">
        <v>15</v>
      </c>
      <c r="G2815" s="1363">
        <v>0.34499999999999997</v>
      </c>
      <c r="H2815" s="1363">
        <v>0.3</v>
      </c>
      <c r="I2815" s="399">
        <f t="shared" si="64"/>
        <v>1.55</v>
      </c>
      <c r="J2815" s="442"/>
      <c r="K2815" s="1263"/>
      <c r="L2815" s="461"/>
      <c r="M2815" s="461"/>
      <c r="N2815" s="461"/>
    </row>
    <row r="2816" spans="1:14" s="462" customFormat="1" hidden="1" outlineLevel="1">
      <c r="A2816" s="1261"/>
      <c r="B2816" s="260"/>
      <c r="C2816" s="439" t="s">
        <v>2</v>
      </c>
      <c r="D2816" s="440">
        <v>1</v>
      </c>
      <c r="E2816" s="441">
        <v>1</v>
      </c>
      <c r="F2816" s="1363">
        <v>15</v>
      </c>
      <c r="G2816" s="1363">
        <v>0.23</v>
      </c>
      <c r="H2816" s="1363">
        <v>0.19000000000000006</v>
      </c>
      <c r="I2816" s="399">
        <f t="shared" si="64"/>
        <v>0.66</v>
      </c>
      <c r="J2816" s="442"/>
      <c r="K2816" s="1263"/>
      <c r="L2816" s="461"/>
      <c r="M2816" s="461"/>
      <c r="N2816" s="461"/>
    </row>
    <row r="2817" spans="1:14" s="462" customFormat="1" hidden="1" outlineLevel="1">
      <c r="A2817" s="1261"/>
      <c r="B2817" s="260"/>
      <c r="C2817" s="439"/>
      <c r="D2817" s="440"/>
      <c r="E2817" s="441"/>
      <c r="F2817" s="1363"/>
      <c r="G2817" s="1363"/>
      <c r="H2817" s="1363"/>
      <c r="I2817" s="399" t="str">
        <f t="shared" si="64"/>
        <v/>
      </c>
      <c r="J2817" s="442"/>
      <c r="K2817" s="1263"/>
      <c r="L2817" s="461"/>
      <c r="M2817" s="461"/>
      <c r="N2817" s="461"/>
    </row>
    <row r="2818" spans="1:14" s="462" customFormat="1" ht="34.5" hidden="1" outlineLevel="1">
      <c r="A2818" s="1261"/>
      <c r="B2818" s="260" t="s">
        <v>304</v>
      </c>
      <c r="C2818" s="439"/>
      <c r="D2818" s="440"/>
      <c r="E2818" s="441"/>
      <c r="F2818" s="1363"/>
      <c r="G2818" s="1363"/>
      <c r="H2818" s="1363"/>
      <c r="I2818" s="399" t="str">
        <f t="shared" si="64"/>
        <v/>
      </c>
      <c r="J2818" s="442"/>
      <c r="K2818" s="1263"/>
      <c r="L2818" s="461"/>
      <c r="M2818" s="461"/>
      <c r="N2818" s="461"/>
    </row>
    <row r="2819" spans="1:14" s="462" customFormat="1" hidden="1" outlineLevel="1">
      <c r="A2819" s="1261"/>
      <c r="B2819" s="260" t="s">
        <v>251</v>
      </c>
      <c r="C2819" s="439" t="s">
        <v>2</v>
      </c>
      <c r="D2819" s="440">
        <v>1</v>
      </c>
      <c r="E2819" s="441">
        <v>2</v>
      </c>
      <c r="F2819" s="1363">
        <v>28.46</v>
      </c>
      <c r="G2819" s="1363">
        <v>0.46</v>
      </c>
      <c r="H2819" s="1363">
        <v>0.3</v>
      </c>
      <c r="I2819" s="399">
        <f t="shared" si="64"/>
        <v>7.85</v>
      </c>
      <c r="J2819" s="442"/>
      <c r="K2819" s="1263"/>
      <c r="L2819" s="461"/>
      <c r="M2819" s="461"/>
      <c r="N2819" s="461"/>
    </row>
    <row r="2820" spans="1:14" s="462" customFormat="1" hidden="1" outlineLevel="1">
      <c r="A2820" s="1261"/>
      <c r="B2820" s="260"/>
      <c r="C2820" s="439" t="s">
        <v>2</v>
      </c>
      <c r="D2820" s="440">
        <v>1</v>
      </c>
      <c r="E2820" s="441">
        <v>2</v>
      </c>
      <c r="F2820" s="1363">
        <v>28.23</v>
      </c>
      <c r="G2820" s="1363">
        <v>0.34499999999999997</v>
      </c>
      <c r="H2820" s="1363">
        <v>0.3</v>
      </c>
      <c r="I2820" s="399">
        <f t="shared" si="64"/>
        <v>5.84</v>
      </c>
      <c r="J2820" s="442"/>
      <c r="K2820" s="1263"/>
      <c r="L2820" s="461"/>
      <c r="M2820" s="461"/>
      <c r="N2820" s="461"/>
    </row>
    <row r="2821" spans="1:14" s="462" customFormat="1" hidden="1" outlineLevel="1">
      <c r="A2821" s="1261"/>
      <c r="B2821" s="260"/>
      <c r="C2821" s="439" t="s">
        <v>2</v>
      </c>
      <c r="D2821" s="440">
        <v>1</v>
      </c>
      <c r="E2821" s="441">
        <v>2</v>
      </c>
      <c r="F2821" s="1363">
        <v>28</v>
      </c>
      <c r="G2821" s="1363">
        <v>0.23</v>
      </c>
      <c r="H2821" s="1363">
        <v>0.19</v>
      </c>
      <c r="I2821" s="399">
        <f t="shared" si="64"/>
        <v>2.4500000000000002</v>
      </c>
      <c r="J2821" s="442"/>
      <c r="K2821" s="1263"/>
      <c r="L2821" s="461"/>
      <c r="M2821" s="461"/>
      <c r="N2821" s="461"/>
    </row>
    <row r="2822" spans="1:14" s="462" customFormat="1" hidden="1" outlineLevel="1">
      <c r="A2822" s="1261"/>
      <c r="B2822" s="260"/>
      <c r="C2822" s="439"/>
      <c r="D2822" s="440"/>
      <c r="E2822" s="441"/>
      <c r="F2822" s="1363"/>
      <c r="G2822" s="1363"/>
      <c r="H2822" s="1363"/>
      <c r="I2822" s="399" t="str">
        <f t="shared" si="64"/>
        <v/>
      </c>
      <c r="J2822" s="442"/>
      <c r="K2822" s="1263"/>
      <c r="L2822" s="461"/>
      <c r="M2822" s="461"/>
      <c r="N2822" s="461"/>
    </row>
    <row r="2823" spans="1:14" s="462" customFormat="1" hidden="1" outlineLevel="1">
      <c r="A2823" s="1261"/>
      <c r="B2823" s="260" t="s">
        <v>131</v>
      </c>
      <c r="C2823" s="439" t="s">
        <v>2</v>
      </c>
      <c r="D2823" s="440">
        <v>1</v>
      </c>
      <c r="E2823" s="441">
        <v>2</v>
      </c>
      <c r="F2823" s="1363">
        <v>14.74</v>
      </c>
      <c r="G2823" s="1363">
        <v>0.46</v>
      </c>
      <c r="H2823" s="1363">
        <v>0.3</v>
      </c>
      <c r="I2823" s="399">
        <f t="shared" si="64"/>
        <v>4.07</v>
      </c>
      <c r="J2823" s="442"/>
      <c r="K2823" s="1263"/>
      <c r="L2823" s="461"/>
      <c r="M2823" s="461"/>
      <c r="N2823" s="461"/>
    </row>
    <row r="2824" spans="1:14" s="462" customFormat="1" hidden="1" outlineLevel="1">
      <c r="A2824" s="1261"/>
      <c r="B2824" s="260"/>
      <c r="C2824" s="439" t="s">
        <v>2</v>
      </c>
      <c r="D2824" s="440">
        <v>1</v>
      </c>
      <c r="E2824" s="441">
        <v>2</v>
      </c>
      <c r="F2824" s="1363">
        <v>14.74</v>
      </c>
      <c r="G2824" s="1363">
        <v>0.34499999999999997</v>
      </c>
      <c r="H2824" s="1363">
        <v>0.3</v>
      </c>
      <c r="I2824" s="399">
        <f t="shared" si="64"/>
        <v>3.05</v>
      </c>
      <c r="J2824" s="442"/>
      <c r="K2824" s="1263"/>
      <c r="L2824" s="461"/>
      <c r="M2824" s="461"/>
      <c r="N2824" s="461"/>
    </row>
    <row r="2825" spans="1:14" s="462" customFormat="1" hidden="1" outlineLevel="1">
      <c r="A2825" s="1261"/>
      <c r="B2825" s="260"/>
      <c r="C2825" s="439" t="s">
        <v>2</v>
      </c>
      <c r="D2825" s="440">
        <v>1</v>
      </c>
      <c r="E2825" s="441">
        <v>2</v>
      </c>
      <c r="F2825" s="1363">
        <v>14.74</v>
      </c>
      <c r="G2825" s="1363">
        <v>0.23</v>
      </c>
      <c r="H2825" s="1363">
        <v>0.19</v>
      </c>
      <c r="I2825" s="399">
        <f t="shared" si="64"/>
        <v>1.29</v>
      </c>
      <c r="J2825" s="442"/>
      <c r="K2825" s="1263"/>
      <c r="L2825" s="461"/>
      <c r="M2825" s="461"/>
      <c r="N2825" s="461"/>
    </row>
    <row r="2826" spans="1:14" s="462" customFormat="1" hidden="1" outlineLevel="1">
      <c r="A2826" s="1261"/>
      <c r="B2826" s="260"/>
      <c r="C2826" s="439"/>
      <c r="D2826" s="440"/>
      <c r="E2826" s="441"/>
      <c r="F2826" s="1363"/>
      <c r="G2826" s="1363"/>
      <c r="H2826" s="1363"/>
      <c r="I2826" s="399" t="str">
        <f t="shared" si="64"/>
        <v/>
      </c>
      <c r="J2826" s="442"/>
      <c r="K2826" s="1263"/>
      <c r="L2826" s="461"/>
      <c r="M2826" s="461"/>
      <c r="N2826" s="461"/>
    </row>
    <row r="2827" spans="1:14" s="462" customFormat="1" hidden="1" outlineLevel="1">
      <c r="A2827" s="1261"/>
      <c r="B2827" s="260" t="s">
        <v>273</v>
      </c>
      <c r="C2827" s="439" t="s">
        <v>2</v>
      </c>
      <c r="D2827" s="440">
        <v>1</v>
      </c>
      <c r="E2827" s="441">
        <v>2</v>
      </c>
      <c r="F2827" s="1363">
        <v>3</v>
      </c>
      <c r="G2827" s="1363">
        <v>0.115</v>
      </c>
      <c r="H2827" s="1363">
        <v>0.19000000000000006</v>
      </c>
      <c r="I2827" s="399">
        <f t="shared" si="64"/>
        <v>0.13</v>
      </c>
      <c r="J2827" s="442"/>
      <c r="K2827" s="1263"/>
      <c r="L2827" s="461"/>
      <c r="M2827" s="461"/>
      <c r="N2827" s="461"/>
    </row>
    <row r="2828" spans="1:14" s="462" customFormat="1" hidden="1" outlineLevel="1">
      <c r="A2828" s="1261"/>
      <c r="B2828" s="260"/>
      <c r="C2828" s="439" t="s">
        <v>2</v>
      </c>
      <c r="D2828" s="440">
        <v>1</v>
      </c>
      <c r="E2828" s="441">
        <v>2</v>
      </c>
      <c r="F2828" s="1363">
        <v>3</v>
      </c>
      <c r="G2828" s="1363">
        <v>0.34499999999999997</v>
      </c>
      <c r="H2828" s="1363">
        <v>0.42499999999999999</v>
      </c>
      <c r="I2828" s="399">
        <f t="shared" si="64"/>
        <v>0.88</v>
      </c>
      <c r="J2828" s="442"/>
      <c r="K2828" s="1263"/>
      <c r="L2828" s="461"/>
      <c r="M2828" s="461"/>
      <c r="N2828" s="461"/>
    </row>
    <row r="2829" spans="1:14" s="462" customFormat="1" hidden="1" outlineLevel="1">
      <c r="A2829" s="1261"/>
      <c r="B2829" s="260"/>
      <c r="C2829" s="439"/>
      <c r="D2829" s="440"/>
      <c r="E2829" s="441"/>
      <c r="F2829" s="1363"/>
      <c r="G2829" s="1363"/>
      <c r="H2829" s="1363"/>
      <c r="I2829" s="399" t="str">
        <f t="shared" si="64"/>
        <v/>
      </c>
      <c r="J2829" s="442"/>
      <c r="K2829" s="1263"/>
      <c r="L2829" s="461"/>
      <c r="M2829" s="461"/>
      <c r="N2829" s="461"/>
    </row>
    <row r="2830" spans="1:14" s="462" customFormat="1" hidden="1" outlineLevel="1">
      <c r="A2830" s="1261"/>
      <c r="B2830" s="260" t="s">
        <v>305</v>
      </c>
      <c r="C2830" s="439"/>
      <c r="D2830" s="440"/>
      <c r="E2830" s="441"/>
      <c r="F2830" s="1363"/>
      <c r="G2830" s="1363"/>
      <c r="H2830" s="1363"/>
      <c r="I2830" s="399" t="str">
        <f t="shared" si="64"/>
        <v/>
      </c>
      <c r="J2830" s="442"/>
      <c r="K2830" s="1263"/>
      <c r="L2830" s="461"/>
      <c r="M2830" s="461"/>
      <c r="N2830" s="461"/>
    </row>
    <row r="2831" spans="1:14" s="462" customFormat="1" hidden="1" outlineLevel="1">
      <c r="A2831" s="1261"/>
      <c r="B2831" s="260"/>
      <c r="C2831" s="439"/>
      <c r="D2831" s="440"/>
      <c r="E2831" s="441"/>
      <c r="F2831" s="1363"/>
      <c r="G2831" s="1363"/>
      <c r="H2831" s="1363"/>
      <c r="I2831" s="399" t="str">
        <f t="shared" si="64"/>
        <v/>
      </c>
      <c r="J2831" s="442"/>
      <c r="K2831" s="1263"/>
      <c r="L2831" s="461"/>
      <c r="M2831" s="461"/>
      <c r="N2831" s="461"/>
    </row>
    <row r="2832" spans="1:14" s="462" customFormat="1" ht="34.5" hidden="1" outlineLevel="1">
      <c r="A2832" s="1261"/>
      <c r="B2832" s="260" t="s">
        <v>306</v>
      </c>
      <c r="C2832" s="439" t="s">
        <v>2</v>
      </c>
      <c r="D2832" s="440">
        <v>1</v>
      </c>
      <c r="E2832" s="441">
        <v>1</v>
      </c>
      <c r="F2832" s="1363">
        <v>31.4</v>
      </c>
      <c r="G2832" s="1363">
        <v>0.46</v>
      </c>
      <c r="H2832" s="1363">
        <v>0.3</v>
      </c>
      <c r="I2832" s="399">
        <f t="shared" si="64"/>
        <v>4.33</v>
      </c>
      <c r="J2832" s="442"/>
      <c r="K2832" s="1263"/>
      <c r="L2832" s="461"/>
      <c r="M2832" s="461"/>
      <c r="N2832" s="461"/>
    </row>
    <row r="2833" spans="1:14" s="462" customFormat="1" hidden="1" outlineLevel="1">
      <c r="A2833" s="1261"/>
      <c r="B2833" s="260"/>
      <c r="C2833" s="439" t="s">
        <v>2</v>
      </c>
      <c r="D2833" s="440">
        <v>1</v>
      </c>
      <c r="E2833" s="441">
        <v>1</v>
      </c>
      <c r="F2833" s="1363">
        <v>31.4</v>
      </c>
      <c r="G2833" s="1363">
        <v>0.34499999999999997</v>
      </c>
      <c r="H2833" s="1363">
        <v>0.3</v>
      </c>
      <c r="I2833" s="399">
        <f t="shared" si="64"/>
        <v>3.25</v>
      </c>
      <c r="J2833" s="442"/>
      <c r="K2833" s="1263"/>
      <c r="L2833" s="461"/>
      <c r="M2833" s="461"/>
      <c r="N2833" s="461"/>
    </row>
    <row r="2834" spans="1:14" s="462" customFormat="1" hidden="1" outlineLevel="1">
      <c r="A2834" s="1261"/>
      <c r="B2834" s="260"/>
      <c r="C2834" s="439" t="s">
        <v>2</v>
      </c>
      <c r="D2834" s="440">
        <v>1</v>
      </c>
      <c r="E2834" s="441">
        <v>1</v>
      </c>
      <c r="F2834" s="1363">
        <v>31.4</v>
      </c>
      <c r="G2834" s="1363">
        <v>0.23</v>
      </c>
      <c r="H2834" s="1363">
        <v>0.19</v>
      </c>
      <c r="I2834" s="399">
        <f t="shared" si="64"/>
        <v>1.37</v>
      </c>
      <c r="J2834" s="442"/>
      <c r="K2834" s="1263"/>
      <c r="L2834" s="461"/>
      <c r="M2834" s="461"/>
      <c r="N2834" s="461"/>
    </row>
    <row r="2835" spans="1:14" s="462" customFormat="1" hidden="1" outlineLevel="1">
      <c r="A2835" s="1261"/>
      <c r="B2835" s="260"/>
      <c r="C2835" s="439"/>
      <c r="D2835" s="440"/>
      <c r="E2835" s="441"/>
      <c r="F2835" s="1363"/>
      <c r="G2835" s="1363"/>
      <c r="H2835" s="1363"/>
      <c r="I2835" s="399" t="str">
        <f t="shared" si="64"/>
        <v/>
      </c>
      <c r="J2835" s="442"/>
      <c r="K2835" s="1263"/>
      <c r="L2835" s="461"/>
      <c r="M2835" s="461"/>
      <c r="N2835" s="461"/>
    </row>
    <row r="2836" spans="1:14" s="462" customFormat="1" hidden="1" outlineLevel="1">
      <c r="A2836" s="1261"/>
      <c r="B2836" s="260" t="s">
        <v>147</v>
      </c>
      <c r="C2836" s="439" t="s">
        <v>2</v>
      </c>
      <c r="D2836" s="440">
        <v>1</v>
      </c>
      <c r="E2836" s="441">
        <v>1</v>
      </c>
      <c r="F2836" s="1363">
        <v>42.55</v>
      </c>
      <c r="G2836" s="1363">
        <v>0.46</v>
      </c>
      <c r="H2836" s="1363">
        <v>0.3</v>
      </c>
      <c r="I2836" s="399">
        <f t="shared" si="64"/>
        <v>5.87</v>
      </c>
      <c r="J2836" s="442"/>
      <c r="K2836" s="1263"/>
      <c r="L2836" s="461"/>
      <c r="M2836" s="461"/>
      <c r="N2836" s="461"/>
    </row>
    <row r="2837" spans="1:14" s="462" customFormat="1" hidden="1" outlineLevel="1">
      <c r="A2837" s="1261"/>
      <c r="B2837" s="260"/>
      <c r="C2837" s="439" t="s">
        <v>2</v>
      </c>
      <c r="D2837" s="440">
        <v>1</v>
      </c>
      <c r="E2837" s="441">
        <v>1</v>
      </c>
      <c r="F2837" s="1363">
        <v>42.55</v>
      </c>
      <c r="G2837" s="1363">
        <v>0.34499999999999997</v>
      </c>
      <c r="H2837" s="1363">
        <v>0.3</v>
      </c>
      <c r="I2837" s="399">
        <f t="shared" si="64"/>
        <v>4.4000000000000004</v>
      </c>
      <c r="J2837" s="442"/>
      <c r="K2837" s="1263"/>
      <c r="L2837" s="461"/>
      <c r="M2837" s="461"/>
      <c r="N2837" s="461"/>
    </row>
    <row r="2838" spans="1:14" s="462" customFormat="1" hidden="1" outlineLevel="1">
      <c r="A2838" s="1261"/>
      <c r="B2838" s="260"/>
      <c r="C2838" s="439" t="s">
        <v>2</v>
      </c>
      <c r="D2838" s="440">
        <v>1</v>
      </c>
      <c r="E2838" s="441">
        <v>1</v>
      </c>
      <c r="F2838" s="1363">
        <v>42.55</v>
      </c>
      <c r="G2838" s="1363">
        <v>0.23</v>
      </c>
      <c r="H2838" s="1363">
        <v>0.19</v>
      </c>
      <c r="I2838" s="399">
        <f t="shared" si="64"/>
        <v>1.86</v>
      </c>
      <c r="J2838" s="442"/>
      <c r="K2838" s="1263"/>
      <c r="L2838" s="461"/>
      <c r="M2838" s="461"/>
      <c r="N2838" s="461"/>
    </row>
    <row r="2839" spans="1:14" s="462" customFormat="1" hidden="1" outlineLevel="1">
      <c r="A2839" s="1261"/>
      <c r="B2839" s="260"/>
      <c r="C2839" s="439"/>
      <c r="D2839" s="440"/>
      <c r="E2839" s="441"/>
      <c r="F2839" s="1363"/>
      <c r="G2839" s="1363"/>
      <c r="H2839" s="1363"/>
      <c r="I2839" s="399" t="str">
        <f t="shared" si="64"/>
        <v/>
      </c>
      <c r="J2839" s="442"/>
      <c r="K2839" s="1263"/>
      <c r="L2839" s="461"/>
      <c r="M2839" s="461"/>
      <c r="N2839" s="461"/>
    </row>
    <row r="2840" spans="1:14" s="462" customFormat="1" ht="34.5" hidden="1" outlineLevel="1">
      <c r="A2840" s="1261"/>
      <c r="B2840" s="260" t="s">
        <v>307</v>
      </c>
      <c r="C2840" s="439" t="s">
        <v>2</v>
      </c>
      <c r="D2840" s="440">
        <v>1</v>
      </c>
      <c r="E2840" s="441">
        <v>2</v>
      </c>
      <c r="F2840" s="1363">
        <v>30.240000000000002</v>
      </c>
      <c r="G2840" s="1363">
        <v>0.46</v>
      </c>
      <c r="H2840" s="1363">
        <v>0.3</v>
      </c>
      <c r="I2840" s="399">
        <f t="shared" ref="I2840:I2903" si="65">IF(D2840&lt;&gt;0,ROUND(PRODUCT(E2840:H2840)*D2840,2),"")</f>
        <v>8.35</v>
      </c>
      <c r="J2840" s="442"/>
      <c r="K2840" s="1263"/>
      <c r="L2840" s="461"/>
      <c r="M2840" s="461"/>
      <c r="N2840" s="461"/>
    </row>
    <row r="2841" spans="1:14" s="462" customFormat="1" hidden="1" outlineLevel="1">
      <c r="A2841" s="1261"/>
      <c r="B2841" s="260"/>
      <c r="C2841" s="439" t="s">
        <v>2</v>
      </c>
      <c r="D2841" s="440">
        <v>1</v>
      </c>
      <c r="E2841" s="441">
        <v>2</v>
      </c>
      <c r="F2841" s="1363">
        <v>30.01</v>
      </c>
      <c r="G2841" s="1363">
        <v>0.34499999999999997</v>
      </c>
      <c r="H2841" s="1363">
        <v>0.3</v>
      </c>
      <c r="I2841" s="399">
        <f t="shared" si="65"/>
        <v>6.21</v>
      </c>
      <c r="J2841" s="442"/>
      <c r="K2841" s="1263"/>
      <c r="L2841" s="461"/>
      <c r="M2841" s="461"/>
      <c r="N2841" s="461"/>
    </row>
    <row r="2842" spans="1:14" s="462" customFormat="1" hidden="1" outlineLevel="1">
      <c r="A2842" s="1261"/>
      <c r="B2842" s="260"/>
      <c r="C2842" s="439" t="s">
        <v>2</v>
      </c>
      <c r="D2842" s="440">
        <v>1</v>
      </c>
      <c r="E2842" s="441">
        <v>2</v>
      </c>
      <c r="F2842" s="1363">
        <v>29.78</v>
      </c>
      <c r="G2842" s="1363">
        <v>0.23</v>
      </c>
      <c r="H2842" s="1363">
        <v>0.19</v>
      </c>
      <c r="I2842" s="399">
        <f t="shared" si="65"/>
        <v>2.6</v>
      </c>
      <c r="J2842" s="442"/>
      <c r="K2842" s="1263"/>
      <c r="L2842" s="461"/>
      <c r="M2842" s="461"/>
      <c r="N2842" s="461"/>
    </row>
    <row r="2843" spans="1:14" s="462" customFormat="1" hidden="1" outlineLevel="1">
      <c r="A2843" s="1261"/>
      <c r="B2843" s="260"/>
      <c r="C2843" s="439"/>
      <c r="D2843" s="440"/>
      <c r="E2843" s="441"/>
      <c r="F2843" s="1363"/>
      <c r="G2843" s="1363"/>
      <c r="H2843" s="1363"/>
      <c r="I2843" s="399" t="str">
        <f t="shared" si="65"/>
        <v/>
      </c>
      <c r="J2843" s="442"/>
      <c r="K2843" s="1263"/>
      <c r="L2843" s="461"/>
      <c r="M2843" s="461"/>
      <c r="N2843" s="461"/>
    </row>
    <row r="2844" spans="1:14" s="462" customFormat="1" hidden="1" outlineLevel="1">
      <c r="A2844" s="1261"/>
      <c r="B2844" s="260"/>
      <c r="C2844" s="439" t="s">
        <v>2</v>
      </c>
      <c r="D2844" s="440">
        <v>1</v>
      </c>
      <c r="E2844" s="441">
        <v>2</v>
      </c>
      <c r="F2844" s="1363">
        <v>0.67</v>
      </c>
      <c r="G2844" s="1363">
        <v>0.46</v>
      </c>
      <c r="H2844" s="1363">
        <v>0.3</v>
      </c>
      <c r="I2844" s="399">
        <f t="shared" si="65"/>
        <v>0.18</v>
      </c>
      <c r="J2844" s="442"/>
      <c r="K2844" s="1263"/>
      <c r="L2844" s="461"/>
      <c r="M2844" s="461"/>
      <c r="N2844" s="461"/>
    </row>
    <row r="2845" spans="1:14" s="462" customFormat="1" hidden="1" outlineLevel="1">
      <c r="A2845" s="1261"/>
      <c r="B2845" s="260"/>
      <c r="C2845" s="439" t="s">
        <v>2</v>
      </c>
      <c r="D2845" s="440">
        <v>1</v>
      </c>
      <c r="E2845" s="441">
        <v>2</v>
      </c>
      <c r="F2845" s="1363">
        <v>0.67</v>
      </c>
      <c r="G2845" s="1363">
        <v>0.34499999999999997</v>
      </c>
      <c r="H2845" s="1363">
        <v>0.3</v>
      </c>
      <c r="I2845" s="399">
        <f t="shared" si="65"/>
        <v>0.14000000000000001</v>
      </c>
      <c r="J2845" s="442"/>
      <c r="K2845" s="1263"/>
      <c r="L2845" s="461"/>
      <c r="M2845" s="461"/>
      <c r="N2845" s="461"/>
    </row>
    <row r="2846" spans="1:14" s="462" customFormat="1" hidden="1" outlineLevel="1">
      <c r="A2846" s="1261"/>
      <c r="B2846" s="260"/>
      <c r="C2846" s="439" t="s">
        <v>2</v>
      </c>
      <c r="D2846" s="440">
        <v>1</v>
      </c>
      <c r="E2846" s="441">
        <v>2</v>
      </c>
      <c r="F2846" s="1363">
        <v>0.67</v>
      </c>
      <c r="G2846" s="1363">
        <v>0.23</v>
      </c>
      <c r="H2846" s="1363">
        <v>0.19</v>
      </c>
      <c r="I2846" s="399">
        <f t="shared" si="65"/>
        <v>0.06</v>
      </c>
      <c r="J2846" s="442"/>
      <c r="K2846" s="1263"/>
      <c r="L2846" s="461"/>
      <c r="M2846" s="461"/>
      <c r="N2846" s="461"/>
    </row>
    <row r="2847" spans="1:14" s="462" customFormat="1" ht="34.5" hidden="1" outlineLevel="1">
      <c r="A2847" s="1261"/>
      <c r="B2847" s="260" t="s">
        <v>308</v>
      </c>
      <c r="C2847" s="439"/>
      <c r="D2847" s="440"/>
      <c r="E2847" s="441"/>
      <c r="F2847" s="1363"/>
      <c r="G2847" s="1363"/>
      <c r="H2847" s="1363"/>
      <c r="I2847" s="399" t="str">
        <f t="shared" si="65"/>
        <v/>
      </c>
      <c r="J2847" s="442"/>
      <c r="K2847" s="1263"/>
      <c r="L2847" s="461"/>
      <c r="M2847" s="461"/>
      <c r="N2847" s="461"/>
    </row>
    <row r="2848" spans="1:14" s="462" customFormat="1" hidden="1" outlineLevel="1">
      <c r="A2848" s="1261"/>
      <c r="B2848" s="260"/>
      <c r="C2848" s="439"/>
      <c r="D2848" s="440"/>
      <c r="E2848" s="441"/>
      <c r="F2848" s="1363"/>
      <c r="G2848" s="1363"/>
      <c r="H2848" s="1363"/>
      <c r="I2848" s="399" t="str">
        <f t="shared" si="65"/>
        <v/>
      </c>
      <c r="J2848" s="442"/>
      <c r="K2848" s="1263"/>
      <c r="L2848" s="461"/>
      <c r="M2848" s="461"/>
      <c r="N2848" s="461"/>
    </row>
    <row r="2849" spans="1:14" s="462" customFormat="1" hidden="1" outlineLevel="1">
      <c r="A2849" s="1261"/>
      <c r="B2849" s="260"/>
      <c r="C2849" s="439" t="s">
        <v>2</v>
      </c>
      <c r="D2849" s="440">
        <v>1</v>
      </c>
      <c r="E2849" s="441">
        <v>2</v>
      </c>
      <c r="F2849" s="1363">
        <v>6.0149999999999997</v>
      </c>
      <c r="G2849" s="1363">
        <v>0.46</v>
      </c>
      <c r="H2849" s="1363">
        <v>0.3</v>
      </c>
      <c r="I2849" s="399">
        <f t="shared" si="65"/>
        <v>1.66</v>
      </c>
      <c r="J2849" s="442"/>
      <c r="K2849" s="1263"/>
      <c r="L2849" s="461"/>
      <c r="M2849" s="461"/>
      <c r="N2849" s="461"/>
    </row>
    <row r="2850" spans="1:14" s="462" customFormat="1" hidden="1" outlineLevel="1">
      <c r="A2850" s="1261"/>
      <c r="B2850" s="260"/>
      <c r="C2850" s="439" t="s">
        <v>2</v>
      </c>
      <c r="D2850" s="440">
        <v>1</v>
      </c>
      <c r="E2850" s="441">
        <v>2</v>
      </c>
      <c r="F2850" s="1363">
        <v>5.7850000000000001</v>
      </c>
      <c r="G2850" s="1363">
        <v>0.34499999999999997</v>
      </c>
      <c r="H2850" s="1363">
        <v>0.3</v>
      </c>
      <c r="I2850" s="399">
        <f t="shared" si="65"/>
        <v>1.2</v>
      </c>
      <c r="J2850" s="442"/>
      <c r="K2850" s="1263"/>
      <c r="L2850" s="461"/>
      <c r="M2850" s="461"/>
      <c r="N2850" s="461"/>
    </row>
    <row r="2851" spans="1:14" s="462" customFormat="1" hidden="1" outlineLevel="1">
      <c r="A2851" s="1261"/>
      <c r="B2851" s="260"/>
      <c r="C2851" s="439" t="s">
        <v>2</v>
      </c>
      <c r="D2851" s="440">
        <v>1</v>
      </c>
      <c r="E2851" s="441">
        <v>2</v>
      </c>
      <c r="F2851" s="1363">
        <v>5.5549999999999997</v>
      </c>
      <c r="G2851" s="1363">
        <v>0.23</v>
      </c>
      <c r="H2851" s="1363">
        <v>0.19</v>
      </c>
      <c r="I2851" s="399">
        <f t="shared" si="65"/>
        <v>0.49</v>
      </c>
      <c r="J2851" s="442"/>
      <c r="K2851" s="1263"/>
      <c r="L2851" s="461"/>
      <c r="M2851" s="461"/>
      <c r="N2851" s="461"/>
    </row>
    <row r="2852" spans="1:14" s="462" customFormat="1" hidden="1" outlineLevel="1">
      <c r="A2852" s="1261"/>
      <c r="B2852" s="260"/>
      <c r="C2852" s="439"/>
      <c r="D2852" s="440"/>
      <c r="E2852" s="441"/>
      <c r="F2852" s="1363"/>
      <c r="G2852" s="1363"/>
      <c r="H2852" s="1363"/>
      <c r="I2852" s="399" t="str">
        <f t="shared" si="65"/>
        <v/>
      </c>
      <c r="J2852" s="442"/>
      <c r="K2852" s="1263"/>
      <c r="L2852" s="461"/>
      <c r="M2852" s="461"/>
      <c r="N2852" s="461"/>
    </row>
    <row r="2853" spans="1:14" s="462" customFormat="1" hidden="1" outlineLevel="1">
      <c r="A2853" s="1261"/>
      <c r="B2853" s="260"/>
      <c r="C2853" s="439" t="s">
        <v>2</v>
      </c>
      <c r="D2853" s="440">
        <v>1</v>
      </c>
      <c r="E2853" s="441">
        <v>2</v>
      </c>
      <c r="F2853" s="1363">
        <v>1.2649999999999999</v>
      </c>
      <c r="G2853" s="1363">
        <v>0.46</v>
      </c>
      <c r="H2853" s="1363">
        <v>0.3</v>
      </c>
      <c r="I2853" s="399">
        <f t="shared" si="65"/>
        <v>0.35</v>
      </c>
      <c r="J2853" s="442"/>
      <c r="K2853" s="1263"/>
      <c r="L2853" s="461"/>
      <c r="M2853" s="461"/>
      <c r="N2853" s="461"/>
    </row>
    <row r="2854" spans="1:14" s="462" customFormat="1" hidden="1" outlineLevel="1">
      <c r="A2854" s="1261"/>
      <c r="B2854" s="260"/>
      <c r="C2854" s="439" t="s">
        <v>2</v>
      </c>
      <c r="D2854" s="440">
        <v>1</v>
      </c>
      <c r="E2854" s="441">
        <v>2</v>
      </c>
      <c r="F2854" s="1363">
        <v>1.2649999999999999</v>
      </c>
      <c r="G2854" s="1363">
        <v>0.34499999999999997</v>
      </c>
      <c r="H2854" s="1363">
        <v>0.3</v>
      </c>
      <c r="I2854" s="399">
        <f t="shared" si="65"/>
        <v>0.26</v>
      </c>
      <c r="J2854" s="442"/>
      <c r="K2854" s="1263"/>
      <c r="L2854" s="461"/>
      <c r="M2854" s="461"/>
      <c r="N2854" s="461"/>
    </row>
    <row r="2855" spans="1:14" s="462" customFormat="1" hidden="1" outlineLevel="1">
      <c r="A2855" s="1261"/>
      <c r="B2855" s="260"/>
      <c r="C2855" s="439" t="s">
        <v>2</v>
      </c>
      <c r="D2855" s="440">
        <v>1</v>
      </c>
      <c r="E2855" s="441">
        <v>2</v>
      </c>
      <c r="F2855" s="1363">
        <v>1.2649999999999999</v>
      </c>
      <c r="G2855" s="1363">
        <v>0.23</v>
      </c>
      <c r="H2855" s="1363">
        <v>0.19</v>
      </c>
      <c r="I2855" s="399">
        <f t="shared" si="65"/>
        <v>0.11</v>
      </c>
      <c r="J2855" s="442"/>
      <c r="K2855" s="1263"/>
      <c r="L2855" s="461"/>
      <c r="M2855" s="461"/>
      <c r="N2855" s="461"/>
    </row>
    <row r="2856" spans="1:14" s="462" customFormat="1" hidden="1" outlineLevel="1">
      <c r="A2856" s="1261"/>
      <c r="B2856" s="260"/>
      <c r="C2856" s="439"/>
      <c r="D2856" s="440"/>
      <c r="E2856" s="441"/>
      <c r="F2856" s="1363"/>
      <c r="G2856" s="1363"/>
      <c r="H2856" s="1363"/>
      <c r="I2856" s="399" t="str">
        <f t="shared" si="65"/>
        <v/>
      </c>
      <c r="J2856" s="442"/>
      <c r="K2856" s="1263"/>
      <c r="L2856" s="461"/>
      <c r="M2856" s="461"/>
      <c r="N2856" s="461"/>
    </row>
    <row r="2857" spans="1:14" s="462" customFormat="1" hidden="1" outlineLevel="1">
      <c r="A2857" s="1261"/>
      <c r="B2857" s="260"/>
      <c r="C2857" s="439" t="s">
        <v>2</v>
      </c>
      <c r="D2857" s="440">
        <v>1</v>
      </c>
      <c r="E2857" s="441">
        <v>2</v>
      </c>
      <c r="F2857" s="1363">
        <v>6.84</v>
      </c>
      <c r="G2857" s="1363">
        <v>0.46</v>
      </c>
      <c r="H2857" s="1363">
        <v>0.3</v>
      </c>
      <c r="I2857" s="399">
        <f t="shared" si="65"/>
        <v>1.89</v>
      </c>
      <c r="J2857" s="442"/>
      <c r="K2857" s="1263"/>
      <c r="L2857" s="461"/>
      <c r="M2857" s="461"/>
      <c r="N2857" s="461"/>
    </row>
    <row r="2858" spans="1:14" s="462" customFormat="1" hidden="1" outlineLevel="1">
      <c r="A2858" s="1261"/>
      <c r="B2858" s="260"/>
      <c r="C2858" s="439" t="s">
        <v>2</v>
      </c>
      <c r="D2858" s="440">
        <v>1</v>
      </c>
      <c r="E2858" s="441">
        <v>2</v>
      </c>
      <c r="F2858" s="1363">
        <v>6.6099999999999994</v>
      </c>
      <c r="G2858" s="1363">
        <v>0.34499999999999997</v>
      </c>
      <c r="H2858" s="1363">
        <v>0.3</v>
      </c>
      <c r="I2858" s="399">
        <f t="shared" si="65"/>
        <v>1.37</v>
      </c>
      <c r="J2858" s="442"/>
      <c r="K2858" s="1263"/>
      <c r="L2858" s="461"/>
      <c r="M2858" s="461"/>
      <c r="N2858" s="461"/>
    </row>
    <row r="2859" spans="1:14" s="462" customFormat="1" hidden="1" outlineLevel="1">
      <c r="A2859" s="1261"/>
      <c r="B2859" s="260"/>
      <c r="C2859" s="439" t="s">
        <v>2</v>
      </c>
      <c r="D2859" s="440">
        <v>1</v>
      </c>
      <c r="E2859" s="441">
        <v>2</v>
      </c>
      <c r="F2859" s="1363">
        <v>6.38</v>
      </c>
      <c r="G2859" s="1363">
        <v>0.23</v>
      </c>
      <c r="H2859" s="1363">
        <v>0.19</v>
      </c>
      <c r="I2859" s="399">
        <f t="shared" si="65"/>
        <v>0.56000000000000005</v>
      </c>
      <c r="J2859" s="442"/>
      <c r="K2859" s="1263"/>
      <c r="L2859" s="461"/>
      <c r="M2859" s="461"/>
      <c r="N2859" s="461"/>
    </row>
    <row r="2860" spans="1:14" s="462" customFormat="1" hidden="1" outlineLevel="1">
      <c r="A2860" s="1261"/>
      <c r="B2860" s="260"/>
      <c r="C2860" s="439"/>
      <c r="D2860" s="440"/>
      <c r="E2860" s="441"/>
      <c r="F2860" s="1363"/>
      <c r="G2860" s="1363"/>
      <c r="H2860" s="1363"/>
      <c r="I2860" s="399" t="str">
        <f t="shared" si="65"/>
        <v/>
      </c>
      <c r="J2860" s="442"/>
      <c r="K2860" s="1263"/>
      <c r="L2860" s="461"/>
      <c r="M2860" s="461"/>
      <c r="N2860" s="461"/>
    </row>
    <row r="2861" spans="1:14" s="462" customFormat="1" hidden="1" outlineLevel="1">
      <c r="A2861" s="1261"/>
      <c r="B2861" s="260"/>
      <c r="C2861" s="439" t="s">
        <v>2</v>
      </c>
      <c r="D2861" s="440">
        <v>1</v>
      </c>
      <c r="E2861" s="441">
        <v>2</v>
      </c>
      <c r="F2861" s="1363">
        <v>1.2649999999999999</v>
      </c>
      <c r="G2861" s="1363">
        <v>0.46</v>
      </c>
      <c r="H2861" s="1363">
        <v>0.3</v>
      </c>
      <c r="I2861" s="399">
        <f t="shared" si="65"/>
        <v>0.35</v>
      </c>
      <c r="J2861" s="442"/>
      <c r="K2861" s="1263"/>
      <c r="L2861" s="461"/>
      <c r="M2861" s="461"/>
      <c r="N2861" s="461"/>
    </row>
    <row r="2862" spans="1:14" s="462" customFormat="1" hidden="1" outlineLevel="1">
      <c r="A2862" s="1261"/>
      <c r="B2862" s="260"/>
      <c r="C2862" s="439" t="s">
        <v>2</v>
      </c>
      <c r="D2862" s="440">
        <v>1</v>
      </c>
      <c r="E2862" s="441">
        <v>2</v>
      </c>
      <c r="F2862" s="1363">
        <v>1.2649999999999999</v>
      </c>
      <c r="G2862" s="1363">
        <v>0.34499999999999997</v>
      </c>
      <c r="H2862" s="1363">
        <v>0.3</v>
      </c>
      <c r="I2862" s="399">
        <f t="shared" si="65"/>
        <v>0.26</v>
      </c>
      <c r="J2862" s="442"/>
      <c r="K2862" s="1263"/>
      <c r="L2862" s="461"/>
      <c r="M2862" s="461"/>
      <c r="N2862" s="461"/>
    </row>
    <row r="2863" spans="1:14" s="462" customFormat="1" hidden="1" outlineLevel="1">
      <c r="A2863" s="1261"/>
      <c r="B2863" s="260"/>
      <c r="C2863" s="439" t="s">
        <v>2</v>
      </c>
      <c r="D2863" s="440">
        <v>1</v>
      </c>
      <c r="E2863" s="441">
        <v>2</v>
      </c>
      <c r="F2863" s="1363">
        <v>1.2649999999999999</v>
      </c>
      <c r="G2863" s="1363">
        <v>0.23</v>
      </c>
      <c r="H2863" s="1363">
        <v>0.19</v>
      </c>
      <c r="I2863" s="399">
        <f t="shared" si="65"/>
        <v>0.11</v>
      </c>
      <c r="J2863" s="442"/>
      <c r="K2863" s="1263"/>
      <c r="L2863" s="461"/>
      <c r="M2863" s="461"/>
      <c r="N2863" s="461"/>
    </row>
    <row r="2864" spans="1:14" s="462" customFormat="1" hidden="1" outlineLevel="1">
      <c r="A2864" s="1261"/>
      <c r="B2864" s="260"/>
      <c r="C2864" s="439"/>
      <c r="D2864" s="440"/>
      <c r="E2864" s="441"/>
      <c r="F2864" s="1363"/>
      <c r="G2864" s="1363"/>
      <c r="H2864" s="1363"/>
      <c r="I2864" s="399" t="str">
        <f t="shared" si="65"/>
        <v/>
      </c>
      <c r="J2864" s="442"/>
      <c r="K2864" s="1263"/>
      <c r="L2864" s="461"/>
      <c r="M2864" s="461"/>
      <c r="N2864" s="461"/>
    </row>
    <row r="2865" spans="1:14" s="462" customFormat="1" ht="34.5" hidden="1" outlineLevel="1">
      <c r="A2865" s="1261"/>
      <c r="B2865" s="260" t="s">
        <v>309</v>
      </c>
      <c r="C2865" s="439"/>
      <c r="D2865" s="440"/>
      <c r="E2865" s="441"/>
      <c r="F2865" s="1363"/>
      <c r="G2865" s="1363"/>
      <c r="H2865" s="1363"/>
      <c r="I2865" s="399" t="str">
        <f t="shared" si="65"/>
        <v/>
      </c>
      <c r="J2865" s="442"/>
      <c r="K2865" s="1263"/>
      <c r="L2865" s="461"/>
      <c r="M2865" s="461"/>
      <c r="N2865" s="461"/>
    </row>
    <row r="2866" spans="1:14" s="462" customFormat="1" hidden="1" outlineLevel="1">
      <c r="A2866" s="1261"/>
      <c r="B2866" s="260"/>
      <c r="C2866" s="439"/>
      <c r="D2866" s="440"/>
      <c r="E2866" s="441"/>
      <c r="F2866" s="1363"/>
      <c r="G2866" s="1363"/>
      <c r="H2866" s="1363"/>
      <c r="I2866" s="399" t="str">
        <f t="shared" si="65"/>
        <v/>
      </c>
      <c r="J2866" s="442"/>
      <c r="K2866" s="1263"/>
      <c r="L2866" s="461"/>
      <c r="M2866" s="461"/>
      <c r="N2866" s="461"/>
    </row>
    <row r="2867" spans="1:14" s="462" customFormat="1" hidden="1" outlineLevel="1">
      <c r="A2867" s="1261"/>
      <c r="B2867" s="260"/>
      <c r="C2867" s="439" t="s">
        <v>2</v>
      </c>
      <c r="D2867" s="440">
        <v>1</v>
      </c>
      <c r="E2867" s="441">
        <v>3</v>
      </c>
      <c r="F2867" s="1363">
        <v>7.625</v>
      </c>
      <c r="G2867" s="1363">
        <v>0.46</v>
      </c>
      <c r="H2867" s="1363">
        <v>0.3</v>
      </c>
      <c r="I2867" s="399">
        <f t="shared" si="65"/>
        <v>3.16</v>
      </c>
      <c r="J2867" s="442"/>
      <c r="K2867" s="1263"/>
      <c r="L2867" s="461"/>
      <c r="M2867" s="461"/>
      <c r="N2867" s="461"/>
    </row>
    <row r="2868" spans="1:14" s="462" customFormat="1" hidden="1" outlineLevel="1">
      <c r="A2868" s="1261"/>
      <c r="B2868" s="260"/>
      <c r="C2868" s="439" t="s">
        <v>2</v>
      </c>
      <c r="D2868" s="440">
        <v>1</v>
      </c>
      <c r="E2868" s="441">
        <v>3</v>
      </c>
      <c r="F2868" s="1363">
        <v>7.625</v>
      </c>
      <c r="G2868" s="1363">
        <v>0.34499999999999997</v>
      </c>
      <c r="H2868" s="1363">
        <v>0.3</v>
      </c>
      <c r="I2868" s="399">
        <f t="shared" si="65"/>
        <v>2.37</v>
      </c>
      <c r="J2868" s="442"/>
      <c r="K2868" s="1263"/>
      <c r="L2868" s="461"/>
      <c r="M2868" s="461"/>
      <c r="N2868" s="461"/>
    </row>
    <row r="2869" spans="1:14" s="462" customFormat="1" hidden="1" outlineLevel="1">
      <c r="A2869" s="1261"/>
      <c r="B2869" s="260"/>
      <c r="C2869" s="439" t="s">
        <v>2</v>
      </c>
      <c r="D2869" s="440">
        <v>1</v>
      </c>
      <c r="E2869" s="441">
        <v>3</v>
      </c>
      <c r="F2869" s="1363">
        <v>7.625</v>
      </c>
      <c r="G2869" s="1363">
        <v>0.23</v>
      </c>
      <c r="H2869" s="1363">
        <v>0.19</v>
      </c>
      <c r="I2869" s="399">
        <f t="shared" si="65"/>
        <v>1</v>
      </c>
      <c r="J2869" s="442"/>
      <c r="K2869" s="1263"/>
      <c r="L2869" s="461"/>
      <c r="M2869" s="461"/>
      <c r="N2869" s="461"/>
    </row>
    <row r="2870" spans="1:14" s="462" customFormat="1" hidden="1" outlineLevel="1">
      <c r="A2870" s="1261"/>
      <c r="B2870" s="260"/>
      <c r="C2870" s="439"/>
      <c r="D2870" s="440"/>
      <c r="E2870" s="441"/>
      <c r="F2870" s="1363"/>
      <c r="G2870" s="1363"/>
      <c r="H2870" s="1363"/>
      <c r="I2870" s="399" t="str">
        <f t="shared" si="65"/>
        <v/>
      </c>
      <c r="J2870" s="442"/>
      <c r="K2870" s="1263"/>
      <c r="L2870" s="461"/>
      <c r="M2870" s="461"/>
      <c r="N2870" s="461"/>
    </row>
    <row r="2871" spans="1:14" s="462" customFormat="1" ht="34.5" hidden="1" outlineLevel="1">
      <c r="A2871" s="1261"/>
      <c r="B2871" s="260" t="s">
        <v>310</v>
      </c>
      <c r="C2871" s="439"/>
      <c r="D2871" s="440"/>
      <c r="E2871" s="441"/>
      <c r="F2871" s="1363"/>
      <c r="G2871" s="1363"/>
      <c r="H2871" s="1363"/>
      <c r="I2871" s="399" t="str">
        <f t="shared" si="65"/>
        <v/>
      </c>
      <c r="J2871" s="442"/>
      <c r="K2871" s="1263"/>
      <c r="L2871" s="461"/>
      <c r="M2871" s="461"/>
      <c r="N2871" s="461"/>
    </row>
    <row r="2872" spans="1:14" s="462" customFormat="1" hidden="1" outlineLevel="1">
      <c r="A2872" s="1261"/>
      <c r="B2872" s="260"/>
      <c r="C2872" s="439"/>
      <c r="D2872" s="440"/>
      <c r="E2872" s="441"/>
      <c r="F2872" s="1363"/>
      <c r="G2872" s="1363"/>
      <c r="H2872" s="1363"/>
      <c r="I2872" s="399" t="str">
        <f t="shared" si="65"/>
        <v/>
      </c>
      <c r="J2872" s="442"/>
      <c r="K2872" s="1263"/>
      <c r="L2872" s="461"/>
      <c r="M2872" s="461"/>
      <c r="N2872" s="461"/>
    </row>
    <row r="2873" spans="1:14" s="462" customFormat="1" hidden="1" outlineLevel="1">
      <c r="A2873" s="1261"/>
      <c r="B2873" s="260"/>
      <c r="C2873" s="439" t="s">
        <v>2</v>
      </c>
      <c r="D2873" s="440">
        <v>1</v>
      </c>
      <c r="E2873" s="441">
        <v>8</v>
      </c>
      <c r="F2873" s="1363">
        <v>7.625</v>
      </c>
      <c r="G2873" s="1363">
        <v>0.46</v>
      </c>
      <c r="H2873" s="1363">
        <v>0.3</v>
      </c>
      <c r="I2873" s="399">
        <f t="shared" si="65"/>
        <v>8.42</v>
      </c>
      <c r="J2873" s="442"/>
      <c r="K2873" s="1263"/>
      <c r="L2873" s="461"/>
      <c r="M2873" s="461"/>
      <c r="N2873" s="461"/>
    </row>
    <row r="2874" spans="1:14" s="462" customFormat="1" hidden="1" outlineLevel="1">
      <c r="A2874" s="1261"/>
      <c r="B2874" s="260"/>
      <c r="C2874" s="439" t="s">
        <v>2</v>
      </c>
      <c r="D2874" s="440">
        <v>1</v>
      </c>
      <c r="E2874" s="441">
        <v>8</v>
      </c>
      <c r="F2874" s="1363">
        <v>7.625</v>
      </c>
      <c r="G2874" s="1363">
        <v>0.34499999999999997</v>
      </c>
      <c r="H2874" s="1363">
        <v>0.3</v>
      </c>
      <c r="I2874" s="399">
        <f t="shared" si="65"/>
        <v>6.31</v>
      </c>
      <c r="J2874" s="442"/>
      <c r="K2874" s="1263"/>
      <c r="L2874" s="461"/>
      <c r="M2874" s="461"/>
      <c r="N2874" s="461"/>
    </row>
    <row r="2875" spans="1:14" s="462" customFormat="1" hidden="1" outlineLevel="1">
      <c r="A2875" s="1261"/>
      <c r="B2875" s="260"/>
      <c r="C2875" s="439" t="s">
        <v>2</v>
      </c>
      <c r="D2875" s="440">
        <v>1</v>
      </c>
      <c r="E2875" s="441">
        <v>8</v>
      </c>
      <c r="F2875" s="1363">
        <v>7.625</v>
      </c>
      <c r="G2875" s="1363">
        <v>0.23</v>
      </c>
      <c r="H2875" s="1363">
        <v>0.19</v>
      </c>
      <c r="I2875" s="399">
        <f t="shared" si="65"/>
        <v>2.67</v>
      </c>
      <c r="J2875" s="442"/>
      <c r="K2875" s="1263"/>
      <c r="L2875" s="461"/>
      <c r="M2875" s="461"/>
      <c r="N2875" s="461"/>
    </row>
    <row r="2876" spans="1:14" s="462" customFormat="1" hidden="1" outlineLevel="1">
      <c r="A2876" s="1261"/>
      <c r="B2876" s="260"/>
      <c r="C2876" s="439"/>
      <c r="D2876" s="440"/>
      <c r="E2876" s="441"/>
      <c r="F2876" s="1363"/>
      <c r="G2876" s="1363"/>
      <c r="H2876" s="1363"/>
      <c r="I2876" s="399" t="str">
        <f t="shared" si="65"/>
        <v/>
      </c>
      <c r="J2876" s="442"/>
      <c r="K2876" s="1263"/>
      <c r="L2876" s="461"/>
      <c r="M2876" s="461"/>
      <c r="N2876" s="461"/>
    </row>
    <row r="2877" spans="1:14" s="462" customFormat="1" hidden="1" outlineLevel="1">
      <c r="A2877" s="1261"/>
      <c r="B2877" s="260"/>
      <c r="C2877" s="439" t="s">
        <v>2</v>
      </c>
      <c r="D2877" s="440">
        <v>1</v>
      </c>
      <c r="E2877" s="441">
        <v>1</v>
      </c>
      <c r="F2877" s="1364">
        <v>9.35</v>
      </c>
      <c r="G2877" s="1363">
        <v>0.46</v>
      </c>
      <c r="H2877" s="1363">
        <v>0.3</v>
      </c>
      <c r="I2877" s="399">
        <f t="shared" si="65"/>
        <v>1.29</v>
      </c>
      <c r="J2877" s="442"/>
      <c r="K2877" s="1263"/>
      <c r="L2877" s="461"/>
      <c r="M2877" s="461"/>
      <c r="N2877" s="461"/>
    </row>
    <row r="2878" spans="1:14" s="462" customFormat="1" hidden="1" outlineLevel="1">
      <c r="A2878" s="1261"/>
      <c r="B2878" s="260"/>
      <c r="C2878" s="439" t="s">
        <v>2</v>
      </c>
      <c r="D2878" s="440">
        <v>1</v>
      </c>
      <c r="E2878" s="441">
        <v>1</v>
      </c>
      <c r="F2878" s="1364">
        <v>9.35</v>
      </c>
      <c r="G2878" s="1363">
        <v>0.34499999999999997</v>
      </c>
      <c r="H2878" s="1363">
        <v>0.3</v>
      </c>
      <c r="I2878" s="399">
        <f t="shared" si="65"/>
        <v>0.97</v>
      </c>
      <c r="J2878" s="442"/>
      <c r="K2878" s="1263"/>
      <c r="L2878" s="461"/>
      <c r="M2878" s="461"/>
      <c r="N2878" s="461"/>
    </row>
    <row r="2879" spans="1:14" s="462" customFormat="1" hidden="1" outlineLevel="1">
      <c r="A2879" s="1261"/>
      <c r="B2879" s="260"/>
      <c r="C2879" s="439" t="s">
        <v>2</v>
      </c>
      <c r="D2879" s="440">
        <v>1</v>
      </c>
      <c r="E2879" s="441">
        <v>1</v>
      </c>
      <c r="F2879" s="1364">
        <v>9.35</v>
      </c>
      <c r="G2879" s="1363">
        <v>0.23</v>
      </c>
      <c r="H2879" s="1363">
        <v>0.19</v>
      </c>
      <c r="I2879" s="399">
        <f t="shared" si="65"/>
        <v>0.41</v>
      </c>
      <c r="J2879" s="442"/>
      <c r="K2879" s="1263"/>
      <c r="L2879" s="461"/>
      <c r="M2879" s="461"/>
      <c r="N2879" s="461"/>
    </row>
    <row r="2880" spans="1:14" s="462" customFormat="1" hidden="1" outlineLevel="1">
      <c r="A2880" s="1261"/>
      <c r="B2880" s="260" t="s">
        <v>270</v>
      </c>
      <c r="C2880" s="439" t="s">
        <v>2</v>
      </c>
      <c r="D2880" s="440">
        <v>-1</v>
      </c>
      <c r="E2880" s="441">
        <v>1</v>
      </c>
      <c r="F2880" s="1363">
        <v>392.89</v>
      </c>
      <c r="G2880" s="1363"/>
      <c r="H2880" s="1364"/>
      <c r="I2880" s="399">
        <f t="shared" si="65"/>
        <v>-392.89</v>
      </c>
      <c r="J2880" s="442"/>
      <c r="K2880" s="1262"/>
      <c r="L2880" s="461"/>
      <c r="M2880" s="461"/>
      <c r="N2880" s="461"/>
    </row>
    <row r="2881" spans="1:14" s="398" customFormat="1" ht="51.75" hidden="1" outlineLevel="1" collapsed="1">
      <c r="A2881" s="1250"/>
      <c r="B2881" s="598" t="s">
        <v>649</v>
      </c>
      <c r="C2881" s="298"/>
      <c r="D2881" s="302"/>
      <c r="E2881" s="298"/>
      <c r="F2881" s="1156"/>
      <c r="G2881" s="1156"/>
      <c r="H2881" s="1156"/>
      <c r="I2881" s="399" t="str">
        <f t="shared" si="65"/>
        <v/>
      </c>
      <c r="J2881" s="374"/>
      <c r="K2881" s="1222"/>
      <c r="L2881" s="431"/>
      <c r="M2881" s="431"/>
      <c r="N2881" s="431"/>
    </row>
    <row r="2882" spans="1:14" s="398" customFormat="1" hidden="1" outlineLevel="1">
      <c r="A2882" s="1250"/>
      <c r="B2882" s="303" t="s">
        <v>615</v>
      </c>
      <c r="C2882" s="298"/>
      <c r="D2882" s="302"/>
      <c r="E2882" s="298"/>
      <c r="F2882" s="1156"/>
      <c r="G2882" s="1156"/>
      <c r="H2882" s="1156"/>
      <c r="I2882" s="399" t="str">
        <f t="shared" si="65"/>
        <v/>
      </c>
      <c r="J2882" s="374"/>
      <c r="K2882" s="1222"/>
      <c r="L2882" s="431"/>
      <c r="M2882" s="431"/>
      <c r="N2882" s="431"/>
    </row>
    <row r="2883" spans="1:14" s="398" customFormat="1" hidden="1" outlineLevel="1">
      <c r="A2883" s="1250"/>
      <c r="B2883" s="303" t="s">
        <v>600</v>
      </c>
      <c r="C2883" s="165" t="s">
        <v>2</v>
      </c>
      <c r="D2883" s="437">
        <v>1</v>
      </c>
      <c r="E2883" s="298">
        <v>1</v>
      </c>
      <c r="F2883" s="1156">
        <f>1.4+1.4+1.53+1.53+4.89+G2883*2</f>
        <v>11.67</v>
      </c>
      <c r="G2883" s="1156">
        <v>0.46</v>
      </c>
      <c r="H2883" s="1156">
        <v>0.3</v>
      </c>
      <c r="I2883" s="399">
        <f t="shared" si="65"/>
        <v>1.61</v>
      </c>
      <c r="J2883" s="374"/>
      <c r="K2883" s="1222"/>
      <c r="L2883" s="431"/>
      <c r="M2883" s="431"/>
      <c r="N2883" s="431"/>
    </row>
    <row r="2884" spans="1:14" s="398" customFormat="1" hidden="1" outlineLevel="1">
      <c r="A2884" s="1250"/>
      <c r="B2884" s="305"/>
      <c r="C2884" s="165" t="s">
        <v>2</v>
      </c>
      <c r="D2884" s="437">
        <v>1</v>
      </c>
      <c r="E2884" s="298">
        <v>1</v>
      </c>
      <c r="F2884" s="1156">
        <f>1.4+1.4+1.53+1.53+4.89+G2884*2</f>
        <v>11.44</v>
      </c>
      <c r="G2884" s="1156">
        <v>0.34499999999999997</v>
      </c>
      <c r="H2884" s="1156">
        <v>0.3</v>
      </c>
      <c r="I2884" s="399">
        <f t="shared" si="65"/>
        <v>1.18</v>
      </c>
      <c r="J2884" s="374"/>
      <c r="K2884" s="1222"/>
      <c r="L2884" s="431"/>
      <c r="M2884" s="431"/>
      <c r="N2884" s="431"/>
    </row>
    <row r="2885" spans="1:14" s="398" customFormat="1" hidden="1" outlineLevel="1">
      <c r="A2885" s="1250"/>
      <c r="B2885" s="305"/>
      <c r="C2885" s="165" t="s">
        <v>2</v>
      </c>
      <c r="D2885" s="437">
        <v>1</v>
      </c>
      <c r="E2885" s="298">
        <v>1</v>
      </c>
      <c r="F2885" s="1156">
        <f>1.4+1.4+1.53+1.53+4.89+G2885*2</f>
        <v>11.21</v>
      </c>
      <c r="G2885" s="1156">
        <v>0.23</v>
      </c>
      <c r="H2885" s="1156">
        <f>1.2-0.15-0.6-0.06-0.2</f>
        <v>0.19000000000000006</v>
      </c>
      <c r="I2885" s="399">
        <f t="shared" si="65"/>
        <v>0.49</v>
      </c>
      <c r="J2885" s="374"/>
      <c r="K2885" s="1222"/>
      <c r="L2885" s="431"/>
      <c r="M2885" s="431"/>
      <c r="N2885" s="431"/>
    </row>
    <row r="2886" spans="1:14" s="398" customFormat="1" hidden="1" outlineLevel="1">
      <c r="A2886" s="1250"/>
      <c r="B2886" s="305"/>
      <c r="C2886" s="165"/>
      <c r="D2886" s="437"/>
      <c r="E2886" s="298"/>
      <c r="F2886" s="1156"/>
      <c r="G2886" s="1156"/>
      <c r="H2886" s="1156"/>
      <c r="I2886" s="399" t="str">
        <f t="shared" si="65"/>
        <v/>
      </c>
      <c r="J2886" s="374"/>
      <c r="K2886" s="1222"/>
      <c r="L2886" s="431"/>
      <c r="M2886" s="431"/>
      <c r="N2886" s="431"/>
    </row>
    <row r="2887" spans="1:14" s="398" customFormat="1" hidden="1" outlineLevel="1">
      <c r="A2887" s="1250"/>
      <c r="B2887" s="305"/>
      <c r="C2887" s="165" t="s">
        <v>2</v>
      </c>
      <c r="D2887" s="437">
        <v>1</v>
      </c>
      <c r="E2887" s="298">
        <v>1</v>
      </c>
      <c r="F2887" s="1156">
        <f>1.4+G2887</f>
        <v>1.8599999999999999</v>
      </c>
      <c r="G2887" s="1156">
        <v>0.46</v>
      </c>
      <c r="H2887" s="1156">
        <v>0.3</v>
      </c>
      <c r="I2887" s="399">
        <f t="shared" si="65"/>
        <v>0.26</v>
      </c>
      <c r="J2887" s="374"/>
      <c r="K2887" s="1222"/>
      <c r="L2887" s="431"/>
      <c r="M2887" s="431"/>
      <c r="N2887" s="431"/>
    </row>
    <row r="2888" spans="1:14" s="398" customFormat="1" hidden="1" outlineLevel="1">
      <c r="A2888" s="1250"/>
      <c r="B2888" s="305"/>
      <c r="C2888" s="165" t="s">
        <v>2</v>
      </c>
      <c r="D2888" s="437">
        <v>1</v>
      </c>
      <c r="E2888" s="298">
        <v>1</v>
      </c>
      <c r="F2888" s="1156">
        <f>1.4+G2888</f>
        <v>1.7449999999999999</v>
      </c>
      <c r="G2888" s="1156">
        <v>0.34499999999999997</v>
      </c>
      <c r="H2888" s="1156">
        <v>0.3</v>
      </c>
      <c r="I2888" s="399">
        <f t="shared" si="65"/>
        <v>0.18</v>
      </c>
      <c r="J2888" s="374"/>
      <c r="K2888" s="1222"/>
      <c r="L2888" s="431"/>
      <c r="M2888" s="431"/>
      <c r="N2888" s="431"/>
    </row>
    <row r="2889" spans="1:14" s="398" customFormat="1" hidden="1" outlineLevel="1">
      <c r="A2889" s="1250"/>
      <c r="B2889" s="305"/>
      <c r="C2889" s="165" t="s">
        <v>2</v>
      </c>
      <c r="D2889" s="437">
        <v>1</v>
      </c>
      <c r="E2889" s="298">
        <v>1</v>
      </c>
      <c r="F2889" s="1156">
        <f>1.4+G2889</f>
        <v>1.63</v>
      </c>
      <c r="G2889" s="1156">
        <v>0.23</v>
      </c>
      <c r="H2889" s="1156">
        <f>1.2-0.15-0.6-0.06-0.2</f>
        <v>0.19000000000000006</v>
      </c>
      <c r="I2889" s="399">
        <f t="shared" si="65"/>
        <v>7.0000000000000007E-2</v>
      </c>
      <c r="J2889" s="374"/>
      <c r="K2889" s="1222"/>
      <c r="L2889" s="431"/>
      <c r="M2889" s="431"/>
      <c r="N2889" s="431"/>
    </row>
    <row r="2890" spans="1:14" s="398" customFormat="1" hidden="1" outlineLevel="1">
      <c r="A2890" s="1250"/>
      <c r="B2890" s="305"/>
      <c r="C2890" s="165"/>
      <c r="D2890" s="437"/>
      <c r="E2890" s="298"/>
      <c r="F2890" s="1156"/>
      <c r="G2890" s="1156"/>
      <c r="H2890" s="1156"/>
      <c r="I2890" s="399" t="str">
        <f t="shared" si="65"/>
        <v/>
      </c>
      <c r="J2890" s="374"/>
      <c r="K2890" s="1222"/>
      <c r="L2890" s="431"/>
      <c r="M2890" s="431"/>
      <c r="N2890" s="431"/>
    </row>
    <row r="2891" spans="1:14" s="398" customFormat="1" hidden="1" outlineLevel="1">
      <c r="A2891" s="1250"/>
      <c r="B2891" s="305"/>
      <c r="C2891" s="165" t="s">
        <v>2</v>
      </c>
      <c r="D2891" s="437">
        <v>1</v>
      </c>
      <c r="E2891" s="298">
        <v>1</v>
      </c>
      <c r="F2891" s="1156">
        <f t="shared" ref="F2891:F2896" si="66">7.355+G2891</f>
        <v>7.8150000000000004</v>
      </c>
      <c r="G2891" s="1156">
        <v>0.46</v>
      </c>
      <c r="H2891" s="1156">
        <v>0.3</v>
      </c>
      <c r="I2891" s="399">
        <f t="shared" si="65"/>
        <v>1.08</v>
      </c>
      <c r="J2891" s="374"/>
      <c r="K2891" s="1222"/>
      <c r="L2891" s="431"/>
      <c r="M2891" s="431"/>
      <c r="N2891" s="431"/>
    </row>
    <row r="2892" spans="1:14" s="398" customFormat="1" hidden="1" outlineLevel="1">
      <c r="A2892" s="1250"/>
      <c r="B2892" s="305"/>
      <c r="C2892" s="165" t="s">
        <v>2</v>
      </c>
      <c r="D2892" s="437">
        <v>1</v>
      </c>
      <c r="E2892" s="298">
        <v>1</v>
      </c>
      <c r="F2892" s="1156">
        <f t="shared" si="66"/>
        <v>7.7</v>
      </c>
      <c r="G2892" s="1156">
        <v>0.34499999999999997</v>
      </c>
      <c r="H2892" s="1156">
        <v>0.3</v>
      </c>
      <c r="I2892" s="399">
        <f t="shared" si="65"/>
        <v>0.8</v>
      </c>
      <c r="J2892" s="374"/>
      <c r="K2892" s="1222"/>
      <c r="L2892" s="431"/>
      <c r="M2892" s="431"/>
      <c r="N2892" s="431"/>
    </row>
    <row r="2893" spans="1:14" s="398" customFormat="1" hidden="1" outlineLevel="1">
      <c r="A2893" s="1250"/>
      <c r="B2893" s="305"/>
      <c r="C2893" s="165" t="s">
        <v>2</v>
      </c>
      <c r="D2893" s="437">
        <v>1</v>
      </c>
      <c r="E2893" s="298">
        <v>1</v>
      </c>
      <c r="F2893" s="1156">
        <f t="shared" si="66"/>
        <v>7.5850000000000009</v>
      </c>
      <c r="G2893" s="1156">
        <v>0.23</v>
      </c>
      <c r="H2893" s="1156">
        <f>1.2-0.15-0.6-0.06-0.2</f>
        <v>0.19000000000000006</v>
      </c>
      <c r="I2893" s="399">
        <f t="shared" si="65"/>
        <v>0.33</v>
      </c>
      <c r="J2893" s="374"/>
      <c r="K2893" s="1222"/>
      <c r="L2893" s="431"/>
      <c r="M2893" s="431"/>
      <c r="N2893" s="431"/>
    </row>
    <row r="2894" spans="1:14" s="398" customFormat="1" hidden="1" outlineLevel="1">
      <c r="A2894" s="1250"/>
      <c r="B2894" s="303" t="s">
        <v>601</v>
      </c>
      <c r="C2894" s="165" t="s">
        <v>2</v>
      </c>
      <c r="D2894" s="437">
        <v>1</v>
      </c>
      <c r="E2894" s="298">
        <v>1</v>
      </c>
      <c r="F2894" s="1156">
        <f t="shared" si="66"/>
        <v>7.8150000000000004</v>
      </c>
      <c r="G2894" s="1156">
        <v>0.46</v>
      </c>
      <c r="H2894" s="1156">
        <v>0.3</v>
      </c>
      <c r="I2894" s="399">
        <f t="shared" si="65"/>
        <v>1.08</v>
      </c>
      <c r="J2894" s="374"/>
      <c r="K2894" s="1222"/>
      <c r="L2894" s="431"/>
      <c r="M2894" s="431"/>
      <c r="N2894" s="431"/>
    </row>
    <row r="2895" spans="1:14" s="398" customFormat="1" hidden="1" outlineLevel="1">
      <c r="A2895" s="1250"/>
      <c r="B2895" s="305"/>
      <c r="C2895" s="165" t="s">
        <v>2</v>
      </c>
      <c r="D2895" s="437">
        <v>1</v>
      </c>
      <c r="E2895" s="298">
        <v>1</v>
      </c>
      <c r="F2895" s="1156">
        <f t="shared" si="66"/>
        <v>7.7</v>
      </c>
      <c r="G2895" s="1156">
        <v>0.34499999999999997</v>
      </c>
      <c r="H2895" s="1156">
        <v>0.3</v>
      </c>
      <c r="I2895" s="399">
        <f t="shared" si="65"/>
        <v>0.8</v>
      </c>
      <c r="J2895" s="374"/>
      <c r="K2895" s="1222"/>
      <c r="L2895" s="431"/>
      <c r="M2895" s="431"/>
      <c r="N2895" s="431"/>
    </row>
    <row r="2896" spans="1:14" s="398" customFormat="1" hidden="1" outlineLevel="1">
      <c r="A2896" s="1250"/>
      <c r="B2896" s="305"/>
      <c r="C2896" s="165" t="s">
        <v>2</v>
      </c>
      <c r="D2896" s="437">
        <v>1</v>
      </c>
      <c r="E2896" s="298">
        <v>1</v>
      </c>
      <c r="F2896" s="1156">
        <f t="shared" si="66"/>
        <v>7.5850000000000009</v>
      </c>
      <c r="G2896" s="1156">
        <v>0.23</v>
      </c>
      <c r="H2896" s="1156">
        <f>1.2-0.15-0.6-0.06-0.2</f>
        <v>0.19000000000000006</v>
      </c>
      <c r="I2896" s="399">
        <f t="shared" si="65"/>
        <v>0.33</v>
      </c>
      <c r="J2896" s="374"/>
      <c r="K2896" s="1222"/>
      <c r="L2896" s="431"/>
      <c r="M2896" s="431"/>
      <c r="N2896" s="431"/>
    </row>
    <row r="2897" spans="1:14" s="398" customFormat="1" hidden="1" outlineLevel="1">
      <c r="A2897" s="1250"/>
      <c r="B2897" s="305"/>
      <c r="C2897" s="165"/>
      <c r="D2897" s="437"/>
      <c r="E2897" s="298"/>
      <c r="F2897" s="1156"/>
      <c r="G2897" s="1156"/>
      <c r="H2897" s="1156"/>
      <c r="I2897" s="399" t="str">
        <f t="shared" si="65"/>
        <v/>
      </c>
      <c r="J2897" s="374"/>
      <c r="K2897" s="1222"/>
      <c r="L2897" s="431"/>
      <c r="M2897" s="431"/>
      <c r="N2897" s="431"/>
    </row>
    <row r="2898" spans="1:14" s="398" customFormat="1" hidden="1" outlineLevel="1">
      <c r="A2898" s="1250"/>
      <c r="B2898" s="305"/>
      <c r="C2898" s="165" t="s">
        <v>2</v>
      </c>
      <c r="D2898" s="437">
        <v>1</v>
      </c>
      <c r="E2898" s="298">
        <v>1</v>
      </c>
      <c r="F2898" s="1156">
        <f>1.4+G2898</f>
        <v>1.8599999999999999</v>
      </c>
      <c r="G2898" s="1156">
        <v>0.46</v>
      </c>
      <c r="H2898" s="1156">
        <v>0.3</v>
      </c>
      <c r="I2898" s="399">
        <f t="shared" si="65"/>
        <v>0.26</v>
      </c>
      <c r="J2898" s="374"/>
      <c r="K2898" s="1222"/>
      <c r="L2898" s="431"/>
      <c r="M2898" s="431"/>
      <c r="N2898" s="431"/>
    </row>
    <row r="2899" spans="1:14" s="398" customFormat="1" hidden="1" outlineLevel="1">
      <c r="A2899" s="1250"/>
      <c r="B2899" s="305"/>
      <c r="C2899" s="165" t="s">
        <v>2</v>
      </c>
      <c r="D2899" s="437">
        <v>1</v>
      </c>
      <c r="E2899" s="298">
        <v>1</v>
      </c>
      <c r="F2899" s="1156">
        <f>1.4+G2899</f>
        <v>1.7449999999999999</v>
      </c>
      <c r="G2899" s="1156">
        <v>0.34499999999999997</v>
      </c>
      <c r="H2899" s="1156">
        <v>0.3</v>
      </c>
      <c r="I2899" s="399">
        <f t="shared" si="65"/>
        <v>0.18</v>
      </c>
      <c r="J2899" s="374"/>
      <c r="K2899" s="1222"/>
      <c r="L2899" s="431"/>
      <c r="M2899" s="431"/>
      <c r="N2899" s="431"/>
    </row>
    <row r="2900" spans="1:14" s="398" customFormat="1" hidden="1" outlineLevel="1">
      <c r="A2900" s="1250"/>
      <c r="B2900" s="305"/>
      <c r="C2900" s="165" t="s">
        <v>2</v>
      </c>
      <c r="D2900" s="437">
        <v>1</v>
      </c>
      <c r="E2900" s="298">
        <v>1</v>
      </c>
      <c r="F2900" s="1156">
        <f>1.4+G2900</f>
        <v>1.63</v>
      </c>
      <c r="G2900" s="1156">
        <v>0.23</v>
      </c>
      <c r="H2900" s="1156">
        <f>1.2-0.15-0.6-0.06-0.2</f>
        <v>0.19000000000000006</v>
      </c>
      <c r="I2900" s="399">
        <f t="shared" si="65"/>
        <v>7.0000000000000007E-2</v>
      </c>
      <c r="J2900" s="374"/>
      <c r="K2900" s="1222"/>
      <c r="L2900" s="431"/>
      <c r="M2900" s="431"/>
      <c r="N2900" s="431"/>
    </row>
    <row r="2901" spans="1:14" s="398" customFormat="1" hidden="1" outlineLevel="1">
      <c r="A2901" s="1250"/>
      <c r="B2901" s="305"/>
      <c r="C2901" s="165"/>
      <c r="D2901" s="437"/>
      <c r="E2901" s="298"/>
      <c r="F2901" s="1156"/>
      <c r="G2901" s="1156"/>
      <c r="H2901" s="1156"/>
      <c r="I2901" s="399" t="str">
        <f t="shared" si="65"/>
        <v/>
      </c>
      <c r="J2901" s="374"/>
      <c r="K2901" s="1222"/>
      <c r="L2901" s="431"/>
      <c r="M2901" s="431"/>
      <c r="N2901" s="431"/>
    </row>
    <row r="2902" spans="1:14" s="398" customFormat="1" hidden="1" outlineLevel="1">
      <c r="A2902" s="1250"/>
      <c r="B2902" s="305"/>
      <c r="C2902" s="165" t="s">
        <v>2</v>
      </c>
      <c r="D2902" s="437">
        <v>1</v>
      </c>
      <c r="E2902" s="298">
        <v>1</v>
      </c>
      <c r="F2902" s="1156">
        <f t="shared" ref="F2902:F2907" si="67">5.955+G2902</f>
        <v>6.415</v>
      </c>
      <c r="G2902" s="1156">
        <v>0.46</v>
      </c>
      <c r="H2902" s="1156">
        <v>0.3</v>
      </c>
      <c r="I2902" s="399">
        <f t="shared" si="65"/>
        <v>0.89</v>
      </c>
      <c r="J2902" s="374"/>
      <c r="K2902" s="1222"/>
      <c r="L2902" s="431"/>
      <c r="M2902" s="431"/>
      <c r="N2902" s="431"/>
    </row>
    <row r="2903" spans="1:14" s="398" customFormat="1" hidden="1" outlineLevel="1">
      <c r="A2903" s="1250"/>
      <c r="B2903" s="305"/>
      <c r="C2903" s="165" t="s">
        <v>2</v>
      </c>
      <c r="D2903" s="437">
        <v>1</v>
      </c>
      <c r="E2903" s="298">
        <v>1</v>
      </c>
      <c r="F2903" s="1156">
        <f t="shared" si="67"/>
        <v>6.3</v>
      </c>
      <c r="G2903" s="1156">
        <v>0.34499999999999997</v>
      </c>
      <c r="H2903" s="1156">
        <v>0.3</v>
      </c>
      <c r="I2903" s="399">
        <f t="shared" si="65"/>
        <v>0.65</v>
      </c>
      <c r="J2903" s="374"/>
      <c r="K2903" s="1222"/>
      <c r="L2903" s="431"/>
      <c r="M2903" s="431"/>
      <c r="N2903" s="431"/>
    </row>
    <row r="2904" spans="1:14" s="398" customFormat="1" hidden="1" outlineLevel="1">
      <c r="A2904" s="1250"/>
      <c r="B2904" s="305"/>
      <c r="C2904" s="165" t="s">
        <v>2</v>
      </c>
      <c r="D2904" s="437">
        <v>1</v>
      </c>
      <c r="E2904" s="298">
        <v>1</v>
      </c>
      <c r="F2904" s="1156">
        <f t="shared" si="67"/>
        <v>6.1850000000000005</v>
      </c>
      <c r="G2904" s="1156">
        <v>0.23</v>
      </c>
      <c r="H2904" s="1156">
        <f>1.2-0.15-0.6-0.06-0.2</f>
        <v>0.19000000000000006</v>
      </c>
      <c r="I2904" s="399">
        <f t="shared" ref="I2904:I2967" si="68">IF(D2904&lt;&gt;0,ROUND(PRODUCT(E2904:H2904)*D2904,2),"")</f>
        <v>0.27</v>
      </c>
      <c r="J2904" s="374"/>
      <c r="K2904" s="1222"/>
      <c r="L2904" s="431"/>
      <c r="M2904" s="431"/>
      <c r="N2904" s="431"/>
    </row>
    <row r="2905" spans="1:14" s="398" customFormat="1" hidden="1" outlineLevel="1">
      <c r="A2905" s="1250"/>
      <c r="B2905" s="303" t="s">
        <v>602</v>
      </c>
      <c r="C2905" s="165" t="s">
        <v>2</v>
      </c>
      <c r="D2905" s="437">
        <v>1</v>
      </c>
      <c r="E2905" s="298">
        <v>1</v>
      </c>
      <c r="F2905" s="1156">
        <f t="shared" si="67"/>
        <v>6.415</v>
      </c>
      <c r="G2905" s="1156">
        <v>0.46</v>
      </c>
      <c r="H2905" s="1156">
        <v>0.3</v>
      </c>
      <c r="I2905" s="399">
        <f t="shared" si="68"/>
        <v>0.89</v>
      </c>
      <c r="J2905" s="374"/>
      <c r="K2905" s="1222"/>
      <c r="L2905" s="431"/>
      <c r="M2905" s="431"/>
      <c r="N2905" s="431"/>
    </row>
    <row r="2906" spans="1:14" s="398" customFormat="1" hidden="1" outlineLevel="1">
      <c r="A2906" s="1250"/>
      <c r="B2906" s="305"/>
      <c r="C2906" s="165" t="s">
        <v>2</v>
      </c>
      <c r="D2906" s="437">
        <v>1</v>
      </c>
      <c r="E2906" s="298">
        <v>1</v>
      </c>
      <c r="F2906" s="1156">
        <f t="shared" si="67"/>
        <v>6.3</v>
      </c>
      <c r="G2906" s="1156">
        <v>0.34499999999999997</v>
      </c>
      <c r="H2906" s="1156">
        <v>0.3</v>
      </c>
      <c r="I2906" s="399">
        <f t="shared" si="68"/>
        <v>0.65</v>
      </c>
      <c r="J2906" s="374"/>
      <c r="K2906" s="1222"/>
      <c r="L2906" s="431"/>
      <c r="M2906" s="431"/>
      <c r="N2906" s="431"/>
    </row>
    <row r="2907" spans="1:14" s="398" customFormat="1" hidden="1" outlineLevel="1">
      <c r="A2907" s="1250"/>
      <c r="B2907" s="305"/>
      <c r="C2907" s="165" t="s">
        <v>2</v>
      </c>
      <c r="D2907" s="437">
        <v>1</v>
      </c>
      <c r="E2907" s="298">
        <v>1</v>
      </c>
      <c r="F2907" s="1156">
        <f t="shared" si="67"/>
        <v>6.1850000000000005</v>
      </c>
      <c r="G2907" s="1156">
        <v>0.23</v>
      </c>
      <c r="H2907" s="1156">
        <f>1.2-0.15-0.6-0.06-0.2</f>
        <v>0.19000000000000006</v>
      </c>
      <c r="I2907" s="399">
        <f t="shared" si="68"/>
        <v>0.27</v>
      </c>
      <c r="J2907" s="374"/>
      <c r="K2907" s="1222"/>
      <c r="L2907" s="431"/>
      <c r="M2907" s="431"/>
      <c r="N2907" s="431"/>
    </row>
    <row r="2908" spans="1:14" s="398" customFormat="1" hidden="1" outlineLevel="1">
      <c r="A2908" s="1250"/>
      <c r="B2908" s="305"/>
      <c r="C2908" s="165"/>
      <c r="D2908" s="437"/>
      <c r="E2908" s="298"/>
      <c r="F2908" s="1156"/>
      <c r="G2908" s="1156"/>
      <c r="H2908" s="1156"/>
      <c r="I2908" s="399" t="str">
        <f t="shared" si="68"/>
        <v/>
      </c>
      <c r="J2908" s="374"/>
      <c r="K2908" s="1222"/>
      <c r="L2908" s="431"/>
      <c r="M2908" s="431"/>
      <c r="N2908" s="431"/>
    </row>
    <row r="2909" spans="1:14" s="398" customFormat="1" hidden="1" outlineLevel="1">
      <c r="A2909" s="1250"/>
      <c r="B2909" s="305"/>
      <c r="C2909" s="165" t="s">
        <v>2</v>
      </c>
      <c r="D2909" s="437">
        <v>1</v>
      </c>
      <c r="E2909" s="298">
        <v>1</v>
      </c>
      <c r="F2909" s="1156">
        <f>1.53+G2909</f>
        <v>1.99</v>
      </c>
      <c r="G2909" s="1156">
        <v>0.46</v>
      </c>
      <c r="H2909" s="1156">
        <v>0.3</v>
      </c>
      <c r="I2909" s="399">
        <f t="shared" si="68"/>
        <v>0.27</v>
      </c>
      <c r="J2909" s="374"/>
      <c r="K2909" s="1222"/>
      <c r="L2909" s="431"/>
      <c r="M2909" s="431"/>
      <c r="N2909" s="431"/>
    </row>
    <row r="2910" spans="1:14" s="398" customFormat="1" hidden="1" outlineLevel="1">
      <c r="A2910" s="1250"/>
      <c r="B2910" s="305"/>
      <c r="C2910" s="165" t="s">
        <v>2</v>
      </c>
      <c r="D2910" s="437">
        <v>1</v>
      </c>
      <c r="E2910" s="298">
        <v>1</v>
      </c>
      <c r="F2910" s="1156">
        <f>1.53+G2910</f>
        <v>1.875</v>
      </c>
      <c r="G2910" s="1156">
        <v>0.34499999999999997</v>
      </c>
      <c r="H2910" s="1156">
        <v>0.3</v>
      </c>
      <c r="I2910" s="399">
        <f t="shared" si="68"/>
        <v>0.19</v>
      </c>
      <c r="J2910" s="374"/>
      <c r="K2910" s="1222"/>
      <c r="L2910" s="431"/>
      <c r="M2910" s="431"/>
      <c r="N2910" s="431"/>
    </row>
    <row r="2911" spans="1:14" s="398" customFormat="1" hidden="1" outlineLevel="1">
      <c r="A2911" s="1250"/>
      <c r="B2911" s="305"/>
      <c r="C2911" s="165" t="s">
        <v>2</v>
      </c>
      <c r="D2911" s="437">
        <v>1</v>
      </c>
      <c r="E2911" s="298">
        <v>1</v>
      </c>
      <c r="F2911" s="1156">
        <f>1.53+G2911</f>
        <v>1.76</v>
      </c>
      <c r="G2911" s="1156">
        <v>0.23</v>
      </c>
      <c r="H2911" s="1156">
        <f>1.2-0.15-0.6-0.06-0.2</f>
        <v>0.19000000000000006</v>
      </c>
      <c r="I2911" s="399">
        <f t="shared" si="68"/>
        <v>0.08</v>
      </c>
      <c r="J2911" s="374"/>
      <c r="K2911" s="1222"/>
      <c r="L2911" s="431"/>
      <c r="M2911" s="431"/>
      <c r="N2911" s="431"/>
    </row>
    <row r="2912" spans="1:14" s="398" customFormat="1" hidden="1" outlineLevel="1">
      <c r="A2912" s="1250"/>
      <c r="B2912" s="305"/>
      <c r="C2912" s="165"/>
      <c r="D2912" s="437"/>
      <c r="E2912" s="298"/>
      <c r="F2912" s="1156"/>
      <c r="G2912" s="1156"/>
      <c r="H2912" s="1156"/>
      <c r="I2912" s="399" t="str">
        <f t="shared" si="68"/>
        <v/>
      </c>
      <c r="J2912" s="374"/>
      <c r="K2912" s="1222"/>
      <c r="L2912" s="431"/>
      <c r="M2912" s="431"/>
      <c r="N2912" s="431"/>
    </row>
    <row r="2913" spans="1:14" s="398" customFormat="1" hidden="1" outlineLevel="1">
      <c r="A2913" s="1250"/>
      <c r="B2913" s="305"/>
      <c r="C2913" s="165" t="s">
        <v>2</v>
      </c>
      <c r="D2913" s="437">
        <v>1</v>
      </c>
      <c r="E2913" s="298">
        <v>1</v>
      </c>
      <c r="F2913" s="1156">
        <f t="shared" ref="F2913:F2918" si="69">4.425+G2913</f>
        <v>4.8849999999999998</v>
      </c>
      <c r="G2913" s="1156">
        <v>0.46</v>
      </c>
      <c r="H2913" s="1156">
        <v>0.3</v>
      </c>
      <c r="I2913" s="399">
        <f t="shared" si="68"/>
        <v>0.67</v>
      </c>
      <c r="J2913" s="374"/>
      <c r="K2913" s="1222"/>
      <c r="L2913" s="431"/>
      <c r="M2913" s="431"/>
      <c r="N2913" s="431"/>
    </row>
    <row r="2914" spans="1:14" s="398" customFormat="1" hidden="1" outlineLevel="1">
      <c r="A2914" s="1250"/>
      <c r="B2914" s="305"/>
      <c r="C2914" s="165" t="s">
        <v>2</v>
      </c>
      <c r="D2914" s="437">
        <v>1</v>
      </c>
      <c r="E2914" s="298">
        <v>1</v>
      </c>
      <c r="F2914" s="1156">
        <f t="shared" si="69"/>
        <v>4.7699999999999996</v>
      </c>
      <c r="G2914" s="1156">
        <v>0.34499999999999997</v>
      </c>
      <c r="H2914" s="1156">
        <v>0.3</v>
      </c>
      <c r="I2914" s="399">
        <f t="shared" si="68"/>
        <v>0.49</v>
      </c>
      <c r="J2914" s="374"/>
      <c r="K2914" s="1222"/>
      <c r="L2914" s="431"/>
      <c r="M2914" s="431"/>
      <c r="N2914" s="431"/>
    </row>
    <row r="2915" spans="1:14" s="398" customFormat="1" hidden="1" outlineLevel="1">
      <c r="A2915" s="1250"/>
      <c r="B2915" s="305"/>
      <c r="C2915" s="165" t="s">
        <v>2</v>
      </c>
      <c r="D2915" s="437">
        <v>1</v>
      </c>
      <c r="E2915" s="298">
        <v>1</v>
      </c>
      <c r="F2915" s="1156">
        <f t="shared" si="69"/>
        <v>4.6550000000000002</v>
      </c>
      <c r="G2915" s="1156">
        <v>0.23</v>
      </c>
      <c r="H2915" s="1156">
        <f>1.2-0.15-0.6-0.06-0.2</f>
        <v>0.19000000000000006</v>
      </c>
      <c r="I2915" s="399">
        <f t="shared" si="68"/>
        <v>0.2</v>
      </c>
      <c r="J2915" s="374"/>
      <c r="K2915" s="1222"/>
      <c r="L2915" s="431"/>
      <c r="M2915" s="431"/>
      <c r="N2915" s="431"/>
    </row>
    <row r="2916" spans="1:14" s="398" customFormat="1" hidden="1" outlineLevel="1">
      <c r="A2916" s="1250"/>
      <c r="B2916" s="303" t="s">
        <v>603</v>
      </c>
      <c r="C2916" s="165" t="s">
        <v>2</v>
      </c>
      <c r="D2916" s="437">
        <v>1</v>
      </c>
      <c r="E2916" s="298">
        <v>1</v>
      </c>
      <c r="F2916" s="1156">
        <f t="shared" si="69"/>
        <v>4.8849999999999998</v>
      </c>
      <c r="G2916" s="1156">
        <v>0.46</v>
      </c>
      <c r="H2916" s="1156">
        <v>0.3</v>
      </c>
      <c r="I2916" s="399">
        <f t="shared" si="68"/>
        <v>0.67</v>
      </c>
      <c r="J2916" s="374"/>
      <c r="K2916" s="1222"/>
      <c r="L2916" s="431"/>
      <c r="M2916" s="431"/>
      <c r="N2916" s="431"/>
    </row>
    <row r="2917" spans="1:14" s="398" customFormat="1" hidden="1" outlineLevel="1">
      <c r="A2917" s="1250"/>
      <c r="B2917" s="305"/>
      <c r="C2917" s="165" t="s">
        <v>2</v>
      </c>
      <c r="D2917" s="437">
        <v>1</v>
      </c>
      <c r="E2917" s="298">
        <v>1</v>
      </c>
      <c r="F2917" s="1156">
        <f t="shared" si="69"/>
        <v>4.7699999999999996</v>
      </c>
      <c r="G2917" s="1156">
        <v>0.34499999999999997</v>
      </c>
      <c r="H2917" s="1156">
        <v>0.3</v>
      </c>
      <c r="I2917" s="399">
        <f t="shared" si="68"/>
        <v>0.49</v>
      </c>
      <c r="J2917" s="374"/>
      <c r="K2917" s="1222"/>
      <c r="L2917" s="431"/>
      <c r="M2917" s="431"/>
      <c r="N2917" s="431"/>
    </row>
    <row r="2918" spans="1:14" s="398" customFormat="1" hidden="1" outlineLevel="1">
      <c r="A2918" s="1250"/>
      <c r="B2918" s="305"/>
      <c r="C2918" s="165" t="s">
        <v>2</v>
      </c>
      <c r="D2918" s="437">
        <v>1</v>
      </c>
      <c r="E2918" s="298">
        <v>1</v>
      </c>
      <c r="F2918" s="1156">
        <f t="shared" si="69"/>
        <v>4.6550000000000002</v>
      </c>
      <c r="G2918" s="1156">
        <v>0.23</v>
      </c>
      <c r="H2918" s="1156">
        <f>1.2-0.15-0.6-0.06-0.2</f>
        <v>0.19000000000000006</v>
      </c>
      <c r="I2918" s="399">
        <f t="shared" si="68"/>
        <v>0.2</v>
      </c>
      <c r="J2918" s="374"/>
      <c r="K2918" s="1222"/>
      <c r="L2918" s="431"/>
      <c r="M2918" s="431"/>
      <c r="N2918" s="431"/>
    </row>
    <row r="2919" spans="1:14" s="398" customFormat="1" hidden="1" outlineLevel="1">
      <c r="A2919" s="1250"/>
      <c r="B2919" s="305"/>
      <c r="C2919" s="165"/>
      <c r="D2919" s="437"/>
      <c r="E2919" s="298"/>
      <c r="F2919" s="1156"/>
      <c r="G2919" s="1156"/>
      <c r="H2919" s="1156"/>
      <c r="I2919" s="399" t="str">
        <f t="shared" si="68"/>
        <v/>
      </c>
      <c r="J2919" s="374"/>
      <c r="K2919" s="1222"/>
      <c r="L2919" s="431"/>
      <c r="M2919" s="431"/>
      <c r="N2919" s="431"/>
    </row>
    <row r="2920" spans="1:14" s="398" customFormat="1" hidden="1" outlineLevel="1">
      <c r="A2920" s="1250"/>
      <c r="B2920" s="305"/>
      <c r="C2920" s="165" t="s">
        <v>2</v>
      </c>
      <c r="D2920" s="437">
        <v>1</v>
      </c>
      <c r="E2920" s="298">
        <v>1</v>
      </c>
      <c r="F2920" s="1156">
        <f>1.53+G2920</f>
        <v>1.99</v>
      </c>
      <c r="G2920" s="1156">
        <v>0.46</v>
      </c>
      <c r="H2920" s="1156">
        <v>0.3</v>
      </c>
      <c r="I2920" s="399">
        <f t="shared" si="68"/>
        <v>0.27</v>
      </c>
      <c r="J2920" s="374"/>
      <c r="K2920" s="1222"/>
      <c r="L2920" s="431"/>
      <c r="M2920" s="431"/>
      <c r="N2920" s="431"/>
    </row>
    <row r="2921" spans="1:14" s="398" customFormat="1" hidden="1" outlineLevel="1">
      <c r="A2921" s="1250"/>
      <c r="B2921" s="305"/>
      <c r="C2921" s="165" t="s">
        <v>2</v>
      </c>
      <c r="D2921" s="437">
        <v>1</v>
      </c>
      <c r="E2921" s="298">
        <v>1</v>
      </c>
      <c r="F2921" s="1156">
        <f>1.53+G2921</f>
        <v>1.875</v>
      </c>
      <c r="G2921" s="1156">
        <v>0.34499999999999997</v>
      </c>
      <c r="H2921" s="1156">
        <v>0.3</v>
      </c>
      <c r="I2921" s="399">
        <f t="shared" si="68"/>
        <v>0.19</v>
      </c>
      <c r="J2921" s="374"/>
      <c r="K2921" s="1222"/>
      <c r="L2921" s="431"/>
      <c r="M2921" s="431"/>
      <c r="N2921" s="431"/>
    </row>
    <row r="2922" spans="1:14" s="398" customFormat="1" hidden="1" outlineLevel="1">
      <c r="A2922" s="1250"/>
      <c r="B2922" s="305"/>
      <c r="C2922" s="165" t="s">
        <v>2</v>
      </c>
      <c r="D2922" s="437">
        <v>1</v>
      </c>
      <c r="E2922" s="298">
        <v>1</v>
      </c>
      <c r="F2922" s="1156">
        <f>1.53+G2922</f>
        <v>1.76</v>
      </c>
      <c r="G2922" s="1156">
        <v>0.23</v>
      </c>
      <c r="H2922" s="1156">
        <f>1.2-0.15-0.6-0.06-0.2</f>
        <v>0.19000000000000006</v>
      </c>
      <c r="I2922" s="399">
        <f t="shared" si="68"/>
        <v>0.08</v>
      </c>
      <c r="J2922" s="374"/>
      <c r="K2922" s="1222"/>
      <c r="L2922" s="431"/>
      <c r="M2922" s="431"/>
      <c r="N2922" s="431"/>
    </row>
    <row r="2923" spans="1:14" s="398" customFormat="1" hidden="1" outlineLevel="1">
      <c r="A2923" s="1250"/>
      <c r="B2923" s="305"/>
      <c r="C2923" s="165"/>
      <c r="D2923" s="437"/>
      <c r="E2923" s="298"/>
      <c r="F2923" s="1156"/>
      <c r="G2923" s="1156"/>
      <c r="H2923" s="1156"/>
      <c r="I2923" s="399" t="str">
        <f t="shared" si="68"/>
        <v/>
      </c>
      <c r="J2923" s="374"/>
      <c r="K2923" s="1222"/>
      <c r="L2923" s="431"/>
      <c r="M2923" s="431"/>
      <c r="N2923" s="431"/>
    </row>
    <row r="2924" spans="1:14" s="398" customFormat="1" hidden="1" outlineLevel="1">
      <c r="A2924" s="1250"/>
      <c r="B2924" s="305"/>
      <c r="C2924" s="165" t="s">
        <v>2</v>
      </c>
      <c r="D2924" s="437">
        <v>1</v>
      </c>
      <c r="E2924" s="298">
        <v>1</v>
      </c>
      <c r="F2924" s="1156">
        <f>2.89+G2924</f>
        <v>3.35</v>
      </c>
      <c r="G2924" s="1156">
        <v>0.46</v>
      </c>
      <c r="H2924" s="1156">
        <v>0.3</v>
      </c>
      <c r="I2924" s="399">
        <f t="shared" si="68"/>
        <v>0.46</v>
      </c>
      <c r="J2924" s="374"/>
      <c r="K2924" s="1222"/>
      <c r="L2924" s="431"/>
      <c r="M2924" s="431"/>
      <c r="N2924" s="431"/>
    </row>
    <row r="2925" spans="1:14" s="398" customFormat="1" hidden="1" outlineLevel="1">
      <c r="A2925" s="1250"/>
      <c r="B2925" s="305"/>
      <c r="C2925" s="165" t="s">
        <v>2</v>
      </c>
      <c r="D2925" s="437">
        <v>1</v>
      </c>
      <c r="E2925" s="298">
        <v>1</v>
      </c>
      <c r="F2925" s="1156">
        <f t="shared" ref="F2925:F2926" si="70">2.89+G2925</f>
        <v>3.2350000000000003</v>
      </c>
      <c r="G2925" s="1156">
        <v>0.34499999999999997</v>
      </c>
      <c r="H2925" s="1156">
        <v>0.3</v>
      </c>
      <c r="I2925" s="399">
        <f t="shared" si="68"/>
        <v>0.33</v>
      </c>
      <c r="J2925" s="374"/>
      <c r="K2925" s="1222"/>
      <c r="L2925" s="431"/>
      <c r="M2925" s="431"/>
      <c r="N2925" s="431"/>
    </row>
    <row r="2926" spans="1:14" s="398" customFormat="1" hidden="1" outlineLevel="1">
      <c r="A2926" s="1250"/>
      <c r="B2926" s="305"/>
      <c r="C2926" s="165" t="s">
        <v>2</v>
      </c>
      <c r="D2926" s="437">
        <v>1</v>
      </c>
      <c r="E2926" s="298">
        <v>1</v>
      </c>
      <c r="F2926" s="1156">
        <f t="shared" si="70"/>
        <v>3.12</v>
      </c>
      <c r="G2926" s="1156">
        <v>0.23</v>
      </c>
      <c r="H2926" s="1156">
        <f>1.2-0.15-0.6-0.06-0.2</f>
        <v>0.19000000000000006</v>
      </c>
      <c r="I2926" s="399">
        <f t="shared" si="68"/>
        <v>0.14000000000000001</v>
      </c>
      <c r="J2926" s="374"/>
      <c r="K2926" s="1222"/>
      <c r="L2926" s="431"/>
      <c r="M2926" s="431"/>
      <c r="N2926" s="431"/>
    </row>
    <row r="2927" spans="1:14" s="398" customFormat="1" hidden="1" outlineLevel="1">
      <c r="A2927" s="1250"/>
      <c r="B2927" s="303" t="s">
        <v>603</v>
      </c>
      <c r="C2927" s="165" t="s">
        <v>2</v>
      </c>
      <c r="D2927" s="437">
        <v>1</v>
      </c>
      <c r="E2927" s="298">
        <v>1</v>
      </c>
      <c r="F2927" s="1156">
        <f>2.89+G2927</f>
        <v>3.35</v>
      </c>
      <c r="G2927" s="1156">
        <v>0.46</v>
      </c>
      <c r="H2927" s="1156">
        <v>0.3</v>
      </c>
      <c r="I2927" s="399">
        <f t="shared" si="68"/>
        <v>0.46</v>
      </c>
      <c r="J2927" s="374"/>
      <c r="K2927" s="1222"/>
      <c r="L2927" s="431"/>
      <c r="M2927" s="431"/>
      <c r="N2927" s="431"/>
    </row>
    <row r="2928" spans="1:14" s="398" customFormat="1" hidden="1" outlineLevel="1">
      <c r="A2928" s="1250"/>
      <c r="B2928" s="305"/>
      <c r="C2928" s="165" t="s">
        <v>2</v>
      </c>
      <c r="D2928" s="437">
        <v>1</v>
      </c>
      <c r="E2928" s="298">
        <v>1</v>
      </c>
      <c r="F2928" s="1156">
        <f t="shared" ref="F2928:F2929" si="71">2.89+G2928</f>
        <v>3.2350000000000003</v>
      </c>
      <c r="G2928" s="1156">
        <v>0.34499999999999997</v>
      </c>
      <c r="H2928" s="1156">
        <v>0.3</v>
      </c>
      <c r="I2928" s="399">
        <f t="shared" si="68"/>
        <v>0.33</v>
      </c>
      <c r="J2928" s="374"/>
      <c r="K2928" s="1222"/>
      <c r="L2928" s="431"/>
      <c r="M2928" s="431"/>
      <c r="N2928" s="431"/>
    </row>
    <row r="2929" spans="1:14" s="398" customFormat="1" hidden="1" outlineLevel="1">
      <c r="A2929" s="1250"/>
      <c r="B2929" s="305"/>
      <c r="C2929" s="165" t="s">
        <v>2</v>
      </c>
      <c r="D2929" s="437">
        <v>1</v>
      </c>
      <c r="E2929" s="298">
        <v>1</v>
      </c>
      <c r="F2929" s="1156">
        <f t="shared" si="71"/>
        <v>3.12</v>
      </c>
      <c r="G2929" s="1156">
        <v>0.23</v>
      </c>
      <c r="H2929" s="1156">
        <f>1.2-0.15-0.6-0.06-0.2</f>
        <v>0.19000000000000006</v>
      </c>
      <c r="I2929" s="399">
        <f t="shared" si="68"/>
        <v>0.14000000000000001</v>
      </c>
      <c r="J2929" s="374"/>
      <c r="K2929" s="1222"/>
      <c r="L2929" s="431"/>
      <c r="M2929" s="431"/>
      <c r="N2929" s="431"/>
    </row>
    <row r="2930" spans="1:14" s="398" customFormat="1" hidden="1" outlineLevel="1">
      <c r="A2930" s="1250"/>
      <c r="B2930" s="305"/>
      <c r="C2930" s="165"/>
      <c r="D2930" s="437"/>
      <c r="E2930" s="298"/>
      <c r="F2930" s="1156"/>
      <c r="G2930" s="1156"/>
      <c r="H2930" s="1156"/>
      <c r="I2930" s="399" t="str">
        <f t="shared" si="68"/>
        <v/>
      </c>
      <c r="J2930" s="374"/>
      <c r="K2930" s="1222"/>
      <c r="L2930" s="431"/>
      <c r="M2930" s="431"/>
      <c r="N2930" s="431"/>
    </row>
    <row r="2931" spans="1:14" s="398" customFormat="1" hidden="1" outlineLevel="1">
      <c r="A2931" s="1250"/>
      <c r="B2931" s="305"/>
      <c r="C2931" s="165" t="s">
        <v>2</v>
      </c>
      <c r="D2931" s="437">
        <v>1</v>
      </c>
      <c r="E2931" s="298">
        <v>1</v>
      </c>
      <c r="F2931" s="1156">
        <f>4.89+G2931</f>
        <v>5.35</v>
      </c>
      <c r="G2931" s="1156">
        <v>0.46</v>
      </c>
      <c r="H2931" s="1156">
        <v>0.3</v>
      </c>
      <c r="I2931" s="399">
        <f t="shared" si="68"/>
        <v>0.74</v>
      </c>
      <c r="J2931" s="374"/>
      <c r="K2931" s="1222"/>
      <c r="L2931" s="431"/>
      <c r="M2931" s="431"/>
      <c r="N2931" s="431"/>
    </row>
    <row r="2932" spans="1:14" s="398" customFormat="1" hidden="1" outlineLevel="1">
      <c r="A2932" s="1250"/>
      <c r="B2932" s="305"/>
      <c r="C2932" s="165" t="s">
        <v>2</v>
      </c>
      <c r="D2932" s="437">
        <v>1</v>
      </c>
      <c r="E2932" s="298">
        <v>1</v>
      </c>
      <c r="F2932" s="1156">
        <f t="shared" ref="F2932:F2933" si="72">4.89+G2932</f>
        <v>5.2349999999999994</v>
      </c>
      <c r="G2932" s="1156">
        <v>0.34499999999999997</v>
      </c>
      <c r="H2932" s="1156">
        <v>0.3</v>
      </c>
      <c r="I2932" s="399">
        <f t="shared" si="68"/>
        <v>0.54</v>
      </c>
      <c r="J2932" s="374"/>
      <c r="K2932" s="1222"/>
      <c r="L2932" s="431"/>
      <c r="M2932" s="431"/>
      <c r="N2932" s="431"/>
    </row>
    <row r="2933" spans="1:14" s="398" customFormat="1" hidden="1" outlineLevel="1">
      <c r="A2933" s="1250"/>
      <c r="B2933" s="305"/>
      <c r="C2933" s="165" t="s">
        <v>2</v>
      </c>
      <c r="D2933" s="437">
        <v>1</v>
      </c>
      <c r="E2933" s="298">
        <v>1</v>
      </c>
      <c r="F2933" s="1156">
        <f t="shared" si="72"/>
        <v>5.12</v>
      </c>
      <c r="G2933" s="1156">
        <v>0.23</v>
      </c>
      <c r="H2933" s="1156">
        <f>1.2-0.15-0.6-0.06-0.2</f>
        <v>0.19000000000000006</v>
      </c>
      <c r="I2933" s="399">
        <f t="shared" si="68"/>
        <v>0.22</v>
      </c>
      <c r="J2933" s="374"/>
      <c r="K2933" s="1222"/>
      <c r="L2933" s="431"/>
      <c r="M2933" s="431"/>
      <c r="N2933" s="431"/>
    </row>
    <row r="2934" spans="1:14" s="398" customFormat="1" hidden="1" outlineLevel="1">
      <c r="A2934" s="1250"/>
      <c r="B2934" s="599" t="s">
        <v>604</v>
      </c>
      <c r="C2934" s="165" t="s">
        <v>2</v>
      </c>
      <c r="D2934" s="437">
        <v>1</v>
      </c>
      <c r="E2934" s="298">
        <v>6</v>
      </c>
      <c r="F2934" s="1156">
        <v>0.61499999999999999</v>
      </c>
      <c r="G2934" s="1156">
        <v>0.46</v>
      </c>
      <c r="H2934" s="1156">
        <v>0.3</v>
      </c>
      <c r="I2934" s="399">
        <f t="shared" si="68"/>
        <v>0.51</v>
      </c>
      <c r="J2934" s="374"/>
      <c r="K2934" s="1222"/>
      <c r="L2934" s="431"/>
      <c r="M2934" s="431"/>
      <c r="N2934" s="431"/>
    </row>
    <row r="2935" spans="1:14" s="398" customFormat="1" hidden="1" outlineLevel="1">
      <c r="A2935" s="1250"/>
      <c r="B2935" s="305"/>
      <c r="C2935" s="165" t="s">
        <v>2</v>
      </c>
      <c r="D2935" s="437">
        <v>1</v>
      </c>
      <c r="E2935" s="298">
        <v>6</v>
      </c>
      <c r="F2935" s="1156">
        <v>0.61499999999999999</v>
      </c>
      <c r="G2935" s="1156">
        <v>0.34499999999999997</v>
      </c>
      <c r="H2935" s="1156">
        <v>0.3</v>
      </c>
      <c r="I2935" s="399">
        <f t="shared" si="68"/>
        <v>0.38</v>
      </c>
      <c r="J2935" s="374"/>
      <c r="K2935" s="1222"/>
      <c r="L2935" s="431"/>
      <c r="M2935" s="431"/>
      <c r="N2935" s="431"/>
    </row>
    <row r="2936" spans="1:14" s="398" customFormat="1" hidden="1" outlineLevel="1">
      <c r="A2936" s="1250"/>
      <c r="B2936" s="305"/>
      <c r="C2936" s="165" t="s">
        <v>2</v>
      </c>
      <c r="D2936" s="437">
        <v>1</v>
      </c>
      <c r="E2936" s="298">
        <v>6</v>
      </c>
      <c r="F2936" s="1156">
        <v>0.61499999999999999</v>
      </c>
      <c r="G2936" s="1156">
        <v>0.23</v>
      </c>
      <c r="H2936" s="1156">
        <f>1.2-0.15-0.6-0.06-0.2</f>
        <v>0.19000000000000006</v>
      </c>
      <c r="I2936" s="399">
        <f t="shared" si="68"/>
        <v>0.16</v>
      </c>
      <c r="J2936" s="374"/>
      <c r="K2936" s="1222"/>
      <c r="L2936" s="431"/>
      <c r="M2936" s="431"/>
      <c r="N2936" s="431"/>
    </row>
    <row r="2937" spans="1:14" s="398" customFormat="1" hidden="1" outlineLevel="1">
      <c r="A2937" s="1250"/>
      <c r="B2937" s="305"/>
      <c r="C2937" s="165"/>
      <c r="D2937" s="437"/>
      <c r="E2937" s="298"/>
      <c r="F2937" s="1156"/>
      <c r="G2937" s="1156"/>
      <c r="H2937" s="1156"/>
      <c r="I2937" s="399" t="str">
        <f t="shared" si="68"/>
        <v/>
      </c>
      <c r="J2937" s="374"/>
      <c r="K2937" s="1222"/>
      <c r="L2937" s="431"/>
      <c r="M2937" s="431"/>
      <c r="N2937" s="431"/>
    </row>
    <row r="2938" spans="1:14" s="398" customFormat="1" hidden="1" outlineLevel="1">
      <c r="A2938" s="1250"/>
      <c r="B2938" s="305"/>
      <c r="C2938" s="165" t="s">
        <v>2</v>
      </c>
      <c r="D2938" s="437">
        <v>1</v>
      </c>
      <c r="E2938" s="298">
        <v>3</v>
      </c>
      <c r="F2938" s="1156">
        <f>2.745-G2938</f>
        <v>2.2850000000000001</v>
      </c>
      <c r="G2938" s="1156">
        <v>0.46</v>
      </c>
      <c r="H2938" s="1156">
        <v>0.3</v>
      </c>
      <c r="I2938" s="399">
        <f t="shared" si="68"/>
        <v>0.95</v>
      </c>
      <c r="J2938" s="374"/>
      <c r="K2938" s="1222"/>
      <c r="L2938" s="431"/>
      <c r="M2938" s="431"/>
      <c r="N2938" s="431"/>
    </row>
    <row r="2939" spans="1:14" s="398" customFormat="1" hidden="1" outlineLevel="1">
      <c r="A2939" s="1250"/>
      <c r="B2939" s="305"/>
      <c r="C2939" s="165" t="s">
        <v>2</v>
      </c>
      <c r="D2939" s="437">
        <v>1</v>
      </c>
      <c r="E2939" s="298">
        <v>3</v>
      </c>
      <c r="F2939" s="1156">
        <f t="shared" ref="F2939:F2940" si="73">2.745-G2939</f>
        <v>2.4000000000000004</v>
      </c>
      <c r="G2939" s="1156">
        <v>0.34499999999999997</v>
      </c>
      <c r="H2939" s="1156">
        <v>0.3</v>
      </c>
      <c r="I2939" s="399">
        <f t="shared" si="68"/>
        <v>0.75</v>
      </c>
      <c r="J2939" s="374"/>
      <c r="K2939" s="1222"/>
      <c r="L2939" s="431"/>
      <c r="M2939" s="431"/>
      <c r="N2939" s="431"/>
    </row>
    <row r="2940" spans="1:14" s="398" customFormat="1" hidden="1" outlineLevel="1">
      <c r="A2940" s="1250"/>
      <c r="B2940" s="305"/>
      <c r="C2940" s="165" t="s">
        <v>2</v>
      </c>
      <c r="D2940" s="437">
        <v>1</v>
      </c>
      <c r="E2940" s="298">
        <v>3</v>
      </c>
      <c r="F2940" s="1156">
        <f t="shared" si="73"/>
        <v>2.5150000000000001</v>
      </c>
      <c r="G2940" s="1156">
        <v>0.23</v>
      </c>
      <c r="H2940" s="1156">
        <f>1.2-0.15-0.6-0.06-0.2</f>
        <v>0.19000000000000006</v>
      </c>
      <c r="I2940" s="399">
        <f t="shared" si="68"/>
        <v>0.33</v>
      </c>
      <c r="J2940" s="374"/>
      <c r="K2940" s="1222"/>
      <c r="L2940" s="431"/>
      <c r="M2940" s="431"/>
      <c r="N2940" s="431"/>
    </row>
    <row r="2941" spans="1:14" s="398" customFormat="1" hidden="1" outlineLevel="1">
      <c r="A2941" s="1250"/>
      <c r="B2941" s="305"/>
      <c r="C2941" s="165"/>
      <c r="D2941" s="437"/>
      <c r="E2941" s="298"/>
      <c r="F2941" s="1156"/>
      <c r="G2941" s="1156"/>
      <c r="H2941" s="1156"/>
      <c r="I2941" s="399" t="str">
        <f t="shared" si="68"/>
        <v/>
      </c>
      <c r="J2941" s="374"/>
      <c r="K2941" s="1222"/>
      <c r="L2941" s="431"/>
      <c r="M2941" s="431"/>
      <c r="N2941" s="431"/>
    </row>
    <row r="2942" spans="1:14" s="398" customFormat="1" hidden="1" outlineLevel="1">
      <c r="A2942" s="1250"/>
      <c r="B2942" s="305"/>
      <c r="C2942" s="165" t="s">
        <v>2</v>
      </c>
      <c r="D2942" s="437">
        <v>1</v>
      </c>
      <c r="E2942" s="298">
        <v>1</v>
      </c>
      <c r="F2942" s="1156">
        <f>2.44-G2942</f>
        <v>1.98</v>
      </c>
      <c r="G2942" s="1156">
        <v>0.46</v>
      </c>
      <c r="H2942" s="1156">
        <v>0.3</v>
      </c>
      <c r="I2942" s="399">
        <f t="shared" si="68"/>
        <v>0.27</v>
      </c>
      <c r="J2942" s="374"/>
      <c r="K2942" s="1222"/>
      <c r="L2942" s="431"/>
      <c r="M2942" s="431"/>
      <c r="N2942" s="431"/>
    </row>
    <row r="2943" spans="1:14" s="398" customFormat="1" hidden="1" outlineLevel="1">
      <c r="A2943" s="1250"/>
      <c r="B2943" s="305"/>
      <c r="C2943" s="165" t="s">
        <v>2</v>
      </c>
      <c r="D2943" s="437">
        <v>1</v>
      </c>
      <c r="E2943" s="298">
        <v>1</v>
      </c>
      <c r="F2943" s="1156">
        <f t="shared" ref="F2943:F2944" si="74">2.44-G2943</f>
        <v>2.0949999999999998</v>
      </c>
      <c r="G2943" s="1156">
        <v>0.34499999999999997</v>
      </c>
      <c r="H2943" s="1156">
        <v>0.3</v>
      </c>
      <c r="I2943" s="399">
        <f t="shared" si="68"/>
        <v>0.22</v>
      </c>
      <c r="J2943" s="374"/>
      <c r="K2943" s="1222"/>
      <c r="L2943" s="431"/>
      <c r="M2943" s="431"/>
      <c r="N2943" s="431"/>
    </row>
    <row r="2944" spans="1:14" s="398" customFormat="1" hidden="1" outlineLevel="1">
      <c r="A2944" s="1250"/>
      <c r="B2944" s="305"/>
      <c r="C2944" s="165" t="s">
        <v>2</v>
      </c>
      <c r="D2944" s="437">
        <v>1</v>
      </c>
      <c r="E2944" s="298">
        <v>1</v>
      </c>
      <c r="F2944" s="1156">
        <f t="shared" si="74"/>
        <v>2.21</v>
      </c>
      <c r="G2944" s="1156">
        <v>0.23</v>
      </c>
      <c r="H2944" s="1156">
        <f>1.2-0.15-0.6-0.06-0.2</f>
        <v>0.19000000000000006</v>
      </c>
      <c r="I2944" s="399">
        <f t="shared" si="68"/>
        <v>0.1</v>
      </c>
      <c r="J2944" s="374"/>
      <c r="K2944" s="1222"/>
      <c r="L2944" s="431"/>
      <c r="M2944" s="431"/>
      <c r="N2944" s="431"/>
    </row>
    <row r="2945" spans="1:14" s="398" customFormat="1" hidden="1" outlineLevel="1">
      <c r="A2945" s="1250"/>
      <c r="B2945" s="305"/>
      <c r="C2945" s="165"/>
      <c r="D2945" s="437"/>
      <c r="E2945" s="298"/>
      <c r="F2945" s="1156"/>
      <c r="G2945" s="1156"/>
      <c r="H2945" s="1156"/>
      <c r="I2945" s="399" t="str">
        <f t="shared" si="68"/>
        <v/>
      </c>
      <c r="J2945" s="374"/>
      <c r="K2945" s="1222"/>
      <c r="L2945" s="431"/>
      <c r="M2945" s="431"/>
      <c r="N2945" s="431"/>
    </row>
    <row r="2946" spans="1:14" s="398" customFormat="1" hidden="1" outlineLevel="1">
      <c r="A2946" s="1250"/>
      <c r="B2946" s="305"/>
      <c r="C2946" s="165" t="s">
        <v>2</v>
      </c>
      <c r="D2946" s="437">
        <v>1</v>
      </c>
      <c r="E2946" s="298">
        <v>3</v>
      </c>
      <c r="F2946" s="1156">
        <f>2.13-G2946*2</f>
        <v>1.21</v>
      </c>
      <c r="G2946" s="1156">
        <v>0.46</v>
      </c>
      <c r="H2946" s="1156">
        <v>0.3</v>
      </c>
      <c r="I2946" s="399">
        <f t="shared" si="68"/>
        <v>0.5</v>
      </c>
      <c r="J2946" s="374"/>
      <c r="K2946" s="1222"/>
      <c r="L2946" s="431"/>
      <c r="M2946" s="431"/>
      <c r="N2946" s="431"/>
    </row>
    <row r="2947" spans="1:14" s="398" customFormat="1" hidden="1" outlineLevel="1">
      <c r="A2947" s="1250"/>
      <c r="B2947" s="305"/>
      <c r="C2947" s="165" t="s">
        <v>2</v>
      </c>
      <c r="D2947" s="437">
        <v>1</v>
      </c>
      <c r="E2947" s="298">
        <v>3</v>
      </c>
      <c r="F2947" s="1156">
        <f t="shared" ref="F2947:F2948" si="75">2.13-G2947*2</f>
        <v>1.44</v>
      </c>
      <c r="G2947" s="1156">
        <v>0.34499999999999997</v>
      </c>
      <c r="H2947" s="1156">
        <v>0.3</v>
      </c>
      <c r="I2947" s="399">
        <f t="shared" si="68"/>
        <v>0.45</v>
      </c>
      <c r="J2947" s="374"/>
      <c r="K2947" s="1222"/>
      <c r="L2947" s="431"/>
      <c r="M2947" s="431"/>
      <c r="N2947" s="431"/>
    </row>
    <row r="2948" spans="1:14" s="398" customFormat="1" hidden="1" outlineLevel="1">
      <c r="A2948" s="1250"/>
      <c r="B2948" s="305"/>
      <c r="C2948" s="165" t="s">
        <v>2</v>
      </c>
      <c r="D2948" s="437">
        <v>1</v>
      </c>
      <c r="E2948" s="298">
        <v>3</v>
      </c>
      <c r="F2948" s="1156">
        <f t="shared" si="75"/>
        <v>1.67</v>
      </c>
      <c r="G2948" s="1156">
        <v>0.23</v>
      </c>
      <c r="H2948" s="1156">
        <f>1.2-0.15-0.6-0.06-0.2</f>
        <v>0.19000000000000006</v>
      </c>
      <c r="I2948" s="399">
        <f t="shared" si="68"/>
        <v>0.22</v>
      </c>
      <c r="J2948" s="374"/>
      <c r="K2948" s="1222"/>
      <c r="L2948" s="431"/>
      <c r="M2948" s="431"/>
      <c r="N2948" s="431"/>
    </row>
    <row r="2949" spans="1:14" s="398" customFormat="1" hidden="1" outlineLevel="1">
      <c r="A2949" s="1250"/>
      <c r="B2949" s="305"/>
      <c r="C2949" s="165"/>
      <c r="D2949" s="437"/>
      <c r="E2949" s="298"/>
      <c r="F2949" s="1156"/>
      <c r="G2949" s="1156"/>
      <c r="H2949" s="1156"/>
      <c r="I2949" s="399" t="str">
        <f t="shared" si="68"/>
        <v/>
      </c>
      <c r="J2949" s="374"/>
      <c r="K2949" s="1222"/>
      <c r="L2949" s="431"/>
      <c r="M2949" s="431"/>
      <c r="N2949" s="431"/>
    </row>
    <row r="2950" spans="1:14" s="398" customFormat="1" hidden="1" outlineLevel="1">
      <c r="A2950" s="1250"/>
      <c r="B2950" s="305"/>
      <c r="C2950" s="165" t="s">
        <v>2</v>
      </c>
      <c r="D2950" s="437">
        <v>1</v>
      </c>
      <c r="E2950" s="298">
        <v>1</v>
      </c>
      <c r="F2950" s="1156">
        <f>1.825-G2950*2</f>
        <v>0.90499999999999992</v>
      </c>
      <c r="G2950" s="1156">
        <v>0.46</v>
      </c>
      <c r="H2950" s="1156">
        <v>0.3</v>
      </c>
      <c r="I2950" s="399">
        <f t="shared" si="68"/>
        <v>0.12</v>
      </c>
      <c r="J2950" s="374"/>
      <c r="K2950" s="1222"/>
      <c r="L2950" s="431"/>
      <c r="M2950" s="431"/>
      <c r="N2950" s="431"/>
    </row>
    <row r="2951" spans="1:14" s="398" customFormat="1" hidden="1" outlineLevel="1">
      <c r="A2951" s="1250"/>
      <c r="B2951" s="305"/>
      <c r="C2951" s="165" t="s">
        <v>2</v>
      </c>
      <c r="D2951" s="437">
        <v>1</v>
      </c>
      <c r="E2951" s="298">
        <v>1</v>
      </c>
      <c r="F2951" s="1156">
        <f t="shared" ref="F2951:F2952" si="76">1.825-G2951*2</f>
        <v>1.135</v>
      </c>
      <c r="G2951" s="1156">
        <v>0.34499999999999997</v>
      </c>
      <c r="H2951" s="1156">
        <v>0.3</v>
      </c>
      <c r="I2951" s="399">
        <f t="shared" si="68"/>
        <v>0.12</v>
      </c>
      <c r="J2951" s="374"/>
      <c r="K2951" s="1222"/>
      <c r="L2951" s="431"/>
      <c r="M2951" s="431"/>
      <c r="N2951" s="431"/>
    </row>
    <row r="2952" spans="1:14" s="398" customFormat="1" hidden="1" outlineLevel="1">
      <c r="A2952" s="1250"/>
      <c r="B2952" s="305"/>
      <c r="C2952" s="165" t="s">
        <v>2</v>
      </c>
      <c r="D2952" s="437">
        <v>1</v>
      </c>
      <c r="E2952" s="298">
        <v>1</v>
      </c>
      <c r="F2952" s="1156">
        <f t="shared" si="76"/>
        <v>1.365</v>
      </c>
      <c r="G2952" s="1156">
        <v>0.23</v>
      </c>
      <c r="H2952" s="1156">
        <f>1.2-0.15-0.6-0.06-0.2</f>
        <v>0.19000000000000006</v>
      </c>
      <c r="I2952" s="399">
        <f t="shared" si="68"/>
        <v>0.06</v>
      </c>
      <c r="J2952" s="374"/>
      <c r="K2952" s="1222"/>
      <c r="L2952" s="431"/>
      <c r="M2952" s="431"/>
      <c r="N2952" s="431"/>
    </row>
    <row r="2953" spans="1:14" s="398" customFormat="1" ht="51.75" hidden="1" outlineLevel="1">
      <c r="A2953" s="1250"/>
      <c r="B2953" s="598" t="s">
        <v>650</v>
      </c>
      <c r="C2953" s="165"/>
      <c r="D2953" s="437"/>
      <c r="E2953" s="298"/>
      <c r="F2953" s="1156"/>
      <c r="G2953" s="1156"/>
      <c r="H2953" s="1156"/>
      <c r="I2953" s="399" t="str">
        <f t="shared" si="68"/>
        <v/>
      </c>
      <c r="J2953" s="374"/>
      <c r="K2953" s="1222"/>
      <c r="L2953" s="431"/>
      <c r="M2953" s="431"/>
      <c r="N2953" s="431"/>
    </row>
    <row r="2954" spans="1:14" s="398" customFormat="1" hidden="1" outlineLevel="1">
      <c r="A2954" s="1250"/>
      <c r="B2954" s="303" t="s">
        <v>615</v>
      </c>
      <c r="C2954" s="165"/>
      <c r="D2954" s="437"/>
      <c r="E2954" s="298"/>
      <c r="F2954" s="1156"/>
      <c r="G2954" s="1156"/>
      <c r="H2954" s="1156"/>
      <c r="I2954" s="399" t="str">
        <f t="shared" si="68"/>
        <v/>
      </c>
      <c r="J2954" s="374"/>
      <c r="K2954" s="1222"/>
      <c r="L2954" s="431"/>
      <c r="M2954" s="431"/>
      <c r="N2954" s="431"/>
    </row>
    <row r="2955" spans="1:14" s="398" customFormat="1" hidden="1" outlineLevel="1">
      <c r="A2955" s="1250"/>
      <c r="B2955" s="303" t="s">
        <v>607</v>
      </c>
      <c r="C2955" s="165" t="s">
        <v>2</v>
      </c>
      <c r="D2955" s="437">
        <v>1</v>
      </c>
      <c r="E2955" s="298">
        <v>1</v>
      </c>
      <c r="F2955" s="1156">
        <f>29.85</f>
        <v>29.85</v>
      </c>
      <c r="G2955" s="1156">
        <v>0.46</v>
      </c>
      <c r="H2955" s="1156">
        <v>0.3</v>
      </c>
      <c r="I2955" s="399">
        <f t="shared" si="68"/>
        <v>4.12</v>
      </c>
      <c r="J2955" s="374"/>
      <c r="K2955" s="1222"/>
      <c r="L2955" s="431"/>
      <c r="M2955" s="431"/>
      <c r="N2955" s="431"/>
    </row>
    <row r="2956" spans="1:14" s="398" customFormat="1" hidden="1" outlineLevel="1">
      <c r="A2956" s="1250"/>
      <c r="B2956" s="305"/>
      <c r="C2956" s="165" t="s">
        <v>2</v>
      </c>
      <c r="D2956" s="437">
        <v>1</v>
      </c>
      <c r="E2956" s="298">
        <v>1</v>
      </c>
      <c r="F2956" s="1156">
        <f t="shared" ref="F2956:F2957" si="77">29.85</f>
        <v>29.85</v>
      </c>
      <c r="G2956" s="1156">
        <v>0.34499999999999997</v>
      </c>
      <c r="H2956" s="1156">
        <v>0.3</v>
      </c>
      <c r="I2956" s="399">
        <f t="shared" si="68"/>
        <v>3.09</v>
      </c>
      <c r="J2956" s="374"/>
      <c r="K2956" s="1222"/>
      <c r="L2956" s="431"/>
      <c r="M2956" s="431"/>
      <c r="N2956" s="431"/>
    </row>
    <row r="2957" spans="1:14" s="398" customFormat="1" hidden="1" outlineLevel="1">
      <c r="A2957" s="1250"/>
      <c r="B2957" s="305"/>
      <c r="C2957" s="165" t="s">
        <v>2</v>
      </c>
      <c r="D2957" s="437">
        <v>1</v>
      </c>
      <c r="E2957" s="298">
        <v>1</v>
      </c>
      <c r="F2957" s="1156">
        <f t="shared" si="77"/>
        <v>29.85</v>
      </c>
      <c r="G2957" s="1156">
        <v>0.23</v>
      </c>
      <c r="H2957" s="1156">
        <f>1.2-0.15-0.6-0.06-0.2</f>
        <v>0.19000000000000006</v>
      </c>
      <c r="I2957" s="399">
        <f t="shared" si="68"/>
        <v>1.3</v>
      </c>
      <c r="J2957" s="374"/>
      <c r="K2957" s="1222"/>
      <c r="L2957" s="431"/>
      <c r="M2957" s="431"/>
      <c r="N2957" s="431"/>
    </row>
    <row r="2958" spans="1:14" s="398" customFormat="1" hidden="1" outlineLevel="1">
      <c r="A2958" s="1250"/>
      <c r="B2958" s="305"/>
      <c r="C2958" s="165"/>
      <c r="D2958" s="437"/>
      <c r="E2958" s="298"/>
      <c r="F2958" s="1156"/>
      <c r="G2958" s="1156"/>
      <c r="H2958" s="1156"/>
      <c r="I2958" s="399" t="str">
        <f t="shared" si="68"/>
        <v/>
      </c>
      <c r="J2958" s="374"/>
      <c r="K2958" s="1222"/>
      <c r="L2958" s="431"/>
      <c r="M2958" s="431"/>
      <c r="N2958" s="431"/>
    </row>
    <row r="2959" spans="1:14" s="398" customFormat="1" hidden="1" outlineLevel="1">
      <c r="A2959" s="1250"/>
      <c r="B2959" s="305"/>
      <c r="C2959" s="165" t="s">
        <v>2</v>
      </c>
      <c r="D2959" s="437">
        <v>1</v>
      </c>
      <c r="E2959" s="298">
        <v>1</v>
      </c>
      <c r="F2959" s="1156">
        <f>2.3-G2959*2</f>
        <v>1.38</v>
      </c>
      <c r="G2959" s="1156">
        <v>0.46</v>
      </c>
      <c r="H2959" s="1156">
        <v>0.3</v>
      </c>
      <c r="I2959" s="399">
        <f t="shared" si="68"/>
        <v>0.19</v>
      </c>
      <c r="J2959" s="374"/>
      <c r="K2959" s="1222"/>
      <c r="L2959" s="431"/>
      <c r="M2959" s="431"/>
      <c r="N2959" s="431"/>
    </row>
    <row r="2960" spans="1:14" s="398" customFormat="1" hidden="1" outlineLevel="1">
      <c r="A2960" s="1250"/>
      <c r="B2960" s="305"/>
      <c r="C2960" s="165" t="s">
        <v>2</v>
      </c>
      <c r="D2960" s="437">
        <v>1</v>
      </c>
      <c r="E2960" s="298">
        <v>1</v>
      </c>
      <c r="F2960" s="1156">
        <f t="shared" ref="F2960:F2961" si="78">2.3-G2960*2</f>
        <v>1.6099999999999999</v>
      </c>
      <c r="G2960" s="1156">
        <v>0.34499999999999997</v>
      </c>
      <c r="H2960" s="1156">
        <v>0.3</v>
      </c>
      <c r="I2960" s="399">
        <f t="shared" si="68"/>
        <v>0.17</v>
      </c>
      <c r="J2960" s="374"/>
      <c r="K2960" s="1222"/>
      <c r="L2960" s="431"/>
      <c r="M2960" s="431"/>
      <c r="N2960" s="431"/>
    </row>
    <row r="2961" spans="1:14" s="398" customFormat="1" hidden="1" outlineLevel="1">
      <c r="A2961" s="1250"/>
      <c r="B2961" s="305"/>
      <c r="C2961" s="165" t="s">
        <v>2</v>
      </c>
      <c r="D2961" s="437">
        <v>1</v>
      </c>
      <c r="E2961" s="298">
        <v>1</v>
      </c>
      <c r="F2961" s="1156">
        <f t="shared" si="78"/>
        <v>1.8399999999999999</v>
      </c>
      <c r="G2961" s="1156">
        <v>0.23</v>
      </c>
      <c r="H2961" s="1156">
        <f>1.2-0.15-0.6-0.06-0.2</f>
        <v>0.19000000000000006</v>
      </c>
      <c r="I2961" s="399">
        <f t="shared" si="68"/>
        <v>0.08</v>
      </c>
      <c r="J2961" s="374"/>
      <c r="K2961" s="1222"/>
      <c r="L2961" s="431"/>
      <c r="M2961" s="431"/>
      <c r="N2961" s="431"/>
    </row>
    <row r="2962" spans="1:14" s="398" customFormat="1" hidden="1" outlineLevel="1">
      <c r="A2962" s="1250"/>
      <c r="B2962" s="305"/>
      <c r="C2962" s="165"/>
      <c r="D2962" s="437"/>
      <c r="E2962" s="298"/>
      <c r="F2962" s="1156"/>
      <c r="G2962" s="1156"/>
      <c r="H2962" s="1156"/>
      <c r="I2962" s="399" t="str">
        <f t="shared" si="68"/>
        <v/>
      </c>
      <c r="J2962" s="374"/>
      <c r="K2962" s="1222"/>
      <c r="L2962" s="431"/>
      <c r="M2962" s="431"/>
      <c r="N2962" s="431"/>
    </row>
    <row r="2963" spans="1:14" s="398" customFormat="1" hidden="1" outlineLevel="1">
      <c r="A2963" s="1250"/>
      <c r="B2963" s="305"/>
      <c r="C2963" s="165" t="s">
        <v>2</v>
      </c>
      <c r="D2963" s="437">
        <v>1</v>
      </c>
      <c r="E2963" s="298">
        <v>7</v>
      </c>
      <c r="F2963" s="1156">
        <f>2-G2963*2</f>
        <v>1.08</v>
      </c>
      <c r="G2963" s="1156">
        <v>0.46</v>
      </c>
      <c r="H2963" s="1156">
        <v>0.3</v>
      </c>
      <c r="I2963" s="399">
        <f t="shared" si="68"/>
        <v>1.04</v>
      </c>
      <c r="J2963" s="374"/>
      <c r="K2963" s="1222"/>
      <c r="L2963" s="431"/>
      <c r="M2963" s="431"/>
      <c r="N2963" s="431"/>
    </row>
    <row r="2964" spans="1:14" s="398" customFormat="1" hidden="1" outlineLevel="1">
      <c r="A2964" s="1250"/>
      <c r="B2964" s="305"/>
      <c r="C2964" s="165" t="s">
        <v>2</v>
      </c>
      <c r="D2964" s="437">
        <v>1</v>
      </c>
      <c r="E2964" s="298">
        <v>7</v>
      </c>
      <c r="F2964" s="1156">
        <f t="shared" ref="F2964:F2965" si="79">2-G2964*2</f>
        <v>1.31</v>
      </c>
      <c r="G2964" s="1156">
        <v>0.34499999999999997</v>
      </c>
      <c r="H2964" s="1156">
        <v>0.3</v>
      </c>
      <c r="I2964" s="399">
        <f t="shared" si="68"/>
        <v>0.95</v>
      </c>
      <c r="J2964" s="374"/>
      <c r="K2964" s="1222"/>
      <c r="L2964" s="431"/>
      <c r="M2964" s="431"/>
      <c r="N2964" s="431"/>
    </row>
    <row r="2965" spans="1:14" s="398" customFormat="1" hidden="1" outlineLevel="1">
      <c r="A2965" s="1250"/>
      <c r="B2965" s="305"/>
      <c r="C2965" s="165" t="s">
        <v>2</v>
      </c>
      <c r="D2965" s="437">
        <v>1</v>
      </c>
      <c r="E2965" s="298">
        <v>7</v>
      </c>
      <c r="F2965" s="1156">
        <f t="shared" si="79"/>
        <v>1.54</v>
      </c>
      <c r="G2965" s="1156">
        <v>0.23</v>
      </c>
      <c r="H2965" s="1156">
        <f>1.2-0.15-0.6-0.06-0.2</f>
        <v>0.19000000000000006</v>
      </c>
      <c r="I2965" s="399">
        <f t="shared" si="68"/>
        <v>0.47</v>
      </c>
      <c r="J2965" s="374"/>
      <c r="K2965" s="1222"/>
      <c r="L2965" s="431"/>
      <c r="M2965" s="431"/>
      <c r="N2965" s="431"/>
    </row>
    <row r="2966" spans="1:14" s="398" customFormat="1" hidden="1" outlineLevel="1">
      <c r="A2966" s="1250"/>
      <c r="B2966" s="305"/>
      <c r="C2966" s="165"/>
      <c r="D2966" s="437"/>
      <c r="E2966" s="298"/>
      <c r="F2966" s="1156"/>
      <c r="G2966" s="1156"/>
      <c r="H2966" s="1156"/>
      <c r="I2966" s="399" t="str">
        <f t="shared" si="68"/>
        <v/>
      </c>
      <c r="J2966" s="374"/>
      <c r="K2966" s="1222"/>
      <c r="L2966" s="431"/>
      <c r="M2966" s="431"/>
      <c r="N2966" s="431"/>
    </row>
    <row r="2967" spans="1:14" s="398" customFormat="1" hidden="1" outlineLevel="1">
      <c r="A2967" s="1250"/>
      <c r="B2967" s="305"/>
      <c r="C2967" s="165" t="s">
        <v>2</v>
      </c>
      <c r="D2967" s="437">
        <v>1</v>
      </c>
      <c r="E2967" s="298">
        <v>1</v>
      </c>
      <c r="F2967" s="1156">
        <f>2.25-G2967*2</f>
        <v>1.33</v>
      </c>
      <c r="G2967" s="1156">
        <v>0.46</v>
      </c>
      <c r="H2967" s="1156">
        <v>0.3</v>
      </c>
      <c r="I2967" s="399">
        <f t="shared" si="68"/>
        <v>0.18</v>
      </c>
      <c r="J2967" s="374"/>
      <c r="K2967" s="1222"/>
      <c r="L2967" s="431"/>
      <c r="M2967" s="431"/>
      <c r="N2967" s="431"/>
    </row>
    <row r="2968" spans="1:14" s="398" customFormat="1" hidden="1" outlineLevel="1">
      <c r="A2968" s="1250"/>
      <c r="B2968" s="305"/>
      <c r="C2968" s="165" t="s">
        <v>2</v>
      </c>
      <c r="D2968" s="437">
        <v>1</v>
      </c>
      <c r="E2968" s="298">
        <v>1</v>
      </c>
      <c r="F2968" s="1156">
        <f t="shared" ref="F2968:F2969" si="80">2.25-G2968*2</f>
        <v>1.56</v>
      </c>
      <c r="G2968" s="1156">
        <v>0.34499999999999997</v>
      </c>
      <c r="H2968" s="1156">
        <v>0.3</v>
      </c>
      <c r="I2968" s="399">
        <f t="shared" ref="I2968:I3031" si="81">IF(D2968&lt;&gt;0,ROUND(PRODUCT(E2968:H2968)*D2968,2),"")</f>
        <v>0.16</v>
      </c>
      <c r="J2968" s="374"/>
      <c r="K2968" s="1222"/>
      <c r="L2968" s="431"/>
      <c r="M2968" s="431"/>
      <c r="N2968" s="431"/>
    </row>
    <row r="2969" spans="1:14" s="398" customFormat="1" hidden="1" outlineLevel="1">
      <c r="A2969" s="1250"/>
      <c r="B2969" s="305"/>
      <c r="C2969" s="165" t="s">
        <v>2</v>
      </c>
      <c r="D2969" s="437">
        <v>1</v>
      </c>
      <c r="E2969" s="298">
        <v>1</v>
      </c>
      <c r="F2969" s="1156">
        <f t="shared" si="80"/>
        <v>1.79</v>
      </c>
      <c r="G2969" s="1156">
        <v>0.23</v>
      </c>
      <c r="H2969" s="1156">
        <f>1.2-0.15-0.6-0.06-0.2</f>
        <v>0.19000000000000006</v>
      </c>
      <c r="I2969" s="399">
        <f t="shared" si="81"/>
        <v>0.08</v>
      </c>
      <c r="J2969" s="374"/>
      <c r="K2969" s="1222"/>
      <c r="L2969" s="431"/>
      <c r="M2969" s="431"/>
      <c r="N2969" s="431"/>
    </row>
    <row r="2970" spans="1:14" s="398" customFormat="1" hidden="1" outlineLevel="1">
      <c r="A2970" s="1250"/>
      <c r="B2970" s="305"/>
      <c r="C2970" s="165"/>
      <c r="D2970" s="437"/>
      <c r="E2970" s="298"/>
      <c r="F2970" s="1156"/>
      <c r="G2970" s="1156"/>
      <c r="H2970" s="1156"/>
      <c r="I2970" s="399" t="str">
        <f t="shared" si="81"/>
        <v/>
      </c>
      <c r="J2970" s="374"/>
      <c r="K2970" s="1222"/>
      <c r="L2970" s="431"/>
      <c r="M2970" s="431"/>
      <c r="N2970" s="431"/>
    </row>
    <row r="2971" spans="1:14" s="398" customFormat="1" hidden="1" outlineLevel="1">
      <c r="A2971" s="1250"/>
      <c r="B2971" s="305"/>
      <c r="C2971" s="165" t="s">
        <v>2</v>
      </c>
      <c r="D2971" s="437">
        <v>1</v>
      </c>
      <c r="E2971" s="298">
        <v>1</v>
      </c>
      <c r="F2971" s="1156">
        <f>1.75-G2971*2</f>
        <v>0.83</v>
      </c>
      <c r="G2971" s="1156">
        <v>0.46</v>
      </c>
      <c r="H2971" s="1156">
        <v>0.3</v>
      </c>
      <c r="I2971" s="399">
        <f t="shared" si="81"/>
        <v>0.11</v>
      </c>
      <c r="J2971" s="374"/>
      <c r="K2971" s="1222"/>
      <c r="L2971" s="431"/>
      <c r="M2971" s="431"/>
      <c r="N2971" s="431"/>
    </row>
    <row r="2972" spans="1:14" s="398" customFormat="1" hidden="1" outlineLevel="1">
      <c r="A2972" s="1250"/>
      <c r="B2972" s="305"/>
      <c r="C2972" s="165" t="s">
        <v>2</v>
      </c>
      <c r="D2972" s="437">
        <v>1</v>
      </c>
      <c r="E2972" s="298">
        <v>1</v>
      </c>
      <c r="F2972" s="1156">
        <f t="shared" ref="F2972:F2973" si="82">1.75-G2972*2</f>
        <v>1.06</v>
      </c>
      <c r="G2972" s="1156">
        <v>0.34499999999999997</v>
      </c>
      <c r="H2972" s="1156">
        <v>0.3</v>
      </c>
      <c r="I2972" s="399">
        <f t="shared" si="81"/>
        <v>0.11</v>
      </c>
      <c r="J2972" s="374"/>
      <c r="K2972" s="1222"/>
      <c r="L2972" s="431"/>
      <c r="M2972" s="431"/>
      <c r="N2972" s="431"/>
    </row>
    <row r="2973" spans="1:14" s="398" customFormat="1" hidden="1" outlineLevel="1">
      <c r="A2973" s="1250"/>
      <c r="B2973" s="305"/>
      <c r="C2973" s="165" t="s">
        <v>2</v>
      </c>
      <c r="D2973" s="437">
        <v>1</v>
      </c>
      <c r="E2973" s="298">
        <v>1</v>
      </c>
      <c r="F2973" s="1156">
        <f t="shared" si="82"/>
        <v>1.29</v>
      </c>
      <c r="G2973" s="1156">
        <v>0.23</v>
      </c>
      <c r="H2973" s="1156">
        <f>1.2-0.15-0.6-0.06-0.2</f>
        <v>0.19000000000000006</v>
      </c>
      <c r="I2973" s="399">
        <f t="shared" si="81"/>
        <v>0.06</v>
      </c>
      <c r="J2973" s="374"/>
      <c r="K2973" s="1222"/>
      <c r="L2973" s="431"/>
      <c r="M2973" s="431"/>
      <c r="N2973" s="431"/>
    </row>
    <row r="2974" spans="1:14" s="398" customFormat="1" hidden="1" outlineLevel="1">
      <c r="A2974" s="1250"/>
      <c r="B2974" s="305"/>
      <c r="C2974" s="165"/>
      <c r="D2974" s="437"/>
      <c r="E2974" s="298"/>
      <c r="F2974" s="1156"/>
      <c r="G2974" s="1156"/>
      <c r="H2974" s="1156"/>
      <c r="I2974" s="399" t="str">
        <f t="shared" si="81"/>
        <v/>
      </c>
      <c r="J2974" s="374"/>
      <c r="K2974" s="1222"/>
      <c r="L2974" s="431"/>
      <c r="M2974" s="431"/>
      <c r="N2974" s="431"/>
    </row>
    <row r="2975" spans="1:14" s="398" customFormat="1" hidden="1" outlineLevel="1">
      <c r="A2975" s="1250"/>
      <c r="B2975" s="305"/>
      <c r="C2975" s="165" t="s">
        <v>2</v>
      </c>
      <c r="D2975" s="437">
        <v>1</v>
      </c>
      <c r="E2975" s="298">
        <v>12</v>
      </c>
      <c r="F2975" s="1156">
        <v>0.6</v>
      </c>
      <c r="G2975" s="1156">
        <v>0.46</v>
      </c>
      <c r="H2975" s="1156">
        <v>0.3</v>
      </c>
      <c r="I2975" s="399">
        <f t="shared" si="81"/>
        <v>0.99</v>
      </c>
      <c r="J2975" s="374"/>
      <c r="K2975" s="1222"/>
      <c r="L2975" s="431"/>
      <c r="M2975" s="431"/>
      <c r="N2975" s="431"/>
    </row>
    <row r="2976" spans="1:14" s="398" customFormat="1" hidden="1" outlineLevel="1">
      <c r="A2976" s="1250"/>
      <c r="B2976" s="305"/>
      <c r="C2976" s="165" t="s">
        <v>2</v>
      </c>
      <c r="D2976" s="437">
        <v>1</v>
      </c>
      <c r="E2976" s="298">
        <v>12</v>
      </c>
      <c r="F2976" s="1156">
        <v>0.6</v>
      </c>
      <c r="G2976" s="1156">
        <v>0.34499999999999997</v>
      </c>
      <c r="H2976" s="1156">
        <v>0.3</v>
      </c>
      <c r="I2976" s="399">
        <f t="shared" si="81"/>
        <v>0.75</v>
      </c>
      <c r="J2976" s="374"/>
      <c r="K2976" s="1222"/>
      <c r="L2976" s="431"/>
      <c r="M2976" s="431"/>
      <c r="N2976" s="431"/>
    </row>
    <row r="2977" spans="1:14" s="398" customFormat="1" hidden="1" outlineLevel="1">
      <c r="A2977" s="1250"/>
      <c r="B2977" s="305"/>
      <c r="C2977" s="165" t="s">
        <v>2</v>
      </c>
      <c r="D2977" s="437">
        <v>1</v>
      </c>
      <c r="E2977" s="298">
        <v>12</v>
      </c>
      <c r="F2977" s="1156">
        <v>0.6</v>
      </c>
      <c r="G2977" s="1156">
        <v>0.23</v>
      </c>
      <c r="H2977" s="1156">
        <f>1.2-0.15-0.6-0.06-0.2</f>
        <v>0.19000000000000006</v>
      </c>
      <c r="I2977" s="399">
        <f t="shared" si="81"/>
        <v>0.31</v>
      </c>
      <c r="J2977" s="374"/>
      <c r="K2977" s="1222"/>
      <c r="L2977" s="431"/>
      <c r="M2977" s="431"/>
      <c r="N2977" s="431"/>
    </row>
    <row r="2978" spans="1:14" s="398" customFormat="1" hidden="1" outlineLevel="1">
      <c r="A2978" s="1250"/>
      <c r="B2978" s="599" t="s">
        <v>608</v>
      </c>
      <c r="C2978" s="165" t="s">
        <v>2</v>
      </c>
      <c r="D2978" s="437">
        <v>1</v>
      </c>
      <c r="E2978" s="298">
        <v>1</v>
      </c>
      <c r="F2978" s="1156">
        <f>10.315+G2978*2</f>
        <v>11.234999999999999</v>
      </c>
      <c r="G2978" s="1156">
        <v>0.46</v>
      </c>
      <c r="H2978" s="1156">
        <v>0.3</v>
      </c>
      <c r="I2978" s="399">
        <f t="shared" si="81"/>
        <v>1.55</v>
      </c>
      <c r="J2978" s="374"/>
      <c r="K2978" s="1222"/>
      <c r="L2978" s="431"/>
      <c r="M2978" s="431"/>
      <c r="N2978" s="431"/>
    </row>
    <row r="2979" spans="1:14" s="398" customFormat="1" hidden="1" outlineLevel="1">
      <c r="A2979" s="1250"/>
      <c r="B2979" s="305"/>
      <c r="C2979" s="165" t="s">
        <v>2</v>
      </c>
      <c r="D2979" s="437">
        <v>1</v>
      </c>
      <c r="E2979" s="298">
        <v>1</v>
      </c>
      <c r="F2979" s="1156">
        <f t="shared" ref="F2979:F2980" si="83">10.315+G2979*2</f>
        <v>11.004999999999999</v>
      </c>
      <c r="G2979" s="1156">
        <v>0.34499999999999997</v>
      </c>
      <c r="H2979" s="1156">
        <v>0.3</v>
      </c>
      <c r="I2979" s="399">
        <f t="shared" si="81"/>
        <v>1.1399999999999999</v>
      </c>
      <c r="J2979" s="374"/>
      <c r="K2979" s="1222"/>
      <c r="L2979" s="431"/>
      <c r="M2979" s="431"/>
      <c r="N2979" s="431"/>
    </row>
    <row r="2980" spans="1:14" s="398" customFormat="1" hidden="1" outlineLevel="1">
      <c r="A2980" s="1250"/>
      <c r="B2980" s="305"/>
      <c r="C2980" s="165" t="s">
        <v>2</v>
      </c>
      <c r="D2980" s="437">
        <v>1</v>
      </c>
      <c r="E2980" s="298">
        <v>1</v>
      </c>
      <c r="F2980" s="1156">
        <f t="shared" si="83"/>
        <v>10.775</v>
      </c>
      <c r="G2980" s="1156">
        <v>0.23</v>
      </c>
      <c r="H2980" s="1156">
        <f>1.2-0.15-0.6-0.06-0.2</f>
        <v>0.19000000000000006</v>
      </c>
      <c r="I2980" s="399">
        <f t="shared" si="81"/>
        <v>0.47</v>
      </c>
      <c r="J2980" s="374"/>
      <c r="K2980" s="1222"/>
      <c r="L2980" s="431"/>
      <c r="M2980" s="431"/>
      <c r="N2980" s="431"/>
    </row>
    <row r="2981" spans="1:14" s="398" customFormat="1" hidden="1" outlineLevel="1">
      <c r="A2981" s="1250"/>
      <c r="B2981" s="305"/>
      <c r="C2981" s="165"/>
      <c r="D2981" s="437"/>
      <c r="E2981" s="298"/>
      <c r="F2981" s="1156"/>
      <c r="G2981" s="1156"/>
      <c r="H2981" s="1156"/>
      <c r="I2981" s="399" t="str">
        <f t="shared" si="81"/>
        <v/>
      </c>
      <c r="J2981" s="374"/>
      <c r="K2981" s="1222"/>
      <c r="L2981" s="431"/>
      <c r="M2981" s="431"/>
      <c r="N2981" s="431"/>
    </row>
    <row r="2982" spans="1:14" s="398" customFormat="1" hidden="1" outlineLevel="1">
      <c r="A2982" s="1250"/>
      <c r="B2982" s="305" t="s">
        <v>609</v>
      </c>
      <c r="C2982" s="165" t="s">
        <v>2</v>
      </c>
      <c r="D2982" s="437">
        <v>1</v>
      </c>
      <c r="E2982" s="298">
        <v>1</v>
      </c>
      <c r="F2982" s="1155">
        <v>9.3149999999999995</v>
      </c>
      <c r="G2982" s="1156">
        <v>0.46</v>
      </c>
      <c r="H2982" s="1156">
        <v>0.3</v>
      </c>
      <c r="I2982" s="399">
        <f t="shared" si="81"/>
        <v>1.29</v>
      </c>
      <c r="J2982" s="374"/>
      <c r="K2982" s="1222"/>
      <c r="L2982" s="431"/>
      <c r="M2982" s="431"/>
      <c r="N2982" s="431"/>
    </row>
    <row r="2983" spans="1:14" s="398" customFormat="1" hidden="1" outlineLevel="1">
      <c r="A2983" s="1250"/>
      <c r="B2983" s="305"/>
      <c r="C2983" s="165" t="s">
        <v>2</v>
      </c>
      <c r="D2983" s="437">
        <v>1</v>
      </c>
      <c r="E2983" s="298">
        <v>1</v>
      </c>
      <c r="F2983" s="1155">
        <v>9.3149999999999995</v>
      </c>
      <c r="G2983" s="1156">
        <v>0.34499999999999997</v>
      </c>
      <c r="H2983" s="1156">
        <v>0.3</v>
      </c>
      <c r="I2983" s="399">
        <f t="shared" si="81"/>
        <v>0.96</v>
      </c>
      <c r="J2983" s="374"/>
      <c r="K2983" s="1222"/>
      <c r="L2983" s="431"/>
      <c r="M2983" s="431"/>
      <c r="N2983" s="431"/>
    </row>
    <row r="2984" spans="1:14" s="398" customFormat="1" hidden="1" outlineLevel="1">
      <c r="A2984" s="1250"/>
      <c r="B2984" s="305"/>
      <c r="C2984" s="165" t="s">
        <v>2</v>
      </c>
      <c r="D2984" s="437">
        <v>1</v>
      </c>
      <c r="E2984" s="298">
        <v>1</v>
      </c>
      <c r="F2984" s="1155">
        <v>9.3149999999999995</v>
      </c>
      <c r="G2984" s="1156">
        <v>0.23</v>
      </c>
      <c r="H2984" s="1156">
        <f>1.2-0.15-0.6-0.06-0.2</f>
        <v>0.19000000000000006</v>
      </c>
      <c r="I2984" s="399">
        <f t="shared" si="81"/>
        <v>0.41</v>
      </c>
      <c r="J2984" s="374"/>
      <c r="K2984" s="1222"/>
      <c r="L2984" s="431"/>
      <c r="M2984" s="431"/>
      <c r="N2984" s="431"/>
    </row>
    <row r="2985" spans="1:14" s="398" customFormat="1" hidden="1" outlineLevel="1">
      <c r="A2985" s="1250"/>
      <c r="B2985" s="305"/>
      <c r="C2985" s="165"/>
      <c r="D2985" s="437"/>
      <c r="E2985" s="298"/>
      <c r="F2985" s="1156"/>
      <c r="G2985" s="1156"/>
      <c r="H2985" s="1156"/>
      <c r="I2985" s="399" t="str">
        <f t="shared" si="81"/>
        <v/>
      </c>
      <c r="J2985" s="374"/>
      <c r="K2985" s="1222"/>
      <c r="L2985" s="431"/>
      <c r="M2985" s="431"/>
      <c r="N2985" s="431"/>
    </row>
    <row r="2986" spans="1:14" s="398" customFormat="1" hidden="1" outlineLevel="1">
      <c r="A2986" s="1250"/>
      <c r="B2986" s="305" t="s">
        <v>610</v>
      </c>
      <c r="C2986" s="165" t="s">
        <v>2</v>
      </c>
      <c r="D2986" s="437">
        <v>1</v>
      </c>
      <c r="E2986" s="298">
        <v>2</v>
      </c>
      <c r="F2986" s="1155">
        <v>7.7850000000000001</v>
      </c>
      <c r="G2986" s="1156">
        <v>0.46</v>
      </c>
      <c r="H2986" s="1156">
        <v>0.3</v>
      </c>
      <c r="I2986" s="399">
        <f t="shared" si="81"/>
        <v>2.15</v>
      </c>
      <c r="J2986" s="374"/>
      <c r="K2986" s="1222"/>
      <c r="L2986" s="431"/>
      <c r="M2986" s="431"/>
      <c r="N2986" s="431"/>
    </row>
    <row r="2987" spans="1:14" s="398" customFormat="1" hidden="1" outlineLevel="1">
      <c r="A2987" s="1250"/>
      <c r="B2987" s="305"/>
      <c r="C2987" s="165" t="s">
        <v>2</v>
      </c>
      <c r="D2987" s="437">
        <v>1</v>
      </c>
      <c r="E2987" s="298">
        <v>2</v>
      </c>
      <c r="F2987" s="1155">
        <v>7.7850000000000001</v>
      </c>
      <c r="G2987" s="1156">
        <v>0.34499999999999997</v>
      </c>
      <c r="H2987" s="1156">
        <v>0.3</v>
      </c>
      <c r="I2987" s="399">
        <f t="shared" si="81"/>
        <v>1.61</v>
      </c>
      <c r="J2987" s="374"/>
      <c r="K2987" s="1222"/>
      <c r="L2987" s="431"/>
      <c r="M2987" s="431"/>
      <c r="N2987" s="431"/>
    </row>
    <row r="2988" spans="1:14" s="398" customFormat="1" hidden="1" outlineLevel="1">
      <c r="A2988" s="1250"/>
      <c r="B2988" s="305"/>
      <c r="C2988" s="165" t="s">
        <v>2</v>
      </c>
      <c r="D2988" s="437">
        <v>1</v>
      </c>
      <c r="E2988" s="298">
        <v>2</v>
      </c>
      <c r="F2988" s="1155">
        <v>7.7850000000000001</v>
      </c>
      <c r="G2988" s="1156">
        <v>0.23</v>
      </c>
      <c r="H2988" s="1156">
        <f>1.2-0.15-0.6-0.06-0.2</f>
        <v>0.19000000000000006</v>
      </c>
      <c r="I2988" s="399">
        <f t="shared" si="81"/>
        <v>0.68</v>
      </c>
      <c r="J2988" s="374"/>
      <c r="K2988" s="1222"/>
      <c r="L2988" s="431"/>
      <c r="M2988" s="431"/>
      <c r="N2988" s="431"/>
    </row>
    <row r="2989" spans="1:14" s="398" customFormat="1" hidden="1" outlineLevel="1">
      <c r="A2989" s="1250"/>
      <c r="B2989" s="305"/>
      <c r="C2989" s="165"/>
      <c r="D2989" s="437"/>
      <c r="E2989" s="298"/>
      <c r="F2989" s="1156"/>
      <c r="G2989" s="1156"/>
      <c r="H2989" s="1156"/>
      <c r="I2989" s="399" t="str">
        <f t="shared" si="81"/>
        <v/>
      </c>
      <c r="J2989" s="374"/>
      <c r="K2989" s="1222"/>
      <c r="L2989" s="431"/>
      <c r="M2989" s="431"/>
      <c r="N2989" s="431"/>
    </row>
    <row r="2990" spans="1:14" s="398" customFormat="1" hidden="1" outlineLevel="1">
      <c r="A2990" s="1250"/>
      <c r="B2990" s="305" t="s">
        <v>611</v>
      </c>
      <c r="C2990" s="165" t="s">
        <v>2</v>
      </c>
      <c r="D2990" s="437">
        <v>1</v>
      </c>
      <c r="E2990" s="298">
        <v>2</v>
      </c>
      <c r="F2990" s="1155">
        <v>6.2649999999999997</v>
      </c>
      <c r="G2990" s="1156">
        <v>0.46</v>
      </c>
      <c r="H2990" s="1156">
        <v>0.3</v>
      </c>
      <c r="I2990" s="399">
        <f t="shared" si="81"/>
        <v>1.73</v>
      </c>
      <c r="J2990" s="374"/>
      <c r="K2990" s="1222"/>
      <c r="L2990" s="431"/>
      <c r="M2990" s="431"/>
      <c r="N2990" s="431"/>
    </row>
    <row r="2991" spans="1:14" s="398" customFormat="1" hidden="1" outlineLevel="1">
      <c r="A2991" s="1250"/>
      <c r="B2991" s="305"/>
      <c r="C2991" s="165" t="s">
        <v>2</v>
      </c>
      <c r="D2991" s="437">
        <v>1</v>
      </c>
      <c r="E2991" s="298">
        <v>2</v>
      </c>
      <c r="F2991" s="1155">
        <v>6.2649999999999997</v>
      </c>
      <c r="G2991" s="1156">
        <v>0.34499999999999997</v>
      </c>
      <c r="H2991" s="1156">
        <v>0.3</v>
      </c>
      <c r="I2991" s="399">
        <f t="shared" si="81"/>
        <v>1.3</v>
      </c>
      <c r="J2991" s="374"/>
      <c r="K2991" s="1222"/>
      <c r="L2991" s="431"/>
      <c r="M2991" s="431"/>
      <c r="N2991" s="431"/>
    </row>
    <row r="2992" spans="1:14" s="398" customFormat="1" hidden="1" outlineLevel="1">
      <c r="A2992" s="1250"/>
      <c r="B2992" s="305"/>
      <c r="C2992" s="165" t="s">
        <v>2</v>
      </c>
      <c r="D2992" s="437">
        <v>1</v>
      </c>
      <c r="E2992" s="298">
        <v>2</v>
      </c>
      <c r="F2992" s="1155">
        <v>6.2649999999999997</v>
      </c>
      <c r="G2992" s="1156">
        <v>0.23</v>
      </c>
      <c r="H2992" s="1156">
        <f>1.2-0.15-0.6-0.06-0.2</f>
        <v>0.19000000000000006</v>
      </c>
      <c r="I2992" s="399">
        <f t="shared" si="81"/>
        <v>0.55000000000000004</v>
      </c>
      <c r="J2992" s="374"/>
      <c r="K2992" s="1222"/>
      <c r="L2992" s="431"/>
      <c r="M2992" s="431"/>
      <c r="N2992" s="431"/>
    </row>
    <row r="2993" spans="1:14" s="398" customFormat="1" hidden="1" outlineLevel="1">
      <c r="A2993" s="1250"/>
      <c r="B2993" s="305"/>
      <c r="C2993" s="165"/>
      <c r="D2993" s="437"/>
      <c r="E2993" s="298"/>
      <c r="F2993" s="1156"/>
      <c r="G2993" s="1156"/>
      <c r="H2993" s="1156"/>
      <c r="I2993" s="399" t="str">
        <f t="shared" si="81"/>
        <v/>
      </c>
      <c r="J2993" s="374"/>
      <c r="K2993" s="1222"/>
      <c r="L2993" s="431"/>
      <c r="M2993" s="431"/>
      <c r="N2993" s="431"/>
    </row>
    <row r="2994" spans="1:14" s="464" customFormat="1" hidden="1" outlineLevel="1">
      <c r="A2994" s="1264"/>
      <c r="B2994" s="343" t="s">
        <v>612</v>
      </c>
      <c r="C2994" s="345" t="s">
        <v>2</v>
      </c>
      <c r="D2994" s="444">
        <f t="shared" ref="D2994:D2996" si="84">1*0</f>
        <v>0</v>
      </c>
      <c r="E2994" s="337">
        <v>2</v>
      </c>
      <c r="F2994" s="1157">
        <f>6.265+G2994</f>
        <v>6.7249999999999996</v>
      </c>
      <c r="G2994" s="1157">
        <v>0.46</v>
      </c>
      <c r="H2994" s="1157">
        <v>0.3</v>
      </c>
      <c r="I2994" s="399" t="str">
        <f t="shared" si="81"/>
        <v/>
      </c>
      <c r="J2994" s="381"/>
      <c r="K2994" s="1258"/>
      <c r="L2994" s="463"/>
      <c r="M2994" s="463"/>
      <c r="N2994" s="463"/>
    </row>
    <row r="2995" spans="1:14" s="464" customFormat="1" hidden="1" outlineLevel="1">
      <c r="A2995" s="1264"/>
      <c r="B2995" s="343"/>
      <c r="C2995" s="345" t="s">
        <v>2</v>
      </c>
      <c r="D2995" s="444">
        <f t="shared" si="84"/>
        <v>0</v>
      </c>
      <c r="E2995" s="337">
        <v>2</v>
      </c>
      <c r="F2995" s="1157">
        <f t="shared" ref="F2995:F2996" si="85">6.265+G2995</f>
        <v>6.6099999999999994</v>
      </c>
      <c r="G2995" s="1157">
        <v>0.34499999999999997</v>
      </c>
      <c r="H2995" s="1157">
        <v>0.3</v>
      </c>
      <c r="I2995" s="399" t="str">
        <f t="shared" si="81"/>
        <v/>
      </c>
      <c r="J2995" s="381"/>
      <c r="K2995" s="1258"/>
      <c r="L2995" s="463"/>
      <c r="M2995" s="463"/>
      <c r="N2995" s="463"/>
    </row>
    <row r="2996" spans="1:14" s="464" customFormat="1" hidden="1" outlineLevel="1">
      <c r="A2996" s="1264"/>
      <c r="B2996" s="343"/>
      <c r="C2996" s="345" t="s">
        <v>2</v>
      </c>
      <c r="D2996" s="444">
        <f t="shared" si="84"/>
        <v>0</v>
      </c>
      <c r="E2996" s="337">
        <v>2</v>
      </c>
      <c r="F2996" s="1157">
        <f t="shared" si="85"/>
        <v>6.4950000000000001</v>
      </c>
      <c r="G2996" s="1157">
        <v>0.23</v>
      </c>
      <c r="H2996" s="1157">
        <f>1.2-0.15-0.6-0.06-0.2</f>
        <v>0.19000000000000006</v>
      </c>
      <c r="I2996" s="399" t="str">
        <f t="shared" si="81"/>
        <v/>
      </c>
      <c r="J2996" s="381"/>
      <c r="K2996" s="1258"/>
      <c r="L2996" s="463"/>
      <c r="M2996" s="463"/>
      <c r="N2996" s="463"/>
    </row>
    <row r="2997" spans="1:14" s="398" customFormat="1" hidden="1" outlineLevel="1">
      <c r="A2997" s="1250"/>
      <c r="B2997" s="305"/>
      <c r="C2997" s="165"/>
      <c r="D2997" s="437"/>
      <c r="E2997" s="298"/>
      <c r="F2997" s="1156"/>
      <c r="G2997" s="1156"/>
      <c r="H2997" s="1156"/>
      <c r="I2997" s="399" t="str">
        <f t="shared" si="81"/>
        <v/>
      </c>
      <c r="J2997" s="374"/>
      <c r="K2997" s="1222"/>
      <c r="L2997" s="431"/>
      <c r="M2997" s="431"/>
      <c r="N2997" s="431"/>
    </row>
    <row r="2998" spans="1:14" s="398" customFormat="1" hidden="1" outlineLevel="1">
      <c r="A2998" s="1250"/>
      <c r="B2998" s="305"/>
      <c r="C2998" s="165" t="s">
        <v>2</v>
      </c>
      <c r="D2998" s="437">
        <v>1</v>
      </c>
      <c r="E2998" s="298">
        <v>2</v>
      </c>
      <c r="F2998" s="1155">
        <v>4.74</v>
      </c>
      <c r="G2998" s="1156">
        <v>0.46</v>
      </c>
      <c r="H2998" s="1156">
        <v>0.3</v>
      </c>
      <c r="I2998" s="399">
        <f t="shared" si="81"/>
        <v>1.31</v>
      </c>
      <c r="J2998" s="374"/>
      <c r="K2998" s="1222"/>
      <c r="L2998" s="431"/>
      <c r="M2998" s="431"/>
      <c r="N2998" s="431"/>
    </row>
    <row r="2999" spans="1:14" s="398" customFormat="1" hidden="1" outlineLevel="1">
      <c r="A2999" s="1250"/>
      <c r="B2999" s="305"/>
      <c r="C2999" s="165" t="s">
        <v>2</v>
      </c>
      <c r="D2999" s="437">
        <v>1</v>
      </c>
      <c r="E2999" s="298">
        <v>2</v>
      </c>
      <c r="F2999" s="1155">
        <v>4.74</v>
      </c>
      <c r="G2999" s="1156">
        <v>0.34499999999999997</v>
      </c>
      <c r="H2999" s="1156">
        <v>0.3</v>
      </c>
      <c r="I2999" s="399">
        <f t="shared" si="81"/>
        <v>0.98</v>
      </c>
      <c r="J2999" s="374"/>
      <c r="K2999" s="1222"/>
      <c r="L2999" s="431"/>
      <c r="M2999" s="431"/>
      <c r="N2999" s="431"/>
    </row>
    <row r="3000" spans="1:14" s="398" customFormat="1" hidden="1" outlineLevel="1">
      <c r="A3000" s="1250"/>
      <c r="B3000" s="305"/>
      <c r="C3000" s="165" t="s">
        <v>2</v>
      </c>
      <c r="D3000" s="437">
        <v>1</v>
      </c>
      <c r="E3000" s="298">
        <v>2</v>
      </c>
      <c r="F3000" s="1155">
        <v>4.74</v>
      </c>
      <c r="G3000" s="1156">
        <v>0.23</v>
      </c>
      <c r="H3000" s="1156">
        <f>1.2-0.15-0.6-0.06-0.2</f>
        <v>0.19000000000000006</v>
      </c>
      <c r="I3000" s="399">
        <f t="shared" si="81"/>
        <v>0.41</v>
      </c>
      <c r="J3000" s="374"/>
      <c r="K3000" s="1222"/>
      <c r="L3000" s="431"/>
      <c r="M3000" s="431"/>
      <c r="N3000" s="431"/>
    </row>
    <row r="3001" spans="1:14" s="398" customFormat="1" hidden="1" outlineLevel="1">
      <c r="A3001" s="1250"/>
      <c r="B3001" s="305"/>
      <c r="C3001" s="165"/>
      <c r="D3001" s="437"/>
      <c r="E3001" s="298"/>
      <c r="F3001" s="1156"/>
      <c r="G3001" s="1156"/>
      <c r="H3001" s="1156"/>
      <c r="I3001" s="399" t="str">
        <f t="shared" si="81"/>
        <v/>
      </c>
      <c r="J3001" s="374"/>
      <c r="K3001" s="1222"/>
      <c r="L3001" s="431"/>
      <c r="M3001" s="431"/>
      <c r="N3001" s="431"/>
    </row>
    <row r="3002" spans="1:14" s="398" customFormat="1" hidden="1" outlineLevel="1">
      <c r="A3002" s="1250"/>
      <c r="B3002" s="305"/>
      <c r="C3002" s="165" t="s">
        <v>2</v>
      </c>
      <c r="D3002" s="437">
        <v>1</v>
      </c>
      <c r="E3002" s="298">
        <v>2</v>
      </c>
      <c r="F3002" s="1155">
        <v>3.52</v>
      </c>
      <c r="G3002" s="1156">
        <v>0.46</v>
      </c>
      <c r="H3002" s="1156">
        <v>0.3</v>
      </c>
      <c r="I3002" s="399">
        <f t="shared" si="81"/>
        <v>0.97</v>
      </c>
      <c r="J3002" s="374"/>
      <c r="K3002" s="1222"/>
      <c r="L3002" s="431"/>
      <c r="M3002" s="431"/>
      <c r="N3002" s="431"/>
    </row>
    <row r="3003" spans="1:14" s="398" customFormat="1" hidden="1" outlineLevel="1">
      <c r="A3003" s="1250"/>
      <c r="B3003" s="305"/>
      <c r="C3003" s="165" t="s">
        <v>2</v>
      </c>
      <c r="D3003" s="437">
        <v>1</v>
      </c>
      <c r="E3003" s="298">
        <v>2</v>
      </c>
      <c r="F3003" s="1155">
        <v>3.52</v>
      </c>
      <c r="G3003" s="1156">
        <v>0.34499999999999997</v>
      </c>
      <c r="H3003" s="1156">
        <v>0.3</v>
      </c>
      <c r="I3003" s="399">
        <f t="shared" si="81"/>
        <v>0.73</v>
      </c>
      <c r="J3003" s="374"/>
      <c r="K3003" s="1222"/>
      <c r="L3003" s="431"/>
      <c r="M3003" s="431"/>
      <c r="N3003" s="431"/>
    </row>
    <row r="3004" spans="1:14" s="398" customFormat="1" hidden="1" outlineLevel="1">
      <c r="A3004" s="1250"/>
      <c r="B3004" s="305"/>
      <c r="C3004" s="165" t="s">
        <v>2</v>
      </c>
      <c r="D3004" s="437">
        <v>1</v>
      </c>
      <c r="E3004" s="298">
        <v>2</v>
      </c>
      <c r="F3004" s="1155">
        <v>3.52</v>
      </c>
      <c r="G3004" s="1156">
        <v>0.23</v>
      </c>
      <c r="H3004" s="1156">
        <f>1.2-0.15-0.6-0.06-0.2</f>
        <v>0.19000000000000006</v>
      </c>
      <c r="I3004" s="399">
        <f t="shared" si="81"/>
        <v>0.31</v>
      </c>
      <c r="J3004" s="374"/>
      <c r="K3004" s="1222"/>
      <c r="L3004" s="431"/>
      <c r="M3004" s="431"/>
      <c r="N3004" s="431"/>
    </row>
    <row r="3005" spans="1:14" s="398" customFormat="1" hidden="1" outlineLevel="1">
      <c r="A3005" s="1250"/>
      <c r="B3005" s="305"/>
      <c r="C3005" s="165"/>
      <c r="D3005" s="437"/>
      <c r="E3005" s="298"/>
      <c r="F3005" s="1156"/>
      <c r="G3005" s="1156"/>
      <c r="H3005" s="1156"/>
      <c r="I3005" s="399" t="str">
        <f t="shared" si="81"/>
        <v/>
      </c>
      <c r="J3005" s="374"/>
      <c r="K3005" s="1222"/>
      <c r="L3005" s="431"/>
      <c r="M3005" s="431"/>
      <c r="N3005" s="431"/>
    </row>
    <row r="3006" spans="1:14" s="398" customFormat="1" hidden="1" outlineLevel="1">
      <c r="A3006" s="1250"/>
      <c r="B3006" s="305"/>
      <c r="C3006" s="165" t="s">
        <v>2</v>
      </c>
      <c r="D3006" s="437">
        <v>6</v>
      </c>
      <c r="E3006" s="298">
        <v>2</v>
      </c>
      <c r="F3006" s="1155">
        <v>3.2149999999999999</v>
      </c>
      <c r="G3006" s="1156">
        <v>0.46</v>
      </c>
      <c r="H3006" s="1156">
        <v>0.3</v>
      </c>
      <c r="I3006" s="399">
        <f t="shared" si="81"/>
        <v>5.32</v>
      </c>
      <c r="J3006" s="374"/>
      <c r="K3006" s="1222"/>
      <c r="L3006" s="431"/>
      <c r="M3006" s="431"/>
      <c r="N3006" s="431"/>
    </row>
    <row r="3007" spans="1:14" s="398" customFormat="1" hidden="1" outlineLevel="1">
      <c r="A3007" s="1250"/>
      <c r="B3007" s="305"/>
      <c r="C3007" s="165" t="s">
        <v>2</v>
      </c>
      <c r="D3007" s="437">
        <v>6</v>
      </c>
      <c r="E3007" s="298">
        <v>2</v>
      </c>
      <c r="F3007" s="1155">
        <v>3.2149999999999999</v>
      </c>
      <c r="G3007" s="1156">
        <v>0.34499999999999997</v>
      </c>
      <c r="H3007" s="1156">
        <v>0.3</v>
      </c>
      <c r="I3007" s="399">
        <f t="shared" si="81"/>
        <v>3.99</v>
      </c>
      <c r="J3007" s="374"/>
      <c r="K3007" s="1222"/>
      <c r="L3007" s="431"/>
      <c r="M3007" s="431"/>
      <c r="N3007" s="431"/>
    </row>
    <row r="3008" spans="1:14" s="398" customFormat="1" hidden="1" outlineLevel="1">
      <c r="A3008" s="1250"/>
      <c r="B3008" s="305"/>
      <c r="C3008" s="165" t="s">
        <v>2</v>
      </c>
      <c r="D3008" s="437">
        <v>6</v>
      </c>
      <c r="E3008" s="298">
        <v>2</v>
      </c>
      <c r="F3008" s="1155">
        <v>3.2149999999999999</v>
      </c>
      <c r="G3008" s="1156">
        <v>0.23</v>
      </c>
      <c r="H3008" s="1156">
        <f>1.2-0.15-0.6-0.06-0.2</f>
        <v>0.19000000000000006</v>
      </c>
      <c r="I3008" s="399">
        <f t="shared" si="81"/>
        <v>1.69</v>
      </c>
      <c r="J3008" s="374"/>
      <c r="K3008" s="1222"/>
      <c r="L3008" s="431"/>
      <c r="M3008" s="431"/>
      <c r="N3008" s="431"/>
    </row>
    <row r="3009" spans="1:14" s="398" customFormat="1" hidden="1" outlineLevel="1">
      <c r="A3009" s="1250"/>
      <c r="B3009" s="305"/>
      <c r="C3009" s="165"/>
      <c r="D3009" s="437"/>
      <c r="E3009" s="298"/>
      <c r="F3009" s="1156"/>
      <c r="G3009" s="1156"/>
      <c r="H3009" s="1156"/>
      <c r="I3009" s="399" t="str">
        <f t="shared" si="81"/>
        <v/>
      </c>
      <c r="J3009" s="374"/>
      <c r="K3009" s="1222"/>
      <c r="L3009" s="431"/>
      <c r="M3009" s="431"/>
      <c r="N3009" s="431"/>
    </row>
    <row r="3010" spans="1:14" s="398" customFormat="1" hidden="1" outlineLevel="1">
      <c r="A3010" s="1250"/>
      <c r="B3010" s="305"/>
      <c r="C3010" s="165" t="s">
        <v>2</v>
      </c>
      <c r="D3010" s="437">
        <v>1</v>
      </c>
      <c r="E3010" s="298">
        <v>1</v>
      </c>
      <c r="F3010" s="1155">
        <v>3.2149999999999999</v>
      </c>
      <c r="G3010" s="1156">
        <v>0.46</v>
      </c>
      <c r="H3010" s="1156">
        <v>0.3</v>
      </c>
      <c r="I3010" s="399">
        <f t="shared" si="81"/>
        <v>0.44</v>
      </c>
      <c r="J3010" s="374"/>
      <c r="K3010" s="1222"/>
      <c r="L3010" s="431"/>
      <c r="M3010" s="431"/>
      <c r="N3010" s="431"/>
    </row>
    <row r="3011" spans="1:14" s="398" customFormat="1" hidden="1" outlineLevel="1">
      <c r="A3011" s="1250"/>
      <c r="B3011" s="305"/>
      <c r="C3011" s="165" t="s">
        <v>2</v>
      </c>
      <c r="D3011" s="437">
        <v>1</v>
      </c>
      <c r="E3011" s="298">
        <v>1</v>
      </c>
      <c r="F3011" s="1155">
        <v>3.2149999999999999</v>
      </c>
      <c r="G3011" s="1156">
        <v>0.34499999999999997</v>
      </c>
      <c r="H3011" s="1156">
        <v>0.3</v>
      </c>
      <c r="I3011" s="399">
        <f t="shared" si="81"/>
        <v>0.33</v>
      </c>
      <c r="J3011" s="374"/>
      <c r="K3011" s="1222"/>
      <c r="L3011" s="431"/>
      <c r="M3011" s="431"/>
      <c r="N3011" s="431"/>
    </row>
    <row r="3012" spans="1:14" s="398" customFormat="1" hidden="1" outlineLevel="1">
      <c r="A3012" s="1250"/>
      <c r="B3012" s="305"/>
      <c r="C3012" s="165" t="s">
        <v>2</v>
      </c>
      <c r="D3012" s="437">
        <v>1</v>
      </c>
      <c r="E3012" s="298">
        <v>1</v>
      </c>
      <c r="F3012" s="1155">
        <v>3.2149999999999999</v>
      </c>
      <c r="G3012" s="1156">
        <v>0.23</v>
      </c>
      <c r="H3012" s="1156">
        <f>1.2-0.15-0.6-0.06-0.2</f>
        <v>0.19000000000000006</v>
      </c>
      <c r="I3012" s="399">
        <f t="shared" si="81"/>
        <v>0.14000000000000001</v>
      </c>
      <c r="J3012" s="374"/>
      <c r="K3012" s="1222"/>
      <c r="L3012" s="431"/>
      <c r="M3012" s="431"/>
      <c r="N3012" s="431"/>
    </row>
    <row r="3013" spans="1:14" s="398" customFormat="1" hidden="1" outlineLevel="1">
      <c r="A3013" s="1250"/>
      <c r="B3013" s="305"/>
      <c r="C3013" s="165"/>
      <c r="D3013" s="437"/>
      <c r="E3013" s="298"/>
      <c r="F3013" s="1156"/>
      <c r="G3013" s="1156"/>
      <c r="H3013" s="1156"/>
      <c r="I3013" s="399" t="str">
        <f t="shared" si="81"/>
        <v/>
      </c>
      <c r="J3013" s="374"/>
      <c r="K3013" s="1222"/>
      <c r="L3013" s="431"/>
      <c r="M3013" s="431"/>
      <c r="N3013" s="431"/>
    </row>
    <row r="3014" spans="1:14" s="398" customFormat="1" hidden="1" outlineLevel="1">
      <c r="A3014" s="1250"/>
      <c r="B3014" s="305"/>
      <c r="C3014" s="165" t="s">
        <v>2</v>
      </c>
      <c r="D3014" s="437">
        <v>1</v>
      </c>
      <c r="E3014" s="298">
        <v>1</v>
      </c>
      <c r="F3014" s="1156">
        <f>4.215+G3014*2</f>
        <v>5.1349999999999998</v>
      </c>
      <c r="G3014" s="1156">
        <v>0.46</v>
      </c>
      <c r="H3014" s="1156">
        <v>0.3</v>
      </c>
      <c r="I3014" s="399">
        <f t="shared" si="81"/>
        <v>0.71</v>
      </c>
      <c r="J3014" s="374"/>
      <c r="K3014" s="1222"/>
      <c r="L3014" s="431"/>
      <c r="M3014" s="431"/>
      <c r="N3014" s="431"/>
    </row>
    <row r="3015" spans="1:14" s="398" customFormat="1" hidden="1" outlineLevel="1">
      <c r="A3015" s="1250"/>
      <c r="B3015" s="305"/>
      <c r="C3015" s="165" t="s">
        <v>2</v>
      </c>
      <c r="D3015" s="437">
        <v>1</v>
      </c>
      <c r="E3015" s="298">
        <v>1</v>
      </c>
      <c r="F3015" s="1156">
        <f t="shared" ref="F3015:F3016" si="86">4.215+G3015*2</f>
        <v>4.9049999999999994</v>
      </c>
      <c r="G3015" s="1156">
        <v>0.34499999999999997</v>
      </c>
      <c r="H3015" s="1156">
        <v>0.3</v>
      </c>
      <c r="I3015" s="399">
        <f t="shared" si="81"/>
        <v>0.51</v>
      </c>
      <c r="J3015" s="374"/>
      <c r="K3015" s="1222"/>
      <c r="L3015" s="431"/>
      <c r="M3015" s="431"/>
      <c r="N3015" s="431"/>
    </row>
    <row r="3016" spans="1:14" s="398" customFormat="1" hidden="1" outlineLevel="1">
      <c r="A3016" s="1250"/>
      <c r="B3016" s="305"/>
      <c r="C3016" s="165" t="s">
        <v>2</v>
      </c>
      <c r="D3016" s="437">
        <v>1</v>
      </c>
      <c r="E3016" s="298">
        <v>1</v>
      </c>
      <c r="F3016" s="1156">
        <f t="shared" si="86"/>
        <v>4.6749999999999998</v>
      </c>
      <c r="G3016" s="1156">
        <v>0.23</v>
      </c>
      <c r="H3016" s="1156">
        <f>1.2-0.15-0.6-0.06-0.2</f>
        <v>0.19000000000000006</v>
      </c>
      <c r="I3016" s="399">
        <f t="shared" si="81"/>
        <v>0.2</v>
      </c>
      <c r="J3016" s="374"/>
      <c r="K3016" s="1222"/>
      <c r="L3016" s="431"/>
      <c r="M3016" s="431"/>
      <c r="N3016" s="431"/>
    </row>
    <row r="3017" spans="1:14" s="398" customFormat="1" hidden="1" outlineLevel="1">
      <c r="A3017" s="1250"/>
      <c r="B3017" s="305" t="s">
        <v>273</v>
      </c>
      <c r="C3017" s="165" t="s">
        <v>2</v>
      </c>
      <c r="D3017" s="437">
        <v>1</v>
      </c>
      <c r="E3017" s="298">
        <v>11</v>
      </c>
      <c r="F3017" s="1156">
        <v>3</v>
      </c>
      <c r="G3017" s="1156">
        <v>0.115</v>
      </c>
      <c r="H3017" s="1156">
        <f>1.2-0.15-0.6-0.06-0.2</f>
        <v>0.19000000000000006</v>
      </c>
      <c r="I3017" s="399">
        <f t="shared" si="81"/>
        <v>0.72</v>
      </c>
      <c r="J3017" s="374"/>
      <c r="K3017" s="1222"/>
      <c r="L3017" s="431"/>
      <c r="M3017" s="431"/>
      <c r="N3017" s="431"/>
    </row>
    <row r="3018" spans="1:14" s="398" customFormat="1" hidden="1" outlineLevel="1">
      <c r="A3018" s="1250"/>
      <c r="B3018" s="305"/>
      <c r="C3018" s="165" t="s">
        <v>2</v>
      </c>
      <c r="D3018" s="437">
        <v>1</v>
      </c>
      <c r="E3018" s="298">
        <v>11</v>
      </c>
      <c r="F3018" s="1156">
        <v>3</v>
      </c>
      <c r="G3018" s="1156">
        <v>0.34499999999999997</v>
      </c>
      <c r="H3018" s="1156">
        <f>1.2-0.15-0.6-0.06-0.275+0.5-0.19</f>
        <v>0.42499999999999999</v>
      </c>
      <c r="I3018" s="399">
        <f t="shared" si="81"/>
        <v>4.84</v>
      </c>
      <c r="J3018" s="374"/>
      <c r="K3018" s="1222"/>
      <c r="L3018" s="431"/>
      <c r="M3018" s="431"/>
      <c r="N3018" s="431"/>
    </row>
    <row r="3019" spans="1:14" s="398" customFormat="1" ht="51.75" hidden="1" outlineLevel="1">
      <c r="A3019" s="1250"/>
      <c r="B3019" s="598" t="s">
        <v>651</v>
      </c>
      <c r="C3019" s="165"/>
      <c r="D3019" s="437"/>
      <c r="E3019" s="298"/>
      <c r="F3019" s="1156"/>
      <c r="G3019" s="1156"/>
      <c r="H3019" s="1156"/>
      <c r="I3019" s="399" t="str">
        <f t="shared" si="81"/>
        <v/>
      </c>
      <c r="J3019" s="374"/>
      <c r="K3019" s="1222"/>
      <c r="L3019" s="431"/>
      <c r="M3019" s="431"/>
      <c r="N3019" s="431"/>
    </row>
    <row r="3020" spans="1:14" s="398" customFormat="1" hidden="1" outlineLevel="1">
      <c r="A3020" s="1250"/>
      <c r="B3020" s="303" t="s">
        <v>615</v>
      </c>
      <c r="C3020" s="165"/>
      <c r="D3020" s="437"/>
      <c r="E3020" s="298"/>
      <c r="F3020" s="1156"/>
      <c r="G3020" s="1156"/>
      <c r="H3020" s="1156"/>
      <c r="I3020" s="399" t="str">
        <f t="shared" si="81"/>
        <v/>
      </c>
      <c r="J3020" s="374"/>
      <c r="K3020" s="1222"/>
      <c r="L3020" s="431"/>
      <c r="M3020" s="431"/>
      <c r="N3020" s="431"/>
    </row>
    <row r="3021" spans="1:14" s="398" customFormat="1" hidden="1" outlineLevel="1">
      <c r="A3021" s="1250"/>
      <c r="B3021" s="303" t="s">
        <v>616</v>
      </c>
      <c r="C3021" s="165" t="s">
        <v>2</v>
      </c>
      <c r="D3021" s="437">
        <v>1</v>
      </c>
      <c r="E3021" s="298">
        <v>2</v>
      </c>
      <c r="F3021" s="1156">
        <f>3.59+G3021</f>
        <v>4.05</v>
      </c>
      <c r="G3021" s="1156">
        <v>0.46</v>
      </c>
      <c r="H3021" s="1156">
        <v>0.3</v>
      </c>
      <c r="I3021" s="399">
        <f t="shared" si="81"/>
        <v>1.1200000000000001</v>
      </c>
      <c r="J3021" s="374"/>
      <c r="K3021" s="1222"/>
      <c r="L3021" s="431"/>
      <c r="M3021" s="431"/>
      <c r="N3021" s="431"/>
    </row>
    <row r="3022" spans="1:14" s="398" customFormat="1" hidden="1" outlineLevel="1">
      <c r="A3022" s="1250"/>
      <c r="B3022" s="305"/>
      <c r="C3022" s="165" t="s">
        <v>2</v>
      </c>
      <c r="D3022" s="437">
        <v>1</v>
      </c>
      <c r="E3022" s="298">
        <v>2</v>
      </c>
      <c r="F3022" s="1156">
        <f t="shared" ref="F3022:F3023" si="87">3.59+G3022</f>
        <v>3.9349999999999996</v>
      </c>
      <c r="G3022" s="1156">
        <v>0.34499999999999997</v>
      </c>
      <c r="H3022" s="1156">
        <v>0.3</v>
      </c>
      <c r="I3022" s="399">
        <f t="shared" si="81"/>
        <v>0.81</v>
      </c>
      <c r="J3022" s="374"/>
      <c r="K3022" s="1222"/>
      <c r="L3022" s="431"/>
      <c r="M3022" s="431"/>
      <c r="N3022" s="431"/>
    </row>
    <row r="3023" spans="1:14" s="398" customFormat="1" hidden="1" outlineLevel="1">
      <c r="A3023" s="1250"/>
      <c r="B3023" s="305"/>
      <c r="C3023" s="165" t="s">
        <v>2</v>
      </c>
      <c r="D3023" s="437">
        <v>1</v>
      </c>
      <c r="E3023" s="298">
        <v>2</v>
      </c>
      <c r="F3023" s="1156">
        <f t="shared" si="87"/>
        <v>3.82</v>
      </c>
      <c r="G3023" s="1156">
        <v>0.23</v>
      </c>
      <c r="H3023" s="1156">
        <f>1.2-0.15-0.6-0.06-0.2</f>
        <v>0.19000000000000006</v>
      </c>
      <c r="I3023" s="399">
        <f t="shared" si="81"/>
        <v>0.33</v>
      </c>
      <c r="J3023" s="374"/>
      <c r="K3023" s="1222"/>
      <c r="L3023" s="431"/>
      <c r="M3023" s="431"/>
      <c r="N3023" s="431"/>
    </row>
    <row r="3024" spans="1:14" s="398" customFormat="1" hidden="1" outlineLevel="1">
      <c r="A3024" s="1250"/>
      <c r="B3024" s="305"/>
      <c r="C3024" s="165"/>
      <c r="D3024" s="437"/>
      <c r="E3024" s="298"/>
      <c r="F3024" s="1156"/>
      <c r="G3024" s="1156"/>
      <c r="H3024" s="1156"/>
      <c r="I3024" s="399" t="str">
        <f t="shared" si="81"/>
        <v/>
      </c>
      <c r="J3024" s="374"/>
      <c r="K3024" s="1222"/>
      <c r="L3024" s="431"/>
      <c r="M3024" s="431"/>
      <c r="N3024" s="431"/>
    </row>
    <row r="3025" spans="1:14" s="398" customFormat="1" hidden="1" outlineLevel="1">
      <c r="A3025" s="1250"/>
      <c r="B3025" s="305"/>
      <c r="C3025" s="165" t="s">
        <v>2</v>
      </c>
      <c r="D3025" s="437">
        <v>1</v>
      </c>
      <c r="E3025" s="298">
        <v>2</v>
      </c>
      <c r="F3025" s="1156">
        <f>5.725+G3025</f>
        <v>6.1849999999999996</v>
      </c>
      <c r="G3025" s="1156">
        <v>0.46</v>
      </c>
      <c r="H3025" s="1156">
        <v>0.3</v>
      </c>
      <c r="I3025" s="399">
        <f t="shared" si="81"/>
        <v>1.71</v>
      </c>
      <c r="J3025" s="374"/>
      <c r="K3025" s="1222"/>
      <c r="L3025" s="431"/>
      <c r="M3025" s="431"/>
      <c r="N3025" s="431"/>
    </row>
    <row r="3026" spans="1:14" s="398" customFormat="1" hidden="1" outlineLevel="1">
      <c r="A3026" s="1250"/>
      <c r="B3026" s="305"/>
      <c r="C3026" s="165" t="s">
        <v>2</v>
      </c>
      <c r="D3026" s="437">
        <v>1</v>
      </c>
      <c r="E3026" s="298">
        <v>2</v>
      </c>
      <c r="F3026" s="1156">
        <f t="shared" ref="F3026:F3027" si="88">5.725+G3026</f>
        <v>6.0699999999999994</v>
      </c>
      <c r="G3026" s="1156">
        <v>0.34499999999999997</v>
      </c>
      <c r="H3026" s="1156">
        <v>0.3</v>
      </c>
      <c r="I3026" s="399">
        <f t="shared" si="81"/>
        <v>1.26</v>
      </c>
      <c r="J3026" s="374"/>
      <c r="K3026" s="1222"/>
      <c r="L3026" s="431"/>
      <c r="M3026" s="431"/>
      <c r="N3026" s="431"/>
    </row>
    <row r="3027" spans="1:14" s="398" customFormat="1" hidden="1" outlineLevel="1">
      <c r="A3027" s="1250"/>
      <c r="B3027" s="305"/>
      <c r="C3027" s="165" t="s">
        <v>2</v>
      </c>
      <c r="D3027" s="437">
        <v>1</v>
      </c>
      <c r="E3027" s="298">
        <v>2</v>
      </c>
      <c r="F3027" s="1156">
        <f t="shared" si="88"/>
        <v>5.9550000000000001</v>
      </c>
      <c r="G3027" s="1156">
        <v>0.23</v>
      </c>
      <c r="H3027" s="1156">
        <f>1.2-0.15-0.6-0.06-0.2</f>
        <v>0.19000000000000006</v>
      </c>
      <c r="I3027" s="399">
        <f t="shared" si="81"/>
        <v>0.52</v>
      </c>
      <c r="J3027" s="374"/>
      <c r="K3027" s="1222"/>
      <c r="L3027" s="431"/>
      <c r="M3027" s="431"/>
      <c r="N3027" s="431"/>
    </row>
    <row r="3028" spans="1:14" s="398" customFormat="1" hidden="1" outlineLevel="1">
      <c r="A3028" s="1250"/>
      <c r="B3028" s="305"/>
      <c r="C3028" s="165"/>
      <c r="D3028" s="437"/>
      <c r="E3028" s="298"/>
      <c r="F3028" s="1156"/>
      <c r="G3028" s="1156"/>
      <c r="H3028" s="1156"/>
      <c r="I3028" s="399" t="str">
        <f t="shared" si="81"/>
        <v/>
      </c>
      <c r="J3028" s="374"/>
      <c r="K3028" s="1222"/>
      <c r="L3028" s="431"/>
      <c r="M3028" s="431"/>
      <c r="N3028" s="431"/>
    </row>
    <row r="3029" spans="1:14" s="398" customFormat="1" hidden="1" outlineLevel="1">
      <c r="A3029" s="1250"/>
      <c r="B3029" s="305"/>
      <c r="C3029" s="165" t="s">
        <v>2</v>
      </c>
      <c r="D3029" s="437">
        <v>1</v>
      </c>
      <c r="E3029" s="298">
        <v>2</v>
      </c>
      <c r="F3029" s="1156">
        <f>6.64+G3029</f>
        <v>7.1</v>
      </c>
      <c r="G3029" s="1156">
        <v>0.46</v>
      </c>
      <c r="H3029" s="1156">
        <v>0.3</v>
      </c>
      <c r="I3029" s="399">
        <f t="shared" si="81"/>
        <v>1.96</v>
      </c>
      <c r="J3029" s="374"/>
      <c r="K3029" s="1222"/>
      <c r="L3029" s="431"/>
      <c r="M3029" s="431"/>
      <c r="N3029" s="431"/>
    </row>
    <row r="3030" spans="1:14" s="398" customFormat="1" hidden="1" outlineLevel="1">
      <c r="A3030" s="1250"/>
      <c r="B3030" s="305"/>
      <c r="C3030" s="165" t="s">
        <v>2</v>
      </c>
      <c r="D3030" s="437">
        <v>1</v>
      </c>
      <c r="E3030" s="298">
        <v>2</v>
      </c>
      <c r="F3030" s="1156">
        <f t="shared" ref="F3030:F3031" si="89">6.64+G3030</f>
        <v>6.9849999999999994</v>
      </c>
      <c r="G3030" s="1156">
        <v>0.34499999999999997</v>
      </c>
      <c r="H3030" s="1156">
        <v>0.3</v>
      </c>
      <c r="I3030" s="399">
        <f t="shared" si="81"/>
        <v>1.45</v>
      </c>
      <c r="J3030" s="374"/>
      <c r="K3030" s="1222"/>
      <c r="L3030" s="431"/>
      <c r="M3030" s="431"/>
      <c r="N3030" s="431"/>
    </row>
    <row r="3031" spans="1:14" s="398" customFormat="1" hidden="1" outlineLevel="1">
      <c r="A3031" s="1250"/>
      <c r="B3031" s="305"/>
      <c r="C3031" s="165" t="s">
        <v>2</v>
      </c>
      <c r="D3031" s="437">
        <v>1</v>
      </c>
      <c r="E3031" s="298">
        <v>2</v>
      </c>
      <c r="F3031" s="1156">
        <f t="shared" si="89"/>
        <v>6.87</v>
      </c>
      <c r="G3031" s="1156">
        <v>0.23</v>
      </c>
      <c r="H3031" s="1156">
        <f>1.2-0.15-0.6-0.06-0.2</f>
        <v>0.19000000000000006</v>
      </c>
      <c r="I3031" s="399">
        <f t="shared" si="81"/>
        <v>0.6</v>
      </c>
      <c r="J3031" s="374"/>
      <c r="K3031" s="1222"/>
      <c r="L3031" s="431"/>
      <c r="M3031" s="431"/>
      <c r="N3031" s="431"/>
    </row>
    <row r="3032" spans="1:14" s="398" customFormat="1" hidden="1" outlineLevel="1">
      <c r="A3032" s="1250"/>
      <c r="B3032" s="305"/>
      <c r="C3032" s="165"/>
      <c r="D3032" s="437"/>
      <c r="E3032" s="298"/>
      <c r="F3032" s="1156"/>
      <c r="G3032" s="1156"/>
      <c r="H3032" s="1156"/>
      <c r="I3032" s="399" t="str">
        <f t="shared" ref="I3032:I3095" si="90">IF(D3032&lt;&gt;0,ROUND(PRODUCT(E3032:H3032)*D3032,2),"")</f>
        <v/>
      </c>
      <c r="J3032" s="374"/>
      <c r="K3032" s="1222"/>
      <c r="L3032" s="431"/>
      <c r="M3032" s="431"/>
      <c r="N3032" s="431"/>
    </row>
    <row r="3033" spans="1:14" s="398" customFormat="1" hidden="1" outlineLevel="1">
      <c r="A3033" s="1250"/>
      <c r="B3033" s="305"/>
      <c r="C3033" s="165" t="s">
        <v>2</v>
      </c>
      <c r="D3033" s="437">
        <v>1</v>
      </c>
      <c r="E3033" s="298">
        <v>2</v>
      </c>
      <c r="F3033" s="1156">
        <f>6.03+G3033</f>
        <v>6.49</v>
      </c>
      <c r="G3033" s="1156">
        <v>0.46</v>
      </c>
      <c r="H3033" s="1156">
        <v>0.3</v>
      </c>
      <c r="I3033" s="399">
        <f t="shared" si="90"/>
        <v>1.79</v>
      </c>
      <c r="J3033" s="374"/>
      <c r="K3033" s="1222"/>
      <c r="L3033" s="431"/>
      <c r="M3033" s="431"/>
      <c r="N3033" s="431"/>
    </row>
    <row r="3034" spans="1:14" s="398" customFormat="1" hidden="1" outlineLevel="1">
      <c r="A3034" s="1250"/>
      <c r="B3034" s="305"/>
      <c r="C3034" s="165" t="s">
        <v>2</v>
      </c>
      <c r="D3034" s="437">
        <v>1</v>
      </c>
      <c r="E3034" s="298">
        <v>2</v>
      </c>
      <c r="F3034" s="1156">
        <f t="shared" ref="F3034:F3035" si="91">6.03+G3034</f>
        <v>6.375</v>
      </c>
      <c r="G3034" s="1156">
        <v>0.34499999999999997</v>
      </c>
      <c r="H3034" s="1156">
        <v>0.3</v>
      </c>
      <c r="I3034" s="399">
        <f t="shared" si="90"/>
        <v>1.32</v>
      </c>
      <c r="J3034" s="374"/>
      <c r="K3034" s="1222"/>
      <c r="L3034" s="431"/>
      <c r="M3034" s="431"/>
      <c r="N3034" s="431"/>
    </row>
    <row r="3035" spans="1:14" s="398" customFormat="1" hidden="1" outlineLevel="1">
      <c r="A3035" s="1250"/>
      <c r="B3035" s="305"/>
      <c r="C3035" s="165" t="s">
        <v>2</v>
      </c>
      <c r="D3035" s="437">
        <v>1</v>
      </c>
      <c r="E3035" s="298">
        <v>2</v>
      </c>
      <c r="F3035" s="1156">
        <f t="shared" si="91"/>
        <v>6.2600000000000007</v>
      </c>
      <c r="G3035" s="1156">
        <v>0.23</v>
      </c>
      <c r="H3035" s="1156">
        <f>1.2-0.15-0.6-0.06-0.2</f>
        <v>0.19000000000000006</v>
      </c>
      <c r="I3035" s="399">
        <f t="shared" si="90"/>
        <v>0.55000000000000004</v>
      </c>
      <c r="J3035" s="374"/>
      <c r="K3035" s="1222"/>
      <c r="L3035" s="431"/>
      <c r="M3035" s="431"/>
      <c r="N3035" s="431"/>
    </row>
    <row r="3036" spans="1:14" s="398" customFormat="1" hidden="1" outlineLevel="1">
      <c r="A3036" s="1250"/>
      <c r="B3036" s="305"/>
      <c r="C3036" s="165"/>
      <c r="D3036" s="437"/>
      <c r="E3036" s="298"/>
      <c r="F3036" s="1156"/>
      <c r="G3036" s="1156"/>
      <c r="H3036" s="1156"/>
      <c r="I3036" s="399" t="str">
        <f t="shared" si="90"/>
        <v/>
      </c>
      <c r="J3036" s="374"/>
      <c r="K3036" s="1222"/>
      <c r="L3036" s="431"/>
      <c r="M3036" s="431"/>
      <c r="N3036" s="431"/>
    </row>
    <row r="3037" spans="1:14" s="398" customFormat="1" hidden="1" outlineLevel="1">
      <c r="A3037" s="1250"/>
      <c r="B3037" s="305"/>
      <c r="C3037" s="165" t="s">
        <v>2</v>
      </c>
      <c r="D3037" s="437">
        <v>1</v>
      </c>
      <c r="E3037" s="298">
        <v>5</v>
      </c>
      <c r="F3037" s="1156">
        <v>0.6</v>
      </c>
      <c r="G3037" s="1156">
        <v>0.46</v>
      </c>
      <c r="H3037" s="1156">
        <v>0.3</v>
      </c>
      <c r="I3037" s="399">
        <f t="shared" si="90"/>
        <v>0.41</v>
      </c>
      <c r="J3037" s="374"/>
      <c r="K3037" s="1222"/>
      <c r="L3037" s="431"/>
      <c r="M3037" s="431"/>
      <c r="N3037" s="431"/>
    </row>
    <row r="3038" spans="1:14" s="398" customFormat="1" hidden="1" outlineLevel="1">
      <c r="A3038" s="1250"/>
      <c r="B3038" s="305"/>
      <c r="C3038" s="165" t="s">
        <v>2</v>
      </c>
      <c r="D3038" s="437">
        <v>1</v>
      </c>
      <c r="E3038" s="298">
        <v>5</v>
      </c>
      <c r="F3038" s="1156">
        <v>0.6</v>
      </c>
      <c r="G3038" s="1156">
        <v>0.34499999999999997</v>
      </c>
      <c r="H3038" s="1156">
        <v>0.3</v>
      </c>
      <c r="I3038" s="399">
        <f t="shared" si="90"/>
        <v>0.31</v>
      </c>
      <c r="J3038" s="374"/>
      <c r="K3038" s="1222"/>
      <c r="L3038" s="431"/>
      <c r="M3038" s="431"/>
      <c r="N3038" s="431"/>
    </row>
    <row r="3039" spans="1:14" s="398" customFormat="1" hidden="1" outlineLevel="1">
      <c r="A3039" s="1250"/>
      <c r="B3039" s="305"/>
      <c r="C3039" s="165" t="s">
        <v>2</v>
      </c>
      <c r="D3039" s="437">
        <v>1</v>
      </c>
      <c r="E3039" s="298">
        <v>5</v>
      </c>
      <c r="F3039" s="1156">
        <v>0.6</v>
      </c>
      <c r="G3039" s="1156">
        <v>0.23</v>
      </c>
      <c r="H3039" s="1156">
        <f>1.2-0.15-0.6-0.06-0.2</f>
        <v>0.19000000000000006</v>
      </c>
      <c r="I3039" s="399">
        <f t="shared" si="90"/>
        <v>0.13</v>
      </c>
      <c r="J3039" s="374"/>
      <c r="K3039" s="1222"/>
      <c r="L3039" s="431"/>
      <c r="M3039" s="431"/>
      <c r="N3039" s="431"/>
    </row>
    <row r="3040" spans="1:14" s="398" customFormat="1" ht="51.75" hidden="1" outlineLevel="1">
      <c r="A3040" s="1250"/>
      <c r="B3040" s="598" t="s">
        <v>652</v>
      </c>
      <c r="C3040" s="165"/>
      <c r="D3040" s="437"/>
      <c r="E3040" s="298"/>
      <c r="F3040" s="1156"/>
      <c r="G3040" s="1156"/>
      <c r="H3040" s="1156"/>
      <c r="I3040" s="399" t="str">
        <f t="shared" si="90"/>
        <v/>
      </c>
      <c r="J3040" s="374"/>
      <c r="K3040" s="1222"/>
      <c r="L3040" s="431"/>
      <c r="M3040" s="431"/>
      <c r="N3040" s="431"/>
    </row>
    <row r="3041" spans="1:14" s="398" customFormat="1" hidden="1" outlineLevel="1">
      <c r="A3041" s="1250"/>
      <c r="B3041" s="305"/>
      <c r="C3041" s="165"/>
      <c r="D3041" s="437"/>
      <c r="E3041" s="298"/>
      <c r="F3041" s="1156"/>
      <c r="G3041" s="1156"/>
      <c r="H3041" s="1156"/>
      <c r="I3041" s="399" t="str">
        <f t="shared" si="90"/>
        <v/>
      </c>
      <c r="J3041" s="374"/>
      <c r="K3041" s="1222"/>
      <c r="L3041" s="431"/>
      <c r="M3041" s="431"/>
      <c r="N3041" s="431"/>
    </row>
    <row r="3042" spans="1:14" s="398" customFormat="1" hidden="1" outlineLevel="1">
      <c r="A3042" s="1250"/>
      <c r="B3042" s="303" t="s">
        <v>653</v>
      </c>
      <c r="C3042" s="165"/>
      <c r="D3042" s="437">
        <v>1</v>
      </c>
      <c r="E3042" s="298">
        <v>1</v>
      </c>
      <c r="F3042" s="1156">
        <v>4.6349999999999998</v>
      </c>
      <c r="G3042" s="1156">
        <v>0.46</v>
      </c>
      <c r="H3042" s="1156">
        <v>0.3</v>
      </c>
      <c r="I3042" s="399">
        <f t="shared" si="90"/>
        <v>0.64</v>
      </c>
      <c r="J3042" s="374"/>
      <c r="K3042" s="1222"/>
      <c r="L3042" s="431"/>
      <c r="M3042" s="431"/>
      <c r="N3042" s="431"/>
    </row>
    <row r="3043" spans="1:14" s="398" customFormat="1" hidden="1" outlineLevel="1">
      <c r="A3043" s="1250"/>
      <c r="B3043" s="305"/>
      <c r="C3043" s="165"/>
      <c r="D3043" s="437">
        <v>1</v>
      </c>
      <c r="E3043" s="298">
        <v>1</v>
      </c>
      <c r="F3043" s="1156">
        <v>4.6349999999999998</v>
      </c>
      <c r="G3043" s="1156">
        <v>0.34499999999999997</v>
      </c>
      <c r="H3043" s="1156">
        <v>0.3</v>
      </c>
      <c r="I3043" s="399">
        <f t="shared" si="90"/>
        <v>0.48</v>
      </c>
      <c r="J3043" s="374"/>
      <c r="K3043" s="1222"/>
      <c r="L3043" s="431"/>
      <c r="M3043" s="431"/>
      <c r="N3043" s="431"/>
    </row>
    <row r="3044" spans="1:14" s="398" customFormat="1" hidden="1" outlineLevel="1">
      <c r="A3044" s="1250"/>
      <c r="B3044" s="305"/>
      <c r="C3044" s="165"/>
      <c r="D3044" s="437">
        <v>1</v>
      </c>
      <c r="E3044" s="298">
        <v>1</v>
      </c>
      <c r="F3044" s="1156">
        <v>4.6349999999999998</v>
      </c>
      <c r="G3044" s="1156">
        <v>0.23</v>
      </c>
      <c r="H3044" s="1156">
        <v>0.19</v>
      </c>
      <c r="I3044" s="399">
        <f t="shared" si="90"/>
        <v>0.2</v>
      </c>
      <c r="J3044" s="374"/>
      <c r="K3044" s="1222"/>
      <c r="L3044" s="431"/>
      <c r="M3044" s="431"/>
      <c r="N3044" s="431"/>
    </row>
    <row r="3045" spans="1:14" s="398" customFormat="1" hidden="1" outlineLevel="1">
      <c r="A3045" s="1250"/>
      <c r="B3045" s="305"/>
      <c r="C3045" s="165"/>
      <c r="D3045" s="437"/>
      <c r="E3045" s="298"/>
      <c r="F3045" s="1156"/>
      <c r="G3045" s="1156"/>
      <c r="H3045" s="1156"/>
      <c r="I3045" s="399" t="str">
        <f t="shared" si="90"/>
        <v/>
      </c>
      <c r="J3045" s="374"/>
      <c r="K3045" s="1222"/>
      <c r="L3045" s="431"/>
      <c r="M3045" s="431"/>
      <c r="N3045" s="431"/>
    </row>
    <row r="3046" spans="1:14" s="398" customFormat="1" hidden="1" outlineLevel="1">
      <c r="A3046" s="1250"/>
      <c r="B3046" s="305"/>
      <c r="C3046" s="165"/>
      <c r="D3046" s="437">
        <v>1</v>
      </c>
      <c r="E3046" s="298">
        <v>10</v>
      </c>
      <c r="F3046" s="1156">
        <v>7.625</v>
      </c>
      <c r="G3046" s="1156">
        <v>0.46</v>
      </c>
      <c r="H3046" s="1156">
        <v>0.3</v>
      </c>
      <c r="I3046" s="399">
        <f t="shared" si="90"/>
        <v>10.52</v>
      </c>
      <c r="J3046" s="374"/>
      <c r="K3046" s="1222"/>
      <c r="L3046" s="431"/>
      <c r="M3046" s="431"/>
      <c r="N3046" s="431"/>
    </row>
    <row r="3047" spans="1:14" s="398" customFormat="1" hidden="1" outlineLevel="1">
      <c r="A3047" s="1250"/>
      <c r="B3047" s="305"/>
      <c r="C3047" s="165"/>
      <c r="D3047" s="437">
        <v>1</v>
      </c>
      <c r="E3047" s="298">
        <v>10</v>
      </c>
      <c r="F3047" s="1156">
        <v>7.625</v>
      </c>
      <c r="G3047" s="1156">
        <v>0.34499999999999997</v>
      </c>
      <c r="H3047" s="1156">
        <v>0.3</v>
      </c>
      <c r="I3047" s="399">
        <f t="shared" si="90"/>
        <v>7.89</v>
      </c>
      <c r="J3047" s="374"/>
      <c r="K3047" s="1222"/>
      <c r="L3047" s="431"/>
      <c r="M3047" s="431"/>
      <c r="N3047" s="431"/>
    </row>
    <row r="3048" spans="1:14" s="398" customFormat="1" hidden="1" outlineLevel="1">
      <c r="A3048" s="1250"/>
      <c r="B3048" s="305"/>
      <c r="C3048" s="165"/>
      <c r="D3048" s="437">
        <v>1</v>
      </c>
      <c r="E3048" s="298">
        <v>10</v>
      </c>
      <c r="F3048" s="1156">
        <v>7.625</v>
      </c>
      <c r="G3048" s="1156">
        <v>0.23</v>
      </c>
      <c r="H3048" s="1156">
        <v>0.19</v>
      </c>
      <c r="I3048" s="399">
        <f t="shared" si="90"/>
        <v>3.33</v>
      </c>
      <c r="J3048" s="374"/>
      <c r="K3048" s="1222"/>
      <c r="L3048" s="431"/>
      <c r="M3048" s="431"/>
      <c r="N3048" s="431"/>
    </row>
    <row r="3049" spans="1:14" s="398" customFormat="1" hidden="1" outlineLevel="1">
      <c r="A3049" s="1250"/>
      <c r="B3049" s="305"/>
      <c r="C3049" s="165"/>
      <c r="D3049" s="437"/>
      <c r="E3049" s="298"/>
      <c r="F3049" s="1156"/>
      <c r="G3049" s="1156"/>
      <c r="H3049" s="1156"/>
      <c r="I3049" s="399" t="str">
        <f t="shared" si="90"/>
        <v/>
      </c>
      <c r="J3049" s="374"/>
      <c r="K3049" s="1222"/>
      <c r="L3049" s="431"/>
      <c r="M3049" s="431"/>
      <c r="N3049" s="431"/>
    </row>
    <row r="3050" spans="1:14" s="398" customFormat="1" hidden="1" outlineLevel="1">
      <c r="A3050" s="1250"/>
      <c r="B3050" s="305"/>
      <c r="C3050" s="165"/>
      <c r="D3050" s="437">
        <v>1</v>
      </c>
      <c r="E3050" s="298">
        <v>1</v>
      </c>
      <c r="F3050" s="1155">
        <v>15.765000000000001</v>
      </c>
      <c r="G3050" s="1156">
        <v>0.46</v>
      </c>
      <c r="H3050" s="1156">
        <v>0.3</v>
      </c>
      <c r="I3050" s="399">
        <f t="shared" si="90"/>
        <v>2.1800000000000002</v>
      </c>
      <c r="J3050" s="374"/>
      <c r="K3050" s="1222"/>
      <c r="L3050" s="431"/>
      <c r="M3050" s="431"/>
      <c r="N3050" s="431"/>
    </row>
    <row r="3051" spans="1:14" s="398" customFormat="1" hidden="1" outlineLevel="1">
      <c r="A3051" s="1250"/>
      <c r="B3051" s="305"/>
      <c r="C3051" s="165"/>
      <c r="D3051" s="437">
        <v>1</v>
      </c>
      <c r="E3051" s="298">
        <v>1</v>
      </c>
      <c r="F3051" s="1155">
        <v>15.765000000000001</v>
      </c>
      <c r="G3051" s="1156">
        <v>0.34499999999999997</v>
      </c>
      <c r="H3051" s="1156">
        <v>0.3</v>
      </c>
      <c r="I3051" s="399">
        <f t="shared" si="90"/>
        <v>1.63</v>
      </c>
      <c r="J3051" s="374"/>
      <c r="K3051" s="1222"/>
      <c r="L3051" s="431"/>
      <c r="M3051" s="431"/>
      <c r="N3051" s="431"/>
    </row>
    <row r="3052" spans="1:14" s="398" customFormat="1" hidden="1" outlineLevel="1">
      <c r="A3052" s="1250"/>
      <c r="B3052" s="305"/>
      <c r="C3052" s="165"/>
      <c r="D3052" s="437">
        <v>1</v>
      </c>
      <c r="E3052" s="298">
        <v>1</v>
      </c>
      <c r="F3052" s="1155">
        <v>15.765000000000001</v>
      </c>
      <c r="G3052" s="1156">
        <v>0.23</v>
      </c>
      <c r="H3052" s="1156">
        <v>0.19</v>
      </c>
      <c r="I3052" s="399">
        <f t="shared" si="90"/>
        <v>0.69</v>
      </c>
      <c r="J3052" s="374"/>
      <c r="K3052" s="1222"/>
      <c r="L3052" s="431"/>
      <c r="M3052" s="431"/>
      <c r="N3052" s="431"/>
    </row>
    <row r="3053" spans="1:14" s="398" customFormat="1" hidden="1" outlineLevel="1">
      <c r="A3053" s="1250"/>
      <c r="B3053" s="303" t="s">
        <v>654</v>
      </c>
      <c r="C3053" s="165"/>
      <c r="D3053" s="437">
        <v>1</v>
      </c>
      <c r="E3053" s="298">
        <v>1</v>
      </c>
      <c r="F3053" s="1156">
        <f>14.67-G3053</f>
        <v>14.209999999999999</v>
      </c>
      <c r="G3053" s="1156">
        <v>0.46</v>
      </c>
      <c r="H3053" s="1156">
        <v>0.3</v>
      </c>
      <c r="I3053" s="399">
        <f t="shared" si="90"/>
        <v>1.96</v>
      </c>
      <c r="J3053" s="374"/>
      <c r="K3053" s="1222"/>
      <c r="L3053" s="431"/>
      <c r="M3053" s="431"/>
      <c r="N3053" s="431"/>
    </row>
    <row r="3054" spans="1:14" s="398" customFormat="1" hidden="1" outlineLevel="1">
      <c r="A3054" s="1250"/>
      <c r="B3054" s="305"/>
      <c r="C3054" s="165"/>
      <c r="D3054" s="437">
        <v>1</v>
      </c>
      <c r="E3054" s="298">
        <v>1</v>
      </c>
      <c r="F3054" s="1156">
        <f t="shared" ref="F3054:F3055" si="92">14.67-G3054</f>
        <v>14.324999999999999</v>
      </c>
      <c r="G3054" s="1156">
        <v>0.34499999999999997</v>
      </c>
      <c r="H3054" s="1156">
        <v>0.3</v>
      </c>
      <c r="I3054" s="399">
        <f t="shared" si="90"/>
        <v>1.48</v>
      </c>
      <c r="J3054" s="374"/>
      <c r="K3054" s="1222"/>
      <c r="L3054" s="431"/>
      <c r="M3054" s="431"/>
      <c r="N3054" s="431"/>
    </row>
    <row r="3055" spans="1:14" s="398" customFormat="1" hidden="1" outlineLevel="1">
      <c r="A3055" s="1250"/>
      <c r="B3055" s="305"/>
      <c r="C3055" s="165"/>
      <c r="D3055" s="437">
        <v>1</v>
      </c>
      <c r="E3055" s="298">
        <v>1</v>
      </c>
      <c r="F3055" s="1156">
        <f t="shared" si="92"/>
        <v>14.44</v>
      </c>
      <c r="G3055" s="1156">
        <v>0.23</v>
      </c>
      <c r="H3055" s="1156">
        <v>0.19</v>
      </c>
      <c r="I3055" s="399">
        <f t="shared" si="90"/>
        <v>0.63</v>
      </c>
      <c r="J3055" s="374"/>
      <c r="K3055" s="1222"/>
      <c r="L3055" s="431"/>
      <c r="M3055" s="431"/>
      <c r="N3055" s="431"/>
    </row>
    <row r="3056" spans="1:14" s="398" customFormat="1" hidden="1" outlineLevel="1">
      <c r="A3056" s="1250"/>
      <c r="B3056" s="305"/>
      <c r="C3056" s="165"/>
      <c r="D3056" s="437"/>
      <c r="E3056" s="298"/>
      <c r="F3056" s="1156"/>
      <c r="G3056" s="1156"/>
      <c r="H3056" s="1156"/>
      <c r="I3056" s="399" t="str">
        <f t="shared" si="90"/>
        <v/>
      </c>
      <c r="J3056" s="374"/>
      <c r="K3056" s="1222"/>
      <c r="L3056" s="431"/>
      <c r="M3056" s="431"/>
      <c r="N3056" s="431"/>
    </row>
    <row r="3057" spans="1:14" s="398" customFormat="1" hidden="1" outlineLevel="1">
      <c r="A3057" s="1250"/>
      <c r="B3057" s="305"/>
      <c r="C3057" s="165"/>
      <c r="D3057" s="437">
        <v>1</v>
      </c>
      <c r="E3057" s="298">
        <f>13-8</f>
        <v>5</v>
      </c>
      <c r="F3057" s="1156">
        <v>7.625</v>
      </c>
      <c r="G3057" s="1156">
        <v>0.46</v>
      </c>
      <c r="H3057" s="1156">
        <v>0.3</v>
      </c>
      <c r="I3057" s="399">
        <f t="shared" si="90"/>
        <v>5.26</v>
      </c>
      <c r="J3057" s="374"/>
      <c r="K3057" s="1222"/>
      <c r="L3057" s="431"/>
      <c r="M3057" s="431"/>
      <c r="N3057" s="431"/>
    </row>
    <row r="3058" spans="1:14" s="398" customFormat="1" hidden="1" outlineLevel="1">
      <c r="A3058" s="1250"/>
      <c r="B3058" s="305"/>
      <c r="C3058" s="165"/>
      <c r="D3058" s="437">
        <v>1</v>
      </c>
      <c r="E3058" s="298">
        <f t="shared" ref="E3058:E3059" si="93">13-8</f>
        <v>5</v>
      </c>
      <c r="F3058" s="1156">
        <v>7.625</v>
      </c>
      <c r="G3058" s="1156">
        <v>0.34499999999999997</v>
      </c>
      <c r="H3058" s="1156">
        <v>0.3</v>
      </c>
      <c r="I3058" s="399">
        <f t="shared" si="90"/>
        <v>3.95</v>
      </c>
      <c r="J3058" s="374"/>
      <c r="K3058" s="1222"/>
      <c r="L3058" s="431"/>
      <c r="M3058" s="431"/>
      <c r="N3058" s="431"/>
    </row>
    <row r="3059" spans="1:14" s="398" customFormat="1" hidden="1" outlineLevel="1">
      <c r="A3059" s="1250"/>
      <c r="B3059" s="305"/>
      <c r="C3059" s="165"/>
      <c r="D3059" s="437">
        <v>1</v>
      </c>
      <c r="E3059" s="298">
        <f t="shared" si="93"/>
        <v>5</v>
      </c>
      <c r="F3059" s="1156">
        <v>7.625</v>
      </c>
      <c r="G3059" s="1156">
        <v>0.23</v>
      </c>
      <c r="H3059" s="1156">
        <v>0.19</v>
      </c>
      <c r="I3059" s="399">
        <f t="shared" si="90"/>
        <v>1.67</v>
      </c>
      <c r="J3059" s="374"/>
      <c r="K3059" s="1222"/>
      <c r="L3059" s="431"/>
      <c r="M3059" s="431"/>
      <c r="N3059" s="431"/>
    </row>
    <row r="3060" spans="1:14" s="398" customFormat="1" hidden="1" outlineLevel="1">
      <c r="A3060" s="1250"/>
      <c r="B3060" s="305"/>
      <c r="C3060" s="165"/>
      <c r="D3060" s="437"/>
      <c r="E3060" s="298"/>
      <c r="F3060" s="1156"/>
      <c r="G3060" s="1156"/>
      <c r="H3060" s="1156"/>
      <c r="I3060" s="399" t="str">
        <f t="shared" si="90"/>
        <v/>
      </c>
      <c r="J3060" s="374"/>
      <c r="K3060" s="1222"/>
      <c r="L3060" s="431"/>
      <c r="M3060" s="431"/>
      <c r="N3060" s="431"/>
    </row>
    <row r="3061" spans="1:14" s="398" customFormat="1" hidden="1" outlineLevel="1">
      <c r="A3061" s="1250"/>
      <c r="B3061" s="305"/>
      <c r="C3061" s="165"/>
      <c r="D3061" s="437">
        <v>1</v>
      </c>
      <c r="E3061" s="298">
        <v>1</v>
      </c>
      <c r="F3061" s="1155">
        <v>0.15</v>
      </c>
      <c r="G3061" s="1156">
        <v>0.46</v>
      </c>
      <c r="H3061" s="1156">
        <v>0.3</v>
      </c>
      <c r="I3061" s="399">
        <f t="shared" si="90"/>
        <v>0.02</v>
      </c>
      <c r="J3061" s="374"/>
      <c r="K3061" s="1222"/>
      <c r="L3061" s="431"/>
      <c r="M3061" s="431"/>
      <c r="N3061" s="431"/>
    </row>
    <row r="3062" spans="1:14" s="398" customFormat="1" hidden="1" outlineLevel="1">
      <c r="A3062" s="1250"/>
      <c r="B3062" s="305"/>
      <c r="C3062" s="165"/>
      <c r="D3062" s="437">
        <v>1</v>
      </c>
      <c r="E3062" s="298">
        <v>1</v>
      </c>
      <c r="F3062" s="1155">
        <v>0.15</v>
      </c>
      <c r="G3062" s="1156">
        <v>0.34499999999999997</v>
      </c>
      <c r="H3062" s="1156">
        <v>0.3</v>
      </c>
      <c r="I3062" s="399">
        <f t="shared" si="90"/>
        <v>0.02</v>
      </c>
      <c r="J3062" s="374"/>
      <c r="K3062" s="1222"/>
      <c r="L3062" s="431"/>
      <c r="M3062" s="431"/>
      <c r="N3062" s="431"/>
    </row>
    <row r="3063" spans="1:14" s="398" customFormat="1" hidden="1" outlineLevel="1">
      <c r="A3063" s="1250"/>
      <c r="B3063" s="305"/>
      <c r="C3063" s="165"/>
      <c r="D3063" s="437">
        <v>1</v>
      </c>
      <c r="E3063" s="298">
        <v>1</v>
      </c>
      <c r="F3063" s="1155">
        <v>0.15</v>
      </c>
      <c r="G3063" s="1156">
        <v>0.23</v>
      </c>
      <c r="H3063" s="1156">
        <v>0.19</v>
      </c>
      <c r="I3063" s="399">
        <f t="shared" si="90"/>
        <v>0.01</v>
      </c>
      <c r="J3063" s="374"/>
      <c r="K3063" s="1222"/>
      <c r="L3063" s="431"/>
      <c r="M3063" s="431"/>
      <c r="N3063" s="431"/>
    </row>
    <row r="3064" spans="1:14" s="398" customFormat="1" hidden="1" outlineLevel="1">
      <c r="A3064" s="1250"/>
      <c r="B3064" s="303" t="s">
        <v>655</v>
      </c>
      <c r="C3064" s="165"/>
      <c r="D3064" s="437">
        <v>1</v>
      </c>
      <c r="E3064" s="298">
        <v>1</v>
      </c>
      <c r="F3064" s="1155">
        <v>7.6449999999999996</v>
      </c>
      <c r="G3064" s="1156">
        <v>0.46</v>
      </c>
      <c r="H3064" s="1156">
        <v>0.3</v>
      </c>
      <c r="I3064" s="399">
        <f t="shared" si="90"/>
        <v>1.06</v>
      </c>
      <c r="J3064" s="374"/>
      <c r="K3064" s="1222"/>
      <c r="L3064" s="431"/>
      <c r="M3064" s="431"/>
      <c r="N3064" s="431"/>
    </row>
    <row r="3065" spans="1:14" s="398" customFormat="1" hidden="1" outlineLevel="1">
      <c r="A3065" s="1250"/>
      <c r="B3065" s="305"/>
      <c r="C3065" s="165"/>
      <c r="D3065" s="437">
        <v>1</v>
      </c>
      <c r="E3065" s="298">
        <v>1</v>
      </c>
      <c r="F3065" s="1155">
        <v>7.702</v>
      </c>
      <c r="G3065" s="1156">
        <v>0.34499999999999997</v>
      </c>
      <c r="H3065" s="1156">
        <v>0.3</v>
      </c>
      <c r="I3065" s="399">
        <f t="shared" si="90"/>
        <v>0.8</v>
      </c>
      <c r="J3065" s="374"/>
      <c r="K3065" s="1222"/>
      <c r="L3065" s="431"/>
      <c r="M3065" s="431"/>
      <c r="N3065" s="431"/>
    </row>
    <row r="3066" spans="1:14" s="398" customFormat="1" hidden="1" outlineLevel="1">
      <c r="A3066" s="1250"/>
      <c r="B3066" s="305"/>
      <c r="C3066" s="165"/>
      <c r="D3066" s="437">
        <v>1</v>
      </c>
      <c r="E3066" s="298">
        <v>1</v>
      </c>
      <c r="F3066" s="1155">
        <v>7.76</v>
      </c>
      <c r="G3066" s="1156">
        <v>0.23</v>
      </c>
      <c r="H3066" s="1156">
        <v>0.19</v>
      </c>
      <c r="I3066" s="399">
        <f t="shared" si="90"/>
        <v>0.34</v>
      </c>
      <c r="J3066" s="374"/>
      <c r="K3066" s="1222"/>
      <c r="L3066" s="431"/>
      <c r="M3066" s="431"/>
      <c r="N3066" s="431"/>
    </row>
    <row r="3067" spans="1:14" s="398" customFormat="1" hidden="1" outlineLevel="1">
      <c r="A3067" s="1250"/>
      <c r="B3067" s="305"/>
      <c r="C3067" s="165"/>
      <c r="D3067" s="437"/>
      <c r="E3067" s="298"/>
      <c r="F3067" s="1156"/>
      <c r="G3067" s="1156"/>
      <c r="H3067" s="1156"/>
      <c r="I3067" s="399" t="str">
        <f t="shared" si="90"/>
        <v/>
      </c>
      <c r="J3067" s="374"/>
      <c r="K3067" s="1222"/>
      <c r="L3067" s="431"/>
      <c r="M3067" s="431"/>
      <c r="N3067" s="431"/>
    </row>
    <row r="3068" spans="1:14" s="398" customFormat="1" hidden="1" outlineLevel="1">
      <c r="A3068" s="1250"/>
      <c r="B3068" s="305"/>
      <c r="C3068" s="165"/>
      <c r="D3068" s="437">
        <v>1</v>
      </c>
      <c r="E3068" s="298">
        <v>2</v>
      </c>
      <c r="F3068" s="1156">
        <v>7.625</v>
      </c>
      <c r="G3068" s="1156">
        <v>0.46</v>
      </c>
      <c r="H3068" s="1156">
        <v>0.3</v>
      </c>
      <c r="I3068" s="399">
        <f t="shared" si="90"/>
        <v>2.1</v>
      </c>
      <c r="J3068" s="374"/>
      <c r="K3068" s="1222"/>
      <c r="L3068" s="431"/>
      <c r="M3068" s="431"/>
      <c r="N3068" s="431"/>
    </row>
    <row r="3069" spans="1:14" s="398" customFormat="1" hidden="1" outlineLevel="1">
      <c r="A3069" s="1250"/>
      <c r="B3069" s="305"/>
      <c r="C3069" s="165"/>
      <c r="D3069" s="437">
        <v>1</v>
      </c>
      <c r="E3069" s="298">
        <v>2</v>
      </c>
      <c r="F3069" s="1156">
        <v>7.625</v>
      </c>
      <c r="G3069" s="1156">
        <v>0.34499999999999997</v>
      </c>
      <c r="H3069" s="1156">
        <v>0.3</v>
      </c>
      <c r="I3069" s="399">
        <f t="shared" si="90"/>
        <v>1.58</v>
      </c>
      <c r="J3069" s="374"/>
      <c r="K3069" s="1222"/>
      <c r="L3069" s="431"/>
      <c r="M3069" s="431"/>
      <c r="N3069" s="431"/>
    </row>
    <row r="3070" spans="1:14" s="398" customFormat="1" hidden="1" outlineLevel="1">
      <c r="A3070" s="1250"/>
      <c r="B3070" s="305"/>
      <c r="C3070" s="165"/>
      <c r="D3070" s="437">
        <v>1</v>
      </c>
      <c r="E3070" s="298">
        <v>2</v>
      </c>
      <c r="F3070" s="1156">
        <v>7.625</v>
      </c>
      <c r="G3070" s="1156">
        <v>0.23</v>
      </c>
      <c r="H3070" s="1156">
        <v>0.19</v>
      </c>
      <c r="I3070" s="399">
        <f t="shared" si="90"/>
        <v>0.67</v>
      </c>
      <c r="J3070" s="374"/>
      <c r="K3070" s="1222"/>
      <c r="L3070" s="431"/>
      <c r="M3070" s="431"/>
      <c r="N3070" s="431"/>
    </row>
    <row r="3071" spans="1:14" s="398" customFormat="1" hidden="1" outlineLevel="1">
      <c r="A3071" s="1250"/>
      <c r="B3071" s="305" t="s">
        <v>656</v>
      </c>
      <c r="C3071" s="165"/>
      <c r="D3071" s="437"/>
      <c r="E3071" s="298"/>
      <c r="F3071" s="1156"/>
      <c r="G3071" s="1156"/>
      <c r="H3071" s="1156"/>
      <c r="I3071" s="399" t="str">
        <f t="shared" si="90"/>
        <v/>
      </c>
      <c r="J3071" s="374"/>
      <c r="K3071" s="1222"/>
      <c r="L3071" s="431"/>
      <c r="M3071" s="431"/>
      <c r="N3071" s="431"/>
    </row>
    <row r="3072" spans="1:14" s="398" customFormat="1" ht="34.5" hidden="1" outlineLevel="1">
      <c r="A3072" s="1250"/>
      <c r="B3072" s="303" t="s">
        <v>657</v>
      </c>
      <c r="C3072" s="165" t="s">
        <v>2</v>
      </c>
      <c r="D3072" s="437">
        <v>1</v>
      </c>
      <c r="E3072" s="298">
        <v>1</v>
      </c>
      <c r="F3072" s="1155">
        <v>64.957999999999998</v>
      </c>
      <c r="G3072" s="1156">
        <v>0.23</v>
      </c>
      <c r="H3072" s="1156">
        <f>0.75+0.45-0.15-0.1-0.2-0.055-0.15</f>
        <v>0.54499999999999993</v>
      </c>
      <c r="I3072" s="399">
        <f t="shared" si="90"/>
        <v>8.14</v>
      </c>
      <c r="J3072" s="374"/>
      <c r="K3072" s="1222"/>
      <c r="L3072" s="431"/>
      <c r="M3072" s="431"/>
      <c r="N3072" s="431"/>
    </row>
    <row r="3073" spans="1:14" s="398" customFormat="1" hidden="1" outlineLevel="1">
      <c r="A3073" s="1250"/>
      <c r="B3073" s="599" t="s">
        <v>658</v>
      </c>
      <c r="C3073" s="165"/>
      <c r="D3073" s="437"/>
      <c r="E3073" s="298"/>
      <c r="F3073" s="1156"/>
      <c r="G3073" s="1156"/>
      <c r="H3073" s="1156"/>
      <c r="I3073" s="399" t="str">
        <f t="shared" si="90"/>
        <v/>
      </c>
      <c r="J3073" s="374"/>
      <c r="K3073" s="1222"/>
      <c r="L3073" s="431"/>
      <c r="M3073" s="431"/>
      <c r="N3073" s="431"/>
    </row>
    <row r="3074" spans="1:14" s="398" customFormat="1" ht="51.75" hidden="1" outlineLevel="1">
      <c r="A3074" s="1250"/>
      <c r="B3074" s="303" t="s">
        <v>659</v>
      </c>
      <c r="C3074" s="165" t="s">
        <v>2</v>
      </c>
      <c r="D3074" s="437">
        <v>1</v>
      </c>
      <c r="E3074" s="298">
        <v>2</v>
      </c>
      <c r="F3074" s="1156">
        <v>22</v>
      </c>
      <c r="G3074" s="1156">
        <v>0.23</v>
      </c>
      <c r="H3074" s="1156">
        <v>0.6</v>
      </c>
      <c r="I3074" s="399">
        <f t="shared" si="90"/>
        <v>6.07</v>
      </c>
      <c r="J3074" s="374"/>
      <c r="K3074" s="1222"/>
      <c r="L3074" s="431"/>
      <c r="M3074" s="431"/>
      <c r="N3074" s="431"/>
    </row>
    <row r="3075" spans="1:14" s="398" customFormat="1" hidden="1" outlineLevel="1">
      <c r="A3075" s="1250"/>
      <c r="B3075" s="305"/>
      <c r="C3075" s="165" t="s">
        <v>2</v>
      </c>
      <c r="D3075" s="437">
        <v>1</v>
      </c>
      <c r="E3075" s="298">
        <v>2</v>
      </c>
      <c r="F3075" s="1155">
        <v>2.4</v>
      </c>
      <c r="G3075" s="1156">
        <v>0.23</v>
      </c>
      <c r="H3075" s="1156">
        <v>0.6</v>
      </c>
      <c r="I3075" s="399">
        <f t="shared" si="90"/>
        <v>0.66</v>
      </c>
      <c r="J3075" s="374"/>
      <c r="K3075" s="1222"/>
      <c r="L3075" s="431"/>
      <c r="M3075" s="431"/>
      <c r="N3075" s="431"/>
    </row>
    <row r="3076" spans="1:14" s="398" customFormat="1" hidden="1" outlineLevel="1">
      <c r="A3076" s="1250"/>
      <c r="B3076" s="305"/>
      <c r="C3076" s="165"/>
      <c r="D3076" s="437"/>
      <c r="E3076" s="298"/>
      <c r="F3076" s="1156"/>
      <c r="G3076" s="1156"/>
      <c r="H3076" s="1156"/>
      <c r="I3076" s="399" t="str">
        <f t="shared" si="90"/>
        <v/>
      </c>
      <c r="J3076" s="374"/>
      <c r="K3076" s="1222"/>
      <c r="L3076" s="431"/>
      <c r="M3076" s="431"/>
      <c r="N3076" s="431"/>
    </row>
    <row r="3077" spans="1:14" s="398" customFormat="1" hidden="1" outlineLevel="1">
      <c r="A3077" s="1250"/>
      <c r="B3077" s="305"/>
      <c r="C3077" s="165" t="s">
        <v>2</v>
      </c>
      <c r="D3077" s="437">
        <v>3</v>
      </c>
      <c r="E3077" s="298">
        <v>2</v>
      </c>
      <c r="F3077" s="1156">
        <f>5-0.23</f>
        <v>4.7699999999999996</v>
      </c>
      <c r="G3077" s="1156">
        <v>0.23</v>
      </c>
      <c r="H3077" s="1156">
        <f>0.85-0.1</f>
        <v>0.75</v>
      </c>
      <c r="I3077" s="399">
        <f t="shared" si="90"/>
        <v>4.9400000000000004</v>
      </c>
      <c r="J3077" s="374"/>
      <c r="K3077" s="1222"/>
      <c r="L3077" s="431"/>
      <c r="M3077" s="431"/>
      <c r="N3077" s="431"/>
    </row>
    <row r="3078" spans="1:14" s="398" customFormat="1" hidden="1" outlineLevel="1">
      <c r="A3078" s="1250"/>
      <c r="B3078" s="305"/>
      <c r="C3078" s="165" t="s">
        <v>2</v>
      </c>
      <c r="D3078" s="437">
        <v>3</v>
      </c>
      <c r="E3078" s="298">
        <v>1</v>
      </c>
      <c r="F3078" s="1156">
        <f>2-0.46</f>
        <v>1.54</v>
      </c>
      <c r="G3078" s="1156">
        <v>0.23</v>
      </c>
      <c r="H3078" s="1156">
        <f>0.85-0.1</f>
        <v>0.75</v>
      </c>
      <c r="I3078" s="399">
        <f t="shared" si="90"/>
        <v>0.8</v>
      </c>
      <c r="J3078" s="374"/>
      <c r="K3078" s="1222"/>
      <c r="L3078" s="431"/>
      <c r="M3078" s="431"/>
      <c r="N3078" s="431"/>
    </row>
    <row r="3079" spans="1:14" s="398" customFormat="1" hidden="1" outlineLevel="1">
      <c r="A3079" s="1250"/>
      <c r="B3079" s="305"/>
      <c r="C3079" s="165"/>
      <c r="D3079" s="437"/>
      <c r="E3079" s="298"/>
      <c r="F3079" s="1156"/>
      <c r="G3079" s="1156"/>
      <c r="H3079" s="1156"/>
      <c r="I3079" s="399" t="str">
        <f t="shared" si="90"/>
        <v/>
      </c>
      <c r="J3079" s="374"/>
      <c r="K3079" s="1222"/>
      <c r="L3079" s="431"/>
      <c r="M3079" s="431"/>
      <c r="N3079" s="431"/>
    </row>
    <row r="3080" spans="1:14" s="398" customFormat="1" hidden="1" outlineLevel="1">
      <c r="A3080" s="1250"/>
      <c r="B3080" s="305"/>
      <c r="C3080" s="165" t="s">
        <v>2</v>
      </c>
      <c r="D3080" s="437">
        <v>2</v>
      </c>
      <c r="E3080" s="298">
        <v>2</v>
      </c>
      <c r="F3080" s="1156">
        <v>5</v>
      </c>
      <c r="G3080" s="1156">
        <v>0.23</v>
      </c>
      <c r="H3080" s="1156">
        <f>0.85-0.1</f>
        <v>0.75</v>
      </c>
      <c r="I3080" s="399">
        <f t="shared" si="90"/>
        <v>3.45</v>
      </c>
      <c r="J3080" s="374"/>
      <c r="K3080" s="1222"/>
      <c r="L3080" s="431"/>
      <c r="M3080" s="431"/>
      <c r="N3080" s="431"/>
    </row>
    <row r="3081" spans="1:14" s="398" customFormat="1" hidden="1" outlineLevel="1">
      <c r="A3081" s="1250"/>
      <c r="B3081" s="305"/>
      <c r="C3081" s="165" t="s">
        <v>2</v>
      </c>
      <c r="D3081" s="437">
        <v>2</v>
      </c>
      <c r="E3081" s="298">
        <v>2</v>
      </c>
      <c r="F3081" s="1156">
        <f>2-0.46</f>
        <v>1.54</v>
      </c>
      <c r="G3081" s="1156">
        <v>0.23</v>
      </c>
      <c r="H3081" s="1156">
        <f>0.85-0.1</f>
        <v>0.75</v>
      </c>
      <c r="I3081" s="399">
        <f t="shared" si="90"/>
        <v>1.06</v>
      </c>
      <c r="J3081" s="374"/>
      <c r="K3081" s="1222"/>
      <c r="L3081" s="431"/>
      <c r="M3081" s="431"/>
      <c r="N3081" s="431"/>
    </row>
    <row r="3082" spans="1:14" s="398" customFormat="1" hidden="1" outlineLevel="1">
      <c r="A3082" s="1250"/>
      <c r="B3082" s="305"/>
      <c r="C3082" s="165"/>
      <c r="D3082" s="437"/>
      <c r="E3082" s="298"/>
      <c r="F3082" s="1156"/>
      <c r="G3082" s="1156"/>
      <c r="H3082" s="1156"/>
      <c r="I3082" s="399" t="str">
        <f t="shared" si="90"/>
        <v/>
      </c>
      <c r="J3082" s="374"/>
      <c r="K3082" s="1222"/>
      <c r="L3082" s="431"/>
      <c r="M3082" s="431"/>
      <c r="N3082" s="431"/>
    </row>
    <row r="3083" spans="1:14" s="398" customFormat="1" hidden="1" outlineLevel="1">
      <c r="A3083" s="1250"/>
      <c r="B3083" s="305"/>
      <c r="C3083" s="165" t="s">
        <v>2</v>
      </c>
      <c r="D3083" s="437">
        <v>4</v>
      </c>
      <c r="E3083" s="298">
        <v>2</v>
      </c>
      <c r="F3083" s="1156">
        <v>3</v>
      </c>
      <c r="G3083" s="1156">
        <v>0.23</v>
      </c>
      <c r="H3083" s="1156">
        <v>0.6</v>
      </c>
      <c r="I3083" s="399">
        <f t="shared" si="90"/>
        <v>3.31</v>
      </c>
      <c r="J3083" s="374"/>
      <c r="K3083" s="1222"/>
      <c r="L3083" s="431"/>
      <c r="M3083" s="431"/>
      <c r="N3083" s="431"/>
    </row>
    <row r="3084" spans="1:14" s="398" customFormat="1" hidden="1" outlineLevel="1">
      <c r="A3084" s="1250"/>
      <c r="B3084" s="305"/>
      <c r="C3084" s="165"/>
      <c r="D3084" s="437"/>
      <c r="E3084" s="298"/>
      <c r="F3084" s="1156"/>
      <c r="G3084" s="1156"/>
      <c r="H3084" s="1156"/>
      <c r="I3084" s="399" t="str">
        <f t="shared" si="90"/>
        <v/>
      </c>
      <c r="J3084" s="374"/>
      <c r="K3084" s="1222"/>
      <c r="L3084" s="431"/>
      <c r="M3084" s="431"/>
      <c r="N3084" s="431"/>
    </row>
    <row r="3085" spans="1:14" s="398" customFormat="1" hidden="1" outlineLevel="1">
      <c r="A3085" s="1250"/>
      <c r="B3085" s="305"/>
      <c r="C3085" s="165" t="s">
        <v>2</v>
      </c>
      <c r="D3085" s="437">
        <v>5</v>
      </c>
      <c r="E3085" s="298">
        <v>2</v>
      </c>
      <c r="F3085" s="1156">
        <v>5</v>
      </c>
      <c r="G3085" s="1156">
        <v>0.23</v>
      </c>
      <c r="H3085" s="1156">
        <f>0.85-0.1</f>
        <v>0.75</v>
      </c>
      <c r="I3085" s="399">
        <f t="shared" si="90"/>
        <v>8.6300000000000008</v>
      </c>
      <c r="J3085" s="374"/>
      <c r="K3085" s="1222"/>
      <c r="L3085" s="431"/>
      <c r="M3085" s="431"/>
      <c r="N3085" s="431"/>
    </row>
    <row r="3086" spans="1:14" s="398" customFormat="1" hidden="1" outlineLevel="1">
      <c r="A3086" s="1250"/>
      <c r="B3086" s="305"/>
      <c r="C3086" s="165" t="s">
        <v>2</v>
      </c>
      <c r="D3086" s="437">
        <v>5</v>
      </c>
      <c r="E3086" s="298">
        <v>2</v>
      </c>
      <c r="F3086" s="1156">
        <f>2-0.46</f>
        <v>1.54</v>
      </c>
      <c r="G3086" s="1156">
        <v>0.23</v>
      </c>
      <c r="H3086" s="1156">
        <f>0.85-0.1</f>
        <v>0.75</v>
      </c>
      <c r="I3086" s="399">
        <f t="shared" si="90"/>
        <v>2.66</v>
      </c>
      <c r="J3086" s="374"/>
      <c r="K3086" s="1222"/>
      <c r="L3086" s="431"/>
      <c r="M3086" s="431"/>
      <c r="N3086" s="431"/>
    </row>
    <row r="3087" spans="1:14" s="398" customFormat="1" hidden="1" outlineLevel="1">
      <c r="A3087" s="1250"/>
      <c r="B3087" s="305"/>
      <c r="C3087" s="165"/>
      <c r="D3087" s="437"/>
      <c r="E3087" s="298"/>
      <c r="F3087" s="1156"/>
      <c r="G3087" s="1156"/>
      <c r="H3087" s="1156"/>
      <c r="I3087" s="399" t="str">
        <f t="shared" si="90"/>
        <v/>
      </c>
      <c r="J3087" s="374"/>
      <c r="K3087" s="1222"/>
      <c r="L3087" s="431"/>
      <c r="M3087" s="431"/>
      <c r="N3087" s="431"/>
    </row>
    <row r="3088" spans="1:14" s="398" customFormat="1" hidden="1" outlineLevel="1">
      <c r="A3088" s="1250"/>
      <c r="B3088" s="303" t="s">
        <v>660</v>
      </c>
      <c r="C3088" s="165"/>
      <c r="D3088" s="437"/>
      <c r="E3088" s="298"/>
      <c r="F3088" s="1156"/>
      <c r="G3088" s="1156"/>
      <c r="H3088" s="1156"/>
      <c r="I3088" s="399" t="str">
        <f t="shared" si="90"/>
        <v/>
      </c>
      <c r="J3088" s="374"/>
      <c r="K3088" s="1222"/>
      <c r="L3088" s="431"/>
      <c r="M3088" s="431"/>
      <c r="N3088" s="431"/>
    </row>
    <row r="3089" spans="1:16" s="398" customFormat="1" hidden="1" outlineLevel="1">
      <c r="A3089" s="1250"/>
      <c r="B3089" s="305"/>
      <c r="C3089" s="165" t="s">
        <v>2</v>
      </c>
      <c r="D3089" s="437">
        <v>8</v>
      </c>
      <c r="E3089" s="298">
        <v>2</v>
      </c>
      <c r="F3089" s="1156">
        <f>5</f>
        <v>5</v>
      </c>
      <c r="G3089" s="1156">
        <v>0.23</v>
      </c>
      <c r="H3089" s="1156">
        <f>0.65-0.1</f>
        <v>0.55000000000000004</v>
      </c>
      <c r="I3089" s="399">
        <f t="shared" si="90"/>
        <v>10.119999999999999</v>
      </c>
      <c r="J3089" s="374"/>
      <c r="K3089" s="1222"/>
      <c r="L3089" s="431"/>
      <c r="M3089" s="431"/>
      <c r="N3089" s="431"/>
    </row>
    <row r="3090" spans="1:16" s="398" customFormat="1" hidden="1" outlineLevel="1">
      <c r="A3090" s="1250"/>
      <c r="B3090" s="305"/>
      <c r="C3090" s="165" t="s">
        <v>2</v>
      </c>
      <c r="D3090" s="437">
        <v>8</v>
      </c>
      <c r="E3090" s="329">
        <v>2</v>
      </c>
      <c r="F3090" s="1156">
        <f>2-0.46</f>
        <v>1.54</v>
      </c>
      <c r="G3090" s="1156">
        <v>0.23</v>
      </c>
      <c r="H3090" s="1156">
        <f>0.65-0.1</f>
        <v>0.55000000000000004</v>
      </c>
      <c r="I3090" s="399">
        <f t="shared" si="90"/>
        <v>3.12</v>
      </c>
      <c r="J3090" s="374"/>
      <c r="K3090" s="1222"/>
      <c r="L3090" s="431"/>
      <c r="M3090" s="431"/>
      <c r="N3090" s="431"/>
    </row>
    <row r="3091" spans="1:16" s="398" customFormat="1" hidden="1" outlineLevel="1">
      <c r="A3091" s="1248"/>
      <c r="B3091" s="369"/>
      <c r="C3091" s="165"/>
      <c r="D3091" s="392"/>
      <c r="E3091" s="323"/>
      <c r="F3091" s="1160"/>
      <c r="G3091" s="1160"/>
      <c r="H3091" s="1160"/>
      <c r="I3091" s="399" t="str">
        <f t="shared" si="90"/>
        <v/>
      </c>
      <c r="J3091" s="374"/>
      <c r="K3091" s="1222"/>
      <c r="L3091" s="431"/>
      <c r="M3091" s="431"/>
      <c r="N3091" s="431"/>
    </row>
    <row r="3092" spans="1:16" s="398" customFormat="1" ht="18.75" hidden="1" outlineLevel="1">
      <c r="A3092" s="1248"/>
      <c r="B3092" s="600" t="s">
        <v>933</v>
      </c>
      <c r="C3092" s="388"/>
      <c r="D3092" s="437"/>
      <c r="E3092" s="437"/>
      <c r="F3092" s="1206"/>
      <c r="G3092" s="1206"/>
      <c r="H3092" s="1206"/>
      <c r="I3092" s="399" t="str">
        <f t="shared" si="90"/>
        <v/>
      </c>
      <c r="J3092" s="394"/>
      <c r="K3092" s="1233"/>
      <c r="L3092" s="431"/>
      <c r="M3092" s="431"/>
      <c r="N3092" s="431"/>
    </row>
    <row r="3093" spans="1:16" s="398" customFormat="1" hidden="1" outlineLevel="1">
      <c r="A3093" s="1248"/>
      <c r="B3093" s="592"/>
      <c r="C3093" s="388"/>
      <c r="D3093" s="631"/>
      <c r="E3093" s="632"/>
      <c r="F3093" s="486"/>
      <c r="G3093" s="486"/>
      <c r="H3093" s="486"/>
      <c r="I3093" s="399" t="str">
        <f t="shared" si="90"/>
        <v/>
      </c>
      <c r="J3093" s="403"/>
      <c r="K3093" s="1234"/>
      <c r="L3093" s="431"/>
      <c r="M3093" s="431"/>
      <c r="N3093" s="431"/>
      <c r="O3093" s="431"/>
      <c r="P3093" s="431"/>
    </row>
    <row r="3094" spans="1:16" s="398" customFormat="1" ht="51.75" hidden="1" outlineLevel="1">
      <c r="A3094" s="1248"/>
      <c r="B3094" s="592" t="s">
        <v>934</v>
      </c>
      <c r="C3094" s="388"/>
      <c r="D3094" s="631"/>
      <c r="E3094" s="632"/>
      <c r="F3094" s="486"/>
      <c r="G3094" s="486"/>
      <c r="H3094" s="486"/>
      <c r="I3094" s="399" t="str">
        <f t="shared" si="90"/>
        <v/>
      </c>
      <c r="J3094" s="403"/>
      <c r="K3094" s="1234"/>
      <c r="L3094" s="431"/>
      <c r="M3094" s="431"/>
      <c r="N3094" s="431"/>
      <c r="O3094" s="431"/>
      <c r="P3094" s="431"/>
    </row>
    <row r="3095" spans="1:16" s="526" customFormat="1" hidden="1" outlineLevel="1">
      <c r="A3095" s="1265"/>
      <c r="B3095" s="297" t="s">
        <v>615</v>
      </c>
      <c r="C3095" s="304"/>
      <c r="D3095" s="296"/>
      <c r="E3095" s="295"/>
      <c r="F3095" s="1205"/>
      <c r="G3095" s="1205"/>
      <c r="H3095" s="1205"/>
      <c r="I3095" s="399" t="str">
        <f t="shared" si="90"/>
        <v/>
      </c>
      <c r="J3095" s="483"/>
      <c r="K3095" s="1266"/>
    </row>
    <row r="3096" spans="1:16" s="526" customFormat="1" hidden="1" outlineLevel="1">
      <c r="A3096" s="1267"/>
      <c r="B3096" s="297" t="s">
        <v>810</v>
      </c>
      <c r="C3096" s="530" t="s">
        <v>2</v>
      </c>
      <c r="D3096" s="296">
        <v>1</v>
      </c>
      <c r="E3096" s="295">
        <v>1</v>
      </c>
      <c r="F3096" s="1204">
        <v>10.27</v>
      </c>
      <c r="G3096" s="1205">
        <v>0.46</v>
      </c>
      <c r="H3096" s="1205">
        <v>0.3</v>
      </c>
      <c r="I3096" s="399">
        <f t="shared" ref="I3096:I3159" si="94">IF(D3096&lt;&gt;0,ROUND(PRODUCT(E3096:H3096)*D3096,2),"")</f>
        <v>1.42</v>
      </c>
      <c r="J3096" s="483"/>
      <c r="K3096" s="1266"/>
    </row>
    <row r="3097" spans="1:16" s="526" customFormat="1" hidden="1" outlineLevel="1">
      <c r="A3097" s="1265"/>
      <c r="B3097" s="295"/>
      <c r="C3097" s="530" t="s">
        <v>2</v>
      </c>
      <c r="D3097" s="296">
        <v>1</v>
      </c>
      <c r="E3097" s="295">
        <v>1</v>
      </c>
      <c r="F3097" s="1204">
        <v>10.039999999999999</v>
      </c>
      <c r="G3097" s="1205">
        <v>0.34499999999999997</v>
      </c>
      <c r="H3097" s="1205">
        <v>0.3</v>
      </c>
      <c r="I3097" s="399">
        <f t="shared" si="94"/>
        <v>1.04</v>
      </c>
      <c r="J3097" s="483"/>
      <c r="K3097" s="1266"/>
    </row>
    <row r="3098" spans="1:16" s="526" customFormat="1" hidden="1" outlineLevel="1">
      <c r="A3098" s="1265"/>
      <c r="B3098" s="295"/>
      <c r="C3098" s="530" t="s">
        <v>2</v>
      </c>
      <c r="D3098" s="296">
        <v>1</v>
      </c>
      <c r="E3098" s="295">
        <v>1</v>
      </c>
      <c r="F3098" s="1204">
        <v>9.81</v>
      </c>
      <c r="G3098" s="1205">
        <v>0.23</v>
      </c>
      <c r="H3098" s="1205">
        <f>1.2-0.15-0.6-0.06-0.2</f>
        <v>0.19000000000000006</v>
      </c>
      <c r="I3098" s="399">
        <f t="shared" si="94"/>
        <v>0.43</v>
      </c>
      <c r="J3098" s="483"/>
      <c r="K3098" s="1266"/>
    </row>
    <row r="3099" spans="1:16" s="526" customFormat="1" hidden="1" outlineLevel="1">
      <c r="A3099" s="1265"/>
      <c r="B3099" s="295"/>
      <c r="C3099" s="304"/>
      <c r="D3099" s="296"/>
      <c r="E3099" s="295"/>
      <c r="F3099" s="1205"/>
      <c r="G3099" s="1205"/>
      <c r="H3099" s="1205"/>
      <c r="I3099" s="399" t="str">
        <f t="shared" si="94"/>
        <v/>
      </c>
      <c r="J3099" s="483"/>
      <c r="K3099" s="1266"/>
    </row>
    <row r="3100" spans="1:16" s="398" customFormat="1" hidden="1" outlineLevel="1">
      <c r="A3100" s="1248"/>
      <c r="B3100" s="592"/>
      <c r="C3100" s="530" t="s">
        <v>2</v>
      </c>
      <c r="D3100" s="296">
        <v>1</v>
      </c>
      <c r="E3100" s="295">
        <v>1</v>
      </c>
      <c r="F3100" s="1205">
        <f>9.395+G3100</f>
        <v>9.8550000000000004</v>
      </c>
      <c r="G3100" s="1205">
        <v>0.46</v>
      </c>
      <c r="H3100" s="1205">
        <v>0.3</v>
      </c>
      <c r="I3100" s="399">
        <f t="shared" si="94"/>
        <v>1.36</v>
      </c>
      <c r="J3100" s="403"/>
      <c r="K3100" s="1234"/>
      <c r="L3100" s="431"/>
      <c r="M3100" s="431"/>
      <c r="N3100" s="431"/>
      <c r="O3100" s="431"/>
      <c r="P3100" s="431"/>
    </row>
    <row r="3101" spans="1:16" s="398" customFormat="1" hidden="1" outlineLevel="1">
      <c r="A3101" s="1248"/>
      <c r="B3101" s="592"/>
      <c r="C3101" s="530" t="s">
        <v>2</v>
      </c>
      <c r="D3101" s="296">
        <v>1</v>
      </c>
      <c r="E3101" s="295">
        <v>1</v>
      </c>
      <c r="F3101" s="1205">
        <f>9.395+G3101</f>
        <v>9.74</v>
      </c>
      <c r="G3101" s="1205">
        <v>0.34499999999999997</v>
      </c>
      <c r="H3101" s="1205">
        <v>0.3</v>
      </c>
      <c r="I3101" s="399">
        <f t="shared" si="94"/>
        <v>1.01</v>
      </c>
      <c r="J3101" s="403"/>
      <c r="K3101" s="1234"/>
      <c r="L3101" s="431"/>
      <c r="M3101" s="431"/>
      <c r="N3101" s="431"/>
      <c r="O3101" s="431"/>
      <c r="P3101" s="431"/>
    </row>
    <row r="3102" spans="1:16" s="398" customFormat="1" hidden="1" outlineLevel="1">
      <c r="A3102" s="1248"/>
      <c r="B3102" s="592"/>
      <c r="C3102" s="530" t="s">
        <v>2</v>
      </c>
      <c r="D3102" s="296">
        <v>1</v>
      </c>
      <c r="E3102" s="295">
        <v>1</v>
      </c>
      <c r="F3102" s="1205">
        <f>9.395+G3102</f>
        <v>9.625</v>
      </c>
      <c r="G3102" s="1205">
        <v>0.23</v>
      </c>
      <c r="H3102" s="1205">
        <f>1.2-0.15-0.6-0.06-0.2</f>
        <v>0.19000000000000006</v>
      </c>
      <c r="I3102" s="399">
        <f t="shared" si="94"/>
        <v>0.42</v>
      </c>
      <c r="J3102" s="403"/>
      <c r="K3102" s="1234"/>
      <c r="L3102" s="431"/>
      <c r="M3102" s="431"/>
      <c r="N3102" s="431"/>
      <c r="O3102" s="431"/>
      <c r="P3102" s="431"/>
    </row>
    <row r="3103" spans="1:16" s="398" customFormat="1" hidden="1" outlineLevel="1">
      <c r="A3103" s="1248"/>
      <c r="B3103" s="592"/>
      <c r="C3103" s="388"/>
      <c r="D3103" s="631"/>
      <c r="E3103" s="632"/>
      <c r="F3103" s="486"/>
      <c r="G3103" s="486"/>
      <c r="H3103" s="486"/>
      <c r="I3103" s="399" t="str">
        <f t="shared" si="94"/>
        <v/>
      </c>
      <c r="J3103" s="403"/>
      <c r="K3103" s="1234"/>
      <c r="L3103" s="431"/>
      <c r="M3103" s="431"/>
      <c r="N3103" s="431"/>
      <c r="O3103" s="431"/>
      <c r="P3103" s="431"/>
    </row>
    <row r="3104" spans="1:16" s="526" customFormat="1" hidden="1" outlineLevel="1">
      <c r="A3104" s="1267"/>
      <c r="B3104" s="297" t="s">
        <v>811</v>
      </c>
      <c r="C3104" s="530" t="s">
        <v>2</v>
      </c>
      <c r="D3104" s="296">
        <v>1</v>
      </c>
      <c r="E3104" s="295">
        <v>2</v>
      </c>
      <c r="F3104" s="1204">
        <v>8.6</v>
      </c>
      <c r="G3104" s="1205">
        <v>0.46</v>
      </c>
      <c r="H3104" s="1205">
        <v>0.3</v>
      </c>
      <c r="I3104" s="399">
        <f t="shared" si="94"/>
        <v>2.37</v>
      </c>
      <c r="J3104" s="483"/>
      <c r="K3104" s="1266"/>
    </row>
    <row r="3105" spans="1:16" s="526" customFormat="1" hidden="1" outlineLevel="1">
      <c r="A3105" s="1265"/>
      <c r="B3105" s="295"/>
      <c r="C3105" s="530" t="s">
        <v>2</v>
      </c>
      <c r="D3105" s="296">
        <v>1</v>
      </c>
      <c r="E3105" s="295">
        <v>2</v>
      </c>
      <c r="F3105" s="1204">
        <v>8.4849999999999994</v>
      </c>
      <c r="G3105" s="1205">
        <v>0.34499999999999997</v>
      </c>
      <c r="H3105" s="1205">
        <v>0.3</v>
      </c>
      <c r="I3105" s="399">
        <f t="shared" si="94"/>
        <v>1.76</v>
      </c>
      <c r="J3105" s="483"/>
      <c r="K3105" s="1266"/>
    </row>
    <row r="3106" spans="1:16" s="526" customFormat="1" hidden="1" outlineLevel="1">
      <c r="A3106" s="1265"/>
      <c r="B3106" s="295"/>
      <c r="C3106" s="530" t="s">
        <v>2</v>
      </c>
      <c r="D3106" s="296">
        <v>1</v>
      </c>
      <c r="E3106" s="295">
        <v>2</v>
      </c>
      <c r="F3106" s="1204">
        <v>8.3699999999999992</v>
      </c>
      <c r="G3106" s="1205">
        <v>0.23</v>
      </c>
      <c r="H3106" s="1205">
        <f>1.2-0.15-0.6-0.06-0.2</f>
        <v>0.19000000000000006</v>
      </c>
      <c r="I3106" s="399">
        <f t="shared" si="94"/>
        <v>0.73</v>
      </c>
      <c r="J3106" s="483"/>
      <c r="K3106" s="1266"/>
    </row>
    <row r="3107" spans="1:16" s="398" customFormat="1" hidden="1" outlineLevel="1">
      <c r="A3107" s="1248"/>
      <c r="B3107" s="592"/>
      <c r="C3107" s="388"/>
      <c r="D3107" s="631"/>
      <c r="E3107" s="632"/>
      <c r="F3107" s="486"/>
      <c r="G3107" s="486"/>
      <c r="H3107" s="486"/>
      <c r="I3107" s="399" t="str">
        <f t="shared" si="94"/>
        <v/>
      </c>
      <c r="J3107" s="403"/>
      <c r="K3107" s="1234"/>
      <c r="L3107" s="431"/>
      <c r="M3107" s="431"/>
      <c r="N3107" s="431"/>
      <c r="O3107" s="431"/>
      <c r="P3107" s="431"/>
    </row>
    <row r="3108" spans="1:16" s="526" customFormat="1" hidden="1" outlineLevel="1">
      <c r="A3108" s="1267"/>
      <c r="B3108" s="297" t="s">
        <v>812</v>
      </c>
      <c r="C3108" s="530" t="s">
        <v>2</v>
      </c>
      <c r="D3108" s="296">
        <v>1</v>
      </c>
      <c r="E3108" s="295">
        <v>2</v>
      </c>
      <c r="F3108" s="1204">
        <v>7.0759999999999996</v>
      </c>
      <c r="G3108" s="1205">
        <v>0.46</v>
      </c>
      <c r="H3108" s="1205">
        <v>0.3</v>
      </c>
      <c r="I3108" s="399">
        <f t="shared" si="94"/>
        <v>1.95</v>
      </c>
      <c r="J3108" s="483"/>
      <c r="K3108" s="1266"/>
    </row>
    <row r="3109" spans="1:16" s="526" customFormat="1" hidden="1" outlineLevel="1">
      <c r="A3109" s="1265"/>
      <c r="B3109" s="295"/>
      <c r="C3109" s="530" t="s">
        <v>2</v>
      </c>
      <c r="D3109" s="296">
        <v>1</v>
      </c>
      <c r="E3109" s="295">
        <v>2</v>
      </c>
      <c r="F3109" s="1204">
        <v>6.9610000000000003</v>
      </c>
      <c r="G3109" s="1205">
        <v>0.34499999999999997</v>
      </c>
      <c r="H3109" s="1205">
        <v>0.3</v>
      </c>
      <c r="I3109" s="399">
        <f t="shared" si="94"/>
        <v>1.44</v>
      </c>
      <c r="J3109" s="483"/>
      <c r="K3109" s="1266"/>
    </row>
    <row r="3110" spans="1:16" s="526" customFormat="1" hidden="1" outlineLevel="1">
      <c r="A3110" s="1265"/>
      <c r="B3110" s="295"/>
      <c r="C3110" s="530" t="s">
        <v>2</v>
      </c>
      <c r="D3110" s="296">
        <v>1</v>
      </c>
      <c r="E3110" s="295">
        <v>2</v>
      </c>
      <c r="F3110" s="1204">
        <v>6.8460000000000001</v>
      </c>
      <c r="G3110" s="1205">
        <v>0.23</v>
      </c>
      <c r="H3110" s="1205">
        <f>1.2-0.15-0.6-0.06-0.2</f>
        <v>0.19000000000000006</v>
      </c>
      <c r="I3110" s="399">
        <f t="shared" si="94"/>
        <v>0.6</v>
      </c>
      <c r="J3110" s="483"/>
      <c r="K3110" s="1266"/>
    </row>
    <row r="3111" spans="1:16" s="398" customFormat="1" hidden="1" outlineLevel="1">
      <c r="A3111" s="1248"/>
      <c r="B3111" s="592"/>
      <c r="C3111" s="388"/>
      <c r="D3111" s="631"/>
      <c r="E3111" s="632"/>
      <c r="F3111" s="486"/>
      <c r="G3111" s="486"/>
      <c r="H3111" s="486"/>
      <c r="I3111" s="399" t="str">
        <f t="shared" si="94"/>
        <v/>
      </c>
      <c r="J3111" s="403"/>
      <c r="K3111" s="1234"/>
      <c r="L3111" s="431"/>
      <c r="M3111" s="431"/>
      <c r="N3111" s="431"/>
      <c r="O3111" s="431"/>
      <c r="P3111" s="431"/>
    </row>
    <row r="3112" spans="1:16" s="526" customFormat="1" hidden="1" outlineLevel="1">
      <c r="A3112" s="1267"/>
      <c r="B3112" s="297" t="s">
        <v>813</v>
      </c>
      <c r="C3112" s="530" t="s">
        <v>2</v>
      </c>
      <c r="D3112" s="296">
        <v>1</v>
      </c>
      <c r="E3112" s="295">
        <v>2</v>
      </c>
      <c r="F3112" s="1204">
        <v>5.2450000000000001</v>
      </c>
      <c r="G3112" s="1205">
        <v>0.46</v>
      </c>
      <c r="H3112" s="1205">
        <v>0.3</v>
      </c>
      <c r="I3112" s="399">
        <f t="shared" si="94"/>
        <v>1.45</v>
      </c>
      <c r="J3112" s="483"/>
      <c r="K3112" s="1266"/>
    </row>
    <row r="3113" spans="1:16" s="526" customFormat="1" hidden="1" outlineLevel="1">
      <c r="A3113" s="1265"/>
      <c r="B3113" s="295"/>
      <c r="C3113" s="530" t="s">
        <v>2</v>
      </c>
      <c r="D3113" s="296">
        <v>1</v>
      </c>
      <c r="E3113" s="295">
        <v>2</v>
      </c>
      <c r="F3113" s="1204">
        <v>5.13</v>
      </c>
      <c r="G3113" s="1205">
        <v>0.34499999999999997</v>
      </c>
      <c r="H3113" s="1205">
        <v>0.3</v>
      </c>
      <c r="I3113" s="399">
        <f t="shared" si="94"/>
        <v>1.06</v>
      </c>
      <c r="J3113" s="483"/>
      <c r="K3113" s="1266"/>
    </row>
    <row r="3114" spans="1:16" s="526" customFormat="1" hidden="1" outlineLevel="1">
      <c r="A3114" s="1265"/>
      <c r="B3114" s="295"/>
      <c r="C3114" s="530" t="s">
        <v>2</v>
      </c>
      <c r="D3114" s="296">
        <v>1</v>
      </c>
      <c r="E3114" s="295">
        <v>2</v>
      </c>
      <c r="F3114" s="1204">
        <v>5.0149999999999997</v>
      </c>
      <c r="G3114" s="1205">
        <v>0.23</v>
      </c>
      <c r="H3114" s="1205">
        <f>1.2-0.15-0.6-0.06-0.2</f>
        <v>0.19000000000000006</v>
      </c>
      <c r="I3114" s="399">
        <f t="shared" si="94"/>
        <v>0.44</v>
      </c>
      <c r="J3114" s="483"/>
      <c r="K3114" s="1266"/>
    </row>
    <row r="3115" spans="1:16" s="398" customFormat="1" hidden="1" outlineLevel="1">
      <c r="A3115" s="1248"/>
      <c r="B3115" s="592"/>
      <c r="C3115" s="388"/>
      <c r="D3115" s="631"/>
      <c r="E3115" s="632"/>
      <c r="F3115" s="486"/>
      <c r="G3115" s="486"/>
      <c r="H3115" s="486"/>
      <c r="I3115" s="399" t="str">
        <f t="shared" si="94"/>
        <v/>
      </c>
      <c r="J3115" s="403"/>
      <c r="K3115" s="1234"/>
      <c r="L3115" s="431"/>
      <c r="M3115" s="431"/>
      <c r="N3115" s="431"/>
      <c r="O3115" s="431"/>
      <c r="P3115" s="431"/>
    </row>
    <row r="3116" spans="1:16" s="526" customFormat="1" hidden="1" outlineLevel="1">
      <c r="A3116" s="1267"/>
      <c r="B3116" s="297" t="s">
        <v>814</v>
      </c>
      <c r="C3116" s="530" t="s">
        <v>2</v>
      </c>
      <c r="D3116" s="296">
        <v>1</v>
      </c>
      <c r="E3116" s="295">
        <v>1</v>
      </c>
      <c r="F3116" s="1204">
        <v>3.72</v>
      </c>
      <c r="G3116" s="1205">
        <v>0.46</v>
      </c>
      <c r="H3116" s="1205">
        <v>0.3</v>
      </c>
      <c r="I3116" s="399">
        <f t="shared" si="94"/>
        <v>0.51</v>
      </c>
      <c r="J3116" s="483"/>
      <c r="K3116" s="1266"/>
    </row>
    <row r="3117" spans="1:16" s="526" customFormat="1" hidden="1" outlineLevel="1">
      <c r="A3117" s="1265"/>
      <c r="B3117" s="295"/>
      <c r="C3117" s="530" t="s">
        <v>2</v>
      </c>
      <c r="D3117" s="296">
        <v>1</v>
      </c>
      <c r="E3117" s="295">
        <v>1</v>
      </c>
      <c r="F3117" s="1204">
        <v>3.605</v>
      </c>
      <c r="G3117" s="1205">
        <v>0.34499999999999997</v>
      </c>
      <c r="H3117" s="1205">
        <v>0.3</v>
      </c>
      <c r="I3117" s="399">
        <f t="shared" si="94"/>
        <v>0.37</v>
      </c>
      <c r="J3117" s="483"/>
      <c r="K3117" s="1266"/>
    </row>
    <row r="3118" spans="1:16" s="526" customFormat="1" hidden="1" outlineLevel="1">
      <c r="A3118" s="1265"/>
      <c r="B3118" s="295"/>
      <c r="C3118" s="530" t="s">
        <v>2</v>
      </c>
      <c r="D3118" s="296">
        <v>1</v>
      </c>
      <c r="E3118" s="295">
        <v>1</v>
      </c>
      <c r="F3118" s="1204">
        <v>3.49</v>
      </c>
      <c r="G3118" s="1205">
        <v>0.23</v>
      </c>
      <c r="H3118" s="1205">
        <f>1.2-0.15-0.6-0.06-0.2</f>
        <v>0.19000000000000006</v>
      </c>
      <c r="I3118" s="399">
        <f t="shared" si="94"/>
        <v>0.15</v>
      </c>
      <c r="J3118" s="483"/>
      <c r="K3118" s="1266"/>
    </row>
    <row r="3119" spans="1:16" s="526" customFormat="1" hidden="1" outlineLevel="1">
      <c r="A3119" s="1265"/>
      <c r="B3119" s="295"/>
      <c r="C3119" s="304"/>
      <c r="D3119" s="296"/>
      <c r="E3119" s="295"/>
      <c r="F3119" s="1205"/>
      <c r="G3119" s="1205"/>
      <c r="H3119" s="1205"/>
      <c r="I3119" s="399" t="str">
        <f t="shared" si="94"/>
        <v/>
      </c>
      <c r="J3119" s="483"/>
      <c r="K3119" s="1266"/>
    </row>
    <row r="3120" spans="1:16" s="398" customFormat="1" hidden="1" outlineLevel="1">
      <c r="A3120" s="1248"/>
      <c r="B3120" s="592"/>
      <c r="C3120" s="380" t="s">
        <v>2</v>
      </c>
      <c r="D3120" s="849">
        <f t="shared" ref="D3120:D3122" si="95">1*0</f>
        <v>0</v>
      </c>
      <c r="E3120" s="348">
        <v>1</v>
      </c>
      <c r="F3120" s="1365">
        <f>3.33+G3120*2</f>
        <v>4.25</v>
      </c>
      <c r="G3120" s="1365">
        <v>0.46</v>
      </c>
      <c r="H3120" s="1365">
        <v>0.3</v>
      </c>
      <c r="I3120" s="399" t="str">
        <f t="shared" si="94"/>
        <v/>
      </c>
      <c r="J3120" s="403"/>
      <c r="K3120" s="1234"/>
      <c r="L3120" s="431"/>
      <c r="M3120" s="431"/>
      <c r="N3120" s="431"/>
      <c r="O3120" s="431"/>
      <c r="P3120" s="431"/>
    </row>
    <row r="3121" spans="1:16" s="398" customFormat="1" hidden="1" outlineLevel="1">
      <c r="A3121" s="1248"/>
      <c r="B3121" s="592"/>
      <c r="C3121" s="380" t="s">
        <v>2</v>
      </c>
      <c r="D3121" s="849">
        <f t="shared" si="95"/>
        <v>0</v>
      </c>
      <c r="E3121" s="348">
        <v>1</v>
      </c>
      <c r="F3121" s="1365">
        <f t="shared" ref="F3121:F3122" si="96">3.33+G3121*2</f>
        <v>4.0199999999999996</v>
      </c>
      <c r="G3121" s="1365">
        <v>0.34499999999999997</v>
      </c>
      <c r="H3121" s="1365">
        <v>0.3</v>
      </c>
      <c r="I3121" s="399" t="str">
        <f t="shared" si="94"/>
        <v/>
      </c>
      <c r="J3121" s="403"/>
      <c r="K3121" s="1234"/>
      <c r="L3121" s="431"/>
      <c r="M3121" s="431"/>
      <c r="N3121" s="431"/>
      <c r="O3121" s="431"/>
      <c r="P3121" s="431"/>
    </row>
    <row r="3122" spans="1:16" s="398" customFormat="1" hidden="1" outlineLevel="1">
      <c r="A3122" s="1248"/>
      <c r="B3122" s="592"/>
      <c r="C3122" s="380" t="s">
        <v>2</v>
      </c>
      <c r="D3122" s="849">
        <f t="shared" si="95"/>
        <v>0</v>
      </c>
      <c r="E3122" s="348">
        <v>1</v>
      </c>
      <c r="F3122" s="1365">
        <f t="shared" si="96"/>
        <v>3.79</v>
      </c>
      <c r="G3122" s="1365">
        <v>0.23</v>
      </c>
      <c r="H3122" s="1365">
        <f>1.2-0.15-0.6-0.06-0.2</f>
        <v>0.19000000000000006</v>
      </c>
      <c r="I3122" s="399" t="str">
        <f t="shared" si="94"/>
        <v/>
      </c>
      <c r="J3122" s="403"/>
      <c r="K3122" s="1234"/>
      <c r="L3122" s="431"/>
      <c r="M3122" s="431"/>
      <c r="N3122" s="431"/>
      <c r="O3122" s="431"/>
      <c r="P3122" s="431"/>
    </row>
    <row r="3123" spans="1:16" s="398" customFormat="1" hidden="1" outlineLevel="1">
      <c r="A3123" s="1248"/>
      <c r="B3123" s="592"/>
      <c r="C3123" s="388"/>
      <c r="D3123" s="631"/>
      <c r="E3123" s="632"/>
      <c r="F3123" s="486"/>
      <c r="G3123" s="486"/>
      <c r="H3123" s="486"/>
      <c r="I3123" s="399" t="str">
        <f t="shared" si="94"/>
        <v/>
      </c>
      <c r="J3123" s="403"/>
      <c r="K3123" s="1234"/>
      <c r="L3123" s="431"/>
      <c r="M3123" s="431"/>
      <c r="N3123" s="431"/>
    </row>
    <row r="3124" spans="1:16" s="398" customFormat="1" hidden="1" outlineLevel="1">
      <c r="A3124" s="1248"/>
      <c r="B3124" s="592" t="s">
        <v>815</v>
      </c>
      <c r="C3124" s="530" t="s">
        <v>2</v>
      </c>
      <c r="D3124" s="296">
        <v>1</v>
      </c>
      <c r="E3124" s="484">
        <v>5</v>
      </c>
      <c r="F3124" s="1204">
        <v>0.6</v>
      </c>
      <c r="G3124" s="1205">
        <v>0.46</v>
      </c>
      <c r="H3124" s="1205">
        <v>0.3</v>
      </c>
      <c r="I3124" s="399">
        <f t="shared" si="94"/>
        <v>0.41</v>
      </c>
      <c r="J3124" s="404"/>
      <c r="K3124" s="1234"/>
      <c r="L3124" s="431"/>
      <c r="M3124" s="431"/>
      <c r="N3124" s="431"/>
    </row>
    <row r="3125" spans="1:16" s="398" customFormat="1" hidden="1" outlineLevel="1">
      <c r="A3125" s="1248"/>
      <c r="B3125" s="592"/>
      <c r="C3125" s="530" t="s">
        <v>2</v>
      </c>
      <c r="D3125" s="296">
        <v>1</v>
      </c>
      <c r="E3125" s="484">
        <v>5</v>
      </c>
      <c r="F3125" s="1204">
        <v>0.6</v>
      </c>
      <c r="G3125" s="1205">
        <v>0.34499999999999997</v>
      </c>
      <c r="H3125" s="1205">
        <v>0.3</v>
      </c>
      <c r="I3125" s="399">
        <f t="shared" si="94"/>
        <v>0.31</v>
      </c>
      <c r="J3125" s="404"/>
      <c r="K3125" s="1234"/>
      <c r="L3125" s="431"/>
      <c r="M3125" s="431"/>
      <c r="N3125" s="431"/>
    </row>
    <row r="3126" spans="1:16" s="398" customFormat="1" hidden="1" outlineLevel="1">
      <c r="A3126" s="1248"/>
      <c r="B3126" s="592"/>
      <c r="C3126" s="530" t="s">
        <v>2</v>
      </c>
      <c r="D3126" s="296">
        <v>1</v>
      </c>
      <c r="E3126" s="484">
        <v>5</v>
      </c>
      <c r="F3126" s="1204">
        <v>0.6</v>
      </c>
      <c r="G3126" s="1205">
        <v>0.23</v>
      </c>
      <c r="H3126" s="1205">
        <f>1.2-0.15-0.6-0.06-0.2</f>
        <v>0.19000000000000006</v>
      </c>
      <c r="I3126" s="399">
        <f t="shared" si="94"/>
        <v>0.13</v>
      </c>
      <c r="J3126" s="404"/>
      <c r="K3126" s="1234"/>
      <c r="L3126" s="431"/>
      <c r="M3126" s="431"/>
      <c r="N3126" s="431"/>
    </row>
    <row r="3127" spans="1:16" s="398" customFormat="1" hidden="1" outlineLevel="1">
      <c r="A3127" s="1248"/>
      <c r="B3127" s="592"/>
      <c r="C3127" s="388"/>
      <c r="D3127" s="485"/>
      <c r="E3127" s="408"/>
      <c r="F3127" s="486"/>
      <c r="G3127" s="486"/>
      <c r="H3127" s="486"/>
      <c r="I3127" s="399" t="str">
        <f t="shared" si="94"/>
        <v/>
      </c>
      <c r="J3127" s="404"/>
      <c r="K3127" s="1234"/>
      <c r="L3127" s="431"/>
      <c r="M3127" s="431"/>
      <c r="N3127" s="431"/>
    </row>
    <row r="3128" spans="1:16" s="398" customFormat="1" ht="34.5" hidden="1" outlineLevel="1">
      <c r="A3128" s="1248"/>
      <c r="B3128" s="592" t="s">
        <v>935</v>
      </c>
      <c r="C3128" s="165"/>
      <c r="D3128" s="485"/>
      <c r="E3128" s="408"/>
      <c r="F3128" s="1511" t="s">
        <v>817</v>
      </c>
      <c r="G3128" s="1511"/>
      <c r="H3128" s="1511"/>
      <c r="I3128" s="399" t="str">
        <f t="shared" si="94"/>
        <v/>
      </c>
      <c r="J3128" s="404"/>
      <c r="K3128" s="1234"/>
      <c r="L3128" s="431"/>
      <c r="M3128" s="431"/>
      <c r="N3128" s="431"/>
    </row>
    <row r="3129" spans="1:16" s="398" customFormat="1" hidden="1" outlineLevel="1">
      <c r="A3129" s="1248"/>
      <c r="B3129" s="425"/>
      <c r="C3129" s="530" t="s">
        <v>2</v>
      </c>
      <c r="D3129" s="296">
        <v>1</v>
      </c>
      <c r="E3129" s="484">
        <v>2</v>
      </c>
      <c r="F3129" s="486">
        <v>6</v>
      </c>
      <c r="G3129" s="486">
        <v>0.34499999999999997</v>
      </c>
      <c r="H3129" s="486">
        <f>0.3</f>
        <v>0.3</v>
      </c>
      <c r="I3129" s="399">
        <f t="shared" si="94"/>
        <v>1.24</v>
      </c>
      <c r="J3129" s="404"/>
      <c r="K3129" s="1234"/>
      <c r="L3129" s="431"/>
      <c r="M3129" s="431"/>
      <c r="N3129" s="431"/>
    </row>
    <row r="3130" spans="1:16" s="398" customFormat="1" hidden="1" outlineLevel="1">
      <c r="A3130" s="1248"/>
      <c r="B3130" s="425"/>
      <c r="C3130" s="530" t="s">
        <v>2</v>
      </c>
      <c r="D3130" s="296">
        <v>1</v>
      </c>
      <c r="E3130" s="484">
        <v>2</v>
      </c>
      <c r="F3130" s="486">
        <v>6</v>
      </c>
      <c r="G3130" s="486">
        <v>0.23</v>
      </c>
      <c r="H3130" s="662">
        <f>(0.5+0.8)/2-0.3</f>
        <v>0.35000000000000003</v>
      </c>
      <c r="I3130" s="399">
        <f t="shared" si="94"/>
        <v>0.97</v>
      </c>
      <c r="J3130" s="404"/>
      <c r="K3130" s="1234"/>
      <c r="L3130" s="431"/>
      <c r="M3130" s="431"/>
      <c r="N3130" s="431"/>
    </row>
    <row r="3131" spans="1:16" s="398" customFormat="1" hidden="1" outlineLevel="1">
      <c r="A3131" s="1248"/>
      <c r="B3131" s="425"/>
      <c r="C3131" s="530" t="s">
        <v>2</v>
      </c>
      <c r="D3131" s="485">
        <v>1</v>
      </c>
      <c r="E3131" s="487">
        <v>1</v>
      </c>
      <c r="F3131" s="662">
        <v>2.9249999999999998</v>
      </c>
      <c r="G3131" s="486">
        <v>0.34499999999999997</v>
      </c>
      <c r="H3131" s="486">
        <v>0.3</v>
      </c>
      <c r="I3131" s="399">
        <f t="shared" si="94"/>
        <v>0.3</v>
      </c>
      <c r="J3131" s="404"/>
      <c r="K3131" s="1234"/>
      <c r="L3131" s="431"/>
      <c r="M3131" s="431"/>
      <c r="N3131" s="431"/>
    </row>
    <row r="3132" spans="1:16" s="398" customFormat="1" hidden="1" outlineLevel="1">
      <c r="A3132" s="1248"/>
      <c r="B3132" s="425"/>
      <c r="C3132" s="530" t="s">
        <v>2</v>
      </c>
      <c r="D3132" s="485">
        <v>1</v>
      </c>
      <c r="E3132" s="487">
        <v>1</v>
      </c>
      <c r="F3132" s="662">
        <v>2.9249999999999998</v>
      </c>
      <c r="G3132" s="486">
        <v>0.23</v>
      </c>
      <c r="H3132" s="662">
        <f>0.5+0.4-0.1-0.3</f>
        <v>0.5</v>
      </c>
      <c r="I3132" s="399">
        <f t="shared" si="94"/>
        <v>0.34</v>
      </c>
      <c r="J3132" s="404"/>
      <c r="K3132" s="1234"/>
      <c r="L3132" s="431"/>
      <c r="M3132" s="431"/>
      <c r="N3132" s="431"/>
    </row>
    <row r="3133" spans="1:16" s="398" customFormat="1" hidden="1" outlineLevel="1">
      <c r="A3133" s="1248"/>
      <c r="B3133" s="425"/>
      <c r="C3133" s="530" t="s">
        <v>2</v>
      </c>
      <c r="D3133" s="485">
        <v>1</v>
      </c>
      <c r="E3133" s="487">
        <v>1</v>
      </c>
      <c r="F3133" s="486">
        <v>1.08</v>
      </c>
      <c r="G3133" s="486">
        <v>0.34499999999999997</v>
      </c>
      <c r="H3133" s="486">
        <v>0.3</v>
      </c>
      <c r="I3133" s="399">
        <f t="shared" si="94"/>
        <v>0.11</v>
      </c>
      <c r="J3133" s="404"/>
      <c r="K3133" s="1234"/>
      <c r="L3133" s="431"/>
      <c r="M3133" s="431"/>
      <c r="N3133" s="431"/>
    </row>
    <row r="3134" spans="1:16" s="398" customFormat="1" hidden="1" outlineLevel="1">
      <c r="A3134" s="1248"/>
      <c r="B3134" s="425"/>
      <c r="C3134" s="530" t="s">
        <v>2</v>
      </c>
      <c r="D3134" s="485">
        <v>1</v>
      </c>
      <c r="E3134" s="487">
        <v>1</v>
      </c>
      <c r="F3134" s="486">
        <v>1.08</v>
      </c>
      <c r="G3134" s="486">
        <v>0.23</v>
      </c>
      <c r="H3134" s="662">
        <f>0.5+0.4-0.1-0.3</f>
        <v>0.5</v>
      </c>
      <c r="I3134" s="399">
        <f t="shared" si="94"/>
        <v>0.12</v>
      </c>
      <c r="J3134" s="404"/>
      <c r="K3134" s="1234"/>
      <c r="L3134" s="431"/>
      <c r="M3134" s="431"/>
      <c r="N3134" s="431"/>
    </row>
    <row r="3135" spans="1:16" s="398" customFormat="1" hidden="1" outlineLevel="1">
      <c r="A3135" s="1248"/>
      <c r="B3135" s="425"/>
      <c r="C3135" s="530" t="s">
        <v>2</v>
      </c>
      <c r="D3135" s="485">
        <v>1</v>
      </c>
      <c r="E3135" s="487">
        <v>1</v>
      </c>
      <c r="F3135" s="486">
        <v>2</v>
      </c>
      <c r="G3135" s="486">
        <v>0.34499999999999997</v>
      </c>
      <c r="H3135" s="486">
        <f>0.3</f>
        <v>0.3</v>
      </c>
      <c r="I3135" s="399">
        <f t="shared" si="94"/>
        <v>0.21</v>
      </c>
      <c r="J3135" s="404"/>
      <c r="K3135" s="1234"/>
      <c r="L3135" s="431"/>
      <c r="M3135" s="431"/>
      <c r="N3135" s="431"/>
    </row>
    <row r="3136" spans="1:16" s="398" customFormat="1" hidden="1" outlineLevel="1">
      <c r="A3136" s="1248"/>
      <c r="B3136" s="425"/>
      <c r="C3136" s="530" t="s">
        <v>2</v>
      </c>
      <c r="D3136" s="485">
        <v>1</v>
      </c>
      <c r="E3136" s="487">
        <v>1</v>
      </c>
      <c r="F3136" s="486">
        <v>2</v>
      </c>
      <c r="G3136" s="486">
        <v>0.23</v>
      </c>
      <c r="H3136" s="662">
        <f>0.5-0.1-0.3</f>
        <v>0.10000000000000003</v>
      </c>
      <c r="I3136" s="399">
        <f t="shared" si="94"/>
        <v>0.05</v>
      </c>
      <c r="J3136" s="404"/>
      <c r="K3136" s="1234"/>
      <c r="L3136" s="431"/>
      <c r="M3136" s="431"/>
      <c r="N3136" s="431"/>
    </row>
    <row r="3137" spans="1:14" s="398" customFormat="1" hidden="1" outlineLevel="1">
      <c r="A3137" s="1248"/>
      <c r="B3137" s="425" t="s">
        <v>936</v>
      </c>
      <c r="C3137" s="530" t="s">
        <v>2</v>
      </c>
      <c r="D3137" s="485">
        <v>1</v>
      </c>
      <c r="E3137" s="408">
        <v>1</v>
      </c>
      <c r="F3137" s="486">
        <v>3</v>
      </c>
      <c r="G3137" s="486">
        <v>0.3</v>
      </c>
      <c r="H3137" s="662">
        <f>0.2+0.5</f>
        <v>0.7</v>
      </c>
      <c r="I3137" s="399">
        <f t="shared" si="94"/>
        <v>0.63</v>
      </c>
      <c r="J3137" s="404"/>
      <c r="K3137" s="1234"/>
      <c r="L3137" s="431"/>
      <c r="M3137" s="431"/>
      <c r="N3137" s="431"/>
    </row>
    <row r="3138" spans="1:14" s="398" customFormat="1" hidden="1" outlineLevel="1">
      <c r="A3138" s="1248"/>
      <c r="B3138" s="425"/>
      <c r="C3138" s="530" t="s">
        <v>2</v>
      </c>
      <c r="D3138" s="485">
        <v>1</v>
      </c>
      <c r="E3138" s="408">
        <v>1</v>
      </c>
      <c r="F3138" s="486">
        <v>3</v>
      </c>
      <c r="G3138" s="486">
        <f>G3137+0.3</f>
        <v>0.6</v>
      </c>
      <c r="H3138" s="486">
        <f>H3137+0.15</f>
        <v>0.85</v>
      </c>
      <c r="I3138" s="399">
        <f t="shared" si="94"/>
        <v>1.53</v>
      </c>
      <c r="J3138" s="404"/>
      <c r="K3138" s="1234"/>
      <c r="L3138" s="431"/>
      <c r="M3138" s="431"/>
      <c r="N3138" s="431"/>
    </row>
    <row r="3139" spans="1:14" s="398" customFormat="1" hidden="1" outlineLevel="1">
      <c r="A3139" s="1248"/>
      <c r="B3139" s="425"/>
      <c r="C3139" s="530" t="s">
        <v>2</v>
      </c>
      <c r="D3139" s="485">
        <v>1</v>
      </c>
      <c r="E3139" s="408">
        <v>1</v>
      </c>
      <c r="F3139" s="486">
        <v>3</v>
      </c>
      <c r="G3139" s="486">
        <f>G3138+0.3</f>
        <v>0.89999999999999991</v>
      </c>
      <c r="H3139" s="486">
        <f>H3138+0.15</f>
        <v>1</v>
      </c>
      <c r="I3139" s="399">
        <f t="shared" si="94"/>
        <v>2.7</v>
      </c>
      <c r="J3139" s="404"/>
      <c r="K3139" s="1234"/>
      <c r="L3139" s="431"/>
      <c r="M3139" s="431"/>
      <c r="N3139" s="431"/>
    </row>
    <row r="3140" spans="1:14" s="398" customFormat="1" hidden="1" outlineLevel="1">
      <c r="A3140" s="1248"/>
      <c r="B3140" s="425" t="s">
        <v>937</v>
      </c>
      <c r="C3140" s="530" t="s">
        <v>2</v>
      </c>
      <c r="D3140" s="485">
        <v>1</v>
      </c>
      <c r="E3140" s="408">
        <v>1</v>
      </c>
      <c r="F3140" s="486">
        <v>0.6</v>
      </c>
      <c r="G3140" s="486">
        <v>0.34499999999999997</v>
      </c>
      <c r="H3140" s="486">
        <v>0.3</v>
      </c>
      <c r="I3140" s="399">
        <f t="shared" si="94"/>
        <v>0.06</v>
      </c>
      <c r="J3140" s="404"/>
      <c r="K3140" s="1234"/>
      <c r="L3140" s="431"/>
      <c r="M3140" s="431"/>
      <c r="N3140" s="431"/>
    </row>
    <row r="3141" spans="1:14" s="398" customFormat="1" hidden="1" outlineLevel="1">
      <c r="A3141" s="1248"/>
      <c r="B3141" s="425"/>
      <c r="C3141" s="530" t="s">
        <v>2</v>
      </c>
      <c r="D3141" s="485">
        <v>1</v>
      </c>
      <c r="E3141" s="408">
        <v>1</v>
      </c>
      <c r="F3141" s="486">
        <v>0.6</v>
      </c>
      <c r="G3141" s="486">
        <v>0.23</v>
      </c>
      <c r="H3141" s="662">
        <f>0.5+0.5-0.1-0.3</f>
        <v>0.60000000000000009</v>
      </c>
      <c r="I3141" s="399">
        <f t="shared" si="94"/>
        <v>0.08</v>
      </c>
      <c r="J3141" s="404"/>
      <c r="K3141" s="1234"/>
      <c r="L3141" s="431"/>
      <c r="M3141" s="431"/>
      <c r="N3141" s="431"/>
    </row>
    <row r="3142" spans="1:14" s="398" customFormat="1" hidden="1" outlineLevel="1">
      <c r="A3142" s="1248"/>
      <c r="B3142" s="425"/>
      <c r="C3142" s="304"/>
      <c r="D3142" s="485"/>
      <c r="E3142" s="408"/>
      <c r="F3142" s="486"/>
      <c r="G3142" s="486"/>
      <c r="H3142" s="486"/>
      <c r="I3142" s="399" t="str">
        <f t="shared" si="94"/>
        <v/>
      </c>
      <c r="J3142" s="404"/>
      <c r="K3142" s="1234"/>
      <c r="L3142" s="431"/>
      <c r="M3142" s="431"/>
      <c r="N3142" s="431"/>
    </row>
    <row r="3143" spans="1:14" s="398" customFormat="1" hidden="1" outlineLevel="1">
      <c r="A3143" s="1248"/>
      <c r="B3143" s="425" t="s">
        <v>938</v>
      </c>
      <c r="C3143" s="304"/>
      <c r="D3143" s="485"/>
      <c r="E3143" s="408"/>
      <c r="F3143" s="486"/>
      <c r="G3143" s="486"/>
      <c r="H3143" s="486"/>
      <c r="I3143" s="399" t="str">
        <f t="shared" si="94"/>
        <v/>
      </c>
      <c r="J3143" s="404"/>
      <c r="K3143" s="1234"/>
      <c r="L3143" s="431"/>
      <c r="M3143" s="431"/>
      <c r="N3143" s="431"/>
    </row>
    <row r="3144" spans="1:14" s="398" customFormat="1" hidden="1" outlineLevel="1">
      <c r="A3144" s="1248"/>
      <c r="B3144" s="425" t="s">
        <v>822</v>
      </c>
      <c r="C3144" s="530" t="s">
        <v>2</v>
      </c>
      <c r="D3144" s="485">
        <v>1</v>
      </c>
      <c r="E3144" s="408">
        <v>3</v>
      </c>
      <c r="F3144" s="486">
        <v>5.42</v>
      </c>
      <c r="G3144" s="486">
        <v>1.42</v>
      </c>
      <c r="H3144" s="486">
        <v>0.15</v>
      </c>
      <c r="I3144" s="399">
        <f t="shared" si="94"/>
        <v>3.46</v>
      </c>
      <c r="J3144" s="404"/>
      <c r="K3144" s="1234"/>
      <c r="L3144" s="431"/>
      <c r="M3144" s="431"/>
      <c r="N3144" s="431"/>
    </row>
    <row r="3145" spans="1:14" s="398" customFormat="1" hidden="1" outlineLevel="1">
      <c r="A3145" s="1248"/>
      <c r="B3145" s="425"/>
      <c r="C3145" s="304"/>
      <c r="D3145" s="485"/>
      <c r="E3145" s="408"/>
      <c r="F3145" s="486"/>
      <c r="G3145" s="486"/>
      <c r="H3145" s="486"/>
      <c r="I3145" s="399" t="str">
        <f t="shared" si="94"/>
        <v/>
      </c>
      <c r="J3145" s="404"/>
      <c r="K3145" s="1234"/>
      <c r="L3145" s="431"/>
      <c r="M3145" s="431"/>
      <c r="N3145" s="431"/>
    </row>
    <row r="3146" spans="1:14" s="398" customFormat="1" ht="34.5" hidden="1" outlineLevel="1">
      <c r="A3146" s="1248"/>
      <c r="B3146" s="592" t="s">
        <v>939</v>
      </c>
      <c r="C3146" s="165"/>
      <c r="D3146" s="485"/>
      <c r="E3146" s="408"/>
      <c r="F3146" s="1511" t="s">
        <v>817</v>
      </c>
      <c r="G3146" s="1511"/>
      <c r="H3146" s="1511"/>
      <c r="I3146" s="399" t="str">
        <f t="shared" si="94"/>
        <v/>
      </c>
      <c r="J3146" s="404"/>
      <c r="K3146" s="1234"/>
      <c r="L3146" s="431"/>
      <c r="M3146" s="431"/>
      <c r="N3146" s="431"/>
    </row>
    <row r="3147" spans="1:14" s="398" customFormat="1" hidden="1" outlineLevel="1">
      <c r="A3147" s="1248"/>
      <c r="B3147" s="425"/>
      <c r="C3147" s="530" t="s">
        <v>2</v>
      </c>
      <c r="D3147" s="296">
        <v>1</v>
      </c>
      <c r="E3147" s="484">
        <v>2</v>
      </c>
      <c r="F3147" s="486">
        <v>6</v>
      </c>
      <c r="G3147" s="486">
        <v>0.34499999999999997</v>
      </c>
      <c r="H3147" s="486">
        <f>0.3</f>
        <v>0.3</v>
      </c>
      <c r="I3147" s="399">
        <f t="shared" si="94"/>
        <v>1.24</v>
      </c>
      <c r="J3147" s="404"/>
      <c r="K3147" s="1234"/>
      <c r="L3147" s="431"/>
      <c r="M3147" s="431"/>
      <c r="N3147" s="431"/>
    </row>
    <row r="3148" spans="1:14" s="398" customFormat="1" hidden="1" outlineLevel="1">
      <c r="A3148" s="1248"/>
      <c r="B3148" s="425"/>
      <c r="C3148" s="530" t="s">
        <v>2</v>
      </c>
      <c r="D3148" s="296">
        <v>1</v>
      </c>
      <c r="E3148" s="484">
        <v>2</v>
      </c>
      <c r="F3148" s="486">
        <v>6</v>
      </c>
      <c r="G3148" s="486">
        <v>0.23</v>
      </c>
      <c r="H3148" s="662">
        <f>(0.5+0.8)/2-0.3</f>
        <v>0.35000000000000003</v>
      </c>
      <c r="I3148" s="399">
        <f t="shared" si="94"/>
        <v>0.97</v>
      </c>
      <c r="J3148" s="404"/>
      <c r="K3148" s="1234"/>
      <c r="L3148" s="431"/>
      <c r="M3148" s="431"/>
      <c r="N3148" s="431"/>
    </row>
    <row r="3149" spans="1:14" s="398" customFormat="1" hidden="1" outlineLevel="1">
      <c r="A3149" s="1248"/>
      <c r="B3149" s="425"/>
      <c r="C3149" s="530" t="s">
        <v>2</v>
      </c>
      <c r="D3149" s="485">
        <v>1</v>
      </c>
      <c r="E3149" s="487">
        <v>1</v>
      </c>
      <c r="F3149" s="662">
        <v>2.9249999999999998</v>
      </c>
      <c r="G3149" s="486">
        <v>0.34499999999999997</v>
      </c>
      <c r="H3149" s="486">
        <v>0.3</v>
      </c>
      <c r="I3149" s="399">
        <f t="shared" si="94"/>
        <v>0.3</v>
      </c>
      <c r="J3149" s="404"/>
      <c r="K3149" s="1234"/>
      <c r="L3149" s="431"/>
      <c r="M3149" s="431"/>
      <c r="N3149" s="431"/>
    </row>
    <row r="3150" spans="1:14" s="398" customFormat="1" hidden="1" outlineLevel="1">
      <c r="A3150" s="1248"/>
      <c r="B3150" s="425"/>
      <c r="C3150" s="530" t="s">
        <v>2</v>
      </c>
      <c r="D3150" s="485">
        <v>1</v>
      </c>
      <c r="E3150" s="487">
        <v>1</v>
      </c>
      <c r="F3150" s="662">
        <v>2.9249999999999998</v>
      </c>
      <c r="G3150" s="486">
        <v>0.23</v>
      </c>
      <c r="H3150" s="662">
        <f>0.5+0.4-0.1-0.3</f>
        <v>0.5</v>
      </c>
      <c r="I3150" s="399">
        <f t="shared" si="94"/>
        <v>0.34</v>
      </c>
      <c r="J3150" s="404"/>
      <c r="K3150" s="1234"/>
      <c r="L3150" s="431"/>
      <c r="M3150" s="431"/>
      <c r="N3150" s="431"/>
    </row>
    <row r="3151" spans="1:14" s="398" customFormat="1" hidden="1" outlineLevel="1">
      <c r="A3151" s="1248"/>
      <c r="B3151" s="425"/>
      <c r="C3151" s="530" t="s">
        <v>2</v>
      </c>
      <c r="D3151" s="485">
        <v>1</v>
      </c>
      <c r="E3151" s="487">
        <v>1</v>
      </c>
      <c r="F3151" s="486">
        <v>1.08</v>
      </c>
      <c r="G3151" s="486">
        <v>0.34499999999999997</v>
      </c>
      <c r="H3151" s="486">
        <v>0.3</v>
      </c>
      <c r="I3151" s="399">
        <f t="shared" si="94"/>
        <v>0.11</v>
      </c>
      <c r="J3151" s="404"/>
      <c r="K3151" s="1234"/>
      <c r="L3151" s="431"/>
      <c r="M3151" s="431"/>
      <c r="N3151" s="431"/>
    </row>
    <row r="3152" spans="1:14" s="398" customFormat="1" hidden="1" outlineLevel="1">
      <c r="A3152" s="1248"/>
      <c r="B3152" s="425"/>
      <c r="C3152" s="530" t="s">
        <v>2</v>
      </c>
      <c r="D3152" s="485">
        <v>1</v>
      </c>
      <c r="E3152" s="487">
        <v>1</v>
      </c>
      <c r="F3152" s="486">
        <v>1.08</v>
      </c>
      <c r="G3152" s="486">
        <v>0.23</v>
      </c>
      <c r="H3152" s="662">
        <f>0.5+0.4-0.1-0.3</f>
        <v>0.5</v>
      </c>
      <c r="I3152" s="399">
        <f t="shared" si="94"/>
        <v>0.12</v>
      </c>
      <c r="J3152" s="404"/>
      <c r="K3152" s="1234"/>
      <c r="L3152" s="431"/>
      <c r="M3152" s="431"/>
      <c r="N3152" s="431"/>
    </row>
    <row r="3153" spans="1:14" s="398" customFormat="1" hidden="1" outlineLevel="1">
      <c r="A3153" s="1248"/>
      <c r="B3153" s="425"/>
      <c r="C3153" s="530" t="s">
        <v>2</v>
      </c>
      <c r="D3153" s="485">
        <v>1</v>
      </c>
      <c r="E3153" s="487">
        <v>1</v>
      </c>
      <c r="F3153" s="486">
        <v>2</v>
      </c>
      <c r="G3153" s="486">
        <v>0.34499999999999997</v>
      </c>
      <c r="H3153" s="486">
        <f>0.3</f>
        <v>0.3</v>
      </c>
      <c r="I3153" s="399">
        <f t="shared" si="94"/>
        <v>0.21</v>
      </c>
      <c r="J3153" s="404"/>
      <c r="K3153" s="1234"/>
      <c r="L3153" s="431"/>
      <c r="M3153" s="431"/>
      <c r="N3153" s="431"/>
    </row>
    <row r="3154" spans="1:14" s="398" customFormat="1" hidden="1" outlineLevel="1">
      <c r="A3154" s="1248"/>
      <c r="B3154" s="425"/>
      <c r="C3154" s="530" t="s">
        <v>2</v>
      </c>
      <c r="D3154" s="485">
        <v>1</v>
      </c>
      <c r="E3154" s="487">
        <v>1</v>
      </c>
      <c r="F3154" s="486">
        <v>2</v>
      </c>
      <c r="G3154" s="486">
        <v>0.23</v>
      </c>
      <c r="H3154" s="662">
        <f>0.5-0.1-0.3</f>
        <v>0.10000000000000003</v>
      </c>
      <c r="I3154" s="399">
        <f t="shared" si="94"/>
        <v>0.05</v>
      </c>
      <c r="J3154" s="404"/>
      <c r="K3154" s="1234"/>
      <c r="L3154" s="431"/>
      <c r="M3154" s="431"/>
      <c r="N3154" s="431"/>
    </row>
    <row r="3155" spans="1:14" s="398" customFormat="1" hidden="1" outlineLevel="1">
      <c r="A3155" s="1248"/>
      <c r="B3155" s="425" t="s">
        <v>936</v>
      </c>
      <c r="C3155" s="530" t="s">
        <v>2</v>
      </c>
      <c r="D3155" s="485">
        <v>1</v>
      </c>
      <c r="E3155" s="408">
        <v>1</v>
      </c>
      <c r="F3155" s="486">
        <v>3</v>
      </c>
      <c r="G3155" s="486">
        <v>0.3</v>
      </c>
      <c r="H3155" s="662">
        <f>0.2+0.5</f>
        <v>0.7</v>
      </c>
      <c r="I3155" s="399">
        <f t="shared" si="94"/>
        <v>0.63</v>
      </c>
      <c r="J3155" s="404"/>
      <c r="K3155" s="1234"/>
      <c r="L3155" s="431"/>
      <c r="M3155" s="431"/>
      <c r="N3155" s="431"/>
    </row>
    <row r="3156" spans="1:14" s="398" customFormat="1" hidden="1" outlineLevel="1">
      <c r="A3156" s="1248"/>
      <c r="B3156" s="425"/>
      <c r="C3156" s="530" t="s">
        <v>2</v>
      </c>
      <c r="D3156" s="485">
        <v>1</v>
      </c>
      <c r="E3156" s="408">
        <v>1</v>
      </c>
      <c r="F3156" s="486">
        <v>3</v>
      </c>
      <c r="G3156" s="486">
        <f>G3155+0.3</f>
        <v>0.6</v>
      </c>
      <c r="H3156" s="486">
        <f>H3155+0.15</f>
        <v>0.85</v>
      </c>
      <c r="I3156" s="399">
        <f t="shared" si="94"/>
        <v>1.53</v>
      </c>
      <c r="J3156" s="404"/>
      <c r="K3156" s="1234"/>
      <c r="L3156" s="431"/>
      <c r="M3156" s="431"/>
      <c r="N3156" s="431"/>
    </row>
    <row r="3157" spans="1:14" s="398" customFormat="1" hidden="1" outlineLevel="1">
      <c r="A3157" s="1248"/>
      <c r="B3157" s="425"/>
      <c r="C3157" s="530" t="s">
        <v>2</v>
      </c>
      <c r="D3157" s="485">
        <v>1</v>
      </c>
      <c r="E3157" s="408">
        <v>1</v>
      </c>
      <c r="F3157" s="486">
        <v>3</v>
      </c>
      <c r="G3157" s="486">
        <f>G3156+0.3</f>
        <v>0.89999999999999991</v>
      </c>
      <c r="H3157" s="486">
        <f>H3156+0.15</f>
        <v>1</v>
      </c>
      <c r="I3157" s="399">
        <f t="shared" si="94"/>
        <v>2.7</v>
      </c>
      <c r="J3157" s="404"/>
      <c r="K3157" s="1234"/>
      <c r="L3157" s="431"/>
      <c r="M3157" s="431"/>
      <c r="N3157" s="431"/>
    </row>
    <row r="3158" spans="1:14" s="398" customFormat="1" hidden="1" outlineLevel="1">
      <c r="A3158" s="1248"/>
      <c r="B3158" s="425" t="s">
        <v>937</v>
      </c>
      <c r="C3158" s="530" t="s">
        <v>2</v>
      </c>
      <c r="D3158" s="485">
        <v>1</v>
      </c>
      <c r="E3158" s="408">
        <v>1</v>
      </c>
      <c r="F3158" s="486">
        <v>0.6</v>
      </c>
      <c r="G3158" s="486">
        <v>0.34499999999999997</v>
      </c>
      <c r="H3158" s="486">
        <v>0.3</v>
      </c>
      <c r="I3158" s="399">
        <f t="shared" si="94"/>
        <v>0.06</v>
      </c>
      <c r="J3158" s="404"/>
      <c r="K3158" s="1234"/>
      <c r="L3158" s="431"/>
      <c r="M3158" s="431"/>
      <c r="N3158" s="431"/>
    </row>
    <row r="3159" spans="1:14" s="398" customFormat="1" hidden="1" outlineLevel="1">
      <c r="A3159" s="1248"/>
      <c r="B3159" s="425"/>
      <c r="C3159" s="530" t="s">
        <v>2</v>
      </c>
      <c r="D3159" s="485">
        <v>1</v>
      </c>
      <c r="E3159" s="408">
        <v>1</v>
      </c>
      <c r="F3159" s="486">
        <v>0.6</v>
      </c>
      <c r="G3159" s="486">
        <v>0.23</v>
      </c>
      <c r="H3159" s="662">
        <f>0.5+0.5-0.1-0.3</f>
        <v>0.60000000000000009</v>
      </c>
      <c r="I3159" s="399">
        <f t="shared" si="94"/>
        <v>0.08</v>
      </c>
      <c r="J3159" s="404"/>
      <c r="K3159" s="1234"/>
      <c r="L3159" s="431"/>
      <c r="M3159" s="431"/>
      <c r="N3159" s="431"/>
    </row>
    <row r="3160" spans="1:14" s="398" customFormat="1" hidden="1" outlineLevel="1">
      <c r="A3160" s="1248"/>
      <c r="B3160" s="425"/>
      <c r="C3160" s="304"/>
      <c r="D3160" s="485"/>
      <c r="E3160" s="408"/>
      <c r="F3160" s="486"/>
      <c r="G3160" s="486"/>
      <c r="H3160" s="486"/>
      <c r="I3160" s="399" t="str">
        <f t="shared" ref="I3160:I3223" si="97">IF(D3160&lt;&gt;0,ROUND(PRODUCT(E3160:H3160)*D3160,2),"")</f>
        <v/>
      </c>
      <c r="J3160" s="404"/>
      <c r="K3160" s="1234"/>
      <c r="L3160" s="431"/>
      <c r="M3160" s="431"/>
      <c r="N3160" s="431"/>
    </row>
    <row r="3161" spans="1:14" s="398" customFormat="1" hidden="1" outlineLevel="1">
      <c r="A3161" s="1248"/>
      <c r="B3161" s="425"/>
      <c r="C3161" s="304"/>
      <c r="D3161" s="485"/>
      <c r="E3161" s="408"/>
      <c r="F3161" s="486"/>
      <c r="G3161" s="486"/>
      <c r="H3161" s="486"/>
      <c r="I3161" s="399" t="str">
        <f t="shared" si="97"/>
        <v/>
      </c>
      <c r="J3161" s="404"/>
      <c r="K3161" s="1234"/>
      <c r="L3161" s="431"/>
      <c r="M3161" s="431"/>
      <c r="N3161" s="431"/>
    </row>
    <row r="3162" spans="1:14" s="398" customFormat="1" hidden="1" outlineLevel="1">
      <c r="A3162" s="1248"/>
      <c r="B3162" s="425" t="s">
        <v>940</v>
      </c>
      <c r="C3162" s="304"/>
      <c r="D3162" s="485"/>
      <c r="E3162" s="408"/>
      <c r="F3162" s="486"/>
      <c r="G3162" s="486"/>
      <c r="H3162" s="486"/>
      <c r="I3162" s="399" t="str">
        <f t="shared" si="97"/>
        <v/>
      </c>
      <c r="J3162" s="404"/>
      <c r="K3162" s="1234"/>
      <c r="L3162" s="431"/>
      <c r="M3162" s="431"/>
      <c r="N3162" s="431"/>
    </row>
    <row r="3163" spans="1:14" s="398" customFormat="1" hidden="1" outlineLevel="1">
      <c r="A3163" s="1248"/>
      <c r="B3163" s="425" t="s">
        <v>822</v>
      </c>
      <c r="C3163" s="530" t="s">
        <v>2</v>
      </c>
      <c r="D3163" s="485">
        <v>1</v>
      </c>
      <c r="E3163" s="408">
        <v>3</v>
      </c>
      <c r="F3163" s="486">
        <v>5.42</v>
      </c>
      <c r="G3163" s="486">
        <v>1.42</v>
      </c>
      <c r="H3163" s="486">
        <v>0.15</v>
      </c>
      <c r="I3163" s="399">
        <f t="shared" si="97"/>
        <v>3.46</v>
      </c>
      <c r="J3163" s="404"/>
      <c r="K3163" s="1234"/>
      <c r="L3163" s="431"/>
      <c r="M3163" s="431"/>
      <c r="N3163" s="431"/>
    </row>
    <row r="3164" spans="1:14" s="398" customFormat="1" hidden="1" outlineLevel="1">
      <c r="A3164" s="1248"/>
      <c r="B3164" s="425"/>
      <c r="C3164" s="304"/>
      <c r="D3164" s="485"/>
      <c r="E3164" s="408"/>
      <c r="F3164" s="486"/>
      <c r="G3164" s="486"/>
      <c r="H3164" s="486"/>
      <c r="I3164" s="399" t="str">
        <f t="shared" si="97"/>
        <v/>
      </c>
      <c r="J3164" s="404"/>
      <c r="K3164" s="1234"/>
      <c r="L3164" s="431"/>
      <c r="M3164" s="431"/>
      <c r="N3164" s="431"/>
    </row>
    <row r="3165" spans="1:14" s="398" customFormat="1" ht="34.5" hidden="1" outlineLevel="1">
      <c r="A3165" s="1248"/>
      <c r="B3165" s="592" t="s">
        <v>827</v>
      </c>
      <c r="C3165" s="165"/>
      <c r="D3165" s="485"/>
      <c r="E3165" s="408"/>
      <c r="F3165" s="1511" t="s">
        <v>817</v>
      </c>
      <c r="G3165" s="1511"/>
      <c r="H3165" s="1511"/>
      <c r="I3165" s="399" t="str">
        <f t="shared" si="97"/>
        <v/>
      </c>
      <c r="J3165" s="404"/>
      <c r="K3165" s="1234"/>
      <c r="L3165" s="431"/>
      <c r="M3165" s="431"/>
      <c r="N3165" s="431"/>
    </row>
    <row r="3166" spans="1:14" s="398" customFormat="1" hidden="1" outlineLevel="1">
      <c r="A3166" s="1248"/>
      <c r="B3166" s="425"/>
      <c r="C3166" s="530" t="s">
        <v>2</v>
      </c>
      <c r="D3166" s="296">
        <v>1</v>
      </c>
      <c r="E3166" s="484">
        <v>2</v>
      </c>
      <c r="F3166" s="486">
        <v>6</v>
      </c>
      <c r="G3166" s="486">
        <v>0.34499999999999997</v>
      </c>
      <c r="H3166" s="486">
        <f>0.3</f>
        <v>0.3</v>
      </c>
      <c r="I3166" s="399">
        <f t="shared" si="97"/>
        <v>1.24</v>
      </c>
      <c r="J3166" s="404"/>
      <c r="K3166" s="1234"/>
      <c r="L3166" s="431"/>
      <c r="M3166" s="431"/>
      <c r="N3166" s="431"/>
    </row>
    <row r="3167" spans="1:14" s="398" customFormat="1" hidden="1" outlineLevel="1">
      <c r="A3167" s="1248"/>
      <c r="B3167" s="425"/>
      <c r="C3167" s="530" t="s">
        <v>2</v>
      </c>
      <c r="D3167" s="296">
        <v>1</v>
      </c>
      <c r="E3167" s="484">
        <v>2</v>
      </c>
      <c r="F3167" s="486">
        <v>6</v>
      </c>
      <c r="G3167" s="486">
        <v>0.23</v>
      </c>
      <c r="H3167" s="662">
        <f>(0.5+0.8)/2-0.3</f>
        <v>0.35000000000000003</v>
      </c>
      <c r="I3167" s="399">
        <f t="shared" si="97"/>
        <v>0.97</v>
      </c>
      <c r="J3167" s="404"/>
      <c r="K3167" s="1234"/>
      <c r="L3167" s="431"/>
      <c r="M3167" s="431"/>
      <c r="N3167" s="431"/>
    </row>
    <row r="3168" spans="1:14" s="398" customFormat="1" hidden="1" outlineLevel="1">
      <c r="A3168" s="1248"/>
      <c r="B3168" s="425"/>
      <c r="C3168" s="530" t="s">
        <v>2</v>
      </c>
      <c r="D3168" s="485">
        <v>1</v>
      </c>
      <c r="E3168" s="487">
        <v>1</v>
      </c>
      <c r="F3168" s="662">
        <v>2.9249999999999998</v>
      </c>
      <c r="G3168" s="486">
        <v>0.34499999999999997</v>
      </c>
      <c r="H3168" s="486">
        <v>0.3</v>
      </c>
      <c r="I3168" s="399">
        <f t="shared" si="97"/>
        <v>0.3</v>
      </c>
      <c r="J3168" s="404"/>
      <c r="K3168" s="1234"/>
      <c r="L3168" s="431"/>
      <c r="M3168" s="431"/>
      <c r="N3168" s="431"/>
    </row>
    <row r="3169" spans="1:14" s="398" customFormat="1" hidden="1" outlineLevel="1">
      <c r="A3169" s="1248"/>
      <c r="B3169" s="425"/>
      <c r="C3169" s="530" t="s">
        <v>2</v>
      </c>
      <c r="D3169" s="485">
        <v>1</v>
      </c>
      <c r="E3169" s="487">
        <v>1</v>
      </c>
      <c r="F3169" s="662">
        <v>2.9249999999999998</v>
      </c>
      <c r="G3169" s="486">
        <v>0.23</v>
      </c>
      <c r="H3169" s="662">
        <f>0.5+0.4-0.1-0.3</f>
        <v>0.5</v>
      </c>
      <c r="I3169" s="399">
        <f t="shared" si="97"/>
        <v>0.34</v>
      </c>
      <c r="J3169" s="404"/>
      <c r="K3169" s="1234"/>
      <c r="L3169" s="431"/>
      <c r="M3169" s="431"/>
      <c r="N3169" s="431"/>
    </row>
    <row r="3170" spans="1:14" s="398" customFormat="1" hidden="1" outlineLevel="1">
      <c r="A3170" s="1248"/>
      <c r="B3170" s="425"/>
      <c r="C3170" s="530" t="s">
        <v>2</v>
      </c>
      <c r="D3170" s="485">
        <v>1</v>
      </c>
      <c r="E3170" s="487">
        <v>1</v>
      </c>
      <c r="F3170" s="486">
        <v>1.08</v>
      </c>
      <c r="G3170" s="486">
        <v>0.34499999999999997</v>
      </c>
      <c r="H3170" s="486">
        <v>0.3</v>
      </c>
      <c r="I3170" s="399">
        <f t="shared" si="97"/>
        <v>0.11</v>
      </c>
      <c r="J3170" s="404"/>
      <c r="K3170" s="1234"/>
      <c r="L3170" s="431"/>
      <c r="M3170" s="431"/>
      <c r="N3170" s="431"/>
    </row>
    <row r="3171" spans="1:14" s="398" customFormat="1" hidden="1" outlineLevel="1">
      <c r="A3171" s="1248"/>
      <c r="B3171" s="425"/>
      <c r="C3171" s="530" t="s">
        <v>2</v>
      </c>
      <c r="D3171" s="485">
        <v>1</v>
      </c>
      <c r="E3171" s="487">
        <v>1</v>
      </c>
      <c r="F3171" s="486">
        <v>1.08</v>
      </c>
      <c r="G3171" s="486">
        <v>0.23</v>
      </c>
      <c r="H3171" s="662">
        <f>0.5+0.4-0.1-0.3</f>
        <v>0.5</v>
      </c>
      <c r="I3171" s="399">
        <f t="shared" si="97"/>
        <v>0.12</v>
      </c>
      <c r="J3171" s="404"/>
      <c r="K3171" s="1234"/>
      <c r="L3171" s="431"/>
      <c r="M3171" s="431"/>
      <c r="N3171" s="431"/>
    </row>
    <row r="3172" spans="1:14" s="398" customFormat="1" hidden="1" outlineLevel="1">
      <c r="A3172" s="1248"/>
      <c r="B3172" s="425"/>
      <c r="C3172" s="530" t="s">
        <v>2</v>
      </c>
      <c r="D3172" s="485">
        <v>1</v>
      </c>
      <c r="E3172" s="487">
        <v>1</v>
      </c>
      <c r="F3172" s="486">
        <v>2</v>
      </c>
      <c r="G3172" s="486">
        <v>0.34499999999999997</v>
      </c>
      <c r="H3172" s="486">
        <f>0.3</f>
        <v>0.3</v>
      </c>
      <c r="I3172" s="399">
        <f t="shared" si="97"/>
        <v>0.21</v>
      </c>
      <c r="J3172" s="404"/>
      <c r="K3172" s="1234"/>
      <c r="L3172" s="431"/>
      <c r="M3172" s="431"/>
      <c r="N3172" s="431"/>
    </row>
    <row r="3173" spans="1:14" s="398" customFormat="1" hidden="1" outlineLevel="1">
      <c r="A3173" s="1248"/>
      <c r="B3173" s="425"/>
      <c r="C3173" s="530" t="s">
        <v>2</v>
      </c>
      <c r="D3173" s="485">
        <v>1</v>
      </c>
      <c r="E3173" s="487">
        <v>1</v>
      </c>
      <c r="F3173" s="486">
        <v>2</v>
      </c>
      <c r="G3173" s="486">
        <v>0.23</v>
      </c>
      <c r="H3173" s="662">
        <f>0.5-0.1-0.3</f>
        <v>0.10000000000000003</v>
      </c>
      <c r="I3173" s="399">
        <f t="shared" si="97"/>
        <v>0.05</v>
      </c>
      <c r="J3173" s="404"/>
      <c r="K3173" s="1234"/>
      <c r="L3173" s="431"/>
      <c r="M3173" s="431"/>
      <c r="N3173" s="431"/>
    </row>
    <row r="3174" spans="1:14" s="398" customFormat="1" hidden="1" outlineLevel="1">
      <c r="A3174" s="1248"/>
      <c r="B3174" s="425" t="s">
        <v>936</v>
      </c>
      <c r="C3174" s="530" t="s">
        <v>2</v>
      </c>
      <c r="D3174" s="485">
        <v>1</v>
      </c>
      <c r="E3174" s="408">
        <v>1</v>
      </c>
      <c r="F3174" s="486">
        <v>3</v>
      </c>
      <c r="G3174" s="486">
        <v>0.3</v>
      </c>
      <c r="H3174" s="662">
        <f>0.2+0.5</f>
        <v>0.7</v>
      </c>
      <c r="I3174" s="399">
        <f t="shared" si="97"/>
        <v>0.63</v>
      </c>
      <c r="J3174" s="404"/>
      <c r="K3174" s="1234"/>
      <c r="L3174" s="431"/>
      <c r="M3174" s="431"/>
      <c r="N3174" s="431"/>
    </row>
    <row r="3175" spans="1:14" s="398" customFormat="1" hidden="1" outlineLevel="1">
      <c r="A3175" s="1248"/>
      <c r="B3175" s="425"/>
      <c r="C3175" s="530" t="s">
        <v>2</v>
      </c>
      <c r="D3175" s="400">
        <v>1</v>
      </c>
      <c r="E3175" s="408">
        <v>1</v>
      </c>
      <c r="F3175" s="486">
        <v>3</v>
      </c>
      <c r="G3175" s="486">
        <f>G3174+0.3</f>
        <v>0.6</v>
      </c>
      <c r="H3175" s="486">
        <f>H3174+0.15</f>
        <v>0.85</v>
      </c>
      <c r="I3175" s="399">
        <f t="shared" si="97"/>
        <v>1.53</v>
      </c>
      <c r="J3175" s="404"/>
      <c r="K3175" s="1234"/>
      <c r="L3175" s="431"/>
      <c r="M3175" s="431"/>
      <c r="N3175" s="431"/>
    </row>
    <row r="3176" spans="1:14" s="398" customFormat="1" hidden="1" outlineLevel="1">
      <c r="A3176" s="1248"/>
      <c r="B3176" s="425"/>
      <c r="C3176" s="530" t="s">
        <v>2</v>
      </c>
      <c r="D3176" s="400">
        <v>1</v>
      </c>
      <c r="E3176" s="408">
        <v>1</v>
      </c>
      <c r="F3176" s="486">
        <v>3</v>
      </c>
      <c r="G3176" s="486">
        <f>G3175+0.3</f>
        <v>0.89999999999999991</v>
      </c>
      <c r="H3176" s="486">
        <f>H3175+0.15</f>
        <v>1</v>
      </c>
      <c r="I3176" s="399">
        <f t="shared" si="97"/>
        <v>2.7</v>
      </c>
      <c r="J3176" s="404"/>
      <c r="K3176" s="1234"/>
      <c r="L3176" s="431"/>
      <c r="M3176" s="431"/>
      <c r="N3176" s="431"/>
    </row>
    <row r="3177" spans="1:14" s="398" customFormat="1" hidden="1" outlineLevel="1">
      <c r="A3177" s="1248"/>
      <c r="B3177" s="425" t="s">
        <v>937</v>
      </c>
      <c r="C3177" s="530" t="s">
        <v>2</v>
      </c>
      <c r="D3177" s="400">
        <v>1</v>
      </c>
      <c r="E3177" s="408">
        <v>1</v>
      </c>
      <c r="F3177" s="486">
        <v>0.6</v>
      </c>
      <c r="G3177" s="486">
        <v>0.34499999999999997</v>
      </c>
      <c r="H3177" s="486">
        <v>0.3</v>
      </c>
      <c r="I3177" s="399">
        <f t="shared" si="97"/>
        <v>0.06</v>
      </c>
      <c r="J3177" s="404"/>
      <c r="K3177" s="1234"/>
      <c r="L3177" s="431"/>
      <c r="M3177" s="431"/>
      <c r="N3177" s="431"/>
    </row>
    <row r="3178" spans="1:14" s="398" customFormat="1" hidden="1" outlineLevel="1">
      <c r="A3178" s="1248"/>
      <c r="B3178" s="425"/>
      <c r="C3178" s="530" t="s">
        <v>2</v>
      </c>
      <c r="D3178" s="400">
        <v>1</v>
      </c>
      <c r="E3178" s="408">
        <v>1</v>
      </c>
      <c r="F3178" s="486">
        <v>0.6</v>
      </c>
      <c r="G3178" s="486">
        <v>0.23</v>
      </c>
      <c r="H3178" s="662">
        <f>0.5+0.5-0.1-0.3</f>
        <v>0.60000000000000009</v>
      </c>
      <c r="I3178" s="399">
        <f t="shared" si="97"/>
        <v>0.08</v>
      </c>
      <c r="J3178" s="404"/>
      <c r="K3178" s="1234"/>
      <c r="L3178" s="431"/>
      <c r="M3178" s="431"/>
      <c r="N3178" s="431"/>
    </row>
    <row r="3179" spans="1:14" s="398" customFormat="1" hidden="1" outlineLevel="1">
      <c r="A3179" s="1248"/>
      <c r="B3179" s="425"/>
      <c r="C3179" s="325"/>
      <c r="D3179" s="400"/>
      <c r="E3179" s="408"/>
      <c r="F3179" s="486"/>
      <c r="G3179" s="486"/>
      <c r="H3179" s="486"/>
      <c r="I3179" s="399" t="str">
        <f t="shared" si="97"/>
        <v/>
      </c>
      <c r="J3179" s="404"/>
      <c r="K3179" s="1234"/>
      <c r="L3179" s="431"/>
      <c r="M3179" s="431"/>
      <c r="N3179" s="431"/>
    </row>
    <row r="3180" spans="1:14" s="398" customFormat="1" hidden="1" outlineLevel="1">
      <c r="A3180" s="1248"/>
      <c r="B3180" s="425" t="s">
        <v>941</v>
      </c>
      <c r="C3180" s="325"/>
      <c r="D3180" s="400"/>
      <c r="E3180" s="408"/>
      <c r="F3180" s="486"/>
      <c r="G3180" s="486"/>
      <c r="H3180" s="486"/>
      <c r="I3180" s="399" t="str">
        <f t="shared" si="97"/>
        <v/>
      </c>
      <c r="J3180" s="404"/>
      <c r="K3180" s="1234"/>
      <c r="L3180" s="431"/>
      <c r="M3180" s="431"/>
      <c r="N3180" s="431"/>
    </row>
    <row r="3181" spans="1:14" s="398" customFormat="1" hidden="1" outlineLevel="1">
      <c r="A3181" s="1248"/>
      <c r="B3181" s="425" t="s">
        <v>822</v>
      </c>
      <c r="C3181" s="530" t="s">
        <v>2</v>
      </c>
      <c r="D3181" s="400">
        <v>1</v>
      </c>
      <c r="E3181" s="408">
        <v>3</v>
      </c>
      <c r="F3181" s="486">
        <v>5.42</v>
      </c>
      <c r="G3181" s="486">
        <v>1.42</v>
      </c>
      <c r="H3181" s="486">
        <v>0.15</v>
      </c>
      <c r="I3181" s="399">
        <f t="shared" si="97"/>
        <v>3.46</v>
      </c>
      <c r="J3181" s="404"/>
      <c r="K3181" s="1234"/>
      <c r="L3181" s="431"/>
      <c r="M3181" s="431"/>
      <c r="N3181" s="431"/>
    </row>
    <row r="3182" spans="1:14" s="398" customFormat="1" hidden="1" outlineLevel="1">
      <c r="A3182" s="1248"/>
      <c r="B3182" s="425"/>
      <c r="C3182" s="325"/>
      <c r="D3182" s="400"/>
      <c r="E3182" s="408"/>
      <c r="F3182" s="486"/>
      <c r="G3182" s="486"/>
      <c r="H3182" s="486"/>
      <c r="I3182" s="399" t="str">
        <f t="shared" si="97"/>
        <v/>
      </c>
      <c r="J3182" s="404"/>
      <c r="K3182" s="1234"/>
      <c r="L3182" s="431"/>
      <c r="M3182" s="431"/>
      <c r="N3182" s="431"/>
    </row>
    <row r="3183" spans="1:14" s="398" customFormat="1" ht="34.5" hidden="1" outlineLevel="1">
      <c r="A3183" s="1248"/>
      <c r="B3183" s="592" t="s">
        <v>942</v>
      </c>
      <c r="C3183" s="165"/>
      <c r="D3183" s="400"/>
      <c r="E3183" s="408"/>
      <c r="F3183" s="1511" t="s">
        <v>817</v>
      </c>
      <c r="G3183" s="1511"/>
      <c r="H3183" s="1511"/>
      <c r="I3183" s="399" t="str">
        <f t="shared" si="97"/>
        <v/>
      </c>
      <c r="J3183" s="404"/>
      <c r="K3183" s="1234"/>
      <c r="L3183" s="431"/>
      <c r="M3183" s="431"/>
      <c r="N3183" s="431"/>
    </row>
    <row r="3184" spans="1:14" s="398" customFormat="1" hidden="1" outlineLevel="1">
      <c r="A3184" s="1248"/>
      <c r="B3184" s="425"/>
      <c r="C3184" s="530" t="s">
        <v>2</v>
      </c>
      <c r="D3184" s="488">
        <v>1</v>
      </c>
      <c r="E3184" s="484">
        <v>2</v>
      </c>
      <c r="F3184" s="486">
        <v>6</v>
      </c>
      <c r="G3184" s="486">
        <v>0.34499999999999997</v>
      </c>
      <c r="H3184" s="486">
        <f>0.3</f>
        <v>0.3</v>
      </c>
      <c r="I3184" s="399">
        <f t="shared" si="97"/>
        <v>1.24</v>
      </c>
      <c r="J3184" s="404"/>
      <c r="K3184" s="1234"/>
      <c r="L3184" s="431"/>
      <c r="M3184" s="431"/>
      <c r="N3184" s="431"/>
    </row>
    <row r="3185" spans="1:14" s="398" customFormat="1" hidden="1" outlineLevel="1">
      <c r="A3185" s="1248"/>
      <c r="B3185" s="425"/>
      <c r="C3185" s="530" t="s">
        <v>2</v>
      </c>
      <c r="D3185" s="488">
        <v>1</v>
      </c>
      <c r="E3185" s="484">
        <v>2</v>
      </c>
      <c r="F3185" s="486">
        <v>6</v>
      </c>
      <c r="G3185" s="486">
        <v>0.23</v>
      </c>
      <c r="H3185" s="662">
        <f>(0.5+0.8)/2-0.3</f>
        <v>0.35000000000000003</v>
      </c>
      <c r="I3185" s="399">
        <f t="shared" si="97"/>
        <v>0.97</v>
      </c>
      <c r="J3185" s="404"/>
      <c r="K3185" s="1234"/>
      <c r="L3185" s="431"/>
      <c r="M3185" s="431"/>
      <c r="N3185" s="431"/>
    </row>
    <row r="3186" spans="1:14" s="398" customFormat="1" hidden="1" outlineLevel="1">
      <c r="A3186" s="1248"/>
      <c r="B3186" s="425"/>
      <c r="C3186" s="530" t="s">
        <v>2</v>
      </c>
      <c r="D3186" s="400">
        <v>1</v>
      </c>
      <c r="E3186" s="487">
        <v>1</v>
      </c>
      <c r="F3186" s="662">
        <v>2.9249999999999998</v>
      </c>
      <c r="G3186" s="486">
        <v>0.34499999999999997</v>
      </c>
      <c r="H3186" s="486">
        <v>0.3</v>
      </c>
      <c r="I3186" s="399">
        <f t="shared" si="97"/>
        <v>0.3</v>
      </c>
      <c r="J3186" s="404"/>
      <c r="K3186" s="1234"/>
      <c r="L3186" s="431"/>
      <c r="M3186" s="431"/>
      <c r="N3186" s="431"/>
    </row>
    <row r="3187" spans="1:14" s="398" customFormat="1" hidden="1" outlineLevel="1">
      <c r="A3187" s="1248"/>
      <c r="B3187" s="425"/>
      <c r="C3187" s="530" t="s">
        <v>2</v>
      </c>
      <c r="D3187" s="400">
        <v>1</v>
      </c>
      <c r="E3187" s="487">
        <v>1</v>
      </c>
      <c r="F3187" s="662">
        <v>2.9249999999999998</v>
      </c>
      <c r="G3187" s="486">
        <v>0.23</v>
      </c>
      <c r="H3187" s="662">
        <f>0.5+0.4-0.1-0.3</f>
        <v>0.5</v>
      </c>
      <c r="I3187" s="399">
        <f t="shared" si="97"/>
        <v>0.34</v>
      </c>
      <c r="J3187" s="404"/>
      <c r="K3187" s="1234"/>
      <c r="L3187" s="431"/>
      <c r="M3187" s="431"/>
      <c r="N3187" s="431"/>
    </row>
    <row r="3188" spans="1:14" s="398" customFormat="1" hidden="1" outlineLevel="1">
      <c r="A3188" s="1248"/>
      <c r="B3188" s="425"/>
      <c r="C3188" s="530" t="s">
        <v>2</v>
      </c>
      <c r="D3188" s="400">
        <v>1</v>
      </c>
      <c r="E3188" s="487">
        <v>1</v>
      </c>
      <c r="F3188" s="486">
        <v>1.08</v>
      </c>
      <c r="G3188" s="486">
        <v>0.34499999999999997</v>
      </c>
      <c r="H3188" s="486">
        <v>0.3</v>
      </c>
      <c r="I3188" s="399">
        <f t="shared" si="97"/>
        <v>0.11</v>
      </c>
      <c r="J3188" s="404"/>
      <c r="K3188" s="1234"/>
      <c r="L3188" s="431"/>
      <c r="M3188" s="431"/>
      <c r="N3188" s="431"/>
    </row>
    <row r="3189" spans="1:14" s="398" customFormat="1" hidden="1" outlineLevel="1">
      <c r="A3189" s="1248"/>
      <c r="B3189" s="425"/>
      <c r="C3189" s="530" t="s">
        <v>2</v>
      </c>
      <c r="D3189" s="400">
        <v>1</v>
      </c>
      <c r="E3189" s="487">
        <v>1</v>
      </c>
      <c r="F3189" s="486">
        <v>1.08</v>
      </c>
      <c r="G3189" s="486">
        <v>0.23</v>
      </c>
      <c r="H3189" s="662">
        <f>0.5+0.4-0.1-0.3</f>
        <v>0.5</v>
      </c>
      <c r="I3189" s="399">
        <f t="shared" si="97"/>
        <v>0.12</v>
      </c>
      <c r="J3189" s="404"/>
      <c r="K3189" s="1234"/>
      <c r="L3189" s="431"/>
      <c r="M3189" s="431"/>
      <c r="N3189" s="431"/>
    </row>
    <row r="3190" spans="1:14" s="398" customFormat="1" hidden="1" outlineLevel="1">
      <c r="A3190" s="1248"/>
      <c r="B3190" s="425"/>
      <c r="C3190" s="530" t="s">
        <v>2</v>
      </c>
      <c r="D3190" s="400">
        <v>1</v>
      </c>
      <c r="E3190" s="487">
        <v>1</v>
      </c>
      <c r="F3190" s="486">
        <v>2</v>
      </c>
      <c r="G3190" s="486">
        <v>0.34499999999999997</v>
      </c>
      <c r="H3190" s="486">
        <f>0.3</f>
        <v>0.3</v>
      </c>
      <c r="I3190" s="399">
        <f t="shared" si="97"/>
        <v>0.21</v>
      </c>
      <c r="J3190" s="404"/>
      <c r="K3190" s="1234"/>
      <c r="L3190" s="431"/>
      <c r="M3190" s="431"/>
      <c r="N3190" s="431"/>
    </row>
    <row r="3191" spans="1:14" s="398" customFormat="1" hidden="1" outlineLevel="1">
      <c r="A3191" s="1248"/>
      <c r="B3191" s="425"/>
      <c r="C3191" s="530" t="s">
        <v>2</v>
      </c>
      <c r="D3191" s="400">
        <v>1</v>
      </c>
      <c r="E3191" s="487">
        <v>1</v>
      </c>
      <c r="F3191" s="486">
        <v>2</v>
      </c>
      <c r="G3191" s="486">
        <v>0.23</v>
      </c>
      <c r="H3191" s="662">
        <f>0.5-0.1-0.3</f>
        <v>0.10000000000000003</v>
      </c>
      <c r="I3191" s="399">
        <f t="shared" si="97"/>
        <v>0.05</v>
      </c>
      <c r="J3191" s="404"/>
      <c r="K3191" s="1234"/>
      <c r="L3191" s="431"/>
      <c r="M3191" s="431"/>
      <c r="N3191" s="431"/>
    </row>
    <row r="3192" spans="1:14" s="398" customFormat="1" hidden="1" outlineLevel="1">
      <c r="A3192" s="1248"/>
      <c r="B3192" s="425" t="s">
        <v>936</v>
      </c>
      <c r="C3192" s="530" t="s">
        <v>2</v>
      </c>
      <c r="D3192" s="400">
        <v>1</v>
      </c>
      <c r="E3192" s="408">
        <v>1</v>
      </c>
      <c r="F3192" s="486">
        <v>3</v>
      </c>
      <c r="G3192" s="486">
        <v>0.3</v>
      </c>
      <c r="H3192" s="662">
        <f>0.2+0.5</f>
        <v>0.7</v>
      </c>
      <c r="I3192" s="399">
        <f t="shared" si="97"/>
        <v>0.63</v>
      </c>
      <c r="J3192" s="404"/>
      <c r="K3192" s="1234"/>
      <c r="L3192" s="431"/>
      <c r="M3192" s="431"/>
      <c r="N3192" s="431"/>
    </row>
    <row r="3193" spans="1:14" s="398" customFormat="1" hidden="1" outlineLevel="1">
      <c r="A3193" s="1248"/>
      <c r="B3193" s="425"/>
      <c r="C3193" s="530" t="s">
        <v>2</v>
      </c>
      <c r="D3193" s="400">
        <v>1</v>
      </c>
      <c r="E3193" s="408">
        <v>1</v>
      </c>
      <c r="F3193" s="486">
        <v>3</v>
      </c>
      <c r="G3193" s="486">
        <f>G3192+0.3</f>
        <v>0.6</v>
      </c>
      <c r="H3193" s="486">
        <f>H3192+0.15</f>
        <v>0.85</v>
      </c>
      <c r="I3193" s="399">
        <f t="shared" si="97"/>
        <v>1.53</v>
      </c>
      <c r="J3193" s="404"/>
      <c r="K3193" s="1234"/>
      <c r="L3193" s="431"/>
      <c r="M3193" s="431"/>
      <c r="N3193" s="431"/>
    </row>
    <row r="3194" spans="1:14" s="398" customFormat="1" hidden="1" outlineLevel="1">
      <c r="A3194" s="1248"/>
      <c r="B3194" s="425"/>
      <c r="C3194" s="530" t="s">
        <v>2</v>
      </c>
      <c r="D3194" s="400">
        <v>1</v>
      </c>
      <c r="E3194" s="408">
        <v>1</v>
      </c>
      <c r="F3194" s="486">
        <v>3</v>
      </c>
      <c r="G3194" s="486">
        <f>G3193+0.3</f>
        <v>0.89999999999999991</v>
      </c>
      <c r="H3194" s="486">
        <f>H3193+0.15</f>
        <v>1</v>
      </c>
      <c r="I3194" s="399">
        <f t="shared" si="97"/>
        <v>2.7</v>
      </c>
      <c r="J3194" s="404"/>
      <c r="K3194" s="1234"/>
      <c r="L3194" s="431"/>
      <c r="M3194" s="431"/>
      <c r="N3194" s="431"/>
    </row>
    <row r="3195" spans="1:14" s="398" customFormat="1" hidden="1" outlineLevel="1">
      <c r="A3195" s="1248"/>
      <c r="B3195" s="425" t="s">
        <v>937</v>
      </c>
      <c r="C3195" s="530" t="s">
        <v>2</v>
      </c>
      <c r="D3195" s="400">
        <v>1</v>
      </c>
      <c r="E3195" s="408">
        <v>1</v>
      </c>
      <c r="F3195" s="486">
        <v>0.6</v>
      </c>
      <c r="G3195" s="486">
        <v>0.34499999999999997</v>
      </c>
      <c r="H3195" s="486">
        <v>0.3</v>
      </c>
      <c r="I3195" s="399">
        <f t="shared" si="97"/>
        <v>0.06</v>
      </c>
      <c r="J3195" s="404"/>
      <c r="K3195" s="1234"/>
      <c r="L3195" s="431"/>
      <c r="M3195" s="431"/>
      <c r="N3195" s="431"/>
    </row>
    <row r="3196" spans="1:14" s="398" customFormat="1" hidden="1" outlineLevel="1">
      <c r="A3196" s="1248"/>
      <c r="B3196" s="425"/>
      <c r="C3196" s="530" t="s">
        <v>2</v>
      </c>
      <c r="D3196" s="400">
        <v>1</v>
      </c>
      <c r="E3196" s="408">
        <v>1</v>
      </c>
      <c r="F3196" s="486">
        <v>0.6</v>
      </c>
      <c r="G3196" s="486">
        <v>0.23</v>
      </c>
      <c r="H3196" s="662">
        <f>0.5+0.5-0.1-0.3</f>
        <v>0.60000000000000009</v>
      </c>
      <c r="I3196" s="399">
        <f t="shared" si="97"/>
        <v>0.08</v>
      </c>
      <c r="J3196" s="404"/>
      <c r="K3196" s="1234"/>
      <c r="L3196" s="431"/>
      <c r="M3196" s="431"/>
      <c r="N3196" s="431"/>
    </row>
    <row r="3197" spans="1:14" s="398" customFormat="1" hidden="1" outlineLevel="1">
      <c r="A3197" s="1248"/>
      <c r="B3197" s="425"/>
      <c r="C3197" s="325"/>
      <c r="D3197" s="400"/>
      <c r="E3197" s="408"/>
      <c r="F3197" s="486"/>
      <c r="G3197" s="486"/>
      <c r="H3197" s="486"/>
      <c r="I3197" s="399" t="str">
        <f t="shared" si="97"/>
        <v/>
      </c>
      <c r="J3197" s="404"/>
      <c r="K3197" s="1234"/>
      <c r="L3197" s="431"/>
      <c r="M3197" s="431"/>
      <c r="N3197" s="431"/>
    </row>
    <row r="3198" spans="1:14" s="398" customFormat="1" hidden="1" outlineLevel="1">
      <c r="A3198" s="1248"/>
      <c r="B3198" s="425" t="s">
        <v>943</v>
      </c>
      <c r="C3198" s="325"/>
      <c r="D3198" s="400"/>
      <c r="E3198" s="408"/>
      <c r="F3198" s="486"/>
      <c r="G3198" s="486"/>
      <c r="H3198" s="486"/>
      <c r="I3198" s="399" t="str">
        <f t="shared" si="97"/>
        <v/>
      </c>
      <c r="J3198" s="404"/>
      <c r="K3198" s="1234"/>
      <c r="L3198" s="431"/>
      <c r="M3198" s="431"/>
      <c r="N3198" s="431"/>
    </row>
    <row r="3199" spans="1:14" s="398" customFormat="1" hidden="1" outlineLevel="1">
      <c r="A3199" s="1248"/>
      <c r="B3199" s="425" t="s">
        <v>822</v>
      </c>
      <c r="C3199" s="530" t="s">
        <v>2</v>
      </c>
      <c r="D3199" s="400">
        <v>1</v>
      </c>
      <c r="E3199" s="408">
        <v>3</v>
      </c>
      <c r="F3199" s="486">
        <v>5.42</v>
      </c>
      <c r="G3199" s="486">
        <v>1.42</v>
      </c>
      <c r="H3199" s="486">
        <v>0.15</v>
      </c>
      <c r="I3199" s="399">
        <f t="shared" si="97"/>
        <v>3.46</v>
      </c>
      <c r="J3199" s="404"/>
      <c r="K3199" s="1234"/>
      <c r="L3199" s="431"/>
      <c r="M3199" s="431"/>
      <c r="N3199" s="431"/>
    </row>
    <row r="3200" spans="1:14" s="398" customFormat="1" hidden="1" outlineLevel="1">
      <c r="A3200" s="1248"/>
      <c r="B3200" s="425"/>
      <c r="C3200" s="325"/>
      <c r="D3200" s="400"/>
      <c r="E3200" s="408"/>
      <c r="F3200" s="486"/>
      <c r="G3200" s="486"/>
      <c r="H3200" s="486"/>
      <c r="I3200" s="399" t="str">
        <f t="shared" si="97"/>
        <v/>
      </c>
      <c r="J3200" s="404"/>
      <c r="K3200" s="1234"/>
      <c r="L3200" s="431"/>
      <c r="M3200" s="431"/>
      <c r="N3200" s="431"/>
    </row>
    <row r="3201" spans="1:14" s="398" customFormat="1" hidden="1" outlineLevel="1">
      <c r="A3201" s="1248"/>
      <c r="B3201" s="601" t="s">
        <v>655</v>
      </c>
      <c r="C3201" s="325"/>
      <c r="D3201" s="400"/>
      <c r="E3201" s="408"/>
      <c r="F3201" s="486"/>
      <c r="G3201" s="486"/>
      <c r="H3201" s="486"/>
      <c r="I3201" s="399" t="str">
        <f t="shared" si="97"/>
        <v/>
      </c>
      <c r="J3201" s="404"/>
      <c r="K3201" s="1234"/>
      <c r="L3201" s="431"/>
      <c r="M3201" s="431"/>
      <c r="N3201" s="431"/>
    </row>
    <row r="3202" spans="1:14" s="322" customFormat="1" hidden="1" outlineLevel="1">
      <c r="A3202" s="1265"/>
      <c r="B3202" s="295"/>
      <c r="C3202" s="325"/>
      <c r="D3202" s="488"/>
      <c r="E3202" s="298"/>
      <c r="F3202" s="1156"/>
      <c r="G3202" s="1156"/>
      <c r="H3202" s="1156"/>
      <c r="I3202" s="399" t="str">
        <f t="shared" si="97"/>
        <v/>
      </c>
      <c r="J3202" s="483"/>
      <c r="K3202" s="1266"/>
    </row>
    <row r="3203" spans="1:14" s="322" customFormat="1" hidden="1" outlineLevel="1">
      <c r="A3203" s="1265"/>
      <c r="B3203" s="295"/>
      <c r="C3203" s="530" t="s">
        <v>2</v>
      </c>
      <c r="D3203" s="488">
        <v>1</v>
      </c>
      <c r="E3203" s="298">
        <v>1</v>
      </c>
      <c r="F3203" s="1156">
        <v>7.625</v>
      </c>
      <c r="G3203" s="1156">
        <v>0.46</v>
      </c>
      <c r="H3203" s="1156">
        <v>0.3</v>
      </c>
      <c r="I3203" s="399">
        <f t="shared" si="97"/>
        <v>1.05</v>
      </c>
      <c r="J3203" s="483"/>
      <c r="K3203" s="1266"/>
    </row>
    <row r="3204" spans="1:14" s="322" customFormat="1" hidden="1" outlineLevel="1">
      <c r="A3204" s="1265"/>
      <c r="B3204" s="295"/>
      <c r="C3204" s="530" t="s">
        <v>2</v>
      </c>
      <c r="D3204" s="488">
        <v>1</v>
      </c>
      <c r="E3204" s="298">
        <v>1</v>
      </c>
      <c r="F3204" s="1156">
        <v>7.625</v>
      </c>
      <c r="G3204" s="1156">
        <v>0.34499999999999997</v>
      </c>
      <c r="H3204" s="1156">
        <v>0.3</v>
      </c>
      <c r="I3204" s="399">
        <f t="shared" si="97"/>
        <v>0.79</v>
      </c>
      <c r="J3204" s="483"/>
      <c r="K3204" s="1266"/>
    </row>
    <row r="3205" spans="1:14" s="322" customFormat="1" hidden="1" outlineLevel="1">
      <c r="A3205" s="1265"/>
      <c r="B3205" s="295"/>
      <c r="C3205" s="530" t="s">
        <v>2</v>
      </c>
      <c r="D3205" s="488">
        <v>1</v>
      </c>
      <c r="E3205" s="298">
        <v>1</v>
      </c>
      <c r="F3205" s="1156">
        <v>7.625</v>
      </c>
      <c r="G3205" s="1156">
        <v>0.23</v>
      </c>
      <c r="H3205" s="1156">
        <v>0.19</v>
      </c>
      <c r="I3205" s="399">
        <f t="shared" si="97"/>
        <v>0.33</v>
      </c>
      <c r="J3205" s="483"/>
      <c r="K3205" s="1266"/>
    </row>
    <row r="3206" spans="1:14" s="322" customFormat="1" hidden="1" outlineLevel="1">
      <c r="A3206" s="1265"/>
      <c r="B3206" s="295"/>
      <c r="C3206" s="325"/>
      <c r="D3206" s="488"/>
      <c r="E3206" s="298"/>
      <c r="F3206" s="1156"/>
      <c r="G3206" s="1156"/>
      <c r="H3206" s="1156"/>
      <c r="I3206" s="399" t="str">
        <f t="shared" si="97"/>
        <v/>
      </c>
      <c r="J3206" s="483"/>
      <c r="K3206" s="1266"/>
    </row>
    <row r="3207" spans="1:14" s="322" customFormat="1" hidden="1" outlineLevel="1">
      <c r="A3207" s="1265"/>
      <c r="B3207" s="295"/>
      <c r="C3207" s="530" t="s">
        <v>2</v>
      </c>
      <c r="D3207" s="488">
        <v>1</v>
      </c>
      <c r="E3207" s="298">
        <v>1</v>
      </c>
      <c r="F3207" s="1156">
        <v>1.1000000000000001</v>
      </c>
      <c r="G3207" s="1156">
        <v>0.46</v>
      </c>
      <c r="H3207" s="1156">
        <v>0.3</v>
      </c>
      <c r="I3207" s="399">
        <f t="shared" si="97"/>
        <v>0.15</v>
      </c>
      <c r="J3207" s="483"/>
      <c r="K3207" s="1266"/>
    </row>
    <row r="3208" spans="1:14" s="322" customFormat="1" hidden="1" outlineLevel="1">
      <c r="A3208" s="1265"/>
      <c r="B3208" s="295"/>
      <c r="C3208" s="530" t="s">
        <v>2</v>
      </c>
      <c r="D3208" s="488">
        <v>1</v>
      </c>
      <c r="E3208" s="298">
        <v>1</v>
      </c>
      <c r="F3208" s="1156">
        <v>1.1000000000000001</v>
      </c>
      <c r="G3208" s="1156">
        <v>0.34499999999999997</v>
      </c>
      <c r="H3208" s="1156">
        <v>0.3</v>
      </c>
      <c r="I3208" s="399">
        <f t="shared" si="97"/>
        <v>0.11</v>
      </c>
      <c r="J3208" s="483"/>
      <c r="K3208" s="1266"/>
    </row>
    <row r="3209" spans="1:14" s="322" customFormat="1" hidden="1" outlineLevel="1">
      <c r="A3209" s="1265"/>
      <c r="B3209" s="295"/>
      <c r="C3209" s="530" t="s">
        <v>2</v>
      </c>
      <c r="D3209" s="488">
        <v>1</v>
      </c>
      <c r="E3209" s="298">
        <v>1</v>
      </c>
      <c r="F3209" s="1156">
        <v>1.1000000000000001</v>
      </c>
      <c r="G3209" s="1156">
        <v>0.23</v>
      </c>
      <c r="H3209" s="1156">
        <v>0.19</v>
      </c>
      <c r="I3209" s="399">
        <f t="shared" si="97"/>
        <v>0.05</v>
      </c>
      <c r="J3209" s="483"/>
      <c r="K3209" s="1266"/>
    </row>
    <row r="3210" spans="1:14" s="398" customFormat="1" ht="34.5" hidden="1" outlineLevel="1">
      <c r="A3210" s="1248"/>
      <c r="B3210" s="601" t="s">
        <v>944</v>
      </c>
      <c r="C3210" s="325"/>
      <c r="D3210" s="400"/>
      <c r="E3210" s="408"/>
      <c r="F3210" s="486"/>
      <c r="G3210" s="486"/>
      <c r="H3210" s="486"/>
      <c r="I3210" s="399" t="str">
        <f t="shared" si="97"/>
        <v/>
      </c>
      <c r="J3210" s="404"/>
      <c r="K3210" s="1234"/>
      <c r="L3210" s="431"/>
      <c r="M3210" s="431"/>
      <c r="N3210" s="431"/>
    </row>
    <row r="3211" spans="1:14" s="322" customFormat="1" hidden="1" outlineLevel="1">
      <c r="A3211" s="1265"/>
      <c r="B3211" s="295"/>
      <c r="C3211" s="325"/>
      <c r="D3211" s="488"/>
      <c r="E3211" s="298"/>
      <c r="F3211" s="1156"/>
      <c r="G3211" s="1156"/>
      <c r="H3211" s="1156"/>
      <c r="I3211" s="399" t="str">
        <f t="shared" si="97"/>
        <v/>
      </c>
      <c r="J3211" s="483"/>
      <c r="K3211" s="1266"/>
    </row>
    <row r="3212" spans="1:14" s="322" customFormat="1" hidden="1" outlineLevel="1">
      <c r="A3212" s="1265"/>
      <c r="B3212" s="295"/>
      <c r="C3212" s="530" t="s">
        <v>2</v>
      </c>
      <c r="D3212" s="488">
        <v>1</v>
      </c>
      <c r="E3212" s="298">
        <v>1</v>
      </c>
      <c r="F3212" s="1156">
        <v>7.625</v>
      </c>
      <c r="G3212" s="1156">
        <v>0.46</v>
      </c>
      <c r="H3212" s="1156">
        <v>0.3</v>
      </c>
      <c r="I3212" s="399">
        <f t="shared" si="97"/>
        <v>1.05</v>
      </c>
      <c r="J3212" s="483"/>
      <c r="K3212" s="1266"/>
    </row>
    <row r="3213" spans="1:14" s="322" customFormat="1" hidden="1" outlineLevel="1">
      <c r="A3213" s="1265"/>
      <c r="B3213" s="295"/>
      <c r="C3213" s="530" t="s">
        <v>2</v>
      </c>
      <c r="D3213" s="488">
        <v>1</v>
      </c>
      <c r="E3213" s="298">
        <v>1</v>
      </c>
      <c r="F3213" s="1156">
        <v>7.625</v>
      </c>
      <c r="G3213" s="1156">
        <v>0.34499999999999997</v>
      </c>
      <c r="H3213" s="1156">
        <v>0.3</v>
      </c>
      <c r="I3213" s="399">
        <f t="shared" si="97"/>
        <v>0.79</v>
      </c>
      <c r="J3213" s="483"/>
      <c r="K3213" s="1266"/>
    </row>
    <row r="3214" spans="1:14" s="322" customFormat="1" hidden="1" outlineLevel="1">
      <c r="A3214" s="1265"/>
      <c r="B3214" s="295"/>
      <c r="C3214" s="530" t="s">
        <v>2</v>
      </c>
      <c r="D3214" s="488">
        <v>1</v>
      </c>
      <c r="E3214" s="298">
        <v>1</v>
      </c>
      <c r="F3214" s="1156">
        <v>7.625</v>
      </c>
      <c r="G3214" s="1156">
        <v>0.23</v>
      </c>
      <c r="H3214" s="1156">
        <v>0.19</v>
      </c>
      <c r="I3214" s="399">
        <f t="shared" si="97"/>
        <v>0.33</v>
      </c>
      <c r="J3214" s="483"/>
      <c r="K3214" s="1266"/>
    </row>
    <row r="3215" spans="1:14" s="322" customFormat="1" hidden="1" outlineLevel="1">
      <c r="A3215" s="1265"/>
      <c r="B3215" s="295"/>
      <c r="C3215" s="325"/>
      <c r="D3215" s="488"/>
      <c r="E3215" s="298"/>
      <c r="F3215" s="1156"/>
      <c r="G3215" s="1156"/>
      <c r="H3215" s="1156"/>
      <c r="I3215" s="399" t="str">
        <f t="shared" si="97"/>
        <v/>
      </c>
      <c r="J3215" s="483"/>
      <c r="K3215" s="1266"/>
    </row>
    <row r="3216" spans="1:14" s="322" customFormat="1" hidden="1" outlineLevel="1">
      <c r="A3216" s="1265"/>
      <c r="B3216" s="295"/>
      <c r="C3216" s="530" t="s">
        <v>2</v>
      </c>
      <c r="D3216" s="488">
        <v>1</v>
      </c>
      <c r="E3216" s="298">
        <v>1</v>
      </c>
      <c r="F3216" s="1156">
        <v>7.125</v>
      </c>
      <c r="G3216" s="1156">
        <v>0.46</v>
      </c>
      <c r="H3216" s="1156">
        <v>0.3</v>
      </c>
      <c r="I3216" s="399">
        <f t="shared" si="97"/>
        <v>0.98</v>
      </c>
      <c r="J3216" s="483"/>
      <c r="K3216" s="1266"/>
    </row>
    <row r="3217" spans="1:14" s="322" customFormat="1" hidden="1" outlineLevel="1">
      <c r="A3217" s="1265"/>
      <c r="B3217" s="295"/>
      <c r="C3217" s="530" t="s">
        <v>2</v>
      </c>
      <c r="D3217" s="488">
        <v>1</v>
      </c>
      <c r="E3217" s="298">
        <v>1</v>
      </c>
      <c r="F3217" s="1156">
        <v>7.125</v>
      </c>
      <c r="G3217" s="1156">
        <v>0.34499999999999997</v>
      </c>
      <c r="H3217" s="1156">
        <v>0.3</v>
      </c>
      <c r="I3217" s="399">
        <f t="shared" si="97"/>
        <v>0.74</v>
      </c>
      <c r="J3217" s="483"/>
      <c r="K3217" s="1266"/>
    </row>
    <row r="3218" spans="1:14" s="322" customFormat="1" hidden="1" outlineLevel="1">
      <c r="A3218" s="1265"/>
      <c r="B3218" s="295"/>
      <c r="C3218" s="530" t="s">
        <v>2</v>
      </c>
      <c r="D3218" s="488">
        <v>1</v>
      </c>
      <c r="E3218" s="298">
        <v>1</v>
      </c>
      <c r="F3218" s="1156">
        <v>7.125</v>
      </c>
      <c r="G3218" s="1156">
        <v>0.23</v>
      </c>
      <c r="H3218" s="1156">
        <v>0.19</v>
      </c>
      <c r="I3218" s="399">
        <f t="shared" si="97"/>
        <v>0.31</v>
      </c>
      <c r="J3218" s="483"/>
      <c r="K3218" s="1266"/>
    </row>
    <row r="3219" spans="1:14" s="322" customFormat="1" hidden="1" outlineLevel="1">
      <c r="A3219" s="1265"/>
      <c r="B3219" s="295"/>
      <c r="C3219" s="325"/>
      <c r="D3219" s="488"/>
      <c r="E3219" s="298"/>
      <c r="F3219" s="1156"/>
      <c r="G3219" s="1156"/>
      <c r="H3219" s="1156"/>
      <c r="I3219" s="399" t="str">
        <f t="shared" si="97"/>
        <v/>
      </c>
      <c r="J3219" s="483"/>
      <c r="K3219" s="1266"/>
    </row>
    <row r="3220" spans="1:14" s="398" customFormat="1" hidden="1" outlineLevel="1">
      <c r="A3220" s="1248"/>
      <c r="B3220" s="592" t="s">
        <v>945</v>
      </c>
      <c r="C3220" s="325"/>
      <c r="D3220" s="400"/>
      <c r="E3220" s="408"/>
      <c r="F3220" s="486"/>
      <c r="G3220" s="486"/>
      <c r="H3220" s="486"/>
      <c r="I3220" s="399" t="str">
        <f t="shared" si="97"/>
        <v/>
      </c>
      <c r="J3220" s="404"/>
      <c r="K3220" s="1234"/>
      <c r="L3220" s="431"/>
      <c r="M3220" s="431"/>
      <c r="N3220" s="431"/>
    </row>
    <row r="3221" spans="1:14" s="398" customFormat="1" ht="34.5" hidden="1" outlineLevel="1">
      <c r="A3221" s="1248"/>
      <c r="B3221" s="425" t="s">
        <v>946</v>
      </c>
      <c r="C3221" s="325"/>
      <c r="D3221" s="400"/>
      <c r="E3221" s="408"/>
      <c r="F3221" s="486"/>
      <c r="G3221" s="486"/>
      <c r="H3221" s="486"/>
      <c r="I3221" s="399" t="str">
        <f t="shared" si="97"/>
        <v/>
      </c>
      <c r="J3221" s="404"/>
      <c r="K3221" s="1234"/>
      <c r="L3221" s="431"/>
      <c r="M3221" s="431"/>
      <c r="N3221" s="431"/>
    </row>
    <row r="3222" spans="1:14" s="398" customFormat="1" hidden="1" outlineLevel="1">
      <c r="A3222" s="1248"/>
      <c r="B3222" s="425" t="s">
        <v>835</v>
      </c>
      <c r="C3222" s="530" t="s">
        <v>2</v>
      </c>
      <c r="D3222" s="488">
        <v>1</v>
      </c>
      <c r="E3222" s="298">
        <v>7</v>
      </c>
      <c r="F3222" s="1155">
        <v>3.5259999999999998</v>
      </c>
      <c r="G3222" s="1156">
        <v>0.46</v>
      </c>
      <c r="H3222" s="1156">
        <v>0.3</v>
      </c>
      <c r="I3222" s="399">
        <f t="shared" si="97"/>
        <v>3.41</v>
      </c>
      <c r="J3222" s="404"/>
      <c r="K3222" s="1234"/>
      <c r="L3222" s="431"/>
      <c r="M3222" s="431"/>
      <c r="N3222" s="431"/>
    </row>
    <row r="3223" spans="1:14" s="398" customFormat="1" hidden="1" outlineLevel="1">
      <c r="A3223" s="1248"/>
      <c r="B3223" s="425"/>
      <c r="C3223" s="530" t="s">
        <v>2</v>
      </c>
      <c r="D3223" s="488">
        <v>1</v>
      </c>
      <c r="E3223" s="298">
        <v>7</v>
      </c>
      <c r="F3223" s="1155">
        <v>3.5259999999999998</v>
      </c>
      <c r="G3223" s="1156">
        <v>0.34499999999999997</v>
      </c>
      <c r="H3223" s="1156">
        <v>0.3</v>
      </c>
      <c r="I3223" s="399">
        <f t="shared" si="97"/>
        <v>2.5499999999999998</v>
      </c>
      <c r="J3223" s="404"/>
      <c r="K3223" s="1234"/>
      <c r="L3223" s="431"/>
      <c r="M3223" s="431"/>
      <c r="N3223" s="431"/>
    </row>
    <row r="3224" spans="1:14" s="398" customFormat="1" hidden="1" outlineLevel="1">
      <c r="A3224" s="1248"/>
      <c r="B3224" s="425"/>
      <c r="C3224" s="530" t="s">
        <v>2</v>
      </c>
      <c r="D3224" s="488">
        <v>1</v>
      </c>
      <c r="E3224" s="298">
        <v>7</v>
      </c>
      <c r="F3224" s="1155">
        <v>3.5259999999999998</v>
      </c>
      <c r="G3224" s="1156">
        <v>0.23</v>
      </c>
      <c r="H3224" s="1156">
        <f>1.2+0.5-0.15-0.6-0.06-0.2</f>
        <v>0.69000000000000017</v>
      </c>
      <c r="I3224" s="399">
        <f t="shared" ref="I3224:I3287" si="98">IF(D3224&lt;&gt;0,ROUND(PRODUCT(E3224:H3224)*D3224,2),"")</f>
        <v>3.92</v>
      </c>
      <c r="J3224" s="404"/>
      <c r="K3224" s="1234"/>
      <c r="L3224" s="431"/>
      <c r="M3224" s="431"/>
      <c r="N3224" s="431"/>
    </row>
    <row r="3225" spans="1:14" s="398" customFormat="1" hidden="1" outlineLevel="1">
      <c r="A3225" s="1248"/>
      <c r="B3225" s="425"/>
      <c r="C3225" s="325"/>
      <c r="D3225" s="400"/>
      <c r="E3225" s="408"/>
      <c r="F3225" s="486"/>
      <c r="G3225" s="486"/>
      <c r="H3225" s="486"/>
      <c r="I3225" s="399" t="str">
        <f t="shared" si="98"/>
        <v/>
      </c>
      <c r="J3225" s="404"/>
      <c r="K3225" s="1234"/>
      <c r="L3225" s="431"/>
      <c r="M3225" s="431"/>
      <c r="N3225" s="431"/>
    </row>
    <row r="3226" spans="1:14" s="398" customFormat="1" ht="34.5" hidden="1" outlineLevel="1">
      <c r="A3226" s="1248"/>
      <c r="B3226" s="425" t="s">
        <v>947</v>
      </c>
      <c r="C3226" s="325"/>
      <c r="D3226" s="400"/>
      <c r="E3226" s="408"/>
      <c r="F3226" s="486"/>
      <c r="G3226" s="486"/>
      <c r="H3226" s="486"/>
      <c r="I3226" s="399" t="str">
        <f t="shared" si="98"/>
        <v/>
      </c>
      <c r="J3226" s="404"/>
      <c r="K3226" s="1234"/>
      <c r="L3226" s="431"/>
      <c r="M3226" s="431"/>
      <c r="N3226" s="431"/>
    </row>
    <row r="3227" spans="1:14" s="398" customFormat="1" hidden="1" outlineLevel="1">
      <c r="A3227" s="1248"/>
      <c r="B3227" s="425" t="s">
        <v>835</v>
      </c>
      <c r="C3227" s="530" t="s">
        <v>2</v>
      </c>
      <c r="D3227" s="389">
        <v>1</v>
      </c>
      <c r="E3227" s="386">
        <v>8</v>
      </c>
      <c r="F3227" s="1354">
        <v>3.5259999999999998</v>
      </c>
      <c r="G3227" s="1353">
        <v>0.46</v>
      </c>
      <c r="H3227" s="1353">
        <v>0.3</v>
      </c>
      <c r="I3227" s="399">
        <f t="shared" si="98"/>
        <v>3.89</v>
      </c>
      <c r="J3227" s="404"/>
      <c r="K3227" s="1234"/>
      <c r="L3227" s="431"/>
      <c r="M3227" s="431"/>
      <c r="N3227" s="431"/>
    </row>
    <row r="3228" spans="1:14" s="398" customFormat="1" hidden="1" outlineLevel="1">
      <c r="A3228" s="1248"/>
      <c r="B3228" s="425"/>
      <c r="C3228" s="530" t="s">
        <v>2</v>
      </c>
      <c r="D3228" s="389">
        <v>1</v>
      </c>
      <c r="E3228" s="386">
        <v>8</v>
      </c>
      <c r="F3228" s="1354">
        <v>3.5259999999999998</v>
      </c>
      <c r="G3228" s="1353">
        <v>0.34499999999999997</v>
      </c>
      <c r="H3228" s="1353">
        <v>0.3</v>
      </c>
      <c r="I3228" s="399">
        <f t="shared" si="98"/>
        <v>2.92</v>
      </c>
      <c r="J3228" s="404"/>
      <c r="K3228" s="1234"/>
      <c r="L3228" s="431"/>
      <c r="M3228" s="431"/>
      <c r="N3228" s="431"/>
    </row>
    <row r="3229" spans="1:14" s="398" customFormat="1" hidden="1" outlineLevel="1">
      <c r="A3229" s="1248"/>
      <c r="B3229" s="425"/>
      <c r="C3229" s="530" t="s">
        <v>2</v>
      </c>
      <c r="D3229" s="389">
        <v>1</v>
      </c>
      <c r="E3229" s="386">
        <v>8</v>
      </c>
      <c r="F3229" s="1354">
        <v>3.5259999999999998</v>
      </c>
      <c r="G3229" s="1353">
        <v>0.23</v>
      </c>
      <c r="H3229" s="1353">
        <f>1.2+0.5-0.15-0.6-0.06-0.2</f>
        <v>0.69000000000000017</v>
      </c>
      <c r="I3229" s="399">
        <f t="shared" si="98"/>
        <v>4.4800000000000004</v>
      </c>
      <c r="J3229" s="404"/>
      <c r="K3229" s="1234"/>
      <c r="L3229" s="431"/>
      <c r="M3229" s="431"/>
      <c r="N3229" s="431"/>
    </row>
    <row r="3230" spans="1:14" s="398" customFormat="1" hidden="1" outlineLevel="1">
      <c r="A3230" s="1248"/>
      <c r="B3230" s="425"/>
      <c r="C3230" s="530"/>
      <c r="D3230" s="400"/>
      <c r="E3230" s="170"/>
      <c r="F3230" s="401"/>
      <c r="G3230" s="401"/>
      <c r="H3230" s="401"/>
      <c r="I3230" s="399" t="str">
        <f t="shared" si="98"/>
        <v/>
      </c>
      <c r="J3230" s="404"/>
      <c r="K3230" s="1234"/>
      <c r="L3230" s="431"/>
      <c r="M3230" s="431"/>
      <c r="N3230" s="431"/>
    </row>
    <row r="3231" spans="1:14" s="398" customFormat="1" ht="34.5" hidden="1" outlineLevel="1">
      <c r="A3231" s="1248"/>
      <c r="B3231" s="425" t="s">
        <v>948</v>
      </c>
      <c r="C3231" s="530"/>
      <c r="D3231" s="400"/>
      <c r="E3231" s="170"/>
      <c r="F3231" s="401"/>
      <c r="G3231" s="401"/>
      <c r="H3231" s="401"/>
      <c r="I3231" s="399" t="str">
        <f t="shared" si="98"/>
        <v/>
      </c>
      <c r="J3231" s="404"/>
      <c r="K3231" s="1234"/>
      <c r="L3231" s="431"/>
      <c r="M3231" s="431"/>
      <c r="N3231" s="431"/>
    </row>
    <row r="3232" spans="1:14" s="398" customFormat="1" hidden="1" outlineLevel="1">
      <c r="A3232" s="1248"/>
      <c r="B3232" s="425" t="s">
        <v>835</v>
      </c>
      <c r="C3232" s="530" t="s">
        <v>2</v>
      </c>
      <c r="D3232" s="389">
        <v>1</v>
      </c>
      <c r="E3232" s="386">
        <v>6</v>
      </c>
      <c r="F3232" s="1354">
        <v>3.5259999999999998</v>
      </c>
      <c r="G3232" s="1353">
        <v>0.46</v>
      </c>
      <c r="H3232" s="1353">
        <v>0.3</v>
      </c>
      <c r="I3232" s="399">
        <f t="shared" si="98"/>
        <v>2.92</v>
      </c>
      <c r="J3232" s="404"/>
      <c r="K3232" s="1234"/>
      <c r="L3232" s="431"/>
      <c r="M3232" s="431"/>
      <c r="N3232" s="431"/>
    </row>
    <row r="3233" spans="1:14" s="398" customFormat="1" hidden="1" outlineLevel="1">
      <c r="A3233" s="1248"/>
      <c r="B3233" s="425"/>
      <c r="C3233" s="530" t="s">
        <v>2</v>
      </c>
      <c r="D3233" s="389">
        <v>1</v>
      </c>
      <c r="E3233" s="386">
        <v>6</v>
      </c>
      <c r="F3233" s="1354">
        <v>3.5259999999999998</v>
      </c>
      <c r="G3233" s="1353">
        <v>0.34499999999999997</v>
      </c>
      <c r="H3233" s="1353">
        <v>0.3</v>
      </c>
      <c r="I3233" s="399">
        <f t="shared" si="98"/>
        <v>2.19</v>
      </c>
      <c r="J3233" s="404"/>
      <c r="K3233" s="1234"/>
      <c r="L3233" s="431"/>
      <c r="M3233" s="431"/>
      <c r="N3233" s="431"/>
    </row>
    <row r="3234" spans="1:14" s="398" customFormat="1" hidden="1" outlineLevel="1">
      <c r="A3234" s="1248"/>
      <c r="B3234" s="425"/>
      <c r="C3234" s="530" t="s">
        <v>2</v>
      </c>
      <c r="D3234" s="389">
        <v>1</v>
      </c>
      <c r="E3234" s="386">
        <v>6</v>
      </c>
      <c r="F3234" s="1354">
        <v>3.5259999999999998</v>
      </c>
      <c r="G3234" s="1353">
        <v>0.23</v>
      </c>
      <c r="H3234" s="1353">
        <f>1.2+0.5-0.15-0.6-0.06-0.2</f>
        <v>0.69000000000000017</v>
      </c>
      <c r="I3234" s="399">
        <f t="shared" si="98"/>
        <v>3.36</v>
      </c>
      <c r="J3234" s="404"/>
      <c r="K3234" s="1234"/>
      <c r="L3234" s="431"/>
      <c r="M3234" s="431"/>
      <c r="N3234" s="431"/>
    </row>
    <row r="3235" spans="1:14" s="398" customFormat="1" hidden="1" outlineLevel="1">
      <c r="A3235" s="1248"/>
      <c r="B3235" s="425"/>
      <c r="C3235" s="530"/>
      <c r="D3235" s="389"/>
      <c r="E3235" s="386"/>
      <c r="F3235" s="1353"/>
      <c r="G3235" s="1353"/>
      <c r="H3235" s="1353"/>
      <c r="I3235" s="399" t="str">
        <f t="shared" si="98"/>
        <v/>
      </c>
      <c r="J3235" s="404"/>
      <c r="K3235" s="1234"/>
      <c r="L3235" s="431"/>
      <c r="M3235" s="431"/>
      <c r="N3235" s="431"/>
    </row>
    <row r="3236" spans="1:14" s="398" customFormat="1" ht="34.5" hidden="1" outlineLevel="1">
      <c r="A3236" s="1248"/>
      <c r="B3236" s="592" t="s">
        <v>949</v>
      </c>
      <c r="C3236" s="530"/>
      <c r="D3236" s="389"/>
      <c r="E3236" s="386"/>
      <c r="F3236" s="1353"/>
      <c r="G3236" s="1353"/>
      <c r="H3236" s="1353"/>
      <c r="I3236" s="399" t="str">
        <f t="shared" si="98"/>
        <v/>
      </c>
      <c r="J3236" s="404"/>
      <c r="K3236" s="1234"/>
      <c r="L3236" s="431"/>
      <c r="M3236" s="431"/>
      <c r="N3236" s="431"/>
    </row>
    <row r="3237" spans="1:14" s="398" customFormat="1" hidden="1" outlineLevel="1">
      <c r="A3237" s="1248"/>
      <c r="B3237" s="425" t="s">
        <v>839</v>
      </c>
      <c r="C3237" s="165" t="s">
        <v>2</v>
      </c>
      <c r="D3237" s="392">
        <v>1</v>
      </c>
      <c r="E3237" s="165">
        <v>1</v>
      </c>
      <c r="F3237" s="1353">
        <v>24.945</v>
      </c>
      <c r="G3237" s="401">
        <v>0.46</v>
      </c>
      <c r="H3237" s="401">
        <v>0.3</v>
      </c>
      <c r="I3237" s="399">
        <f t="shared" si="98"/>
        <v>3.44</v>
      </c>
      <c r="J3237" s="404"/>
      <c r="K3237" s="1234"/>
      <c r="L3237" s="431"/>
      <c r="M3237" s="431"/>
      <c r="N3237" s="431"/>
    </row>
    <row r="3238" spans="1:14" s="398" customFormat="1" hidden="1" outlineLevel="1">
      <c r="A3238" s="1248"/>
      <c r="B3238" s="425"/>
      <c r="C3238" s="165" t="s">
        <v>2</v>
      </c>
      <c r="D3238" s="392">
        <v>1</v>
      </c>
      <c r="E3238" s="165">
        <v>1</v>
      </c>
      <c r="F3238" s="1353">
        <v>24.945</v>
      </c>
      <c r="G3238" s="401">
        <v>0.34499999999999997</v>
      </c>
      <c r="H3238" s="401">
        <v>0.3</v>
      </c>
      <c r="I3238" s="399">
        <f t="shared" si="98"/>
        <v>2.58</v>
      </c>
      <c r="J3238" s="404"/>
      <c r="K3238" s="1234"/>
      <c r="L3238" s="431"/>
      <c r="M3238" s="431"/>
      <c r="N3238" s="431"/>
    </row>
    <row r="3239" spans="1:14" s="398" customFormat="1" hidden="1" outlineLevel="1">
      <c r="A3239" s="1248"/>
      <c r="B3239" s="425"/>
      <c r="C3239" s="165" t="s">
        <v>2</v>
      </c>
      <c r="D3239" s="392">
        <v>1</v>
      </c>
      <c r="E3239" s="165">
        <v>1</v>
      </c>
      <c r="F3239" s="1353">
        <v>24.945</v>
      </c>
      <c r="G3239" s="401">
        <v>0.23</v>
      </c>
      <c r="H3239" s="401">
        <v>0.19</v>
      </c>
      <c r="I3239" s="399">
        <f t="shared" si="98"/>
        <v>1.0900000000000001</v>
      </c>
      <c r="J3239" s="404"/>
      <c r="K3239" s="1234"/>
      <c r="L3239" s="431"/>
      <c r="M3239" s="431"/>
      <c r="N3239" s="431"/>
    </row>
    <row r="3240" spans="1:14" s="398" customFormat="1" hidden="1" outlineLevel="1">
      <c r="A3240" s="1248"/>
      <c r="B3240" s="425"/>
      <c r="C3240" s="530"/>
      <c r="D3240" s="389"/>
      <c r="E3240" s="386"/>
      <c r="F3240" s="1353"/>
      <c r="G3240" s="1353"/>
      <c r="H3240" s="1353"/>
      <c r="I3240" s="399" t="str">
        <f t="shared" si="98"/>
        <v/>
      </c>
      <c r="J3240" s="404"/>
      <c r="K3240" s="1234"/>
      <c r="L3240" s="431"/>
      <c r="M3240" s="431"/>
      <c r="N3240" s="431"/>
    </row>
    <row r="3241" spans="1:14" s="398" customFormat="1" hidden="1" outlineLevel="1">
      <c r="A3241" s="1248"/>
      <c r="B3241" s="425"/>
      <c r="C3241" s="165" t="s">
        <v>2</v>
      </c>
      <c r="D3241" s="392">
        <v>1</v>
      </c>
      <c r="E3241" s="165">
        <v>1</v>
      </c>
      <c r="F3241" s="1354">
        <v>13.605</v>
      </c>
      <c r="G3241" s="401">
        <v>0.46</v>
      </c>
      <c r="H3241" s="401">
        <v>0.3</v>
      </c>
      <c r="I3241" s="399">
        <f t="shared" si="98"/>
        <v>1.88</v>
      </c>
      <c r="J3241" s="404"/>
      <c r="K3241" s="1234"/>
      <c r="L3241" s="431"/>
      <c r="M3241" s="431"/>
      <c r="N3241" s="431"/>
    </row>
    <row r="3242" spans="1:14" s="398" customFormat="1" hidden="1" outlineLevel="1">
      <c r="A3242" s="1248"/>
      <c r="B3242" s="425"/>
      <c r="C3242" s="165" t="s">
        <v>2</v>
      </c>
      <c r="D3242" s="392">
        <v>1</v>
      </c>
      <c r="E3242" s="165">
        <v>1</v>
      </c>
      <c r="F3242" s="1354">
        <v>13.605</v>
      </c>
      <c r="G3242" s="401">
        <v>0.34499999999999997</v>
      </c>
      <c r="H3242" s="401">
        <v>0.3</v>
      </c>
      <c r="I3242" s="399">
        <f t="shared" si="98"/>
        <v>1.41</v>
      </c>
      <c r="J3242" s="404"/>
      <c r="K3242" s="1234"/>
      <c r="L3242" s="431"/>
      <c r="M3242" s="431"/>
      <c r="N3242" s="431"/>
    </row>
    <row r="3243" spans="1:14" s="398" customFormat="1" hidden="1" outlineLevel="1">
      <c r="A3243" s="1248"/>
      <c r="B3243" s="425"/>
      <c r="C3243" s="165" t="s">
        <v>2</v>
      </c>
      <c r="D3243" s="392">
        <v>1</v>
      </c>
      <c r="E3243" s="165">
        <v>1</v>
      </c>
      <c r="F3243" s="1354">
        <v>13.605</v>
      </c>
      <c r="G3243" s="401">
        <v>0.23</v>
      </c>
      <c r="H3243" s="401">
        <v>0.19</v>
      </c>
      <c r="I3243" s="399">
        <f t="shared" si="98"/>
        <v>0.59</v>
      </c>
      <c r="J3243" s="404"/>
      <c r="K3243" s="1234"/>
      <c r="L3243" s="431"/>
      <c r="M3243" s="431"/>
      <c r="N3243" s="431"/>
    </row>
    <row r="3244" spans="1:14" s="398" customFormat="1" hidden="1" outlineLevel="1">
      <c r="A3244" s="1248"/>
      <c r="B3244" s="425"/>
      <c r="C3244" s="530"/>
      <c r="D3244" s="389"/>
      <c r="E3244" s="386"/>
      <c r="F3244" s="1353"/>
      <c r="G3244" s="1353"/>
      <c r="H3244" s="1353"/>
      <c r="I3244" s="399" t="str">
        <f t="shared" si="98"/>
        <v/>
      </c>
      <c r="J3244" s="404"/>
      <c r="K3244" s="1234"/>
      <c r="L3244" s="431"/>
      <c r="M3244" s="431"/>
      <c r="N3244" s="431"/>
    </row>
    <row r="3245" spans="1:14" s="398" customFormat="1" hidden="1" outlineLevel="1">
      <c r="A3245" s="1248"/>
      <c r="B3245" s="425"/>
      <c r="C3245" s="165" t="s">
        <v>2</v>
      </c>
      <c r="D3245" s="392">
        <v>1</v>
      </c>
      <c r="E3245" s="165">
        <v>1</v>
      </c>
      <c r="F3245" s="1353">
        <v>4.343</v>
      </c>
      <c r="G3245" s="401">
        <v>0.46</v>
      </c>
      <c r="H3245" s="401">
        <v>0.3</v>
      </c>
      <c r="I3245" s="399">
        <f t="shared" si="98"/>
        <v>0.6</v>
      </c>
      <c r="J3245" s="404"/>
      <c r="K3245" s="1234"/>
      <c r="L3245" s="431"/>
      <c r="M3245" s="431"/>
      <c r="N3245" s="431"/>
    </row>
    <row r="3246" spans="1:14" s="398" customFormat="1" hidden="1" outlineLevel="1">
      <c r="A3246" s="1248"/>
      <c r="B3246" s="425"/>
      <c r="C3246" s="165" t="s">
        <v>2</v>
      </c>
      <c r="D3246" s="392">
        <v>1</v>
      </c>
      <c r="E3246" s="165">
        <v>1</v>
      </c>
      <c r="F3246" s="1353">
        <v>4.343</v>
      </c>
      <c r="G3246" s="401">
        <v>0.34499999999999997</v>
      </c>
      <c r="H3246" s="401">
        <v>0.3</v>
      </c>
      <c r="I3246" s="399">
        <f t="shared" si="98"/>
        <v>0.45</v>
      </c>
      <c r="J3246" s="404"/>
      <c r="K3246" s="1234"/>
      <c r="L3246" s="431"/>
      <c r="M3246" s="431"/>
      <c r="N3246" s="431"/>
    </row>
    <row r="3247" spans="1:14" s="398" customFormat="1" hidden="1" outlineLevel="1">
      <c r="A3247" s="1248"/>
      <c r="B3247" s="425"/>
      <c r="C3247" s="165" t="s">
        <v>2</v>
      </c>
      <c r="D3247" s="392">
        <v>1</v>
      </c>
      <c r="E3247" s="165">
        <v>1</v>
      </c>
      <c r="F3247" s="1353">
        <v>4.343</v>
      </c>
      <c r="G3247" s="401">
        <v>0.23</v>
      </c>
      <c r="H3247" s="401">
        <v>0.19</v>
      </c>
      <c r="I3247" s="399">
        <f t="shared" si="98"/>
        <v>0.19</v>
      </c>
      <c r="J3247" s="404"/>
      <c r="K3247" s="1234"/>
      <c r="L3247" s="431"/>
      <c r="M3247" s="431"/>
      <c r="N3247" s="431"/>
    </row>
    <row r="3248" spans="1:14" s="398" customFormat="1" hidden="1" outlineLevel="1">
      <c r="A3248" s="1248"/>
      <c r="B3248" s="425"/>
      <c r="C3248" s="530"/>
      <c r="D3248" s="389"/>
      <c r="E3248" s="386"/>
      <c r="F3248" s="1353"/>
      <c r="G3248" s="1353"/>
      <c r="H3248" s="1353"/>
      <c r="I3248" s="399" t="str">
        <f t="shared" si="98"/>
        <v/>
      </c>
      <c r="J3248" s="404"/>
      <c r="K3248" s="1234"/>
      <c r="L3248" s="431"/>
      <c r="M3248" s="431"/>
      <c r="N3248" s="431"/>
    </row>
    <row r="3249" spans="1:14" s="398" customFormat="1" hidden="1" outlineLevel="1">
      <c r="A3249" s="1248"/>
      <c r="B3249" s="425"/>
      <c r="C3249" s="165" t="s">
        <v>2</v>
      </c>
      <c r="D3249" s="392">
        <v>1</v>
      </c>
      <c r="E3249" s="165">
        <v>1</v>
      </c>
      <c r="F3249" s="1353">
        <v>4.7480000000000002</v>
      </c>
      <c r="G3249" s="401">
        <v>0.46</v>
      </c>
      <c r="H3249" s="401">
        <v>0.3</v>
      </c>
      <c r="I3249" s="399">
        <f t="shared" si="98"/>
        <v>0.66</v>
      </c>
      <c r="J3249" s="404"/>
      <c r="K3249" s="1234"/>
      <c r="L3249" s="431"/>
      <c r="M3249" s="431"/>
      <c r="N3249" s="431"/>
    </row>
    <row r="3250" spans="1:14" s="398" customFormat="1" hidden="1" outlineLevel="1">
      <c r="A3250" s="1248"/>
      <c r="B3250" s="425"/>
      <c r="C3250" s="165" t="s">
        <v>2</v>
      </c>
      <c r="D3250" s="392">
        <v>1</v>
      </c>
      <c r="E3250" s="165">
        <v>1</v>
      </c>
      <c r="F3250" s="1353">
        <v>4.7480000000000002</v>
      </c>
      <c r="G3250" s="401">
        <v>0.34499999999999997</v>
      </c>
      <c r="H3250" s="401">
        <v>0.3</v>
      </c>
      <c r="I3250" s="399">
        <f t="shared" si="98"/>
        <v>0.49</v>
      </c>
      <c r="J3250" s="404"/>
      <c r="K3250" s="1234"/>
      <c r="L3250" s="431"/>
      <c r="M3250" s="431"/>
      <c r="N3250" s="431"/>
    </row>
    <row r="3251" spans="1:14" s="398" customFormat="1" hidden="1" outlineLevel="1">
      <c r="A3251" s="1248"/>
      <c r="B3251" s="425"/>
      <c r="C3251" s="165" t="s">
        <v>2</v>
      </c>
      <c r="D3251" s="392">
        <v>1</v>
      </c>
      <c r="E3251" s="165">
        <v>1</v>
      </c>
      <c r="F3251" s="1353">
        <v>4.7480000000000002</v>
      </c>
      <c r="G3251" s="401">
        <v>0.23</v>
      </c>
      <c r="H3251" s="401">
        <v>0.19</v>
      </c>
      <c r="I3251" s="399">
        <f t="shared" si="98"/>
        <v>0.21</v>
      </c>
      <c r="J3251" s="404"/>
      <c r="K3251" s="1234"/>
      <c r="L3251" s="431"/>
      <c r="M3251" s="431"/>
      <c r="N3251" s="431"/>
    </row>
    <row r="3252" spans="1:14" s="398" customFormat="1" hidden="1" outlineLevel="1">
      <c r="A3252" s="1248"/>
      <c r="B3252" s="425"/>
      <c r="C3252" s="530"/>
      <c r="D3252" s="389"/>
      <c r="E3252" s="386"/>
      <c r="F3252" s="1353"/>
      <c r="G3252" s="1353"/>
      <c r="H3252" s="1353"/>
      <c r="I3252" s="399" t="str">
        <f t="shared" si="98"/>
        <v/>
      </c>
      <c r="J3252" s="404"/>
      <c r="K3252" s="1234"/>
      <c r="L3252" s="431"/>
      <c r="M3252" s="431"/>
      <c r="N3252" s="431"/>
    </row>
    <row r="3253" spans="1:14" s="398" customFormat="1" hidden="1" outlineLevel="1">
      <c r="A3253" s="1248"/>
      <c r="B3253" s="425"/>
      <c r="C3253" s="165" t="s">
        <v>2</v>
      </c>
      <c r="D3253" s="392">
        <v>1</v>
      </c>
      <c r="E3253" s="165">
        <v>1</v>
      </c>
      <c r="F3253" s="1353">
        <f>(0.374)</f>
        <v>0.374</v>
      </c>
      <c r="G3253" s="401">
        <v>0.46</v>
      </c>
      <c r="H3253" s="401">
        <v>0.3</v>
      </c>
      <c r="I3253" s="399">
        <f t="shared" si="98"/>
        <v>0.05</v>
      </c>
      <c r="J3253" s="404"/>
      <c r="K3253" s="1234"/>
      <c r="L3253" s="431"/>
      <c r="M3253" s="431"/>
      <c r="N3253" s="431"/>
    </row>
    <row r="3254" spans="1:14" s="398" customFormat="1" hidden="1" outlineLevel="1">
      <c r="A3254" s="1248"/>
      <c r="B3254" s="425"/>
      <c r="C3254" s="165" t="s">
        <v>2</v>
      </c>
      <c r="D3254" s="392">
        <v>1</v>
      </c>
      <c r="E3254" s="165">
        <v>1</v>
      </c>
      <c r="F3254" s="1353">
        <f t="shared" ref="F3254:F3255" si="99">(0.374)</f>
        <v>0.374</v>
      </c>
      <c r="G3254" s="401">
        <v>0.34499999999999997</v>
      </c>
      <c r="H3254" s="401">
        <v>0.3</v>
      </c>
      <c r="I3254" s="399">
        <f t="shared" si="98"/>
        <v>0.04</v>
      </c>
      <c r="J3254" s="404"/>
      <c r="K3254" s="1234"/>
      <c r="L3254" s="431"/>
      <c r="M3254" s="431"/>
      <c r="N3254" s="431"/>
    </row>
    <row r="3255" spans="1:14" s="398" customFormat="1" hidden="1" outlineLevel="1">
      <c r="A3255" s="1248"/>
      <c r="B3255" s="425"/>
      <c r="C3255" s="165" t="s">
        <v>2</v>
      </c>
      <c r="D3255" s="392">
        <v>1</v>
      </c>
      <c r="E3255" s="165">
        <v>1</v>
      </c>
      <c r="F3255" s="1353">
        <f t="shared" si="99"/>
        <v>0.374</v>
      </c>
      <c r="G3255" s="401">
        <v>0.23</v>
      </c>
      <c r="H3255" s="401">
        <v>0.19</v>
      </c>
      <c r="I3255" s="399">
        <f t="shared" si="98"/>
        <v>0.02</v>
      </c>
      <c r="J3255" s="404"/>
      <c r="K3255" s="1234"/>
      <c r="L3255" s="431"/>
      <c r="M3255" s="431"/>
      <c r="N3255" s="431"/>
    </row>
    <row r="3256" spans="1:14" s="398" customFormat="1" hidden="1" outlineLevel="1">
      <c r="A3256" s="1248"/>
      <c r="B3256" s="425"/>
      <c r="C3256" s="530"/>
      <c r="D3256" s="389"/>
      <c r="E3256" s="386"/>
      <c r="F3256" s="1353"/>
      <c r="G3256" s="1353"/>
      <c r="H3256" s="1353"/>
      <c r="I3256" s="399" t="str">
        <f t="shared" si="98"/>
        <v/>
      </c>
      <c r="J3256" s="404"/>
      <c r="K3256" s="1234"/>
      <c r="L3256" s="431"/>
      <c r="M3256" s="431"/>
      <c r="N3256" s="431"/>
    </row>
    <row r="3257" spans="1:14" s="398" customFormat="1" ht="34.5" hidden="1" outlineLevel="1">
      <c r="A3257" s="1248"/>
      <c r="B3257" s="425" t="s">
        <v>840</v>
      </c>
      <c r="C3257" s="165" t="s">
        <v>2</v>
      </c>
      <c r="D3257" s="392">
        <v>1</v>
      </c>
      <c r="E3257" s="165">
        <v>1</v>
      </c>
      <c r="F3257" s="1353">
        <v>1.359</v>
      </c>
      <c r="G3257" s="401">
        <v>0.46</v>
      </c>
      <c r="H3257" s="401">
        <v>0.3</v>
      </c>
      <c r="I3257" s="399">
        <f t="shared" si="98"/>
        <v>0.19</v>
      </c>
      <c r="J3257" s="404"/>
      <c r="K3257" s="1234"/>
      <c r="L3257" s="431"/>
      <c r="M3257" s="431"/>
      <c r="N3257" s="431"/>
    </row>
    <row r="3258" spans="1:14" s="398" customFormat="1" hidden="1" outlineLevel="1">
      <c r="A3258" s="1248"/>
      <c r="B3258" s="425"/>
      <c r="C3258" s="165" t="s">
        <v>2</v>
      </c>
      <c r="D3258" s="392">
        <v>1</v>
      </c>
      <c r="E3258" s="165">
        <v>1</v>
      </c>
      <c r="F3258" s="1353">
        <v>1.359</v>
      </c>
      <c r="G3258" s="401">
        <v>0.34499999999999997</v>
      </c>
      <c r="H3258" s="401">
        <v>0.3</v>
      </c>
      <c r="I3258" s="399">
        <f t="shared" si="98"/>
        <v>0.14000000000000001</v>
      </c>
      <c r="J3258" s="404"/>
      <c r="K3258" s="1234"/>
      <c r="L3258" s="431"/>
      <c r="M3258" s="431"/>
      <c r="N3258" s="431"/>
    </row>
    <row r="3259" spans="1:14" s="398" customFormat="1" hidden="1" outlineLevel="1">
      <c r="A3259" s="1248"/>
      <c r="B3259" s="425"/>
      <c r="C3259" s="165" t="s">
        <v>2</v>
      </c>
      <c r="D3259" s="392">
        <v>1</v>
      </c>
      <c r="E3259" s="165">
        <v>1</v>
      </c>
      <c r="F3259" s="1353">
        <v>1.359</v>
      </c>
      <c r="G3259" s="401">
        <v>0.23</v>
      </c>
      <c r="H3259" s="401">
        <v>0.19</v>
      </c>
      <c r="I3259" s="399">
        <f t="shared" si="98"/>
        <v>0.06</v>
      </c>
      <c r="J3259" s="404"/>
      <c r="K3259" s="1234"/>
      <c r="L3259" s="431"/>
      <c r="M3259" s="431"/>
      <c r="N3259" s="431"/>
    </row>
    <row r="3260" spans="1:14" s="398" customFormat="1" hidden="1" outlineLevel="1">
      <c r="A3260" s="1248"/>
      <c r="B3260" s="425"/>
      <c r="C3260" s="530"/>
      <c r="D3260" s="389"/>
      <c r="E3260" s="386"/>
      <c r="F3260" s="1353"/>
      <c r="G3260" s="1353"/>
      <c r="H3260" s="1353"/>
      <c r="I3260" s="399" t="str">
        <f t="shared" si="98"/>
        <v/>
      </c>
      <c r="J3260" s="404"/>
      <c r="K3260" s="1234"/>
      <c r="L3260" s="431"/>
      <c r="M3260" s="431"/>
      <c r="N3260" s="431"/>
    </row>
    <row r="3261" spans="1:14" s="398" customFormat="1" hidden="1" outlineLevel="1">
      <c r="A3261" s="1248"/>
      <c r="B3261" s="425"/>
      <c r="C3261" s="165" t="s">
        <v>2</v>
      </c>
      <c r="D3261" s="392">
        <v>1</v>
      </c>
      <c r="E3261" s="165">
        <v>1</v>
      </c>
      <c r="F3261" s="1353">
        <v>26.228999999999999</v>
      </c>
      <c r="G3261" s="401">
        <v>0.46</v>
      </c>
      <c r="H3261" s="401">
        <v>0.3</v>
      </c>
      <c r="I3261" s="399">
        <f t="shared" si="98"/>
        <v>3.62</v>
      </c>
      <c r="J3261" s="404"/>
      <c r="K3261" s="1234"/>
      <c r="L3261" s="431"/>
      <c r="M3261" s="431"/>
      <c r="N3261" s="431"/>
    </row>
    <row r="3262" spans="1:14" s="398" customFormat="1" hidden="1" outlineLevel="1">
      <c r="A3262" s="1248"/>
      <c r="B3262" s="425"/>
      <c r="C3262" s="165" t="s">
        <v>2</v>
      </c>
      <c r="D3262" s="392">
        <v>1</v>
      </c>
      <c r="E3262" s="165">
        <v>1</v>
      </c>
      <c r="F3262" s="1353">
        <v>26.228999999999999</v>
      </c>
      <c r="G3262" s="401">
        <v>0.34499999999999997</v>
      </c>
      <c r="H3262" s="401">
        <v>0.3</v>
      </c>
      <c r="I3262" s="399">
        <f t="shared" si="98"/>
        <v>2.71</v>
      </c>
      <c r="J3262" s="404"/>
      <c r="K3262" s="1234"/>
      <c r="L3262" s="431"/>
      <c r="M3262" s="431"/>
      <c r="N3262" s="431"/>
    </row>
    <row r="3263" spans="1:14" s="398" customFormat="1" hidden="1" outlineLevel="1">
      <c r="A3263" s="1248"/>
      <c r="B3263" s="425"/>
      <c r="C3263" s="165" t="s">
        <v>2</v>
      </c>
      <c r="D3263" s="392">
        <v>1</v>
      </c>
      <c r="E3263" s="165">
        <v>1</v>
      </c>
      <c r="F3263" s="1353">
        <v>26.228999999999999</v>
      </c>
      <c r="G3263" s="401">
        <v>0.23</v>
      </c>
      <c r="H3263" s="401">
        <v>0.19</v>
      </c>
      <c r="I3263" s="399">
        <f t="shared" si="98"/>
        <v>1.1499999999999999</v>
      </c>
      <c r="J3263" s="404"/>
      <c r="K3263" s="1234"/>
      <c r="L3263" s="431"/>
      <c r="M3263" s="431"/>
      <c r="N3263" s="431"/>
    </row>
    <row r="3264" spans="1:14" s="398" customFormat="1" hidden="1" outlineLevel="1">
      <c r="A3264" s="1248"/>
      <c r="B3264" s="425"/>
      <c r="C3264" s="530"/>
      <c r="D3264" s="389"/>
      <c r="E3264" s="386"/>
      <c r="F3264" s="1353"/>
      <c r="G3264" s="1353"/>
      <c r="H3264" s="1353"/>
      <c r="I3264" s="399" t="str">
        <f t="shared" si="98"/>
        <v/>
      </c>
      <c r="J3264" s="404"/>
      <c r="K3264" s="1234"/>
      <c r="L3264" s="431"/>
      <c r="M3264" s="431"/>
      <c r="N3264" s="431"/>
    </row>
    <row r="3265" spans="1:14" s="398" customFormat="1" hidden="1" outlineLevel="1">
      <c r="A3265" s="1248"/>
      <c r="B3265" s="425" t="s">
        <v>841</v>
      </c>
      <c r="C3265" s="165" t="s">
        <v>2</v>
      </c>
      <c r="D3265" s="392">
        <v>1</v>
      </c>
      <c r="E3265" s="165">
        <v>1</v>
      </c>
      <c r="F3265" s="1353">
        <v>10.507999999999999</v>
      </c>
      <c r="G3265" s="401">
        <v>0.46</v>
      </c>
      <c r="H3265" s="401">
        <v>0.3</v>
      </c>
      <c r="I3265" s="399">
        <f t="shared" si="98"/>
        <v>1.45</v>
      </c>
      <c r="J3265" s="404"/>
      <c r="K3265" s="1234"/>
      <c r="L3265" s="431"/>
      <c r="M3265" s="431"/>
      <c r="N3265" s="431"/>
    </row>
    <row r="3266" spans="1:14" s="398" customFormat="1" hidden="1" outlineLevel="1">
      <c r="A3266" s="1248"/>
      <c r="B3266" s="425"/>
      <c r="C3266" s="165" t="s">
        <v>2</v>
      </c>
      <c r="D3266" s="392">
        <v>1</v>
      </c>
      <c r="E3266" s="165">
        <v>1</v>
      </c>
      <c r="F3266" s="1353">
        <v>10.507999999999999</v>
      </c>
      <c r="G3266" s="401">
        <v>0.34499999999999997</v>
      </c>
      <c r="H3266" s="401">
        <v>0.3</v>
      </c>
      <c r="I3266" s="399">
        <f t="shared" si="98"/>
        <v>1.0900000000000001</v>
      </c>
      <c r="J3266" s="404"/>
      <c r="K3266" s="1234"/>
      <c r="L3266" s="431"/>
      <c r="M3266" s="431"/>
      <c r="N3266" s="431"/>
    </row>
    <row r="3267" spans="1:14" s="398" customFormat="1" hidden="1" outlineLevel="1">
      <c r="A3267" s="1248"/>
      <c r="B3267" s="425"/>
      <c r="C3267" s="165" t="s">
        <v>2</v>
      </c>
      <c r="D3267" s="392">
        <v>1</v>
      </c>
      <c r="E3267" s="165">
        <v>1</v>
      </c>
      <c r="F3267" s="1353">
        <v>10.507999999999999</v>
      </c>
      <c r="G3267" s="401">
        <v>0.23</v>
      </c>
      <c r="H3267" s="401">
        <v>0.19</v>
      </c>
      <c r="I3267" s="399">
        <f t="shared" si="98"/>
        <v>0.46</v>
      </c>
      <c r="J3267" s="404"/>
      <c r="K3267" s="1234"/>
      <c r="L3267" s="431"/>
      <c r="M3267" s="431"/>
      <c r="N3267" s="431"/>
    </row>
    <row r="3268" spans="1:14" s="398" customFormat="1" hidden="1" outlineLevel="1">
      <c r="A3268" s="1248"/>
      <c r="B3268" s="425"/>
      <c r="C3268" s="530"/>
      <c r="D3268" s="389"/>
      <c r="E3268" s="386"/>
      <c r="F3268" s="1353"/>
      <c r="G3268" s="1353"/>
      <c r="H3268" s="1353"/>
      <c r="I3268" s="399" t="str">
        <f t="shared" si="98"/>
        <v/>
      </c>
      <c r="J3268" s="404"/>
      <c r="K3268" s="1234"/>
      <c r="L3268" s="431"/>
      <c r="M3268" s="431"/>
      <c r="N3268" s="431"/>
    </row>
    <row r="3269" spans="1:14" s="398" customFormat="1" hidden="1" outlineLevel="1">
      <c r="A3269" s="1248"/>
      <c r="B3269" s="425"/>
      <c r="C3269" s="165" t="s">
        <v>2</v>
      </c>
      <c r="D3269" s="392">
        <v>1</v>
      </c>
      <c r="E3269" s="165">
        <v>1</v>
      </c>
      <c r="F3269" s="1353">
        <v>1.639</v>
      </c>
      <c r="G3269" s="401">
        <v>0.46</v>
      </c>
      <c r="H3269" s="401">
        <v>0.3</v>
      </c>
      <c r="I3269" s="399">
        <f t="shared" si="98"/>
        <v>0.23</v>
      </c>
      <c r="J3269" s="404"/>
      <c r="K3269" s="1234"/>
      <c r="L3269" s="431"/>
      <c r="M3269" s="431"/>
      <c r="N3269" s="431"/>
    </row>
    <row r="3270" spans="1:14" s="398" customFormat="1" hidden="1" outlineLevel="1">
      <c r="A3270" s="1248"/>
      <c r="B3270" s="425"/>
      <c r="C3270" s="165" t="s">
        <v>2</v>
      </c>
      <c r="D3270" s="392">
        <v>1</v>
      </c>
      <c r="E3270" s="165">
        <v>1</v>
      </c>
      <c r="F3270" s="1353">
        <v>1.639</v>
      </c>
      <c r="G3270" s="401">
        <v>0.34499999999999997</v>
      </c>
      <c r="H3270" s="401">
        <v>0.3</v>
      </c>
      <c r="I3270" s="399">
        <f t="shared" si="98"/>
        <v>0.17</v>
      </c>
      <c r="J3270" s="404"/>
      <c r="K3270" s="1234"/>
      <c r="L3270" s="431"/>
      <c r="M3270" s="431"/>
      <c r="N3270" s="431"/>
    </row>
    <row r="3271" spans="1:14" s="398" customFormat="1" hidden="1" outlineLevel="1">
      <c r="A3271" s="1248"/>
      <c r="B3271" s="425"/>
      <c r="C3271" s="165" t="s">
        <v>2</v>
      </c>
      <c r="D3271" s="392">
        <v>1</v>
      </c>
      <c r="E3271" s="165">
        <v>1</v>
      </c>
      <c r="F3271" s="1353">
        <v>1.639</v>
      </c>
      <c r="G3271" s="401">
        <v>0.23</v>
      </c>
      <c r="H3271" s="401">
        <v>0.19</v>
      </c>
      <c r="I3271" s="399">
        <f t="shared" si="98"/>
        <v>7.0000000000000007E-2</v>
      </c>
      <c r="J3271" s="404"/>
      <c r="K3271" s="1234"/>
      <c r="L3271" s="431"/>
      <c r="M3271" s="431"/>
      <c r="N3271" s="431"/>
    </row>
    <row r="3272" spans="1:14" s="398" customFormat="1" hidden="1" outlineLevel="1">
      <c r="A3272" s="1248"/>
      <c r="B3272" s="425"/>
      <c r="C3272" s="530"/>
      <c r="D3272" s="389"/>
      <c r="E3272" s="386"/>
      <c r="F3272" s="1353"/>
      <c r="G3272" s="1353"/>
      <c r="H3272" s="1353"/>
      <c r="I3272" s="399" t="str">
        <f t="shared" si="98"/>
        <v/>
      </c>
      <c r="J3272" s="404"/>
      <c r="K3272" s="1234"/>
      <c r="L3272" s="431"/>
      <c r="M3272" s="431"/>
      <c r="N3272" s="431"/>
    </row>
    <row r="3273" spans="1:14" s="398" customFormat="1" hidden="1" outlineLevel="1">
      <c r="A3273" s="1248"/>
      <c r="B3273" s="425"/>
      <c r="C3273" s="165" t="s">
        <v>2</v>
      </c>
      <c r="D3273" s="392">
        <v>1</v>
      </c>
      <c r="E3273" s="165">
        <v>1</v>
      </c>
      <c r="F3273" s="1354">
        <v>2.0590000000000002</v>
      </c>
      <c r="G3273" s="401">
        <v>0.46</v>
      </c>
      <c r="H3273" s="401">
        <v>0.3</v>
      </c>
      <c r="I3273" s="399">
        <f t="shared" si="98"/>
        <v>0.28000000000000003</v>
      </c>
      <c r="J3273" s="404"/>
      <c r="K3273" s="1234"/>
      <c r="L3273" s="431"/>
      <c r="M3273" s="431"/>
      <c r="N3273" s="431"/>
    </row>
    <row r="3274" spans="1:14" s="398" customFormat="1" hidden="1" outlineLevel="1">
      <c r="A3274" s="1248"/>
      <c r="B3274" s="425"/>
      <c r="C3274" s="165" t="s">
        <v>2</v>
      </c>
      <c r="D3274" s="392">
        <v>1</v>
      </c>
      <c r="E3274" s="165">
        <v>1</v>
      </c>
      <c r="F3274" s="1354">
        <v>2.0590000000000002</v>
      </c>
      <c r="G3274" s="401">
        <v>0.34499999999999997</v>
      </c>
      <c r="H3274" s="401">
        <v>0.3</v>
      </c>
      <c r="I3274" s="399">
        <f t="shared" si="98"/>
        <v>0.21</v>
      </c>
      <c r="J3274" s="404"/>
      <c r="K3274" s="1234"/>
      <c r="L3274" s="431"/>
      <c r="M3274" s="431"/>
      <c r="N3274" s="431"/>
    </row>
    <row r="3275" spans="1:14" s="398" customFormat="1" hidden="1" outlineLevel="1">
      <c r="A3275" s="1248"/>
      <c r="B3275" s="425"/>
      <c r="C3275" s="165" t="s">
        <v>2</v>
      </c>
      <c r="D3275" s="392">
        <v>1</v>
      </c>
      <c r="E3275" s="165">
        <v>1</v>
      </c>
      <c r="F3275" s="1354">
        <v>2.0590000000000002</v>
      </c>
      <c r="G3275" s="401">
        <v>0.23</v>
      </c>
      <c r="H3275" s="401">
        <v>0.19</v>
      </c>
      <c r="I3275" s="399">
        <f t="shared" si="98"/>
        <v>0.09</v>
      </c>
      <c r="J3275" s="404"/>
      <c r="K3275" s="1234"/>
      <c r="L3275" s="431"/>
      <c r="M3275" s="431"/>
      <c r="N3275" s="431"/>
    </row>
    <row r="3276" spans="1:14" s="398" customFormat="1" hidden="1" outlineLevel="1">
      <c r="A3276" s="1248"/>
      <c r="B3276" s="425"/>
      <c r="C3276" s="530"/>
      <c r="D3276" s="389"/>
      <c r="E3276" s="386"/>
      <c r="F3276" s="1353"/>
      <c r="G3276" s="1353"/>
      <c r="H3276" s="1353"/>
      <c r="I3276" s="399" t="str">
        <f t="shared" si="98"/>
        <v/>
      </c>
      <c r="J3276" s="404"/>
      <c r="K3276" s="1234"/>
      <c r="L3276" s="431"/>
      <c r="M3276" s="431"/>
      <c r="N3276" s="431"/>
    </row>
    <row r="3277" spans="1:14" s="398" customFormat="1" hidden="1" outlineLevel="1">
      <c r="A3277" s="1248"/>
      <c r="B3277" s="425"/>
      <c r="C3277" s="165" t="s">
        <v>2</v>
      </c>
      <c r="D3277" s="392">
        <v>1</v>
      </c>
      <c r="E3277" s="165">
        <v>1</v>
      </c>
      <c r="F3277" s="1354">
        <v>2.9380000000000002</v>
      </c>
      <c r="G3277" s="401">
        <v>0.46</v>
      </c>
      <c r="H3277" s="401">
        <v>0.3</v>
      </c>
      <c r="I3277" s="399">
        <f t="shared" si="98"/>
        <v>0.41</v>
      </c>
      <c r="J3277" s="404"/>
      <c r="K3277" s="1234"/>
      <c r="L3277" s="431"/>
      <c r="M3277" s="431"/>
      <c r="N3277" s="431"/>
    </row>
    <row r="3278" spans="1:14" s="398" customFormat="1" hidden="1" outlineLevel="1">
      <c r="A3278" s="1248"/>
      <c r="B3278" s="425"/>
      <c r="C3278" s="165" t="s">
        <v>2</v>
      </c>
      <c r="D3278" s="392">
        <v>1</v>
      </c>
      <c r="E3278" s="165">
        <v>1</v>
      </c>
      <c r="F3278" s="1354">
        <v>2.9380000000000002</v>
      </c>
      <c r="G3278" s="401">
        <v>0.34499999999999997</v>
      </c>
      <c r="H3278" s="401">
        <v>0.3</v>
      </c>
      <c r="I3278" s="399">
        <f t="shared" si="98"/>
        <v>0.3</v>
      </c>
      <c r="J3278" s="404"/>
      <c r="K3278" s="1234"/>
      <c r="L3278" s="431"/>
      <c r="M3278" s="431"/>
      <c r="N3278" s="431"/>
    </row>
    <row r="3279" spans="1:14" s="398" customFormat="1" hidden="1" outlineLevel="1">
      <c r="A3279" s="1248"/>
      <c r="B3279" s="425"/>
      <c r="C3279" s="165" t="s">
        <v>2</v>
      </c>
      <c r="D3279" s="392">
        <v>1</v>
      </c>
      <c r="E3279" s="165">
        <v>1</v>
      </c>
      <c r="F3279" s="1354">
        <v>2.9380000000000002</v>
      </c>
      <c r="G3279" s="401">
        <v>0.23</v>
      </c>
      <c r="H3279" s="401">
        <v>0.19</v>
      </c>
      <c r="I3279" s="399">
        <f t="shared" si="98"/>
        <v>0.13</v>
      </c>
      <c r="J3279" s="404"/>
      <c r="K3279" s="1234"/>
      <c r="L3279" s="431"/>
      <c r="M3279" s="431"/>
      <c r="N3279" s="431"/>
    </row>
    <row r="3280" spans="1:14" s="398" customFormat="1" hidden="1" outlineLevel="1">
      <c r="A3280" s="1248"/>
      <c r="B3280" s="425"/>
      <c r="C3280" s="530"/>
      <c r="D3280" s="389"/>
      <c r="E3280" s="386"/>
      <c r="F3280" s="1353"/>
      <c r="G3280" s="1353"/>
      <c r="H3280" s="1353"/>
      <c r="I3280" s="399" t="str">
        <f t="shared" si="98"/>
        <v/>
      </c>
      <c r="J3280" s="404"/>
      <c r="K3280" s="1234"/>
      <c r="L3280" s="431"/>
      <c r="M3280" s="431"/>
      <c r="N3280" s="431"/>
    </row>
    <row r="3281" spans="1:14" s="398" customFormat="1" hidden="1" outlineLevel="1">
      <c r="A3281" s="1248"/>
      <c r="B3281" s="425"/>
      <c r="C3281" s="165" t="s">
        <v>2</v>
      </c>
      <c r="D3281" s="392">
        <v>1</v>
      </c>
      <c r="E3281" s="165">
        <v>1</v>
      </c>
      <c r="F3281" s="1354">
        <v>7.7949999999999999</v>
      </c>
      <c r="G3281" s="401">
        <v>0.46</v>
      </c>
      <c r="H3281" s="401">
        <v>0.3</v>
      </c>
      <c r="I3281" s="399">
        <f t="shared" si="98"/>
        <v>1.08</v>
      </c>
      <c r="J3281" s="404"/>
      <c r="K3281" s="1234"/>
      <c r="L3281" s="431"/>
      <c r="M3281" s="431"/>
      <c r="N3281" s="431"/>
    </row>
    <row r="3282" spans="1:14" s="398" customFormat="1" hidden="1" outlineLevel="1">
      <c r="A3282" s="1248"/>
      <c r="B3282" s="425"/>
      <c r="C3282" s="165" t="s">
        <v>2</v>
      </c>
      <c r="D3282" s="392">
        <v>1</v>
      </c>
      <c r="E3282" s="165">
        <v>1</v>
      </c>
      <c r="F3282" s="1354">
        <v>7.7949999999999999</v>
      </c>
      <c r="G3282" s="401">
        <v>0.34499999999999997</v>
      </c>
      <c r="H3282" s="401">
        <v>0.3</v>
      </c>
      <c r="I3282" s="399">
        <f t="shared" si="98"/>
        <v>0.81</v>
      </c>
      <c r="J3282" s="404"/>
      <c r="K3282" s="1234"/>
      <c r="L3282" s="431"/>
      <c r="M3282" s="431"/>
      <c r="N3282" s="431"/>
    </row>
    <row r="3283" spans="1:14" s="398" customFormat="1" hidden="1" outlineLevel="1">
      <c r="A3283" s="1248"/>
      <c r="B3283" s="425"/>
      <c r="C3283" s="165" t="s">
        <v>2</v>
      </c>
      <c r="D3283" s="392">
        <v>1</v>
      </c>
      <c r="E3283" s="165">
        <v>1</v>
      </c>
      <c r="F3283" s="1354">
        <v>7.7949999999999999</v>
      </c>
      <c r="G3283" s="401">
        <v>0.23</v>
      </c>
      <c r="H3283" s="401">
        <v>0.19</v>
      </c>
      <c r="I3283" s="399">
        <f t="shared" si="98"/>
        <v>0.34</v>
      </c>
      <c r="J3283" s="404"/>
      <c r="K3283" s="1234"/>
      <c r="L3283" s="431"/>
      <c r="M3283" s="431"/>
      <c r="N3283" s="431"/>
    </row>
    <row r="3284" spans="1:14" s="398" customFormat="1" hidden="1" outlineLevel="1">
      <c r="A3284" s="1248"/>
      <c r="B3284" s="425"/>
      <c r="C3284" s="530"/>
      <c r="D3284" s="389"/>
      <c r="E3284" s="386"/>
      <c r="F3284" s="1353"/>
      <c r="G3284" s="1353"/>
      <c r="H3284" s="1353"/>
      <c r="I3284" s="399" t="str">
        <f t="shared" si="98"/>
        <v/>
      </c>
      <c r="J3284" s="404"/>
      <c r="K3284" s="1234"/>
      <c r="L3284" s="431"/>
      <c r="M3284" s="431"/>
      <c r="N3284" s="431"/>
    </row>
    <row r="3285" spans="1:14" s="398" customFormat="1" hidden="1" outlineLevel="1">
      <c r="A3285" s="1248"/>
      <c r="B3285" s="425"/>
      <c r="C3285" s="165" t="s">
        <v>2</v>
      </c>
      <c r="D3285" s="392">
        <v>1</v>
      </c>
      <c r="E3285" s="165">
        <v>1</v>
      </c>
      <c r="F3285" s="1354">
        <v>2.0630000000000002</v>
      </c>
      <c r="G3285" s="401">
        <v>0.46</v>
      </c>
      <c r="H3285" s="401">
        <v>0.3</v>
      </c>
      <c r="I3285" s="399">
        <f t="shared" si="98"/>
        <v>0.28000000000000003</v>
      </c>
      <c r="J3285" s="404"/>
      <c r="K3285" s="1234"/>
      <c r="L3285" s="431"/>
      <c r="M3285" s="431"/>
      <c r="N3285" s="431"/>
    </row>
    <row r="3286" spans="1:14" s="398" customFormat="1" hidden="1" outlineLevel="1">
      <c r="A3286" s="1248"/>
      <c r="B3286" s="425"/>
      <c r="C3286" s="165" t="s">
        <v>2</v>
      </c>
      <c r="D3286" s="392">
        <v>1</v>
      </c>
      <c r="E3286" s="165">
        <v>1</v>
      </c>
      <c r="F3286" s="1354">
        <v>2.0630000000000002</v>
      </c>
      <c r="G3286" s="401">
        <v>0.34499999999999997</v>
      </c>
      <c r="H3286" s="401">
        <v>0.3</v>
      </c>
      <c r="I3286" s="399">
        <f t="shared" si="98"/>
        <v>0.21</v>
      </c>
      <c r="J3286" s="404"/>
      <c r="K3286" s="1234"/>
      <c r="L3286" s="431"/>
      <c r="M3286" s="431"/>
      <c r="N3286" s="431"/>
    </row>
    <row r="3287" spans="1:14" s="398" customFormat="1" hidden="1" outlineLevel="1">
      <c r="A3287" s="1248"/>
      <c r="B3287" s="425"/>
      <c r="C3287" s="165" t="s">
        <v>2</v>
      </c>
      <c r="D3287" s="392">
        <v>1</v>
      </c>
      <c r="E3287" s="165">
        <v>1</v>
      </c>
      <c r="F3287" s="1354">
        <v>2.0630000000000002</v>
      </c>
      <c r="G3287" s="401">
        <v>0.23</v>
      </c>
      <c r="H3287" s="401">
        <v>0.19</v>
      </c>
      <c r="I3287" s="399">
        <f t="shared" si="98"/>
        <v>0.09</v>
      </c>
      <c r="J3287" s="404"/>
      <c r="K3287" s="1234"/>
      <c r="L3287" s="431"/>
      <c r="M3287" s="431"/>
      <c r="N3287" s="431"/>
    </row>
    <row r="3288" spans="1:14" s="398" customFormat="1" hidden="1" outlineLevel="1">
      <c r="A3288" s="1248"/>
      <c r="B3288" s="425"/>
      <c r="C3288" s="530"/>
      <c r="D3288" s="389"/>
      <c r="E3288" s="386"/>
      <c r="F3288" s="1353"/>
      <c r="G3288" s="1353"/>
      <c r="H3288" s="1353"/>
      <c r="I3288" s="399" t="str">
        <f t="shared" ref="I3288:I3351" si="100">IF(D3288&lt;&gt;0,ROUND(PRODUCT(E3288:H3288)*D3288,2),"")</f>
        <v/>
      </c>
      <c r="J3288" s="404"/>
      <c r="K3288" s="1234"/>
      <c r="L3288" s="431"/>
      <c r="M3288" s="431"/>
      <c r="N3288" s="431"/>
    </row>
    <row r="3289" spans="1:14" s="398" customFormat="1" hidden="1" outlineLevel="1">
      <c r="A3289" s="1248"/>
      <c r="B3289" s="425"/>
      <c r="C3289" s="165" t="s">
        <v>2</v>
      </c>
      <c r="D3289" s="392">
        <v>1</v>
      </c>
      <c r="E3289" s="165">
        <v>1</v>
      </c>
      <c r="F3289" s="1354">
        <v>1.079</v>
      </c>
      <c r="G3289" s="401">
        <v>0.46</v>
      </c>
      <c r="H3289" s="401">
        <v>0.3</v>
      </c>
      <c r="I3289" s="399">
        <f t="shared" si="100"/>
        <v>0.15</v>
      </c>
      <c r="J3289" s="404"/>
      <c r="K3289" s="1234"/>
      <c r="L3289" s="431"/>
      <c r="M3289" s="431"/>
      <c r="N3289" s="431"/>
    </row>
    <row r="3290" spans="1:14" s="398" customFormat="1" hidden="1" outlineLevel="1">
      <c r="A3290" s="1248"/>
      <c r="B3290" s="425"/>
      <c r="C3290" s="165" t="s">
        <v>2</v>
      </c>
      <c r="D3290" s="392">
        <v>1</v>
      </c>
      <c r="E3290" s="165">
        <v>1</v>
      </c>
      <c r="F3290" s="1354">
        <v>1.079</v>
      </c>
      <c r="G3290" s="401">
        <v>0.34499999999999997</v>
      </c>
      <c r="H3290" s="401">
        <v>0.3</v>
      </c>
      <c r="I3290" s="399">
        <f t="shared" si="100"/>
        <v>0.11</v>
      </c>
      <c r="J3290" s="404"/>
      <c r="K3290" s="1234"/>
      <c r="L3290" s="431"/>
      <c r="M3290" s="431"/>
      <c r="N3290" s="431"/>
    </row>
    <row r="3291" spans="1:14" s="398" customFormat="1" hidden="1" outlineLevel="1">
      <c r="A3291" s="1248"/>
      <c r="B3291" s="425"/>
      <c r="C3291" s="165" t="s">
        <v>2</v>
      </c>
      <c r="D3291" s="392">
        <v>1</v>
      </c>
      <c r="E3291" s="165">
        <v>1</v>
      </c>
      <c r="F3291" s="1354">
        <v>1.079</v>
      </c>
      <c r="G3291" s="401">
        <v>0.23</v>
      </c>
      <c r="H3291" s="401">
        <v>0.19</v>
      </c>
      <c r="I3291" s="399">
        <f t="shared" si="100"/>
        <v>0.05</v>
      </c>
      <c r="J3291" s="404"/>
      <c r="K3291" s="1234"/>
      <c r="L3291" s="431"/>
      <c r="M3291" s="431"/>
      <c r="N3291" s="431"/>
    </row>
    <row r="3292" spans="1:14" s="398" customFormat="1" hidden="1" outlineLevel="1">
      <c r="A3292" s="1248"/>
      <c r="B3292" s="425"/>
      <c r="C3292" s="530"/>
      <c r="D3292" s="389"/>
      <c r="E3292" s="386"/>
      <c r="F3292" s="1353"/>
      <c r="G3292" s="1353"/>
      <c r="H3292" s="1353"/>
      <c r="I3292" s="399" t="str">
        <f t="shared" si="100"/>
        <v/>
      </c>
      <c r="J3292" s="404"/>
      <c r="K3292" s="1234"/>
      <c r="L3292" s="431"/>
      <c r="M3292" s="431"/>
      <c r="N3292" s="431"/>
    </row>
    <row r="3293" spans="1:14" s="398" customFormat="1" hidden="1" outlineLevel="1">
      <c r="A3293" s="1248"/>
      <c r="B3293" s="425"/>
      <c r="C3293" s="165" t="s">
        <v>2</v>
      </c>
      <c r="D3293" s="392">
        <v>1</v>
      </c>
      <c r="E3293" s="165">
        <v>1</v>
      </c>
      <c r="F3293" s="1354">
        <v>3.2730000000000001</v>
      </c>
      <c r="G3293" s="401">
        <v>0.46</v>
      </c>
      <c r="H3293" s="401">
        <v>0.3</v>
      </c>
      <c r="I3293" s="399">
        <f t="shared" si="100"/>
        <v>0.45</v>
      </c>
      <c r="J3293" s="404"/>
      <c r="K3293" s="1234"/>
      <c r="L3293" s="431"/>
      <c r="M3293" s="431"/>
      <c r="N3293" s="431"/>
    </row>
    <row r="3294" spans="1:14" s="398" customFormat="1" hidden="1" outlineLevel="1">
      <c r="A3294" s="1248"/>
      <c r="B3294" s="425"/>
      <c r="C3294" s="165" t="s">
        <v>2</v>
      </c>
      <c r="D3294" s="392">
        <v>1</v>
      </c>
      <c r="E3294" s="165">
        <v>1</v>
      </c>
      <c r="F3294" s="1354">
        <v>3.2730000000000001</v>
      </c>
      <c r="G3294" s="401">
        <v>0.34499999999999997</v>
      </c>
      <c r="H3294" s="401">
        <v>0.3</v>
      </c>
      <c r="I3294" s="399">
        <f t="shared" si="100"/>
        <v>0.34</v>
      </c>
      <c r="J3294" s="404"/>
      <c r="K3294" s="1234"/>
      <c r="L3294" s="431"/>
      <c r="M3294" s="431"/>
      <c r="N3294" s="431"/>
    </row>
    <row r="3295" spans="1:14" s="398" customFormat="1" hidden="1" outlineLevel="1">
      <c r="A3295" s="1248"/>
      <c r="B3295" s="425"/>
      <c r="C3295" s="165" t="s">
        <v>2</v>
      </c>
      <c r="D3295" s="392">
        <v>1</v>
      </c>
      <c r="E3295" s="165">
        <v>1</v>
      </c>
      <c r="F3295" s="1354">
        <v>3.2730000000000001</v>
      </c>
      <c r="G3295" s="401">
        <v>0.23</v>
      </c>
      <c r="H3295" s="401">
        <v>0.19</v>
      </c>
      <c r="I3295" s="399">
        <f t="shared" si="100"/>
        <v>0.14000000000000001</v>
      </c>
      <c r="J3295" s="404"/>
      <c r="K3295" s="1234"/>
      <c r="L3295" s="431"/>
      <c r="M3295" s="431"/>
      <c r="N3295" s="431"/>
    </row>
    <row r="3296" spans="1:14" s="398" customFormat="1" hidden="1" outlineLevel="1">
      <c r="A3296" s="1248"/>
      <c r="B3296" s="425"/>
      <c r="C3296" s="530"/>
      <c r="D3296" s="389"/>
      <c r="E3296" s="386"/>
      <c r="F3296" s="1353"/>
      <c r="G3296" s="1353"/>
      <c r="H3296" s="1353"/>
      <c r="I3296" s="399" t="str">
        <f t="shared" si="100"/>
        <v/>
      </c>
      <c r="J3296" s="404"/>
      <c r="K3296" s="1234"/>
      <c r="L3296" s="431"/>
      <c r="M3296" s="431"/>
      <c r="N3296" s="431"/>
    </row>
    <row r="3297" spans="1:14" s="398" customFormat="1" hidden="1" outlineLevel="1">
      <c r="A3297" s="1248"/>
      <c r="B3297" s="425"/>
      <c r="C3297" s="165" t="s">
        <v>2</v>
      </c>
      <c r="D3297" s="392">
        <v>1</v>
      </c>
      <c r="E3297" s="165">
        <v>1</v>
      </c>
      <c r="F3297" s="1354">
        <v>5.0839999999999996</v>
      </c>
      <c r="G3297" s="401">
        <v>0.46</v>
      </c>
      <c r="H3297" s="401">
        <v>0.3</v>
      </c>
      <c r="I3297" s="399">
        <f t="shared" si="100"/>
        <v>0.7</v>
      </c>
      <c r="J3297" s="404"/>
      <c r="K3297" s="1234"/>
      <c r="L3297" s="431"/>
      <c r="M3297" s="431"/>
      <c r="N3297" s="431"/>
    </row>
    <row r="3298" spans="1:14" s="398" customFormat="1" hidden="1" outlineLevel="1">
      <c r="A3298" s="1248"/>
      <c r="B3298" s="425"/>
      <c r="C3298" s="165" t="s">
        <v>2</v>
      </c>
      <c r="D3298" s="392">
        <v>1</v>
      </c>
      <c r="E3298" s="165">
        <v>1</v>
      </c>
      <c r="F3298" s="1354">
        <v>5.0839999999999996</v>
      </c>
      <c r="G3298" s="401">
        <v>0.34499999999999997</v>
      </c>
      <c r="H3298" s="401">
        <v>0.3</v>
      </c>
      <c r="I3298" s="399">
        <f t="shared" si="100"/>
        <v>0.53</v>
      </c>
      <c r="J3298" s="404"/>
      <c r="K3298" s="1234"/>
      <c r="L3298" s="431"/>
      <c r="M3298" s="431"/>
      <c r="N3298" s="431"/>
    </row>
    <row r="3299" spans="1:14" s="398" customFormat="1" hidden="1" outlineLevel="1">
      <c r="A3299" s="1248"/>
      <c r="B3299" s="425"/>
      <c r="C3299" s="165" t="s">
        <v>2</v>
      </c>
      <c r="D3299" s="392">
        <v>1</v>
      </c>
      <c r="E3299" s="165">
        <v>1</v>
      </c>
      <c r="F3299" s="1354">
        <v>5.0839999999999996</v>
      </c>
      <c r="G3299" s="401">
        <v>0.23</v>
      </c>
      <c r="H3299" s="401">
        <v>0.19</v>
      </c>
      <c r="I3299" s="399">
        <f t="shared" si="100"/>
        <v>0.22</v>
      </c>
      <c r="J3299" s="404"/>
      <c r="K3299" s="1234"/>
      <c r="L3299" s="431"/>
      <c r="M3299" s="431"/>
      <c r="N3299" s="431"/>
    </row>
    <row r="3300" spans="1:14" s="398" customFormat="1" hidden="1" outlineLevel="1">
      <c r="A3300" s="1248"/>
      <c r="B3300" s="425"/>
      <c r="C3300" s="530"/>
      <c r="D3300" s="389"/>
      <c r="E3300" s="386"/>
      <c r="F3300" s="1353"/>
      <c r="G3300" s="1353"/>
      <c r="H3300" s="1353"/>
      <c r="I3300" s="399" t="str">
        <f t="shared" si="100"/>
        <v/>
      </c>
      <c r="J3300" s="404"/>
      <c r="K3300" s="1234"/>
      <c r="L3300" s="431"/>
      <c r="M3300" s="431"/>
      <c r="N3300" s="431"/>
    </row>
    <row r="3301" spans="1:14" s="398" customFormat="1" ht="51.75" hidden="1" outlineLevel="1">
      <c r="A3301" s="1248"/>
      <c r="B3301" s="592" t="s">
        <v>842</v>
      </c>
      <c r="C3301" s="165" t="s">
        <v>2</v>
      </c>
      <c r="D3301" s="665">
        <f t="shared" ref="D3301:D3307" si="101">1*0</f>
        <v>0</v>
      </c>
      <c r="E3301" s="345">
        <v>1</v>
      </c>
      <c r="F3301" s="1355">
        <v>1.3979999999999999</v>
      </c>
      <c r="G3301" s="1356">
        <v>0.46</v>
      </c>
      <c r="H3301" s="1356">
        <v>0.3</v>
      </c>
      <c r="I3301" s="399" t="str">
        <f t="shared" si="100"/>
        <v/>
      </c>
      <c r="J3301" s="404"/>
      <c r="K3301" s="1234"/>
      <c r="L3301" s="431"/>
      <c r="M3301" s="431"/>
      <c r="N3301" s="431"/>
    </row>
    <row r="3302" spans="1:14" s="398" customFormat="1" hidden="1" outlineLevel="1">
      <c r="A3302" s="1248"/>
      <c r="B3302" s="425"/>
      <c r="C3302" s="165" t="s">
        <v>2</v>
      </c>
      <c r="D3302" s="665">
        <f t="shared" si="101"/>
        <v>0</v>
      </c>
      <c r="E3302" s="345">
        <v>1</v>
      </c>
      <c r="F3302" s="1355">
        <v>1.3979999999999999</v>
      </c>
      <c r="G3302" s="1356">
        <v>0.34499999999999997</v>
      </c>
      <c r="H3302" s="1356">
        <v>0.3</v>
      </c>
      <c r="I3302" s="399" t="str">
        <f t="shared" si="100"/>
        <v/>
      </c>
      <c r="J3302" s="404"/>
      <c r="K3302" s="1234"/>
      <c r="L3302" s="431"/>
      <c r="M3302" s="431"/>
      <c r="N3302" s="431"/>
    </row>
    <row r="3303" spans="1:14" s="398" customFormat="1" hidden="1" outlineLevel="1">
      <c r="A3303" s="1248"/>
      <c r="B3303" s="425"/>
      <c r="C3303" s="165" t="s">
        <v>2</v>
      </c>
      <c r="D3303" s="665">
        <f t="shared" si="101"/>
        <v>0</v>
      </c>
      <c r="E3303" s="345">
        <v>1</v>
      </c>
      <c r="F3303" s="1355">
        <v>1.3979999999999999</v>
      </c>
      <c r="G3303" s="1356">
        <v>0.23</v>
      </c>
      <c r="H3303" s="1356">
        <v>0.19</v>
      </c>
      <c r="I3303" s="399" t="str">
        <f t="shared" si="100"/>
        <v/>
      </c>
      <c r="J3303" s="404"/>
      <c r="K3303" s="1234"/>
      <c r="L3303" s="431"/>
      <c r="M3303" s="431"/>
      <c r="N3303" s="431"/>
    </row>
    <row r="3304" spans="1:14" s="398" customFormat="1" hidden="1" outlineLevel="1">
      <c r="A3304" s="1248"/>
      <c r="B3304" s="425"/>
      <c r="C3304" s="530"/>
      <c r="D3304" s="849">
        <f t="shared" si="101"/>
        <v>0</v>
      </c>
      <c r="E3304" s="363"/>
      <c r="F3304" s="1355"/>
      <c r="G3304" s="1355"/>
      <c r="H3304" s="1355"/>
      <c r="I3304" s="399" t="str">
        <f t="shared" si="100"/>
        <v/>
      </c>
      <c r="J3304" s="404"/>
      <c r="K3304" s="1234"/>
      <c r="L3304" s="431"/>
      <c r="M3304" s="431"/>
      <c r="N3304" s="431"/>
    </row>
    <row r="3305" spans="1:14" s="398" customFormat="1" hidden="1" outlineLevel="1">
      <c r="A3305" s="1248"/>
      <c r="B3305" s="425"/>
      <c r="C3305" s="165" t="s">
        <v>2</v>
      </c>
      <c r="D3305" s="665">
        <f t="shared" si="101"/>
        <v>0</v>
      </c>
      <c r="E3305" s="345">
        <v>1</v>
      </c>
      <c r="F3305" s="1355">
        <v>6.1820000000000004</v>
      </c>
      <c r="G3305" s="1356">
        <v>0.46</v>
      </c>
      <c r="H3305" s="1356">
        <v>0.3</v>
      </c>
      <c r="I3305" s="399" t="str">
        <f t="shared" si="100"/>
        <v/>
      </c>
      <c r="J3305" s="404"/>
      <c r="K3305" s="1234"/>
      <c r="L3305" s="431"/>
      <c r="M3305" s="431"/>
      <c r="N3305" s="431"/>
    </row>
    <row r="3306" spans="1:14" s="398" customFormat="1" hidden="1" outlineLevel="1">
      <c r="A3306" s="1248"/>
      <c r="B3306" s="425"/>
      <c r="C3306" s="165" t="s">
        <v>2</v>
      </c>
      <c r="D3306" s="665">
        <f t="shared" si="101"/>
        <v>0</v>
      </c>
      <c r="E3306" s="345">
        <v>1</v>
      </c>
      <c r="F3306" s="1355">
        <v>6.1820000000000004</v>
      </c>
      <c r="G3306" s="1356">
        <v>0.34499999999999997</v>
      </c>
      <c r="H3306" s="1356">
        <v>0.3</v>
      </c>
      <c r="I3306" s="399" t="str">
        <f t="shared" si="100"/>
        <v/>
      </c>
      <c r="J3306" s="404"/>
      <c r="K3306" s="1234"/>
      <c r="L3306" s="431"/>
      <c r="M3306" s="431"/>
      <c r="N3306" s="431"/>
    </row>
    <row r="3307" spans="1:14" s="398" customFormat="1" hidden="1" outlineLevel="1">
      <c r="A3307" s="1248"/>
      <c r="B3307" s="425"/>
      <c r="C3307" s="165" t="s">
        <v>2</v>
      </c>
      <c r="D3307" s="665">
        <f t="shared" si="101"/>
        <v>0</v>
      </c>
      <c r="E3307" s="345">
        <v>1</v>
      </c>
      <c r="F3307" s="1355">
        <v>6.1820000000000004</v>
      </c>
      <c r="G3307" s="1356">
        <v>0.23</v>
      </c>
      <c r="H3307" s="1356">
        <v>0.19</v>
      </c>
      <c r="I3307" s="399" t="str">
        <f t="shared" si="100"/>
        <v/>
      </c>
      <c r="J3307" s="404"/>
      <c r="K3307" s="1234"/>
      <c r="L3307" s="431"/>
      <c r="M3307" s="431"/>
      <c r="N3307" s="431"/>
    </row>
    <row r="3308" spans="1:14" s="398" customFormat="1" hidden="1" outlineLevel="1">
      <c r="A3308" s="1248"/>
      <c r="B3308" s="425"/>
      <c r="C3308" s="530"/>
      <c r="D3308" s="639"/>
      <c r="E3308" s="363"/>
      <c r="F3308" s="1355"/>
      <c r="G3308" s="1355"/>
      <c r="H3308" s="1355"/>
      <c r="I3308" s="399" t="str">
        <f t="shared" si="100"/>
        <v/>
      </c>
      <c r="J3308" s="404"/>
      <c r="K3308" s="1234"/>
      <c r="L3308" s="431"/>
      <c r="M3308" s="431"/>
      <c r="N3308" s="431"/>
    </row>
    <row r="3309" spans="1:14" s="398" customFormat="1" hidden="1" outlineLevel="1">
      <c r="A3309" s="1248"/>
      <c r="B3309" s="425"/>
      <c r="C3309" s="165" t="s">
        <v>2</v>
      </c>
      <c r="D3309" s="665">
        <f t="shared" ref="D3309:D3311" si="102">1*0</f>
        <v>0</v>
      </c>
      <c r="E3309" s="345">
        <v>1</v>
      </c>
      <c r="F3309" s="1355">
        <v>0.23</v>
      </c>
      <c r="G3309" s="1356">
        <v>0.46</v>
      </c>
      <c r="H3309" s="1356">
        <v>0.3</v>
      </c>
      <c r="I3309" s="399" t="str">
        <f t="shared" si="100"/>
        <v/>
      </c>
      <c r="J3309" s="404"/>
      <c r="K3309" s="1234"/>
      <c r="L3309" s="431"/>
      <c r="M3309" s="431"/>
      <c r="N3309" s="431"/>
    </row>
    <row r="3310" spans="1:14" s="398" customFormat="1" hidden="1" outlineLevel="1">
      <c r="A3310" s="1248"/>
      <c r="B3310" s="425"/>
      <c r="C3310" s="165" t="s">
        <v>2</v>
      </c>
      <c r="D3310" s="665">
        <f t="shared" si="102"/>
        <v>0</v>
      </c>
      <c r="E3310" s="345">
        <v>1</v>
      </c>
      <c r="F3310" s="1355">
        <v>0.23</v>
      </c>
      <c r="G3310" s="1356">
        <v>0.34499999999999997</v>
      </c>
      <c r="H3310" s="1356">
        <v>0.3</v>
      </c>
      <c r="I3310" s="399" t="str">
        <f t="shared" si="100"/>
        <v/>
      </c>
      <c r="J3310" s="404"/>
      <c r="K3310" s="1234"/>
      <c r="L3310" s="431"/>
      <c r="M3310" s="431"/>
      <c r="N3310" s="431"/>
    </row>
    <row r="3311" spans="1:14" s="398" customFormat="1" hidden="1" outlineLevel="1">
      <c r="A3311" s="1248"/>
      <c r="B3311" s="425"/>
      <c r="C3311" s="165" t="s">
        <v>2</v>
      </c>
      <c r="D3311" s="665">
        <f t="shared" si="102"/>
        <v>0</v>
      </c>
      <c r="E3311" s="345">
        <v>1</v>
      </c>
      <c r="F3311" s="1355">
        <v>0.23</v>
      </c>
      <c r="G3311" s="1356">
        <v>0.23</v>
      </c>
      <c r="H3311" s="1356">
        <v>0.19</v>
      </c>
      <c r="I3311" s="399" t="str">
        <f t="shared" si="100"/>
        <v/>
      </c>
      <c r="J3311" s="404"/>
      <c r="K3311" s="1234"/>
      <c r="L3311" s="431"/>
      <c r="M3311" s="431"/>
      <c r="N3311" s="431"/>
    </row>
    <row r="3312" spans="1:14" s="398" customFormat="1" hidden="1" outlineLevel="1">
      <c r="A3312" s="1248"/>
      <c r="B3312" s="425"/>
      <c r="C3312" s="530"/>
      <c r="D3312" s="639"/>
      <c r="E3312" s="363"/>
      <c r="F3312" s="1355"/>
      <c r="G3312" s="1355"/>
      <c r="H3312" s="1355"/>
      <c r="I3312" s="399" t="str">
        <f t="shared" si="100"/>
        <v/>
      </c>
      <c r="J3312" s="404"/>
      <c r="K3312" s="1234"/>
      <c r="L3312" s="431"/>
      <c r="M3312" s="431"/>
      <c r="N3312" s="431"/>
    </row>
    <row r="3313" spans="1:14" s="398" customFormat="1" hidden="1" outlineLevel="1">
      <c r="A3313" s="1248"/>
      <c r="B3313" s="425"/>
      <c r="C3313" s="165" t="s">
        <v>2</v>
      </c>
      <c r="D3313" s="665">
        <f t="shared" ref="D3313:D3315" si="103">1*0</f>
        <v>0</v>
      </c>
      <c r="E3313" s="345">
        <v>1</v>
      </c>
      <c r="F3313" s="1355">
        <v>8.6950000000000003</v>
      </c>
      <c r="G3313" s="1356">
        <v>0.46</v>
      </c>
      <c r="H3313" s="1356">
        <v>0.3</v>
      </c>
      <c r="I3313" s="399" t="str">
        <f t="shared" si="100"/>
        <v/>
      </c>
      <c r="J3313" s="404"/>
      <c r="K3313" s="1234"/>
      <c r="L3313" s="431"/>
      <c r="M3313" s="431"/>
      <c r="N3313" s="431"/>
    </row>
    <row r="3314" spans="1:14" s="398" customFormat="1" hidden="1" outlineLevel="1">
      <c r="A3314" s="1248"/>
      <c r="B3314" s="425"/>
      <c r="C3314" s="165" t="s">
        <v>2</v>
      </c>
      <c r="D3314" s="665">
        <f t="shared" si="103"/>
        <v>0</v>
      </c>
      <c r="E3314" s="345">
        <v>1</v>
      </c>
      <c r="F3314" s="1355">
        <v>8.6950000000000003</v>
      </c>
      <c r="G3314" s="1356">
        <v>0.34499999999999997</v>
      </c>
      <c r="H3314" s="1356">
        <v>0.3</v>
      </c>
      <c r="I3314" s="399" t="str">
        <f t="shared" si="100"/>
        <v/>
      </c>
      <c r="J3314" s="404"/>
      <c r="K3314" s="1234"/>
      <c r="L3314" s="431"/>
      <c r="M3314" s="431"/>
      <c r="N3314" s="431"/>
    </row>
    <row r="3315" spans="1:14" s="398" customFormat="1" hidden="1" outlineLevel="1">
      <c r="A3315" s="1248"/>
      <c r="B3315" s="425"/>
      <c r="C3315" s="165" t="s">
        <v>2</v>
      </c>
      <c r="D3315" s="665">
        <f t="shared" si="103"/>
        <v>0</v>
      </c>
      <c r="E3315" s="345">
        <v>1</v>
      </c>
      <c r="F3315" s="1355">
        <v>8.6950000000000003</v>
      </c>
      <c r="G3315" s="1356">
        <v>0.23</v>
      </c>
      <c r="H3315" s="1356">
        <v>0.19</v>
      </c>
      <c r="I3315" s="399" t="str">
        <f t="shared" si="100"/>
        <v/>
      </c>
      <c r="J3315" s="404"/>
      <c r="K3315" s="1234"/>
      <c r="L3315" s="431"/>
      <c r="M3315" s="431"/>
      <c r="N3315" s="431"/>
    </row>
    <row r="3316" spans="1:14" s="398" customFormat="1" hidden="1" outlineLevel="1">
      <c r="A3316" s="1248"/>
      <c r="B3316" s="425"/>
      <c r="C3316" s="165" t="s">
        <v>2</v>
      </c>
      <c r="D3316" s="438">
        <v>1</v>
      </c>
      <c r="E3316" s="333">
        <v>1</v>
      </c>
      <c r="F3316" s="1354">
        <v>16.408999999999999</v>
      </c>
      <c r="G3316" s="662">
        <v>0.46</v>
      </c>
      <c r="H3316" s="662">
        <v>0.3</v>
      </c>
      <c r="I3316" s="399">
        <f t="shared" si="100"/>
        <v>2.2599999999999998</v>
      </c>
      <c r="J3316" s="404"/>
      <c r="K3316" s="1234"/>
      <c r="L3316" s="431"/>
      <c r="M3316" s="431"/>
      <c r="N3316" s="431"/>
    </row>
    <row r="3317" spans="1:14" s="398" customFormat="1" hidden="1" outlineLevel="1">
      <c r="A3317" s="1248"/>
      <c r="B3317" s="425"/>
      <c r="C3317" s="165" t="s">
        <v>2</v>
      </c>
      <c r="D3317" s="438">
        <v>1</v>
      </c>
      <c r="E3317" s="333">
        <v>1</v>
      </c>
      <c r="F3317" s="1354">
        <v>16.408999999999999</v>
      </c>
      <c r="G3317" s="662">
        <v>0.34499999999999997</v>
      </c>
      <c r="H3317" s="662">
        <v>0.3</v>
      </c>
      <c r="I3317" s="399">
        <f t="shared" si="100"/>
        <v>1.7</v>
      </c>
      <c r="J3317" s="404"/>
      <c r="K3317" s="1234"/>
      <c r="L3317" s="431"/>
      <c r="M3317" s="431"/>
      <c r="N3317" s="431"/>
    </row>
    <row r="3318" spans="1:14" s="398" customFormat="1" hidden="1" outlineLevel="1">
      <c r="A3318" s="1248"/>
      <c r="B3318" s="425"/>
      <c r="C3318" s="165" t="s">
        <v>2</v>
      </c>
      <c r="D3318" s="438">
        <v>1</v>
      </c>
      <c r="E3318" s="333">
        <v>1</v>
      </c>
      <c r="F3318" s="1354">
        <v>16.408999999999999</v>
      </c>
      <c r="G3318" s="662">
        <v>0.23</v>
      </c>
      <c r="H3318" s="662">
        <v>0.19</v>
      </c>
      <c r="I3318" s="399">
        <f t="shared" si="100"/>
        <v>0.72</v>
      </c>
      <c r="J3318" s="404"/>
      <c r="K3318" s="1234"/>
      <c r="L3318" s="431"/>
      <c r="M3318" s="431"/>
      <c r="N3318" s="431"/>
    </row>
    <row r="3319" spans="1:14" s="398" customFormat="1" ht="34.5" hidden="1" outlineLevel="1">
      <c r="A3319" s="1248"/>
      <c r="B3319" s="592" t="s">
        <v>843</v>
      </c>
      <c r="C3319" s="165" t="s">
        <v>2</v>
      </c>
      <c r="D3319" s="665">
        <f t="shared" ref="D3319:D3321" si="104">1*0</f>
        <v>0</v>
      </c>
      <c r="E3319" s="345">
        <v>1</v>
      </c>
      <c r="F3319" s="1355">
        <v>0.89800000000000002</v>
      </c>
      <c r="G3319" s="1356">
        <v>0.46</v>
      </c>
      <c r="H3319" s="1356">
        <v>0.3</v>
      </c>
      <c r="I3319" s="399" t="str">
        <f t="shared" si="100"/>
        <v/>
      </c>
      <c r="J3319" s="404"/>
      <c r="K3319" s="1234"/>
      <c r="L3319" s="431"/>
      <c r="M3319" s="431"/>
      <c r="N3319" s="431"/>
    </row>
    <row r="3320" spans="1:14" s="398" customFormat="1" hidden="1" outlineLevel="1">
      <c r="A3320" s="1248"/>
      <c r="B3320" s="425"/>
      <c r="C3320" s="165" t="s">
        <v>2</v>
      </c>
      <c r="D3320" s="665">
        <f t="shared" si="104"/>
        <v>0</v>
      </c>
      <c r="E3320" s="345">
        <v>1</v>
      </c>
      <c r="F3320" s="1355">
        <v>0.89800000000000002</v>
      </c>
      <c r="G3320" s="1356">
        <v>0.34499999999999997</v>
      </c>
      <c r="H3320" s="1356">
        <v>0.3</v>
      </c>
      <c r="I3320" s="399" t="str">
        <f t="shared" si="100"/>
        <v/>
      </c>
      <c r="J3320" s="404"/>
      <c r="K3320" s="1234"/>
      <c r="L3320" s="431"/>
      <c r="M3320" s="431"/>
      <c r="N3320" s="431"/>
    </row>
    <row r="3321" spans="1:14" s="398" customFormat="1" hidden="1" outlineLevel="1">
      <c r="A3321" s="1248"/>
      <c r="B3321" s="425"/>
      <c r="C3321" s="165" t="s">
        <v>2</v>
      </c>
      <c r="D3321" s="665">
        <f t="shared" si="104"/>
        <v>0</v>
      </c>
      <c r="E3321" s="345">
        <v>1</v>
      </c>
      <c r="F3321" s="1355">
        <v>0.89800000000000002</v>
      </c>
      <c r="G3321" s="1356">
        <v>0.23</v>
      </c>
      <c r="H3321" s="1356">
        <v>0.19</v>
      </c>
      <c r="I3321" s="399" t="str">
        <f t="shared" si="100"/>
        <v/>
      </c>
      <c r="J3321" s="404"/>
      <c r="K3321" s="1234"/>
      <c r="L3321" s="431"/>
      <c r="M3321" s="431"/>
      <c r="N3321" s="431"/>
    </row>
    <row r="3322" spans="1:14" s="398" customFormat="1" hidden="1" outlineLevel="1">
      <c r="A3322" s="1248"/>
      <c r="B3322" s="425"/>
      <c r="C3322" s="530"/>
      <c r="D3322" s="639"/>
      <c r="E3322" s="363"/>
      <c r="F3322" s="1355"/>
      <c r="G3322" s="1355"/>
      <c r="H3322" s="1355"/>
      <c r="I3322" s="399" t="str">
        <f t="shared" si="100"/>
        <v/>
      </c>
      <c r="J3322" s="404"/>
      <c r="K3322" s="1234"/>
      <c r="L3322" s="431"/>
      <c r="M3322" s="431"/>
      <c r="N3322" s="431"/>
    </row>
    <row r="3323" spans="1:14" s="398" customFormat="1" hidden="1" outlineLevel="1">
      <c r="A3323" s="1248"/>
      <c r="B3323" s="425"/>
      <c r="C3323" s="165" t="s">
        <v>2</v>
      </c>
      <c r="D3323" s="665">
        <f t="shared" ref="D3323:D3325" si="105">1*0</f>
        <v>0</v>
      </c>
      <c r="E3323" s="345">
        <v>1</v>
      </c>
      <c r="F3323" s="1355">
        <v>1.4970000000000001</v>
      </c>
      <c r="G3323" s="1356">
        <v>0.46</v>
      </c>
      <c r="H3323" s="1356">
        <v>0.3</v>
      </c>
      <c r="I3323" s="399" t="str">
        <f t="shared" si="100"/>
        <v/>
      </c>
      <c r="J3323" s="404"/>
      <c r="K3323" s="1234"/>
      <c r="L3323" s="431"/>
      <c r="M3323" s="431"/>
      <c r="N3323" s="431"/>
    </row>
    <row r="3324" spans="1:14" s="398" customFormat="1" hidden="1" outlineLevel="1">
      <c r="A3324" s="1248"/>
      <c r="B3324" s="425"/>
      <c r="C3324" s="165" t="s">
        <v>2</v>
      </c>
      <c r="D3324" s="665">
        <f t="shared" si="105"/>
        <v>0</v>
      </c>
      <c r="E3324" s="345">
        <v>1</v>
      </c>
      <c r="F3324" s="1355">
        <v>1.4970000000000001</v>
      </c>
      <c r="G3324" s="1356">
        <v>0.34499999999999997</v>
      </c>
      <c r="H3324" s="1356">
        <v>0.3</v>
      </c>
      <c r="I3324" s="399" t="str">
        <f t="shared" si="100"/>
        <v/>
      </c>
      <c r="J3324" s="404"/>
      <c r="K3324" s="1234"/>
      <c r="L3324" s="431"/>
      <c r="M3324" s="431"/>
      <c r="N3324" s="431"/>
    </row>
    <row r="3325" spans="1:14" s="398" customFormat="1" hidden="1" outlineLevel="1">
      <c r="A3325" s="1248"/>
      <c r="B3325" s="425"/>
      <c r="C3325" s="165" t="s">
        <v>2</v>
      </c>
      <c r="D3325" s="665">
        <f t="shared" si="105"/>
        <v>0</v>
      </c>
      <c r="E3325" s="345">
        <v>1</v>
      </c>
      <c r="F3325" s="1355">
        <v>1.4970000000000001</v>
      </c>
      <c r="G3325" s="1356">
        <v>0.23</v>
      </c>
      <c r="H3325" s="1356">
        <v>0.19</v>
      </c>
      <c r="I3325" s="399" t="str">
        <f t="shared" si="100"/>
        <v/>
      </c>
      <c r="J3325" s="404"/>
      <c r="K3325" s="1234"/>
      <c r="L3325" s="431"/>
      <c r="M3325" s="431"/>
      <c r="N3325" s="431"/>
    </row>
    <row r="3326" spans="1:14" s="398" customFormat="1" hidden="1" outlineLevel="1">
      <c r="A3326" s="1248"/>
      <c r="B3326" s="425"/>
      <c r="C3326" s="530"/>
      <c r="D3326" s="639"/>
      <c r="E3326" s="363"/>
      <c r="F3326" s="1355"/>
      <c r="G3326" s="1355"/>
      <c r="H3326" s="1355"/>
      <c r="I3326" s="399" t="str">
        <f t="shared" si="100"/>
        <v/>
      </c>
      <c r="J3326" s="404"/>
      <c r="K3326" s="1234"/>
      <c r="L3326" s="431"/>
      <c r="M3326" s="431"/>
      <c r="N3326" s="431"/>
    </row>
    <row r="3327" spans="1:14" s="398" customFormat="1" hidden="1" outlineLevel="1">
      <c r="A3327" s="1248"/>
      <c r="B3327" s="425"/>
      <c r="C3327" s="165" t="s">
        <v>2</v>
      </c>
      <c r="D3327" s="665">
        <f t="shared" ref="D3327:D3329" si="106">1*0</f>
        <v>0</v>
      </c>
      <c r="E3327" s="345">
        <v>1</v>
      </c>
      <c r="F3327" s="1355">
        <v>1.6020000000000001</v>
      </c>
      <c r="G3327" s="1356">
        <v>0.46</v>
      </c>
      <c r="H3327" s="1356">
        <v>0.3</v>
      </c>
      <c r="I3327" s="399" t="str">
        <f t="shared" si="100"/>
        <v/>
      </c>
      <c r="J3327" s="404"/>
      <c r="K3327" s="1234"/>
      <c r="L3327" s="431"/>
      <c r="M3327" s="431"/>
      <c r="N3327" s="431"/>
    </row>
    <row r="3328" spans="1:14" s="398" customFormat="1" hidden="1" outlineLevel="1">
      <c r="A3328" s="1248"/>
      <c r="B3328" s="425"/>
      <c r="C3328" s="165" t="s">
        <v>2</v>
      </c>
      <c r="D3328" s="665">
        <f t="shared" si="106"/>
        <v>0</v>
      </c>
      <c r="E3328" s="345">
        <v>1</v>
      </c>
      <c r="F3328" s="1355">
        <v>1.6020000000000001</v>
      </c>
      <c r="G3328" s="1356">
        <v>0.34499999999999997</v>
      </c>
      <c r="H3328" s="1356">
        <v>0.3</v>
      </c>
      <c r="I3328" s="399" t="str">
        <f t="shared" si="100"/>
        <v/>
      </c>
      <c r="J3328" s="404"/>
      <c r="K3328" s="1234"/>
      <c r="L3328" s="431"/>
      <c r="M3328" s="431"/>
      <c r="N3328" s="431"/>
    </row>
    <row r="3329" spans="1:14" s="398" customFormat="1" hidden="1" outlineLevel="1">
      <c r="A3329" s="1248"/>
      <c r="B3329" s="425"/>
      <c r="C3329" s="165" t="s">
        <v>2</v>
      </c>
      <c r="D3329" s="665">
        <f t="shared" si="106"/>
        <v>0</v>
      </c>
      <c r="E3329" s="345">
        <v>1</v>
      </c>
      <c r="F3329" s="1355">
        <v>1.6020000000000001</v>
      </c>
      <c r="G3329" s="1356">
        <v>0.23</v>
      </c>
      <c r="H3329" s="1356">
        <v>0.19</v>
      </c>
      <c r="I3329" s="399" t="str">
        <f t="shared" si="100"/>
        <v/>
      </c>
      <c r="J3329" s="404"/>
      <c r="K3329" s="1234"/>
      <c r="L3329" s="431"/>
      <c r="M3329" s="431"/>
      <c r="N3329" s="431"/>
    </row>
    <row r="3330" spans="1:14" s="398" customFormat="1" hidden="1" outlineLevel="1">
      <c r="A3330" s="1248"/>
      <c r="B3330" s="425"/>
      <c r="C3330" s="530"/>
      <c r="D3330" s="639"/>
      <c r="E3330" s="363"/>
      <c r="F3330" s="1355"/>
      <c r="G3330" s="1355"/>
      <c r="H3330" s="1355"/>
      <c r="I3330" s="399" t="str">
        <f t="shared" si="100"/>
        <v/>
      </c>
      <c r="J3330" s="404"/>
      <c r="K3330" s="1234"/>
      <c r="L3330" s="431"/>
      <c r="M3330" s="431"/>
      <c r="N3330" s="431"/>
    </row>
    <row r="3331" spans="1:14" s="398" customFormat="1" hidden="1" outlineLevel="1">
      <c r="A3331" s="1248"/>
      <c r="B3331" s="425"/>
      <c r="C3331" s="165" t="s">
        <v>2</v>
      </c>
      <c r="D3331" s="665">
        <f t="shared" ref="D3331:D3333" si="107">1*0</f>
        <v>0</v>
      </c>
      <c r="E3331" s="345">
        <v>1</v>
      </c>
      <c r="F3331" s="1355">
        <v>1.012</v>
      </c>
      <c r="G3331" s="1356">
        <v>0.46</v>
      </c>
      <c r="H3331" s="1356">
        <v>0.3</v>
      </c>
      <c r="I3331" s="399" t="str">
        <f t="shared" si="100"/>
        <v/>
      </c>
      <c r="J3331" s="404"/>
      <c r="K3331" s="1234"/>
      <c r="L3331" s="431"/>
      <c r="M3331" s="431"/>
      <c r="N3331" s="431"/>
    </row>
    <row r="3332" spans="1:14" s="398" customFormat="1" hidden="1" outlineLevel="1">
      <c r="A3332" s="1248"/>
      <c r="B3332" s="425"/>
      <c r="C3332" s="165" t="s">
        <v>2</v>
      </c>
      <c r="D3332" s="665">
        <f t="shared" si="107"/>
        <v>0</v>
      </c>
      <c r="E3332" s="345">
        <v>1</v>
      </c>
      <c r="F3332" s="1355">
        <v>1.012</v>
      </c>
      <c r="G3332" s="1356">
        <v>0.34499999999999997</v>
      </c>
      <c r="H3332" s="1356">
        <v>0.3</v>
      </c>
      <c r="I3332" s="399" t="str">
        <f t="shared" si="100"/>
        <v/>
      </c>
      <c r="J3332" s="404"/>
      <c r="K3332" s="1234"/>
      <c r="L3332" s="431"/>
      <c r="M3332" s="431"/>
      <c r="N3332" s="431"/>
    </row>
    <row r="3333" spans="1:14" s="398" customFormat="1" hidden="1" outlineLevel="1">
      <c r="A3333" s="1248"/>
      <c r="B3333" s="425"/>
      <c r="C3333" s="165" t="s">
        <v>2</v>
      </c>
      <c r="D3333" s="665">
        <f t="shared" si="107"/>
        <v>0</v>
      </c>
      <c r="E3333" s="345">
        <v>1</v>
      </c>
      <c r="F3333" s="1355">
        <v>1.012</v>
      </c>
      <c r="G3333" s="1356">
        <v>0.23</v>
      </c>
      <c r="H3333" s="1356">
        <v>0.19</v>
      </c>
      <c r="I3333" s="399" t="str">
        <f t="shared" si="100"/>
        <v/>
      </c>
      <c r="J3333" s="404"/>
      <c r="K3333" s="1234"/>
      <c r="L3333" s="431"/>
      <c r="M3333" s="431"/>
      <c r="N3333" s="431"/>
    </row>
    <row r="3334" spans="1:14" s="398" customFormat="1" hidden="1" outlineLevel="1">
      <c r="A3334" s="1248"/>
      <c r="B3334" s="425"/>
      <c r="C3334" s="530"/>
      <c r="D3334" s="639"/>
      <c r="E3334" s="363"/>
      <c r="F3334" s="1355"/>
      <c r="G3334" s="1355"/>
      <c r="H3334" s="1355"/>
      <c r="I3334" s="399" t="str">
        <f t="shared" si="100"/>
        <v/>
      </c>
      <c r="J3334" s="404"/>
      <c r="K3334" s="1234"/>
      <c r="L3334" s="431"/>
      <c r="M3334" s="431"/>
      <c r="N3334" s="431"/>
    </row>
    <row r="3335" spans="1:14" s="398" customFormat="1" hidden="1" outlineLevel="1">
      <c r="A3335" s="1248"/>
      <c r="B3335" s="425"/>
      <c r="C3335" s="165" t="s">
        <v>2</v>
      </c>
      <c r="D3335" s="665">
        <f t="shared" ref="D3335:D3337" si="108">1*0</f>
        <v>0</v>
      </c>
      <c r="E3335" s="345">
        <v>1</v>
      </c>
      <c r="F3335" s="1355">
        <v>4.1719999999999997</v>
      </c>
      <c r="G3335" s="1356">
        <v>0.46</v>
      </c>
      <c r="H3335" s="1356">
        <v>0.3</v>
      </c>
      <c r="I3335" s="399" t="str">
        <f t="shared" si="100"/>
        <v/>
      </c>
      <c r="J3335" s="404"/>
      <c r="K3335" s="1234"/>
      <c r="L3335" s="431"/>
      <c r="M3335" s="431"/>
      <c r="N3335" s="431"/>
    </row>
    <row r="3336" spans="1:14" s="398" customFormat="1" hidden="1" outlineLevel="1">
      <c r="A3336" s="1248"/>
      <c r="B3336" s="425"/>
      <c r="C3336" s="165" t="s">
        <v>2</v>
      </c>
      <c r="D3336" s="665">
        <f t="shared" si="108"/>
        <v>0</v>
      </c>
      <c r="E3336" s="345">
        <v>1</v>
      </c>
      <c r="F3336" s="1355">
        <v>4.1719999999999997</v>
      </c>
      <c r="G3336" s="1356">
        <v>0.34499999999999997</v>
      </c>
      <c r="H3336" s="1356">
        <v>0.3</v>
      </c>
      <c r="I3336" s="399" t="str">
        <f t="shared" si="100"/>
        <v/>
      </c>
      <c r="J3336" s="404"/>
      <c r="K3336" s="1234"/>
      <c r="L3336" s="431"/>
      <c r="M3336" s="431"/>
      <c r="N3336" s="431"/>
    </row>
    <row r="3337" spans="1:14" s="398" customFormat="1" hidden="1" outlineLevel="1">
      <c r="A3337" s="1248"/>
      <c r="B3337" s="425"/>
      <c r="C3337" s="165" t="s">
        <v>2</v>
      </c>
      <c r="D3337" s="665">
        <f t="shared" si="108"/>
        <v>0</v>
      </c>
      <c r="E3337" s="345">
        <v>1</v>
      </c>
      <c r="F3337" s="1355">
        <v>4.1719999999999997</v>
      </c>
      <c r="G3337" s="1356">
        <v>0.23</v>
      </c>
      <c r="H3337" s="1356">
        <v>0.19</v>
      </c>
      <c r="I3337" s="399" t="str">
        <f t="shared" si="100"/>
        <v/>
      </c>
      <c r="J3337" s="404"/>
      <c r="K3337" s="1234"/>
      <c r="L3337" s="431"/>
      <c r="M3337" s="431"/>
      <c r="N3337" s="431"/>
    </row>
    <row r="3338" spans="1:14" s="398" customFormat="1" hidden="1" outlineLevel="1">
      <c r="A3338" s="1248"/>
      <c r="B3338" s="425"/>
      <c r="C3338" s="530"/>
      <c r="D3338" s="639"/>
      <c r="E3338" s="363"/>
      <c r="F3338" s="1355"/>
      <c r="G3338" s="1355"/>
      <c r="H3338" s="1355"/>
      <c r="I3338" s="399" t="str">
        <f t="shared" si="100"/>
        <v/>
      </c>
      <c r="J3338" s="404"/>
      <c r="K3338" s="1234"/>
      <c r="L3338" s="431"/>
      <c r="M3338" s="431"/>
      <c r="N3338" s="431"/>
    </row>
    <row r="3339" spans="1:14" s="398" customFormat="1" hidden="1" outlineLevel="1">
      <c r="A3339" s="1248"/>
      <c r="B3339" s="425"/>
      <c r="C3339" s="165" t="s">
        <v>2</v>
      </c>
      <c r="D3339" s="665">
        <f t="shared" ref="D3339:D3341" si="109">1*0</f>
        <v>0</v>
      </c>
      <c r="E3339" s="345">
        <v>1</v>
      </c>
      <c r="F3339" s="1355">
        <v>10.42</v>
      </c>
      <c r="G3339" s="1356">
        <v>0.46</v>
      </c>
      <c r="H3339" s="1356">
        <v>0.3</v>
      </c>
      <c r="I3339" s="399" t="str">
        <f t="shared" si="100"/>
        <v/>
      </c>
      <c r="J3339" s="404"/>
      <c r="K3339" s="1234"/>
      <c r="L3339" s="431"/>
      <c r="M3339" s="431"/>
      <c r="N3339" s="431"/>
    </row>
    <row r="3340" spans="1:14" s="398" customFormat="1" hidden="1" outlineLevel="1">
      <c r="A3340" s="1248"/>
      <c r="B3340" s="425"/>
      <c r="C3340" s="165" t="s">
        <v>2</v>
      </c>
      <c r="D3340" s="665">
        <f t="shared" si="109"/>
        <v>0</v>
      </c>
      <c r="E3340" s="345">
        <v>1</v>
      </c>
      <c r="F3340" s="1355">
        <v>10.42</v>
      </c>
      <c r="G3340" s="1356">
        <v>0.34499999999999997</v>
      </c>
      <c r="H3340" s="1356">
        <v>0.3</v>
      </c>
      <c r="I3340" s="399" t="str">
        <f t="shared" si="100"/>
        <v/>
      </c>
      <c r="J3340" s="404"/>
      <c r="K3340" s="1234"/>
      <c r="L3340" s="431"/>
      <c r="M3340" s="431"/>
      <c r="N3340" s="431"/>
    </row>
    <row r="3341" spans="1:14" s="398" customFormat="1" hidden="1" outlineLevel="1">
      <c r="A3341" s="1248"/>
      <c r="B3341" s="425"/>
      <c r="C3341" s="165" t="s">
        <v>2</v>
      </c>
      <c r="D3341" s="665">
        <f t="shared" si="109"/>
        <v>0</v>
      </c>
      <c r="E3341" s="345">
        <v>1</v>
      </c>
      <c r="F3341" s="1355">
        <v>10.42</v>
      </c>
      <c r="G3341" s="1356">
        <v>0.23</v>
      </c>
      <c r="H3341" s="1356">
        <v>0.19</v>
      </c>
      <c r="I3341" s="399" t="str">
        <f t="shared" si="100"/>
        <v/>
      </c>
      <c r="J3341" s="404"/>
      <c r="K3341" s="1234"/>
      <c r="L3341" s="431"/>
      <c r="M3341" s="431"/>
      <c r="N3341" s="431"/>
    </row>
    <row r="3342" spans="1:14" s="398" customFormat="1" hidden="1" outlineLevel="1">
      <c r="A3342" s="1248"/>
      <c r="B3342" s="425"/>
      <c r="C3342" s="530"/>
      <c r="D3342" s="639"/>
      <c r="E3342" s="363"/>
      <c r="F3342" s="1355"/>
      <c r="G3342" s="1355"/>
      <c r="H3342" s="1355"/>
      <c r="I3342" s="399" t="str">
        <f t="shared" si="100"/>
        <v/>
      </c>
      <c r="J3342" s="404"/>
      <c r="K3342" s="1234"/>
      <c r="L3342" s="431"/>
      <c r="M3342" s="431"/>
      <c r="N3342" s="431"/>
    </row>
    <row r="3343" spans="1:14" s="398" customFormat="1" hidden="1" outlineLevel="1">
      <c r="A3343" s="1248"/>
      <c r="B3343" s="425"/>
      <c r="C3343" s="165" t="s">
        <v>2</v>
      </c>
      <c r="D3343" s="665">
        <f t="shared" ref="D3343:D3345" si="110">1*0</f>
        <v>0</v>
      </c>
      <c r="E3343" s="345">
        <v>1</v>
      </c>
      <c r="F3343" s="1355">
        <v>0.217</v>
      </c>
      <c r="G3343" s="1356">
        <v>0.46</v>
      </c>
      <c r="H3343" s="1356">
        <v>0.3</v>
      </c>
      <c r="I3343" s="399" t="str">
        <f t="shared" si="100"/>
        <v/>
      </c>
      <c r="J3343" s="404"/>
      <c r="K3343" s="1234"/>
      <c r="L3343" s="431"/>
      <c r="M3343" s="431"/>
      <c r="N3343" s="431"/>
    </row>
    <row r="3344" spans="1:14" s="398" customFormat="1" hidden="1" outlineLevel="1">
      <c r="A3344" s="1248"/>
      <c r="B3344" s="425"/>
      <c r="C3344" s="165" t="s">
        <v>2</v>
      </c>
      <c r="D3344" s="665">
        <f t="shared" si="110"/>
        <v>0</v>
      </c>
      <c r="E3344" s="345">
        <v>1</v>
      </c>
      <c r="F3344" s="1355">
        <v>0.217</v>
      </c>
      <c r="G3344" s="1356">
        <v>0.34499999999999997</v>
      </c>
      <c r="H3344" s="1356">
        <v>0.3</v>
      </c>
      <c r="I3344" s="399" t="str">
        <f t="shared" si="100"/>
        <v/>
      </c>
      <c r="J3344" s="404"/>
      <c r="K3344" s="1234"/>
      <c r="L3344" s="431"/>
      <c r="M3344" s="431"/>
      <c r="N3344" s="431"/>
    </row>
    <row r="3345" spans="1:14" s="398" customFormat="1" hidden="1" outlineLevel="1">
      <c r="A3345" s="1248"/>
      <c r="B3345" s="425"/>
      <c r="C3345" s="165" t="s">
        <v>2</v>
      </c>
      <c r="D3345" s="665">
        <f t="shared" si="110"/>
        <v>0</v>
      </c>
      <c r="E3345" s="345">
        <v>1</v>
      </c>
      <c r="F3345" s="1355">
        <v>0.217</v>
      </c>
      <c r="G3345" s="1356">
        <v>0.23</v>
      </c>
      <c r="H3345" s="1356">
        <v>0.19</v>
      </c>
      <c r="I3345" s="399" t="str">
        <f t="shared" si="100"/>
        <v/>
      </c>
      <c r="J3345" s="404"/>
      <c r="K3345" s="1234"/>
      <c r="L3345" s="431"/>
      <c r="M3345" s="431"/>
      <c r="N3345" s="431"/>
    </row>
    <row r="3346" spans="1:14" s="398" customFormat="1" hidden="1" outlineLevel="1">
      <c r="A3346" s="1248"/>
      <c r="B3346" s="425"/>
      <c r="C3346" s="530"/>
      <c r="D3346" s="639"/>
      <c r="E3346" s="363"/>
      <c r="F3346" s="1355"/>
      <c r="G3346" s="1355"/>
      <c r="H3346" s="1355"/>
      <c r="I3346" s="399" t="str">
        <f t="shared" si="100"/>
        <v/>
      </c>
      <c r="J3346" s="404"/>
      <c r="K3346" s="1234"/>
      <c r="L3346" s="431"/>
      <c r="M3346" s="431"/>
      <c r="N3346" s="431"/>
    </row>
    <row r="3347" spans="1:14" s="398" customFormat="1" hidden="1" outlineLevel="1">
      <c r="A3347" s="1248"/>
      <c r="B3347" s="425"/>
      <c r="C3347" s="165" t="s">
        <v>2</v>
      </c>
      <c r="D3347" s="665">
        <f t="shared" ref="D3347:D3349" si="111">1*0</f>
        <v>0</v>
      </c>
      <c r="E3347" s="345">
        <v>1</v>
      </c>
      <c r="F3347" s="1355">
        <v>4.0110000000000001</v>
      </c>
      <c r="G3347" s="1356">
        <v>0.46</v>
      </c>
      <c r="H3347" s="1356">
        <v>0.3</v>
      </c>
      <c r="I3347" s="399" t="str">
        <f t="shared" si="100"/>
        <v/>
      </c>
      <c r="J3347" s="404"/>
      <c r="K3347" s="1234"/>
      <c r="L3347" s="431"/>
      <c r="M3347" s="431"/>
      <c r="N3347" s="431"/>
    </row>
    <row r="3348" spans="1:14" s="398" customFormat="1" hidden="1" outlineLevel="1">
      <c r="A3348" s="1248"/>
      <c r="B3348" s="425"/>
      <c r="C3348" s="165" t="s">
        <v>2</v>
      </c>
      <c r="D3348" s="665">
        <f t="shared" si="111"/>
        <v>0</v>
      </c>
      <c r="E3348" s="345">
        <v>1</v>
      </c>
      <c r="F3348" s="1355">
        <v>4.0110000000000001</v>
      </c>
      <c r="G3348" s="1356">
        <v>0.34499999999999997</v>
      </c>
      <c r="H3348" s="1356">
        <v>0.3</v>
      </c>
      <c r="I3348" s="399" t="str">
        <f t="shared" si="100"/>
        <v/>
      </c>
      <c r="J3348" s="404"/>
      <c r="K3348" s="1234"/>
      <c r="L3348" s="431"/>
      <c r="M3348" s="431"/>
      <c r="N3348" s="431"/>
    </row>
    <row r="3349" spans="1:14" s="398" customFormat="1" hidden="1" outlineLevel="1">
      <c r="A3349" s="1248"/>
      <c r="B3349" s="425"/>
      <c r="C3349" s="165" t="s">
        <v>2</v>
      </c>
      <c r="D3349" s="665">
        <f t="shared" si="111"/>
        <v>0</v>
      </c>
      <c r="E3349" s="345">
        <v>1</v>
      </c>
      <c r="F3349" s="1355">
        <v>4.0110000000000001</v>
      </c>
      <c r="G3349" s="1356">
        <v>0.23</v>
      </c>
      <c r="H3349" s="1356">
        <v>0.19</v>
      </c>
      <c r="I3349" s="399" t="str">
        <f t="shared" si="100"/>
        <v/>
      </c>
      <c r="J3349" s="404"/>
      <c r="K3349" s="1234"/>
      <c r="L3349" s="431"/>
      <c r="M3349" s="431"/>
      <c r="N3349" s="431"/>
    </row>
    <row r="3350" spans="1:14" s="398" customFormat="1" hidden="1" outlineLevel="1">
      <c r="A3350" s="1248"/>
      <c r="B3350" s="425"/>
      <c r="C3350" s="165" t="s">
        <v>2</v>
      </c>
      <c r="D3350" s="438">
        <v>1</v>
      </c>
      <c r="E3350" s="333">
        <v>1</v>
      </c>
      <c r="F3350" s="1354">
        <v>23.472000000000001</v>
      </c>
      <c r="G3350" s="662">
        <v>0.46</v>
      </c>
      <c r="H3350" s="662">
        <v>0.3</v>
      </c>
      <c r="I3350" s="399">
        <f t="shared" si="100"/>
        <v>3.24</v>
      </c>
      <c r="J3350" s="404"/>
      <c r="K3350" s="1234"/>
      <c r="L3350" s="431"/>
      <c r="M3350" s="431"/>
      <c r="N3350" s="431"/>
    </row>
    <row r="3351" spans="1:14" s="398" customFormat="1" hidden="1" outlineLevel="1">
      <c r="A3351" s="1248"/>
      <c r="B3351" s="425"/>
      <c r="C3351" s="165" t="s">
        <v>2</v>
      </c>
      <c r="D3351" s="438">
        <v>1</v>
      </c>
      <c r="E3351" s="333">
        <v>1</v>
      </c>
      <c r="F3351" s="1354">
        <v>23.472000000000001</v>
      </c>
      <c r="G3351" s="662">
        <v>0.34499999999999997</v>
      </c>
      <c r="H3351" s="662">
        <v>0.3</v>
      </c>
      <c r="I3351" s="399">
        <f t="shared" si="100"/>
        <v>2.4300000000000002</v>
      </c>
      <c r="J3351" s="404"/>
      <c r="K3351" s="1234"/>
      <c r="L3351" s="431"/>
      <c r="M3351" s="431"/>
      <c r="N3351" s="431"/>
    </row>
    <row r="3352" spans="1:14" s="398" customFormat="1" hidden="1" outlineLevel="1">
      <c r="A3352" s="1248"/>
      <c r="B3352" s="425"/>
      <c r="C3352" s="165" t="s">
        <v>2</v>
      </c>
      <c r="D3352" s="637">
        <v>1</v>
      </c>
      <c r="E3352" s="637">
        <v>1</v>
      </c>
      <c r="F3352" s="1354">
        <v>23.472000000000001</v>
      </c>
      <c r="G3352" s="1354">
        <v>0.23</v>
      </c>
      <c r="H3352" s="1354">
        <v>0.19</v>
      </c>
      <c r="I3352" s="399">
        <f t="shared" ref="I3352:I3415" si="112">IF(D3352&lt;&gt;0,ROUND(PRODUCT(E3352:H3352)*D3352,2),"")</f>
        <v>1.03</v>
      </c>
      <c r="J3352" s="404"/>
      <c r="K3352" s="1234"/>
      <c r="L3352" s="431"/>
      <c r="M3352" s="431"/>
      <c r="N3352" s="431"/>
    </row>
    <row r="3353" spans="1:14" s="398" customFormat="1" ht="51.75" hidden="1" outlineLevel="1">
      <c r="A3353" s="1248"/>
      <c r="B3353" s="592" t="s">
        <v>844</v>
      </c>
      <c r="C3353" s="165" t="s">
        <v>2</v>
      </c>
      <c r="D3353" s="392">
        <v>1</v>
      </c>
      <c r="E3353" s="165">
        <v>1</v>
      </c>
      <c r="F3353" s="1353">
        <v>15.694000000000001</v>
      </c>
      <c r="G3353" s="401">
        <v>0.46</v>
      </c>
      <c r="H3353" s="401">
        <v>0.3</v>
      </c>
      <c r="I3353" s="399">
        <f t="shared" si="112"/>
        <v>2.17</v>
      </c>
      <c r="J3353" s="404"/>
      <c r="K3353" s="1234"/>
      <c r="L3353" s="431"/>
      <c r="M3353" s="431"/>
      <c r="N3353" s="431"/>
    </row>
    <row r="3354" spans="1:14" s="398" customFormat="1" hidden="1" outlineLevel="1">
      <c r="A3354" s="1248"/>
      <c r="B3354" s="425"/>
      <c r="C3354" s="165" t="s">
        <v>2</v>
      </c>
      <c r="D3354" s="392">
        <v>1</v>
      </c>
      <c r="E3354" s="165">
        <v>1</v>
      </c>
      <c r="F3354" s="1353">
        <v>15.694000000000001</v>
      </c>
      <c r="G3354" s="401">
        <v>0.34499999999999997</v>
      </c>
      <c r="H3354" s="401">
        <v>0.3</v>
      </c>
      <c r="I3354" s="399">
        <f t="shared" si="112"/>
        <v>1.62</v>
      </c>
      <c r="J3354" s="404"/>
      <c r="K3354" s="1234"/>
      <c r="L3354" s="431"/>
      <c r="M3354" s="431"/>
      <c r="N3354" s="431"/>
    </row>
    <row r="3355" spans="1:14" s="398" customFormat="1" hidden="1" outlineLevel="1">
      <c r="A3355" s="1248"/>
      <c r="B3355" s="425"/>
      <c r="C3355" s="165" t="s">
        <v>2</v>
      </c>
      <c r="D3355" s="392">
        <v>1</v>
      </c>
      <c r="E3355" s="165">
        <v>1</v>
      </c>
      <c r="F3355" s="1353">
        <v>15.694000000000001</v>
      </c>
      <c r="G3355" s="401">
        <v>0.23</v>
      </c>
      <c r="H3355" s="401">
        <v>0.19</v>
      </c>
      <c r="I3355" s="399">
        <f t="shared" si="112"/>
        <v>0.69</v>
      </c>
      <c r="J3355" s="404"/>
      <c r="K3355" s="1234"/>
      <c r="L3355" s="431"/>
      <c r="M3355" s="431"/>
      <c r="N3355" s="431"/>
    </row>
    <row r="3356" spans="1:14" s="398" customFormat="1" hidden="1" outlineLevel="1">
      <c r="A3356" s="1248"/>
      <c r="B3356" s="425"/>
      <c r="C3356" s="530"/>
      <c r="D3356" s="389"/>
      <c r="E3356" s="386"/>
      <c r="F3356" s="1353"/>
      <c r="G3356" s="1353"/>
      <c r="H3356" s="1353"/>
      <c r="I3356" s="399" t="str">
        <f t="shared" si="112"/>
        <v/>
      </c>
      <c r="J3356" s="404"/>
      <c r="K3356" s="1234"/>
      <c r="L3356" s="431"/>
      <c r="M3356" s="431"/>
      <c r="N3356" s="431"/>
    </row>
    <row r="3357" spans="1:14" s="398" customFormat="1" hidden="1" outlineLevel="1">
      <c r="A3357" s="1248"/>
      <c r="B3357" s="425"/>
      <c r="C3357" s="165" t="s">
        <v>2</v>
      </c>
      <c r="D3357" s="392">
        <v>1</v>
      </c>
      <c r="E3357" s="165">
        <v>1</v>
      </c>
      <c r="F3357" s="1353">
        <v>0.22500000000000001</v>
      </c>
      <c r="G3357" s="401">
        <v>0.46</v>
      </c>
      <c r="H3357" s="401">
        <v>0.3</v>
      </c>
      <c r="I3357" s="399">
        <f t="shared" si="112"/>
        <v>0.03</v>
      </c>
      <c r="J3357" s="404"/>
      <c r="K3357" s="1234"/>
      <c r="L3357" s="431"/>
      <c r="M3357" s="431"/>
      <c r="N3357" s="431"/>
    </row>
    <row r="3358" spans="1:14" s="398" customFormat="1" hidden="1" outlineLevel="1">
      <c r="A3358" s="1248"/>
      <c r="B3358" s="425"/>
      <c r="C3358" s="165" t="s">
        <v>2</v>
      </c>
      <c r="D3358" s="392">
        <v>1</v>
      </c>
      <c r="E3358" s="165">
        <v>1</v>
      </c>
      <c r="F3358" s="1353">
        <v>0.22500000000000001</v>
      </c>
      <c r="G3358" s="401">
        <v>0.34499999999999997</v>
      </c>
      <c r="H3358" s="401">
        <v>0.3</v>
      </c>
      <c r="I3358" s="399">
        <f t="shared" si="112"/>
        <v>0.02</v>
      </c>
      <c r="J3358" s="404"/>
      <c r="K3358" s="1234"/>
      <c r="L3358" s="431"/>
      <c r="M3358" s="431"/>
      <c r="N3358" s="431"/>
    </row>
    <row r="3359" spans="1:14" s="398" customFormat="1" hidden="1" outlineLevel="1">
      <c r="A3359" s="1248"/>
      <c r="B3359" s="425"/>
      <c r="C3359" s="165" t="s">
        <v>2</v>
      </c>
      <c r="D3359" s="392">
        <v>1</v>
      </c>
      <c r="E3359" s="165">
        <v>1</v>
      </c>
      <c r="F3359" s="1353">
        <v>0.22500000000000001</v>
      </c>
      <c r="G3359" s="401">
        <v>0.23</v>
      </c>
      <c r="H3359" s="401">
        <v>0.19</v>
      </c>
      <c r="I3359" s="399">
        <f t="shared" si="112"/>
        <v>0.01</v>
      </c>
      <c r="J3359" s="404"/>
      <c r="K3359" s="1234"/>
      <c r="L3359" s="431"/>
      <c r="M3359" s="431"/>
      <c r="N3359" s="431"/>
    </row>
    <row r="3360" spans="1:14" s="398" customFormat="1" ht="34.5" hidden="1" outlineLevel="1">
      <c r="A3360" s="1248"/>
      <c r="B3360" s="592" t="s">
        <v>845</v>
      </c>
      <c r="C3360" s="165" t="s">
        <v>2</v>
      </c>
      <c r="D3360" s="392">
        <v>1</v>
      </c>
      <c r="E3360" s="165">
        <v>1</v>
      </c>
      <c r="F3360" s="1353">
        <v>1.4970000000000001</v>
      </c>
      <c r="G3360" s="401">
        <v>0.46</v>
      </c>
      <c r="H3360" s="401">
        <v>0.3</v>
      </c>
      <c r="I3360" s="399">
        <f t="shared" si="112"/>
        <v>0.21</v>
      </c>
      <c r="J3360" s="404"/>
      <c r="K3360" s="1234"/>
      <c r="L3360" s="431"/>
      <c r="M3360" s="431"/>
      <c r="N3360" s="431"/>
    </row>
    <row r="3361" spans="1:14" s="398" customFormat="1" hidden="1" outlineLevel="1">
      <c r="A3361" s="1248"/>
      <c r="B3361" s="425"/>
      <c r="C3361" s="165" t="s">
        <v>2</v>
      </c>
      <c r="D3361" s="392">
        <v>1</v>
      </c>
      <c r="E3361" s="165">
        <v>1</v>
      </c>
      <c r="F3361" s="1353">
        <v>1.4970000000000001</v>
      </c>
      <c r="G3361" s="401">
        <v>0.34499999999999997</v>
      </c>
      <c r="H3361" s="401">
        <v>0.3</v>
      </c>
      <c r="I3361" s="399">
        <f t="shared" si="112"/>
        <v>0.15</v>
      </c>
      <c r="J3361" s="404"/>
      <c r="K3361" s="1234"/>
      <c r="L3361" s="431"/>
      <c r="M3361" s="431"/>
      <c r="N3361" s="431"/>
    </row>
    <row r="3362" spans="1:14" s="398" customFormat="1" hidden="1" outlineLevel="1">
      <c r="A3362" s="1248"/>
      <c r="B3362" s="425"/>
      <c r="C3362" s="165" t="s">
        <v>2</v>
      </c>
      <c r="D3362" s="392">
        <v>1</v>
      </c>
      <c r="E3362" s="165">
        <v>1</v>
      </c>
      <c r="F3362" s="1353">
        <v>1.4970000000000001</v>
      </c>
      <c r="G3362" s="401">
        <v>0.23</v>
      </c>
      <c r="H3362" s="401">
        <v>0.19</v>
      </c>
      <c r="I3362" s="399">
        <f t="shared" si="112"/>
        <v>7.0000000000000007E-2</v>
      </c>
      <c r="J3362" s="404"/>
      <c r="K3362" s="1234"/>
      <c r="L3362" s="431"/>
      <c r="M3362" s="431"/>
      <c r="N3362" s="431"/>
    </row>
    <row r="3363" spans="1:14" s="398" customFormat="1" hidden="1" outlineLevel="1">
      <c r="A3363" s="1248"/>
      <c r="B3363" s="425"/>
      <c r="C3363" s="530"/>
      <c r="D3363" s="389"/>
      <c r="E3363" s="386"/>
      <c r="F3363" s="1353"/>
      <c r="G3363" s="1353"/>
      <c r="H3363" s="1353"/>
      <c r="I3363" s="399" t="str">
        <f t="shared" si="112"/>
        <v/>
      </c>
      <c r="J3363" s="404"/>
      <c r="K3363" s="1234"/>
      <c r="L3363" s="431"/>
      <c r="M3363" s="431"/>
      <c r="N3363" s="431"/>
    </row>
    <row r="3364" spans="1:14" s="398" customFormat="1" hidden="1" outlineLevel="1">
      <c r="A3364" s="1248"/>
      <c r="B3364" s="425"/>
      <c r="C3364" s="165" t="s">
        <v>2</v>
      </c>
      <c r="D3364" s="392">
        <v>1</v>
      </c>
      <c r="E3364" s="165">
        <v>1</v>
      </c>
      <c r="F3364" s="1353">
        <v>1.6</v>
      </c>
      <c r="G3364" s="401">
        <v>0.46</v>
      </c>
      <c r="H3364" s="401">
        <v>0.3</v>
      </c>
      <c r="I3364" s="399">
        <f t="shared" si="112"/>
        <v>0.22</v>
      </c>
      <c r="J3364" s="404"/>
      <c r="K3364" s="1234"/>
      <c r="L3364" s="431"/>
      <c r="M3364" s="431"/>
      <c r="N3364" s="431"/>
    </row>
    <row r="3365" spans="1:14" s="398" customFormat="1" hidden="1" outlineLevel="1">
      <c r="A3365" s="1248"/>
      <c r="B3365" s="425"/>
      <c r="C3365" s="165" t="s">
        <v>2</v>
      </c>
      <c r="D3365" s="392">
        <v>1</v>
      </c>
      <c r="E3365" s="165">
        <v>1</v>
      </c>
      <c r="F3365" s="1353">
        <v>1.6</v>
      </c>
      <c r="G3365" s="401">
        <v>0.34499999999999997</v>
      </c>
      <c r="H3365" s="401">
        <v>0.3</v>
      </c>
      <c r="I3365" s="399">
        <f t="shared" si="112"/>
        <v>0.17</v>
      </c>
      <c r="J3365" s="404"/>
      <c r="K3365" s="1234"/>
      <c r="L3365" s="431"/>
      <c r="M3365" s="431"/>
      <c r="N3365" s="431"/>
    </row>
    <row r="3366" spans="1:14" s="398" customFormat="1" hidden="1" outlineLevel="1">
      <c r="A3366" s="1248"/>
      <c r="B3366" s="425"/>
      <c r="C3366" s="165" t="s">
        <v>2</v>
      </c>
      <c r="D3366" s="392">
        <v>1</v>
      </c>
      <c r="E3366" s="165">
        <v>1</v>
      </c>
      <c r="F3366" s="1353">
        <v>1.6</v>
      </c>
      <c r="G3366" s="401">
        <v>0.23</v>
      </c>
      <c r="H3366" s="401">
        <v>0.19</v>
      </c>
      <c r="I3366" s="399">
        <f t="shared" si="112"/>
        <v>7.0000000000000007E-2</v>
      </c>
      <c r="J3366" s="404"/>
      <c r="K3366" s="1234"/>
      <c r="L3366" s="431"/>
      <c r="M3366" s="431"/>
      <c r="N3366" s="431"/>
    </row>
    <row r="3367" spans="1:14" s="398" customFormat="1" hidden="1" outlineLevel="1">
      <c r="A3367" s="1248"/>
      <c r="B3367" s="425"/>
      <c r="C3367" s="530"/>
      <c r="D3367" s="389"/>
      <c r="E3367" s="386"/>
      <c r="F3367" s="1353"/>
      <c r="G3367" s="1353"/>
      <c r="H3367" s="1353"/>
      <c r="I3367" s="399" t="str">
        <f t="shared" si="112"/>
        <v/>
      </c>
      <c r="J3367" s="404"/>
      <c r="K3367" s="1234"/>
      <c r="L3367" s="431"/>
      <c r="M3367" s="431"/>
      <c r="N3367" s="431"/>
    </row>
    <row r="3368" spans="1:14" s="398" customFormat="1" hidden="1" outlineLevel="1">
      <c r="A3368" s="1248"/>
      <c r="B3368" s="425"/>
      <c r="C3368" s="165" t="s">
        <v>2</v>
      </c>
      <c r="D3368" s="392">
        <v>1</v>
      </c>
      <c r="E3368" s="165">
        <v>1</v>
      </c>
      <c r="F3368" s="1353">
        <v>3.43</v>
      </c>
      <c r="G3368" s="401">
        <v>0.46</v>
      </c>
      <c r="H3368" s="401">
        <v>0.3</v>
      </c>
      <c r="I3368" s="399">
        <f t="shared" si="112"/>
        <v>0.47</v>
      </c>
      <c r="J3368" s="404"/>
      <c r="K3368" s="1234"/>
      <c r="L3368" s="431"/>
      <c r="M3368" s="431"/>
      <c r="N3368" s="431"/>
    </row>
    <row r="3369" spans="1:14" s="398" customFormat="1" hidden="1" outlineLevel="1">
      <c r="A3369" s="1248"/>
      <c r="B3369" s="425"/>
      <c r="C3369" s="165" t="s">
        <v>2</v>
      </c>
      <c r="D3369" s="392">
        <v>1</v>
      </c>
      <c r="E3369" s="165">
        <v>1</v>
      </c>
      <c r="F3369" s="1353">
        <v>3.43</v>
      </c>
      <c r="G3369" s="401">
        <v>0.34499999999999997</v>
      </c>
      <c r="H3369" s="401">
        <v>0.3</v>
      </c>
      <c r="I3369" s="399">
        <f t="shared" si="112"/>
        <v>0.36</v>
      </c>
      <c r="J3369" s="404"/>
      <c r="K3369" s="1234"/>
      <c r="L3369" s="431"/>
      <c r="M3369" s="431"/>
      <c r="N3369" s="431"/>
    </row>
    <row r="3370" spans="1:14" s="398" customFormat="1" hidden="1" outlineLevel="1">
      <c r="A3370" s="1248"/>
      <c r="B3370" s="425"/>
      <c r="C3370" s="165" t="s">
        <v>2</v>
      </c>
      <c r="D3370" s="392">
        <v>1</v>
      </c>
      <c r="E3370" s="165">
        <v>1</v>
      </c>
      <c r="F3370" s="1353">
        <v>3.43</v>
      </c>
      <c r="G3370" s="401">
        <v>0.23</v>
      </c>
      <c r="H3370" s="401">
        <v>0.19</v>
      </c>
      <c r="I3370" s="399">
        <f t="shared" si="112"/>
        <v>0.15</v>
      </c>
      <c r="J3370" s="404"/>
      <c r="K3370" s="1234"/>
      <c r="L3370" s="431"/>
      <c r="M3370" s="431"/>
      <c r="N3370" s="431"/>
    </row>
    <row r="3371" spans="1:14" s="398" customFormat="1" hidden="1" outlineLevel="1">
      <c r="A3371" s="1248"/>
      <c r="B3371" s="425"/>
      <c r="C3371" s="530"/>
      <c r="D3371" s="389"/>
      <c r="E3371" s="386"/>
      <c r="F3371" s="1353"/>
      <c r="G3371" s="1353"/>
      <c r="H3371" s="1353"/>
      <c r="I3371" s="399" t="str">
        <f t="shared" si="112"/>
        <v/>
      </c>
      <c r="J3371" s="404"/>
      <c r="K3371" s="1234"/>
      <c r="L3371" s="431"/>
      <c r="M3371" s="431"/>
      <c r="N3371" s="431"/>
    </row>
    <row r="3372" spans="1:14" s="398" customFormat="1" hidden="1" outlineLevel="1">
      <c r="A3372" s="1248"/>
      <c r="B3372" s="425"/>
      <c r="C3372" s="165" t="s">
        <v>2</v>
      </c>
      <c r="D3372" s="392">
        <v>1</v>
      </c>
      <c r="E3372" s="165">
        <v>1</v>
      </c>
      <c r="F3372" s="1353">
        <v>1.4970000000000001</v>
      </c>
      <c r="G3372" s="401">
        <v>0.46</v>
      </c>
      <c r="H3372" s="401">
        <v>0.3</v>
      </c>
      <c r="I3372" s="399">
        <f t="shared" si="112"/>
        <v>0.21</v>
      </c>
      <c r="J3372" s="404"/>
      <c r="K3372" s="1234"/>
      <c r="L3372" s="431"/>
      <c r="M3372" s="431"/>
      <c r="N3372" s="431"/>
    </row>
    <row r="3373" spans="1:14" s="398" customFormat="1" hidden="1" outlineLevel="1">
      <c r="A3373" s="1248"/>
      <c r="B3373" s="425"/>
      <c r="C3373" s="165" t="s">
        <v>2</v>
      </c>
      <c r="D3373" s="392">
        <v>1</v>
      </c>
      <c r="E3373" s="165">
        <v>1</v>
      </c>
      <c r="F3373" s="1353">
        <v>1.4970000000000001</v>
      </c>
      <c r="G3373" s="401">
        <v>0.34499999999999997</v>
      </c>
      <c r="H3373" s="401">
        <v>0.3</v>
      </c>
      <c r="I3373" s="399">
        <f t="shared" si="112"/>
        <v>0.15</v>
      </c>
      <c r="J3373" s="404"/>
      <c r="K3373" s="1234"/>
      <c r="L3373" s="431"/>
      <c r="M3373" s="431"/>
      <c r="N3373" s="431"/>
    </row>
    <row r="3374" spans="1:14" s="398" customFormat="1" hidden="1" outlineLevel="1">
      <c r="A3374" s="1248"/>
      <c r="B3374" s="425"/>
      <c r="C3374" s="165" t="s">
        <v>2</v>
      </c>
      <c r="D3374" s="392">
        <v>1</v>
      </c>
      <c r="E3374" s="165">
        <v>1</v>
      </c>
      <c r="F3374" s="1353">
        <v>1.4970000000000001</v>
      </c>
      <c r="G3374" s="401">
        <v>0.23</v>
      </c>
      <c r="H3374" s="401">
        <v>0.19</v>
      </c>
      <c r="I3374" s="399">
        <f t="shared" si="112"/>
        <v>7.0000000000000007E-2</v>
      </c>
      <c r="J3374" s="404"/>
      <c r="K3374" s="1234"/>
      <c r="L3374" s="431"/>
      <c r="M3374" s="431"/>
      <c r="N3374" s="431"/>
    </row>
    <row r="3375" spans="1:14" s="398" customFormat="1" hidden="1" outlineLevel="1">
      <c r="A3375" s="1248"/>
      <c r="B3375" s="425"/>
      <c r="C3375" s="530"/>
      <c r="D3375" s="389"/>
      <c r="E3375" s="386"/>
      <c r="F3375" s="1353"/>
      <c r="G3375" s="1353"/>
      <c r="H3375" s="1353"/>
      <c r="I3375" s="399" t="str">
        <f t="shared" si="112"/>
        <v/>
      </c>
      <c r="J3375" s="404"/>
      <c r="K3375" s="1234"/>
      <c r="L3375" s="431"/>
      <c r="M3375" s="431"/>
      <c r="N3375" s="431"/>
    </row>
    <row r="3376" spans="1:14" s="398" customFormat="1" hidden="1" outlineLevel="1">
      <c r="A3376" s="1248"/>
      <c r="B3376" s="425"/>
      <c r="C3376" s="165" t="s">
        <v>2</v>
      </c>
      <c r="D3376" s="392">
        <v>1</v>
      </c>
      <c r="E3376" s="165">
        <v>1</v>
      </c>
      <c r="F3376" s="1353">
        <v>3.7349999999999999</v>
      </c>
      <c r="G3376" s="401">
        <v>0.46</v>
      </c>
      <c r="H3376" s="401">
        <v>0.3</v>
      </c>
      <c r="I3376" s="399">
        <f t="shared" si="112"/>
        <v>0.52</v>
      </c>
      <c r="J3376" s="404"/>
      <c r="K3376" s="1234"/>
      <c r="L3376" s="431"/>
      <c r="M3376" s="431"/>
      <c r="N3376" s="431"/>
    </row>
    <row r="3377" spans="1:14" s="398" customFormat="1" hidden="1" outlineLevel="1">
      <c r="A3377" s="1248"/>
      <c r="B3377" s="425"/>
      <c r="C3377" s="165" t="s">
        <v>2</v>
      </c>
      <c r="D3377" s="392">
        <v>1</v>
      </c>
      <c r="E3377" s="165">
        <v>1</v>
      </c>
      <c r="F3377" s="1353">
        <v>3.7349999999999999</v>
      </c>
      <c r="G3377" s="401">
        <v>0.34499999999999997</v>
      </c>
      <c r="H3377" s="401">
        <v>0.3</v>
      </c>
      <c r="I3377" s="399">
        <f t="shared" si="112"/>
        <v>0.39</v>
      </c>
      <c r="J3377" s="404"/>
      <c r="K3377" s="1234"/>
      <c r="L3377" s="431"/>
      <c r="M3377" s="431"/>
      <c r="N3377" s="431"/>
    </row>
    <row r="3378" spans="1:14" s="398" customFormat="1" hidden="1" outlineLevel="1">
      <c r="A3378" s="1248"/>
      <c r="B3378" s="425"/>
      <c r="C3378" s="165" t="s">
        <v>2</v>
      </c>
      <c r="D3378" s="392">
        <v>1</v>
      </c>
      <c r="E3378" s="165">
        <v>1</v>
      </c>
      <c r="F3378" s="1353">
        <v>3.7349999999999999</v>
      </c>
      <c r="G3378" s="401">
        <v>0.23</v>
      </c>
      <c r="H3378" s="401">
        <v>0.19</v>
      </c>
      <c r="I3378" s="399">
        <f t="shared" si="112"/>
        <v>0.16</v>
      </c>
      <c r="J3378" s="404"/>
      <c r="K3378" s="1234"/>
      <c r="L3378" s="431"/>
      <c r="M3378" s="431"/>
      <c r="N3378" s="431"/>
    </row>
    <row r="3379" spans="1:14" s="398" customFormat="1" hidden="1" outlineLevel="1">
      <c r="A3379" s="1248"/>
      <c r="B3379" s="425"/>
      <c r="C3379" s="530"/>
      <c r="D3379" s="389"/>
      <c r="E3379" s="386"/>
      <c r="F3379" s="1353"/>
      <c r="G3379" s="1353"/>
      <c r="H3379" s="1353"/>
      <c r="I3379" s="399" t="str">
        <f t="shared" si="112"/>
        <v/>
      </c>
      <c r="J3379" s="404"/>
      <c r="K3379" s="1234"/>
      <c r="L3379" s="431"/>
      <c r="M3379" s="431"/>
      <c r="N3379" s="431"/>
    </row>
    <row r="3380" spans="1:14" s="398" customFormat="1" hidden="1" outlineLevel="1">
      <c r="A3380" s="1248"/>
      <c r="B3380" s="425"/>
      <c r="C3380" s="165" t="s">
        <v>2</v>
      </c>
      <c r="D3380" s="392">
        <v>1</v>
      </c>
      <c r="E3380" s="165">
        <v>1</v>
      </c>
      <c r="F3380" s="1353">
        <v>4.3449999999999998</v>
      </c>
      <c r="G3380" s="401">
        <v>0.46</v>
      </c>
      <c r="H3380" s="401">
        <v>0.3</v>
      </c>
      <c r="I3380" s="399">
        <f t="shared" si="112"/>
        <v>0.6</v>
      </c>
      <c r="J3380" s="404"/>
      <c r="K3380" s="1234"/>
      <c r="L3380" s="431"/>
      <c r="M3380" s="431"/>
      <c r="N3380" s="431"/>
    </row>
    <row r="3381" spans="1:14" s="398" customFormat="1" hidden="1" outlineLevel="1">
      <c r="A3381" s="1248"/>
      <c r="B3381" s="425"/>
      <c r="C3381" s="165" t="s">
        <v>2</v>
      </c>
      <c r="D3381" s="392">
        <v>1</v>
      </c>
      <c r="E3381" s="165">
        <v>1</v>
      </c>
      <c r="F3381" s="1353">
        <v>4.3449999999999998</v>
      </c>
      <c r="G3381" s="401">
        <v>0.34499999999999997</v>
      </c>
      <c r="H3381" s="401">
        <v>0.3</v>
      </c>
      <c r="I3381" s="399">
        <f t="shared" si="112"/>
        <v>0.45</v>
      </c>
      <c r="J3381" s="404"/>
      <c r="K3381" s="1234"/>
      <c r="L3381" s="431"/>
      <c r="M3381" s="431"/>
      <c r="N3381" s="431"/>
    </row>
    <row r="3382" spans="1:14" s="398" customFormat="1" hidden="1" outlineLevel="1">
      <c r="A3382" s="1248"/>
      <c r="B3382" s="425"/>
      <c r="C3382" s="165" t="s">
        <v>2</v>
      </c>
      <c r="D3382" s="392">
        <v>1</v>
      </c>
      <c r="E3382" s="165">
        <v>1</v>
      </c>
      <c r="F3382" s="1353">
        <v>4.3449999999999998</v>
      </c>
      <c r="G3382" s="401">
        <v>0.23</v>
      </c>
      <c r="H3382" s="401">
        <v>0.19</v>
      </c>
      <c r="I3382" s="399">
        <f t="shared" si="112"/>
        <v>0.19</v>
      </c>
      <c r="J3382" s="404"/>
      <c r="K3382" s="1234"/>
      <c r="L3382" s="431"/>
      <c r="M3382" s="431"/>
      <c r="N3382" s="431"/>
    </row>
    <row r="3383" spans="1:14" s="398" customFormat="1" hidden="1" outlineLevel="1">
      <c r="A3383" s="1248"/>
      <c r="B3383" s="425"/>
      <c r="C3383" s="530"/>
      <c r="D3383" s="389"/>
      <c r="E3383" s="386"/>
      <c r="F3383" s="1353"/>
      <c r="G3383" s="1353"/>
      <c r="H3383" s="1353"/>
      <c r="I3383" s="399" t="str">
        <f t="shared" si="112"/>
        <v/>
      </c>
      <c r="J3383" s="404"/>
      <c r="K3383" s="1234"/>
      <c r="L3383" s="431"/>
      <c r="M3383" s="431"/>
      <c r="N3383" s="431"/>
    </row>
    <row r="3384" spans="1:14" s="398" customFormat="1" ht="51.75" hidden="1" outlineLevel="1">
      <c r="A3384" s="1248"/>
      <c r="B3384" s="592" t="s">
        <v>846</v>
      </c>
      <c r="C3384" s="165" t="s">
        <v>2</v>
      </c>
      <c r="D3384" s="392">
        <v>1</v>
      </c>
      <c r="E3384" s="165">
        <v>1</v>
      </c>
      <c r="F3384" s="1353">
        <v>2.3860000000000001</v>
      </c>
      <c r="G3384" s="401">
        <v>0.46</v>
      </c>
      <c r="H3384" s="401">
        <v>0.3</v>
      </c>
      <c r="I3384" s="399">
        <f t="shared" si="112"/>
        <v>0.33</v>
      </c>
      <c r="J3384" s="404"/>
      <c r="K3384" s="1234"/>
      <c r="L3384" s="431"/>
      <c r="M3384" s="431"/>
      <c r="N3384" s="431"/>
    </row>
    <row r="3385" spans="1:14" s="398" customFormat="1" hidden="1" outlineLevel="1">
      <c r="A3385" s="1248"/>
      <c r="B3385" s="425"/>
      <c r="C3385" s="165" t="s">
        <v>2</v>
      </c>
      <c r="D3385" s="392">
        <v>1</v>
      </c>
      <c r="E3385" s="165">
        <v>1</v>
      </c>
      <c r="F3385" s="1353">
        <v>2.3860000000000001</v>
      </c>
      <c r="G3385" s="401">
        <v>0.34499999999999997</v>
      </c>
      <c r="H3385" s="401">
        <v>0.3</v>
      </c>
      <c r="I3385" s="399">
        <f t="shared" si="112"/>
        <v>0.25</v>
      </c>
      <c r="J3385" s="404"/>
      <c r="K3385" s="1234"/>
      <c r="L3385" s="431"/>
      <c r="M3385" s="431"/>
      <c r="N3385" s="431"/>
    </row>
    <row r="3386" spans="1:14" s="398" customFormat="1" hidden="1" outlineLevel="1">
      <c r="A3386" s="1248"/>
      <c r="B3386" s="425"/>
      <c r="C3386" s="165" t="s">
        <v>2</v>
      </c>
      <c r="D3386" s="392">
        <v>1</v>
      </c>
      <c r="E3386" s="165">
        <v>1</v>
      </c>
      <c r="F3386" s="1353">
        <v>2.3860000000000001</v>
      </c>
      <c r="G3386" s="401">
        <v>0.23</v>
      </c>
      <c r="H3386" s="401">
        <v>0.19</v>
      </c>
      <c r="I3386" s="399">
        <f t="shared" si="112"/>
        <v>0.1</v>
      </c>
      <c r="J3386" s="404"/>
      <c r="K3386" s="1234"/>
      <c r="L3386" s="431"/>
      <c r="M3386" s="431"/>
      <c r="N3386" s="431"/>
    </row>
    <row r="3387" spans="1:14" s="398" customFormat="1" hidden="1" outlineLevel="1">
      <c r="A3387" s="1248"/>
      <c r="B3387" s="425"/>
      <c r="C3387" s="530"/>
      <c r="D3387" s="389"/>
      <c r="E3387" s="386"/>
      <c r="F3387" s="1353"/>
      <c r="G3387" s="1353"/>
      <c r="H3387" s="1353"/>
      <c r="I3387" s="399" t="str">
        <f t="shared" si="112"/>
        <v/>
      </c>
      <c r="J3387" s="404"/>
      <c r="K3387" s="1234"/>
      <c r="L3387" s="431"/>
      <c r="M3387" s="431"/>
      <c r="N3387" s="431"/>
    </row>
    <row r="3388" spans="1:14" s="398" customFormat="1" hidden="1" outlineLevel="1">
      <c r="A3388" s="1248"/>
      <c r="B3388" s="425"/>
      <c r="C3388" s="165" t="s">
        <v>2</v>
      </c>
      <c r="D3388" s="392">
        <v>1</v>
      </c>
      <c r="E3388" s="165">
        <v>1</v>
      </c>
      <c r="F3388" s="1353">
        <f>8.255+4.207+7.541</f>
        <v>20.003</v>
      </c>
      <c r="G3388" s="401">
        <v>0.46</v>
      </c>
      <c r="H3388" s="401">
        <v>0.3</v>
      </c>
      <c r="I3388" s="399">
        <f t="shared" si="112"/>
        <v>2.76</v>
      </c>
      <c r="J3388" s="404"/>
      <c r="K3388" s="1234"/>
      <c r="L3388" s="431"/>
      <c r="M3388" s="431"/>
      <c r="N3388" s="431"/>
    </row>
    <row r="3389" spans="1:14" s="398" customFormat="1" hidden="1" outlineLevel="1">
      <c r="A3389" s="1248"/>
      <c r="B3389" s="425"/>
      <c r="C3389" s="165" t="s">
        <v>2</v>
      </c>
      <c r="D3389" s="392">
        <v>1</v>
      </c>
      <c r="E3389" s="165">
        <v>1</v>
      </c>
      <c r="F3389" s="1353">
        <f t="shared" ref="F3389:F3390" si="113">8.255+4.207+7.541</f>
        <v>20.003</v>
      </c>
      <c r="G3389" s="401">
        <v>0.34499999999999997</v>
      </c>
      <c r="H3389" s="401">
        <v>0.3</v>
      </c>
      <c r="I3389" s="399">
        <f t="shared" si="112"/>
        <v>2.0699999999999998</v>
      </c>
      <c r="J3389" s="404"/>
      <c r="K3389" s="1234"/>
      <c r="L3389" s="431"/>
      <c r="M3389" s="431"/>
      <c r="N3389" s="431"/>
    </row>
    <row r="3390" spans="1:14" s="398" customFormat="1" hidden="1" outlineLevel="1">
      <c r="A3390" s="1248"/>
      <c r="B3390" s="425"/>
      <c r="C3390" s="165" t="s">
        <v>2</v>
      </c>
      <c r="D3390" s="392">
        <v>1</v>
      </c>
      <c r="E3390" s="165">
        <v>1</v>
      </c>
      <c r="F3390" s="1353">
        <f t="shared" si="113"/>
        <v>20.003</v>
      </c>
      <c r="G3390" s="401">
        <v>0.23</v>
      </c>
      <c r="H3390" s="401">
        <v>0.19</v>
      </c>
      <c r="I3390" s="399">
        <f t="shared" si="112"/>
        <v>0.87</v>
      </c>
      <c r="J3390" s="404"/>
      <c r="K3390" s="1234"/>
      <c r="L3390" s="431"/>
      <c r="M3390" s="431"/>
      <c r="N3390" s="431"/>
    </row>
    <row r="3391" spans="1:14" s="398" customFormat="1" hidden="1" outlineLevel="1">
      <c r="A3391" s="1248"/>
      <c r="B3391" s="425"/>
      <c r="C3391" s="530"/>
      <c r="D3391" s="389"/>
      <c r="E3391" s="386"/>
      <c r="F3391" s="1353"/>
      <c r="G3391" s="1353"/>
      <c r="H3391" s="1353"/>
      <c r="I3391" s="399" t="str">
        <f t="shared" si="112"/>
        <v/>
      </c>
      <c r="J3391" s="404"/>
      <c r="K3391" s="1234"/>
      <c r="L3391" s="431"/>
      <c r="M3391" s="431"/>
      <c r="N3391" s="431"/>
    </row>
    <row r="3392" spans="1:14" s="398" customFormat="1" hidden="1" outlineLevel="1">
      <c r="A3392" s="1248"/>
      <c r="B3392" s="425" t="s">
        <v>847</v>
      </c>
      <c r="C3392" s="165" t="s">
        <v>2</v>
      </c>
      <c r="D3392" s="392">
        <v>1</v>
      </c>
      <c r="E3392" s="165">
        <v>1</v>
      </c>
      <c r="F3392" s="1353">
        <f>33.791-G3392</f>
        <v>33.330999999999996</v>
      </c>
      <c r="G3392" s="401">
        <v>0.46</v>
      </c>
      <c r="H3392" s="401">
        <v>0.3</v>
      </c>
      <c r="I3392" s="399">
        <f t="shared" si="112"/>
        <v>4.5999999999999996</v>
      </c>
      <c r="J3392" s="404"/>
      <c r="K3392" s="1234"/>
      <c r="L3392" s="431"/>
      <c r="M3392" s="431"/>
      <c r="N3392" s="431"/>
    </row>
    <row r="3393" spans="1:14" s="398" customFormat="1" hidden="1" outlineLevel="1">
      <c r="A3393" s="1248"/>
      <c r="B3393" s="425"/>
      <c r="C3393" s="165" t="s">
        <v>2</v>
      </c>
      <c r="D3393" s="392">
        <v>1</v>
      </c>
      <c r="E3393" s="165">
        <v>1</v>
      </c>
      <c r="F3393" s="1354">
        <v>33.331000000000003</v>
      </c>
      <c r="G3393" s="401">
        <v>0.34499999999999997</v>
      </c>
      <c r="H3393" s="401">
        <v>0.3</v>
      </c>
      <c r="I3393" s="399">
        <f t="shared" si="112"/>
        <v>3.45</v>
      </c>
      <c r="J3393" s="404"/>
      <c r="K3393" s="1234"/>
      <c r="L3393" s="431"/>
      <c r="M3393" s="431"/>
      <c r="N3393" s="431"/>
    </row>
    <row r="3394" spans="1:14" s="398" customFormat="1" hidden="1" outlineLevel="1">
      <c r="A3394" s="1248"/>
      <c r="B3394" s="425"/>
      <c r="C3394" s="165" t="s">
        <v>2</v>
      </c>
      <c r="D3394" s="392">
        <v>1</v>
      </c>
      <c r="E3394" s="165">
        <v>1</v>
      </c>
      <c r="F3394" s="1354">
        <v>33.331000000000003</v>
      </c>
      <c r="G3394" s="401">
        <v>0.23</v>
      </c>
      <c r="H3394" s="401">
        <v>0.19</v>
      </c>
      <c r="I3394" s="399">
        <f t="shared" si="112"/>
        <v>1.46</v>
      </c>
      <c r="J3394" s="404"/>
      <c r="K3394" s="1234"/>
      <c r="L3394" s="431"/>
      <c r="M3394" s="431"/>
      <c r="N3394" s="431"/>
    </row>
    <row r="3395" spans="1:14" s="398" customFormat="1" hidden="1" outlineLevel="1">
      <c r="A3395" s="1248"/>
      <c r="B3395" s="425"/>
      <c r="C3395" s="530"/>
      <c r="D3395" s="389"/>
      <c r="E3395" s="386"/>
      <c r="F3395" s="1353"/>
      <c r="G3395" s="1353"/>
      <c r="H3395" s="1353"/>
      <c r="I3395" s="399" t="str">
        <f t="shared" si="112"/>
        <v/>
      </c>
      <c r="J3395" s="404"/>
      <c r="K3395" s="1234"/>
      <c r="L3395" s="431"/>
      <c r="M3395" s="431"/>
      <c r="N3395" s="431"/>
    </row>
    <row r="3396" spans="1:14" s="398" customFormat="1" ht="34.5" hidden="1" outlineLevel="1">
      <c r="A3396" s="1248"/>
      <c r="B3396" s="425" t="s">
        <v>848</v>
      </c>
      <c r="C3396" s="165" t="s">
        <v>2</v>
      </c>
      <c r="D3396" s="392">
        <v>1</v>
      </c>
      <c r="E3396" s="165">
        <v>1</v>
      </c>
      <c r="F3396" s="1354">
        <v>31.771000000000001</v>
      </c>
      <c r="G3396" s="401">
        <v>0.46</v>
      </c>
      <c r="H3396" s="401">
        <v>0.3</v>
      </c>
      <c r="I3396" s="399">
        <f t="shared" si="112"/>
        <v>4.38</v>
      </c>
      <c r="J3396" s="404"/>
      <c r="K3396" s="1234"/>
      <c r="L3396" s="431"/>
      <c r="M3396" s="431"/>
      <c r="N3396" s="431"/>
    </row>
    <row r="3397" spans="1:14" s="398" customFormat="1" hidden="1" outlineLevel="1">
      <c r="A3397" s="1248"/>
      <c r="B3397" s="425"/>
      <c r="C3397" s="165" t="s">
        <v>2</v>
      </c>
      <c r="D3397" s="392">
        <v>1</v>
      </c>
      <c r="E3397" s="165">
        <v>1</v>
      </c>
      <c r="F3397" s="1354">
        <v>31.771000000000001</v>
      </c>
      <c r="G3397" s="401">
        <v>0.34499999999999997</v>
      </c>
      <c r="H3397" s="401">
        <v>0.3</v>
      </c>
      <c r="I3397" s="399">
        <f t="shared" si="112"/>
        <v>3.29</v>
      </c>
      <c r="J3397" s="404"/>
      <c r="K3397" s="1234"/>
      <c r="L3397" s="431"/>
      <c r="M3397" s="431"/>
      <c r="N3397" s="431"/>
    </row>
    <row r="3398" spans="1:14" s="398" customFormat="1" hidden="1" outlineLevel="1">
      <c r="A3398" s="1248"/>
      <c r="B3398" s="425"/>
      <c r="C3398" s="165" t="s">
        <v>2</v>
      </c>
      <c r="D3398" s="392">
        <v>1</v>
      </c>
      <c r="E3398" s="165">
        <v>1</v>
      </c>
      <c r="F3398" s="1354">
        <v>31.771000000000001</v>
      </c>
      <c r="G3398" s="401">
        <v>0.23</v>
      </c>
      <c r="H3398" s="401">
        <v>0.19</v>
      </c>
      <c r="I3398" s="399">
        <f t="shared" si="112"/>
        <v>1.39</v>
      </c>
      <c r="J3398" s="404"/>
      <c r="K3398" s="1234"/>
      <c r="L3398" s="431"/>
      <c r="M3398" s="431"/>
      <c r="N3398" s="431"/>
    </row>
    <row r="3399" spans="1:14" s="398" customFormat="1" hidden="1" outlineLevel="1">
      <c r="A3399" s="1248"/>
      <c r="B3399" s="425"/>
      <c r="C3399" s="530"/>
      <c r="D3399" s="389"/>
      <c r="E3399" s="386"/>
      <c r="F3399" s="1353"/>
      <c r="G3399" s="1353"/>
      <c r="H3399" s="1353"/>
      <c r="I3399" s="399" t="str">
        <f t="shared" si="112"/>
        <v/>
      </c>
      <c r="J3399" s="404"/>
      <c r="K3399" s="1234"/>
      <c r="L3399" s="431"/>
      <c r="M3399" s="431"/>
      <c r="N3399" s="431"/>
    </row>
    <row r="3400" spans="1:14" s="398" customFormat="1" hidden="1" outlineLevel="1">
      <c r="A3400" s="1248"/>
      <c r="B3400" s="425"/>
      <c r="C3400" s="165" t="s">
        <v>2</v>
      </c>
      <c r="D3400" s="392">
        <v>1</v>
      </c>
      <c r="E3400" s="165">
        <v>1</v>
      </c>
      <c r="F3400" s="1354">
        <v>4.3730000000000002</v>
      </c>
      <c r="G3400" s="401">
        <v>0.46</v>
      </c>
      <c r="H3400" s="401">
        <v>0.3</v>
      </c>
      <c r="I3400" s="399">
        <f t="shared" si="112"/>
        <v>0.6</v>
      </c>
      <c r="J3400" s="404"/>
      <c r="K3400" s="1234"/>
      <c r="L3400" s="431"/>
      <c r="M3400" s="431"/>
      <c r="N3400" s="431"/>
    </row>
    <row r="3401" spans="1:14" s="398" customFormat="1" hidden="1" outlineLevel="1">
      <c r="A3401" s="1248"/>
      <c r="B3401" s="425"/>
      <c r="C3401" s="165" t="s">
        <v>2</v>
      </c>
      <c r="D3401" s="392">
        <v>1</v>
      </c>
      <c r="E3401" s="165">
        <v>1</v>
      </c>
      <c r="F3401" s="1354">
        <v>4.3730000000000002</v>
      </c>
      <c r="G3401" s="401">
        <v>0.34499999999999997</v>
      </c>
      <c r="H3401" s="401">
        <v>0.3</v>
      </c>
      <c r="I3401" s="399">
        <f t="shared" si="112"/>
        <v>0.45</v>
      </c>
      <c r="J3401" s="404"/>
      <c r="K3401" s="1234"/>
      <c r="L3401" s="431"/>
      <c r="M3401" s="431"/>
      <c r="N3401" s="431"/>
    </row>
    <row r="3402" spans="1:14" s="398" customFormat="1" hidden="1" outlineLevel="1">
      <c r="A3402" s="1248"/>
      <c r="B3402" s="425"/>
      <c r="C3402" s="165" t="s">
        <v>2</v>
      </c>
      <c r="D3402" s="392">
        <v>1</v>
      </c>
      <c r="E3402" s="165">
        <v>1</v>
      </c>
      <c r="F3402" s="1354">
        <v>4.3730000000000002</v>
      </c>
      <c r="G3402" s="401">
        <v>0.23</v>
      </c>
      <c r="H3402" s="401">
        <v>0.19</v>
      </c>
      <c r="I3402" s="399">
        <f t="shared" si="112"/>
        <v>0.19</v>
      </c>
      <c r="J3402" s="404"/>
      <c r="K3402" s="1234"/>
      <c r="L3402" s="431"/>
      <c r="M3402" s="431"/>
      <c r="N3402" s="431"/>
    </row>
    <row r="3403" spans="1:14" s="398" customFormat="1" hidden="1" outlineLevel="1">
      <c r="A3403" s="1248"/>
      <c r="B3403" s="425"/>
      <c r="C3403" s="530"/>
      <c r="D3403" s="389"/>
      <c r="E3403" s="386"/>
      <c r="F3403" s="1353"/>
      <c r="G3403" s="1353"/>
      <c r="H3403" s="1353"/>
      <c r="I3403" s="399" t="str">
        <f t="shared" si="112"/>
        <v/>
      </c>
      <c r="J3403" s="404"/>
      <c r="K3403" s="1234"/>
      <c r="L3403" s="431"/>
      <c r="M3403" s="431"/>
      <c r="N3403" s="431"/>
    </row>
    <row r="3404" spans="1:14" s="398" customFormat="1" hidden="1" outlineLevel="1">
      <c r="A3404" s="1248"/>
      <c r="B3404" s="425"/>
      <c r="C3404" s="165" t="s">
        <v>2</v>
      </c>
      <c r="D3404" s="392">
        <v>1</v>
      </c>
      <c r="E3404" s="165">
        <v>1</v>
      </c>
      <c r="F3404" s="1354">
        <v>0.17</v>
      </c>
      <c r="G3404" s="401">
        <v>0.46</v>
      </c>
      <c r="H3404" s="401">
        <v>0.3</v>
      </c>
      <c r="I3404" s="399">
        <f t="shared" si="112"/>
        <v>0.02</v>
      </c>
      <c r="J3404" s="404"/>
      <c r="K3404" s="1234"/>
      <c r="L3404" s="431"/>
      <c r="M3404" s="431"/>
      <c r="N3404" s="431"/>
    </row>
    <row r="3405" spans="1:14" s="398" customFormat="1" hidden="1" outlineLevel="1">
      <c r="A3405" s="1248"/>
      <c r="B3405" s="425"/>
      <c r="C3405" s="165" t="s">
        <v>2</v>
      </c>
      <c r="D3405" s="392">
        <v>1</v>
      </c>
      <c r="E3405" s="165">
        <v>1</v>
      </c>
      <c r="F3405" s="1354">
        <v>0.17</v>
      </c>
      <c r="G3405" s="401">
        <v>0.34499999999999997</v>
      </c>
      <c r="H3405" s="401">
        <v>0.3</v>
      </c>
      <c r="I3405" s="399">
        <f t="shared" si="112"/>
        <v>0.02</v>
      </c>
      <c r="J3405" s="404"/>
      <c r="K3405" s="1234"/>
      <c r="L3405" s="431"/>
      <c r="M3405" s="431"/>
      <c r="N3405" s="431"/>
    </row>
    <row r="3406" spans="1:14" s="398" customFormat="1" hidden="1" outlineLevel="1">
      <c r="A3406" s="1248"/>
      <c r="B3406" s="425"/>
      <c r="C3406" s="165" t="s">
        <v>2</v>
      </c>
      <c r="D3406" s="392">
        <v>1</v>
      </c>
      <c r="E3406" s="165">
        <v>1</v>
      </c>
      <c r="F3406" s="1354">
        <v>0.17</v>
      </c>
      <c r="G3406" s="401">
        <v>0.23</v>
      </c>
      <c r="H3406" s="401">
        <v>0.19</v>
      </c>
      <c r="I3406" s="399">
        <f t="shared" si="112"/>
        <v>0.01</v>
      </c>
      <c r="J3406" s="404"/>
      <c r="K3406" s="1234"/>
      <c r="L3406" s="431"/>
      <c r="M3406" s="431"/>
      <c r="N3406" s="431"/>
    </row>
    <row r="3407" spans="1:14" s="398" customFormat="1" hidden="1" outlineLevel="1">
      <c r="A3407" s="1248"/>
      <c r="B3407" s="425"/>
      <c r="C3407" s="530"/>
      <c r="D3407" s="389"/>
      <c r="E3407" s="386"/>
      <c r="F3407" s="1354">
        <v>0.17</v>
      </c>
      <c r="G3407" s="1353"/>
      <c r="H3407" s="1353"/>
      <c r="I3407" s="399" t="str">
        <f t="shared" si="112"/>
        <v/>
      </c>
      <c r="J3407" s="404"/>
      <c r="K3407" s="1234"/>
      <c r="L3407" s="431"/>
      <c r="M3407" s="431"/>
      <c r="N3407" s="431"/>
    </row>
    <row r="3408" spans="1:14" s="398" customFormat="1" ht="34.5" hidden="1" outlineLevel="1">
      <c r="A3408" s="1248"/>
      <c r="B3408" s="592" t="s">
        <v>849</v>
      </c>
      <c r="C3408" s="165"/>
      <c r="D3408" s="392"/>
      <c r="E3408" s="165"/>
      <c r="F3408" s="1353"/>
      <c r="G3408" s="401"/>
      <c r="H3408" s="401"/>
      <c r="I3408" s="399" t="str">
        <f t="shared" si="112"/>
        <v/>
      </c>
      <c r="J3408" s="404"/>
      <c r="K3408" s="1234"/>
      <c r="L3408" s="431"/>
      <c r="M3408" s="431"/>
      <c r="N3408" s="431"/>
    </row>
    <row r="3409" spans="1:14" s="398" customFormat="1" ht="34.5" hidden="1" outlineLevel="1">
      <c r="A3409" s="1248"/>
      <c r="B3409" s="425" t="s">
        <v>850</v>
      </c>
      <c r="C3409" s="165" t="s">
        <v>2</v>
      </c>
      <c r="D3409" s="392">
        <v>1</v>
      </c>
      <c r="E3409" s="165">
        <v>1</v>
      </c>
      <c r="F3409" s="1354">
        <v>18.742999999999999</v>
      </c>
      <c r="G3409" s="401">
        <v>0.46</v>
      </c>
      <c r="H3409" s="401">
        <v>0.3</v>
      </c>
      <c r="I3409" s="399">
        <f t="shared" si="112"/>
        <v>2.59</v>
      </c>
      <c r="J3409" s="404"/>
      <c r="K3409" s="1234"/>
      <c r="L3409" s="431"/>
      <c r="M3409" s="431"/>
      <c r="N3409" s="431"/>
    </row>
    <row r="3410" spans="1:14" s="398" customFormat="1" hidden="1" outlineLevel="1">
      <c r="A3410" s="1248"/>
      <c r="B3410" s="425"/>
      <c r="C3410" s="165" t="s">
        <v>2</v>
      </c>
      <c r="D3410" s="392">
        <v>1</v>
      </c>
      <c r="E3410" s="165">
        <v>1</v>
      </c>
      <c r="F3410" s="1354">
        <v>18.742999999999999</v>
      </c>
      <c r="G3410" s="401">
        <v>0.34499999999999997</v>
      </c>
      <c r="H3410" s="401">
        <v>0.3</v>
      </c>
      <c r="I3410" s="399">
        <f t="shared" si="112"/>
        <v>1.94</v>
      </c>
      <c r="J3410" s="404"/>
      <c r="K3410" s="1234"/>
      <c r="L3410" s="431"/>
      <c r="M3410" s="431"/>
      <c r="N3410" s="431"/>
    </row>
    <row r="3411" spans="1:14" s="398" customFormat="1" hidden="1" outlineLevel="1">
      <c r="A3411" s="1248"/>
      <c r="B3411" s="425"/>
      <c r="C3411" s="165" t="s">
        <v>2</v>
      </c>
      <c r="D3411" s="392">
        <v>1</v>
      </c>
      <c r="E3411" s="165">
        <v>1</v>
      </c>
      <c r="F3411" s="1354">
        <v>18.742999999999999</v>
      </c>
      <c r="G3411" s="401">
        <v>0.23</v>
      </c>
      <c r="H3411" s="401">
        <v>0.19</v>
      </c>
      <c r="I3411" s="399">
        <f t="shared" si="112"/>
        <v>0.82</v>
      </c>
      <c r="J3411" s="404"/>
      <c r="K3411" s="1234"/>
      <c r="L3411" s="431"/>
      <c r="M3411" s="431"/>
      <c r="N3411" s="431"/>
    </row>
    <row r="3412" spans="1:14" s="398" customFormat="1" hidden="1" outlineLevel="1">
      <c r="A3412" s="1248"/>
      <c r="B3412" s="425"/>
      <c r="C3412" s="530"/>
      <c r="D3412" s="389"/>
      <c r="E3412" s="386"/>
      <c r="F3412" s="1353"/>
      <c r="G3412" s="1353"/>
      <c r="H3412" s="1353"/>
      <c r="I3412" s="399" t="str">
        <f t="shared" si="112"/>
        <v/>
      </c>
      <c r="J3412" s="404"/>
      <c r="K3412" s="1234"/>
      <c r="L3412" s="431"/>
      <c r="M3412" s="431"/>
      <c r="N3412" s="431"/>
    </row>
    <row r="3413" spans="1:14" s="398" customFormat="1" hidden="1" outlineLevel="1">
      <c r="A3413" s="1248"/>
      <c r="B3413" s="425"/>
      <c r="C3413" s="165" t="s">
        <v>2</v>
      </c>
      <c r="D3413" s="392">
        <v>1</v>
      </c>
      <c r="E3413" s="165">
        <v>1</v>
      </c>
      <c r="F3413" s="1353">
        <f>0.168+9.528+0.172</f>
        <v>9.8680000000000003</v>
      </c>
      <c r="G3413" s="401">
        <v>0.46</v>
      </c>
      <c r="H3413" s="401">
        <v>0.3</v>
      </c>
      <c r="I3413" s="399">
        <f t="shared" si="112"/>
        <v>1.36</v>
      </c>
      <c r="J3413" s="404"/>
      <c r="K3413" s="1234"/>
      <c r="L3413" s="431"/>
      <c r="M3413" s="431"/>
      <c r="N3413" s="431"/>
    </row>
    <row r="3414" spans="1:14" s="398" customFormat="1" hidden="1" outlineLevel="1">
      <c r="A3414" s="1248"/>
      <c r="B3414" s="425"/>
      <c r="C3414" s="165" t="s">
        <v>2</v>
      </c>
      <c r="D3414" s="392">
        <v>1</v>
      </c>
      <c r="E3414" s="165">
        <v>1</v>
      </c>
      <c r="F3414" s="1353">
        <f t="shared" ref="F3414:F3415" si="114">0.168+9.528+0.172</f>
        <v>9.8680000000000003</v>
      </c>
      <c r="G3414" s="401">
        <v>0.34499999999999997</v>
      </c>
      <c r="H3414" s="401">
        <v>0.3</v>
      </c>
      <c r="I3414" s="399">
        <f t="shared" si="112"/>
        <v>1.02</v>
      </c>
      <c r="J3414" s="404"/>
      <c r="K3414" s="1234"/>
      <c r="L3414" s="431"/>
      <c r="M3414" s="431"/>
      <c r="N3414" s="431"/>
    </row>
    <row r="3415" spans="1:14" s="398" customFormat="1" hidden="1" outlineLevel="1">
      <c r="A3415" s="1248"/>
      <c r="B3415" s="425"/>
      <c r="C3415" s="165" t="s">
        <v>2</v>
      </c>
      <c r="D3415" s="392">
        <v>1</v>
      </c>
      <c r="E3415" s="165">
        <v>1</v>
      </c>
      <c r="F3415" s="1353">
        <f t="shared" si="114"/>
        <v>9.8680000000000003</v>
      </c>
      <c r="G3415" s="401">
        <v>0.23</v>
      </c>
      <c r="H3415" s="401">
        <v>0.19</v>
      </c>
      <c r="I3415" s="399">
        <f t="shared" si="112"/>
        <v>0.43</v>
      </c>
      <c r="J3415" s="404"/>
      <c r="K3415" s="1234"/>
      <c r="L3415" s="431"/>
      <c r="M3415" s="431"/>
      <c r="N3415" s="431"/>
    </row>
    <row r="3416" spans="1:14" s="398" customFormat="1" hidden="1" outlineLevel="1">
      <c r="A3416" s="1248"/>
      <c r="B3416" s="425"/>
      <c r="C3416" s="530"/>
      <c r="D3416" s="389"/>
      <c r="E3416" s="386"/>
      <c r="F3416" s="1353"/>
      <c r="G3416" s="1353"/>
      <c r="H3416" s="1353"/>
      <c r="I3416" s="399" t="str">
        <f t="shared" ref="I3416:I3479" si="115">IF(D3416&lt;&gt;0,ROUND(PRODUCT(E3416:H3416)*D3416,2),"")</f>
        <v/>
      </c>
      <c r="J3416" s="404"/>
      <c r="K3416" s="1234"/>
      <c r="L3416" s="431"/>
      <c r="M3416" s="431"/>
      <c r="N3416" s="431"/>
    </row>
    <row r="3417" spans="1:14" s="398" customFormat="1" hidden="1" outlineLevel="1">
      <c r="A3417" s="1248"/>
      <c r="B3417" s="425"/>
      <c r="C3417" s="165" t="s">
        <v>2</v>
      </c>
      <c r="D3417" s="392">
        <v>1</v>
      </c>
      <c r="E3417" s="165">
        <v>1</v>
      </c>
      <c r="F3417" s="1354">
        <v>7.05</v>
      </c>
      <c r="G3417" s="401">
        <v>0.46</v>
      </c>
      <c r="H3417" s="401">
        <v>0.3</v>
      </c>
      <c r="I3417" s="399">
        <f t="shared" si="115"/>
        <v>0.97</v>
      </c>
      <c r="J3417" s="404"/>
      <c r="K3417" s="1234"/>
      <c r="L3417" s="431"/>
      <c r="M3417" s="431"/>
      <c r="N3417" s="431"/>
    </row>
    <row r="3418" spans="1:14" s="398" customFormat="1" hidden="1" outlineLevel="1">
      <c r="A3418" s="1248"/>
      <c r="B3418" s="425"/>
      <c r="C3418" s="165" t="s">
        <v>2</v>
      </c>
      <c r="D3418" s="392">
        <v>1</v>
      </c>
      <c r="E3418" s="165">
        <v>1</v>
      </c>
      <c r="F3418" s="1354">
        <v>7.05</v>
      </c>
      <c r="G3418" s="401">
        <v>0.34499999999999997</v>
      </c>
      <c r="H3418" s="401">
        <v>0.3</v>
      </c>
      <c r="I3418" s="399">
        <f t="shared" si="115"/>
        <v>0.73</v>
      </c>
      <c r="J3418" s="404"/>
      <c r="K3418" s="1234"/>
      <c r="L3418" s="431"/>
      <c r="M3418" s="431"/>
      <c r="N3418" s="431"/>
    </row>
    <row r="3419" spans="1:14" s="398" customFormat="1" hidden="1" outlineLevel="1">
      <c r="A3419" s="1248"/>
      <c r="B3419" s="425"/>
      <c r="C3419" s="165" t="s">
        <v>2</v>
      </c>
      <c r="D3419" s="392">
        <v>1</v>
      </c>
      <c r="E3419" s="165">
        <v>1</v>
      </c>
      <c r="F3419" s="1354">
        <v>7.05</v>
      </c>
      <c r="G3419" s="401">
        <v>0.23</v>
      </c>
      <c r="H3419" s="401">
        <v>0.19</v>
      </c>
      <c r="I3419" s="399">
        <f t="shared" si="115"/>
        <v>0.31</v>
      </c>
      <c r="J3419" s="404"/>
      <c r="K3419" s="1234"/>
      <c r="L3419" s="431"/>
      <c r="M3419" s="431"/>
      <c r="N3419" s="431"/>
    </row>
    <row r="3420" spans="1:14" s="398" customFormat="1" hidden="1" outlineLevel="1">
      <c r="A3420" s="1248"/>
      <c r="B3420" s="425"/>
      <c r="C3420" s="530"/>
      <c r="D3420" s="389"/>
      <c r="E3420" s="386"/>
      <c r="F3420" s="1353"/>
      <c r="G3420" s="1353"/>
      <c r="H3420" s="1353"/>
      <c r="I3420" s="399" t="str">
        <f t="shared" si="115"/>
        <v/>
      </c>
      <c r="J3420" s="404"/>
      <c r="K3420" s="1234"/>
      <c r="L3420" s="431"/>
      <c r="M3420" s="431"/>
      <c r="N3420" s="431"/>
    </row>
    <row r="3421" spans="1:14" s="398" customFormat="1" ht="51.75" hidden="1" outlineLevel="1">
      <c r="A3421" s="1248"/>
      <c r="B3421" s="425" t="s">
        <v>851</v>
      </c>
      <c r="C3421" s="165"/>
      <c r="D3421" s="392"/>
      <c r="E3421" s="165"/>
      <c r="F3421" s="1353"/>
      <c r="G3421" s="401"/>
      <c r="H3421" s="401"/>
      <c r="I3421" s="399" t="str">
        <f t="shared" si="115"/>
        <v/>
      </c>
      <c r="J3421" s="404"/>
      <c r="K3421" s="1234"/>
      <c r="L3421" s="431"/>
      <c r="M3421" s="431"/>
      <c r="N3421" s="431"/>
    </row>
    <row r="3422" spans="1:14" s="398" customFormat="1" hidden="1" outlineLevel="1">
      <c r="A3422" s="1248"/>
      <c r="B3422" s="425"/>
      <c r="C3422" s="165" t="s">
        <v>167</v>
      </c>
      <c r="D3422" s="438">
        <v>1</v>
      </c>
      <c r="E3422" s="333">
        <v>1</v>
      </c>
      <c r="F3422" s="1354">
        <v>36.695999999999998</v>
      </c>
      <c r="G3422" s="662">
        <v>0.46</v>
      </c>
      <c r="H3422" s="662">
        <v>0.3</v>
      </c>
      <c r="I3422" s="399">
        <f t="shared" si="115"/>
        <v>5.0599999999999996</v>
      </c>
      <c r="J3422" s="404"/>
      <c r="K3422" s="1234"/>
      <c r="L3422" s="431"/>
      <c r="M3422" s="431"/>
      <c r="N3422" s="431"/>
    </row>
    <row r="3423" spans="1:14" s="398" customFormat="1" hidden="1" outlineLevel="1">
      <c r="A3423" s="1248"/>
      <c r="B3423" s="425"/>
      <c r="C3423" s="165" t="s">
        <v>167</v>
      </c>
      <c r="D3423" s="438">
        <v>1</v>
      </c>
      <c r="E3423" s="333">
        <v>1</v>
      </c>
      <c r="F3423" s="1354">
        <v>36.695999999999998</v>
      </c>
      <c r="G3423" s="662">
        <v>0.34499999999999997</v>
      </c>
      <c r="H3423" s="662">
        <v>0.3</v>
      </c>
      <c r="I3423" s="399">
        <f t="shared" si="115"/>
        <v>3.8</v>
      </c>
      <c r="J3423" s="404"/>
      <c r="K3423" s="1234"/>
      <c r="L3423" s="431"/>
      <c r="M3423" s="431"/>
      <c r="N3423" s="431"/>
    </row>
    <row r="3424" spans="1:14" s="398" customFormat="1" hidden="1" outlineLevel="1">
      <c r="A3424" s="1248"/>
      <c r="B3424" s="425"/>
      <c r="C3424" s="165" t="s">
        <v>167</v>
      </c>
      <c r="D3424" s="438">
        <v>1</v>
      </c>
      <c r="E3424" s="333">
        <v>1</v>
      </c>
      <c r="F3424" s="1354">
        <v>36.695999999999998</v>
      </c>
      <c r="G3424" s="662">
        <v>0.23</v>
      </c>
      <c r="H3424" s="662">
        <v>0.19</v>
      </c>
      <c r="I3424" s="399">
        <f t="shared" si="115"/>
        <v>1.6</v>
      </c>
      <c r="J3424" s="404"/>
      <c r="K3424" s="1234"/>
      <c r="L3424" s="431"/>
      <c r="M3424" s="431"/>
      <c r="N3424" s="431"/>
    </row>
    <row r="3425" spans="1:14" s="398" customFormat="1" hidden="1" outlineLevel="1">
      <c r="A3425" s="1248"/>
      <c r="B3425" s="425"/>
      <c r="C3425" s="165" t="s">
        <v>2</v>
      </c>
      <c r="D3425" s="665">
        <f t="shared" ref="D3425:D3435" si="116">1*0</f>
        <v>0</v>
      </c>
      <c r="E3425" s="345">
        <v>1</v>
      </c>
      <c r="F3425" s="1355">
        <f>0.337</f>
        <v>0.33700000000000002</v>
      </c>
      <c r="G3425" s="1356">
        <v>0.46</v>
      </c>
      <c r="H3425" s="1356">
        <v>0.3</v>
      </c>
      <c r="I3425" s="399" t="str">
        <f t="shared" si="115"/>
        <v/>
      </c>
      <c r="J3425" s="404"/>
      <c r="K3425" s="1234"/>
      <c r="L3425" s="431"/>
      <c r="M3425" s="431"/>
      <c r="N3425" s="431"/>
    </row>
    <row r="3426" spans="1:14" s="398" customFormat="1" hidden="1" outlineLevel="1">
      <c r="A3426" s="1248"/>
      <c r="B3426" s="425"/>
      <c r="C3426" s="165" t="s">
        <v>2</v>
      </c>
      <c r="D3426" s="665">
        <f t="shared" si="116"/>
        <v>0</v>
      </c>
      <c r="E3426" s="345">
        <v>1</v>
      </c>
      <c r="F3426" s="1355">
        <f t="shared" ref="F3426:F3427" si="117">0.337</f>
        <v>0.33700000000000002</v>
      </c>
      <c r="G3426" s="1356">
        <v>0.34499999999999997</v>
      </c>
      <c r="H3426" s="1356">
        <v>0.3</v>
      </c>
      <c r="I3426" s="399" t="str">
        <f t="shared" si="115"/>
        <v/>
      </c>
      <c r="J3426" s="404"/>
      <c r="K3426" s="1234"/>
      <c r="L3426" s="431"/>
      <c r="M3426" s="431"/>
      <c r="N3426" s="431"/>
    </row>
    <row r="3427" spans="1:14" s="398" customFormat="1" hidden="1" outlineLevel="1">
      <c r="A3427" s="1248"/>
      <c r="B3427" s="425"/>
      <c r="C3427" s="165" t="s">
        <v>2</v>
      </c>
      <c r="D3427" s="665">
        <f t="shared" si="116"/>
        <v>0</v>
      </c>
      <c r="E3427" s="345">
        <v>1</v>
      </c>
      <c r="F3427" s="1355">
        <f t="shared" si="117"/>
        <v>0.33700000000000002</v>
      </c>
      <c r="G3427" s="1356">
        <v>0.23</v>
      </c>
      <c r="H3427" s="1356">
        <v>0.19</v>
      </c>
      <c r="I3427" s="399" t="str">
        <f t="shared" si="115"/>
        <v/>
      </c>
      <c r="J3427" s="404"/>
      <c r="K3427" s="1234"/>
      <c r="L3427" s="431"/>
      <c r="M3427" s="431"/>
      <c r="N3427" s="431"/>
    </row>
    <row r="3428" spans="1:14" s="398" customFormat="1" hidden="1" outlineLevel="1">
      <c r="A3428" s="1248"/>
      <c r="B3428" s="425"/>
      <c r="C3428" s="530"/>
      <c r="D3428" s="849">
        <f t="shared" si="116"/>
        <v>0</v>
      </c>
      <c r="E3428" s="363"/>
      <c r="F3428" s="1355"/>
      <c r="G3428" s="1355"/>
      <c r="H3428" s="1355"/>
      <c r="I3428" s="399" t="str">
        <f t="shared" si="115"/>
        <v/>
      </c>
      <c r="J3428" s="404"/>
      <c r="K3428" s="1234"/>
      <c r="L3428" s="431"/>
      <c r="M3428" s="431"/>
      <c r="N3428" s="431"/>
    </row>
    <row r="3429" spans="1:14" s="398" customFormat="1" hidden="1" outlineLevel="1">
      <c r="A3429" s="1248"/>
      <c r="B3429" s="425"/>
      <c r="C3429" s="165" t="s">
        <v>2</v>
      </c>
      <c r="D3429" s="665">
        <f t="shared" si="116"/>
        <v>0</v>
      </c>
      <c r="E3429" s="345">
        <v>1</v>
      </c>
      <c r="F3429" s="1355">
        <v>3.1829999999999998</v>
      </c>
      <c r="G3429" s="1356">
        <v>0.46</v>
      </c>
      <c r="H3429" s="1356">
        <v>0.3</v>
      </c>
      <c r="I3429" s="399" t="str">
        <f t="shared" si="115"/>
        <v/>
      </c>
      <c r="J3429" s="404"/>
      <c r="K3429" s="1234"/>
      <c r="L3429" s="431"/>
      <c r="M3429" s="431"/>
      <c r="N3429" s="431"/>
    </row>
    <row r="3430" spans="1:14" s="398" customFormat="1" hidden="1" outlineLevel="1">
      <c r="A3430" s="1248"/>
      <c r="B3430" s="425"/>
      <c r="C3430" s="165" t="s">
        <v>2</v>
      </c>
      <c r="D3430" s="665">
        <f t="shared" si="116"/>
        <v>0</v>
      </c>
      <c r="E3430" s="345">
        <v>1</v>
      </c>
      <c r="F3430" s="1355">
        <v>3.1829999999999998</v>
      </c>
      <c r="G3430" s="1356">
        <v>0.34499999999999997</v>
      </c>
      <c r="H3430" s="1356">
        <v>0.3</v>
      </c>
      <c r="I3430" s="399" t="str">
        <f t="shared" si="115"/>
        <v/>
      </c>
      <c r="J3430" s="404"/>
      <c r="K3430" s="1234"/>
      <c r="L3430" s="431"/>
      <c r="M3430" s="431"/>
      <c r="N3430" s="431"/>
    </row>
    <row r="3431" spans="1:14" s="398" customFormat="1" hidden="1" outlineLevel="1">
      <c r="A3431" s="1248"/>
      <c r="B3431" s="425"/>
      <c r="C3431" s="165" t="s">
        <v>2</v>
      </c>
      <c r="D3431" s="665">
        <f t="shared" si="116"/>
        <v>0</v>
      </c>
      <c r="E3431" s="345">
        <v>1</v>
      </c>
      <c r="F3431" s="1355">
        <v>3.1829999999999998</v>
      </c>
      <c r="G3431" s="1356">
        <v>0.23</v>
      </c>
      <c r="H3431" s="1356">
        <v>0.19</v>
      </c>
      <c r="I3431" s="399" t="str">
        <f t="shared" si="115"/>
        <v/>
      </c>
      <c r="J3431" s="404"/>
      <c r="K3431" s="1234"/>
      <c r="L3431" s="431"/>
      <c r="M3431" s="431"/>
      <c r="N3431" s="431"/>
    </row>
    <row r="3432" spans="1:14" s="398" customFormat="1" hidden="1" outlineLevel="1">
      <c r="A3432" s="1248"/>
      <c r="B3432" s="425"/>
      <c r="C3432" s="530"/>
      <c r="D3432" s="849">
        <f t="shared" si="116"/>
        <v>0</v>
      </c>
      <c r="E3432" s="363"/>
      <c r="F3432" s="1355"/>
      <c r="G3432" s="1355"/>
      <c r="H3432" s="1355"/>
      <c r="I3432" s="399" t="str">
        <f t="shared" si="115"/>
        <v/>
      </c>
      <c r="J3432" s="404"/>
      <c r="K3432" s="1234"/>
      <c r="L3432" s="431"/>
      <c r="M3432" s="431"/>
      <c r="N3432" s="431"/>
    </row>
    <row r="3433" spans="1:14" s="398" customFormat="1" hidden="1" outlineLevel="1">
      <c r="A3433" s="1248"/>
      <c r="B3433" s="425"/>
      <c r="C3433" s="165" t="s">
        <v>2</v>
      </c>
      <c r="D3433" s="665">
        <f t="shared" si="116"/>
        <v>0</v>
      </c>
      <c r="E3433" s="345">
        <v>1</v>
      </c>
      <c r="F3433" s="1355">
        <f>3.841+4.613+3.637+1.626+2.824+2.413+3.614+11.064</f>
        <v>33.632000000000005</v>
      </c>
      <c r="G3433" s="1356">
        <v>0.46</v>
      </c>
      <c r="H3433" s="1356">
        <v>0.3</v>
      </c>
      <c r="I3433" s="399" t="str">
        <f t="shared" si="115"/>
        <v/>
      </c>
      <c r="J3433" s="404"/>
      <c r="K3433" s="1234"/>
      <c r="L3433" s="431"/>
      <c r="M3433" s="431"/>
      <c r="N3433" s="431"/>
    </row>
    <row r="3434" spans="1:14" s="398" customFormat="1" hidden="1" outlineLevel="1">
      <c r="A3434" s="1248"/>
      <c r="B3434" s="425"/>
      <c r="C3434" s="165" t="s">
        <v>2</v>
      </c>
      <c r="D3434" s="665">
        <f t="shared" si="116"/>
        <v>0</v>
      </c>
      <c r="E3434" s="345">
        <v>1</v>
      </c>
      <c r="F3434" s="1355">
        <f t="shared" ref="F3434:F3435" si="118">3.841+4.613+3.637+1.626+2.824+2.413+3.614+11.064</f>
        <v>33.632000000000005</v>
      </c>
      <c r="G3434" s="1356">
        <v>0.34499999999999997</v>
      </c>
      <c r="H3434" s="1356">
        <v>0.3</v>
      </c>
      <c r="I3434" s="399" t="str">
        <f t="shared" si="115"/>
        <v/>
      </c>
      <c r="J3434" s="404"/>
      <c r="K3434" s="1234"/>
      <c r="L3434" s="431"/>
      <c r="M3434" s="431"/>
      <c r="N3434" s="431"/>
    </row>
    <row r="3435" spans="1:14" s="398" customFormat="1" hidden="1" outlineLevel="1">
      <c r="A3435" s="1248"/>
      <c r="B3435" s="425"/>
      <c r="C3435" s="165" t="s">
        <v>2</v>
      </c>
      <c r="D3435" s="665">
        <f t="shared" si="116"/>
        <v>0</v>
      </c>
      <c r="E3435" s="345">
        <v>1</v>
      </c>
      <c r="F3435" s="1355">
        <f t="shared" si="118"/>
        <v>33.632000000000005</v>
      </c>
      <c r="G3435" s="1356">
        <v>0.23</v>
      </c>
      <c r="H3435" s="1356">
        <v>0.19</v>
      </c>
      <c r="I3435" s="399" t="str">
        <f t="shared" si="115"/>
        <v/>
      </c>
      <c r="J3435" s="404"/>
      <c r="K3435" s="1234"/>
      <c r="L3435" s="431"/>
      <c r="M3435" s="431"/>
      <c r="N3435" s="431"/>
    </row>
    <row r="3436" spans="1:14" s="398" customFormat="1" hidden="1" outlineLevel="1">
      <c r="A3436" s="1248"/>
      <c r="B3436" s="425"/>
      <c r="C3436" s="530"/>
      <c r="D3436" s="389"/>
      <c r="E3436" s="386"/>
      <c r="F3436" s="1353"/>
      <c r="G3436" s="1353"/>
      <c r="H3436" s="1353"/>
      <c r="I3436" s="399" t="str">
        <f t="shared" si="115"/>
        <v/>
      </c>
      <c r="J3436" s="404"/>
      <c r="K3436" s="1234"/>
      <c r="L3436" s="431"/>
      <c r="M3436" s="431"/>
      <c r="N3436" s="431"/>
    </row>
    <row r="3437" spans="1:14" s="398" customFormat="1" hidden="1" outlineLevel="1">
      <c r="A3437" s="1248"/>
      <c r="B3437" s="425" t="s">
        <v>852</v>
      </c>
      <c r="C3437" s="165" t="s">
        <v>2</v>
      </c>
      <c r="D3437" s="392">
        <v>1</v>
      </c>
      <c r="E3437" s="165">
        <v>1</v>
      </c>
      <c r="F3437" s="1354">
        <v>8.0530000000000008</v>
      </c>
      <c r="G3437" s="401">
        <v>0.46</v>
      </c>
      <c r="H3437" s="401">
        <v>0.3</v>
      </c>
      <c r="I3437" s="399">
        <f t="shared" si="115"/>
        <v>1.1100000000000001</v>
      </c>
      <c r="J3437" s="404"/>
      <c r="K3437" s="1234"/>
      <c r="L3437" s="431"/>
      <c r="M3437" s="431"/>
      <c r="N3437" s="431"/>
    </row>
    <row r="3438" spans="1:14" s="398" customFormat="1" hidden="1" outlineLevel="1">
      <c r="A3438" s="1248"/>
      <c r="B3438" s="425"/>
      <c r="C3438" s="165" t="s">
        <v>2</v>
      </c>
      <c r="D3438" s="392">
        <v>1</v>
      </c>
      <c r="E3438" s="165">
        <v>1</v>
      </c>
      <c r="F3438" s="1354">
        <v>8.0530000000000008</v>
      </c>
      <c r="G3438" s="401">
        <v>0.34499999999999997</v>
      </c>
      <c r="H3438" s="401">
        <v>0.3</v>
      </c>
      <c r="I3438" s="399">
        <f t="shared" si="115"/>
        <v>0.83</v>
      </c>
      <c r="J3438" s="404"/>
      <c r="K3438" s="1234"/>
      <c r="L3438" s="431"/>
      <c r="M3438" s="431"/>
      <c r="N3438" s="431"/>
    </row>
    <row r="3439" spans="1:14" s="398" customFormat="1" hidden="1" outlineLevel="1">
      <c r="A3439" s="1248"/>
      <c r="B3439" s="425"/>
      <c r="C3439" s="165" t="s">
        <v>2</v>
      </c>
      <c r="D3439" s="392">
        <v>1</v>
      </c>
      <c r="E3439" s="165">
        <v>1</v>
      </c>
      <c r="F3439" s="1354">
        <v>8.0530000000000008</v>
      </c>
      <c r="G3439" s="401">
        <v>0.23</v>
      </c>
      <c r="H3439" s="401">
        <v>0.19</v>
      </c>
      <c r="I3439" s="399">
        <f t="shared" si="115"/>
        <v>0.35</v>
      </c>
      <c r="J3439" s="404"/>
      <c r="K3439" s="1234"/>
      <c r="L3439" s="431"/>
      <c r="M3439" s="431"/>
      <c r="N3439" s="431"/>
    </row>
    <row r="3440" spans="1:14" s="398" customFormat="1" hidden="1" outlineLevel="1">
      <c r="A3440" s="1248"/>
      <c r="B3440" s="425"/>
      <c r="C3440" s="530"/>
      <c r="D3440" s="389"/>
      <c r="E3440" s="386"/>
      <c r="F3440" s="1353"/>
      <c r="G3440" s="1353"/>
      <c r="H3440" s="1353"/>
      <c r="I3440" s="399" t="str">
        <f t="shared" si="115"/>
        <v/>
      </c>
      <c r="J3440" s="404"/>
      <c r="K3440" s="1234"/>
      <c r="L3440" s="431"/>
      <c r="M3440" s="431"/>
      <c r="N3440" s="431"/>
    </row>
    <row r="3441" spans="1:14" s="398" customFormat="1" hidden="1" outlineLevel="1">
      <c r="A3441" s="1248"/>
      <c r="B3441" s="425" t="s">
        <v>853</v>
      </c>
      <c r="C3441" s="165" t="s">
        <v>2</v>
      </c>
      <c r="D3441" s="392">
        <v>1</v>
      </c>
      <c r="E3441" s="165">
        <v>1</v>
      </c>
      <c r="F3441" s="1354">
        <v>14.555</v>
      </c>
      <c r="G3441" s="401">
        <v>0.46</v>
      </c>
      <c r="H3441" s="401">
        <v>0.3</v>
      </c>
      <c r="I3441" s="399">
        <f t="shared" si="115"/>
        <v>2.0099999999999998</v>
      </c>
      <c r="J3441" s="404"/>
      <c r="K3441" s="1234"/>
      <c r="L3441" s="431"/>
      <c r="M3441" s="431"/>
      <c r="N3441" s="431"/>
    </row>
    <row r="3442" spans="1:14" s="398" customFormat="1" hidden="1" outlineLevel="1">
      <c r="A3442" s="1248"/>
      <c r="B3442" s="425"/>
      <c r="C3442" s="165" t="s">
        <v>2</v>
      </c>
      <c r="D3442" s="392">
        <v>1</v>
      </c>
      <c r="E3442" s="165">
        <v>1</v>
      </c>
      <c r="F3442" s="1354">
        <v>14.555</v>
      </c>
      <c r="G3442" s="401">
        <v>0.34499999999999997</v>
      </c>
      <c r="H3442" s="401">
        <v>0.3</v>
      </c>
      <c r="I3442" s="399">
        <f t="shared" si="115"/>
        <v>1.51</v>
      </c>
      <c r="J3442" s="404"/>
      <c r="K3442" s="1234"/>
      <c r="L3442" s="431"/>
      <c r="M3442" s="431"/>
      <c r="N3442" s="431"/>
    </row>
    <row r="3443" spans="1:14" s="398" customFormat="1" hidden="1" outlineLevel="1">
      <c r="A3443" s="1248"/>
      <c r="B3443" s="425"/>
      <c r="C3443" s="165" t="s">
        <v>2</v>
      </c>
      <c r="D3443" s="392">
        <v>1</v>
      </c>
      <c r="E3443" s="165">
        <v>1</v>
      </c>
      <c r="F3443" s="1354">
        <v>14.555</v>
      </c>
      <c r="G3443" s="401">
        <v>0.23</v>
      </c>
      <c r="H3443" s="401">
        <v>0.19</v>
      </c>
      <c r="I3443" s="399">
        <f t="shared" si="115"/>
        <v>0.64</v>
      </c>
      <c r="J3443" s="404"/>
      <c r="K3443" s="1234"/>
      <c r="L3443" s="431"/>
      <c r="M3443" s="431"/>
      <c r="N3443" s="431"/>
    </row>
    <row r="3444" spans="1:14" s="398" customFormat="1" hidden="1" outlineLevel="1">
      <c r="A3444" s="1248"/>
      <c r="B3444" s="425"/>
      <c r="C3444" s="530"/>
      <c r="D3444" s="389"/>
      <c r="E3444" s="386"/>
      <c r="F3444" s="1353"/>
      <c r="G3444" s="1353"/>
      <c r="H3444" s="1353"/>
      <c r="I3444" s="399" t="str">
        <f t="shared" si="115"/>
        <v/>
      </c>
      <c r="J3444" s="404"/>
      <c r="K3444" s="1234"/>
      <c r="L3444" s="431"/>
      <c r="M3444" s="431"/>
      <c r="N3444" s="431"/>
    </row>
    <row r="3445" spans="1:14" s="398" customFormat="1" ht="34.5" hidden="1" outlineLevel="1">
      <c r="A3445" s="1248"/>
      <c r="B3445" s="592" t="s">
        <v>854</v>
      </c>
      <c r="C3445" s="530"/>
      <c r="D3445" s="389"/>
      <c r="E3445" s="386"/>
      <c r="F3445" s="1353"/>
      <c r="G3445" s="1353"/>
      <c r="H3445" s="1353"/>
      <c r="I3445" s="399" t="str">
        <f t="shared" si="115"/>
        <v/>
      </c>
      <c r="J3445" s="404"/>
      <c r="K3445" s="1234"/>
      <c r="L3445" s="431"/>
      <c r="M3445" s="431"/>
      <c r="N3445" s="431"/>
    </row>
    <row r="3446" spans="1:14" s="398" customFormat="1" hidden="1" outlineLevel="1">
      <c r="A3446" s="1248"/>
      <c r="B3446" s="425"/>
      <c r="C3446" s="530"/>
      <c r="D3446" s="389"/>
      <c r="E3446" s="386"/>
      <c r="F3446" s="1353"/>
      <c r="G3446" s="1353"/>
      <c r="H3446" s="1353"/>
      <c r="I3446" s="399" t="str">
        <f t="shared" si="115"/>
        <v/>
      </c>
      <c r="J3446" s="404"/>
      <c r="K3446" s="1234"/>
      <c r="L3446" s="431"/>
      <c r="M3446" s="431"/>
      <c r="N3446" s="431"/>
    </row>
    <row r="3447" spans="1:14" s="398" customFormat="1" hidden="1" outlineLevel="1">
      <c r="A3447" s="1248"/>
      <c r="B3447" s="425"/>
      <c r="C3447" s="165" t="s">
        <v>2</v>
      </c>
      <c r="D3447" s="392">
        <v>1</v>
      </c>
      <c r="E3447" s="165">
        <v>1</v>
      </c>
      <c r="F3447" s="1354">
        <v>14.343</v>
      </c>
      <c r="G3447" s="401">
        <v>0.46</v>
      </c>
      <c r="H3447" s="401">
        <v>0.3</v>
      </c>
      <c r="I3447" s="399">
        <f t="shared" si="115"/>
        <v>1.98</v>
      </c>
      <c r="J3447" s="404"/>
      <c r="K3447" s="1234"/>
      <c r="L3447" s="431"/>
      <c r="M3447" s="431"/>
      <c r="N3447" s="431"/>
    </row>
    <row r="3448" spans="1:14" s="398" customFormat="1" hidden="1" outlineLevel="1">
      <c r="A3448" s="1248"/>
      <c r="B3448" s="425"/>
      <c r="C3448" s="165" t="s">
        <v>2</v>
      </c>
      <c r="D3448" s="392">
        <v>1</v>
      </c>
      <c r="E3448" s="165">
        <v>1</v>
      </c>
      <c r="F3448" s="1354">
        <v>14.343</v>
      </c>
      <c r="G3448" s="401">
        <v>0.34499999999999997</v>
      </c>
      <c r="H3448" s="401">
        <v>0.3</v>
      </c>
      <c r="I3448" s="399">
        <f t="shared" si="115"/>
        <v>1.48</v>
      </c>
      <c r="J3448" s="404"/>
      <c r="K3448" s="1234"/>
      <c r="L3448" s="431"/>
      <c r="M3448" s="431"/>
      <c r="N3448" s="431"/>
    </row>
    <row r="3449" spans="1:14" s="398" customFormat="1" hidden="1" outlineLevel="1">
      <c r="A3449" s="1248"/>
      <c r="B3449" s="425"/>
      <c r="C3449" s="165" t="s">
        <v>2</v>
      </c>
      <c r="D3449" s="392">
        <v>1</v>
      </c>
      <c r="E3449" s="165">
        <v>1</v>
      </c>
      <c r="F3449" s="1354">
        <v>14.343</v>
      </c>
      <c r="G3449" s="401">
        <v>0.23</v>
      </c>
      <c r="H3449" s="401">
        <v>0.19</v>
      </c>
      <c r="I3449" s="399">
        <f t="shared" si="115"/>
        <v>0.63</v>
      </c>
      <c r="J3449" s="404"/>
      <c r="K3449" s="1234"/>
      <c r="L3449" s="431"/>
      <c r="M3449" s="431"/>
      <c r="N3449" s="431"/>
    </row>
    <row r="3450" spans="1:14" s="398" customFormat="1" hidden="1" outlineLevel="1">
      <c r="A3450" s="1248"/>
      <c r="B3450" s="425"/>
      <c r="C3450" s="530"/>
      <c r="D3450" s="389"/>
      <c r="E3450" s="386"/>
      <c r="F3450" s="1353"/>
      <c r="G3450" s="1353"/>
      <c r="H3450" s="1353"/>
      <c r="I3450" s="399" t="str">
        <f t="shared" si="115"/>
        <v/>
      </c>
      <c r="J3450" s="404"/>
      <c r="K3450" s="1234"/>
      <c r="L3450" s="431"/>
      <c r="M3450" s="431"/>
      <c r="N3450" s="431"/>
    </row>
    <row r="3451" spans="1:14" s="398" customFormat="1" ht="51.75" hidden="1" outlineLevel="1">
      <c r="A3451" s="1248"/>
      <c r="B3451" s="592" t="s">
        <v>855</v>
      </c>
      <c r="C3451" s="530"/>
      <c r="D3451" s="389"/>
      <c r="E3451" s="386"/>
      <c r="F3451" s="1353"/>
      <c r="G3451" s="1353"/>
      <c r="H3451" s="1353"/>
      <c r="I3451" s="399" t="str">
        <f t="shared" si="115"/>
        <v/>
      </c>
      <c r="J3451" s="404"/>
      <c r="K3451" s="1234"/>
      <c r="L3451" s="431"/>
      <c r="M3451" s="431"/>
      <c r="N3451" s="431"/>
    </row>
    <row r="3452" spans="1:14" s="398" customFormat="1" hidden="1" outlineLevel="1">
      <c r="A3452" s="1248"/>
      <c r="B3452" s="425"/>
      <c r="C3452" s="530"/>
      <c r="D3452" s="389"/>
      <c r="E3452" s="386"/>
      <c r="F3452" s="1353"/>
      <c r="G3452" s="1353"/>
      <c r="H3452" s="1353"/>
      <c r="I3452" s="399" t="str">
        <f t="shared" si="115"/>
        <v/>
      </c>
      <c r="J3452" s="404"/>
      <c r="K3452" s="1234"/>
      <c r="L3452" s="431"/>
      <c r="M3452" s="431"/>
      <c r="N3452" s="431"/>
    </row>
    <row r="3453" spans="1:14" s="398" customFormat="1" hidden="1" outlineLevel="1">
      <c r="A3453" s="1248"/>
      <c r="B3453" s="425"/>
      <c r="C3453" s="165" t="s">
        <v>2</v>
      </c>
      <c r="D3453" s="392">
        <v>1</v>
      </c>
      <c r="E3453" s="165">
        <v>1</v>
      </c>
      <c r="F3453" s="1353">
        <f>12.275+11.813+4.624+2.625+2.854+1.637+7.303+5.741+2.446+2.704+0.725+6.033</f>
        <v>60.78</v>
      </c>
      <c r="G3453" s="401">
        <v>0.46</v>
      </c>
      <c r="H3453" s="401">
        <v>0.3</v>
      </c>
      <c r="I3453" s="399">
        <f t="shared" si="115"/>
        <v>8.39</v>
      </c>
      <c r="J3453" s="404"/>
      <c r="K3453" s="1234"/>
      <c r="L3453" s="431"/>
      <c r="M3453" s="431"/>
      <c r="N3453" s="431"/>
    </row>
    <row r="3454" spans="1:14" s="398" customFormat="1" hidden="1" outlineLevel="1">
      <c r="A3454" s="1248"/>
      <c r="B3454" s="425"/>
      <c r="C3454" s="165" t="s">
        <v>2</v>
      </c>
      <c r="D3454" s="392">
        <v>1</v>
      </c>
      <c r="E3454" s="165">
        <v>1</v>
      </c>
      <c r="F3454" s="1353">
        <f t="shared" ref="F3454:F3455" si="119">12.275+11.813+4.624+2.625+2.854+1.637+7.303+5.741+2.446+2.704+0.725+6.033</f>
        <v>60.78</v>
      </c>
      <c r="G3454" s="401">
        <v>0.34499999999999997</v>
      </c>
      <c r="H3454" s="401">
        <v>0.3</v>
      </c>
      <c r="I3454" s="399">
        <f t="shared" si="115"/>
        <v>6.29</v>
      </c>
      <c r="J3454" s="404"/>
      <c r="K3454" s="1234"/>
      <c r="L3454" s="431"/>
      <c r="M3454" s="431"/>
      <c r="N3454" s="431"/>
    </row>
    <row r="3455" spans="1:14" s="398" customFormat="1" hidden="1" outlineLevel="1">
      <c r="A3455" s="1248"/>
      <c r="B3455" s="425"/>
      <c r="C3455" s="165" t="s">
        <v>2</v>
      </c>
      <c r="D3455" s="392">
        <v>1</v>
      </c>
      <c r="E3455" s="165">
        <v>1</v>
      </c>
      <c r="F3455" s="1353">
        <f t="shared" si="119"/>
        <v>60.78</v>
      </c>
      <c r="G3455" s="401">
        <v>0.23</v>
      </c>
      <c r="H3455" s="401">
        <v>0.19</v>
      </c>
      <c r="I3455" s="399">
        <f t="shared" si="115"/>
        <v>2.66</v>
      </c>
      <c r="J3455" s="404"/>
      <c r="K3455" s="1234"/>
      <c r="L3455" s="431"/>
      <c r="M3455" s="431"/>
      <c r="N3455" s="431"/>
    </row>
    <row r="3456" spans="1:14" s="398" customFormat="1" hidden="1" outlineLevel="1">
      <c r="A3456" s="1248"/>
      <c r="B3456" s="425"/>
      <c r="C3456" s="165"/>
      <c r="D3456" s="392"/>
      <c r="E3456" s="165"/>
      <c r="F3456" s="1353"/>
      <c r="G3456" s="401"/>
      <c r="H3456" s="401"/>
      <c r="I3456" s="399" t="str">
        <f t="shared" si="115"/>
        <v/>
      </c>
      <c r="J3456" s="404"/>
      <c r="K3456" s="1234"/>
      <c r="L3456" s="431"/>
      <c r="M3456" s="431"/>
      <c r="N3456" s="431"/>
    </row>
    <row r="3457" spans="1:14" s="398" customFormat="1" ht="34.5" hidden="1" outlineLevel="1">
      <c r="A3457" s="1248"/>
      <c r="B3457" s="425" t="s">
        <v>856</v>
      </c>
      <c r="C3457" s="165" t="s">
        <v>2</v>
      </c>
      <c r="D3457" s="392">
        <v>1</v>
      </c>
      <c r="E3457" s="165">
        <v>1</v>
      </c>
      <c r="F3457" s="1353">
        <v>35.253</v>
      </c>
      <c r="G3457" s="401">
        <v>0.46</v>
      </c>
      <c r="H3457" s="401">
        <v>0.3</v>
      </c>
      <c r="I3457" s="399">
        <f t="shared" si="115"/>
        <v>4.8600000000000003</v>
      </c>
      <c r="J3457" s="404"/>
      <c r="K3457" s="1234"/>
      <c r="L3457" s="431"/>
      <c r="M3457" s="431"/>
      <c r="N3457" s="431"/>
    </row>
    <row r="3458" spans="1:14" s="398" customFormat="1" hidden="1" outlineLevel="1">
      <c r="A3458" s="1248"/>
      <c r="B3458" s="425"/>
      <c r="C3458" s="165" t="s">
        <v>2</v>
      </c>
      <c r="D3458" s="392">
        <v>1</v>
      </c>
      <c r="E3458" s="165">
        <v>1</v>
      </c>
      <c r="F3458" s="1353">
        <v>35.253</v>
      </c>
      <c r="G3458" s="401">
        <v>0.34499999999999997</v>
      </c>
      <c r="H3458" s="401">
        <v>0.3</v>
      </c>
      <c r="I3458" s="399">
        <f t="shared" si="115"/>
        <v>3.65</v>
      </c>
      <c r="J3458" s="404"/>
      <c r="K3458" s="1234"/>
      <c r="L3458" s="431"/>
      <c r="M3458" s="431"/>
      <c r="N3458" s="431"/>
    </row>
    <row r="3459" spans="1:14" s="398" customFormat="1" hidden="1" outlineLevel="1">
      <c r="A3459" s="1248"/>
      <c r="B3459" s="425"/>
      <c r="C3459" s="165" t="s">
        <v>2</v>
      </c>
      <c r="D3459" s="392">
        <v>1</v>
      </c>
      <c r="E3459" s="165">
        <v>1</v>
      </c>
      <c r="F3459" s="1353">
        <v>35.253</v>
      </c>
      <c r="G3459" s="401">
        <v>0.23</v>
      </c>
      <c r="H3459" s="401">
        <v>0.19</v>
      </c>
      <c r="I3459" s="399">
        <f t="shared" si="115"/>
        <v>1.54</v>
      </c>
      <c r="J3459" s="404"/>
      <c r="K3459" s="1234"/>
      <c r="L3459" s="431"/>
      <c r="M3459" s="431"/>
      <c r="N3459" s="431"/>
    </row>
    <row r="3460" spans="1:14" s="398" customFormat="1" hidden="1" outlineLevel="1">
      <c r="A3460" s="1248"/>
      <c r="B3460" s="592" t="s">
        <v>857</v>
      </c>
      <c r="C3460" s="165"/>
      <c r="D3460" s="392"/>
      <c r="E3460" s="165"/>
      <c r="F3460" s="1353"/>
      <c r="G3460" s="401"/>
      <c r="H3460" s="401"/>
      <c r="I3460" s="399" t="str">
        <f t="shared" si="115"/>
        <v/>
      </c>
      <c r="J3460" s="404"/>
      <c r="K3460" s="1234"/>
      <c r="L3460" s="431"/>
      <c r="M3460" s="431"/>
      <c r="N3460" s="431"/>
    </row>
    <row r="3461" spans="1:14" s="462" customFormat="1" hidden="1" outlineLevel="1">
      <c r="A3461" s="1268"/>
      <c r="B3461" s="311" t="s">
        <v>305</v>
      </c>
      <c r="C3461" s="165"/>
      <c r="D3461" s="392"/>
      <c r="E3461" s="165"/>
      <c r="F3461" s="401"/>
      <c r="G3461" s="401"/>
      <c r="H3461" s="401"/>
      <c r="I3461" s="399" t="str">
        <f t="shared" si="115"/>
        <v/>
      </c>
      <c r="J3461" s="442"/>
      <c r="K3461" s="1263"/>
      <c r="L3461" s="461"/>
      <c r="M3461" s="461"/>
      <c r="N3461" s="461"/>
    </row>
    <row r="3462" spans="1:14" s="462" customFormat="1" hidden="1" outlineLevel="1">
      <c r="A3462" s="1268"/>
      <c r="B3462" s="311"/>
      <c r="C3462" s="165"/>
      <c r="D3462" s="392"/>
      <c r="E3462" s="165"/>
      <c r="F3462" s="401"/>
      <c r="G3462" s="401"/>
      <c r="H3462" s="401"/>
      <c r="I3462" s="399" t="str">
        <f t="shared" si="115"/>
        <v/>
      </c>
      <c r="J3462" s="442"/>
      <c r="K3462" s="1263"/>
      <c r="L3462" s="461"/>
      <c r="M3462" s="461"/>
      <c r="N3462" s="461"/>
    </row>
    <row r="3463" spans="1:14" s="462" customFormat="1" ht="34.5" hidden="1" outlineLevel="1">
      <c r="A3463" s="1268"/>
      <c r="B3463" s="311" t="s">
        <v>306</v>
      </c>
      <c r="C3463" s="165" t="s">
        <v>2</v>
      </c>
      <c r="D3463" s="392">
        <v>-1</v>
      </c>
      <c r="E3463" s="165">
        <v>1</v>
      </c>
      <c r="F3463" s="401">
        <v>31.4</v>
      </c>
      <c r="G3463" s="401">
        <v>0.46</v>
      </c>
      <c r="H3463" s="401">
        <v>0.3</v>
      </c>
      <c r="I3463" s="399">
        <f t="shared" si="115"/>
        <v>-4.33</v>
      </c>
      <c r="J3463" s="442"/>
      <c r="K3463" s="1263"/>
      <c r="L3463" s="461"/>
      <c r="M3463" s="461"/>
      <c r="N3463" s="461"/>
    </row>
    <row r="3464" spans="1:14" s="462" customFormat="1" hidden="1" outlineLevel="1">
      <c r="A3464" s="1268"/>
      <c r="B3464" s="311"/>
      <c r="C3464" s="165" t="s">
        <v>2</v>
      </c>
      <c r="D3464" s="392">
        <v>-1</v>
      </c>
      <c r="E3464" s="165">
        <v>1</v>
      </c>
      <c r="F3464" s="401">
        <v>31.4</v>
      </c>
      <c r="G3464" s="401">
        <v>0.34499999999999997</v>
      </c>
      <c r="H3464" s="401">
        <v>0.3</v>
      </c>
      <c r="I3464" s="399">
        <f t="shared" si="115"/>
        <v>-3.25</v>
      </c>
      <c r="J3464" s="442"/>
      <c r="K3464" s="1263"/>
      <c r="L3464" s="461"/>
      <c r="M3464" s="461"/>
      <c r="N3464" s="461"/>
    </row>
    <row r="3465" spans="1:14" s="462" customFormat="1" hidden="1" outlineLevel="1">
      <c r="A3465" s="1268"/>
      <c r="B3465" s="311"/>
      <c r="C3465" s="165" t="s">
        <v>2</v>
      </c>
      <c r="D3465" s="392">
        <v>-1</v>
      </c>
      <c r="E3465" s="165">
        <v>1</v>
      </c>
      <c r="F3465" s="401">
        <v>31.4</v>
      </c>
      <c r="G3465" s="401">
        <v>0.23</v>
      </c>
      <c r="H3465" s="401">
        <v>0.19</v>
      </c>
      <c r="I3465" s="399">
        <f t="shared" si="115"/>
        <v>-1.37</v>
      </c>
      <c r="J3465" s="442"/>
      <c r="K3465" s="1263"/>
      <c r="L3465" s="461"/>
      <c r="M3465" s="461"/>
      <c r="N3465" s="461"/>
    </row>
    <row r="3466" spans="1:14" s="462" customFormat="1" hidden="1" outlineLevel="1">
      <c r="A3466" s="1268"/>
      <c r="B3466" s="311"/>
      <c r="C3466" s="165"/>
      <c r="D3466" s="392"/>
      <c r="E3466" s="165"/>
      <c r="F3466" s="401"/>
      <c r="G3466" s="401"/>
      <c r="H3466" s="401"/>
      <c r="I3466" s="399" t="str">
        <f t="shared" si="115"/>
        <v/>
      </c>
      <c r="J3466" s="442"/>
      <c r="K3466" s="1263"/>
      <c r="L3466" s="461"/>
      <c r="M3466" s="461"/>
      <c r="N3466" s="461"/>
    </row>
    <row r="3467" spans="1:14" s="462" customFormat="1" hidden="1" outlineLevel="1">
      <c r="A3467" s="1268"/>
      <c r="B3467" s="311" t="s">
        <v>147</v>
      </c>
      <c r="C3467" s="165" t="s">
        <v>2</v>
      </c>
      <c r="D3467" s="392">
        <v>-1</v>
      </c>
      <c r="E3467" s="165">
        <v>1</v>
      </c>
      <c r="F3467" s="401">
        <v>42.55</v>
      </c>
      <c r="G3467" s="401">
        <v>0.46</v>
      </c>
      <c r="H3467" s="401">
        <v>0.3</v>
      </c>
      <c r="I3467" s="399">
        <f t="shared" si="115"/>
        <v>-5.87</v>
      </c>
      <c r="J3467" s="442"/>
      <c r="K3467" s="1263"/>
      <c r="L3467" s="461"/>
      <c r="M3467" s="461"/>
      <c r="N3467" s="461"/>
    </row>
    <row r="3468" spans="1:14" s="462" customFormat="1" hidden="1" outlineLevel="1">
      <c r="A3468" s="1268"/>
      <c r="B3468" s="311"/>
      <c r="C3468" s="165" t="s">
        <v>2</v>
      </c>
      <c r="D3468" s="392">
        <v>-1</v>
      </c>
      <c r="E3468" s="165">
        <v>1</v>
      </c>
      <c r="F3468" s="401">
        <v>42.55</v>
      </c>
      <c r="G3468" s="401">
        <v>0.34499999999999997</v>
      </c>
      <c r="H3468" s="401">
        <v>0.3</v>
      </c>
      <c r="I3468" s="399">
        <f t="shared" si="115"/>
        <v>-4.4000000000000004</v>
      </c>
      <c r="J3468" s="442"/>
      <c r="K3468" s="1263"/>
      <c r="L3468" s="461"/>
      <c r="M3468" s="461"/>
      <c r="N3468" s="461"/>
    </row>
    <row r="3469" spans="1:14" s="462" customFormat="1" hidden="1" outlineLevel="1">
      <c r="A3469" s="1268"/>
      <c r="B3469" s="311"/>
      <c r="C3469" s="165" t="s">
        <v>2</v>
      </c>
      <c r="D3469" s="392">
        <v>-1</v>
      </c>
      <c r="E3469" s="165">
        <v>1</v>
      </c>
      <c r="F3469" s="401">
        <v>42.55</v>
      </c>
      <c r="G3469" s="401">
        <v>0.23</v>
      </c>
      <c r="H3469" s="401">
        <v>0.19</v>
      </c>
      <c r="I3469" s="399">
        <f t="shared" si="115"/>
        <v>-1.86</v>
      </c>
      <c r="J3469" s="442"/>
      <c r="K3469" s="1263"/>
      <c r="L3469" s="461"/>
      <c r="M3469" s="461"/>
      <c r="N3469" s="461"/>
    </row>
    <row r="3470" spans="1:14" s="462" customFormat="1" hidden="1" outlineLevel="1">
      <c r="A3470" s="1268"/>
      <c r="B3470" s="311"/>
      <c r="C3470" s="165"/>
      <c r="D3470" s="392"/>
      <c r="E3470" s="165"/>
      <c r="F3470" s="401"/>
      <c r="G3470" s="401"/>
      <c r="H3470" s="401"/>
      <c r="I3470" s="399" t="str">
        <f t="shared" si="115"/>
        <v/>
      </c>
      <c r="J3470" s="442"/>
      <c r="K3470" s="1263"/>
      <c r="L3470" s="461"/>
      <c r="M3470" s="461"/>
      <c r="N3470" s="461"/>
    </row>
    <row r="3471" spans="1:14" s="398" customFormat="1" hidden="1" outlineLevel="1">
      <c r="A3471" s="1248"/>
      <c r="B3471" s="425"/>
      <c r="C3471" s="304"/>
      <c r="D3471" s="488"/>
      <c r="E3471" s="298"/>
      <c r="F3471" s="1156"/>
      <c r="G3471" s="1156"/>
      <c r="H3471" s="1156"/>
      <c r="I3471" s="399" t="str">
        <f t="shared" si="115"/>
        <v/>
      </c>
      <c r="J3471" s="404"/>
      <c r="K3471" s="1234"/>
      <c r="L3471" s="431"/>
      <c r="M3471" s="431"/>
      <c r="N3471" s="431"/>
    </row>
    <row r="3472" spans="1:14" s="398" customFormat="1" hidden="1" outlineLevel="1">
      <c r="A3472" s="1248"/>
      <c r="B3472" s="592" t="s">
        <v>950</v>
      </c>
      <c r="C3472" s="304"/>
      <c r="D3472" s="400"/>
      <c r="E3472" s="408"/>
      <c r="F3472" s="486"/>
      <c r="G3472" s="486"/>
      <c r="H3472" s="486"/>
      <c r="I3472" s="399" t="str">
        <f t="shared" si="115"/>
        <v/>
      </c>
      <c r="J3472" s="404"/>
      <c r="K3472" s="1234"/>
      <c r="L3472" s="431"/>
      <c r="M3472" s="431"/>
      <c r="N3472" s="431"/>
    </row>
    <row r="3473" spans="1:14" s="398" customFormat="1" hidden="1" outlineLevel="1">
      <c r="A3473" s="1248"/>
      <c r="B3473" s="425"/>
      <c r="C3473" s="304"/>
      <c r="D3473" s="485"/>
      <c r="E3473" s="408"/>
      <c r="F3473" s="486"/>
      <c r="G3473" s="486"/>
      <c r="H3473" s="486"/>
      <c r="I3473" s="399" t="str">
        <f t="shared" si="115"/>
        <v/>
      </c>
      <c r="J3473" s="404"/>
      <c r="K3473" s="1234"/>
      <c r="L3473" s="431"/>
      <c r="M3473" s="431"/>
      <c r="N3473" s="431"/>
    </row>
    <row r="3474" spans="1:14" s="398" customFormat="1" ht="34.5" hidden="1" outlineLevel="1">
      <c r="A3474" s="1248"/>
      <c r="B3474" s="592" t="s">
        <v>951</v>
      </c>
      <c r="C3474" s="304"/>
      <c r="D3474" s="485"/>
      <c r="E3474" s="408"/>
      <c r="F3474" s="486"/>
      <c r="G3474" s="486"/>
      <c r="H3474" s="486"/>
      <c r="I3474" s="399" t="str">
        <f t="shared" si="115"/>
        <v/>
      </c>
      <c r="J3474" s="404"/>
      <c r="K3474" s="1234"/>
      <c r="L3474" s="431"/>
      <c r="M3474" s="431"/>
      <c r="N3474" s="431"/>
    </row>
    <row r="3475" spans="1:14" s="398" customFormat="1" ht="34.5" hidden="1" outlineLevel="1">
      <c r="A3475" s="1248"/>
      <c r="B3475" s="425" t="s">
        <v>952</v>
      </c>
      <c r="C3475" s="304"/>
      <c r="D3475" s="485"/>
      <c r="E3475" s="408"/>
      <c r="F3475" s="486"/>
      <c r="G3475" s="486"/>
      <c r="H3475" s="486"/>
      <c r="I3475" s="399" t="str">
        <f t="shared" si="115"/>
        <v/>
      </c>
      <c r="J3475" s="404"/>
      <c r="K3475" s="1234"/>
      <c r="L3475" s="431"/>
      <c r="M3475" s="431"/>
      <c r="N3475" s="431"/>
    </row>
    <row r="3476" spans="1:14" s="398" customFormat="1" hidden="1" outlineLevel="1">
      <c r="A3476" s="1248"/>
      <c r="B3476" s="425" t="s">
        <v>953</v>
      </c>
      <c r="C3476" s="304" t="s">
        <v>167</v>
      </c>
      <c r="D3476" s="485">
        <v>1</v>
      </c>
      <c r="E3476" s="408">
        <v>1</v>
      </c>
      <c r="F3476" s="486">
        <v>29.035</v>
      </c>
      <c r="G3476" s="486">
        <v>0.23</v>
      </c>
      <c r="H3476" s="486">
        <f>0.7-0.05</f>
        <v>0.64999999999999991</v>
      </c>
      <c r="I3476" s="399">
        <f t="shared" si="115"/>
        <v>4.34</v>
      </c>
      <c r="J3476" s="404"/>
      <c r="K3476" s="1234"/>
      <c r="L3476" s="431"/>
      <c r="M3476" s="431"/>
      <c r="N3476" s="431"/>
    </row>
    <row r="3477" spans="1:14" s="398" customFormat="1" hidden="1" outlineLevel="1">
      <c r="A3477" s="1248"/>
      <c r="B3477" s="425"/>
      <c r="C3477" s="304" t="s">
        <v>167</v>
      </c>
      <c r="D3477" s="485">
        <v>1</v>
      </c>
      <c r="E3477" s="408">
        <v>2</v>
      </c>
      <c r="F3477" s="486">
        <v>2.4</v>
      </c>
      <c r="G3477" s="486">
        <v>0.23</v>
      </c>
      <c r="H3477" s="486">
        <f>0.7-0.05</f>
        <v>0.64999999999999991</v>
      </c>
      <c r="I3477" s="399">
        <f t="shared" si="115"/>
        <v>0.72</v>
      </c>
      <c r="J3477" s="404"/>
      <c r="K3477" s="1234"/>
      <c r="L3477" s="431"/>
      <c r="M3477" s="431"/>
      <c r="N3477" s="431"/>
    </row>
    <row r="3478" spans="1:14" s="398" customFormat="1" hidden="1" outlineLevel="1">
      <c r="A3478" s="1248"/>
      <c r="B3478" s="425"/>
      <c r="C3478" s="304" t="s">
        <v>167</v>
      </c>
      <c r="D3478" s="485">
        <v>1</v>
      </c>
      <c r="E3478" s="408">
        <v>1</v>
      </c>
      <c r="F3478" s="486">
        <f>2.7+0.23</f>
        <v>2.93</v>
      </c>
      <c r="G3478" s="486">
        <v>0.23</v>
      </c>
      <c r="H3478" s="486">
        <f t="shared" ref="H3478:H3480" si="120">0.7-0.05</f>
        <v>0.64999999999999991</v>
      </c>
      <c r="I3478" s="399">
        <f t="shared" si="115"/>
        <v>0.44</v>
      </c>
      <c r="J3478" s="404"/>
      <c r="K3478" s="1234"/>
      <c r="L3478" s="431"/>
      <c r="M3478" s="431"/>
      <c r="N3478" s="431"/>
    </row>
    <row r="3479" spans="1:14" s="398" customFormat="1" hidden="1" outlineLevel="1">
      <c r="A3479" s="1248"/>
      <c r="B3479" s="425"/>
      <c r="C3479" s="304" t="s">
        <v>167</v>
      </c>
      <c r="D3479" s="485">
        <v>1</v>
      </c>
      <c r="E3479" s="408">
        <v>4</v>
      </c>
      <c r="F3479" s="486">
        <v>3</v>
      </c>
      <c r="G3479" s="486">
        <v>0.23</v>
      </c>
      <c r="H3479" s="486">
        <f t="shared" si="120"/>
        <v>0.64999999999999991</v>
      </c>
      <c r="I3479" s="399">
        <f t="shared" si="115"/>
        <v>1.79</v>
      </c>
      <c r="J3479" s="404"/>
      <c r="K3479" s="1234"/>
      <c r="L3479" s="431"/>
      <c r="M3479" s="431"/>
      <c r="N3479" s="431"/>
    </row>
    <row r="3480" spans="1:14" s="398" customFormat="1" hidden="1" outlineLevel="1">
      <c r="A3480" s="1248"/>
      <c r="B3480" s="425"/>
      <c r="C3480" s="304" t="s">
        <v>167</v>
      </c>
      <c r="D3480" s="485">
        <v>1</v>
      </c>
      <c r="E3480" s="408">
        <v>1</v>
      </c>
      <c r="F3480" s="486">
        <f>3.735</f>
        <v>3.7349999999999999</v>
      </c>
      <c r="G3480" s="486">
        <v>0.23</v>
      </c>
      <c r="H3480" s="486">
        <f t="shared" si="120"/>
        <v>0.64999999999999991</v>
      </c>
      <c r="I3480" s="399">
        <f t="shared" ref="I3480:I3543" si="121">IF(D3480&lt;&gt;0,ROUND(PRODUCT(E3480:H3480)*D3480,2),"")</f>
        <v>0.56000000000000005</v>
      </c>
      <c r="J3480" s="404"/>
      <c r="K3480" s="1234"/>
      <c r="L3480" s="431"/>
      <c r="M3480" s="431"/>
      <c r="N3480" s="431"/>
    </row>
    <row r="3481" spans="1:14" s="398" customFormat="1" hidden="1" outlineLevel="1">
      <c r="A3481" s="1248"/>
      <c r="B3481" s="425"/>
      <c r="C3481" s="304"/>
      <c r="D3481" s="485"/>
      <c r="E3481" s="408"/>
      <c r="F3481" s="486"/>
      <c r="G3481" s="486"/>
      <c r="H3481" s="486"/>
      <c r="I3481" s="399" t="str">
        <f t="shared" si="121"/>
        <v/>
      </c>
      <c r="J3481" s="404"/>
      <c r="K3481" s="1234"/>
      <c r="L3481" s="431"/>
      <c r="M3481" s="431"/>
      <c r="N3481" s="431"/>
    </row>
    <row r="3482" spans="1:14" s="398" customFormat="1" ht="34.5" hidden="1" outlineLevel="1">
      <c r="A3482" s="1248"/>
      <c r="B3482" s="425" t="s">
        <v>954</v>
      </c>
      <c r="C3482" s="304" t="s">
        <v>167</v>
      </c>
      <c r="D3482" s="485">
        <v>5</v>
      </c>
      <c r="E3482" s="408">
        <v>2</v>
      </c>
      <c r="F3482" s="662">
        <v>4.7</v>
      </c>
      <c r="G3482" s="486">
        <v>0.23</v>
      </c>
      <c r="H3482" s="486">
        <f>0.85-0.05</f>
        <v>0.79999999999999993</v>
      </c>
      <c r="I3482" s="399">
        <f t="shared" si="121"/>
        <v>8.65</v>
      </c>
      <c r="J3482" s="404"/>
      <c r="K3482" s="1234"/>
      <c r="L3482" s="431"/>
      <c r="M3482" s="431"/>
      <c r="N3482" s="431"/>
    </row>
    <row r="3483" spans="1:14" s="398" customFormat="1" hidden="1" outlineLevel="1">
      <c r="A3483" s="1248"/>
      <c r="B3483" s="425"/>
      <c r="C3483" s="304" t="s">
        <v>167</v>
      </c>
      <c r="D3483" s="485">
        <v>5</v>
      </c>
      <c r="E3483" s="408">
        <v>2</v>
      </c>
      <c r="F3483" s="486">
        <f>2-0.46</f>
        <v>1.54</v>
      </c>
      <c r="G3483" s="486">
        <v>0.23</v>
      </c>
      <c r="H3483" s="486">
        <f>0.85-0.05</f>
        <v>0.79999999999999993</v>
      </c>
      <c r="I3483" s="399">
        <f t="shared" si="121"/>
        <v>2.83</v>
      </c>
      <c r="J3483" s="404"/>
      <c r="K3483" s="1234"/>
      <c r="L3483" s="431"/>
      <c r="M3483" s="431"/>
      <c r="N3483" s="431"/>
    </row>
    <row r="3484" spans="1:14" s="398" customFormat="1" hidden="1" outlineLevel="1">
      <c r="A3484" s="1248"/>
      <c r="B3484" s="425"/>
      <c r="C3484" s="304"/>
      <c r="D3484" s="485"/>
      <c r="E3484" s="408"/>
      <c r="F3484" s="486"/>
      <c r="G3484" s="486"/>
      <c r="H3484" s="486"/>
      <c r="I3484" s="399" t="str">
        <f t="shared" si="121"/>
        <v/>
      </c>
      <c r="J3484" s="404"/>
      <c r="K3484" s="1234"/>
      <c r="L3484" s="431"/>
      <c r="M3484" s="431"/>
      <c r="N3484" s="431"/>
    </row>
    <row r="3485" spans="1:14" s="398" customFormat="1" hidden="1" outlineLevel="1">
      <c r="A3485" s="1248"/>
      <c r="B3485" s="425" t="s">
        <v>955</v>
      </c>
      <c r="C3485" s="304" t="s">
        <v>167</v>
      </c>
      <c r="D3485" s="485">
        <v>3</v>
      </c>
      <c r="E3485" s="408">
        <v>2</v>
      </c>
      <c r="F3485" s="486">
        <v>2.6850000000000001</v>
      </c>
      <c r="G3485" s="486">
        <v>0.23</v>
      </c>
      <c r="H3485" s="486">
        <f>0.65-0.05</f>
        <v>0.6</v>
      </c>
      <c r="I3485" s="399">
        <f t="shared" si="121"/>
        <v>2.2200000000000002</v>
      </c>
      <c r="J3485" s="404"/>
      <c r="K3485" s="1234"/>
      <c r="L3485" s="431"/>
      <c r="M3485" s="431"/>
      <c r="N3485" s="431"/>
    </row>
    <row r="3486" spans="1:14" s="398" customFormat="1" hidden="1" outlineLevel="1">
      <c r="A3486" s="1248"/>
      <c r="B3486" s="425"/>
      <c r="C3486" s="304" t="s">
        <v>167</v>
      </c>
      <c r="D3486" s="485">
        <v>3</v>
      </c>
      <c r="E3486" s="408">
        <v>2</v>
      </c>
      <c r="F3486" s="486">
        <f>2.2-0.46</f>
        <v>1.7400000000000002</v>
      </c>
      <c r="G3486" s="486">
        <v>0.23</v>
      </c>
      <c r="H3486" s="486">
        <f>0.65-0.05</f>
        <v>0.6</v>
      </c>
      <c r="I3486" s="399">
        <f t="shared" si="121"/>
        <v>1.44</v>
      </c>
      <c r="J3486" s="404"/>
      <c r="K3486" s="1234"/>
      <c r="L3486" s="431"/>
      <c r="M3486" s="431"/>
      <c r="N3486" s="431"/>
    </row>
    <row r="3487" spans="1:14" s="398" customFormat="1" hidden="1" outlineLevel="1">
      <c r="A3487" s="1248"/>
      <c r="B3487" s="425" t="s">
        <v>956</v>
      </c>
      <c r="C3487" s="304" t="s">
        <v>167</v>
      </c>
      <c r="D3487" s="485">
        <v>5</v>
      </c>
      <c r="E3487" s="408">
        <v>2</v>
      </c>
      <c r="F3487" s="486">
        <v>2.63</v>
      </c>
      <c r="G3487" s="486">
        <v>0.23</v>
      </c>
      <c r="H3487" s="486">
        <f>0.7-0.05</f>
        <v>0.64999999999999991</v>
      </c>
      <c r="I3487" s="399">
        <f t="shared" si="121"/>
        <v>3.93</v>
      </c>
      <c r="J3487" s="404"/>
      <c r="K3487" s="1234"/>
      <c r="L3487" s="431"/>
      <c r="M3487" s="431"/>
      <c r="N3487" s="431"/>
    </row>
    <row r="3488" spans="1:14" s="398" customFormat="1" hidden="1" outlineLevel="1">
      <c r="A3488" s="1248"/>
      <c r="B3488" s="425"/>
      <c r="C3488" s="304" t="s">
        <v>167</v>
      </c>
      <c r="D3488" s="485">
        <v>5</v>
      </c>
      <c r="E3488" s="408">
        <v>2</v>
      </c>
      <c r="F3488" s="486">
        <f>2-0.46</f>
        <v>1.54</v>
      </c>
      <c r="G3488" s="486">
        <v>0.23</v>
      </c>
      <c r="H3488" s="486">
        <f>0.7-0.05</f>
        <v>0.64999999999999991</v>
      </c>
      <c r="I3488" s="399">
        <f t="shared" si="121"/>
        <v>2.2999999999999998</v>
      </c>
      <c r="J3488" s="404"/>
      <c r="K3488" s="1234"/>
      <c r="L3488" s="431"/>
      <c r="M3488" s="431"/>
      <c r="N3488" s="431"/>
    </row>
    <row r="3489" spans="1:16" s="398" customFormat="1" hidden="1" outlineLevel="1">
      <c r="A3489" s="1248"/>
      <c r="B3489" s="425"/>
      <c r="C3489" s="304"/>
      <c r="D3489" s="485"/>
      <c r="E3489" s="408"/>
      <c r="F3489" s="486"/>
      <c r="G3489" s="486"/>
      <c r="H3489" s="486"/>
      <c r="I3489" s="399" t="str">
        <f t="shared" si="121"/>
        <v/>
      </c>
      <c r="J3489" s="404"/>
      <c r="K3489" s="1234"/>
      <c r="L3489" s="431"/>
      <c r="M3489" s="431"/>
      <c r="N3489" s="431"/>
    </row>
    <row r="3490" spans="1:16" s="398" customFormat="1" hidden="1" outlineLevel="1">
      <c r="A3490" s="1248"/>
      <c r="B3490" s="592" t="s">
        <v>957</v>
      </c>
      <c r="C3490" s="304" t="s">
        <v>167</v>
      </c>
      <c r="D3490" s="484">
        <v>10</v>
      </c>
      <c r="E3490" s="485">
        <v>2</v>
      </c>
      <c r="F3490" s="486">
        <f>0.84</f>
        <v>0.84</v>
      </c>
      <c r="G3490" s="486">
        <v>0.23</v>
      </c>
      <c r="H3490" s="486">
        <f>0.95-0.15</f>
        <v>0.79999999999999993</v>
      </c>
      <c r="I3490" s="399">
        <f t="shared" si="121"/>
        <v>3.09</v>
      </c>
      <c r="J3490" s="404"/>
      <c r="K3490" s="1234"/>
      <c r="L3490" s="431"/>
      <c r="M3490" s="431"/>
      <c r="N3490" s="431"/>
    </row>
    <row r="3491" spans="1:16" s="398" customFormat="1" hidden="1" outlineLevel="1">
      <c r="A3491" s="1248"/>
      <c r="B3491" s="425"/>
      <c r="C3491" s="304" t="s">
        <v>167</v>
      </c>
      <c r="D3491" s="484">
        <v>10</v>
      </c>
      <c r="E3491" s="485">
        <v>2</v>
      </c>
      <c r="F3491" s="486">
        <f>0.84-0.46</f>
        <v>0.37999999999999995</v>
      </c>
      <c r="G3491" s="486">
        <v>0.23</v>
      </c>
      <c r="H3491" s="486">
        <f>0.95-0.15</f>
        <v>0.79999999999999993</v>
      </c>
      <c r="I3491" s="399">
        <f t="shared" si="121"/>
        <v>1.4</v>
      </c>
      <c r="J3491" s="404"/>
      <c r="K3491" s="1234"/>
      <c r="L3491" s="431"/>
      <c r="M3491" s="431"/>
      <c r="N3491" s="431"/>
    </row>
    <row r="3492" spans="1:16" s="398" customFormat="1" hidden="1" outlineLevel="1">
      <c r="A3492" s="1248"/>
      <c r="B3492" s="425" t="s">
        <v>958</v>
      </c>
      <c r="C3492" s="304" t="s">
        <v>167</v>
      </c>
      <c r="D3492" s="485">
        <f>10*4</f>
        <v>40</v>
      </c>
      <c r="E3492" s="408">
        <v>1</v>
      </c>
      <c r="F3492" s="486">
        <v>0.34499999999999997</v>
      </c>
      <c r="G3492" s="486">
        <v>0.34499999999999997</v>
      </c>
      <c r="H3492" s="486">
        <v>0.31</v>
      </c>
      <c r="I3492" s="399">
        <f t="shared" si="121"/>
        <v>1.48</v>
      </c>
      <c r="J3492" s="404"/>
      <c r="K3492" s="1234"/>
      <c r="L3492" s="431"/>
      <c r="M3492" s="431"/>
      <c r="N3492" s="431"/>
    </row>
    <row r="3493" spans="1:16" s="398" customFormat="1" hidden="1" outlineLevel="1">
      <c r="A3493" s="1248"/>
      <c r="B3493" s="425"/>
      <c r="C3493" s="304" t="s">
        <v>167</v>
      </c>
      <c r="D3493" s="485">
        <f>10*4</f>
        <v>40</v>
      </c>
      <c r="E3493" s="408">
        <v>1</v>
      </c>
      <c r="F3493" s="486">
        <v>0.46</v>
      </c>
      <c r="G3493" s="486">
        <v>0.46</v>
      </c>
      <c r="H3493" s="486">
        <v>0.28999999999999998</v>
      </c>
      <c r="I3493" s="399">
        <f t="shared" si="121"/>
        <v>2.4500000000000002</v>
      </c>
      <c r="J3493" s="404"/>
      <c r="K3493" s="1234"/>
      <c r="L3493" s="431"/>
      <c r="M3493" s="431"/>
      <c r="N3493" s="431"/>
    </row>
    <row r="3494" spans="1:16" s="398" customFormat="1" hidden="1" outlineLevel="1">
      <c r="A3494" s="1248"/>
      <c r="B3494" s="369"/>
      <c r="C3494" s="165"/>
      <c r="D3494" s="392"/>
      <c r="E3494" s="323"/>
      <c r="F3494" s="1160"/>
      <c r="G3494" s="1160"/>
      <c r="H3494" s="1160"/>
      <c r="I3494" s="399" t="str">
        <f t="shared" si="121"/>
        <v/>
      </c>
      <c r="J3494" s="374"/>
      <c r="K3494" s="1222"/>
      <c r="L3494" s="431"/>
      <c r="M3494" s="431"/>
      <c r="N3494" s="431"/>
    </row>
    <row r="3495" spans="1:16" s="870" customFormat="1" ht="51.75" hidden="1" outlineLevel="1" collapsed="1">
      <c r="A3495" s="1269"/>
      <c r="B3495" s="865" t="s">
        <v>1322</v>
      </c>
      <c r="C3495" s="866"/>
      <c r="D3495" s="867"/>
      <c r="E3495" s="864"/>
      <c r="F3495" s="1366"/>
      <c r="G3495" s="1366"/>
      <c r="H3495" s="1366"/>
      <c r="I3495" s="399" t="str">
        <f t="shared" si="121"/>
        <v/>
      </c>
      <c r="J3495" s="868"/>
      <c r="K3495" s="1270"/>
      <c r="L3495" s="869"/>
      <c r="M3495" s="869"/>
      <c r="N3495" s="869"/>
    </row>
    <row r="3496" spans="1:16" s="870" customFormat="1" hidden="1" outlineLevel="1">
      <c r="A3496" s="1269"/>
      <c r="B3496" s="865"/>
      <c r="C3496" s="866"/>
      <c r="D3496" s="867"/>
      <c r="E3496" s="864"/>
      <c r="F3496" s="1366"/>
      <c r="G3496" s="1366"/>
      <c r="H3496" s="1366"/>
      <c r="I3496" s="399" t="str">
        <f t="shared" si="121"/>
        <v/>
      </c>
      <c r="J3496" s="868"/>
      <c r="K3496" s="1270"/>
      <c r="L3496" s="869"/>
      <c r="M3496" s="869"/>
      <c r="N3496" s="869"/>
    </row>
    <row r="3497" spans="1:16" s="870" customFormat="1" hidden="1" outlineLevel="1">
      <c r="A3497" s="1269"/>
      <c r="B3497" s="865" t="s">
        <v>1310</v>
      </c>
      <c r="C3497" s="866" t="s">
        <v>2</v>
      </c>
      <c r="D3497" s="867">
        <v>1</v>
      </c>
      <c r="E3497" s="864">
        <v>2</v>
      </c>
      <c r="F3497" s="1366">
        <f>5.85+G3497*2</f>
        <v>6.77</v>
      </c>
      <c r="G3497" s="1366">
        <v>0.46</v>
      </c>
      <c r="H3497" s="1366">
        <v>0.3</v>
      </c>
      <c r="I3497" s="399">
        <f t="shared" si="121"/>
        <v>1.87</v>
      </c>
      <c r="J3497" s="868"/>
      <c r="K3497" s="1270"/>
      <c r="L3497" s="869"/>
      <c r="M3497" s="869"/>
      <c r="N3497" s="869"/>
      <c r="O3497" s="869"/>
      <c r="P3497" s="869"/>
    </row>
    <row r="3498" spans="1:16" s="870" customFormat="1" hidden="1" outlineLevel="1">
      <c r="A3498" s="1269"/>
      <c r="B3498" s="865"/>
      <c r="C3498" s="866" t="s">
        <v>2</v>
      </c>
      <c r="D3498" s="867">
        <v>1</v>
      </c>
      <c r="E3498" s="864">
        <v>2</v>
      </c>
      <c r="F3498" s="1366">
        <f t="shared" ref="F3498:F3499" si="122">5.85+G3498*2</f>
        <v>6.5399999999999991</v>
      </c>
      <c r="G3498" s="1366">
        <v>0.34499999999999997</v>
      </c>
      <c r="H3498" s="1366">
        <v>0.3</v>
      </c>
      <c r="I3498" s="399">
        <f t="shared" si="121"/>
        <v>1.35</v>
      </c>
      <c r="J3498" s="868"/>
      <c r="K3498" s="1270"/>
      <c r="L3498" s="869"/>
      <c r="M3498" s="869"/>
      <c r="N3498" s="869"/>
      <c r="O3498" s="869"/>
      <c r="P3498" s="869"/>
    </row>
    <row r="3499" spans="1:16" s="891" customFormat="1" hidden="1" outlineLevel="1">
      <c r="A3499" s="1269"/>
      <c r="B3499" s="865"/>
      <c r="C3499" s="866" t="s">
        <v>2</v>
      </c>
      <c r="D3499" s="867">
        <v>1</v>
      </c>
      <c r="E3499" s="864">
        <v>2</v>
      </c>
      <c r="F3499" s="1366">
        <f t="shared" si="122"/>
        <v>6.31</v>
      </c>
      <c r="G3499" s="1366">
        <v>0.23</v>
      </c>
      <c r="H3499" s="1366">
        <f>1.2-0.15-0.6-0.06-0.2</f>
        <v>0.19000000000000006</v>
      </c>
      <c r="I3499" s="399">
        <f t="shared" si="121"/>
        <v>0.55000000000000004</v>
      </c>
      <c r="J3499" s="868"/>
      <c r="K3499" s="1270"/>
    </row>
    <row r="3500" spans="1:16" s="891" customFormat="1" hidden="1" outlineLevel="1">
      <c r="A3500" s="1269"/>
      <c r="B3500" s="865" t="s">
        <v>1311</v>
      </c>
      <c r="C3500" s="866" t="s">
        <v>2</v>
      </c>
      <c r="D3500" s="867">
        <v>1</v>
      </c>
      <c r="E3500" s="864">
        <v>2</v>
      </c>
      <c r="F3500" s="1366">
        <v>1.8</v>
      </c>
      <c r="G3500" s="1366">
        <v>0.46</v>
      </c>
      <c r="H3500" s="1366">
        <v>0.3</v>
      </c>
      <c r="I3500" s="399">
        <f t="shared" si="121"/>
        <v>0.5</v>
      </c>
      <c r="J3500" s="868"/>
      <c r="K3500" s="1270"/>
    </row>
    <row r="3501" spans="1:16" s="891" customFormat="1" hidden="1" outlineLevel="1">
      <c r="A3501" s="1269"/>
      <c r="B3501" s="865"/>
      <c r="C3501" s="866" t="s">
        <v>2</v>
      </c>
      <c r="D3501" s="867">
        <v>1</v>
      </c>
      <c r="E3501" s="864">
        <v>2</v>
      </c>
      <c r="F3501" s="1366">
        <v>1.8</v>
      </c>
      <c r="G3501" s="1366">
        <v>0.34499999999999997</v>
      </c>
      <c r="H3501" s="1366">
        <v>0.3</v>
      </c>
      <c r="I3501" s="399">
        <f t="shared" si="121"/>
        <v>0.37</v>
      </c>
      <c r="J3501" s="868"/>
      <c r="K3501" s="1270"/>
    </row>
    <row r="3502" spans="1:16" s="891" customFormat="1" hidden="1" outlineLevel="1">
      <c r="A3502" s="1269"/>
      <c r="B3502" s="865"/>
      <c r="C3502" s="866" t="s">
        <v>2</v>
      </c>
      <c r="D3502" s="867">
        <v>1</v>
      </c>
      <c r="E3502" s="864">
        <v>2</v>
      </c>
      <c r="F3502" s="1366">
        <v>1.8</v>
      </c>
      <c r="G3502" s="1366">
        <v>0.23</v>
      </c>
      <c r="H3502" s="1366">
        <f>1.2-0.15-0.6-0.06-0.2</f>
        <v>0.19000000000000006</v>
      </c>
      <c r="I3502" s="399">
        <f t="shared" si="121"/>
        <v>0.16</v>
      </c>
      <c r="J3502" s="868"/>
      <c r="K3502" s="1270"/>
    </row>
    <row r="3503" spans="1:16" s="891" customFormat="1" hidden="1" outlineLevel="1">
      <c r="A3503" s="1269"/>
      <c r="B3503" s="865"/>
      <c r="C3503" s="866"/>
      <c r="D3503" s="867"/>
      <c r="E3503" s="864"/>
      <c r="F3503" s="1366"/>
      <c r="G3503" s="1366"/>
      <c r="H3503" s="1366"/>
      <c r="I3503" s="399" t="str">
        <f t="shared" si="121"/>
        <v/>
      </c>
      <c r="J3503" s="868"/>
      <c r="K3503" s="1270"/>
    </row>
    <row r="3504" spans="1:16" s="870" customFormat="1" hidden="1" outlineLevel="1">
      <c r="A3504" s="1269"/>
      <c r="B3504" s="865" t="s">
        <v>1310</v>
      </c>
      <c r="C3504" s="866" t="s">
        <v>2</v>
      </c>
      <c r="D3504" s="867">
        <v>1</v>
      </c>
      <c r="E3504" s="864">
        <v>2</v>
      </c>
      <c r="F3504" s="1367">
        <v>5.4450000000000003</v>
      </c>
      <c r="G3504" s="1366">
        <v>0.46</v>
      </c>
      <c r="H3504" s="1366">
        <v>0.3</v>
      </c>
      <c r="I3504" s="399">
        <f t="shared" si="121"/>
        <v>1.5</v>
      </c>
      <c r="J3504" s="868"/>
      <c r="K3504" s="1270"/>
      <c r="L3504" s="869"/>
      <c r="M3504" s="869"/>
      <c r="N3504" s="869"/>
      <c r="O3504" s="869"/>
      <c r="P3504" s="869"/>
    </row>
    <row r="3505" spans="1:16" s="870" customFormat="1" hidden="1" outlineLevel="1">
      <c r="A3505" s="1269"/>
      <c r="B3505" s="865"/>
      <c r="C3505" s="866" t="s">
        <v>2</v>
      </c>
      <c r="D3505" s="867">
        <v>1</v>
      </c>
      <c r="E3505" s="864">
        <v>2</v>
      </c>
      <c r="F3505" s="1367">
        <v>5.2149999999999999</v>
      </c>
      <c r="G3505" s="1366">
        <v>0.34499999999999997</v>
      </c>
      <c r="H3505" s="1366">
        <v>0.3</v>
      </c>
      <c r="I3505" s="399">
        <f t="shared" si="121"/>
        <v>1.08</v>
      </c>
      <c r="J3505" s="868"/>
      <c r="K3505" s="1270"/>
      <c r="L3505" s="869"/>
      <c r="M3505" s="869"/>
      <c r="N3505" s="869"/>
      <c r="O3505" s="869"/>
      <c r="P3505" s="869"/>
    </row>
    <row r="3506" spans="1:16" s="870" customFormat="1" hidden="1" outlineLevel="1">
      <c r="A3506" s="1269"/>
      <c r="B3506" s="865"/>
      <c r="C3506" s="866" t="s">
        <v>2</v>
      </c>
      <c r="D3506" s="867">
        <v>1</v>
      </c>
      <c r="E3506" s="864">
        <v>2</v>
      </c>
      <c r="F3506" s="1367">
        <v>4.9850000000000003</v>
      </c>
      <c r="G3506" s="1366">
        <v>0.23</v>
      </c>
      <c r="H3506" s="1366">
        <f>1.2-0.15-0.6-0.06-0.2</f>
        <v>0.19000000000000006</v>
      </c>
      <c r="I3506" s="399">
        <f t="shared" si="121"/>
        <v>0.44</v>
      </c>
      <c r="J3506" s="868"/>
      <c r="K3506" s="1270"/>
      <c r="L3506" s="869"/>
      <c r="M3506" s="869"/>
      <c r="N3506" s="869"/>
      <c r="O3506" s="869"/>
      <c r="P3506" s="869"/>
    </row>
    <row r="3507" spans="1:16" s="870" customFormat="1" hidden="1" outlineLevel="1">
      <c r="A3507" s="1269"/>
      <c r="B3507" s="865" t="s">
        <v>1311</v>
      </c>
      <c r="C3507" s="866" t="s">
        <v>2</v>
      </c>
      <c r="D3507" s="867">
        <v>1</v>
      </c>
      <c r="E3507" s="864">
        <v>2</v>
      </c>
      <c r="F3507" s="1366">
        <v>1.8</v>
      </c>
      <c r="G3507" s="1366">
        <v>0.46</v>
      </c>
      <c r="H3507" s="1366">
        <v>0.3</v>
      </c>
      <c r="I3507" s="399">
        <f t="shared" si="121"/>
        <v>0.5</v>
      </c>
      <c r="J3507" s="868"/>
      <c r="K3507" s="1270"/>
      <c r="L3507" s="869"/>
      <c r="M3507" s="869"/>
      <c r="N3507" s="869"/>
      <c r="O3507" s="869"/>
      <c r="P3507" s="869"/>
    </row>
    <row r="3508" spans="1:16" s="891" customFormat="1" hidden="1" outlineLevel="1">
      <c r="A3508" s="1269"/>
      <c r="B3508" s="865"/>
      <c r="C3508" s="866" t="s">
        <v>2</v>
      </c>
      <c r="D3508" s="867">
        <v>1</v>
      </c>
      <c r="E3508" s="864">
        <v>2</v>
      </c>
      <c r="F3508" s="1366">
        <v>1.8</v>
      </c>
      <c r="G3508" s="1366">
        <v>0.34499999999999997</v>
      </c>
      <c r="H3508" s="1366">
        <v>0.3</v>
      </c>
      <c r="I3508" s="399">
        <f t="shared" si="121"/>
        <v>0.37</v>
      </c>
      <c r="J3508" s="868"/>
      <c r="K3508" s="1270"/>
    </row>
    <row r="3509" spans="1:16" s="891" customFormat="1" hidden="1" outlineLevel="1">
      <c r="A3509" s="1269"/>
      <c r="B3509" s="865"/>
      <c r="C3509" s="866" t="s">
        <v>2</v>
      </c>
      <c r="D3509" s="867">
        <v>1</v>
      </c>
      <c r="E3509" s="864">
        <v>2</v>
      </c>
      <c r="F3509" s="1366">
        <v>1.8</v>
      </c>
      <c r="G3509" s="1366">
        <v>0.23</v>
      </c>
      <c r="H3509" s="1366">
        <f>1.2-0.15-0.6-0.06-0.2</f>
        <v>0.19000000000000006</v>
      </c>
      <c r="I3509" s="399">
        <f t="shared" si="121"/>
        <v>0.16</v>
      </c>
      <c r="J3509" s="868"/>
      <c r="K3509" s="1270"/>
    </row>
    <row r="3510" spans="1:16" s="891" customFormat="1" hidden="1" outlineLevel="1">
      <c r="A3510" s="1269"/>
      <c r="B3510" s="865"/>
      <c r="C3510" s="866"/>
      <c r="D3510" s="867"/>
      <c r="E3510" s="864"/>
      <c r="F3510" s="1366"/>
      <c r="G3510" s="1366"/>
      <c r="H3510" s="1366"/>
      <c r="I3510" s="399" t="str">
        <f t="shared" si="121"/>
        <v/>
      </c>
      <c r="J3510" s="868"/>
      <c r="K3510" s="1270"/>
    </row>
    <row r="3511" spans="1:16" s="870" customFormat="1" ht="51.75" hidden="1" outlineLevel="1">
      <c r="A3511" s="1269"/>
      <c r="B3511" s="865" t="s">
        <v>1323</v>
      </c>
      <c r="C3511" s="866"/>
      <c r="D3511" s="867"/>
      <c r="E3511" s="864"/>
      <c r="F3511" s="1366"/>
      <c r="G3511" s="1366"/>
      <c r="H3511" s="1366"/>
      <c r="I3511" s="399" t="str">
        <f t="shared" si="121"/>
        <v/>
      </c>
      <c r="J3511" s="868"/>
      <c r="K3511" s="1270"/>
      <c r="L3511" s="869"/>
      <c r="M3511" s="869"/>
      <c r="N3511" s="869"/>
      <c r="O3511" s="869"/>
      <c r="P3511" s="869"/>
    </row>
    <row r="3512" spans="1:16" s="891" customFormat="1" hidden="1" outlineLevel="1">
      <c r="A3512" s="1269"/>
      <c r="B3512" s="865" t="s">
        <v>1310</v>
      </c>
      <c r="C3512" s="866" t="s">
        <v>2</v>
      </c>
      <c r="D3512" s="867">
        <v>1</v>
      </c>
      <c r="E3512" s="864">
        <v>2</v>
      </c>
      <c r="F3512" s="1366">
        <f>5.85+G3512*2</f>
        <v>6.77</v>
      </c>
      <c r="G3512" s="1366">
        <v>0.46</v>
      </c>
      <c r="H3512" s="1366">
        <v>0.3</v>
      </c>
      <c r="I3512" s="399">
        <f t="shared" si="121"/>
        <v>1.87</v>
      </c>
      <c r="J3512" s="868"/>
      <c r="K3512" s="1270"/>
    </row>
    <row r="3513" spans="1:16" s="891" customFormat="1" hidden="1" outlineLevel="1">
      <c r="A3513" s="1269"/>
      <c r="B3513" s="865"/>
      <c r="C3513" s="866" t="s">
        <v>2</v>
      </c>
      <c r="D3513" s="867">
        <v>1</v>
      </c>
      <c r="E3513" s="864">
        <v>2</v>
      </c>
      <c r="F3513" s="1366">
        <f t="shared" ref="F3513:F3514" si="123">5.85+G3513*2</f>
        <v>6.5399999999999991</v>
      </c>
      <c r="G3513" s="1366">
        <v>0.34499999999999997</v>
      </c>
      <c r="H3513" s="1366">
        <v>0.3</v>
      </c>
      <c r="I3513" s="399">
        <f t="shared" si="121"/>
        <v>1.35</v>
      </c>
      <c r="J3513" s="868"/>
      <c r="K3513" s="1270"/>
    </row>
    <row r="3514" spans="1:16" s="891" customFormat="1" hidden="1" outlineLevel="1">
      <c r="A3514" s="1269"/>
      <c r="B3514" s="865"/>
      <c r="C3514" s="866" t="s">
        <v>2</v>
      </c>
      <c r="D3514" s="867">
        <v>1</v>
      </c>
      <c r="E3514" s="864">
        <v>2</v>
      </c>
      <c r="F3514" s="1366">
        <f t="shared" si="123"/>
        <v>6.31</v>
      </c>
      <c r="G3514" s="1366">
        <v>0.23</v>
      </c>
      <c r="H3514" s="1366">
        <f>1.2-0.15-0.6-0.06-0.2</f>
        <v>0.19000000000000006</v>
      </c>
      <c r="I3514" s="399">
        <f t="shared" si="121"/>
        <v>0.55000000000000004</v>
      </c>
      <c r="J3514" s="868"/>
      <c r="K3514" s="1270"/>
    </row>
    <row r="3515" spans="1:16" s="870" customFormat="1" hidden="1" outlineLevel="1">
      <c r="A3515" s="1269"/>
      <c r="B3515" s="865" t="s">
        <v>1311</v>
      </c>
      <c r="C3515" s="866" t="s">
        <v>2</v>
      </c>
      <c r="D3515" s="867">
        <v>1</v>
      </c>
      <c r="E3515" s="864">
        <v>2</v>
      </c>
      <c r="F3515" s="1366">
        <v>1.2</v>
      </c>
      <c r="G3515" s="1366">
        <v>0.46</v>
      </c>
      <c r="H3515" s="1366">
        <v>0.3</v>
      </c>
      <c r="I3515" s="399">
        <f t="shared" si="121"/>
        <v>0.33</v>
      </c>
      <c r="J3515" s="868"/>
      <c r="K3515" s="1270"/>
      <c r="L3515" s="869"/>
      <c r="M3515" s="869"/>
      <c r="N3515" s="869"/>
      <c r="O3515" s="869"/>
      <c r="P3515" s="869"/>
    </row>
    <row r="3516" spans="1:16" s="891" customFormat="1" hidden="1" outlineLevel="1">
      <c r="A3516" s="1269"/>
      <c r="B3516" s="865"/>
      <c r="C3516" s="866" t="s">
        <v>2</v>
      </c>
      <c r="D3516" s="867">
        <v>1</v>
      </c>
      <c r="E3516" s="864">
        <v>2</v>
      </c>
      <c r="F3516" s="1366">
        <v>1.2</v>
      </c>
      <c r="G3516" s="1366">
        <v>0.34499999999999997</v>
      </c>
      <c r="H3516" s="1366">
        <v>0.3</v>
      </c>
      <c r="I3516" s="399">
        <f t="shared" si="121"/>
        <v>0.25</v>
      </c>
      <c r="J3516" s="868"/>
      <c r="K3516" s="1270"/>
    </row>
    <row r="3517" spans="1:16" s="891" customFormat="1" hidden="1" outlineLevel="1">
      <c r="A3517" s="1269"/>
      <c r="B3517" s="865"/>
      <c r="C3517" s="866" t="s">
        <v>2</v>
      </c>
      <c r="D3517" s="867">
        <v>1</v>
      </c>
      <c r="E3517" s="864">
        <v>2</v>
      </c>
      <c r="F3517" s="1366">
        <v>1.2</v>
      </c>
      <c r="G3517" s="1366">
        <v>0.23</v>
      </c>
      <c r="H3517" s="1366">
        <f>1.2-0.15-0.6-0.06-0.2</f>
        <v>0.19000000000000006</v>
      </c>
      <c r="I3517" s="399">
        <f t="shared" si="121"/>
        <v>0.1</v>
      </c>
      <c r="J3517" s="868"/>
      <c r="K3517" s="1270"/>
    </row>
    <row r="3518" spans="1:16" s="891" customFormat="1" hidden="1" outlineLevel="1">
      <c r="A3518" s="1269"/>
      <c r="B3518" s="865"/>
      <c r="C3518" s="866"/>
      <c r="D3518" s="867"/>
      <c r="E3518" s="864"/>
      <c r="F3518" s="1366"/>
      <c r="G3518" s="1366"/>
      <c r="H3518" s="1366"/>
      <c r="I3518" s="399" t="str">
        <f t="shared" si="121"/>
        <v/>
      </c>
      <c r="J3518" s="868"/>
      <c r="K3518" s="1270"/>
    </row>
    <row r="3519" spans="1:16" s="870" customFormat="1" hidden="1" outlineLevel="1">
      <c r="A3519" s="1269"/>
      <c r="B3519" s="865" t="s">
        <v>1310</v>
      </c>
      <c r="C3519" s="866" t="s">
        <v>2</v>
      </c>
      <c r="D3519" s="867">
        <v>1</v>
      </c>
      <c r="E3519" s="864">
        <v>2</v>
      </c>
      <c r="F3519" s="1367">
        <v>5.4450000000000003</v>
      </c>
      <c r="G3519" s="1366">
        <v>0.46</v>
      </c>
      <c r="H3519" s="1366">
        <v>0.3</v>
      </c>
      <c r="I3519" s="399">
        <f t="shared" si="121"/>
        <v>1.5</v>
      </c>
      <c r="J3519" s="868"/>
      <c r="K3519" s="1270"/>
      <c r="L3519" s="869"/>
      <c r="M3519" s="869"/>
      <c r="N3519" s="869"/>
      <c r="O3519" s="869"/>
      <c r="P3519" s="869"/>
    </row>
    <row r="3520" spans="1:16" s="891" customFormat="1" hidden="1" outlineLevel="1">
      <c r="A3520" s="1269"/>
      <c r="B3520" s="865"/>
      <c r="C3520" s="866" t="s">
        <v>2</v>
      </c>
      <c r="D3520" s="867">
        <v>1</v>
      </c>
      <c r="E3520" s="864">
        <v>2</v>
      </c>
      <c r="F3520" s="1367">
        <v>5.2149999999999999</v>
      </c>
      <c r="G3520" s="1366">
        <v>0.34499999999999997</v>
      </c>
      <c r="H3520" s="1366">
        <v>0.3</v>
      </c>
      <c r="I3520" s="399">
        <f t="shared" si="121"/>
        <v>1.08</v>
      </c>
      <c r="J3520" s="868"/>
      <c r="K3520" s="1270"/>
    </row>
    <row r="3521" spans="1:16" s="891" customFormat="1" hidden="1" outlineLevel="1">
      <c r="A3521" s="1269"/>
      <c r="B3521" s="865"/>
      <c r="C3521" s="866" t="s">
        <v>2</v>
      </c>
      <c r="D3521" s="867">
        <v>1</v>
      </c>
      <c r="E3521" s="864">
        <v>2</v>
      </c>
      <c r="F3521" s="1367">
        <v>4.9850000000000003</v>
      </c>
      <c r="G3521" s="1366">
        <v>0.23</v>
      </c>
      <c r="H3521" s="1366">
        <f>1.2-0.15-0.6-0.06-0.2</f>
        <v>0.19000000000000006</v>
      </c>
      <c r="I3521" s="399">
        <f t="shared" si="121"/>
        <v>0.44</v>
      </c>
      <c r="J3521" s="868"/>
      <c r="K3521" s="1270"/>
    </row>
    <row r="3522" spans="1:16" s="891" customFormat="1" hidden="1" outlineLevel="1">
      <c r="A3522" s="1269"/>
      <c r="B3522" s="865" t="s">
        <v>1311</v>
      </c>
      <c r="C3522" s="866" t="s">
        <v>2</v>
      </c>
      <c r="D3522" s="867">
        <v>1</v>
      </c>
      <c r="E3522" s="864">
        <v>2</v>
      </c>
      <c r="F3522" s="1366">
        <v>1.2</v>
      </c>
      <c r="G3522" s="1366">
        <v>0.46</v>
      </c>
      <c r="H3522" s="1366">
        <v>0.3</v>
      </c>
      <c r="I3522" s="399">
        <f t="shared" si="121"/>
        <v>0.33</v>
      </c>
      <c r="J3522" s="868"/>
      <c r="K3522" s="1270"/>
    </row>
    <row r="3523" spans="1:16" s="891" customFormat="1" hidden="1" outlineLevel="1">
      <c r="A3523" s="1269"/>
      <c r="B3523" s="865"/>
      <c r="C3523" s="866" t="s">
        <v>2</v>
      </c>
      <c r="D3523" s="867">
        <v>1</v>
      </c>
      <c r="E3523" s="864">
        <v>2</v>
      </c>
      <c r="F3523" s="1366">
        <v>1.2</v>
      </c>
      <c r="G3523" s="1366">
        <v>0.34499999999999997</v>
      </c>
      <c r="H3523" s="1366">
        <v>0.3</v>
      </c>
      <c r="I3523" s="399">
        <f t="shared" si="121"/>
        <v>0.25</v>
      </c>
      <c r="J3523" s="868"/>
      <c r="K3523" s="1270"/>
    </row>
    <row r="3524" spans="1:16" s="870" customFormat="1" hidden="1" outlineLevel="1">
      <c r="A3524" s="1269"/>
      <c r="B3524" s="865"/>
      <c r="C3524" s="866" t="s">
        <v>2</v>
      </c>
      <c r="D3524" s="867">
        <v>1</v>
      </c>
      <c r="E3524" s="864">
        <v>2</v>
      </c>
      <c r="F3524" s="1366">
        <v>1.2</v>
      </c>
      <c r="G3524" s="1366">
        <v>0.23</v>
      </c>
      <c r="H3524" s="1366">
        <f>1.2-0.15-0.6-0.06-0.2</f>
        <v>0.19000000000000006</v>
      </c>
      <c r="I3524" s="399">
        <f t="shared" si="121"/>
        <v>0.1</v>
      </c>
      <c r="J3524" s="868"/>
      <c r="K3524" s="1270"/>
      <c r="L3524" s="869"/>
      <c r="M3524" s="869"/>
      <c r="N3524" s="869"/>
      <c r="O3524" s="869"/>
      <c r="P3524" s="869"/>
    </row>
    <row r="3525" spans="1:16" s="870" customFormat="1" hidden="1" outlineLevel="1">
      <c r="A3525" s="1269"/>
      <c r="B3525" s="865"/>
      <c r="C3525" s="866"/>
      <c r="D3525" s="867"/>
      <c r="E3525" s="864"/>
      <c r="F3525" s="1366"/>
      <c r="G3525" s="1366"/>
      <c r="H3525" s="1366"/>
      <c r="I3525" s="399" t="str">
        <f t="shared" si="121"/>
        <v/>
      </c>
      <c r="J3525" s="868"/>
      <c r="K3525" s="1270"/>
      <c r="L3525" s="869"/>
      <c r="M3525" s="869"/>
      <c r="N3525" s="869"/>
      <c r="O3525" s="869"/>
      <c r="P3525" s="869"/>
    </row>
    <row r="3526" spans="1:16" s="870" customFormat="1" ht="51.75" hidden="1" outlineLevel="1">
      <c r="A3526" s="1269"/>
      <c r="B3526" s="865" t="s">
        <v>1324</v>
      </c>
      <c r="C3526" s="866"/>
      <c r="D3526" s="867"/>
      <c r="E3526" s="864"/>
      <c r="F3526" s="1366"/>
      <c r="G3526" s="1366"/>
      <c r="H3526" s="1366"/>
      <c r="I3526" s="399" t="str">
        <f t="shared" si="121"/>
        <v/>
      </c>
      <c r="J3526" s="868"/>
      <c r="K3526" s="1270"/>
      <c r="L3526" s="869"/>
      <c r="M3526" s="869"/>
      <c r="N3526" s="869"/>
      <c r="O3526" s="869"/>
      <c r="P3526" s="869"/>
    </row>
    <row r="3527" spans="1:16" s="870" customFormat="1" hidden="1" outlineLevel="1">
      <c r="A3527" s="1269"/>
      <c r="B3527" s="865" t="s">
        <v>1310</v>
      </c>
      <c r="C3527" s="866" t="s">
        <v>2</v>
      </c>
      <c r="D3527" s="867">
        <v>1</v>
      </c>
      <c r="E3527" s="864">
        <v>2</v>
      </c>
      <c r="F3527" s="1366">
        <f>5.85+G3527*2</f>
        <v>6.77</v>
      </c>
      <c r="G3527" s="1366">
        <v>0.46</v>
      </c>
      <c r="H3527" s="1366">
        <v>0.3</v>
      </c>
      <c r="I3527" s="399">
        <f t="shared" si="121"/>
        <v>1.87</v>
      </c>
      <c r="J3527" s="868"/>
      <c r="K3527" s="1270"/>
      <c r="L3527" s="869"/>
      <c r="M3527" s="869"/>
      <c r="N3527" s="869"/>
    </row>
    <row r="3528" spans="1:16" s="870" customFormat="1" hidden="1" outlineLevel="1">
      <c r="A3528" s="1269"/>
      <c r="B3528" s="865"/>
      <c r="C3528" s="866" t="s">
        <v>2</v>
      </c>
      <c r="D3528" s="867">
        <v>1</v>
      </c>
      <c r="E3528" s="864">
        <v>2</v>
      </c>
      <c r="F3528" s="1366">
        <f t="shared" ref="F3528:F3529" si="124">5.85+G3528*2</f>
        <v>6.5399999999999991</v>
      </c>
      <c r="G3528" s="1366">
        <v>0.34499999999999997</v>
      </c>
      <c r="H3528" s="1366">
        <v>0.3</v>
      </c>
      <c r="I3528" s="399">
        <f t="shared" si="121"/>
        <v>1.35</v>
      </c>
      <c r="J3528" s="868"/>
      <c r="K3528" s="1270"/>
      <c r="L3528" s="869"/>
      <c r="M3528" s="869"/>
      <c r="N3528" s="869"/>
    </row>
    <row r="3529" spans="1:16" s="870" customFormat="1" hidden="1" outlineLevel="1">
      <c r="A3529" s="1269"/>
      <c r="B3529" s="865"/>
      <c r="C3529" s="866" t="s">
        <v>2</v>
      </c>
      <c r="D3529" s="867">
        <v>1</v>
      </c>
      <c r="E3529" s="864">
        <v>2</v>
      </c>
      <c r="F3529" s="1366">
        <f t="shared" si="124"/>
        <v>6.31</v>
      </c>
      <c r="G3529" s="1366">
        <v>0.23</v>
      </c>
      <c r="H3529" s="1366">
        <f>1.2-0.15-0.6-0.06-0.2</f>
        <v>0.19000000000000006</v>
      </c>
      <c r="I3529" s="399">
        <f t="shared" si="121"/>
        <v>0.55000000000000004</v>
      </c>
      <c r="J3529" s="868"/>
      <c r="K3529" s="1270"/>
      <c r="L3529" s="869"/>
      <c r="M3529" s="869"/>
      <c r="N3529" s="869"/>
    </row>
    <row r="3530" spans="1:16" s="870" customFormat="1" hidden="1" outlineLevel="1">
      <c r="A3530" s="1269"/>
      <c r="B3530" s="865" t="s">
        <v>1311</v>
      </c>
      <c r="C3530" s="866" t="s">
        <v>2</v>
      </c>
      <c r="D3530" s="867">
        <v>1</v>
      </c>
      <c r="E3530" s="864">
        <v>2</v>
      </c>
      <c r="F3530" s="1366">
        <v>1.2</v>
      </c>
      <c r="G3530" s="1366">
        <v>0.46</v>
      </c>
      <c r="H3530" s="1366">
        <v>0.3</v>
      </c>
      <c r="I3530" s="399">
        <f t="shared" si="121"/>
        <v>0.33</v>
      </c>
      <c r="J3530" s="868"/>
      <c r="K3530" s="1270"/>
      <c r="L3530" s="869"/>
      <c r="M3530" s="869"/>
      <c r="N3530" s="869"/>
    </row>
    <row r="3531" spans="1:16" s="870" customFormat="1" hidden="1" outlineLevel="1">
      <c r="A3531" s="1269"/>
      <c r="B3531" s="865"/>
      <c r="C3531" s="866" t="s">
        <v>2</v>
      </c>
      <c r="D3531" s="867">
        <v>1</v>
      </c>
      <c r="E3531" s="864">
        <v>2</v>
      </c>
      <c r="F3531" s="1366">
        <v>1.2</v>
      </c>
      <c r="G3531" s="1366">
        <v>0.34499999999999997</v>
      </c>
      <c r="H3531" s="1366">
        <v>0.3</v>
      </c>
      <c r="I3531" s="399">
        <f t="shared" si="121"/>
        <v>0.25</v>
      </c>
      <c r="J3531" s="868"/>
      <c r="K3531" s="1270"/>
      <c r="L3531" s="869"/>
      <c r="M3531" s="869"/>
      <c r="N3531" s="869"/>
    </row>
    <row r="3532" spans="1:16" s="870" customFormat="1" hidden="1" outlineLevel="1">
      <c r="A3532" s="1269"/>
      <c r="B3532" s="865"/>
      <c r="C3532" s="866" t="s">
        <v>2</v>
      </c>
      <c r="D3532" s="867">
        <v>1</v>
      </c>
      <c r="E3532" s="864">
        <v>2</v>
      </c>
      <c r="F3532" s="1366">
        <v>1.2</v>
      </c>
      <c r="G3532" s="1366">
        <v>0.23</v>
      </c>
      <c r="H3532" s="1366">
        <f>1.2-0.15-0.6-0.06-0.2</f>
        <v>0.19000000000000006</v>
      </c>
      <c r="I3532" s="399">
        <f t="shared" si="121"/>
        <v>0.1</v>
      </c>
      <c r="J3532" s="868"/>
      <c r="K3532" s="1270"/>
      <c r="L3532" s="869"/>
      <c r="M3532" s="869"/>
      <c r="N3532" s="869"/>
    </row>
    <row r="3533" spans="1:16" s="870" customFormat="1" hidden="1" outlineLevel="1">
      <c r="A3533" s="1269"/>
      <c r="B3533" s="865"/>
      <c r="C3533" s="866"/>
      <c r="D3533" s="867"/>
      <c r="E3533" s="864"/>
      <c r="F3533" s="1366"/>
      <c r="G3533" s="1366"/>
      <c r="H3533" s="1366"/>
      <c r="I3533" s="399" t="str">
        <f t="shared" si="121"/>
        <v/>
      </c>
      <c r="J3533" s="868"/>
      <c r="K3533" s="1270"/>
      <c r="L3533" s="869"/>
      <c r="M3533" s="869"/>
      <c r="N3533" s="869"/>
    </row>
    <row r="3534" spans="1:16" s="870" customFormat="1" hidden="1" outlineLevel="1">
      <c r="A3534" s="1269"/>
      <c r="B3534" s="865" t="s">
        <v>1310</v>
      </c>
      <c r="C3534" s="866" t="s">
        <v>2</v>
      </c>
      <c r="D3534" s="867">
        <v>1</v>
      </c>
      <c r="E3534" s="864">
        <v>2</v>
      </c>
      <c r="F3534" s="1367">
        <v>5.4450000000000003</v>
      </c>
      <c r="G3534" s="1366">
        <v>0.46</v>
      </c>
      <c r="H3534" s="1366">
        <v>0.3</v>
      </c>
      <c r="I3534" s="399">
        <f t="shared" si="121"/>
        <v>1.5</v>
      </c>
      <c r="J3534" s="868"/>
      <c r="K3534" s="1270"/>
      <c r="L3534" s="869"/>
      <c r="M3534" s="869"/>
      <c r="N3534" s="869"/>
    </row>
    <row r="3535" spans="1:16" s="870" customFormat="1" hidden="1" outlineLevel="1">
      <c r="A3535" s="1269"/>
      <c r="B3535" s="865"/>
      <c r="C3535" s="866" t="s">
        <v>2</v>
      </c>
      <c r="D3535" s="867">
        <v>1</v>
      </c>
      <c r="E3535" s="864">
        <v>2</v>
      </c>
      <c r="F3535" s="1367">
        <v>5.2149999999999999</v>
      </c>
      <c r="G3535" s="1366">
        <v>0.34499999999999997</v>
      </c>
      <c r="H3535" s="1366">
        <v>0.3</v>
      </c>
      <c r="I3535" s="399">
        <f t="shared" si="121"/>
        <v>1.08</v>
      </c>
      <c r="J3535" s="868"/>
      <c r="K3535" s="1270"/>
      <c r="L3535" s="869"/>
      <c r="M3535" s="869"/>
      <c r="N3535" s="869"/>
    </row>
    <row r="3536" spans="1:16" s="870" customFormat="1" hidden="1" outlineLevel="1">
      <c r="A3536" s="1269"/>
      <c r="B3536" s="865"/>
      <c r="C3536" s="866" t="s">
        <v>2</v>
      </c>
      <c r="D3536" s="867">
        <v>1</v>
      </c>
      <c r="E3536" s="864">
        <v>2</v>
      </c>
      <c r="F3536" s="1367">
        <v>4.9850000000000003</v>
      </c>
      <c r="G3536" s="1366">
        <v>0.23</v>
      </c>
      <c r="H3536" s="1366">
        <f>1.2-0.15-0.6-0.06-0.2</f>
        <v>0.19000000000000006</v>
      </c>
      <c r="I3536" s="399">
        <f t="shared" si="121"/>
        <v>0.44</v>
      </c>
      <c r="J3536" s="868"/>
      <c r="K3536" s="1270"/>
      <c r="L3536" s="869"/>
      <c r="M3536" s="869"/>
      <c r="N3536" s="869"/>
    </row>
    <row r="3537" spans="1:14" s="870" customFormat="1" hidden="1" outlineLevel="1">
      <c r="A3537" s="1269"/>
      <c r="B3537" s="865" t="s">
        <v>1311</v>
      </c>
      <c r="C3537" s="866" t="s">
        <v>2</v>
      </c>
      <c r="D3537" s="867">
        <v>1</v>
      </c>
      <c r="E3537" s="864">
        <v>2</v>
      </c>
      <c r="F3537" s="1366">
        <v>1.2</v>
      </c>
      <c r="G3537" s="1366">
        <v>0.46</v>
      </c>
      <c r="H3537" s="1366">
        <v>0.3</v>
      </c>
      <c r="I3537" s="399">
        <f t="shared" si="121"/>
        <v>0.33</v>
      </c>
      <c r="J3537" s="868"/>
      <c r="K3537" s="1270"/>
      <c r="L3537" s="869"/>
      <c r="M3537" s="869"/>
      <c r="N3537" s="869"/>
    </row>
    <row r="3538" spans="1:14" s="870" customFormat="1" hidden="1" outlineLevel="1">
      <c r="A3538" s="1269"/>
      <c r="B3538" s="865"/>
      <c r="C3538" s="866" t="s">
        <v>2</v>
      </c>
      <c r="D3538" s="867">
        <v>1</v>
      </c>
      <c r="E3538" s="864">
        <v>2</v>
      </c>
      <c r="F3538" s="1366">
        <v>1.2</v>
      </c>
      <c r="G3538" s="1366">
        <v>0.34499999999999997</v>
      </c>
      <c r="H3538" s="1366">
        <v>0.3</v>
      </c>
      <c r="I3538" s="399">
        <f t="shared" si="121"/>
        <v>0.25</v>
      </c>
      <c r="J3538" s="868"/>
      <c r="K3538" s="1270"/>
      <c r="L3538" s="869"/>
      <c r="M3538" s="869"/>
      <c r="N3538" s="869"/>
    </row>
    <row r="3539" spans="1:14" s="870" customFormat="1" hidden="1" outlineLevel="1">
      <c r="A3539" s="1269"/>
      <c r="B3539" s="865"/>
      <c r="C3539" s="866" t="s">
        <v>2</v>
      </c>
      <c r="D3539" s="867">
        <v>1</v>
      </c>
      <c r="E3539" s="864">
        <v>2</v>
      </c>
      <c r="F3539" s="1366">
        <v>1.2</v>
      </c>
      <c r="G3539" s="1366">
        <v>0.23</v>
      </c>
      <c r="H3539" s="1366">
        <f>1.2-0.15-0.6-0.06-0.2</f>
        <v>0.19000000000000006</v>
      </c>
      <c r="I3539" s="399">
        <f t="shared" si="121"/>
        <v>0.1</v>
      </c>
      <c r="J3539" s="868"/>
      <c r="K3539" s="1270"/>
      <c r="L3539" s="869"/>
      <c r="M3539" s="869"/>
      <c r="N3539" s="869"/>
    </row>
    <row r="3540" spans="1:14" s="870" customFormat="1" hidden="1" outlineLevel="1">
      <c r="A3540" s="1269"/>
      <c r="B3540" s="865"/>
      <c r="C3540" s="866"/>
      <c r="D3540" s="867"/>
      <c r="E3540" s="864"/>
      <c r="F3540" s="1366"/>
      <c r="G3540" s="1366"/>
      <c r="H3540" s="1366"/>
      <c r="I3540" s="399" t="str">
        <f t="shared" si="121"/>
        <v/>
      </c>
      <c r="J3540" s="868"/>
      <c r="K3540" s="1270"/>
      <c r="L3540" s="869"/>
      <c r="M3540" s="869"/>
      <c r="N3540" s="869"/>
    </row>
    <row r="3541" spans="1:14" s="870" customFormat="1" hidden="1" outlineLevel="1">
      <c r="A3541" s="1269"/>
      <c r="B3541" s="865" t="s">
        <v>1310</v>
      </c>
      <c r="C3541" s="866" t="s">
        <v>2</v>
      </c>
      <c r="D3541" s="867">
        <v>1</v>
      </c>
      <c r="E3541" s="864">
        <v>2</v>
      </c>
      <c r="F3541" s="1366">
        <f>2.625+G3541*2</f>
        <v>3.5449999999999999</v>
      </c>
      <c r="G3541" s="1366">
        <v>0.46</v>
      </c>
      <c r="H3541" s="1366">
        <v>0.3</v>
      </c>
      <c r="I3541" s="399">
        <f t="shared" si="121"/>
        <v>0.98</v>
      </c>
      <c r="J3541" s="868"/>
      <c r="K3541" s="1270"/>
      <c r="L3541" s="869"/>
      <c r="M3541" s="869"/>
      <c r="N3541" s="869"/>
    </row>
    <row r="3542" spans="1:14" s="870" customFormat="1" hidden="1" outlineLevel="1">
      <c r="A3542" s="1269"/>
      <c r="B3542" s="865"/>
      <c r="C3542" s="866" t="s">
        <v>2</v>
      </c>
      <c r="D3542" s="867">
        <v>1</v>
      </c>
      <c r="E3542" s="864">
        <v>2</v>
      </c>
      <c r="F3542" s="1366">
        <f t="shared" ref="F3542:F3543" si="125">2.625+G3542*2</f>
        <v>3.3149999999999999</v>
      </c>
      <c r="G3542" s="1366">
        <v>0.34499999999999997</v>
      </c>
      <c r="H3542" s="1366">
        <v>0.3</v>
      </c>
      <c r="I3542" s="399">
        <f t="shared" si="121"/>
        <v>0.69</v>
      </c>
      <c r="J3542" s="868"/>
      <c r="K3542" s="1270"/>
      <c r="L3542" s="869"/>
      <c r="M3542" s="869"/>
      <c r="N3542" s="869"/>
    </row>
    <row r="3543" spans="1:14" s="870" customFormat="1" hidden="1" outlineLevel="1">
      <c r="A3543" s="1269"/>
      <c r="B3543" s="865"/>
      <c r="C3543" s="866" t="s">
        <v>2</v>
      </c>
      <c r="D3543" s="867">
        <v>1</v>
      </c>
      <c r="E3543" s="864">
        <v>2</v>
      </c>
      <c r="F3543" s="1366">
        <f t="shared" si="125"/>
        <v>3.085</v>
      </c>
      <c r="G3543" s="1366">
        <v>0.23</v>
      </c>
      <c r="H3543" s="1366">
        <f>1.2-0.15-0.6-0.06-0.2</f>
        <v>0.19000000000000006</v>
      </c>
      <c r="I3543" s="399">
        <f t="shared" si="121"/>
        <v>0.27</v>
      </c>
      <c r="J3543" s="868"/>
      <c r="K3543" s="1270"/>
      <c r="L3543" s="869"/>
      <c r="M3543" s="869"/>
      <c r="N3543" s="869"/>
    </row>
    <row r="3544" spans="1:14" s="870" customFormat="1" hidden="1" outlineLevel="1">
      <c r="A3544" s="1269"/>
      <c r="B3544" s="865" t="s">
        <v>1311</v>
      </c>
      <c r="C3544" s="866" t="s">
        <v>2</v>
      </c>
      <c r="D3544" s="867">
        <v>1</v>
      </c>
      <c r="E3544" s="864">
        <v>2</v>
      </c>
      <c r="F3544" s="1366">
        <v>1.2</v>
      </c>
      <c r="G3544" s="1366">
        <v>0.46</v>
      </c>
      <c r="H3544" s="1366">
        <v>0.3</v>
      </c>
      <c r="I3544" s="399">
        <f t="shared" ref="I3544:I3569" si="126">IF(D3544&lt;&gt;0,ROUND(PRODUCT(E3544:H3544)*D3544,2),"")</f>
        <v>0.33</v>
      </c>
      <c r="J3544" s="868"/>
      <c r="K3544" s="1270"/>
      <c r="L3544" s="869"/>
      <c r="M3544" s="869"/>
      <c r="N3544" s="869"/>
    </row>
    <row r="3545" spans="1:14" s="870" customFormat="1" hidden="1" outlineLevel="1">
      <c r="A3545" s="1269"/>
      <c r="B3545" s="865"/>
      <c r="C3545" s="866" t="s">
        <v>2</v>
      </c>
      <c r="D3545" s="867">
        <v>1</v>
      </c>
      <c r="E3545" s="864">
        <v>2</v>
      </c>
      <c r="F3545" s="1366">
        <v>1.2</v>
      </c>
      <c r="G3545" s="1366">
        <v>0.34499999999999997</v>
      </c>
      <c r="H3545" s="1366">
        <v>0.3</v>
      </c>
      <c r="I3545" s="399">
        <f t="shared" si="126"/>
        <v>0.25</v>
      </c>
      <c r="J3545" s="868"/>
      <c r="K3545" s="1270"/>
      <c r="L3545" s="869"/>
      <c r="M3545" s="869"/>
      <c r="N3545" s="869"/>
    </row>
    <row r="3546" spans="1:14" s="870" customFormat="1" hidden="1" outlineLevel="1">
      <c r="A3546" s="1269"/>
      <c r="B3546" s="865"/>
      <c r="C3546" s="866" t="s">
        <v>2</v>
      </c>
      <c r="D3546" s="867">
        <v>1</v>
      </c>
      <c r="E3546" s="864">
        <v>2</v>
      </c>
      <c r="F3546" s="1366">
        <v>1.2</v>
      </c>
      <c r="G3546" s="1366">
        <v>0.23</v>
      </c>
      <c r="H3546" s="1366">
        <f>1.2-0.15-0.6-0.06-0.2</f>
        <v>0.19000000000000006</v>
      </c>
      <c r="I3546" s="399">
        <f t="shared" si="126"/>
        <v>0.1</v>
      </c>
      <c r="J3546" s="868"/>
      <c r="K3546" s="1270"/>
      <c r="L3546" s="869"/>
      <c r="M3546" s="869"/>
      <c r="N3546" s="869"/>
    </row>
    <row r="3547" spans="1:14" s="870" customFormat="1" hidden="1" outlineLevel="1">
      <c r="A3547" s="1269"/>
      <c r="B3547" s="865"/>
      <c r="C3547" s="866"/>
      <c r="D3547" s="867"/>
      <c r="E3547" s="864"/>
      <c r="F3547" s="1366"/>
      <c r="G3547" s="1366"/>
      <c r="H3547" s="1366"/>
      <c r="I3547" s="399" t="str">
        <f t="shared" si="126"/>
        <v/>
      </c>
      <c r="J3547" s="868"/>
      <c r="K3547" s="1270"/>
      <c r="L3547" s="869"/>
      <c r="M3547" s="869"/>
      <c r="N3547" s="869"/>
    </row>
    <row r="3548" spans="1:14" s="870" customFormat="1" hidden="1" outlineLevel="1">
      <c r="A3548" s="1269"/>
      <c r="B3548" s="865" t="s">
        <v>1310</v>
      </c>
      <c r="C3548" s="866" t="s">
        <v>2</v>
      </c>
      <c r="D3548" s="867">
        <v>1</v>
      </c>
      <c r="E3548" s="864">
        <v>2</v>
      </c>
      <c r="F3548" s="1366">
        <f>2.4+G3548*2</f>
        <v>3.32</v>
      </c>
      <c r="G3548" s="1366">
        <v>0.46</v>
      </c>
      <c r="H3548" s="1366">
        <v>0.3</v>
      </c>
      <c r="I3548" s="399">
        <f t="shared" si="126"/>
        <v>0.92</v>
      </c>
      <c r="J3548" s="868"/>
      <c r="K3548" s="1270"/>
      <c r="L3548" s="869"/>
      <c r="M3548" s="869"/>
      <c r="N3548" s="869"/>
    </row>
    <row r="3549" spans="1:14" s="870" customFormat="1" hidden="1" outlineLevel="1">
      <c r="A3549" s="1269"/>
      <c r="B3549" s="865"/>
      <c r="C3549" s="866" t="s">
        <v>2</v>
      </c>
      <c r="D3549" s="867">
        <v>1</v>
      </c>
      <c r="E3549" s="864">
        <v>2</v>
      </c>
      <c r="F3549" s="1366">
        <f t="shared" ref="F3549:F3550" si="127">2.4+G3549*2</f>
        <v>3.09</v>
      </c>
      <c r="G3549" s="1366">
        <v>0.34499999999999997</v>
      </c>
      <c r="H3549" s="1366">
        <v>0.3</v>
      </c>
      <c r="I3549" s="399">
        <f t="shared" si="126"/>
        <v>0.64</v>
      </c>
      <c r="J3549" s="868"/>
      <c r="K3549" s="1270"/>
      <c r="L3549" s="869"/>
      <c r="M3549" s="869"/>
      <c r="N3549" s="869"/>
    </row>
    <row r="3550" spans="1:14" s="870" customFormat="1" hidden="1" outlineLevel="1">
      <c r="A3550" s="1269"/>
      <c r="B3550" s="865"/>
      <c r="C3550" s="866" t="s">
        <v>2</v>
      </c>
      <c r="D3550" s="867">
        <v>1</v>
      </c>
      <c r="E3550" s="864">
        <v>2</v>
      </c>
      <c r="F3550" s="1366">
        <f t="shared" si="127"/>
        <v>2.86</v>
      </c>
      <c r="G3550" s="1366">
        <v>0.23</v>
      </c>
      <c r="H3550" s="1366">
        <f>1.2-0.15-0.6-0.06-0.2</f>
        <v>0.19000000000000006</v>
      </c>
      <c r="I3550" s="399">
        <f t="shared" si="126"/>
        <v>0.25</v>
      </c>
      <c r="J3550" s="868"/>
      <c r="K3550" s="1270"/>
      <c r="L3550" s="869"/>
      <c r="M3550" s="869"/>
      <c r="N3550" s="869"/>
    </row>
    <row r="3551" spans="1:14" s="870" customFormat="1" hidden="1" outlineLevel="1">
      <c r="A3551" s="1269"/>
      <c r="B3551" s="865" t="s">
        <v>1311</v>
      </c>
      <c r="C3551" s="866" t="s">
        <v>2</v>
      </c>
      <c r="D3551" s="867">
        <v>1</v>
      </c>
      <c r="E3551" s="864">
        <v>2</v>
      </c>
      <c r="F3551" s="1366">
        <v>1.2</v>
      </c>
      <c r="G3551" s="1366">
        <v>0.46</v>
      </c>
      <c r="H3551" s="1366">
        <v>0.3</v>
      </c>
      <c r="I3551" s="399">
        <f t="shared" si="126"/>
        <v>0.33</v>
      </c>
      <c r="J3551" s="868"/>
      <c r="K3551" s="1270"/>
      <c r="L3551" s="869"/>
      <c r="M3551" s="869"/>
      <c r="N3551" s="869"/>
    </row>
    <row r="3552" spans="1:14" s="870" customFormat="1" hidden="1" outlineLevel="1">
      <c r="A3552" s="1269"/>
      <c r="B3552" s="865"/>
      <c r="C3552" s="866" t="s">
        <v>2</v>
      </c>
      <c r="D3552" s="867">
        <v>1</v>
      </c>
      <c r="E3552" s="864">
        <v>2</v>
      </c>
      <c r="F3552" s="1366">
        <v>1.2</v>
      </c>
      <c r="G3552" s="1366">
        <v>0.34499999999999997</v>
      </c>
      <c r="H3552" s="1366">
        <v>0.3</v>
      </c>
      <c r="I3552" s="399">
        <f t="shared" si="126"/>
        <v>0.25</v>
      </c>
      <c r="J3552" s="868"/>
      <c r="K3552" s="1270"/>
      <c r="L3552" s="869"/>
      <c r="M3552" s="869"/>
      <c r="N3552" s="869"/>
    </row>
    <row r="3553" spans="1:14" s="870" customFormat="1" hidden="1" outlineLevel="1">
      <c r="A3553" s="1269"/>
      <c r="B3553" s="865"/>
      <c r="C3553" s="866" t="s">
        <v>2</v>
      </c>
      <c r="D3553" s="867">
        <v>1</v>
      </c>
      <c r="E3553" s="864">
        <v>2</v>
      </c>
      <c r="F3553" s="1366">
        <v>1.2</v>
      </c>
      <c r="G3553" s="1366">
        <v>0.23</v>
      </c>
      <c r="H3553" s="1366">
        <f>1.2-0.15-0.6-0.06-0.2</f>
        <v>0.19000000000000006</v>
      </c>
      <c r="I3553" s="399">
        <f t="shared" si="126"/>
        <v>0.1</v>
      </c>
      <c r="J3553" s="868"/>
      <c r="K3553" s="1270"/>
      <c r="L3553" s="869"/>
      <c r="M3553" s="869"/>
      <c r="N3553" s="869"/>
    </row>
    <row r="3554" spans="1:14" s="870" customFormat="1" hidden="1" outlineLevel="1">
      <c r="A3554" s="1269"/>
      <c r="B3554" s="865"/>
      <c r="C3554" s="866"/>
      <c r="D3554" s="867"/>
      <c r="E3554" s="864"/>
      <c r="F3554" s="1366"/>
      <c r="G3554" s="1366"/>
      <c r="H3554" s="1366"/>
      <c r="I3554" s="399" t="str">
        <f t="shared" si="126"/>
        <v/>
      </c>
      <c r="J3554" s="868"/>
      <c r="K3554" s="1270"/>
      <c r="L3554" s="869"/>
      <c r="M3554" s="869"/>
      <c r="N3554" s="869"/>
    </row>
    <row r="3555" spans="1:14" s="870" customFormat="1" hidden="1" outlineLevel="1">
      <c r="A3555" s="1269"/>
      <c r="B3555" s="865" t="s">
        <v>1325</v>
      </c>
      <c r="C3555" s="866"/>
      <c r="D3555" s="867"/>
      <c r="E3555" s="864"/>
      <c r="F3555" s="1366"/>
      <c r="G3555" s="1366"/>
      <c r="H3555" s="1366"/>
      <c r="I3555" s="399" t="str">
        <f t="shared" si="126"/>
        <v/>
      </c>
      <c r="J3555" s="868"/>
      <c r="K3555" s="1270"/>
      <c r="L3555" s="869"/>
      <c r="M3555" s="869"/>
      <c r="N3555" s="869"/>
    </row>
    <row r="3556" spans="1:14" s="870" customFormat="1" ht="34.5" hidden="1" outlineLevel="1">
      <c r="A3556" s="1269"/>
      <c r="B3556" s="865" t="s">
        <v>1326</v>
      </c>
      <c r="C3556" s="866"/>
      <c r="D3556" s="867"/>
      <c r="E3556" s="864"/>
      <c r="F3556" s="1366"/>
      <c r="G3556" s="1366"/>
      <c r="H3556" s="1366"/>
      <c r="I3556" s="399" t="str">
        <f t="shared" si="126"/>
        <v/>
      </c>
      <c r="J3556" s="868"/>
      <c r="K3556" s="1270"/>
      <c r="L3556" s="869"/>
      <c r="M3556" s="869"/>
      <c r="N3556" s="869"/>
    </row>
    <row r="3557" spans="1:14" s="870" customFormat="1" hidden="1" outlineLevel="1">
      <c r="A3557" s="1269"/>
      <c r="B3557" s="865" t="s">
        <v>835</v>
      </c>
      <c r="C3557" s="866" t="s">
        <v>167</v>
      </c>
      <c r="D3557" s="867">
        <v>1</v>
      </c>
      <c r="E3557" s="864">
        <v>4</v>
      </c>
      <c r="F3557" s="1366">
        <f>3-0.155</f>
        <v>2.8450000000000002</v>
      </c>
      <c r="G3557" s="1366">
        <v>0.46</v>
      </c>
      <c r="H3557" s="1366">
        <v>0.3</v>
      </c>
      <c r="I3557" s="399">
        <f t="shared" si="126"/>
        <v>1.57</v>
      </c>
      <c r="J3557" s="868"/>
      <c r="K3557" s="1270"/>
      <c r="L3557" s="869"/>
      <c r="M3557" s="869"/>
      <c r="N3557" s="869"/>
    </row>
    <row r="3558" spans="1:14" s="870" customFormat="1" hidden="1" outlineLevel="1">
      <c r="A3558" s="1269"/>
      <c r="B3558" s="865"/>
      <c r="C3558" s="866" t="s">
        <v>167</v>
      </c>
      <c r="D3558" s="867">
        <v>1</v>
      </c>
      <c r="E3558" s="864">
        <v>4</v>
      </c>
      <c r="F3558" s="1366">
        <f t="shared" ref="F3558:F3559" si="128">3-0.155</f>
        <v>2.8450000000000002</v>
      </c>
      <c r="G3558" s="1366">
        <v>0.34499999999999997</v>
      </c>
      <c r="H3558" s="1366">
        <v>0.3</v>
      </c>
      <c r="I3558" s="399">
        <f t="shared" si="126"/>
        <v>1.18</v>
      </c>
      <c r="J3558" s="868"/>
      <c r="K3558" s="1270"/>
      <c r="L3558" s="869"/>
      <c r="M3558" s="869"/>
      <c r="N3558" s="869"/>
    </row>
    <row r="3559" spans="1:14" s="870" customFormat="1" hidden="1" outlineLevel="1">
      <c r="A3559" s="1269"/>
      <c r="B3559" s="865"/>
      <c r="C3559" s="866" t="s">
        <v>167</v>
      </c>
      <c r="D3559" s="867">
        <v>1</v>
      </c>
      <c r="E3559" s="864">
        <v>4</v>
      </c>
      <c r="F3559" s="1366">
        <f t="shared" si="128"/>
        <v>2.8450000000000002</v>
      </c>
      <c r="G3559" s="1366">
        <v>0.23</v>
      </c>
      <c r="H3559" s="1366">
        <f>1.2+0.5-0.15-0.6-0.06-0.275</f>
        <v>0.6150000000000001</v>
      </c>
      <c r="I3559" s="399">
        <f t="shared" si="126"/>
        <v>1.61</v>
      </c>
      <c r="J3559" s="868"/>
      <c r="K3559" s="1270"/>
      <c r="L3559" s="869"/>
      <c r="M3559" s="869"/>
      <c r="N3559" s="869"/>
    </row>
    <row r="3560" spans="1:14" s="870" customFormat="1" hidden="1" outlineLevel="1">
      <c r="A3560" s="1269"/>
      <c r="B3560" s="865"/>
      <c r="C3560" s="866"/>
      <c r="D3560" s="867"/>
      <c r="E3560" s="864"/>
      <c r="F3560" s="1366"/>
      <c r="G3560" s="1366"/>
      <c r="H3560" s="1366"/>
      <c r="I3560" s="399" t="str">
        <f t="shared" si="126"/>
        <v/>
      </c>
      <c r="J3560" s="868"/>
      <c r="K3560" s="1270"/>
      <c r="L3560" s="869"/>
      <c r="M3560" s="869"/>
      <c r="N3560" s="869"/>
    </row>
    <row r="3561" spans="1:14" s="870" customFormat="1" ht="34.5" hidden="1" outlineLevel="1">
      <c r="A3561" s="1269"/>
      <c r="B3561" s="865" t="s">
        <v>1327</v>
      </c>
      <c r="C3561" s="866"/>
      <c r="D3561" s="867"/>
      <c r="E3561" s="864"/>
      <c r="F3561" s="1366"/>
      <c r="G3561" s="1366"/>
      <c r="H3561" s="1366"/>
      <c r="I3561" s="399" t="str">
        <f t="shared" si="126"/>
        <v/>
      </c>
      <c r="J3561" s="868"/>
      <c r="K3561" s="1270"/>
      <c r="L3561" s="869"/>
      <c r="M3561" s="869"/>
      <c r="N3561" s="869"/>
    </row>
    <row r="3562" spans="1:14" s="870" customFormat="1" hidden="1" outlineLevel="1">
      <c r="A3562" s="1269"/>
      <c r="B3562" s="865" t="s">
        <v>835</v>
      </c>
      <c r="C3562" s="866" t="s">
        <v>167</v>
      </c>
      <c r="D3562" s="867">
        <v>1</v>
      </c>
      <c r="E3562" s="864">
        <v>2</v>
      </c>
      <c r="F3562" s="1367">
        <v>2.835</v>
      </c>
      <c r="G3562" s="1366">
        <v>0.46</v>
      </c>
      <c r="H3562" s="1366">
        <v>0.3</v>
      </c>
      <c r="I3562" s="399">
        <f t="shared" si="126"/>
        <v>0.78</v>
      </c>
      <c r="J3562" s="868"/>
      <c r="K3562" s="1270"/>
      <c r="L3562" s="869"/>
      <c r="M3562" s="869"/>
      <c r="N3562" s="869"/>
    </row>
    <row r="3563" spans="1:14" s="870" customFormat="1" hidden="1" outlineLevel="1">
      <c r="A3563" s="1269"/>
      <c r="B3563" s="865"/>
      <c r="C3563" s="866" t="s">
        <v>167</v>
      </c>
      <c r="D3563" s="867">
        <v>1</v>
      </c>
      <c r="E3563" s="864">
        <v>2</v>
      </c>
      <c r="F3563" s="1367">
        <v>2.835</v>
      </c>
      <c r="G3563" s="1366">
        <v>0.34499999999999997</v>
      </c>
      <c r="H3563" s="1366">
        <v>0.3</v>
      </c>
      <c r="I3563" s="399">
        <f t="shared" si="126"/>
        <v>0.59</v>
      </c>
      <c r="J3563" s="868"/>
      <c r="K3563" s="1270"/>
      <c r="L3563" s="869"/>
      <c r="M3563" s="869"/>
      <c r="N3563" s="869"/>
    </row>
    <row r="3564" spans="1:14" s="870" customFormat="1" hidden="1" outlineLevel="1">
      <c r="A3564" s="1269"/>
      <c r="B3564" s="865"/>
      <c r="C3564" s="866" t="s">
        <v>167</v>
      </c>
      <c r="D3564" s="867">
        <v>1</v>
      </c>
      <c r="E3564" s="864">
        <v>2</v>
      </c>
      <c r="F3564" s="1367">
        <v>2.835</v>
      </c>
      <c r="G3564" s="1366">
        <v>0.23</v>
      </c>
      <c r="H3564" s="1366">
        <f>1.2+0.5-0.15-0.6-0.06-0.275</f>
        <v>0.6150000000000001</v>
      </c>
      <c r="I3564" s="399">
        <f t="shared" si="126"/>
        <v>0.8</v>
      </c>
      <c r="J3564" s="868"/>
      <c r="K3564" s="1270"/>
      <c r="L3564" s="869"/>
      <c r="M3564" s="869"/>
      <c r="N3564" s="869"/>
    </row>
    <row r="3565" spans="1:14" s="870" customFormat="1" hidden="1" outlineLevel="1">
      <c r="A3565" s="1269"/>
      <c r="B3565" s="865"/>
      <c r="C3565" s="866"/>
      <c r="D3565" s="867"/>
      <c r="E3565" s="864"/>
      <c r="F3565" s="1366"/>
      <c r="G3565" s="1366"/>
      <c r="H3565" s="1366"/>
      <c r="I3565" s="399" t="str">
        <f t="shared" si="126"/>
        <v/>
      </c>
      <c r="J3565" s="868"/>
      <c r="K3565" s="1270"/>
      <c r="L3565" s="869"/>
      <c r="M3565" s="869"/>
      <c r="N3565" s="869"/>
    </row>
    <row r="3566" spans="1:14" s="870" customFormat="1" ht="34.5" hidden="1" outlineLevel="1">
      <c r="A3566" s="1269"/>
      <c r="B3566" s="865" t="s">
        <v>1328</v>
      </c>
      <c r="C3566" s="866"/>
      <c r="D3566" s="867"/>
      <c r="E3566" s="864"/>
      <c r="F3566" s="1366"/>
      <c r="G3566" s="1366"/>
      <c r="H3566" s="1366"/>
      <c r="I3566" s="399" t="str">
        <f t="shared" si="126"/>
        <v/>
      </c>
      <c r="J3566" s="868"/>
      <c r="K3566" s="1270"/>
      <c r="L3566" s="869"/>
      <c r="M3566" s="869"/>
      <c r="N3566" s="869"/>
    </row>
    <row r="3567" spans="1:14" s="870" customFormat="1" hidden="1" outlineLevel="1">
      <c r="A3567" s="1269"/>
      <c r="B3567" s="865" t="s">
        <v>835</v>
      </c>
      <c r="C3567" s="866" t="s">
        <v>167</v>
      </c>
      <c r="D3567" s="867">
        <v>1</v>
      </c>
      <c r="E3567" s="864">
        <v>6</v>
      </c>
      <c r="F3567" s="1367">
        <v>2.835</v>
      </c>
      <c r="G3567" s="1366">
        <v>0.46</v>
      </c>
      <c r="H3567" s="1366">
        <v>0.3</v>
      </c>
      <c r="I3567" s="399">
        <f t="shared" si="126"/>
        <v>2.35</v>
      </c>
      <c r="J3567" s="868"/>
      <c r="K3567" s="1270"/>
      <c r="L3567" s="869"/>
      <c r="M3567" s="869"/>
      <c r="N3567" s="869"/>
    </row>
    <row r="3568" spans="1:14" s="870" customFormat="1" hidden="1" outlineLevel="1">
      <c r="A3568" s="1269"/>
      <c r="B3568" s="865"/>
      <c r="C3568" s="866" t="s">
        <v>167</v>
      </c>
      <c r="D3568" s="867">
        <v>1</v>
      </c>
      <c r="E3568" s="864">
        <v>6</v>
      </c>
      <c r="F3568" s="1367">
        <v>2.835</v>
      </c>
      <c r="G3568" s="1366">
        <v>0.34499999999999997</v>
      </c>
      <c r="H3568" s="1366">
        <v>0.3</v>
      </c>
      <c r="I3568" s="399">
        <f t="shared" si="126"/>
        <v>1.76</v>
      </c>
      <c r="J3568" s="868"/>
      <c r="K3568" s="1270"/>
      <c r="L3568" s="869"/>
      <c r="M3568" s="869"/>
      <c r="N3568" s="869"/>
    </row>
    <row r="3569" spans="1:14" s="870" customFormat="1" hidden="1" outlineLevel="1">
      <c r="A3569" s="1269"/>
      <c r="B3569" s="865"/>
      <c r="C3569" s="866" t="s">
        <v>167</v>
      </c>
      <c r="D3569" s="867">
        <v>1</v>
      </c>
      <c r="E3569" s="864">
        <v>6</v>
      </c>
      <c r="F3569" s="1367">
        <v>2.835</v>
      </c>
      <c r="G3569" s="1366">
        <v>0.23</v>
      </c>
      <c r="H3569" s="1366">
        <f>1.2+0.5-0.15-0.6-0.06-0.275</f>
        <v>0.6150000000000001</v>
      </c>
      <c r="I3569" s="399">
        <f t="shared" si="126"/>
        <v>2.41</v>
      </c>
      <c r="J3569" s="868"/>
      <c r="K3569" s="1270"/>
      <c r="L3569" s="869"/>
      <c r="M3569" s="869"/>
      <c r="N3569" s="869"/>
    </row>
    <row r="3570" spans="1:14" s="464" customFormat="1" collapsed="1">
      <c r="A3570" s="1264"/>
      <c r="B3570" s="669" t="s">
        <v>85</v>
      </c>
      <c r="C3570" s="345" t="s">
        <v>2</v>
      </c>
      <c r="D3570" s="444"/>
      <c r="E3570" s="445"/>
      <c r="F3570" s="1368"/>
      <c r="G3570" s="1368"/>
      <c r="H3570" s="1368"/>
      <c r="I3570" s="1170" t="str">
        <f t="shared" ref="I3570" si="129">IF(D3570&lt;&gt;0,ROUND(PRODUCT(E3570:H3570)*D3570,2),"")</f>
        <v/>
      </c>
      <c r="J3570" s="381">
        <f>SUM(I1303:I3570)</f>
        <v>994.17000000000201</v>
      </c>
      <c r="K3570" s="1258"/>
      <c r="L3570" s="463"/>
      <c r="M3570" s="463"/>
      <c r="N3570" s="463"/>
    </row>
    <row r="3571" spans="1:14" s="398" customFormat="1">
      <c r="A3571" s="1265"/>
      <c r="B3571" s="324"/>
      <c r="C3571" s="530"/>
      <c r="D3571" s="488"/>
      <c r="E3571" s="322"/>
      <c r="F3571" s="1369"/>
      <c r="G3571" s="1369"/>
      <c r="H3571" s="1369"/>
      <c r="I3571" s="1174" t="str">
        <f t="shared" ref="I3571" si="130">IF(D3571&lt;&gt;0,ROUND(PRODUCT(E3571:H3571)*D3571,2),"")</f>
        <v/>
      </c>
      <c r="J3571" s="668"/>
      <c r="K3571" s="1271"/>
      <c r="L3571" s="431"/>
      <c r="M3571" s="431"/>
      <c r="N3571" s="431"/>
    </row>
    <row r="3572" spans="1:14" s="398" customFormat="1">
      <c r="A3572" s="1248"/>
      <c r="B3572" s="161" t="s">
        <v>928</v>
      </c>
      <c r="C3572" s="388" t="s">
        <v>2</v>
      </c>
      <c r="D3572" s="392"/>
      <c r="E3572" s="165"/>
      <c r="F3572" s="401"/>
      <c r="G3572" s="401"/>
      <c r="H3572" s="401"/>
      <c r="I3572" s="938" t="str">
        <f t="shared" ref="I3572:I3585" si="131">IF(D3572&lt;&gt;0,ROUND(PRODUCT(E3572:H3572)*D3572,2),"")</f>
        <v/>
      </c>
      <c r="J3572" s="403">
        <f>SUM(I3571:I3571)</f>
        <v>0</v>
      </c>
      <c r="K3572" s="1222" t="s">
        <v>1690</v>
      </c>
      <c r="L3572" s="431"/>
      <c r="M3572" s="431"/>
      <c r="N3572" s="431"/>
    </row>
    <row r="3573" spans="1:14">
      <c r="A3573" s="1250"/>
      <c r="D3573" s="392"/>
      <c r="E3573" s="165"/>
      <c r="F3573" s="401"/>
      <c r="G3573" s="401"/>
      <c r="H3573" s="401"/>
      <c r="I3573" s="938" t="str">
        <f t="shared" si="131"/>
        <v/>
      </c>
      <c r="J3573" s="432">
        <f>SUM(J3570:J3572)</f>
        <v>994.17000000000201</v>
      </c>
      <c r="K3573" s="1242"/>
    </row>
    <row r="3574" spans="1:14" s="165" customFormat="1">
      <c r="A3574" s="1251"/>
      <c r="B3574" s="416" t="s">
        <v>149</v>
      </c>
      <c r="C3574" s="417"/>
      <c r="D3574" s="446"/>
      <c r="E3574" s="446"/>
      <c r="F3574" s="1370"/>
      <c r="G3574" s="1370"/>
      <c r="H3574" s="1370"/>
      <c r="I3574" s="1175" t="str">
        <f t="shared" ref="I3574" si="132">IF(D3574&lt;&gt;0,ROUND(PRODUCT(E3574:H3574)*D3574,2),"")</f>
        <v/>
      </c>
      <c r="J3574" s="418"/>
      <c r="K3574" s="1252"/>
      <c r="L3574" s="164"/>
      <c r="M3574" s="164"/>
      <c r="N3574" s="164"/>
    </row>
    <row r="3575" spans="1:14">
      <c r="A3575" s="1219">
        <v>4</v>
      </c>
      <c r="B3575" s="768" t="s">
        <v>373</v>
      </c>
      <c r="C3575" s="422"/>
      <c r="D3575" s="436"/>
      <c r="E3575" s="436"/>
      <c r="F3575" s="1359"/>
      <c r="G3575" s="1359"/>
      <c r="H3575" s="1359"/>
      <c r="I3575" s="1172"/>
      <c r="J3575" s="423"/>
      <c r="K3575" s="1220"/>
    </row>
    <row r="3576" spans="1:14" s="263" customFormat="1" hidden="1" outlineLevel="1">
      <c r="A3576" s="1272"/>
      <c r="B3576" s="447" t="s">
        <v>594</v>
      </c>
      <c r="C3576" s="439" t="s">
        <v>374</v>
      </c>
      <c r="D3576" s="448">
        <v>1</v>
      </c>
      <c r="E3576" s="449"/>
      <c r="F3576" s="1350">
        <v>10.220000000000001</v>
      </c>
      <c r="G3576" s="1350"/>
      <c r="H3576" s="1350"/>
      <c r="I3576" s="1169">
        <f>IF(D3576&lt;&gt;0,ROUND(PRODUCT(E3576:H3576)*D3576,3),"")</f>
        <v>10.220000000000001</v>
      </c>
      <c r="J3576" s="450"/>
      <c r="K3576" s="1273" t="s">
        <v>595</v>
      </c>
      <c r="L3576" s="262"/>
      <c r="M3576" s="262"/>
      <c r="N3576" s="262"/>
    </row>
    <row r="3577" spans="1:14" s="263" customFormat="1" hidden="1" outlineLevel="1">
      <c r="A3577" s="1272"/>
      <c r="B3577" s="447" t="s">
        <v>594</v>
      </c>
      <c r="C3577" s="439" t="s">
        <v>374</v>
      </c>
      <c r="D3577" s="448">
        <v>1</v>
      </c>
      <c r="E3577" s="449"/>
      <c r="F3577" s="1350">
        <v>14.4</v>
      </c>
      <c r="G3577" s="1350"/>
      <c r="H3577" s="1350"/>
      <c r="I3577" s="1169">
        <f t="shared" ref="I3577:I3581" si="133">IF(D3577&lt;&gt;0,ROUND(PRODUCT(E3577:H3577)*D3577,3),"")</f>
        <v>14.4</v>
      </c>
      <c r="J3577" s="450"/>
      <c r="K3577" s="1273" t="s">
        <v>805</v>
      </c>
      <c r="L3577" s="262"/>
      <c r="M3577" s="262"/>
      <c r="N3577" s="262"/>
    </row>
    <row r="3578" spans="1:14" hidden="1" outlineLevel="1">
      <c r="A3578" s="1241"/>
      <c r="B3578" s="447" t="s">
        <v>594</v>
      </c>
      <c r="C3578" s="165" t="s">
        <v>374</v>
      </c>
      <c r="D3578" s="308">
        <v>1</v>
      </c>
      <c r="E3578" s="310"/>
      <c r="F3578" s="401">
        <v>7.8730000000000002</v>
      </c>
      <c r="G3578" s="401"/>
      <c r="H3578" s="401"/>
      <c r="I3578" s="1169">
        <f t="shared" si="133"/>
        <v>7.8730000000000002</v>
      </c>
      <c r="J3578" s="393"/>
      <c r="K3578" s="1274"/>
    </row>
    <row r="3579" spans="1:14" s="858" customFormat="1" hidden="1" outlineLevel="1">
      <c r="A3579" s="1275"/>
      <c r="B3579" s="871" t="s">
        <v>594</v>
      </c>
      <c r="C3579" s="854" t="s">
        <v>374</v>
      </c>
      <c r="D3579" s="872">
        <v>1</v>
      </c>
      <c r="E3579" s="873"/>
      <c r="F3579" s="859">
        <v>1.304</v>
      </c>
      <c r="G3579" s="859"/>
      <c r="H3579" s="859"/>
      <c r="I3579" s="1169">
        <f t="shared" si="133"/>
        <v>1.304</v>
      </c>
      <c r="J3579" s="874"/>
      <c r="K3579" s="1276" t="s">
        <v>1691</v>
      </c>
      <c r="L3579" s="875"/>
      <c r="M3579" s="875"/>
      <c r="N3579" s="875"/>
    </row>
    <row r="3580" spans="1:14" s="464" customFormat="1" collapsed="1">
      <c r="A3580" s="1264"/>
      <c r="B3580" s="669" t="s">
        <v>85</v>
      </c>
      <c r="C3580" s="345" t="s">
        <v>374</v>
      </c>
      <c r="D3580" s="444"/>
      <c r="E3580" s="345"/>
      <c r="F3580" s="1356"/>
      <c r="G3580" s="1356"/>
      <c r="H3580" s="1356"/>
      <c r="I3580" s="1169" t="str">
        <f t="shared" si="133"/>
        <v/>
      </c>
      <c r="J3580" s="937">
        <f>SUM(I3575:I3580)</f>
        <v>33.797000000000004</v>
      </c>
      <c r="K3580" s="1258"/>
      <c r="L3580" s="463"/>
      <c r="M3580" s="463"/>
      <c r="N3580" s="463"/>
    </row>
    <row r="3581" spans="1:14">
      <c r="A3581" s="1241"/>
      <c r="B3581" s="307" t="s">
        <v>488</v>
      </c>
      <c r="C3581" s="165" t="s">
        <v>374</v>
      </c>
      <c r="D3581" s="308">
        <v>1</v>
      </c>
      <c r="E3581" s="310"/>
      <c r="F3581" s="401">
        <f>'BBS-Boys Hostel'!P1616</f>
        <v>0.12562074299999998</v>
      </c>
      <c r="G3581" s="401"/>
      <c r="H3581" s="401"/>
      <c r="I3581" s="1169">
        <f t="shared" si="133"/>
        <v>0.126</v>
      </c>
      <c r="J3581" s="938"/>
      <c r="K3581" s="1274"/>
    </row>
    <row r="3582" spans="1:14">
      <c r="A3582" s="1241"/>
      <c r="B3582" s="451"/>
      <c r="C3582" s="452"/>
      <c r="D3582" s="308"/>
      <c r="E3582" s="310"/>
      <c r="F3582" s="401"/>
      <c r="G3582" s="401"/>
      <c r="H3582" s="401"/>
      <c r="I3582" s="938"/>
      <c r="J3582" s="938"/>
      <c r="K3582" s="1274"/>
    </row>
    <row r="3583" spans="1:14" s="398" customFormat="1">
      <c r="A3583" s="1250"/>
      <c r="B3583" s="161" t="s">
        <v>928</v>
      </c>
      <c r="C3583" s="388" t="s">
        <v>374</v>
      </c>
      <c r="D3583" s="437"/>
      <c r="E3583" s="165"/>
      <c r="F3583" s="401"/>
      <c r="G3583" s="401"/>
      <c r="H3583" s="401"/>
      <c r="I3583" s="938" t="str">
        <f t="shared" ref="I3583:I3584" si="134">IF(D3583&lt;&gt;0,ROUND(PRODUCT(E3583:H3583)*D3583,2),"")</f>
        <v/>
      </c>
      <c r="J3583" s="939">
        <f>SUM(I3581:I3582)</f>
        <v>0.126</v>
      </c>
      <c r="K3583" s="1277" t="s">
        <v>1690</v>
      </c>
      <c r="L3583" s="431"/>
      <c r="M3583" s="431"/>
      <c r="N3583" s="431"/>
    </row>
    <row r="3584" spans="1:14">
      <c r="A3584" s="1250"/>
      <c r="D3584" s="392"/>
      <c r="E3584" s="165"/>
      <c r="F3584" s="401"/>
      <c r="G3584" s="401"/>
      <c r="H3584" s="401"/>
      <c r="I3584" s="938" t="str">
        <f t="shared" si="134"/>
        <v/>
      </c>
      <c r="J3584" s="940">
        <f>SUM(J3580:J3583)</f>
        <v>33.923000000000002</v>
      </c>
      <c r="K3584" s="1242"/>
    </row>
    <row r="3585" spans="1:14" s="165" customFormat="1">
      <c r="A3585" s="1251"/>
      <c r="B3585" s="416" t="s">
        <v>149</v>
      </c>
      <c r="C3585" s="417"/>
      <c r="D3585" s="446"/>
      <c r="E3585" s="446"/>
      <c r="F3585" s="1370"/>
      <c r="G3585" s="1370"/>
      <c r="H3585" s="1370"/>
      <c r="I3585" s="1175" t="str">
        <f t="shared" si="131"/>
        <v/>
      </c>
      <c r="J3585" s="418"/>
      <c r="K3585" s="1252"/>
      <c r="L3585" s="164"/>
      <c r="M3585" s="164"/>
      <c r="N3585" s="164"/>
    </row>
    <row r="3586" spans="1:14" ht="345">
      <c r="A3586" s="1219">
        <v>4</v>
      </c>
      <c r="B3586" s="1396" t="s">
        <v>2173</v>
      </c>
      <c r="C3586" s="422"/>
      <c r="D3586" s="436"/>
      <c r="E3586" s="436"/>
      <c r="F3586" s="1359"/>
      <c r="G3586" s="1359"/>
      <c r="H3586" s="1359"/>
      <c r="I3586" s="1172"/>
      <c r="J3586" s="423"/>
      <c r="K3586" s="1220"/>
    </row>
    <row r="3587" spans="1:14" s="398" customFormat="1" hidden="1" outlineLevel="1">
      <c r="A3587" s="1250"/>
      <c r="B3587" s="425" t="s">
        <v>150</v>
      </c>
      <c r="C3587" s="165" t="s">
        <v>2</v>
      </c>
      <c r="D3587" s="392">
        <v>1</v>
      </c>
      <c r="E3587" s="165"/>
      <c r="F3587" s="401">
        <f>5.69+3+2+0.23*2</f>
        <v>11.150000000000002</v>
      </c>
      <c r="G3587" s="401">
        <v>0.23</v>
      </c>
      <c r="H3587" s="401">
        <v>0.2</v>
      </c>
      <c r="I3587" s="399">
        <f t="shared" ref="I3587:I3684" si="135">IF(D3587&lt;&gt;0,ROUND(PRODUCT(E3587:H3587)*D3587,2),"")</f>
        <v>0.51</v>
      </c>
      <c r="J3587" s="455"/>
      <c r="K3587" s="1222"/>
      <c r="L3587" s="431"/>
      <c r="M3587" s="431"/>
      <c r="N3587" s="431"/>
    </row>
    <row r="3588" spans="1:14" s="398" customFormat="1" hidden="1" outlineLevel="1">
      <c r="A3588" s="1250"/>
      <c r="B3588" s="425" t="s">
        <v>105</v>
      </c>
      <c r="C3588" s="165" t="s">
        <v>2</v>
      </c>
      <c r="D3588" s="392">
        <v>2</v>
      </c>
      <c r="E3588" s="165"/>
      <c r="F3588" s="401">
        <f>5.69+3+0.23</f>
        <v>8.9200000000000017</v>
      </c>
      <c r="G3588" s="401">
        <v>0.23</v>
      </c>
      <c r="H3588" s="401">
        <v>0.2</v>
      </c>
      <c r="I3588" s="399">
        <f t="shared" si="135"/>
        <v>0.82</v>
      </c>
      <c r="J3588" s="455"/>
      <c r="K3588" s="1222"/>
      <c r="L3588" s="431"/>
      <c r="M3588" s="431"/>
      <c r="N3588" s="431"/>
    </row>
    <row r="3589" spans="1:14" s="398" customFormat="1" hidden="1" outlineLevel="1">
      <c r="A3589" s="1250"/>
      <c r="B3589" s="425"/>
      <c r="C3589" s="165" t="s">
        <v>2</v>
      </c>
      <c r="D3589" s="392">
        <v>1</v>
      </c>
      <c r="E3589" s="165"/>
      <c r="F3589" s="401">
        <f>1.8+3+3.92+0.6+0.23*2</f>
        <v>9.7799999999999994</v>
      </c>
      <c r="G3589" s="401">
        <v>0.23</v>
      </c>
      <c r="H3589" s="401">
        <v>0.2</v>
      </c>
      <c r="I3589" s="399">
        <f t="shared" si="135"/>
        <v>0.45</v>
      </c>
      <c r="J3589" s="455"/>
      <c r="K3589" s="1222"/>
      <c r="L3589" s="431"/>
      <c r="M3589" s="431"/>
      <c r="N3589" s="431"/>
    </row>
    <row r="3590" spans="1:14" s="398" customFormat="1" hidden="1" outlineLevel="1">
      <c r="A3590" s="1250"/>
      <c r="B3590" s="425"/>
      <c r="C3590" s="165" t="s">
        <v>2</v>
      </c>
      <c r="D3590" s="392">
        <v>2</v>
      </c>
      <c r="E3590" s="165"/>
      <c r="F3590" s="401">
        <f>3.29+3+0.23</f>
        <v>6.5200000000000005</v>
      </c>
      <c r="G3590" s="401">
        <v>0.23</v>
      </c>
      <c r="H3590" s="401">
        <v>0.2</v>
      </c>
      <c r="I3590" s="399">
        <f t="shared" si="135"/>
        <v>0.6</v>
      </c>
      <c r="J3590" s="455"/>
      <c r="K3590" s="1222"/>
      <c r="L3590" s="431"/>
      <c r="M3590" s="431"/>
      <c r="N3590" s="431"/>
    </row>
    <row r="3591" spans="1:14" s="398" customFormat="1" hidden="1" outlineLevel="1">
      <c r="A3591" s="1250"/>
      <c r="B3591" s="425"/>
      <c r="C3591" s="165" t="s">
        <v>2</v>
      </c>
      <c r="D3591" s="392">
        <v>1</v>
      </c>
      <c r="E3591" s="165"/>
      <c r="F3591" s="401">
        <f>1.56+2+4.43-2+0.23</f>
        <v>6.2200000000000006</v>
      </c>
      <c r="G3591" s="401">
        <v>0.23</v>
      </c>
      <c r="H3591" s="401">
        <v>0.2</v>
      </c>
      <c r="I3591" s="399">
        <f t="shared" si="135"/>
        <v>0.28999999999999998</v>
      </c>
      <c r="J3591" s="455"/>
      <c r="K3591" s="1222"/>
      <c r="L3591" s="431"/>
      <c r="M3591" s="431"/>
      <c r="N3591" s="431"/>
    </row>
    <row r="3592" spans="1:14" s="398" customFormat="1" hidden="1" outlineLevel="1">
      <c r="A3592" s="1250"/>
      <c r="B3592" s="425"/>
      <c r="C3592" s="165" t="s">
        <v>2</v>
      </c>
      <c r="D3592" s="392">
        <v>1</v>
      </c>
      <c r="E3592" s="165"/>
      <c r="F3592" s="401">
        <f>1.56+4.43+0.23*2</f>
        <v>6.45</v>
      </c>
      <c r="G3592" s="401">
        <v>0.23</v>
      </c>
      <c r="H3592" s="401">
        <v>0.2</v>
      </c>
      <c r="I3592" s="399">
        <f t="shared" si="135"/>
        <v>0.3</v>
      </c>
      <c r="J3592" s="455"/>
      <c r="K3592" s="1222"/>
      <c r="L3592" s="431"/>
      <c r="M3592" s="431"/>
      <c r="N3592" s="431"/>
    </row>
    <row r="3593" spans="1:14" s="398" customFormat="1" hidden="1" outlineLevel="1">
      <c r="A3593" s="1250"/>
      <c r="B3593" s="425"/>
      <c r="C3593" s="165" t="s">
        <v>2</v>
      </c>
      <c r="D3593" s="392">
        <v>1</v>
      </c>
      <c r="E3593" s="165"/>
      <c r="F3593" s="401">
        <f>4.43+0.23</f>
        <v>4.66</v>
      </c>
      <c r="G3593" s="401">
        <v>0.23</v>
      </c>
      <c r="H3593" s="401">
        <v>0.2</v>
      </c>
      <c r="I3593" s="399">
        <f t="shared" si="135"/>
        <v>0.21</v>
      </c>
      <c r="J3593" s="455"/>
      <c r="K3593" s="1222"/>
      <c r="L3593" s="431"/>
      <c r="M3593" s="431"/>
      <c r="N3593" s="431"/>
    </row>
    <row r="3594" spans="1:14" s="398" customFormat="1" hidden="1" outlineLevel="1">
      <c r="A3594" s="1250"/>
      <c r="B3594" s="425"/>
      <c r="C3594" s="165" t="s">
        <v>2</v>
      </c>
      <c r="D3594" s="392">
        <v>1</v>
      </c>
      <c r="E3594" s="165"/>
      <c r="F3594" s="401">
        <f>6.43+0.23*2</f>
        <v>6.89</v>
      </c>
      <c r="G3594" s="401">
        <v>0.23</v>
      </c>
      <c r="H3594" s="401">
        <v>0.2</v>
      </c>
      <c r="I3594" s="399">
        <f t="shared" si="135"/>
        <v>0.32</v>
      </c>
      <c r="J3594" s="455"/>
      <c r="K3594" s="1222"/>
      <c r="L3594" s="431"/>
      <c r="M3594" s="431"/>
      <c r="N3594" s="431"/>
    </row>
    <row r="3595" spans="1:14" s="398" customFormat="1" hidden="1" outlineLevel="1">
      <c r="A3595" s="1250"/>
      <c r="B3595" s="425" t="e">
        <f>#REF!</f>
        <v>#REF!</v>
      </c>
      <c r="C3595" s="165" t="s">
        <v>2</v>
      </c>
      <c r="D3595" s="392">
        <v>5</v>
      </c>
      <c r="E3595" s="165"/>
      <c r="F3595" s="401">
        <v>0.61499999999999999</v>
      </c>
      <c r="G3595" s="401">
        <v>0.23</v>
      </c>
      <c r="H3595" s="401">
        <v>0.2</v>
      </c>
      <c r="I3595" s="399">
        <f t="shared" si="135"/>
        <v>0.14000000000000001</v>
      </c>
      <c r="J3595" s="455"/>
      <c r="K3595" s="1222"/>
      <c r="L3595" s="431"/>
      <c r="M3595" s="431"/>
      <c r="N3595" s="431"/>
    </row>
    <row r="3596" spans="1:14" s="398" customFormat="1" hidden="1" outlineLevel="1">
      <c r="A3596" s="1250"/>
      <c r="B3596" s="425"/>
      <c r="C3596" s="165" t="s">
        <v>2</v>
      </c>
      <c r="D3596" s="392">
        <v>1</v>
      </c>
      <c r="E3596" s="165"/>
      <c r="F3596" s="401">
        <f>3.36+0.23*2</f>
        <v>3.82</v>
      </c>
      <c r="G3596" s="401">
        <v>0.23</v>
      </c>
      <c r="H3596" s="401">
        <v>0.2</v>
      </c>
      <c r="I3596" s="399">
        <f t="shared" si="135"/>
        <v>0.18</v>
      </c>
      <c r="J3596" s="455"/>
      <c r="K3596" s="1222"/>
      <c r="L3596" s="431"/>
      <c r="M3596" s="431"/>
      <c r="N3596" s="431"/>
    </row>
    <row r="3597" spans="1:14" s="398" customFormat="1" hidden="1" outlineLevel="1">
      <c r="A3597" s="1250"/>
      <c r="B3597" s="425"/>
      <c r="C3597" s="165" t="s">
        <v>2</v>
      </c>
      <c r="D3597" s="392">
        <v>4</v>
      </c>
      <c r="E3597" s="165"/>
      <c r="F3597" s="401">
        <f>2.13-0.23*2</f>
        <v>1.67</v>
      </c>
      <c r="G3597" s="401">
        <v>0.23</v>
      </c>
      <c r="H3597" s="401">
        <v>0.2</v>
      </c>
      <c r="I3597" s="399">
        <f t="shared" si="135"/>
        <v>0.31</v>
      </c>
      <c r="J3597" s="455"/>
      <c r="K3597" s="1222"/>
      <c r="L3597" s="431"/>
      <c r="M3597" s="431"/>
      <c r="N3597" s="431"/>
    </row>
    <row r="3598" spans="1:14" s="398" customFormat="1" hidden="1" outlineLevel="1">
      <c r="A3598" s="1250"/>
      <c r="B3598" s="425"/>
      <c r="C3598" s="165" t="s">
        <v>2</v>
      </c>
      <c r="D3598" s="392">
        <v>3</v>
      </c>
      <c r="E3598" s="165"/>
      <c r="F3598" s="401">
        <f>2.745-0.23</f>
        <v>2.5150000000000001</v>
      </c>
      <c r="G3598" s="401">
        <v>0.23</v>
      </c>
      <c r="H3598" s="401">
        <v>0.2</v>
      </c>
      <c r="I3598" s="399">
        <f t="shared" si="135"/>
        <v>0.35</v>
      </c>
      <c r="J3598" s="455"/>
      <c r="K3598" s="1222"/>
      <c r="L3598" s="431"/>
      <c r="M3598" s="431"/>
      <c r="N3598" s="431"/>
    </row>
    <row r="3599" spans="1:14" s="398" customFormat="1" hidden="1" outlineLevel="1">
      <c r="A3599" s="1250"/>
      <c r="B3599" s="425" t="s">
        <v>106</v>
      </c>
      <c r="C3599" s="165" t="s">
        <v>2</v>
      </c>
      <c r="D3599" s="392">
        <v>1</v>
      </c>
      <c r="E3599" s="165"/>
      <c r="F3599" s="401">
        <f>5.53+0.23*2</f>
        <v>5.99</v>
      </c>
      <c r="G3599" s="401">
        <v>0.23</v>
      </c>
      <c r="H3599" s="401">
        <v>0.2</v>
      </c>
      <c r="I3599" s="399">
        <f t="shared" si="135"/>
        <v>0.28000000000000003</v>
      </c>
      <c r="J3599" s="455"/>
      <c r="K3599" s="1222"/>
      <c r="L3599" s="431"/>
      <c r="M3599" s="431"/>
      <c r="N3599" s="431"/>
    </row>
    <row r="3600" spans="1:14" s="398" customFormat="1" hidden="1" outlineLevel="1">
      <c r="A3600" s="1250"/>
      <c r="B3600" s="425" t="s">
        <v>107</v>
      </c>
      <c r="C3600" s="165" t="s">
        <v>2</v>
      </c>
      <c r="D3600" s="392">
        <v>1</v>
      </c>
      <c r="E3600" s="165"/>
      <c r="F3600" s="401">
        <f>1.2+2.33+0.23*2</f>
        <v>3.99</v>
      </c>
      <c r="G3600" s="401">
        <v>0.23</v>
      </c>
      <c r="H3600" s="401">
        <v>0.2</v>
      </c>
      <c r="I3600" s="399">
        <f t="shared" si="135"/>
        <v>0.18</v>
      </c>
      <c r="J3600" s="455"/>
      <c r="K3600" s="1222"/>
      <c r="L3600" s="431"/>
      <c r="M3600" s="431"/>
      <c r="N3600" s="431"/>
    </row>
    <row r="3601" spans="1:14" s="398" customFormat="1" hidden="1" outlineLevel="1">
      <c r="A3601" s="1250"/>
      <c r="B3601" s="425"/>
      <c r="C3601" s="165" t="s">
        <v>2</v>
      </c>
      <c r="D3601" s="392">
        <v>2</v>
      </c>
      <c r="E3601" s="165"/>
      <c r="F3601" s="401">
        <f>1.73+0.23*2</f>
        <v>2.19</v>
      </c>
      <c r="G3601" s="401">
        <v>0.23</v>
      </c>
      <c r="H3601" s="401">
        <v>0.2</v>
      </c>
      <c r="I3601" s="399">
        <f t="shared" si="135"/>
        <v>0.2</v>
      </c>
      <c r="J3601" s="455"/>
      <c r="K3601" s="1222"/>
      <c r="L3601" s="431"/>
      <c r="M3601" s="431"/>
      <c r="N3601" s="431"/>
    </row>
    <row r="3602" spans="1:14" s="398" customFormat="1" hidden="1" outlineLevel="1">
      <c r="A3602" s="1250"/>
      <c r="B3602" s="425"/>
      <c r="C3602" s="165" t="s">
        <v>2</v>
      </c>
      <c r="D3602" s="392">
        <v>2</v>
      </c>
      <c r="E3602" s="165"/>
      <c r="F3602" s="401">
        <f>0.9+2+1.43-2+0.23*2</f>
        <v>2.79</v>
      </c>
      <c r="G3602" s="401">
        <v>0.23</v>
      </c>
      <c r="H3602" s="401">
        <v>0.2</v>
      </c>
      <c r="I3602" s="399">
        <f t="shared" si="135"/>
        <v>0.26</v>
      </c>
      <c r="J3602" s="455"/>
      <c r="K3602" s="1222"/>
      <c r="L3602" s="431"/>
      <c r="M3602" s="431"/>
      <c r="N3602" s="431"/>
    </row>
    <row r="3603" spans="1:14" s="398" customFormat="1" hidden="1" outlineLevel="1">
      <c r="A3603" s="1250"/>
      <c r="B3603" s="425"/>
      <c r="C3603" s="165" t="s">
        <v>2</v>
      </c>
      <c r="D3603" s="392">
        <v>1</v>
      </c>
      <c r="E3603" s="165"/>
      <c r="F3603" s="401">
        <f>1.43+0.23</f>
        <v>1.66</v>
      </c>
      <c r="G3603" s="401">
        <v>0.23</v>
      </c>
      <c r="H3603" s="401">
        <v>0.2</v>
      </c>
      <c r="I3603" s="399">
        <f t="shared" si="135"/>
        <v>0.08</v>
      </c>
      <c r="J3603" s="455"/>
      <c r="K3603" s="1222"/>
      <c r="L3603" s="431"/>
      <c r="M3603" s="431"/>
      <c r="N3603" s="431"/>
    </row>
    <row r="3604" spans="1:14" s="398" customFormat="1" hidden="1" outlineLevel="1">
      <c r="A3604" s="1250"/>
      <c r="B3604" s="425"/>
      <c r="C3604" s="165" t="s">
        <v>2</v>
      </c>
      <c r="D3604" s="392">
        <v>1</v>
      </c>
      <c r="E3604" s="165"/>
      <c r="F3604" s="401">
        <f>1.43+2+0.23*2</f>
        <v>3.8899999999999997</v>
      </c>
      <c r="G3604" s="401">
        <v>0.23</v>
      </c>
      <c r="H3604" s="401">
        <v>0.2</v>
      </c>
      <c r="I3604" s="399">
        <f t="shared" si="135"/>
        <v>0.18</v>
      </c>
      <c r="J3604" s="455"/>
      <c r="K3604" s="1222"/>
      <c r="L3604" s="431"/>
      <c r="M3604" s="431"/>
      <c r="N3604" s="431"/>
    </row>
    <row r="3605" spans="1:14" s="398" customFormat="1" hidden="1" outlineLevel="1">
      <c r="A3605" s="1250"/>
      <c r="B3605" s="425" t="s">
        <v>108</v>
      </c>
      <c r="C3605" s="165" t="s">
        <v>2</v>
      </c>
      <c r="D3605" s="392">
        <v>5</v>
      </c>
      <c r="E3605" s="165"/>
      <c r="F3605" s="401">
        <v>0.61499999999999999</v>
      </c>
      <c r="G3605" s="401">
        <v>0.23</v>
      </c>
      <c r="H3605" s="401">
        <v>0.2</v>
      </c>
      <c r="I3605" s="399">
        <f t="shared" si="135"/>
        <v>0.14000000000000001</v>
      </c>
      <c r="J3605" s="455"/>
      <c r="K3605" s="1222"/>
      <c r="L3605" s="431"/>
      <c r="M3605" s="431"/>
      <c r="N3605" s="431"/>
    </row>
    <row r="3606" spans="1:14" s="398" customFormat="1" hidden="1" outlineLevel="1">
      <c r="A3606" s="1250"/>
      <c r="B3606" s="425"/>
      <c r="C3606" s="165" t="s">
        <v>2</v>
      </c>
      <c r="D3606" s="392">
        <v>3</v>
      </c>
      <c r="E3606" s="165"/>
      <c r="F3606" s="401">
        <f>2.745-0.23</f>
        <v>2.5150000000000001</v>
      </c>
      <c r="G3606" s="401">
        <v>0.23</v>
      </c>
      <c r="H3606" s="401">
        <v>0.2</v>
      </c>
      <c r="I3606" s="399">
        <f t="shared" si="135"/>
        <v>0.35</v>
      </c>
      <c r="J3606" s="455"/>
      <c r="K3606" s="1222"/>
      <c r="L3606" s="431"/>
      <c r="M3606" s="431"/>
      <c r="N3606" s="431"/>
    </row>
    <row r="3607" spans="1:14" s="398" customFormat="1" hidden="1" outlineLevel="1">
      <c r="A3607" s="1250"/>
      <c r="B3607" s="425"/>
      <c r="C3607" s="165" t="s">
        <v>2</v>
      </c>
      <c r="D3607" s="392">
        <v>3</v>
      </c>
      <c r="E3607" s="165"/>
      <c r="F3607" s="401">
        <f>2.13-0.23*2</f>
        <v>1.67</v>
      </c>
      <c r="G3607" s="401">
        <v>0.23</v>
      </c>
      <c r="H3607" s="401">
        <v>0.2</v>
      </c>
      <c r="I3607" s="399">
        <f t="shared" si="135"/>
        <v>0.23</v>
      </c>
      <c r="J3607" s="455"/>
      <c r="K3607" s="1222"/>
      <c r="L3607" s="431"/>
      <c r="M3607" s="431"/>
      <c r="N3607" s="431"/>
    </row>
    <row r="3608" spans="1:14" s="398" customFormat="1" ht="34.5" hidden="1" outlineLevel="1">
      <c r="A3608" s="1250"/>
      <c r="B3608" s="425" t="s">
        <v>109</v>
      </c>
      <c r="C3608" s="165" t="s">
        <v>2</v>
      </c>
      <c r="D3608" s="392">
        <v>1</v>
      </c>
      <c r="E3608" s="165"/>
      <c r="F3608" s="401">
        <f>9.155+0.23*2</f>
        <v>9.6150000000000002</v>
      </c>
      <c r="G3608" s="401">
        <v>0.23</v>
      </c>
      <c r="H3608" s="401">
        <v>0.2</v>
      </c>
      <c r="I3608" s="399">
        <f t="shared" si="135"/>
        <v>0.44</v>
      </c>
      <c r="J3608" s="455"/>
      <c r="K3608" s="1222"/>
      <c r="L3608" s="431"/>
      <c r="M3608" s="431"/>
      <c r="N3608" s="431"/>
    </row>
    <row r="3609" spans="1:14" s="398" customFormat="1" hidden="1" outlineLevel="1">
      <c r="A3609" s="1250"/>
      <c r="B3609" s="425"/>
      <c r="C3609" s="165" t="s">
        <v>2</v>
      </c>
      <c r="D3609" s="392">
        <v>2</v>
      </c>
      <c r="E3609" s="165"/>
      <c r="F3609" s="401">
        <f>3+4.015+0.23</f>
        <v>7.2450000000000001</v>
      </c>
      <c r="G3609" s="401">
        <v>0.23</v>
      </c>
      <c r="H3609" s="401">
        <v>0.2</v>
      </c>
      <c r="I3609" s="399">
        <f t="shared" si="135"/>
        <v>0.67</v>
      </c>
      <c r="J3609" s="455"/>
      <c r="K3609" s="1222"/>
      <c r="L3609" s="431"/>
      <c r="M3609" s="431"/>
      <c r="N3609" s="431"/>
    </row>
    <row r="3610" spans="1:14" s="398" customFormat="1" hidden="1" outlineLevel="1">
      <c r="A3610" s="1250"/>
      <c r="B3610" s="425"/>
      <c r="C3610" s="165" t="s">
        <v>2</v>
      </c>
      <c r="D3610" s="392">
        <v>1</v>
      </c>
      <c r="E3610" s="165"/>
      <c r="F3610" s="401">
        <f>2.49+3+1.525+0.23*2</f>
        <v>7.4750000000000005</v>
      </c>
      <c r="G3610" s="401">
        <v>0.23</v>
      </c>
      <c r="H3610" s="401">
        <v>0.2</v>
      </c>
      <c r="I3610" s="399">
        <f t="shared" si="135"/>
        <v>0.34</v>
      </c>
      <c r="J3610" s="455"/>
      <c r="K3610" s="1222"/>
      <c r="L3610" s="431"/>
      <c r="M3610" s="431"/>
      <c r="N3610" s="431"/>
    </row>
    <row r="3611" spans="1:14" s="398" customFormat="1" hidden="1" outlineLevel="1">
      <c r="A3611" s="1250"/>
      <c r="B3611" s="425"/>
      <c r="C3611" s="165" t="s">
        <v>2</v>
      </c>
      <c r="D3611" s="392">
        <v>1</v>
      </c>
      <c r="E3611" s="165"/>
      <c r="F3611" s="401">
        <f>1.2+2.14+2.44-2.14+0.23</f>
        <v>3.8699999999999992</v>
      </c>
      <c r="G3611" s="401">
        <v>0.23</v>
      </c>
      <c r="H3611" s="401">
        <v>0.2</v>
      </c>
      <c r="I3611" s="399">
        <f t="shared" si="135"/>
        <v>0.18</v>
      </c>
      <c r="J3611" s="455"/>
      <c r="K3611" s="1222"/>
      <c r="L3611" s="431"/>
      <c r="M3611" s="431"/>
      <c r="N3611" s="431"/>
    </row>
    <row r="3612" spans="1:14" s="398" customFormat="1" hidden="1" outlineLevel="1">
      <c r="A3612" s="1250"/>
      <c r="B3612" s="425"/>
      <c r="C3612" s="165" t="s">
        <v>2</v>
      </c>
      <c r="D3612" s="392">
        <v>1</v>
      </c>
      <c r="E3612" s="165"/>
      <c r="F3612" s="401">
        <f>1.2+2.44+0.23*2</f>
        <v>4.0999999999999996</v>
      </c>
      <c r="G3612" s="401">
        <v>0.23</v>
      </c>
      <c r="H3612" s="401">
        <v>0.2</v>
      </c>
      <c r="I3612" s="399">
        <f t="shared" si="135"/>
        <v>0.19</v>
      </c>
      <c r="J3612" s="455"/>
      <c r="K3612" s="1222"/>
      <c r="L3612" s="431"/>
      <c r="M3612" s="431"/>
      <c r="N3612" s="431"/>
    </row>
    <row r="3613" spans="1:14" s="398" customFormat="1" hidden="1" outlineLevel="1">
      <c r="A3613" s="1250"/>
      <c r="B3613" s="425"/>
      <c r="C3613" s="165" t="s">
        <v>2</v>
      </c>
      <c r="D3613" s="392">
        <v>2</v>
      </c>
      <c r="E3613" s="165"/>
      <c r="F3613" s="401">
        <f>3.965+0.23</f>
        <v>4.1950000000000003</v>
      </c>
      <c r="G3613" s="401">
        <v>0.23</v>
      </c>
      <c r="H3613" s="401">
        <v>0.2</v>
      </c>
      <c r="I3613" s="399">
        <f t="shared" si="135"/>
        <v>0.39</v>
      </c>
      <c r="J3613" s="455"/>
      <c r="K3613" s="1222"/>
      <c r="L3613" s="431"/>
      <c r="M3613" s="431"/>
      <c r="N3613" s="431"/>
    </row>
    <row r="3614" spans="1:14" s="398" customFormat="1" hidden="1" outlineLevel="1">
      <c r="A3614" s="1250"/>
      <c r="B3614" s="425"/>
      <c r="C3614" s="165" t="s">
        <v>2</v>
      </c>
      <c r="D3614" s="392">
        <v>1</v>
      </c>
      <c r="E3614" s="165"/>
      <c r="F3614" s="401">
        <f>0.915+2.14+2.41-2.14+0.23</f>
        <v>3.5549999999999997</v>
      </c>
      <c r="G3614" s="401">
        <v>0.23</v>
      </c>
      <c r="H3614" s="401">
        <v>0.2</v>
      </c>
      <c r="I3614" s="399">
        <f t="shared" si="135"/>
        <v>0.16</v>
      </c>
      <c r="J3614" s="455"/>
      <c r="K3614" s="1222"/>
      <c r="L3614" s="431"/>
      <c r="M3614" s="431"/>
      <c r="N3614" s="431"/>
    </row>
    <row r="3615" spans="1:14" s="398" customFormat="1" hidden="1" outlineLevel="1">
      <c r="A3615" s="1250"/>
      <c r="B3615" s="425"/>
      <c r="C3615" s="165" t="s">
        <v>2</v>
      </c>
      <c r="D3615" s="392">
        <v>1</v>
      </c>
      <c r="E3615" s="165"/>
      <c r="F3615" s="401">
        <f>0.915+2.41+0.23*2</f>
        <v>3.7850000000000001</v>
      </c>
      <c r="G3615" s="401">
        <v>0.23</v>
      </c>
      <c r="H3615" s="401">
        <v>0.2</v>
      </c>
      <c r="I3615" s="399">
        <f t="shared" si="135"/>
        <v>0.17</v>
      </c>
      <c r="J3615" s="455"/>
      <c r="K3615" s="1222"/>
      <c r="L3615" s="431"/>
      <c r="M3615" s="431"/>
      <c r="N3615" s="431"/>
    </row>
    <row r="3616" spans="1:14" s="398" customFormat="1" hidden="1" outlineLevel="1">
      <c r="A3616" s="1250"/>
      <c r="B3616" s="425"/>
      <c r="C3616" s="165" t="s">
        <v>2</v>
      </c>
      <c r="D3616" s="392">
        <v>1</v>
      </c>
      <c r="E3616" s="165"/>
      <c r="F3616" s="401">
        <f>2.41+0.23</f>
        <v>2.64</v>
      </c>
      <c r="G3616" s="401">
        <v>0.23</v>
      </c>
      <c r="H3616" s="401">
        <v>0.2</v>
      </c>
      <c r="I3616" s="399">
        <f t="shared" si="135"/>
        <v>0.12</v>
      </c>
      <c r="J3616" s="455"/>
      <c r="K3616" s="1222"/>
      <c r="L3616" s="431"/>
      <c r="M3616" s="431"/>
      <c r="N3616" s="431"/>
    </row>
    <row r="3617" spans="1:14" s="398" customFormat="1" hidden="1" outlineLevel="1">
      <c r="A3617" s="1250"/>
      <c r="B3617" s="425"/>
      <c r="C3617" s="165" t="s">
        <v>2</v>
      </c>
      <c r="D3617" s="392">
        <v>1</v>
      </c>
      <c r="E3617" s="165"/>
      <c r="F3617" s="401">
        <f>1.525+0.885+0.23*2</f>
        <v>2.87</v>
      </c>
      <c r="G3617" s="401">
        <v>0.23</v>
      </c>
      <c r="H3617" s="401">
        <v>0.2</v>
      </c>
      <c r="I3617" s="399">
        <f t="shared" si="135"/>
        <v>0.13</v>
      </c>
      <c r="J3617" s="455"/>
      <c r="K3617" s="1222"/>
      <c r="L3617" s="431"/>
      <c r="M3617" s="431"/>
      <c r="N3617" s="431"/>
    </row>
    <row r="3618" spans="1:14" s="398" customFormat="1" hidden="1" outlineLevel="1">
      <c r="A3618" s="1250"/>
      <c r="B3618" s="425"/>
      <c r="C3618" s="165" t="s">
        <v>2</v>
      </c>
      <c r="D3618" s="392">
        <v>2</v>
      </c>
      <c r="E3618" s="165"/>
      <c r="F3618" s="401">
        <f>0.885+0.915+0.23*2</f>
        <v>2.2600000000000002</v>
      </c>
      <c r="G3618" s="401">
        <v>0.23</v>
      </c>
      <c r="H3618" s="401">
        <v>0.2</v>
      </c>
      <c r="I3618" s="399">
        <f t="shared" si="135"/>
        <v>0.21</v>
      </c>
      <c r="J3618" s="455"/>
      <c r="K3618" s="1222"/>
      <c r="L3618" s="431"/>
      <c r="M3618" s="431"/>
      <c r="N3618" s="431"/>
    </row>
    <row r="3619" spans="1:14" s="398" customFormat="1" hidden="1" outlineLevel="1">
      <c r="A3619" s="1250"/>
      <c r="B3619" s="425"/>
      <c r="C3619" s="165" t="s">
        <v>2</v>
      </c>
      <c r="D3619" s="392">
        <v>1</v>
      </c>
      <c r="E3619" s="165"/>
      <c r="F3619" s="401">
        <f>2.11+0.23*2</f>
        <v>2.57</v>
      </c>
      <c r="G3619" s="401">
        <v>0.23</v>
      </c>
      <c r="H3619" s="401">
        <v>0.2</v>
      </c>
      <c r="I3619" s="399">
        <f t="shared" si="135"/>
        <v>0.12</v>
      </c>
      <c r="J3619" s="455"/>
      <c r="K3619" s="1222"/>
      <c r="L3619" s="431"/>
      <c r="M3619" s="431"/>
      <c r="N3619" s="431"/>
    </row>
    <row r="3620" spans="1:14" s="398" customFormat="1" ht="34.5" hidden="1" outlineLevel="1">
      <c r="A3620" s="1250"/>
      <c r="B3620" s="425" t="s">
        <v>110</v>
      </c>
      <c r="C3620" s="165" t="s">
        <v>2</v>
      </c>
      <c r="D3620" s="392">
        <v>5</v>
      </c>
      <c r="E3620" s="165"/>
      <c r="F3620" s="401">
        <v>0.6</v>
      </c>
      <c r="G3620" s="401">
        <v>0.23</v>
      </c>
      <c r="H3620" s="401">
        <v>0.2</v>
      </c>
      <c r="I3620" s="399">
        <f t="shared" si="135"/>
        <v>0.14000000000000001</v>
      </c>
      <c r="J3620" s="455"/>
      <c r="K3620" s="1222"/>
      <c r="L3620" s="431"/>
      <c r="M3620" s="431"/>
      <c r="N3620" s="431"/>
    </row>
    <row r="3621" spans="1:14" s="398" customFormat="1" hidden="1" outlineLevel="1">
      <c r="A3621" s="1250"/>
      <c r="B3621" s="425"/>
      <c r="C3621" s="165" t="s">
        <v>2</v>
      </c>
      <c r="D3621" s="438">
        <v>6</v>
      </c>
      <c r="E3621" s="165"/>
      <c r="F3621" s="401">
        <f>2-0.23*2</f>
        <v>1.54</v>
      </c>
      <c r="G3621" s="401">
        <v>0.23</v>
      </c>
      <c r="H3621" s="401">
        <v>0.2</v>
      </c>
      <c r="I3621" s="399">
        <f t="shared" si="135"/>
        <v>0.43</v>
      </c>
      <c r="J3621" s="455"/>
      <c r="K3621" s="1222"/>
      <c r="L3621" s="431"/>
      <c r="M3621" s="431"/>
      <c r="N3621" s="431"/>
    </row>
    <row r="3622" spans="1:14" s="398" customFormat="1" hidden="1" outlineLevel="1">
      <c r="A3622" s="1250"/>
      <c r="B3622" s="425"/>
      <c r="C3622" s="165" t="s">
        <v>2</v>
      </c>
      <c r="D3622" s="392">
        <v>1</v>
      </c>
      <c r="E3622" s="165"/>
      <c r="F3622" s="401">
        <v>3.2050000000000001</v>
      </c>
      <c r="G3622" s="401">
        <v>0.23</v>
      </c>
      <c r="H3622" s="401">
        <v>0.2</v>
      </c>
      <c r="I3622" s="399">
        <f t="shared" si="135"/>
        <v>0.15</v>
      </c>
      <c r="J3622" s="455"/>
      <c r="K3622" s="1222"/>
      <c r="L3622" s="431"/>
      <c r="M3622" s="431"/>
      <c r="N3622" s="431"/>
    </row>
    <row r="3623" spans="1:14" s="398" customFormat="1" hidden="1" outlineLevel="1">
      <c r="A3623" s="1250"/>
      <c r="B3623" s="425"/>
      <c r="C3623" s="165" t="s">
        <v>2</v>
      </c>
      <c r="D3623" s="392">
        <v>4</v>
      </c>
      <c r="E3623" s="165"/>
      <c r="F3623" s="401">
        <f>2.6-0.23</f>
        <v>2.37</v>
      </c>
      <c r="G3623" s="401">
        <v>0.23</v>
      </c>
      <c r="H3623" s="401">
        <v>0.2</v>
      </c>
      <c r="I3623" s="399">
        <f t="shared" si="135"/>
        <v>0.44</v>
      </c>
      <c r="J3623" s="455"/>
      <c r="K3623" s="1222"/>
      <c r="L3623" s="431"/>
      <c r="M3623" s="431"/>
      <c r="N3623" s="431"/>
    </row>
    <row r="3624" spans="1:14" s="398" customFormat="1" hidden="1" outlineLevel="1">
      <c r="A3624" s="1250"/>
      <c r="B3624" s="425"/>
      <c r="C3624" s="165" t="s">
        <v>2</v>
      </c>
      <c r="D3624" s="392">
        <v>1</v>
      </c>
      <c r="E3624" s="165"/>
      <c r="F3624" s="401">
        <f>2.6</f>
        <v>2.6</v>
      </c>
      <c r="G3624" s="401">
        <v>0.23</v>
      </c>
      <c r="H3624" s="401">
        <v>0.2</v>
      </c>
      <c r="I3624" s="399">
        <f t="shared" si="135"/>
        <v>0.12</v>
      </c>
      <c r="J3624" s="455"/>
      <c r="K3624" s="1222"/>
      <c r="L3624" s="431"/>
      <c r="M3624" s="431"/>
      <c r="N3624" s="431"/>
    </row>
    <row r="3625" spans="1:14" s="398" customFormat="1" hidden="1" outlineLevel="1">
      <c r="A3625" s="1250"/>
      <c r="B3625" s="425"/>
      <c r="C3625" s="165" t="s">
        <v>2</v>
      </c>
      <c r="D3625" s="392">
        <v>1</v>
      </c>
      <c r="E3625" s="165"/>
      <c r="F3625" s="401">
        <v>3.2</v>
      </c>
      <c r="G3625" s="401">
        <v>0.23</v>
      </c>
      <c r="H3625" s="401">
        <v>0.2</v>
      </c>
      <c r="I3625" s="399">
        <f t="shared" si="135"/>
        <v>0.15</v>
      </c>
      <c r="J3625" s="455"/>
      <c r="K3625" s="1222"/>
      <c r="L3625" s="431"/>
      <c r="M3625" s="431"/>
      <c r="N3625" s="431"/>
    </row>
    <row r="3626" spans="1:14" s="398" customFormat="1" ht="34.5" hidden="1" outlineLevel="1">
      <c r="A3626" s="1250"/>
      <c r="B3626" s="425" t="s">
        <v>111</v>
      </c>
      <c r="C3626" s="165" t="s">
        <v>2</v>
      </c>
      <c r="D3626" s="392">
        <v>1</v>
      </c>
      <c r="E3626" s="165"/>
      <c r="F3626" s="401">
        <f>8.8+0.23*2</f>
        <v>9.2600000000000016</v>
      </c>
      <c r="G3626" s="401">
        <v>0.23</v>
      </c>
      <c r="H3626" s="401">
        <v>0.2</v>
      </c>
      <c r="I3626" s="399">
        <f t="shared" si="135"/>
        <v>0.43</v>
      </c>
      <c r="J3626" s="455"/>
      <c r="K3626" s="1222"/>
      <c r="L3626" s="431"/>
      <c r="M3626" s="431"/>
      <c r="N3626" s="431"/>
    </row>
    <row r="3627" spans="1:14" s="398" customFormat="1" hidden="1" outlineLevel="1">
      <c r="A3627" s="1250"/>
      <c r="B3627" s="425" t="s">
        <v>112</v>
      </c>
      <c r="C3627" s="165" t="s">
        <v>2</v>
      </c>
      <c r="D3627" s="392">
        <v>1</v>
      </c>
      <c r="E3627" s="165"/>
      <c r="F3627" s="401">
        <f>4.2+2.8+0.23*2</f>
        <v>7.46</v>
      </c>
      <c r="G3627" s="401">
        <v>0.23</v>
      </c>
      <c r="H3627" s="401">
        <v>0.2</v>
      </c>
      <c r="I3627" s="399">
        <f t="shared" si="135"/>
        <v>0.34</v>
      </c>
      <c r="J3627" s="455"/>
      <c r="K3627" s="1222"/>
      <c r="L3627" s="431"/>
      <c r="M3627" s="431"/>
      <c r="N3627" s="431"/>
    </row>
    <row r="3628" spans="1:14" s="398" customFormat="1" hidden="1" outlineLevel="1">
      <c r="A3628" s="1250"/>
      <c r="B3628" s="425"/>
      <c r="C3628" s="165" t="s">
        <v>2</v>
      </c>
      <c r="D3628" s="392">
        <v>1</v>
      </c>
      <c r="E3628" s="165"/>
      <c r="F3628" s="401">
        <f>2+4.2+1.8+0.23*2</f>
        <v>8.4600000000000009</v>
      </c>
      <c r="G3628" s="401">
        <v>0.23</v>
      </c>
      <c r="H3628" s="401">
        <v>0.2</v>
      </c>
      <c r="I3628" s="399">
        <f t="shared" si="135"/>
        <v>0.39</v>
      </c>
      <c r="J3628" s="455"/>
      <c r="K3628" s="1222"/>
      <c r="L3628" s="431"/>
      <c r="M3628" s="431"/>
      <c r="N3628" s="431"/>
    </row>
    <row r="3629" spans="1:14" s="398" customFormat="1" hidden="1" outlineLevel="1">
      <c r="A3629" s="1250"/>
      <c r="B3629" s="425"/>
      <c r="C3629" s="165" t="s">
        <v>2</v>
      </c>
      <c r="D3629" s="392">
        <v>1</v>
      </c>
      <c r="E3629" s="165"/>
      <c r="F3629" s="401">
        <f>2+6+0.23</f>
        <v>8.23</v>
      </c>
      <c r="G3629" s="401">
        <v>0.23</v>
      </c>
      <c r="H3629" s="401">
        <v>0.2</v>
      </c>
      <c r="I3629" s="399">
        <f t="shared" si="135"/>
        <v>0.38</v>
      </c>
      <c r="J3629" s="455"/>
      <c r="K3629" s="1222"/>
      <c r="L3629" s="431"/>
      <c r="M3629" s="431"/>
      <c r="N3629" s="431"/>
    </row>
    <row r="3630" spans="1:14" s="398" customFormat="1" hidden="1" outlineLevel="1">
      <c r="A3630" s="1250"/>
      <c r="B3630" s="425"/>
      <c r="C3630" s="165" t="s">
        <v>2</v>
      </c>
      <c r="D3630" s="392">
        <v>2</v>
      </c>
      <c r="E3630" s="165"/>
      <c r="F3630" s="401">
        <f>6+1+0.23*2</f>
        <v>7.46</v>
      </c>
      <c r="G3630" s="401">
        <v>0.23</v>
      </c>
      <c r="H3630" s="401">
        <v>0.2</v>
      </c>
      <c r="I3630" s="399">
        <f t="shared" si="135"/>
        <v>0.69</v>
      </c>
      <c r="J3630" s="455"/>
      <c r="K3630" s="1222"/>
      <c r="L3630" s="431"/>
      <c r="M3630" s="431"/>
      <c r="N3630" s="431"/>
    </row>
    <row r="3631" spans="1:14" s="398" customFormat="1" hidden="1" outlineLevel="1">
      <c r="A3631" s="1250"/>
      <c r="B3631" s="425"/>
      <c r="C3631" s="165" t="s">
        <v>2</v>
      </c>
      <c r="D3631" s="392">
        <v>1</v>
      </c>
      <c r="E3631" s="165"/>
      <c r="F3631" s="401">
        <f>2.7+1.8+0.23*2</f>
        <v>4.96</v>
      </c>
      <c r="G3631" s="401">
        <v>0.23</v>
      </c>
      <c r="H3631" s="401">
        <v>0.2</v>
      </c>
      <c r="I3631" s="399">
        <f t="shared" si="135"/>
        <v>0.23</v>
      </c>
      <c r="J3631" s="455"/>
      <c r="K3631" s="1222"/>
      <c r="L3631" s="431"/>
      <c r="M3631" s="431"/>
      <c r="N3631" s="431"/>
    </row>
    <row r="3632" spans="1:14" s="398" customFormat="1" hidden="1" outlineLevel="1">
      <c r="A3632" s="1250"/>
      <c r="B3632" s="425"/>
      <c r="C3632" s="165" t="s">
        <v>2</v>
      </c>
      <c r="D3632" s="392">
        <v>2</v>
      </c>
      <c r="E3632" s="165"/>
      <c r="F3632" s="401">
        <f>4.5+0.23</f>
        <v>4.7300000000000004</v>
      </c>
      <c r="G3632" s="401">
        <v>0.23</v>
      </c>
      <c r="H3632" s="401">
        <v>0.2</v>
      </c>
      <c r="I3632" s="399">
        <f t="shared" si="135"/>
        <v>0.44</v>
      </c>
      <c r="J3632" s="455"/>
      <c r="K3632" s="1222"/>
      <c r="L3632" s="431"/>
      <c r="M3632" s="431"/>
      <c r="N3632" s="431"/>
    </row>
    <row r="3633" spans="1:14" s="398" customFormat="1" hidden="1" outlineLevel="1">
      <c r="A3633" s="1250"/>
      <c r="B3633" s="425"/>
      <c r="C3633" s="165" t="s">
        <v>2</v>
      </c>
      <c r="D3633" s="392">
        <v>1</v>
      </c>
      <c r="E3633" s="165"/>
      <c r="F3633" s="401">
        <f>7.5+0.23*2</f>
        <v>7.96</v>
      </c>
      <c r="G3633" s="401">
        <v>0.23</v>
      </c>
      <c r="H3633" s="401">
        <v>0.2</v>
      </c>
      <c r="I3633" s="399">
        <f t="shared" si="135"/>
        <v>0.37</v>
      </c>
      <c r="J3633" s="455"/>
      <c r="K3633" s="1222"/>
      <c r="L3633" s="431"/>
      <c r="M3633" s="431"/>
      <c r="N3633" s="431"/>
    </row>
    <row r="3634" spans="1:14" s="398" customFormat="1" ht="34.5" hidden="1" outlineLevel="1">
      <c r="A3634" s="1250"/>
      <c r="B3634" s="425" t="s">
        <v>113</v>
      </c>
      <c r="C3634" s="165" t="s">
        <v>2</v>
      </c>
      <c r="D3634" s="392">
        <v>8</v>
      </c>
      <c r="E3634" s="165"/>
      <c r="F3634" s="401">
        <v>0.61499999999999999</v>
      </c>
      <c r="G3634" s="401">
        <v>0.23</v>
      </c>
      <c r="H3634" s="401">
        <v>0.2</v>
      </c>
      <c r="I3634" s="399">
        <f t="shared" si="135"/>
        <v>0.23</v>
      </c>
      <c r="J3634" s="455"/>
      <c r="K3634" s="1222"/>
      <c r="L3634" s="431"/>
      <c r="M3634" s="431"/>
      <c r="N3634" s="431"/>
    </row>
    <row r="3635" spans="1:14" s="398" customFormat="1" hidden="1" outlineLevel="1">
      <c r="A3635" s="1250"/>
      <c r="B3635" s="425" t="s">
        <v>112</v>
      </c>
      <c r="C3635" s="165" t="s">
        <v>2</v>
      </c>
      <c r="D3635" s="392">
        <v>2</v>
      </c>
      <c r="E3635" s="165"/>
      <c r="F3635" s="401">
        <f>2.435-0.23*2</f>
        <v>1.9750000000000001</v>
      </c>
      <c r="G3635" s="401">
        <v>0.23</v>
      </c>
      <c r="H3635" s="401">
        <v>0.2</v>
      </c>
      <c r="I3635" s="399">
        <f t="shared" si="135"/>
        <v>0.18</v>
      </c>
      <c r="J3635" s="455"/>
      <c r="K3635" s="1222"/>
      <c r="L3635" s="431"/>
      <c r="M3635" s="431"/>
      <c r="N3635" s="431"/>
    </row>
    <row r="3636" spans="1:14" s="398" customFormat="1" hidden="1" outlineLevel="1">
      <c r="A3636" s="1250"/>
      <c r="B3636" s="425"/>
      <c r="C3636" s="165" t="s">
        <v>2</v>
      </c>
      <c r="D3636" s="392">
        <v>2</v>
      </c>
      <c r="E3636" s="165"/>
      <c r="F3636" s="401">
        <f>2.745-0.23</f>
        <v>2.5150000000000001</v>
      </c>
      <c r="G3636" s="401">
        <v>0.23</v>
      </c>
      <c r="H3636" s="401">
        <v>0.2</v>
      </c>
      <c r="I3636" s="399">
        <f t="shared" si="135"/>
        <v>0.23</v>
      </c>
      <c r="J3636" s="455"/>
      <c r="K3636" s="1222"/>
      <c r="L3636" s="431"/>
      <c r="M3636" s="431"/>
      <c r="N3636" s="431"/>
    </row>
    <row r="3637" spans="1:14" s="398" customFormat="1" hidden="1" outlineLevel="1">
      <c r="A3637" s="1250"/>
      <c r="B3637" s="425"/>
      <c r="C3637" s="165" t="s">
        <v>2</v>
      </c>
      <c r="D3637" s="392">
        <v>4</v>
      </c>
      <c r="E3637" s="165"/>
      <c r="F3637" s="401">
        <f>2.13-0.23*2</f>
        <v>1.67</v>
      </c>
      <c r="G3637" s="401">
        <v>0.23</v>
      </c>
      <c r="H3637" s="401">
        <v>0.2</v>
      </c>
      <c r="I3637" s="399">
        <f t="shared" si="135"/>
        <v>0.31</v>
      </c>
      <c r="J3637" s="455"/>
      <c r="K3637" s="1222"/>
      <c r="L3637" s="431"/>
      <c r="M3637" s="431"/>
      <c r="N3637" s="431"/>
    </row>
    <row r="3638" spans="1:14" s="398" customFormat="1" ht="34.5" hidden="1" outlineLevel="1">
      <c r="A3638" s="1250"/>
      <c r="B3638" s="425" t="s">
        <v>111</v>
      </c>
      <c r="C3638" s="165" t="s">
        <v>2</v>
      </c>
      <c r="D3638" s="392">
        <v>1</v>
      </c>
      <c r="E3638" s="165"/>
      <c r="F3638" s="401">
        <f>0.2+6+1.8+0.23*2</f>
        <v>8.4600000000000009</v>
      </c>
      <c r="G3638" s="401">
        <v>0.23</v>
      </c>
      <c r="H3638" s="401">
        <v>0.2</v>
      </c>
      <c r="I3638" s="399">
        <f t="shared" si="135"/>
        <v>0.39</v>
      </c>
      <c r="J3638" s="455"/>
      <c r="K3638" s="1222"/>
      <c r="L3638" s="431"/>
      <c r="M3638" s="431"/>
      <c r="N3638" s="431"/>
    </row>
    <row r="3639" spans="1:14" s="398" customFormat="1" hidden="1" outlineLevel="1">
      <c r="A3639" s="1250"/>
      <c r="B3639" s="425" t="s">
        <v>114</v>
      </c>
      <c r="C3639" s="165" t="s">
        <v>2</v>
      </c>
      <c r="D3639" s="392">
        <v>1</v>
      </c>
      <c r="E3639" s="165"/>
      <c r="F3639" s="401">
        <f>6+0.2+0.23</f>
        <v>6.4300000000000006</v>
      </c>
      <c r="G3639" s="401">
        <v>0.23</v>
      </c>
      <c r="H3639" s="401">
        <v>0.2</v>
      </c>
      <c r="I3639" s="399">
        <f t="shared" si="135"/>
        <v>0.3</v>
      </c>
      <c r="J3639" s="455"/>
      <c r="K3639" s="1222"/>
      <c r="L3639" s="431"/>
      <c r="M3639" s="431"/>
      <c r="N3639" s="431"/>
    </row>
    <row r="3640" spans="1:14" s="398" customFormat="1" hidden="1" outlineLevel="1">
      <c r="A3640" s="1250"/>
      <c r="B3640" s="425"/>
      <c r="C3640" s="165" t="s">
        <v>2</v>
      </c>
      <c r="D3640" s="392">
        <v>2</v>
      </c>
      <c r="E3640" s="165"/>
      <c r="F3640" s="401">
        <f>3.2+1.8+3-1.8+0.23*2</f>
        <v>6.66</v>
      </c>
      <c r="G3640" s="401">
        <v>0.23</v>
      </c>
      <c r="H3640" s="401">
        <v>0.2</v>
      </c>
      <c r="I3640" s="399">
        <f t="shared" si="135"/>
        <v>0.61</v>
      </c>
      <c r="J3640" s="455"/>
      <c r="K3640" s="1222"/>
      <c r="L3640" s="431"/>
      <c r="M3640" s="431"/>
      <c r="N3640" s="431"/>
    </row>
    <row r="3641" spans="1:14" s="398" customFormat="1" hidden="1" outlineLevel="1">
      <c r="A3641" s="1250"/>
      <c r="B3641" s="425"/>
      <c r="C3641" s="165" t="s">
        <v>2</v>
      </c>
      <c r="D3641" s="392">
        <v>2</v>
      </c>
      <c r="E3641" s="165"/>
      <c r="F3641" s="401">
        <f>6+1.2+0.23*2</f>
        <v>7.66</v>
      </c>
      <c r="G3641" s="401">
        <v>0.23</v>
      </c>
      <c r="H3641" s="401">
        <v>0.2</v>
      </c>
      <c r="I3641" s="399">
        <f t="shared" si="135"/>
        <v>0.7</v>
      </c>
      <c r="J3641" s="455"/>
      <c r="K3641" s="1222"/>
      <c r="L3641" s="431"/>
      <c r="M3641" s="431"/>
      <c r="N3641" s="431"/>
    </row>
    <row r="3642" spans="1:14" s="398" customFormat="1" hidden="1" outlineLevel="1">
      <c r="A3642" s="1250"/>
      <c r="B3642" s="425"/>
      <c r="C3642" s="165" t="s">
        <v>2</v>
      </c>
      <c r="D3642" s="438">
        <v>1</v>
      </c>
      <c r="E3642" s="165"/>
      <c r="F3642" s="401">
        <f>2+7.8-1.8+0.23*1</f>
        <v>8.23</v>
      </c>
      <c r="G3642" s="401">
        <v>0.23</v>
      </c>
      <c r="H3642" s="401">
        <v>0.2</v>
      </c>
      <c r="I3642" s="399">
        <f t="shared" si="135"/>
        <v>0.38</v>
      </c>
      <c r="J3642" s="455"/>
      <c r="K3642" s="1222"/>
      <c r="L3642" s="431"/>
      <c r="M3642" s="431"/>
      <c r="N3642" s="431"/>
    </row>
    <row r="3643" spans="1:14" s="398" customFormat="1" hidden="1" outlineLevel="1">
      <c r="A3643" s="1278"/>
      <c r="B3643" s="426"/>
      <c r="C3643" s="333" t="s">
        <v>2</v>
      </c>
      <c r="D3643" s="438">
        <v>1</v>
      </c>
      <c r="E3643" s="165"/>
      <c r="F3643" s="401">
        <f>2+7.8+0.23*2</f>
        <v>10.260000000000002</v>
      </c>
      <c r="G3643" s="401">
        <v>0.23</v>
      </c>
      <c r="H3643" s="401">
        <v>0.2</v>
      </c>
      <c r="I3643" s="399">
        <f t="shared" si="135"/>
        <v>0.47</v>
      </c>
      <c r="J3643" s="456"/>
      <c r="K3643" s="1224"/>
      <c r="L3643" s="431"/>
      <c r="M3643" s="431"/>
      <c r="N3643" s="431"/>
    </row>
    <row r="3644" spans="1:14" s="398" customFormat="1" ht="34.5" hidden="1" outlineLevel="1">
      <c r="A3644" s="1250"/>
      <c r="B3644" s="425" t="s">
        <v>115</v>
      </c>
      <c r="C3644" s="165" t="s">
        <v>2</v>
      </c>
      <c r="D3644" s="392">
        <v>6</v>
      </c>
      <c r="E3644" s="165"/>
      <c r="F3644" s="401">
        <v>0.61499999999999999</v>
      </c>
      <c r="G3644" s="401">
        <v>0.23</v>
      </c>
      <c r="H3644" s="401">
        <v>0.2</v>
      </c>
      <c r="I3644" s="399">
        <f t="shared" si="135"/>
        <v>0.17</v>
      </c>
      <c r="J3644" s="455"/>
      <c r="K3644" s="1222"/>
      <c r="L3644" s="431"/>
      <c r="M3644" s="431"/>
      <c r="N3644" s="431"/>
    </row>
    <row r="3645" spans="1:14" s="398" customFormat="1" hidden="1" outlineLevel="1">
      <c r="A3645" s="1250"/>
      <c r="B3645" s="425" t="s">
        <v>114</v>
      </c>
      <c r="C3645" s="165" t="s">
        <v>2</v>
      </c>
      <c r="D3645" s="392">
        <v>2</v>
      </c>
      <c r="E3645" s="165"/>
      <c r="F3645" s="401">
        <f>2.745-0.23</f>
        <v>2.5150000000000001</v>
      </c>
      <c r="G3645" s="401">
        <v>0.23</v>
      </c>
      <c r="H3645" s="401">
        <v>0.2</v>
      </c>
      <c r="I3645" s="399">
        <f t="shared" si="135"/>
        <v>0.23</v>
      </c>
      <c r="J3645" s="455"/>
      <c r="K3645" s="1222"/>
      <c r="L3645" s="431"/>
      <c r="M3645" s="431"/>
      <c r="N3645" s="431"/>
    </row>
    <row r="3646" spans="1:14" s="398" customFormat="1" hidden="1" outlineLevel="1">
      <c r="A3646" s="1250"/>
      <c r="B3646" s="425"/>
      <c r="C3646" s="165" t="s">
        <v>2</v>
      </c>
      <c r="D3646" s="392">
        <v>4</v>
      </c>
      <c r="E3646" s="165"/>
      <c r="F3646" s="401">
        <f>2.13-0.23*2</f>
        <v>1.67</v>
      </c>
      <c r="G3646" s="401">
        <v>0.23</v>
      </c>
      <c r="H3646" s="401">
        <v>0.2</v>
      </c>
      <c r="I3646" s="399">
        <f t="shared" si="135"/>
        <v>0.31</v>
      </c>
      <c r="J3646" s="455"/>
      <c r="K3646" s="1222"/>
      <c r="L3646" s="431"/>
      <c r="M3646" s="431"/>
      <c r="N3646" s="431"/>
    </row>
    <row r="3647" spans="1:14" s="398" customFormat="1" ht="34.5" hidden="1" outlineLevel="1">
      <c r="A3647" s="1250"/>
      <c r="B3647" s="425" t="s">
        <v>111</v>
      </c>
      <c r="C3647" s="165" t="s">
        <v>2</v>
      </c>
      <c r="D3647" s="392">
        <v>1</v>
      </c>
      <c r="E3647" s="165"/>
      <c r="F3647" s="401">
        <f>6.78+0.23*2</f>
        <v>7.24</v>
      </c>
      <c r="G3647" s="401">
        <v>0.23</v>
      </c>
      <c r="H3647" s="401">
        <v>0.2</v>
      </c>
      <c r="I3647" s="399">
        <f t="shared" si="135"/>
        <v>0.33</v>
      </c>
      <c r="J3647" s="455"/>
      <c r="K3647" s="1222"/>
      <c r="L3647" s="431"/>
      <c r="M3647" s="431"/>
      <c r="N3647" s="431"/>
    </row>
    <row r="3648" spans="1:14" s="398" customFormat="1" hidden="1" outlineLevel="1">
      <c r="A3648" s="1250"/>
      <c r="B3648" s="425" t="s">
        <v>116</v>
      </c>
      <c r="C3648" s="165" t="s">
        <v>2</v>
      </c>
      <c r="D3648" s="392">
        <v>1</v>
      </c>
      <c r="E3648" s="165"/>
      <c r="F3648" s="401">
        <f>5+0.23</f>
        <v>5.23</v>
      </c>
      <c r="G3648" s="401">
        <v>0.23</v>
      </c>
      <c r="H3648" s="401">
        <v>0.2</v>
      </c>
      <c r="I3648" s="399">
        <f t="shared" si="135"/>
        <v>0.24</v>
      </c>
      <c r="J3648" s="455"/>
      <c r="K3648" s="1222"/>
      <c r="L3648" s="431"/>
      <c r="M3648" s="431"/>
      <c r="N3648" s="431"/>
    </row>
    <row r="3649" spans="1:14" s="398" customFormat="1" hidden="1" outlineLevel="1">
      <c r="A3649" s="1250"/>
      <c r="B3649" s="425"/>
      <c r="C3649" s="165" t="s">
        <v>2</v>
      </c>
      <c r="D3649" s="438">
        <v>2</v>
      </c>
      <c r="E3649" s="165"/>
      <c r="F3649" s="401">
        <f>4+0.23</f>
        <v>4.2300000000000004</v>
      </c>
      <c r="G3649" s="401">
        <v>0.23</v>
      </c>
      <c r="H3649" s="401">
        <v>0.2</v>
      </c>
      <c r="I3649" s="399">
        <f t="shared" si="135"/>
        <v>0.39</v>
      </c>
      <c r="J3649" s="455"/>
      <c r="K3649" s="1222"/>
      <c r="L3649" s="431"/>
      <c r="M3649" s="431"/>
      <c r="N3649" s="431"/>
    </row>
    <row r="3650" spans="1:14" s="398" customFormat="1" hidden="1" outlineLevel="1">
      <c r="A3650" s="1250"/>
      <c r="B3650" s="425"/>
      <c r="C3650" s="165" t="s">
        <v>2</v>
      </c>
      <c r="D3650" s="392">
        <v>3</v>
      </c>
      <c r="E3650" s="165"/>
      <c r="F3650" s="401">
        <f>4+0.23*2</f>
        <v>4.46</v>
      </c>
      <c r="G3650" s="401">
        <v>0.23</v>
      </c>
      <c r="H3650" s="401">
        <v>0.2</v>
      </c>
      <c r="I3650" s="399">
        <f t="shared" si="135"/>
        <v>0.62</v>
      </c>
      <c r="J3650" s="455"/>
      <c r="K3650" s="1222"/>
      <c r="L3650" s="431"/>
      <c r="M3650" s="431"/>
      <c r="N3650" s="431"/>
    </row>
    <row r="3651" spans="1:14" s="398" customFormat="1" hidden="1" outlineLevel="1">
      <c r="A3651" s="1250"/>
      <c r="B3651" s="425"/>
      <c r="C3651" s="165" t="s">
        <v>2</v>
      </c>
      <c r="D3651" s="392">
        <v>3</v>
      </c>
      <c r="E3651" s="165"/>
      <c r="F3651" s="401">
        <f>3+0.23</f>
        <v>3.23</v>
      </c>
      <c r="G3651" s="401">
        <v>0.23</v>
      </c>
      <c r="H3651" s="401">
        <v>0.2</v>
      </c>
      <c r="I3651" s="399">
        <f t="shared" si="135"/>
        <v>0.45</v>
      </c>
      <c r="J3651" s="455"/>
      <c r="K3651" s="1222"/>
      <c r="L3651" s="431"/>
      <c r="M3651" s="431"/>
      <c r="N3651" s="431"/>
    </row>
    <row r="3652" spans="1:14" s="398" customFormat="1" hidden="1" outlineLevel="1">
      <c r="A3652" s="1250"/>
      <c r="B3652" s="425"/>
      <c r="C3652" s="165" t="s">
        <v>2</v>
      </c>
      <c r="D3652" s="392">
        <v>1</v>
      </c>
      <c r="E3652" s="165"/>
      <c r="F3652" s="401">
        <f>5+0.23</f>
        <v>5.23</v>
      </c>
      <c r="G3652" s="401">
        <v>0.23</v>
      </c>
      <c r="H3652" s="401">
        <v>0.2</v>
      </c>
      <c r="I3652" s="399">
        <f t="shared" si="135"/>
        <v>0.24</v>
      </c>
      <c r="J3652" s="455"/>
      <c r="K3652" s="1222"/>
      <c r="L3652" s="431"/>
      <c r="M3652" s="431"/>
      <c r="N3652" s="431"/>
    </row>
    <row r="3653" spans="1:14" s="398" customFormat="1" hidden="1" outlineLevel="1">
      <c r="A3653" s="1250"/>
      <c r="B3653" s="425"/>
      <c r="C3653" s="165" t="s">
        <v>2</v>
      </c>
      <c r="D3653" s="392">
        <f>1*0</f>
        <v>0</v>
      </c>
      <c r="E3653" s="165"/>
      <c r="F3653" s="401">
        <f>3+0.2+0.23*2</f>
        <v>3.66</v>
      </c>
      <c r="G3653" s="401">
        <v>0.23</v>
      </c>
      <c r="H3653" s="401">
        <v>0.2</v>
      </c>
      <c r="I3653" s="399" t="str">
        <f t="shared" si="135"/>
        <v/>
      </c>
      <c r="J3653" s="455"/>
      <c r="K3653" s="1222"/>
      <c r="L3653" s="431"/>
      <c r="M3653" s="431"/>
      <c r="N3653" s="431"/>
    </row>
    <row r="3654" spans="1:14" s="398" customFormat="1" hidden="1" outlineLevel="1">
      <c r="A3654" s="1250"/>
      <c r="B3654" s="425"/>
      <c r="C3654" s="165" t="s">
        <v>2</v>
      </c>
      <c r="D3654" s="392">
        <v>1</v>
      </c>
      <c r="E3654" s="165"/>
      <c r="F3654" s="401">
        <f>4.8+0.23*2</f>
        <v>5.26</v>
      </c>
      <c r="G3654" s="401">
        <v>0.23</v>
      </c>
      <c r="H3654" s="401">
        <v>0.2</v>
      </c>
      <c r="I3654" s="399">
        <f t="shared" si="135"/>
        <v>0.24</v>
      </c>
      <c r="J3654" s="455"/>
      <c r="K3654" s="1222"/>
      <c r="L3654" s="431"/>
      <c r="M3654" s="431"/>
      <c r="N3654" s="431"/>
    </row>
    <row r="3655" spans="1:14" s="398" customFormat="1" ht="34.5" hidden="1" outlineLevel="1">
      <c r="A3655" s="1250"/>
      <c r="B3655" s="425" t="s">
        <v>115</v>
      </c>
      <c r="C3655" s="165" t="s">
        <v>2</v>
      </c>
      <c r="D3655" s="392">
        <v>5</v>
      </c>
      <c r="E3655" s="165"/>
      <c r="F3655" s="401">
        <v>0.61499999999999999</v>
      </c>
      <c r="G3655" s="401">
        <v>0.23</v>
      </c>
      <c r="H3655" s="401">
        <v>0.2</v>
      </c>
      <c r="I3655" s="399">
        <f t="shared" si="135"/>
        <v>0.14000000000000001</v>
      </c>
      <c r="J3655" s="455"/>
      <c r="K3655" s="1222"/>
      <c r="L3655" s="431"/>
      <c r="M3655" s="431"/>
      <c r="N3655" s="431"/>
    </row>
    <row r="3656" spans="1:14" s="398" customFormat="1" hidden="1" outlineLevel="1">
      <c r="A3656" s="1250"/>
      <c r="B3656" s="425" t="s">
        <v>116</v>
      </c>
      <c r="C3656" s="165" t="s">
        <v>2</v>
      </c>
      <c r="D3656" s="392">
        <v>3</v>
      </c>
      <c r="E3656" s="165"/>
      <c r="F3656" s="401">
        <v>3.36</v>
      </c>
      <c r="G3656" s="401">
        <v>0.23</v>
      </c>
      <c r="H3656" s="401">
        <v>0.2</v>
      </c>
      <c r="I3656" s="399">
        <f t="shared" si="135"/>
        <v>0.46</v>
      </c>
      <c r="J3656" s="455"/>
      <c r="K3656" s="1222"/>
      <c r="L3656" s="431"/>
      <c r="M3656" s="431"/>
      <c r="N3656" s="431"/>
    </row>
    <row r="3657" spans="1:14" s="398" customFormat="1" hidden="1" outlineLevel="1">
      <c r="A3657" s="1250"/>
      <c r="B3657" s="425"/>
      <c r="C3657" s="165" t="s">
        <v>2</v>
      </c>
      <c r="D3657" s="392">
        <v>6</v>
      </c>
      <c r="E3657" s="165"/>
      <c r="F3657" s="401">
        <f>3.36-0.615*2-0.61*2</f>
        <v>0.90999999999999992</v>
      </c>
      <c r="G3657" s="401">
        <v>0.23</v>
      </c>
      <c r="H3657" s="401">
        <v>0.2</v>
      </c>
      <c r="I3657" s="399">
        <f t="shared" si="135"/>
        <v>0.25</v>
      </c>
      <c r="J3657" s="455"/>
      <c r="K3657" s="1222"/>
      <c r="L3657" s="431"/>
      <c r="M3657" s="431"/>
      <c r="N3657" s="431"/>
    </row>
    <row r="3658" spans="1:14" s="398" customFormat="1" hidden="1" outlineLevel="1">
      <c r="A3658" s="1250"/>
      <c r="B3658" s="425"/>
      <c r="C3658" s="165" t="s">
        <v>2</v>
      </c>
      <c r="D3658" s="392">
        <v>1</v>
      </c>
      <c r="E3658" s="165"/>
      <c r="F3658" s="401">
        <f>2.745-0.61</f>
        <v>2.1350000000000002</v>
      </c>
      <c r="G3658" s="401">
        <v>0.23</v>
      </c>
      <c r="H3658" s="401">
        <v>0.2</v>
      </c>
      <c r="I3658" s="399">
        <f t="shared" si="135"/>
        <v>0.1</v>
      </c>
      <c r="J3658" s="455"/>
      <c r="K3658" s="1222"/>
      <c r="L3658" s="431"/>
      <c r="M3658" s="431"/>
      <c r="N3658" s="431"/>
    </row>
    <row r="3659" spans="1:14" s="398" customFormat="1" hidden="1" outlineLevel="1">
      <c r="A3659" s="1250"/>
      <c r="B3659" s="425" t="s">
        <v>140</v>
      </c>
      <c r="C3659" s="165" t="s">
        <v>2</v>
      </c>
      <c r="D3659" s="438">
        <v>4</v>
      </c>
      <c r="E3659" s="165"/>
      <c r="F3659" s="401">
        <v>3</v>
      </c>
      <c r="G3659" s="401">
        <v>0.38500000000000001</v>
      </c>
      <c r="H3659" s="401">
        <v>0.27500000000000002</v>
      </c>
      <c r="I3659" s="399">
        <f t="shared" si="135"/>
        <v>1.27</v>
      </c>
      <c r="J3659" s="455"/>
      <c r="K3659" s="1222"/>
      <c r="L3659" s="431"/>
      <c r="M3659" s="431"/>
      <c r="N3659" s="431"/>
    </row>
    <row r="3660" spans="1:14" s="398" customFormat="1" ht="34.5" hidden="1" outlineLevel="1">
      <c r="A3660" s="1250"/>
      <c r="B3660" s="425" t="s">
        <v>117</v>
      </c>
      <c r="C3660" s="165" t="s">
        <v>2</v>
      </c>
      <c r="D3660" s="392">
        <v>1</v>
      </c>
      <c r="E3660" s="165"/>
      <c r="F3660" s="401">
        <f>7.18+2+1.5+0.23*2</f>
        <v>11.14</v>
      </c>
      <c r="G3660" s="401">
        <v>0.23</v>
      </c>
      <c r="H3660" s="401">
        <v>0.2</v>
      </c>
      <c r="I3660" s="399">
        <f t="shared" si="135"/>
        <v>0.51</v>
      </c>
      <c r="J3660" s="455"/>
      <c r="K3660" s="1222"/>
      <c r="L3660" s="431"/>
      <c r="M3660" s="431"/>
      <c r="N3660" s="431"/>
    </row>
    <row r="3661" spans="1:14" s="398" customFormat="1" hidden="1" outlineLevel="1">
      <c r="A3661" s="1250"/>
      <c r="B3661" s="425" t="s">
        <v>118</v>
      </c>
      <c r="C3661" s="165" t="s">
        <v>2</v>
      </c>
      <c r="D3661" s="392">
        <v>1</v>
      </c>
      <c r="E3661" s="165"/>
      <c r="F3661" s="401">
        <f>7.18+1.5+0.23</f>
        <v>8.91</v>
      </c>
      <c r="G3661" s="401">
        <v>0.23</v>
      </c>
      <c r="H3661" s="401">
        <v>0.2</v>
      </c>
      <c r="I3661" s="399">
        <f t="shared" si="135"/>
        <v>0.41</v>
      </c>
      <c r="J3661" s="455"/>
      <c r="K3661" s="1222"/>
      <c r="L3661" s="431"/>
      <c r="M3661" s="431"/>
      <c r="N3661" s="431"/>
    </row>
    <row r="3662" spans="1:14" s="398" customFormat="1" hidden="1" outlineLevel="1">
      <c r="A3662" s="1250"/>
      <c r="B3662" s="425"/>
      <c r="C3662" s="165" t="s">
        <v>2</v>
      </c>
      <c r="D3662" s="392">
        <v>2</v>
      </c>
      <c r="E3662" s="165"/>
      <c r="F3662" s="401">
        <f>5.98+0.23</f>
        <v>6.2100000000000009</v>
      </c>
      <c r="G3662" s="401">
        <v>0.23</v>
      </c>
      <c r="H3662" s="401">
        <v>0.2</v>
      </c>
      <c r="I3662" s="399">
        <f t="shared" si="135"/>
        <v>0.56999999999999995</v>
      </c>
      <c r="J3662" s="455"/>
      <c r="K3662" s="1222"/>
      <c r="L3662" s="431"/>
      <c r="M3662" s="431"/>
      <c r="N3662" s="431"/>
    </row>
    <row r="3663" spans="1:14" s="398" customFormat="1" hidden="1" outlineLevel="1">
      <c r="A3663" s="1250"/>
      <c r="B3663" s="425"/>
      <c r="C3663" s="165" t="s">
        <v>2</v>
      </c>
      <c r="D3663" s="392">
        <v>2</v>
      </c>
      <c r="E3663" s="165"/>
      <c r="F3663" s="401">
        <f>5.08+0.23</f>
        <v>5.3100000000000005</v>
      </c>
      <c r="G3663" s="401">
        <v>0.23</v>
      </c>
      <c r="H3663" s="401">
        <v>0.2</v>
      </c>
      <c r="I3663" s="399">
        <f t="shared" si="135"/>
        <v>0.49</v>
      </c>
      <c r="J3663" s="455"/>
      <c r="K3663" s="1222"/>
      <c r="L3663" s="431"/>
      <c r="M3663" s="431"/>
      <c r="N3663" s="431"/>
    </row>
    <row r="3664" spans="1:14" s="398" customFormat="1" hidden="1" outlineLevel="1">
      <c r="A3664" s="1250"/>
      <c r="B3664" s="425"/>
      <c r="C3664" s="165" t="s">
        <v>2</v>
      </c>
      <c r="D3664" s="392">
        <v>2</v>
      </c>
      <c r="E3664" s="165"/>
      <c r="F3664" s="401">
        <f>4.18+0.23</f>
        <v>4.41</v>
      </c>
      <c r="G3664" s="401">
        <v>0.23</v>
      </c>
      <c r="H3664" s="401">
        <v>0.2</v>
      </c>
      <c r="I3664" s="399">
        <f t="shared" si="135"/>
        <v>0.41</v>
      </c>
      <c r="J3664" s="455"/>
      <c r="K3664" s="1222"/>
      <c r="L3664" s="431"/>
      <c r="M3664" s="431"/>
      <c r="N3664" s="431"/>
    </row>
    <row r="3665" spans="1:14" s="398" customFormat="1" hidden="1" outlineLevel="1">
      <c r="A3665" s="1250"/>
      <c r="B3665" s="425"/>
      <c r="C3665" s="165" t="s">
        <v>2</v>
      </c>
      <c r="D3665" s="392">
        <v>2</v>
      </c>
      <c r="E3665" s="165"/>
      <c r="F3665" s="401">
        <f>2.38+0.23</f>
        <v>2.61</v>
      </c>
      <c r="G3665" s="401">
        <v>0.23</v>
      </c>
      <c r="H3665" s="401">
        <v>0.2</v>
      </c>
      <c r="I3665" s="399">
        <f t="shared" si="135"/>
        <v>0.24</v>
      </c>
      <c r="J3665" s="455"/>
      <c r="K3665" s="1222"/>
      <c r="L3665" s="431"/>
      <c r="M3665" s="431"/>
      <c r="N3665" s="431"/>
    </row>
    <row r="3666" spans="1:14" s="398" customFormat="1" hidden="1" outlineLevel="1">
      <c r="A3666" s="1250"/>
      <c r="B3666" s="425"/>
      <c r="C3666" s="165" t="s">
        <v>2</v>
      </c>
      <c r="D3666" s="392">
        <v>2</v>
      </c>
      <c r="E3666" s="165"/>
      <c r="F3666" s="401">
        <f>4.48+0.23</f>
        <v>4.7100000000000009</v>
      </c>
      <c r="G3666" s="401">
        <v>0.23</v>
      </c>
      <c r="H3666" s="401">
        <v>0.2</v>
      </c>
      <c r="I3666" s="399">
        <f t="shared" si="135"/>
        <v>0.43</v>
      </c>
      <c r="J3666" s="455"/>
      <c r="K3666" s="1222"/>
      <c r="L3666" s="431"/>
      <c r="M3666" s="431"/>
      <c r="N3666" s="431"/>
    </row>
    <row r="3667" spans="1:14" s="398" customFormat="1" hidden="1" outlineLevel="1">
      <c r="A3667" s="1250"/>
      <c r="B3667" s="425"/>
      <c r="C3667" s="165" t="s">
        <v>2</v>
      </c>
      <c r="D3667" s="392">
        <v>2</v>
      </c>
      <c r="E3667" s="165"/>
      <c r="F3667" s="401">
        <f>2.38+0.23</f>
        <v>2.61</v>
      </c>
      <c r="G3667" s="401">
        <v>0.23</v>
      </c>
      <c r="H3667" s="401">
        <v>0.2</v>
      </c>
      <c r="I3667" s="399">
        <f t="shared" si="135"/>
        <v>0.24</v>
      </c>
      <c r="J3667" s="455"/>
      <c r="K3667" s="1222"/>
      <c r="L3667" s="431"/>
      <c r="M3667" s="431"/>
      <c r="N3667" s="431"/>
    </row>
    <row r="3668" spans="1:14" s="398" customFormat="1" hidden="1" outlineLevel="1">
      <c r="A3668" s="1250"/>
      <c r="B3668" s="425"/>
      <c r="C3668" s="165" t="s">
        <v>2</v>
      </c>
      <c r="D3668" s="392">
        <v>1</v>
      </c>
      <c r="E3668" s="165"/>
      <c r="F3668" s="401">
        <f>1.48+0.23</f>
        <v>1.71</v>
      </c>
      <c r="G3668" s="401">
        <v>0.23</v>
      </c>
      <c r="H3668" s="401">
        <v>0.2</v>
      </c>
      <c r="I3668" s="399">
        <f t="shared" si="135"/>
        <v>0.08</v>
      </c>
      <c r="J3668" s="455"/>
      <c r="K3668" s="1222"/>
      <c r="L3668" s="431"/>
      <c r="M3668" s="431"/>
      <c r="N3668" s="431"/>
    </row>
    <row r="3669" spans="1:14" s="398" customFormat="1" hidden="1" outlineLevel="1">
      <c r="A3669" s="1250"/>
      <c r="B3669" s="425"/>
      <c r="C3669" s="165" t="s">
        <v>2</v>
      </c>
      <c r="D3669" s="392">
        <v>1</v>
      </c>
      <c r="E3669" s="165"/>
      <c r="F3669" s="401">
        <f>3.48+0.23*2</f>
        <v>3.94</v>
      </c>
      <c r="G3669" s="401">
        <v>0.23</v>
      </c>
      <c r="H3669" s="401">
        <v>0.2</v>
      </c>
      <c r="I3669" s="399">
        <f t="shared" si="135"/>
        <v>0.18</v>
      </c>
      <c r="J3669" s="455"/>
      <c r="K3669" s="1222"/>
      <c r="L3669" s="431"/>
      <c r="M3669" s="431"/>
      <c r="N3669" s="431"/>
    </row>
    <row r="3670" spans="1:14" s="398" customFormat="1" ht="34.5" hidden="1" outlineLevel="1">
      <c r="A3670" s="1250"/>
      <c r="B3670" s="425" t="s">
        <v>141</v>
      </c>
      <c r="C3670" s="165" t="s">
        <v>2</v>
      </c>
      <c r="D3670" s="392">
        <v>3</v>
      </c>
      <c r="E3670" s="165"/>
      <c r="F3670" s="401">
        <v>0.61499999999999999</v>
      </c>
      <c r="G3670" s="401">
        <v>0.23</v>
      </c>
      <c r="H3670" s="401">
        <v>0.2</v>
      </c>
      <c r="I3670" s="399">
        <f t="shared" si="135"/>
        <v>0.08</v>
      </c>
      <c r="J3670" s="455"/>
      <c r="K3670" s="1222"/>
      <c r="L3670" s="431"/>
      <c r="M3670" s="431"/>
      <c r="N3670" s="431"/>
    </row>
    <row r="3671" spans="1:14" s="398" customFormat="1" hidden="1" outlineLevel="1">
      <c r="A3671" s="1250"/>
      <c r="B3671" s="425" t="s">
        <v>118</v>
      </c>
      <c r="C3671" s="165" t="s">
        <v>2</v>
      </c>
      <c r="D3671" s="392">
        <v>1</v>
      </c>
      <c r="E3671" s="165"/>
      <c r="F3671" s="401">
        <f>2.745+0.23</f>
        <v>2.9750000000000001</v>
      </c>
      <c r="G3671" s="401">
        <v>0.23</v>
      </c>
      <c r="H3671" s="401">
        <v>0.2</v>
      </c>
      <c r="I3671" s="399">
        <f t="shared" si="135"/>
        <v>0.14000000000000001</v>
      </c>
      <c r="J3671" s="455"/>
      <c r="K3671" s="1222"/>
      <c r="L3671" s="431"/>
      <c r="M3671" s="431"/>
      <c r="N3671" s="431"/>
    </row>
    <row r="3672" spans="1:14" s="398" customFormat="1" hidden="1" outlineLevel="1">
      <c r="A3672" s="1250"/>
      <c r="B3672" s="425"/>
      <c r="C3672" s="165" t="s">
        <v>2</v>
      </c>
      <c r="D3672" s="392">
        <v>7</v>
      </c>
      <c r="E3672" s="165"/>
      <c r="F3672" s="401">
        <f>2.13-0.23*2</f>
        <v>1.67</v>
      </c>
      <c r="G3672" s="401">
        <v>0.23</v>
      </c>
      <c r="H3672" s="401">
        <v>0.2</v>
      </c>
      <c r="I3672" s="399">
        <f t="shared" si="135"/>
        <v>0.54</v>
      </c>
      <c r="J3672" s="455"/>
      <c r="K3672" s="1222"/>
      <c r="L3672" s="431"/>
      <c r="M3672" s="431"/>
      <c r="N3672" s="431"/>
    </row>
    <row r="3673" spans="1:14" s="398" customFormat="1" hidden="1" outlineLevel="1">
      <c r="A3673" s="1250"/>
      <c r="B3673" s="425"/>
      <c r="C3673" s="165" t="s">
        <v>2</v>
      </c>
      <c r="D3673" s="392">
        <v>6</v>
      </c>
      <c r="E3673" s="165"/>
      <c r="F3673" s="401">
        <f>3.36</f>
        <v>3.36</v>
      </c>
      <c r="G3673" s="401">
        <v>0.23</v>
      </c>
      <c r="H3673" s="401">
        <v>0.2</v>
      </c>
      <c r="I3673" s="399">
        <f t="shared" si="135"/>
        <v>0.93</v>
      </c>
      <c r="J3673" s="455"/>
      <c r="K3673" s="1222"/>
      <c r="L3673" s="431"/>
      <c r="M3673" s="431"/>
      <c r="N3673" s="431"/>
    </row>
    <row r="3674" spans="1:14" s="398" customFormat="1" hidden="1" outlineLevel="1">
      <c r="A3674" s="1250"/>
      <c r="B3674" s="425" t="s">
        <v>119</v>
      </c>
      <c r="C3674" s="165" t="s">
        <v>2</v>
      </c>
      <c r="D3674" s="392">
        <v>1</v>
      </c>
      <c r="E3674" s="165"/>
      <c r="F3674" s="401">
        <f>7.4+0.23*2</f>
        <v>7.86</v>
      </c>
      <c r="G3674" s="401">
        <v>0.23</v>
      </c>
      <c r="H3674" s="401">
        <v>0.2</v>
      </c>
      <c r="I3674" s="399">
        <f t="shared" si="135"/>
        <v>0.36</v>
      </c>
      <c r="J3674" s="455"/>
      <c r="K3674" s="1222"/>
      <c r="L3674" s="431"/>
      <c r="M3674" s="431"/>
      <c r="N3674" s="431"/>
    </row>
    <row r="3675" spans="1:14" s="398" customFormat="1" hidden="1" outlineLevel="1">
      <c r="A3675" s="1250"/>
      <c r="B3675" s="425" t="s">
        <v>120</v>
      </c>
      <c r="C3675" s="165" t="s">
        <v>2</v>
      </c>
      <c r="D3675" s="392">
        <v>1</v>
      </c>
      <c r="E3675" s="165"/>
      <c r="F3675" s="401">
        <f>2.4+3+0.23</f>
        <v>5.6300000000000008</v>
      </c>
      <c r="G3675" s="401">
        <v>0.23</v>
      </c>
      <c r="H3675" s="401">
        <v>0.2</v>
      </c>
      <c r="I3675" s="399">
        <f t="shared" si="135"/>
        <v>0.26</v>
      </c>
      <c r="J3675" s="455"/>
      <c r="K3675" s="1222"/>
      <c r="L3675" s="431"/>
      <c r="M3675" s="431"/>
      <c r="N3675" s="431"/>
    </row>
    <row r="3676" spans="1:14" s="398" customFormat="1" hidden="1" outlineLevel="1">
      <c r="A3676" s="1250"/>
      <c r="B3676" s="425"/>
      <c r="C3676" s="165" t="s">
        <v>2</v>
      </c>
      <c r="D3676" s="392">
        <v>2</v>
      </c>
      <c r="E3676" s="165"/>
      <c r="F3676" s="401">
        <f>3+1.8+1.2+0.23</f>
        <v>6.23</v>
      </c>
      <c r="G3676" s="401">
        <v>0.23</v>
      </c>
      <c r="H3676" s="401">
        <v>0.2</v>
      </c>
      <c r="I3676" s="399">
        <f t="shared" si="135"/>
        <v>0.56999999999999995</v>
      </c>
      <c r="J3676" s="455"/>
      <c r="K3676" s="1222"/>
      <c r="L3676" s="431"/>
      <c r="M3676" s="431"/>
      <c r="N3676" s="431"/>
    </row>
    <row r="3677" spans="1:14" s="398" customFormat="1" hidden="1" outlineLevel="1">
      <c r="A3677" s="1250"/>
      <c r="B3677" s="425"/>
      <c r="C3677" s="165" t="s">
        <v>2</v>
      </c>
      <c r="D3677" s="392">
        <v>2</v>
      </c>
      <c r="E3677" s="165"/>
      <c r="F3677" s="401">
        <f>3+1.8+0.23</f>
        <v>5.03</v>
      </c>
      <c r="G3677" s="401">
        <v>0.23</v>
      </c>
      <c r="H3677" s="401">
        <v>0.2</v>
      </c>
      <c r="I3677" s="399">
        <f t="shared" si="135"/>
        <v>0.46</v>
      </c>
      <c r="J3677" s="455"/>
      <c r="K3677" s="1222"/>
      <c r="L3677" s="431"/>
      <c r="M3677" s="431"/>
      <c r="N3677" s="431"/>
    </row>
    <row r="3678" spans="1:14" s="398" customFormat="1" hidden="1" outlineLevel="1">
      <c r="A3678" s="1250"/>
      <c r="B3678" s="425"/>
      <c r="C3678" s="165" t="s">
        <v>2</v>
      </c>
      <c r="D3678" s="392">
        <v>2</v>
      </c>
      <c r="E3678" s="165"/>
      <c r="F3678" s="401">
        <f>1.8+3+1.2+0.23*2</f>
        <v>6.46</v>
      </c>
      <c r="G3678" s="401">
        <v>0.23</v>
      </c>
      <c r="H3678" s="401">
        <v>0.2</v>
      </c>
      <c r="I3678" s="399">
        <f t="shared" si="135"/>
        <v>0.59</v>
      </c>
      <c r="J3678" s="455"/>
      <c r="K3678" s="1222"/>
      <c r="L3678" s="431"/>
      <c r="M3678" s="431"/>
      <c r="N3678" s="431"/>
    </row>
    <row r="3679" spans="1:14" s="398" customFormat="1" hidden="1" outlineLevel="1">
      <c r="A3679" s="1250"/>
      <c r="B3679" s="425"/>
      <c r="C3679" s="165" t="s">
        <v>2</v>
      </c>
      <c r="D3679" s="392">
        <v>2</v>
      </c>
      <c r="E3679" s="165"/>
      <c r="F3679" s="401">
        <f>3+1.2+0.23</f>
        <v>4.4300000000000006</v>
      </c>
      <c r="G3679" s="401">
        <v>0.23</v>
      </c>
      <c r="H3679" s="401">
        <v>0.2</v>
      </c>
      <c r="I3679" s="399">
        <f t="shared" si="135"/>
        <v>0.41</v>
      </c>
      <c r="J3679" s="455"/>
      <c r="K3679" s="1222"/>
      <c r="L3679" s="431"/>
      <c r="M3679" s="431"/>
      <c r="N3679" s="431"/>
    </row>
    <row r="3680" spans="1:14" s="398" customFormat="1" hidden="1" outlineLevel="1">
      <c r="A3680" s="1250"/>
      <c r="B3680" s="425"/>
      <c r="C3680" s="165" t="s">
        <v>2</v>
      </c>
      <c r="D3680" s="392">
        <v>2</v>
      </c>
      <c r="E3680" s="165"/>
      <c r="F3680" s="401">
        <f>0.6+3+3.435-1.035-1.2+0.23</f>
        <v>5.03</v>
      </c>
      <c r="G3680" s="401">
        <v>0.23</v>
      </c>
      <c r="H3680" s="401">
        <v>0.2</v>
      </c>
      <c r="I3680" s="399">
        <f t="shared" si="135"/>
        <v>0.46</v>
      </c>
      <c r="J3680" s="455"/>
      <c r="K3680" s="1222"/>
      <c r="L3680" s="431"/>
      <c r="M3680" s="431"/>
      <c r="N3680" s="431"/>
    </row>
    <row r="3681" spans="1:14" s="398" customFormat="1" hidden="1" outlineLevel="1">
      <c r="A3681" s="1250"/>
      <c r="B3681" s="425"/>
      <c r="C3681" s="165" t="s">
        <v>2</v>
      </c>
      <c r="D3681" s="392">
        <v>2</v>
      </c>
      <c r="E3681" s="165"/>
      <c r="F3681" s="401">
        <f>1.2+3+0.23</f>
        <v>4.4300000000000006</v>
      </c>
      <c r="G3681" s="401">
        <v>0.23</v>
      </c>
      <c r="H3681" s="401">
        <v>0.2</v>
      </c>
      <c r="I3681" s="399">
        <f t="shared" si="135"/>
        <v>0.41</v>
      </c>
      <c r="J3681" s="455"/>
      <c r="K3681" s="1222"/>
      <c r="L3681" s="431"/>
      <c r="M3681" s="431"/>
      <c r="N3681" s="431"/>
    </row>
    <row r="3682" spans="1:14" s="398" customFormat="1" hidden="1" outlineLevel="1">
      <c r="A3682" s="1250"/>
      <c r="B3682" s="425"/>
      <c r="C3682" s="165" t="s">
        <v>2</v>
      </c>
      <c r="D3682" s="392">
        <v>1</v>
      </c>
      <c r="E3682" s="165"/>
      <c r="F3682" s="401">
        <f>0.6+1.2+3+1.2+0.23*2</f>
        <v>6.46</v>
      </c>
      <c r="G3682" s="401">
        <v>0.23</v>
      </c>
      <c r="H3682" s="401">
        <v>0.2</v>
      </c>
      <c r="I3682" s="399">
        <f t="shared" si="135"/>
        <v>0.3</v>
      </c>
      <c r="J3682" s="455"/>
      <c r="K3682" s="1222"/>
      <c r="L3682" s="431"/>
      <c r="M3682" s="431"/>
      <c r="N3682" s="431"/>
    </row>
    <row r="3683" spans="1:14" s="398" customFormat="1" hidden="1" outlineLevel="1">
      <c r="A3683" s="1250"/>
      <c r="B3683" s="425"/>
      <c r="C3683" s="165" t="s">
        <v>2</v>
      </c>
      <c r="D3683" s="392">
        <v>2</v>
      </c>
      <c r="E3683" s="165"/>
      <c r="F3683" s="401">
        <f>3+4.035-1.035+0.23</f>
        <v>6.23</v>
      </c>
      <c r="G3683" s="401">
        <v>0.23</v>
      </c>
      <c r="H3683" s="401">
        <v>0.2</v>
      </c>
      <c r="I3683" s="399">
        <f t="shared" si="135"/>
        <v>0.56999999999999995</v>
      </c>
      <c r="J3683" s="455"/>
      <c r="K3683" s="1222"/>
      <c r="L3683" s="431"/>
      <c r="M3683" s="431"/>
      <c r="N3683" s="431"/>
    </row>
    <row r="3684" spans="1:14" s="398" customFormat="1" hidden="1" outlineLevel="1">
      <c r="A3684" s="1250"/>
      <c r="B3684" s="425"/>
      <c r="C3684" s="165" t="s">
        <v>2</v>
      </c>
      <c r="D3684" s="392">
        <v>1</v>
      </c>
      <c r="E3684" s="165"/>
      <c r="F3684" s="401">
        <f>8+0.23*2</f>
        <v>8.4600000000000009</v>
      </c>
      <c r="G3684" s="401">
        <v>0.23</v>
      </c>
      <c r="H3684" s="401">
        <v>0.2</v>
      </c>
      <c r="I3684" s="399">
        <f t="shared" si="135"/>
        <v>0.39</v>
      </c>
      <c r="J3684" s="455"/>
      <c r="K3684" s="1222"/>
      <c r="L3684" s="431"/>
      <c r="M3684" s="431"/>
      <c r="N3684" s="431"/>
    </row>
    <row r="3685" spans="1:14" s="398" customFormat="1" hidden="1" outlineLevel="1">
      <c r="A3685" s="1250"/>
      <c r="B3685" s="425" t="s">
        <v>121</v>
      </c>
      <c r="C3685" s="165" t="s">
        <v>2</v>
      </c>
      <c r="D3685" s="392">
        <v>6</v>
      </c>
      <c r="E3685" s="165"/>
      <c r="F3685" s="401">
        <v>0.61499999999999999</v>
      </c>
      <c r="G3685" s="401">
        <v>0.23</v>
      </c>
      <c r="H3685" s="401">
        <v>0.2</v>
      </c>
      <c r="I3685" s="399">
        <f t="shared" ref="I3685:I3748" si="136">IF(D3685&lt;&gt;0,ROUND(PRODUCT(E3685:H3685)*D3685,2),"")</f>
        <v>0.17</v>
      </c>
      <c r="J3685" s="455"/>
      <c r="K3685" s="1222"/>
      <c r="L3685" s="431"/>
      <c r="M3685" s="431"/>
      <c r="N3685" s="431"/>
    </row>
    <row r="3686" spans="1:14" s="398" customFormat="1" hidden="1" outlineLevel="1">
      <c r="A3686" s="1250"/>
      <c r="B3686" s="425" t="s">
        <v>120</v>
      </c>
      <c r="C3686" s="165" t="s">
        <v>2</v>
      </c>
      <c r="D3686" s="438">
        <v>4</v>
      </c>
      <c r="E3686" s="165"/>
      <c r="F3686" s="401">
        <f>2.13-0.23*2</f>
        <v>1.67</v>
      </c>
      <c r="G3686" s="401">
        <v>0.23</v>
      </c>
      <c r="H3686" s="401">
        <v>0.2</v>
      </c>
      <c r="I3686" s="399">
        <f t="shared" si="136"/>
        <v>0.31</v>
      </c>
      <c r="J3686" s="455"/>
      <c r="K3686" s="1222"/>
      <c r="L3686" s="431"/>
      <c r="M3686" s="431"/>
      <c r="N3686" s="431"/>
    </row>
    <row r="3687" spans="1:14" s="398" customFormat="1" hidden="1" outlineLevel="1">
      <c r="A3687" s="1278"/>
      <c r="B3687" s="426"/>
      <c r="C3687" s="333" t="s">
        <v>2</v>
      </c>
      <c r="D3687" s="438">
        <v>1</v>
      </c>
      <c r="E3687" s="165"/>
      <c r="F3687" s="401">
        <f>3.165-1.23-0.23-0.23</f>
        <v>1.4750000000000001</v>
      </c>
      <c r="G3687" s="401">
        <v>0.23</v>
      </c>
      <c r="H3687" s="401">
        <v>0.2</v>
      </c>
      <c r="I3687" s="399">
        <f t="shared" si="136"/>
        <v>7.0000000000000007E-2</v>
      </c>
      <c r="J3687" s="456"/>
      <c r="K3687" s="1224"/>
      <c r="L3687" s="431"/>
      <c r="M3687" s="431"/>
      <c r="N3687" s="431"/>
    </row>
    <row r="3688" spans="1:14" s="398" customFormat="1" hidden="1" outlineLevel="1">
      <c r="A3688" s="1250"/>
      <c r="B3688" s="425"/>
      <c r="C3688" s="165" t="s">
        <v>2</v>
      </c>
      <c r="D3688" s="392">
        <v>3</v>
      </c>
      <c r="E3688" s="165"/>
      <c r="F3688" s="401">
        <v>3.36</v>
      </c>
      <c r="G3688" s="401">
        <v>0.23</v>
      </c>
      <c r="H3688" s="401">
        <v>0.2</v>
      </c>
      <c r="I3688" s="399">
        <f t="shared" si="136"/>
        <v>0.46</v>
      </c>
      <c r="J3688" s="455"/>
      <c r="K3688" s="1222"/>
      <c r="L3688" s="431"/>
      <c r="M3688" s="431"/>
      <c r="N3688" s="431"/>
    </row>
    <row r="3689" spans="1:14" s="398" customFormat="1" hidden="1" outlineLevel="1">
      <c r="A3689" s="1250"/>
      <c r="B3689" s="425"/>
      <c r="C3689" s="165" t="s">
        <v>2</v>
      </c>
      <c r="D3689" s="392">
        <v>4</v>
      </c>
      <c r="E3689" s="165"/>
      <c r="F3689" s="401">
        <f>2.745-0.23</f>
        <v>2.5150000000000001</v>
      </c>
      <c r="G3689" s="401">
        <v>0.23</v>
      </c>
      <c r="H3689" s="401">
        <v>0.2</v>
      </c>
      <c r="I3689" s="399">
        <f t="shared" si="136"/>
        <v>0.46</v>
      </c>
      <c r="J3689" s="455"/>
      <c r="K3689" s="1222"/>
      <c r="L3689" s="431"/>
      <c r="M3689" s="431"/>
      <c r="N3689" s="431"/>
    </row>
    <row r="3690" spans="1:14" s="398" customFormat="1" hidden="1" outlineLevel="1">
      <c r="A3690" s="1250"/>
      <c r="B3690" s="425"/>
      <c r="C3690" s="165" t="s">
        <v>2</v>
      </c>
      <c r="D3690" s="392">
        <v>3</v>
      </c>
      <c r="E3690" s="165"/>
      <c r="F3690" s="401">
        <f>1.825-0.23*2</f>
        <v>1.365</v>
      </c>
      <c r="G3690" s="401">
        <v>0.23</v>
      </c>
      <c r="H3690" s="401">
        <v>0.2</v>
      </c>
      <c r="I3690" s="399">
        <f t="shared" si="136"/>
        <v>0.19</v>
      </c>
      <c r="J3690" s="455"/>
      <c r="K3690" s="1222"/>
      <c r="L3690" s="431"/>
      <c r="M3690" s="431"/>
      <c r="N3690" s="431"/>
    </row>
    <row r="3691" spans="1:14" s="398" customFormat="1" hidden="1" outlineLevel="1">
      <c r="A3691" s="1250"/>
      <c r="B3691" s="425" t="s">
        <v>151</v>
      </c>
      <c r="C3691" s="165" t="s">
        <v>2</v>
      </c>
      <c r="D3691" s="392">
        <v>8</v>
      </c>
      <c r="E3691" s="165"/>
      <c r="F3691" s="401">
        <v>3</v>
      </c>
      <c r="G3691" s="401">
        <v>0.38500000000000001</v>
      </c>
      <c r="H3691" s="401">
        <v>0.27500000000000002</v>
      </c>
      <c r="I3691" s="399">
        <f t="shared" si="136"/>
        <v>2.54</v>
      </c>
      <c r="J3691" s="455"/>
      <c r="K3691" s="1222"/>
      <c r="L3691" s="431"/>
      <c r="M3691" s="431"/>
      <c r="N3691" s="431"/>
    </row>
    <row r="3692" spans="1:14" s="398" customFormat="1" ht="34.5" hidden="1" outlineLevel="1">
      <c r="A3692" s="1250"/>
      <c r="B3692" s="425" t="s">
        <v>122</v>
      </c>
      <c r="C3692" s="165" t="s">
        <v>2</v>
      </c>
      <c r="D3692" s="392">
        <v>1</v>
      </c>
      <c r="E3692" s="165"/>
      <c r="F3692" s="401">
        <f>7.66+2+0.23*2</f>
        <v>10.120000000000001</v>
      </c>
      <c r="G3692" s="401">
        <v>0.23</v>
      </c>
      <c r="H3692" s="401">
        <v>0.2</v>
      </c>
      <c r="I3692" s="399">
        <f t="shared" si="136"/>
        <v>0.47</v>
      </c>
      <c r="J3692" s="455"/>
      <c r="K3692" s="1222"/>
      <c r="L3692" s="431"/>
      <c r="M3692" s="431"/>
      <c r="N3692" s="431"/>
    </row>
    <row r="3693" spans="1:14" s="398" customFormat="1" hidden="1" outlineLevel="1">
      <c r="A3693" s="1250"/>
      <c r="B3693" s="425" t="s">
        <v>123</v>
      </c>
      <c r="C3693" s="165" t="s">
        <v>2</v>
      </c>
      <c r="D3693" s="392">
        <v>1</v>
      </c>
      <c r="E3693" s="165"/>
      <c r="F3693" s="401">
        <f>7.66+0.23</f>
        <v>7.8900000000000006</v>
      </c>
      <c r="G3693" s="401">
        <v>0.23</v>
      </c>
      <c r="H3693" s="401">
        <v>0.2</v>
      </c>
      <c r="I3693" s="399">
        <f t="shared" si="136"/>
        <v>0.36</v>
      </c>
      <c r="J3693" s="455"/>
      <c r="K3693" s="1222"/>
      <c r="L3693" s="431"/>
      <c r="M3693" s="431"/>
      <c r="N3693" s="431"/>
    </row>
    <row r="3694" spans="1:14" s="398" customFormat="1" hidden="1" outlineLevel="1">
      <c r="A3694" s="1250"/>
      <c r="B3694" s="425"/>
      <c r="C3694" s="165" t="s">
        <v>2</v>
      </c>
      <c r="D3694" s="392">
        <v>2</v>
      </c>
      <c r="E3694" s="165"/>
      <c r="F3694" s="401">
        <f>2+3+3.16+0.23</f>
        <v>8.39</v>
      </c>
      <c r="G3694" s="401">
        <v>0.23</v>
      </c>
      <c r="H3694" s="401">
        <v>0.2</v>
      </c>
      <c r="I3694" s="399">
        <f t="shared" si="136"/>
        <v>0.77</v>
      </c>
      <c r="J3694" s="455"/>
      <c r="K3694" s="1222"/>
      <c r="L3694" s="431"/>
      <c r="M3694" s="431"/>
      <c r="N3694" s="431"/>
    </row>
    <row r="3695" spans="1:14" s="398" customFormat="1" hidden="1" outlineLevel="1">
      <c r="A3695" s="1250"/>
      <c r="B3695" s="425"/>
      <c r="C3695" s="165" t="s">
        <v>2</v>
      </c>
      <c r="D3695" s="392">
        <v>2</v>
      </c>
      <c r="E3695" s="165"/>
      <c r="F3695" s="401">
        <f>2+4.16+0.23</f>
        <v>6.3900000000000006</v>
      </c>
      <c r="G3695" s="401">
        <v>0.23</v>
      </c>
      <c r="H3695" s="401">
        <v>0.2</v>
      </c>
      <c r="I3695" s="399">
        <f t="shared" si="136"/>
        <v>0.59</v>
      </c>
      <c r="J3695" s="455"/>
      <c r="K3695" s="1222"/>
      <c r="L3695" s="431"/>
      <c r="M3695" s="431"/>
      <c r="N3695" s="431"/>
    </row>
    <row r="3696" spans="1:14" s="398" customFormat="1" hidden="1" outlineLevel="1">
      <c r="A3696" s="1250"/>
      <c r="B3696" s="425"/>
      <c r="C3696" s="165" t="s">
        <v>2</v>
      </c>
      <c r="D3696" s="392">
        <v>1</v>
      </c>
      <c r="E3696" s="165"/>
      <c r="F3696" s="401">
        <f>10.16-2+0.23</f>
        <v>8.39</v>
      </c>
      <c r="G3696" s="401">
        <v>0.23</v>
      </c>
      <c r="H3696" s="401">
        <v>0.2</v>
      </c>
      <c r="I3696" s="399">
        <f t="shared" si="136"/>
        <v>0.39</v>
      </c>
      <c r="J3696" s="455"/>
      <c r="K3696" s="1222"/>
      <c r="L3696" s="431"/>
      <c r="M3696" s="431"/>
      <c r="N3696" s="431"/>
    </row>
    <row r="3697" spans="1:14" s="398" customFormat="1" hidden="1" outlineLevel="1">
      <c r="A3697" s="1250"/>
      <c r="B3697" s="425"/>
      <c r="C3697" s="165" t="s">
        <v>2</v>
      </c>
      <c r="D3697" s="392">
        <v>1</v>
      </c>
      <c r="E3697" s="165"/>
      <c r="F3697" s="401">
        <f>10.16+0.23*2</f>
        <v>10.620000000000001</v>
      </c>
      <c r="G3697" s="401">
        <v>0.23</v>
      </c>
      <c r="H3697" s="401">
        <v>0.2</v>
      </c>
      <c r="I3697" s="399">
        <f t="shared" si="136"/>
        <v>0.49</v>
      </c>
      <c r="J3697" s="455"/>
      <c r="K3697" s="1222"/>
      <c r="L3697" s="431"/>
      <c r="M3697" s="431"/>
      <c r="N3697" s="431"/>
    </row>
    <row r="3698" spans="1:14" s="398" customFormat="1" ht="34.5" hidden="1" outlineLevel="1">
      <c r="A3698" s="1250"/>
      <c r="B3698" s="425" t="s">
        <v>124</v>
      </c>
      <c r="C3698" s="165" t="s">
        <v>2</v>
      </c>
      <c r="D3698" s="392">
        <v>2</v>
      </c>
      <c r="E3698" s="165"/>
      <c r="F3698" s="401">
        <v>0.61499999999999999</v>
      </c>
      <c r="G3698" s="401">
        <v>0.23</v>
      </c>
      <c r="H3698" s="401">
        <v>0.2</v>
      </c>
      <c r="I3698" s="399">
        <f t="shared" si="136"/>
        <v>0.06</v>
      </c>
      <c r="J3698" s="455"/>
      <c r="K3698" s="1222"/>
      <c r="L3698" s="431"/>
      <c r="M3698" s="431"/>
      <c r="N3698" s="431"/>
    </row>
    <row r="3699" spans="1:14" s="398" customFormat="1" hidden="1" outlineLevel="1">
      <c r="A3699" s="1250"/>
      <c r="B3699" s="425" t="s">
        <v>123</v>
      </c>
      <c r="C3699" s="165" t="s">
        <v>2</v>
      </c>
      <c r="D3699" s="392">
        <v>3</v>
      </c>
      <c r="E3699" s="165"/>
      <c r="F3699" s="401">
        <v>3.36</v>
      </c>
      <c r="G3699" s="401">
        <v>0.23</v>
      </c>
      <c r="H3699" s="401">
        <v>0.2</v>
      </c>
      <c r="I3699" s="399">
        <f t="shared" si="136"/>
        <v>0.46</v>
      </c>
      <c r="J3699" s="455"/>
      <c r="K3699" s="1222"/>
      <c r="L3699" s="431"/>
      <c r="M3699" s="431"/>
      <c r="N3699" s="431"/>
    </row>
    <row r="3700" spans="1:14" s="398" customFormat="1" hidden="1" outlineLevel="1">
      <c r="A3700" s="1250"/>
      <c r="B3700" s="425"/>
      <c r="C3700" s="165" t="s">
        <v>2</v>
      </c>
      <c r="D3700" s="392">
        <v>3</v>
      </c>
      <c r="E3700" s="165"/>
      <c r="F3700" s="401">
        <f>2.13-0.23*2</f>
        <v>1.67</v>
      </c>
      <c r="G3700" s="401">
        <v>0.23</v>
      </c>
      <c r="H3700" s="401">
        <v>0.2</v>
      </c>
      <c r="I3700" s="399">
        <f t="shared" si="136"/>
        <v>0.23</v>
      </c>
      <c r="J3700" s="455"/>
      <c r="K3700" s="1222"/>
      <c r="L3700" s="431"/>
      <c r="M3700" s="431"/>
      <c r="N3700" s="431"/>
    </row>
    <row r="3701" spans="1:14" s="398" customFormat="1" ht="34.5" hidden="1" outlineLevel="1">
      <c r="A3701" s="1250"/>
      <c r="B3701" s="425" t="s">
        <v>124</v>
      </c>
      <c r="C3701" s="165" t="s">
        <v>2</v>
      </c>
      <c r="D3701" s="392">
        <v>7</v>
      </c>
      <c r="E3701" s="165"/>
      <c r="F3701" s="401">
        <v>0.61499999999999999</v>
      </c>
      <c r="G3701" s="401">
        <v>0.23</v>
      </c>
      <c r="H3701" s="401">
        <v>0.2</v>
      </c>
      <c r="I3701" s="399">
        <f t="shared" si="136"/>
        <v>0.2</v>
      </c>
      <c r="J3701" s="455"/>
      <c r="K3701" s="1222"/>
      <c r="L3701" s="431"/>
      <c r="M3701" s="431"/>
      <c r="N3701" s="431"/>
    </row>
    <row r="3702" spans="1:14" s="398" customFormat="1" hidden="1" outlineLevel="1">
      <c r="A3702" s="1250"/>
      <c r="B3702" s="425" t="s">
        <v>125</v>
      </c>
      <c r="C3702" s="165" t="s">
        <v>2</v>
      </c>
      <c r="D3702" s="392">
        <v>2</v>
      </c>
      <c r="E3702" s="165"/>
      <c r="F3702" s="401">
        <f>2.745-0.23</f>
        <v>2.5150000000000001</v>
      </c>
      <c r="G3702" s="401">
        <v>0.23</v>
      </c>
      <c r="H3702" s="401">
        <v>0.2</v>
      </c>
      <c r="I3702" s="399">
        <f t="shared" si="136"/>
        <v>0.23</v>
      </c>
      <c r="J3702" s="455"/>
      <c r="K3702" s="1222"/>
      <c r="L3702" s="431"/>
      <c r="M3702" s="431"/>
      <c r="N3702" s="431"/>
    </row>
    <row r="3703" spans="1:14" s="398" customFormat="1" hidden="1" outlineLevel="1">
      <c r="A3703" s="1250"/>
      <c r="B3703" s="425"/>
      <c r="C3703" s="165" t="s">
        <v>2</v>
      </c>
      <c r="D3703" s="438">
        <v>5</v>
      </c>
      <c r="E3703" s="165"/>
      <c r="F3703" s="401">
        <f>2.13-0.23*2</f>
        <v>1.67</v>
      </c>
      <c r="G3703" s="401">
        <v>0.23</v>
      </c>
      <c r="H3703" s="401">
        <v>0.2</v>
      </c>
      <c r="I3703" s="399">
        <f t="shared" si="136"/>
        <v>0.38</v>
      </c>
      <c r="J3703" s="455"/>
      <c r="K3703" s="1222"/>
      <c r="L3703" s="431"/>
      <c r="M3703" s="431"/>
      <c r="N3703" s="431"/>
    </row>
    <row r="3704" spans="1:14" s="398" customFormat="1" hidden="1" outlineLevel="1">
      <c r="A3704" s="1278"/>
      <c r="B3704" s="426"/>
      <c r="C3704" s="333" t="s">
        <v>2</v>
      </c>
      <c r="D3704" s="438">
        <v>1</v>
      </c>
      <c r="E3704" s="165"/>
      <c r="F3704" s="401">
        <f>1.52-0.23-0.23</f>
        <v>1.06</v>
      </c>
      <c r="G3704" s="401">
        <v>0.23</v>
      </c>
      <c r="H3704" s="401">
        <v>0.2</v>
      </c>
      <c r="I3704" s="399">
        <f t="shared" si="136"/>
        <v>0.05</v>
      </c>
      <c r="J3704" s="456"/>
      <c r="K3704" s="1224"/>
      <c r="L3704" s="431"/>
      <c r="M3704" s="431"/>
      <c r="N3704" s="431"/>
    </row>
    <row r="3705" spans="1:14" s="398" customFormat="1" hidden="1" outlineLevel="1">
      <c r="A3705" s="1250"/>
      <c r="B3705" s="425"/>
      <c r="C3705" s="165" t="s">
        <v>2</v>
      </c>
      <c r="D3705" s="392">
        <v>1</v>
      </c>
      <c r="E3705" s="165"/>
      <c r="F3705" s="401">
        <v>3.36</v>
      </c>
      <c r="G3705" s="401">
        <v>0.23</v>
      </c>
      <c r="H3705" s="401">
        <v>0.2</v>
      </c>
      <c r="I3705" s="399">
        <f t="shared" si="136"/>
        <v>0.15</v>
      </c>
      <c r="J3705" s="455"/>
      <c r="K3705" s="1222"/>
      <c r="L3705" s="431"/>
      <c r="M3705" s="431"/>
      <c r="N3705" s="431"/>
    </row>
    <row r="3706" spans="1:14" s="398" customFormat="1" ht="34.5" hidden="1" outlineLevel="1">
      <c r="A3706" s="1250"/>
      <c r="B3706" s="425" t="s">
        <v>126</v>
      </c>
      <c r="C3706" s="165" t="s">
        <v>2</v>
      </c>
      <c r="D3706" s="392">
        <v>1</v>
      </c>
      <c r="E3706" s="165"/>
      <c r="F3706" s="401">
        <f>3.16+3+2+1.2+0.23*2</f>
        <v>9.82</v>
      </c>
      <c r="G3706" s="401">
        <v>0.23</v>
      </c>
      <c r="H3706" s="401">
        <v>0.2</v>
      </c>
      <c r="I3706" s="399">
        <f t="shared" si="136"/>
        <v>0.45</v>
      </c>
      <c r="J3706" s="455"/>
      <c r="K3706" s="1222"/>
      <c r="L3706" s="431"/>
      <c r="M3706" s="431"/>
      <c r="N3706" s="431"/>
    </row>
    <row r="3707" spans="1:14" s="398" customFormat="1" hidden="1" outlineLevel="1">
      <c r="A3707" s="1250"/>
      <c r="B3707" s="425" t="s">
        <v>125</v>
      </c>
      <c r="C3707" s="165" t="s">
        <v>2</v>
      </c>
      <c r="D3707" s="392">
        <v>1</v>
      </c>
      <c r="E3707" s="165"/>
      <c r="F3707" s="401">
        <f>3.16+3+1.2+0.23*2</f>
        <v>7.82</v>
      </c>
      <c r="G3707" s="401">
        <v>0.23</v>
      </c>
      <c r="H3707" s="401">
        <v>0.2</v>
      </c>
      <c r="I3707" s="399">
        <f t="shared" si="136"/>
        <v>0.36</v>
      </c>
      <c r="J3707" s="455"/>
      <c r="K3707" s="1222"/>
      <c r="L3707" s="431"/>
      <c r="M3707" s="431"/>
      <c r="N3707" s="431"/>
    </row>
    <row r="3708" spans="1:14" s="398" customFormat="1" hidden="1" outlineLevel="1">
      <c r="A3708" s="1250"/>
      <c r="B3708" s="425"/>
      <c r="C3708" s="165" t="s">
        <v>2</v>
      </c>
      <c r="D3708" s="392">
        <v>1</v>
      </c>
      <c r="E3708" s="165"/>
      <c r="F3708" s="401">
        <f>3.16+3+0.23</f>
        <v>6.3900000000000006</v>
      </c>
      <c r="G3708" s="401">
        <v>0.23</v>
      </c>
      <c r="H3708" s="401">
        <v>0.2</v>
      </c>
      <c r="I3708" s="399">
        <f t="shared" si="136"/>
        <v>0.28999999999999998</v>
      </c>
      <c r="J3708" s="455"/>
      <c r="K3708" s="1222"/>
      <c r="L3708" s="431"/>
      <c r="M3708" s="431"/>
      <c r="N3708" s="431"/>
    </row>
    <row r="3709" spans="1:14" s="398" customFormat="1" hidden="1" outlineLevel="1">
      <c r="A3709" s="1250"/>
      <c r="B3709" s="425"/>
      <c r="C3709" s="165" t="s">
        <v>2</v>
      </c>
      <c r="D3709" s="392">
        <v>1</v>
      </c>
      <c r="E3709" s="165"/>
      <c r="F3709" s="401">
        <f>2.56+3+0.6+0.23*2</f>
        <v>6.62</v>
      </c>
      <c r="G3709" s="401">
        <v>0.23</v>
      </c>
      <c r="H3709" s="401">
        <v>0.2</v>
      </c>
      <c r="I3709" s="399">
        <f t="shared" si="136"/>
        <v>0.3</v>
      </c>
      <c r="J3709" s="455"/>
      <c r="K3709" s="1222"/>
      <c r="L3709" s="431"/>
      <c r="M3709" s="431"/>
      <c r="N3709" s="431"/>
    </row>
    <row r="3710" spans="1:14" s="398" customFormat="1" hidden="1" outlineLevel="1">
      <c r="A3710" s="1250"/>
      <c r="B3710" s="425"/>
      <c r="C3710" s="165" t="s">
        <v>2</v>
      </c>
      <c r="D3710" s="392">
        <v>2</v>
      </c>
      <c r="E3710" s="165"/>
      <c r="F3710" s="401">
        <f>3.08+2+1.28-2+0.23</f>
        <v>4.5900000000000007</v>
      </c>
      <c r="G3710" s="401">
        <v>0.23</v>
      </c>
      <c r="H3710" s="401">
        <v>0.2</v>
      </c>
      <c r="I3710" s="399">
        <f t="shared" si="136"/>
        <v>0.42</v>
      </c>
      <c r="J3710" s="455"/>
      <c r="K3710" s="1222"/>
      <c r="L3710" s="431"/>
      <c r="M3710" s="431"/>
      <c r="N3710" s="431"/>
    </row>
    <row r="3711" spans="1:14" s="398" customFormat="1" hidden="1" outlineLevel="1">
      <c r="A3711" s="1250"/>
      <c r="B3711" s="425"/>
      <c r="C3711" s="165" t="s">
        <v>2</v>
      </c>
      <c r="D3711" s="438">
        <v>1</v>
      </c>
      <c r="E3711" s="165"/>
      <c r="F3711" s="401">
        <f>2+4.06-2+0.23*1</f>
        <v>4.29</v>
      </c>
      <c r="G3711" s="401">
        <v>0.23</v>
      </c>
      <c r="H3711" s="401">
        <v>0.2</v>
      </c>
      <c r="I3711" s="399">
        <f t="shared" si="136"/>
        <v>0.2</v>
      </c>
      <c r="J3711" s="455"/>
      <c r="K3711" s="1222"/>
      <c r="L3711" s="431"/>
      <c r="M3711" s="431"/>
      <c r="N3711" s="431"/>
    </row>
    <row r="3712" spans="1:14" s="398" customFormat="1" hidden="1" outlineLevel="1">
      <c r="A3712" s="1250"/>
      <c r="B3712" s="425"/>
      <c r="C3712" s="165" t="s">
        <v>2</v>
      </c>
      <c r="D3712" s="392">
        <v>1</v>
      </c>
      <c r="E3712" s="165"/>
      <c r="F3712" s="401">
        <f>4.06+0.23</f>
        <v>4.29</v>
      </c>
      <c r="G3712" s="401">
        <v>0.23</v>
      </c>
      <c r="H3712" s="401">
        <v>0.2</v>
      </c>
      <c r="I3712" s="399">
        <f t="shared" si="136"/>
        <v>0.2</v>
      </c>
      <c r="J3712" s="455"/>
      <c r="K3712" s="1222"/>
      <c r="L3712" s="431"/>
      <c r="M3712" s="431"/>
      <c r="N3712" s="431"/>
    </row>
    <row r="3713" spans="1:14" s="398" customFormat="1" hidden="1" outlineLevel="1">
      <c r="A3713" s="1250"/>
      <c r="B3713" s="425"/>
      <c r="C3713" s="165" t="s">
        <v>2</v>
      </c>
      <c r="D3713" s="392">
        <v>1</v>
      </c>
      <c r="E3713" s="165"/>
      <c r="F3713" s="401">
        <f>0.4+3+0.66+0.23*2</f>
        <v>4.5199999999999996</v>
      </c>
      <c r="G3713" s="401">
        <v>0.23</v>
      </c>
      <c r="H3713" s="401">
        <v>0.2</v>
      </c>
      <c r="I3713" s="399">
        <f t="shared" si="136"/>
        <v>0.21</v>
      </c>
      <c r="J3713" s="455"/>
      <c r="K3713" s="1222"/>
      <c r="L3713" s="431"/>
      <c r="M3713" s="431"/>
      <c r="N3713" s="431"/>
    </row>
    <row r="3714" spans="1:14" s="398" customFormat="1" hidden="1" outlineLevel="1">
      <c r="A3714" s="1250"/>
      <c r="B3714" s="425"/>
      <c r="C3714" s="165" t="s">
        <v>2</v>
      </c>
      <c r="D3714" s="392">
        <v>1</v>
      </c>
      <c r="E3714" s="165"/>
      <c r="F3714" s="401">
        <f>4.2-2+0.23</f>
        <v>2.4300000000000002</v>
      </c>
      <c r="G3714" s="401">
        <v>0.23</v>
      </c>
      <c r="H3714" s="401">
        <v>0.2</v>
      </c>
      <c r="I3714" s="399">
        <f t="shared" si="136"/>
        <v>0.11</v>
      </c>
      <c r="J3714" s="455"/>
      <c r="K3714" s="1222"/>
      <c r="L3714" s="431"/>
      <c r="M3714" s="431"/>
      <c r="N3714" s="431"/>
    </row>
    <row r="3715" spans="1:14" s="398" customFormat="1" hidden="1" outlineLevel="1">
      <c r="A3715" s="1250"/>
      <c r="B3715" s="425"/>
      <c r="C3715" s="165" t="s">
        <v>2</v>
      </c>
      <c r="D3715" s="392">
        <v>1</v>
      </c>
      <c r="E3715" s="165"/>
      <c r="F3715" s="401">
        <f>4.2+0.23*2</f>
        <v>4.66</v>
      </c>
      <c r="G3715" s="401">
        <v>0.23</v>
      </c>
      <c r="H3715" s="401">
        <v>0.2</v>
      </c>
      <c r="I3715" s="399">
        <f t="shared" si="136"/>
        <v>0.21</v>
      </c>
      <c r="J3715" s="455"/>
      <c r="K3715" s="1222"/>
      <c r="L3715" s="431"/>
      <c r="M3715" s="431"/>
      <c r="N3715" s="431"/>
    </row>
    <row r="3716" spans="1:14" s="398" customFormat="1" hidden="1" outlineLevel="1">
      <c r="A3716" s="1250"/>
      <c r="B3716" s="425" t="s">
        <v>140</v>
      </c>
      <c r="C3716" s="165" t="s">
        <v>2</v>
      </c>
      <c r="D3716" s="392">
        <v>-41</v>
      </c>
      <c r="E3716" s="165"/>
      <c r="F3716" s="401">
        <v>3</v>
      </c>
      <c r="G3716" s="401">
        <v>0.23</v>
      </c>
      <c r="H3716" s="401">
        <v>0.2</v>
      </c>
      <c r="I3716" s="399">
        <f t="shared" si="136"/>
        <v>-5.66</v>
      </c>
      <c r="J3716" s="455"/>
      <c r="K3716" s="1222"/>
      <c r="L3716" s="431"/>
      <c r="M3716" s="431"/>
      <c r="N3716" s="431"/>
    </row>
    <row r="3717" spans="1:14" s="398" customFormat="1" hidden="1" outlineLevel="1">
      <c r="A3717" s="1250"/>
      <c r="B3717" s="425" t="s">
        <v>140</v>
      </c>
      <c r="C3717" s="165" t="s">
        <v>2</v>
      </c>
      <c r="D3717" s="392">
        <v>41</v>
      </c>
      <c r="E3717" s="165"/>
      <c r="F3717" s="401">
        <v>3</v>
      </c>
      <c r="G3717" s="401">
        <v>0.38500000000000001</v>
      </c>
      <c r="H3717" s="401">
        <v>0.27500000000000002</v>
      </c>
      <c r="I3717" s="399">
        <f t="shared" si="136"/>
        <v>13.02</v>
      </c>
      <c r="J3717" s="455"/>
      <c r="K3717" s="1222"/>
      <c r="L3717" s="431"/>
      <c r="M3717" s="431"/>
      <c r="N3717" s="431"/>
    </row>
    <row r="3718" spans="1:14" s="398" customFormat="1" ht="34.5" hidden="1" outlineLevel="1">
      <c r="A3718" s="1250"/>
      <c r="B3718" s="425" t="s">
        <v>127</v>
      </c>
      <c r="C3718" s="165"/>
      <c r="D3718" s="392"/>
      <c r="E3718" s="165"/>
      <c r="F3718" s="401"/>
      <c r="G3718" s="401"/>
      <c r="H3718" s="401"/>
      <c r="I3718" s="399" t="str">
        <f t="shared" si="136"/>
        <v/>
      </c>
      <c r="J3718" s="455"/>
      <c r="K3718" s="1222"/>
      <c r="L3718" s="431"/>
      <c r="M3718" s="431"/>
      <c r="N3718" s="431"/>
    </row>
    <row r="3719" spans="1:14" s="398" customFormat="1" hidden="1" outlineLevel="1">
      <c r="A3719" s="1250"/>
      <c r="B3719" s="425" t="s">
        <v>128</v>
      </c>
      <c r="C3719" s="165" t="s">
        <v>2</v>
      </c>
      <c r="D3719" s="392">
        <v>1</v>
      </c>
      <c r="E3719" s="165"/>
      <c r="F3719" s="401">
        <f>5.985+3+1.395+3+1.395+1.5+1.5+0.775+0.23</f>
        <v>18.779999999999998</v>
      </c>
      <c r="G3719" s="401">
        <v>0.23</v>
      </c>
      <c r="H3719" s="401">
        <v>0.2</v>
      </c>
      <c r="I3719" s="399">
        <f t="shared" si="136"/>
        <v>0.86</v>
      </c>
      <c r="J3719" s="455"/>
      <c r="K3719" s="1222"/>
      <c r="L3719" s="431"/>
      <c r="M3719" s="431"/>
      <c r="N3719" s="431"/>
    </row>
    <row r="3720" spans="1:14" s="398" customFormat="1" hidden="1" outlineLevel="1">
      <c r="A3720" s="1250"/>
      <c r="B3720" s="425"/>
      <c r="C3720" s="165" t="s">
        <v>2</v>
      </c>
      <c r="D3720" s="392">
        <v>1</v>
      </c>
      <c r="E3720" s="165"/>
      <c r="F3720" s="401">
        <f>1.48+0.23-0.23</f>
        <v>1.48</v>
      </c>
      <c r="G3720" s="401">
        <v>0.23</v>
      </c>
      <c r="H3720" s="401">
        <v>0.2</v>
      </c>
      <c r="I3720" s="399">
        <f t="shared" si="136"/>
        <v>7.0000000000000007E-2</v>
      </c>
      <c r="J3720" s="455"/>
      <c r="K3720" s="1222"/>
      <c r="L3720" s="431"/>
      <c r="M3720" s="431"/>
      <c r="N3720" s="431"/>
    </row>
    <row r="3721" spans="1:14" s="398" customFormat="1" hidden="1" outlineLevel="1">
      <c r="A3721" s="1250"/>
      <c r="B3721" s="425"/>
      <c r="C3721" s="165" t="s">
        <v>2</v>
      </c>
      <c r="D3721" s="392">
        <v>6</v>
      </c>
      <c r="E3721" s="165"/>
      <c r="F3721" s="401">
        <f>0.615+0.23+0.23</f>
        <v>1.075</v>
      </c>
      <c r="G3721" s="401">
        <v>0.23</v>
      </c>
      <c r="H3721" s="401">
        <v>0.2</v>
      </c>
      <c r="I3721" s="399">
        <f t="shared" si="136"/>
        <v>0.3</v>
      </c>
      <c r="J3721" s="455"/>
      <c r="K3721" s="1222"/>
      <c r="L3721" s="431"/>
      <c r="M3721" s="431"/>
      <c r="N3721" s="431"/>
    </row>
    <row r="3722" spans="1:14" s="398" customFormat="1" hidden="1" outlineLevel="1">
      <c r="A3722" s="1250"/>
      <c r="B3722" s="425"/>
      <c r="C3722" s="165" t="s">
        <v>2</v>
      </c>
      <c r="D3722" s="438">
        <v>3</v>
      </c>
      <c r="E3722" s="165"/>
      <c r="F3722" s="401">
        <f>2.44-0.23-0.23</f>
        <v>1.98</v>
      </c>
      <c r="G3722" s="401">
        <v>0.23</v>
      </c>
      <c r="H3722" s="401">
        <v>0.2</v>
      </c>
      <c r="I3722" s="399">
        <f t="shared" si="136"/>
        <v>0.27</v>
      </c>
      <c r="J3722" s="455"/>
      <c r="K3722" s="1222"/>
      <c r="L3722" s="431"/>
      <c r="M3722" s="431"/>
      <c r="N3722" s="431"/>
    </row>
    <row r="3723" spans="1:14" s="398" customFormat="1" hidden="1" outlineLevel="1">
      <c r="A3723" s="1250"/>
      <c r="B3723" s="425"/>
      <c r="C3723" s="165" t="s">
        <v>2</v>
      </c>
      <c r="D3723" s="438">
        <v>2</v>
      </c>
      <c r="E3723" s="165"/>
      <c r="F3723" s="401">
        <f>2.13-0.23-0.23</f>
        <v>1.67</v>
      </c>
      <c r="G3723" s="401">
        <v>0.23</v>
      </c>
      <c r="H3723" s="401">
        <v>0.2</v>
      </c>
      <c r="I3723" s="399">
        <f t="shared" si="136"/>
        <v>0.15</v>
      </c>
      <c r="J3723" s="455"/>
      <c r="K3723" s="1222"/>
      <c r="L3723" s="431"/>
      <c r="M3723" s="431"/>
      <c r="N3723" s="431"/>
    </row>
    <row r="3724" spans="1:14" s="398" customFormat="1" hidden="1" outlineLevel="1">
      <c r="A3724" s="1250"/>
      <c r="B3724" s="425"/>
      <c r="C3724" s="165" t="s">
        <v>2</v>
      </c>
      <c r="D3724" s="392">
        <v>1</v>
      </c>
      <c r="E3724" s="165"/>
      <c r="F3724" s="401">
        <f>1.3+0.23-0.23</f>
        <v>1.3</v>
      </c>
      <c r="G3724" s="401">
        <v>0.23</v>
      </c>
      <c r="H3724" s="401">
        <v>0.2</v>
      </c>
      <c r="I3724" s="399">
        <f t="shared" si="136"/>
        <v>0.06</v>
      </c>
      <c r="J3724" s="455"/>
      <c r="K3724" s="1222"/>
      <c r="L3724" s="431"/>
      <c r="M3724" s="431"/>
      <c r="N3724" s="431"/>
    </row>
    <row r="3725" spans="1:14" s="398" customFormat="1" ht="34.5" hidden="1" outlineLevel="1">
      <c r="A3725" s="1250"/>
      <c r="B3725" s="425" t="s">
        <v>129</v>
      </c>
      <c r="C3725" s="165" t="s">
        <v>2</v>
      </c>
      <c r="D3725" s="392"/>
      <c r="E3725" s="165"/>
      <c r="F3725" s="401"/>
      <c r="G3725" s="401">
        <v>0.23</v>
      </c>
      <c r="H3725" s="401">
        <v>0.2</v>
      </c>
      <c r="I3725" s="399" t="str">
        <f t="shared" si="136"/>
        <v/>
      </c>
      <c r="J3725" s="455"/>
      <c r="K3725" s="1222"/>
      <c r="L3725" s="431"/>
      <c r="M3725" s="431"/>
      <c r="N3725" s="431"/>
    </row>
    <row r="3726" spans="1:14" s="398" customFormat="1" hidden="1" outlineLevel="1">
      <c r="A3726" s="1250"/>
      <c r="B3726" s="425" t="s">
        <v>128</v>
      </c>
      <c r="C3726" s="165" t="s">
        <v>2</v>
      </c>
      <c r="D3726" s="392">
        <v>2</v>
      </c>
      <c r="E3726" s="165"/>
      <c r="F3726" s="401">
        <v>2</v>
      </c>
      <c r="G3726" s="401">
        <v>0.23</v>
      </c>
      <c r="H3726" s="401">
        <v>0.2</v>
      </c>
      <c r="I3726" s="399">
        <f t="shared" si="136"/>
        <v>0.18</v>
      </c>
      <c r="J3726" s="455"/>
      <c r="K3726" s="1222"/>
      <c r="L3726" s="431"/>
      <c r="M3726" s="431"/>
      <c r="N3726" s="431"/>
    </row>
    <row r="3727" spans="1:14" s="398" customFormat="1" hidden="1" outlineLevel="1">
      <c r="A3727" s="1250"/>
      <c r="B3727" s="425"/>
      <c r="C3727" s="165" t="s">
        <v>2</v>
      </c>
      <c r="D3727" s="392">
        <v>2</v>
      </c>
      <c r="E3727" s="165"/>
      <c r="F3727" s="401">
        <v>3</v>
      </c>
      <c r="G3727" s="401">
        <v>0.23</v>
      </c>
      <c r="H3727" s="401">
        <v>0.2</v>
      </c>
      <c r="I3727" s="399">
        <f t="shared" si="136"/>
        <v>0.28000000000000003</v>
      </c>
      <c r="J3727" s="455"/>
      <c r="K3727" s="1222"/>
      <c r="L3727" s="431"/>
      <c r="M3727" s="431"/>
      <c r="N3727" s="431"/>
    </row>
    <row r="3728" spans="1:14" s="398" customFormat="1" hidden="1" outlineLevel="1">
      <c r="A3728" s="1250"/>
      <c r="B3728" s="425"/>
      <c r="C3728" s="165" t="s">
        <v>2</v>
      </c>
      <c r="D3728" s="392">
        <v>2</v>
      </c>
      <c r="E3728" s="165"/>
      <c r="F3728" s="401">
        <v>4.6449999999999996</v>
      </c>
      <c r="G3728" s="401">
        <v>0.23</v>
      </c>
      <c r="H3728" s="401">
        <v>0.2</v>
      </c>
      <c r="I3728" s="399">
        <f t="shared" si="136"/>
        <v>0.43</v>
      </c>
      <c r="J3728" s="455"/>
      <c r="K3728" s="1222"/>
      <c r="L3728" s="431"/>
      <c r="M3728" s="431"/>
      <c r="N3728" s="431"/>
    </row>
    <row r="3729" spans="1:14" s="398" customFormat="1" hidden="1" outlineLevel="1">
      <c r="A3729" s="1250"/>
      <c r="B3729" s="425"/>
      <c r="C3729" s="165" t="s">
        <v>2</v>
      </c>
      <c r="D3729" s="392">
        <v>2</v>
      </c>
      <c r="E3729" s="165"/>
      <c r="F3729" s="401">
        <v>6.12</v>
      </c>
      <c r="G3729" s="401">
        <v>0.23</v>
      </c>
      <c r="H3729" s="401">
        <v>0.2</v>
      </c>
      <c r="I3729" s="399">
        <f t="shared" si="136"/>
        <v>0.56000000000000005</v>
      </c>
      <c r="J3729" s="455"/>
      <c r="K3729" s="1222"/>
      <c r="L3729" s="431"/>
      <c r="M3729" s="431"/>
      <c r="N3729" s="431"/>
    </row>
    <row r="3730" spans="1:14" s="398" customFormat="1" hidden="1" outlineLevel="1">
      <c r="A3730" s="1250"/>
      <c r="B3730" s="425"/>
      <c r="C3730" s="165" t="s">
        <v>2</v>
      </c>
      <c r="D3730" s="392">
        <v>2</v>
      </c>
      <c r="E3730" s="165"/>
      <c r="F3730" s="401">
        <v>6.95</v>
      </c>
      <c r="G3730" s="401">
        <v>0.23</v>
      </c>
      <c r="H3730" s="401">
        <v>0.2</v>
      </c>
      <c r="I3730" s="399">
        <f t="shared" si="136"/>
        <v>0.64</v>
      </c>
      <c r="J3730" s="455"/>
      <c r="K3730" s="1222"/>
      <c r="L3730" s="431"/>
      <c r="M3730" s="431"/>
      <c r="N3730" s="431"/>
    </row>
    <row r="3731" spans="1:14" s="398" customFormat="1" hidden="1" outlineLevel="1">
      <c r="A3731" s="1250"/>
      <c r="B3731" s="425"/>
      <c r="C3731" s="165" t="s">
        <v>2</v>
      </c>
      <c r="D3731" s="392">
        <v>2</v>
      </c>
      <c r="E3731" s="165"/>
      <c r="F3731" s="401">
        <v>6.38</v>
      </c>
      <c r="G3731" s="401">
        <v>0.23</v>
      </c>
      <c r="H3731" s="401">
        <v>0.2</v>
      </c>
      <c r="I3731" s="399">
        <f t="shared" si="136"/>
        <v>0.59</v>
      </c>
      <c r="J3731" s="455"/>
      <c r="K3731" s="1222"/>
      <c r="L3731" s="431"/>
      <c r="M3731" s="431"/>
      <c r="N3731" s="431"/>
    </row>
    <row r="3732" spans="1:14" s="398" customFormat="1" hidden="1" outlineLevel="1">
      <c r="A3732" s="1250"/>
      <c r="B3732" s="425"/>
      <c r="C3732" s="165" t="s">
        <v>2</v>
      </c>
      <c r="D3732" s="392">
        <v>2</v>
      </c>
      <c r="E3732" s="165"/>
      <c r="F3732" s="401">
        <v>5.3449999999999998</v>
      </c>
      <c r="G3732" s="401">
        <v>0.23</v>
      </c>
      <c r="H3732" s="401">
        <v>0.2</v>
      </c>
      <c r="I3732" s="399">
        <f t="shared" si="136"/>
        <v>0.49</v>
      </c>
      <c r="J3732" s="455"/>
      <c r="K3732" s="1222"/>
      <c r="L3732" s="431"/>
      <c r="M3732" s="431"/>
      <c r="N3732" s="431"/>
    </row>
    <row r="3733" spans="1:14" s="398" customFormat="1" hidden="1" outlineLevel="1">
      <c r="A3733" s="1250"/>
      <c r="B3733" s="425" t="s">
        <v>140</v>
      </c>
      <c r="C3733" s="165" t="s">
        <v>2</v>
      </c>
      <c r="D3733" s="392">
        <v>-3</v>
      </c>
      <c r="E3733" s="165"/>
      <c r="F3733" s="401">
        <v>3</v>
      </c>
      <c r="G3733" s="401">
        <v>0.23</v>
      </c>
      <c r="H3733" s="401">
        <v>0.2</v>
      </c>
      <c r="I3733" s="399">
        <f t="shared" si="136"/>
        <v>-0.41</v>
      </c>
      <c r="J3733" s="455"/>
      <c r="K3733" s="1222"/>
      <c r="L3733" s="431"/>
      <c r="M3733" s="431"/>
      <c r="N3733" s="431"/>
    </row>
    <row r="3734" spans="1:14" s="398" customFormat="1" hidden="1" outlineLevel="1">
      <c r="A3734" s="1250"/>
      <c r="B3734" s="425" t="s">
        <v>140</v>
      </c>
      <c r="C3734" s="165" t="s">
        <v>2</v>
      </c>
      <c r="D3734" s="392">
        <v>3</v>
      </c>
      <c r="E3734" s="165"/>
      <c r="F3734" s="401">
        <v>3</v>
      </c>
      <c r="G3734" s="401">
        <v>0.38500000000000001</v>
      </c>
      <c r="H3734" s="401">
        <v>0.27500000000000002</v>
      </c>
      <c r="I3734" s="399">
        <f t="shared" si="136"/>
        <v>0.95</v>
      </c>
      <c r="J3734" s="455"/>
      <c r="K3734" s="1222"/>
      <c r="L3734" s="431"/>
      <c r="M3734" s="431"/>
      <c r="N3734" s="431"/>
    </row>
    <row r="3735" spans="1:14" s="398" customFormat="1" hidden="1" outlineLevel="1">
      <c r="A3735" s="1250"/>
      <c r="B3735" s="425"/>
      <c r="C3735" s="165"/>
      <c r="D3735" s="392"/>
      <c r="E3735" s="165"/>
      <c r="F3735" s="401"/>
      <c r="G3735" s="401"/>
      <c r="H3735" s="401"/>
      <c r="I3735" s="399" t="str">
        <f t="shared" si="136"/>
        <v/>
      </c>
      <c r="J3735" s="455"/>
      <c r="K3735" s="1222"/>
      <c r="L3735" s="431"/>
      <c r="M3735" s="431"/>
      <c r="N3735" s="431"/>
    </row>
    <row r="3736" spans="1:14" s="398" customFormat="1" hidden="1" outlineLevel="1">
      <c r="A3736" s="1250"/>
      <c r="B3736" s="425" t="s">
        <v>132</v>
      </c>
      <c r="C3736" s="165" t="s">
        <v>2</v>
      </c>
      <c r="D3736" s="392">
        <v>1</v>
      </c>
      <c r="E3736" s="165"/>
      <c r="F3736" s="401">
        <f>34.935</f>
        <v>34.935000000000002</v>
      </c>
      <c r="G3736" s="401">
        <v>0.23</v>
      </c>
      <c r="H3736" s="401">
        <v>0.2</v>
      </c>
      <c r="I3736" s="399">
        <f t="shared" si="136"/>
        <v>1.61</v>
      </c>
      <c r="J3736" s="455"/>
      <c r="K3736" s="1222"/>
      <c r="L3736" s="431"/>
      <c r="M3736" s="431"/>
      <c r="N3736" s="431"/>
    </row>
    <row r="3737" spans="1:14" s="398" customFormat="1" hidden="1" outlineLevel="1">
      <c r="A3737" s="1250"/>
      <c r="B3737" s="425" t="s">
        <v>132</v>
      </c>
      <c r="C3737" s="165" t="s">
        <v>2</v>
      </c>
      <c r="D3737" s="392">
        <v>1</v>
      </c>
      <c r="E3737" s="165"/>
      <c r="F3737" s="401">
        <v>15</v>
      </c>
      <c r="G3737" s="401">
        <v>0.23</v>
      </c>
      <c r="H3737" s="401">
        <v>0.2</v>
      </c>
      <c r="I3737" s="399">
        <f t="shared" si="136"/>
        <v>0.69</v>
      </c>
      <c r="J3737" s="455"/>
      <c r="K3737" s="1222"/>
      <c r="L3737" s="431"/>
      <c r="M3737" s="431"/>
      <c r="N3737" s="431"/>
    </row>
    <row r="3738" spans="1:14" s="398" customFormat="1" hidden="1" outlineLevel="1">
      <c r="A3738" s="1250"/>
      <c r="B3738" s="425" t="s">
        <v>133</v>
      </c>
      <c r="C3738" s="165" t="s">
        <v>2</v>
      </c>
      <c r="D3738" s="392">
        <v>1</v>
      </c>
      <c r="E3738" s="165"/>
      <c r="F3738" s="401">
        <v>31.4</v>
      </c>
      <c r="G3738" s="401">
        <v>0.23</v>
      </c>
      <c r="H3738" s="401">
        <v>0.2</v>
      </c>
      <c r="I3738" s="399">
        <f t="shared" si="136"/>
        <v>1.44</v>
      </c>
      <c r="J3738" s="455"/>
      <c r="K3738" s="1222"/>
      <c r="L3738" s="431"/>
      <c r="M3738" s="431"/>
      <c r="N3738" s="431"/>
    </row>
    <row r="3739" spans="1:14" s="398" customFormat="1" hidden="1" outlineLevel="1">
      <c r="A3739" s="1250"/>
      <c r="B3739" s="425" t="s">
        <v>134</v>
      </c>
      <c r="C3739" s="165" t="s">
        <v>2</v>
      </c>
      <c r="D3739" s="392">
        <v>1</v>
      </c>
      <c r="E3739" s="165"/>
      <c r="F3739" s="401">
        <v>42.55</v>
      </c>
      <c r="G3739" s="401">
        <v>0.23</v>
      </c>
      <c r="H3739" s="401">
        <v>0.2</v>
      </c>
      <c r="I3739" s="399">
        <f t="shared" si="136"/>
        <v>1.96</v>
      </c>
      <c r="J3739" s="455"/>
      <c r="K3739" s="1222"/>
      <c r="L3739" s="431"/>
      <c r="M3739" s="431"/>
      <c r="N3739" s="431"/>
    </row>
    <row r="3740" spans="1:14" s="398" customFormat="1" hidden="1" outlineLevel="1">
      <c r="A3740" s="1250"/>
      <c r="B3740" s="425" t="s">
        <v>135</v>
      </c>
      <c r="C3740" s="165" t="s">
        <v>2</v>
      </c>
      <c r="D3740" s="392">
        <v>2</v>
      </c>
      <c r="E3740" s="165"/>
      <c r="F3740" s="401">
        <v>31.44</v>
      </c>
      <c r="G3740" s="401">
        <v>0.23</v>
      </c>
      <c r="H3740" s="401">
        <v>0.2</v>
      </c>
      <c r="I3740" s="399">
        <f t="shared" si="136"/>
        <v>2.89</v>
      </c>
      <c r="J3740" s="455"/>
      <c r="K3740" s="1222"/>
      <c r="L3740" s="431"/>
      <c r="M3740" s="431"/>
      <c r="N3740" s="431"/>
    </row>
    <row r="3741" spans="1:14" s="398" customFormat="1" hidden="1" outlineLevel="1">
      <c r="A3741" s="1250"/>
      <c r="B3741" s="425" t="s">
        <v>136</v>
      </c>
      <c r="C3741" s="165" t="s">
        <v>2</v>
      </c>
      <c r="D3741" s="392">
        <v>6</v>
      </c>
      <c r="E3741" s="165"/>
      <c r="F3741" s="401">
        <f>4.5+0.15*2</f>
        <v>4.8</v>
      </c>
      <c r="G3741" s="401">
        <f>1+0.15</f>
        <v>1.1499999999999999</v>
      </c>
      <c r="H3741" s="401">
        <v>0.3</v>
      </c>
      <c r="I3741" s="399">
        <f t="shared" si="136"/>
        <v>9.94</v>
      </c>
      <c r="J3741" s="455"/>
      <c r="K3741" s="1222"/>
      <c r="L3741" s="431"/>
      <c r="M3741" s="431"/>
      <c r="N3741" s="431"/>
    </row>
    <row r="3742" spans="1:14" s="398" customFormat="1" hidden="1" outlineLevel="1">
      <c r="A3742" s="1250"/>
      <c r="B3742" s="425"/>
      <c r="C3742" s="165" t="s">
        <v>2</v>
      </c>
      <c r="D3742" s="438">
        <v>2</v>
      </c>
      <c r="E3742" s="165"/>
      <c r="F3742" s="401">
        <f>4.5+0.15*2</f>
        <v>4.8</v>
      </c>
      <c r="G3742" s="401">
        <f>1+0.15*2</f>
        <v>1.3</v>
      </c>
      <c r="H3742" s="401">
        <v>0.3</v>
      </c>
      <c r="I3742" s="399">
        <f t="shared" si="136"/>
        <v>3.74</v>
      </c>
      <c r="J3742" s="455"/>
      <c r="K3742" s="1222"/>
      <c r="L3742" s="431"/>
      <c r="M3742" s="431"/>
      <c r="N3742" s="431"/>
    </row>
    <row r="3743" spans="1:14" s="398" customFormat="1" hidden="1" outlineLevel="1">
      <c r="A3743" s="1250"/>
      <c r="B3743" s="425" t="s">
        <v>137</v>
      </c>
      <c r="C3743" s="165" t="s">
        <v>2</v>
      </c>
      <c r="D3743" s="392">
        <v>6</v>
      </c>
      <c r="E3743" s="165"/>
      <c r="F3743" s="401">
        <f>4.5+0.15*2</f>
        <v>4.8</v>
      </c>
      <c r="G3743" s="401">
        <f>1+0.15</f>
        <v>1.1499999999999999</v>
      </c>
      <c r="H3743" s="401">
        <v>0.3</v>
      </c>
      <c r="I3743" s="399">
        <f t="shared" si="136"/>
        <v>9.94</v>
      </c>
      <c r="J3743" s="455"/>
      <c r="K3743" s="1222"/>
      <c r="L3743" s="431"/>
      <c r="M3743" s="431"/>
      <c r="N3743" s="431"/>
    </row>
    <row r="3744" spans="1:14" s="398" customFormat="1" hidden="1" outlineLevel="1">
      <c r="A3744" s="1250"/>
      <c r="B3744" s="425"/>
      <c r="C3744" s="165" t="s">
        <v>2</v>
      </c>
      <c r="D3744" s="438">
        <v>2</v>
      </c>
      <c r="E3744" s="165"/>
      <c r="F3744" s="401">
        <f>4.5+0.15*2</f>
        <v>4.8</v>
      </c>
      <c r="G3744" s="401">
        <f>1+0.15*2</f>
        <v>1.3</v>
      </c>
      <c r="H3744" s="401">
        <v>0.3</v>
      </c>
      <c r="I3744" s="399">
        <f t="shared" si="136"/>
        <v>3.74</v>
      </c>
      <c r="J3744" s="455"/>
      <c r="K3744" s="1222"/>
      <c r="L3744" s="431"/>
      <c r="M3744" s="431"/>
      <c r="N3744" s="431"/>
    </row>
    <row r="3745" spans="1:14" s="462" customFormat="1" ht="34.5" hidden="1" outlineLevel="1" collapsed="1">
      <c r="A3745" s="1261"/>
      <c r="B3745" s="260" t="s">
        <v>323</v>
      </c>
      <c r="C3745" s="457"/>
      <c r="D3745" s="440"/>
      <c r="E3745" s="439"/>
      <c r="F3745" s="1350"/>
      <c r="G3745" s="1350"/>
      <c r="H3745" s="1350"/>
      <c r="I3745" s="399" t="str">
        <f t="shared" si="136"/>
        <v/>
      </c>
      <c r="J3745" s="442"/>
      <c r="K3745" s="1262"/>
      <c r="L3745" s="461"/>
      <c r="M3745" s="461"/>
      <c r="N3745" s="461"/>
    </row>
    <row r="3746" spans="1:14" s="462" customFormat="1" hidden="1" outlineLevel="1">
      <c r="A3746" s="1261"/>
      <c r="B3746" s="260"/>
      <c r="C3746" s="457"/>
      <c r="D3746" s="440"/>
      <c r="E3746" s="439"/>
      <c r="F3746" s="1350"/>
      <c r="G3746" s="1350"/>
      <c r="H3746" s="1350"/>
      <c r="I3746" s="399" t="str">
        <f t="shared" si="136"/>
        <v/>
      </c>
      <c r="J3746" s="442"/>
      <c r="K3746" s="1262"/>
      <c r="L3746" s="461"/>
      <c r="M3746" s="461"/>
      <c r="N3746" s="461"/>
    </row>
    <row r="3747" spans="1:14" s="462" customFormat="1" hidden="1" outlineLevel="1">
      <c r="A3747" s="1261"/>
      <c r="B3747" s="260" t="s">
        <v>324</v>
      </c>
      <c r="C3747" s="457"/>
      <c r="D3747" s="440"/>
      <c r="E3747" s="439"/>
      <c r="F3747" s="1350"/>
      <c r="G3747" s="1350"/>
      <c r="H3747" s="1350"/>
      <c r="I3747" s="399" t="str">
        <f t="shared" si="136"/>
        <v/>
      </c>
      <c r="J3747" s="442"/>
      <c r="K3747" s="1262"/>
      <c r="L3747" s="461"/>
      <c r="M3747" s="461"/>
      <c r="N3747" s="461"/>
    </row>
    <row r="3748" spans="1:14" s="462" customFormat="1" hidden="1" outlineLevel="1">
      <c r="A3748" s="1261"/>
      <c r="B3748" s="260"/>
      <c r="C3748" s="457"/>
      <c r="D3748" s="440"/>
      <c r="E3748" s="439"/>
      <c r="F3748" s="1350"/>
      <c r="G3748" s="1350"/>
      <c r="H3748" s="1350"/>
      <c r="I3748" s="399" t="str">
        <f t="shared" si="136"/>
        <v/>
      </c>
      <c r="J3748" s="442"/>
      <c r="K3748" s="1262"/>
      <c r="L3748" s="461"/>
      <c r="M3748" s="461"/>
      <c r="N3748" s="461"/>
    </row>
    <row r="3749" spans="1:14" s="462" customFormat="1" hidden="1" outlineLevel="1">
      <c r="A3749" s="1261"/>
      <c r="B3749" s="260" t="s">
        <v>325</v>
      </c>
      <c r="C3749" s="457" t="s">
        <v>2</v>
      </c>
      <c r="D3749" s="440">
        <v>1</v>
      </c>
      <c r="E3749" s="439">
        <v>1</v>
      </c>
      <c r="F3749" s="1350">
        <v>3.89</v>
      </c>
      <c r="G3749" s="1350">
        <v>0.23</v>
      </c>
      <c r="H3749" s="1350">
        <v>0.2</v>
      </c>
      <c r="I3749" s="399">
        <f t="shared" ref="I3749:I3812" si="137">IF(D3749&lt;&gt;0,ROUND(PRODUCT(E3749:H3749)*D3749,2),"")</f>
        <v>0.18</v>
      </c>
      <c r="J3749" s="442"/>
      <c r="K3749" s="1263"/>
      <c r="L3749" s="461"/>
      <c r="M3749" s="461"/>
      <c r="N3749" s="461"/>
    </row>
    <row r="3750" spans="1:14" s="462" customFormat="1" hidden="1" outlineLevel="1">
      <c r="A3750" s="1261"/>
      <c r="B3750" s="260"/>
      <c r="C3750" s="457"/>
      <c r="D3750" s="440"/>
      <c r="E3750" s="439"/>
      <c r="F3750" s="1350"/>
      <c r="G3750" s="1350"/>
      <c r="H3750" s="1350"/>
      <c r="I3750" s="399" t="str">
        <f t="shared" si="137"/>
        <v/>
      </c>
      <c r="J3750" s="442"/>
      <c r="K3750" s="1263"/>
      <c r="L3750" s="461"/>
      <c r="M3750" s="461"/>
      <c r="N3750" s="461"/>
    </row>
    <row r="3751" spans="1:14" s="462" customFormat="1" hidden="1" outlineLevel="1">
      <c r="A3751" s="1261"/>
      <c r="B3751" s="260"/>
      <c r="C3751" s="457" t="s">
        <v>2</v>
      </c>
      <c r="D3751" s="440">
        <v>1</v>
      </c>
      <c r="E3751" s="439">
        <v>1</v>
      </c>
      <c r="F3751" s="1350">
        <v>1.66</v>
      </c>
      <c r="G3751" s="1350">
        <v>0.23</v>
      </c>
      <c r="H3751" s="1350">
        <v>0.2</v>
      </c>
      <c r="I3751" s="399">
        <f t="shared" si="137"/>
        <v>0.08</v>
      </c>
      <c r="J3751" s="442"/>
      <c r="K3751" s="1263"/>
      <c r="L3751" s="461"/>
      <c r="M3751" s="461"/>
      <c r="N3751" s="461"/>
    </row>
    <row r="3752" spans="1:14" s="462" customFormat="1" hidden="1" outlineLevel="1">
      <c r="A3752" s="1261"/>
      <c r="B3752" s="260"/>
      <c r="C3752" s="457"/>
      <c r="D3752" s="440"/>
      <c r="E3752" s="439"/>
      <c r="F3752" s="1350"/>
      <c r="G3752" s="1350"/>
      <c r="H3752" s="1350"/>
      <c r="I3752" s="399" t="str">
        <f t="shared" si="137"/>
        <v/>
      </c>
      <c r="J3752" s="442"/>
      <c r="K3752" s="1263"/>
      <c r="L3752" s="461"/>
      <c r="M3752" s="461"/>
      <c r="N3752" s="461"/>
    </row>
    <row r="3753" spans="1:14" s="462" customFormat="1" hidden="1" outlineLevel="1">
      <c r="A3753" s="1261"/>
      <c r="B3753" s="260" t="s">
        <v>172</v>
      </c>
      <c r="C3753" s="457" t="s">
        <v>2</v>
      </c>
      <c r="D3753" s="440">
        <v>1</v>
      </c>
      <c r="E3753" s="439">
        <v>1</v>
      </c>
      <c r="F3753" s="1350">
        <v>2.23</v>
      </c>
      <c r="G3753" s="1350">
        <v>0.23</v>
      </c>
      <c r="H3753" s="1350">
        <v>0.2</v>
      </c>
      <c r="I3753" s="399">
        <f t="shared" si="137"/>
        <v>0.1</v>
      </c>
      <c r="J3753" s="442"/>
      <c r="K3753" s="1263"/>
      <c r="L3753" s="461"/>
      <c r="M3753" s="461"/>
      <c r="N3753" s="461"/>
    </row>
    <row r="3754" spans="1:14" s="462" customFormat="1" hidden="1" outlineLevel="1">
      <c r="A3754" s="1261"/>
      <c r="B3754" s="260"/>
      <c r="C3754" s="457"/>
      <c r="D3754" s="440"/>
      <c r="E3754" s="439"/>
      <c r="F3754" s="1350"/>
      <c r="G3754" s="1350"/>
      <c r="H3754" s="1350"/>
      <c r="I3754" s="399" t="str">
        <f t="shared" si="137"/>
        <v/>
      </c>
      <c r="J3754" s="442"/>
      <c r="K3754" s="1263"/>
      <c r="L3754" s="461"/>
      <c r="M3754" s="461"/>
      <c r="N3754" s="461"/>
    </row>
    <row r="3755" spans="1:14" s="462" customFormat="1" hidden="1" outlineLevel="1">
      <c r="A3755" s="1261"/>
      <c r="B3755" s="260"/>
      <c r="C3755" s="457" t="s">
        <v>2</v>
      </c>
      <c r="D3755" s="440">
        <v>1</v>
      </c>
      <c r="E3755" s="439">
        <v>1</v>
      </c>
      <c r="F3755" s="1350">
        <v>1.66</v>
      </c>
      <c r="G3755" s="1350">
        <v>0.23</v>
      </c>
      <c r="H3755" s="1350">
        <v>0.2</v>
      </c>
      <c r="I3755" s="399">
        <f t="shared" si="137"/>
        <v>0.08</v>
      </c>
      <c r="J3755" s="442"/>
      <c r="K3755" s="1263"/>
      <c r="L3755" s="461"/>
      <c r="M3755" s="461"/>
      <c r="N3755" s="461"/>
    </row>
    <row r="3756" spans="1:14" s="462" customFormat="1" hidden="1" outlineLevel="1">
      <c r="A3756" s="1261"/>
      <c r="B3756" s="260"/>
      <c r="C3756" s="457"/>
      <c r="D3756" s="440"/>
      <c r="E3756" s="439"/>
      <c r="F3756" s="1350"/>
      <c r="G3756" s="1350"/>
      <c r="H3756" s="1350"/>
      <c r="I3756" s="399" t="str">
        <f t="shared" si="137"/>
        <v/>
      </c>
      <c r="J3756" s="442"/>
      <c r="K3756" s="1263"/>
      <c r="L3756" s="461"/>
      <c r="M3756" s="461"/>
      <c r="N3756" s="461"/>
    </row>
    <row r="3757" spans="1:14" s="462" customFormat="1" hidden="1" outlineLevel="1">
      <c r="A3757" s="1261"/>
      <c r="B3757" s="260"/>
      <c r="C3757" s="457" t="s">
        <v>2</v>
      </c>
      <c r="D3757" s="440">
        <v>1</v>
      </c>
      <c r="E3757" s="439">
        <v>1</v>
      </c>
      <c r="F3757" s="1350">
        <v>1.96</v>
      </c>
      <c r="G3757" s="1350">
        <v>0.23</v>
      </c>
      <c r="H3757" s="1350">
        <v>0.2</v>
      </c>
      <c r="I3757" s="399">
        <f t="shared" si="137"/>
        <v>0.09</v>
      </c>
      <c r="J3757" s="442"/>
      <c r="K3757" s="1263"/>
      <c r="L3757" s="461"/>
      <c r="M3757" s="461"/>
      <c r="N3757" s="461"/>
    </row>
    <row r="3758" spans="1:14" s="462" customFormat="1" hidden="1" outlineLevel="1">
      <c r="A3758" s="1261"/>
      <c r="B3758" s="260"/>
      <c r="C3758" s="457"/>
      <c r="D3758" s="440"/>
      <c r="E3758" s="439"/>
      <c r="F3758" s="1350"/>
      <c r="G3758" s="1350"/>
      <c r="H3758" s="1350"/>
      <c r="I3758" s="399" t="str">
        <f t="shared" si="137"/>
        <v/>
      </c>
      <c r="J3758" s="442"/>
      <c r="K3758" s="1263"/>
      <c r="L3758" s="461"/>
      <c r="M3758" s="461"/>
      <c r="N3758" s="461"/>
    </row>
    <row r="3759" spans="1:14" s="462" customFormat="1" hidden="1" outlineLevel="1">
      <c r="A3759" s="1261"/>
      <c r="B3759" s="260"/>
      <c r="C3759" s="457" t="s">
        <v>2</v>
      </c>
      <c r="D3759" s="440">
        <v>1</v>
      </c>
      <c r="E3759" s="439">
        <v>1</v>
      </c>
      <c r="F3759" s="1350">
        <v>0.83</v>
      </c>
      <c r="G3759" s="1350">
        <v>0.23</v>
      </c>
      <c r="H3759" s="1350">
        <v>0.2</v>
      </c>
      <c r="I3759" s="399">
        <f t="shared" si="137"/>
        <v>0.04</v>
      </c>
      <c r="J3759" s="442"/>
      <c r="K3759" s="1263"/>
      <c r="L3759" s="461"/>
      <c r="M3759" s="461"/>
      <c r="N3759" s="461"/>
    </row>
    <row r="3760" spans="1:14" s="462" customFormat="1" hidden="1" outlineLevel="1">
      <c r="A3760" s="1261"/>
      <c r="B3760" s="260"/>
      <c r="C3760" s="457"/>
      <c r="D3760" s="440"/>
      <c r="E3760" s="439"/>
      <c r="F3760" s="1350"/>
      <c r="G3760" s="1350"/>
      <c r="H3760" s="1350"/>
      <c r="I3760" s="399" t="str">
        <f t="shared" si="137"/>
        <v/>
      </c>
      <c r="J3760" s="442"/>
      <c r="K3760" s="1263"/>
      <c r="L3760" s="461"/>
      <c r="M3760" s="461"/>
      <c r="N3760" s="461"/>
    </row>
    <row r="3761" spans="1:14" s="462" customFormat="1" hidden="1" outlineLevel="1">
      <c r="A3761" s="1261"/>
      <c r="B3761" s="260" t="s">
        <v>173</v>
      </c>
      <c r="C3761" s="457" t="s">
        <v>2</v>
      </c>
      <c r="D3761" s="440">
        <v>1</v>
      </c>
      <c r="E3761" s="439">
        <v>2</v>
      </c>
      <c r="F3761" s="1350">
        <v>1.96</v>
      </c>
      <c r="G3761" s="1350">
        <v>0.23</v>
      </c>
      <c r="H3761" s="1350">
        <v>0.2</v>
      </c>
      <c r="I3761" s="399">
        <f t="shared" si="137"/>
        <v>0.18</v>
      </c>
      <c r="J3761" s="442"/>
      <c r="K3761" s="1263"/>
      <c r="L3761" s="461"/>
      <c r="M3761" s="461"/>
      <c r="N3761" s="461"/>
    </row>
    <row r="3762" spans="1:14" s="462" customFormat="1" hidden="1" outlineLevel="1">
      <c r="A3762" s="1261"/>
      <c r="B3762" s="260"/>
      <c r="C3762" s="457"/>
      <c r="D3762" s="440"/>
      <c r="E3762" s="439"/>
      <c r="F3762" s="1350"/>
      <c r="G3762" s="1350"/>
      <c r="H3762" s="1350"/>
      <c r="I3762" s="399" t="str">
        <f t="shared" si="137"/>
        <v/>
      </c>
      <c r="J3762" s="442"/>
      <c r="K3762" s="1263"/>
      <c r="L3762" s="461"/>
      <c r="M3762" s="461"/>
      <c r="N3762" s="461"/>
    </row>
    <row r="3763" spans="1:14" s="462" customFormat="1" hidden="1" outlineLevel="1">
      <c r="A3763" s="1261"/>
      <c r="B3763" s="260" t="s">
        <v>174</v>
      </c>
      <c r="C3763" s="457" t="s">
        <v>2</v>
      </c>
      <c r="D3763" s="440">
        <v>1</v>
      </c>
      <c r="E3763" s="439">
        <v>1</v>
      </c>
      <c r="F3763" s="1350">
        <v>1.43</v>
      </c>
      <c r="G3763" s="1350">
        <v>0.23</v>
      </c>
      <c r="H3763" s="1350">
        <v>0.2</v>
      </c>
      <c r="I3763" s="399">
        <f t="shared" si="137"/>
        <v>7.0000000000000007E-2</v>
      </c>
      <c r="J3763" s="442"/>
      <c r="K3763" s="1263"/>
      <c r="L3763" s="461"/>
      <c r="M3763" s="461"/>
      <c r="N3763" s="461"/>
    </row>
    <row r="3764" spans="1:14" s="462" customFormat="1" hidden="1" outlineLevel="1">
      <c r="A3764" s="1261"/>
      <c r="B3764" s="260"/>
      <c r="C3764" s="457"/>
      <c r="D3764" s="440"/>
      <c r="E3764" s="439"/>
      <c r="F3764" s="1350"/>
      <c r="G3764" s="1350"/>
      <c r="H3764" s="1350"/>
      <c r="I3764" s="399" t="str">
        <f t="shared" si="137"/>
        <v/>
      </c>
      <c r="J3764" s="442"/>
      <c r="K3764" s="1263"/>
      <c r="L3764" s="461"/>
      <c r="M3764" s="461"/>
      <c r="N3764" s="461"/>
    </row>
    <row r="3765" spans="1:14" s="462" customFormat="1" hidden="1" outlineLevel="1">
      <c r="A3765" s="1261"/>
      <c r="B3765" s="260"/>
      <c r="C3765" s="457" t="s">
        <v>2</v>
      </c>
      <c r="D3765" s="440">
        <v>1</v>
      </c>
      <c r="E3765" s="439">
        <v>1</v>
      </c>
      <c r="F3765" s="1350">
        <v>2.56</v>
      </c>
      <c r="G3765" s="1350">
        <v>0.23</v>
      </c>
      <c r="H3765" s="1350">
        <v>0.2</v>
      </c>
      <c r="I3765" s="399">
        <f t="shared" si="137"/>
        <v>0.12</v>
      </c>
      <c r="J3765" s="442"/>
      <c r="K3765" s="1263"/>
      <c r="L3765" s="461"/>
      <c r="M3765" s="461"/>
      <c r="N3765" s="461"/>
    </row>
    <row r="3766" spans="1:14" s="462" customFormat="1" hidden="1" outlineLevel="1">
      <c r="A3766" s="1261"/>
      <c r="B3766" s="260"/>
      <c r="C3766" s="457"/>
      <c r="D3766" s="440"/>
      <c r="E3766" s="439"/>
      <c r="F3766" s="1350"/>
      <c r="G3766" s="1350"/>
      <c r="H3766" s="1350"/>
      <c r="I3766" s="399" t="str">
        <f t="shared" si="137"/>
        <v/>
      </c>
      <c r="J3766" s="442"/>
      <c r="K3766" s="1263"/>
      <c r="L3766" s="461"/>
      <c r="M3766" s="461"/>
      <c r="N3766" s="461"/>
    </row>
    <row r="3767" spans="1:14" s="462" customFormat="1" hidden="1" outlineLevel="1">
      <c r="A3767" s="1261"/>
      <c r="B3767" s="260"/>
      <c r="C3767" s="457" t="s">
        <v>2</v>
      </c>
      <c r="D3767" s="440">
        <v>1</v>
      </c>
      <c r="E3767" s="439">
        <v>1</v>
      </c>
      <c r="F3767" s="1350">
        <v>5.99</v>
      </c>
      <c r="G3767" s="1350">
        <v>0.23</v>
      </c>
      <c r="H3767" s="1350">
        <v>0.2</v>
      </c>
      <c r="I3767" s="399">
        <f t="shared" si="137"/>
        <v>0.28000000000000003</v>
      </c>
      <c r="J3767" s="442"/>
      <c r="K3767" s="1263"/>
      <c r="L3767" s="461"/>
      <c r="M3767" s="461"/>
      <c r="N3767" s="461"/>
    </row>
    <row r="3768" spans="1:14" s="462" customFormat="1" hidden="1" outlineLevel="1">
      <c r="A3768" s="1261"/>
      <c r="B3768" s="260"/>
      <c r="C3768" s="457"/>
      <c r="D3768" s="440"/>
      <c r="E3768" s="439"/>
      <c r="F3768" s="1350"/>
      <c r="G3768" s="1350"/>
      <c r="H3768" s="1350"/>
      <c r="I3768" s="399" t="str">
        <f t="shared" si="137"/>
        <v/>
      </c>
      <c r="J3768" s="442"/>
      <c r="K3768" s="1263"/>
      <c r="L3768" s="461"/>
      <c r="M3768" s="461"/>
      <c r="N3768" s="461"/>
    </row>
    <row r="3769" spans="1:14" s="462" customFormat="1" hidden="1" outlineLevel="1">
      <c r="A3769" s="1261"/>
      <c r="B3769" s="260" t="s">
        <v>175</v>
      </c>
      <c r="C3769" s="457" t="s">
        <v>2</v>
      </c>
      <c r="D3769" s="440">
        <v>1</v>
      </c>
      <c r="E3769" s="439">
        <v>1</v>
      </c>
      <c r="F3769" s="1350">
        <v>0.61</v>
      </c>
      <c r="G3769" s="1350">
        <v>0.23</v>
      </c>
      <c r="H3769" s="1350">
        <v>0.2</v>
      </c>
      <c r="I3769" s="399">
        <f t="shared" si="137"/>
        <v>0.03</v>
      </c>
      <c r="J3769" s="442"/>
      <c r="K3769" s="1263"/>
      <c r="L3769" s="461"/>
      <c r="M3769" s="461"/>
      <c r="N3769" s="461"/>
    </row>
    <row r="3770" spans="1:14" s="462" customFormat="1" hidden="1" outlineLevel="1">
      <c r="A3770" s="1261"/>
      <c r="B3770" s="260"/>
      <c r="C3770" s="457"/>
      <c r="D3770" s="440"/>
      <c r="E3770" s="439"/>
      <c r="F3770" s="1350"/>
      <c r="G3770" s="1350"/>
      <c r="H3770" s="1350"/>
      <c r="I3770" s="399" t="str">
        <f t="shared" si="137"/>
        <v/>
      </c>
      <c r="J3770" s="442"/>
      <c r="K3770" s="1263"/>
      <c r="L3770" s="461"/>
      <c r="M3770" s="461"/>
      <c r="N3770" s="461"/>
    </row>
    <row r="3771" spans="1:14" s="462" customFormat="1" hidden="1" outlineLevel="1">
      <c r="A3771" s="1261"/>
      <c r="B3771" s="260"/>
      <c r="C3771" s="457" t="s">
        <v>2</v>
      </c>
      <c r="D3771" s="440">
        <v>1</v>
      </c>
      <c r="E3771" s="439">
        <v>1</v>
      </c>
      <c r="F3771" s="1350">
        <v>1.67</v>
      </c>
      <c r="G3771" s="1350">
        <v>0.23</v>
      </c>
      <c r="H3771" s="1350">
        <v>0.2</v>
      </c>
      <c r="I3771" s="399">
        <f t="shared" si="137"/>
        <v>0.08</v>
      </c>
      <c r="J3771" s="442"/>
      <c r="K3771" s="1263"/>
      <c r="L3771" s="461"/>
      <c r="M3771" s="461"/>
      <c r="N3771" s="461"/>
    </row>
    <row r="3772" spans="1:14" s="462" customFormat="1" hidden="1" outlineLevel="1">
      <c r="A3772" s="1261"/>
      <c r="B3772" s="260"/>
      <c r="C3772" s="457"/>
      <c r="D3772" s="440"/>
      <c r="E3772" s="439"/>
      <c r="F3772" s="1350"/>
      <c r="G3772" s="1350"/>
      <c r="H3772" s="1350"/>
      <c r="I3772" s="399" t="str">
        <f t="shared" si="137"/>
        <v/>
      </c>
      <c r="J3772" s="442"/>
      <c r="K3772" s="1263"/>
      <c r="L3772" s="461"/>
      <c r="M3772" s="461"/>
      <c r="N3772" s="461"/>
    </row>
    <row r="3773" spans="1:14" s="462" customFormat="1" hidden="1" outlineLevel="1">
      <c r="A3773" s="1261"/>
      <c r="B3773" s="260"/>
      <c r="C3773" s="457" t="s">
        <v>2</v>
      </c>
      <c r="D3773" s="440">
        <v>1</v>
      </c>
      <c r="E3773" s="439">
        <v>1</v>
      </c>
      <c r="F3773" s="1350">
        <v>2.5099999999999998</v>
      </c>
      <c r="G3773" s="1350">
        <v>0.23</v>
      </c>
      <c r="H3773" s="1350">
        <v>0.2</v>
      </c>
      <c r="I3773" s="399">
        <f t="shared" si="137"/>
        <v>0.12</v>
      </c>
      <c r="J3773" s="442"/>
      <c r="K3773" s="1263"/>
      <c r="L3773" s="461"/>
      <c r="M3773" s="461"/>
      <c r="N3773" s="461"/>
    </row>
    <row r="3774" spans="1:14" s="462" customFormat="1" hidden="1" outlineLevel="1">
      <c r="A3774" s="1261"/>
      <c r="B3774" s="260"/>
      <c r="C3774" s="457"/>
      <c r="D3774" s="440"/>
      <c r="E3774" s="439"/>
      <c r="F3774" s="1350"/>
      <c r="G3774" s="1350"/>
      <c r="H3774" s="1350"/>
      <c r="I3774" s="399" t="str">
        <f t="shared" si="137"/>
        <v/>
      </c>
      <c r="J3774" s="442"/>
      <c r="K3774" s="1263"/>
      <c r="L3774" s="461"/>
      <c r="M3774" s="461"/>
      <c r="N3774" s="461"/>
    </row>
    <row r="3775" spans="1:14" s="462" customFormat="1" hidden="1" outlineLevel="1">
      <c r="A3775" s="1261"/>
      <c r="B3775" s="260" t="s">
        <v>176</v>
      </c>
      <c r="C3775" s="457" t="s">
        <v>2</v>
      </c>
      <c r="D3775" s="440">
        <v>1</v>
      </c>
      <c r="E3775" s="439">
        <v>2</v>
      </c>
      <c r="F3775" s="1350">
        <v>0.61499999999999999</v>
      </c>
      <c r="G3775" s="1350">
        <v>0.23</v>
      </c>
      <c r="H3775" s="1350">
        <v>0.2</v>
      </c>
      <c r="I3775" s="399">
        <f t="shared" si="137"/>
        <v>0.06</v>
      </c>
      <c r="J3775" s="442"/>
      <c r="K3775" s="1263"/>
      <c r="L3775" s="461"/>
      <c r="M3775" s="461"/>
      <c r="N3775" s="461"/>
    </row>
    <row r="3776" spans="1:14" s="462" customFormat="1" hidden="1" outlineLevel="1">
      <c r="A3776" s="1261"/>
      <c r="B3776" s="260"/>
      <c r="C3776" s="457"/>
      <c r="D3776" s="440"/>
      <c r="E3776" s="439"/>
      <c r="F3776" s="1350"/>
      <c r="G3776" s="1350"/>
      <c r="H3776" s="1350"/>
      <c r="I3776" s="399" t="str">
        <f t="shared" si="137"/>
        <v/>
      </c>
      <c r="J3776" s="442"/>
      <c r="K3776" s="1263"/>
      <c r="L3776" s="461"/>
      <c r="M3776" s="461"/>
      <c r="N3776" s="461"/>
    </row>
    <row r="3777" spans="1:14" s="462" customFormat="1" hidden="1" outlineLevel="1">
      <c r="A3777" s="1261"/>
      <c r="B3777" s="260"/>
      <c r="C3777" s="457" t="s">
        <v>2</v>
      </c>
      <c r="D3777" s="440">
        <v>1</v>
      </c>
      <c r="E3777" s="439">
        <v>1</v>
      </c>
      <c r="F3777" s="1350">
        <v>2.5150000000000001</v>
      </c>
      <c r="G3777" s="1350">
        <v>0.23</v>
      </c>
      <c r="H3777" s="1350">
        <v>0.2</v>
      </c>
      <c r="I3777" s="399">
        <f t="shared" si="137"/>
        <v>0.12</v>
      </c>
      <c r="J3777" s="442"/>
      <c r="K3777" s="1263"/>
      <c r="L3777" s="461"/>
      <c r="M3777" s="461"/>
      <c r="N3777" s="461"/>
    </row>
    <row r="3778" spans="1:14" s="462" customFormat="1" hidden="1" outlineLevel="1">
      <c r="A3778" s="1261"/>
      <c r="B3778" s="260"/>
      <c r="C3778" s="457"/>
      <c r="D3778" s="440"/>
      <c r="E3778" s="439"/>
      <c r="F3778" s="1350"/>
      <c r="G3778" s="1350"/>
      <c r="H3778" s="1350"/>
      <c r="I3778" s="399" t="str">
        <f t="shared" si="137"/>
        <v/>
      </c>
      <c r="J3778" s="442"/>
      <c r="K3778" s="1263"/>
      <c r="L3778" s="461"/>
      <c r="M3778" s="461"/>
      <c r="N3778" s="461"/>
    </row>
    <row r="3779" spans="1:14" s="462" customFormat="1" hidden="1" outlineLevel="1">
      <c r="A3779" s="1261"/>
      <c r="B3779" s="260"/>
      <c r="C3779" s="457" t="s">
        <v>2</v>
      </c>
      <c r="D3779" s="440">
        <f>1*0</f>
        <v>0</v>
      </c>
      <c r="E3779" s="439">
        <v>1</v>
      </c>
      <c r="F3779" s="1350">
        <v>1.915</v>
      </c>
      <c r="G3779" s="1350">
        <v>0.23</v>
      </c>
      <c r="H3779" s="1350">
        <v>0.2</v>
      </c>
      <c r="I3779" s="399" t="str">
        <f t="shared" si="137"/>
        <v/>
      </c>
      <c r="J3779" s="442"/>
      <c r="K3779" s="1263"/>
      <c r="L3779" s="461"/>
      <c r="M3779" s="461"/>
      <c r="N3779" s="461"/>
    </row>
    <row r="3780" spans="1:14" s="462" customFormat="1" hidden="1" outlineLevel="1">
      <c r="A3780" s="1261"/>
      <c r="B3780" s="260"/>
      <c r="C3780" s="457"/>
      <c r="D3780" s="440"/>
      <c r="E3780" s="439"/>
      <c r="F3780" s="1350"/>
      <c r="G3780" s="1350"/>
      <c r="H3780" s="1350"/>
      <c r="I3780" s="399" t="str">
        <f t="shared" si="137"/>
        <v/>
      </c>
      <c r="J3780" s="442"/>
      <c r="K3780" s="1263"/>
      <c r="L3780" s="461"/>
      <c r="M3780" s="461"/>
      <c r="N3780" s="461"/>
    </row>
    <row r="3781" spans="1:14" s="462" customFormat="1" hidden="1" outlineLevel="1">
      <c r="A3781" s="1261"/>
      <c r="B3781" s="260"/>
      <c r="C3781" s="457" t="s">
        <v>2</v>
      </c>
      <c r="D3781" s="440">
        <v>1</v>
      </c>
      <c r="E3781" s="439">
        <v>1</v>
      </c>
      <c r="F3781" s="1350">
        <v>1.67</v>
      </c>
      <c r="G3781" s="1350">
        <v>0.23</v>
      </c>
      <c r="H3781" s="1350">
        <v>0.2</v>
      </c>
      <c r="I3781" s="399">
        <f t="shared" si="137"/>
        <v>0.08</v>
      </c>
      <c r="J3781" s="442"/>
      <c r="K3781" s="1263"/>
      <c r="L3781" s="461"/>
      <c r="M3781" s="461"/>
      <c r="N3781" s="461"/>
    </row>
    <row r="3782" spans="1:14" s="462" customFormat="1" hidden="1" outlineLevel="1">
      <c r="A3782" s="1261"/>
      <c r="B3782" s="260"/>
      <c r="C3782" s="457"/>
      <c r="D3782" s="440"/>
      <c r="E3782" s="439"/>
      <c r="F3782" s="1350"/>
      <c r="G3782" s="1350"/>
      <c r="H3782" s="1350"/>
      <c r="I3782" s="399" t="str">
        <f t="shared" si="137"/>
        <v/>
      </c>
      <c r="J3782" s="442"/>
      <c r="K3782" s="1263"/>
      <c r="L3782" s="461"/>
      <c r="M3782" s="461"/>
      <c r="N3782" s="461"/>
    </row>
    <row r="3783" spans="1:14" s="462" customFormat="1" hidden="1" outlineLevel="1">
      <c r="A3783" s="1261"/>
      <c r="B3783" s="260"/>
      <c r="C3783" s="457" t="s">
        <v>2</v>
      </c>
      <c r="D3783" s="440">
        <v>1</v>
      </c>
      <c r="E3783" s="439">
        <v>1</v>
      </c>
      <c r="F3783" s="1350">
        <v>2.5</v>
      </c>
      <c r="G3783" s="1350">
        <v>0.23</v>
      </c>
      <c r="H3783" s="1350">
        <v>0.2</v>
      </c>
      <c r="I3783" s="399">
        <f t="shared" si="137"/>
        <v>0.12</v>
      </c>
      <c r="J3783" s="442"/>
      <c r="K3783" s="1263"/>
      <c r="L3783" s="461"/>
      <c r="M3783" s="461"/>
      <c r="N3783" s="461"/>
    </row>
    <row r="3784" spans="1:14" s="462" customFormat="1" hidden="1" outlineLevel="1">
      <c r="A3784" s="1261"/>
      <c r="B3784" s="260"/>
      <c r="C3784" s="457"/>
      <c r="D3784" s="440"/>
      <c r="E3784" s="439"/>
      <c r="F3784" s="1350"/>
      <c r="G3784" s="1350"/>
      <c r="H3784" s="1350"/>
      <c r="I3784" s="399" t="str">
        <f t="shared" si="137"/>
        <v/>
      </c>
      <c r="J3784" s="442"/>
      <c r="K3784" s="1263"/>
      <c r="L3784" s="461"/>
      <c r="M3784" s="461"/>
      <c r="N3784" s="461"/>
    </row>
    <row r="3785" spans="1:14" s="462" customFormat="1" hidden="1" outlineLevel="1">
      <c r="A3785" s="1261"/>
      <c r="B3785" s="260" t="s">
        <v>177</v>
      </c>
      <c r="C3785" s="457" t="s">
        <v>2</v>
      </c>
      <c r="D3785" s="440">
        <v>1</v>
      </c>
      <c r="E3785" s="439">
        <v>2</v>
      </c>
      <c r="F3785" s="1350">
        <v>0.61499999999999999</v>
      </c>
      <c r="G3785" s="1350">
        <v>0.23</v>
      </c>
      <c r="H3785" s="1350">
        <v>0.2</v>
      </c>
      <c r="I3785" s="399">
        <f t="shared" si="137"/>
        <v>0.06</v>
      </c>
      <c r="J3785" s="442"/>
      <c r="K3785" s="1263"/>
      <c r="L3785" s="461"/>
      <c r="M3785" s="461"/>
      <c r="N3785" s="461"/>
    </row>
    <row r="3786" spans="1:14" s="462" customFormat="1" hidden="1" outlineLevel="1">
      <c r="A3786" s="1261"/>
      <c r="B3786" s="260"/>
      <c r="C3786" s="457"/>
      <c r="D3786" s="440"/>
      <c r="E3786" s="439"/>
      <c r="F3786" s="1350"/>
      <c r="G3786" s="1350"/>
      <c r="H3786" s="1350"/>
      <c r="I3786" s="399" t="str">
        <f t="shared" si="137"/>
        <v/>
      </c>
      <c r="J3786" s="442"/>
      <c r="K3786" s="1263"/>
      <c r="L3786" s="461"/>
      <c r="M3786" s="461"/>
      <c r="N3786" s="461"/>
    </row>
    <row r="3787" spans="1:14" s="462" customFormat="1" hidden="1" outlineLevel="1">
      <c r="A3787" s="1261"/>
      <c r="B3787" s="260" t="s">
        <v>326</v>
      </c>
      <c r="C3787" s="457"/>
      <c r="D3787" s="440"/>
      <c r="E3787" s="439"/>
      <c r="F3787" s="1350"/>
      <c r="G3787" s="1350"/>
      <c r="H3787" s="1350"/>
      <c r="I3787" s="399" t="str">
        <f t="shared" si="137"/>
        <v/>
      </c>
      <c r="J3787" s="442"/>
      <c r="K3787" s="1263"/>
      <c r="L3787" s="461"/>
      <c r="M3787" s="461"/>
      <c r="N3787" s="461"/>
    </row>
    <row r="3788" spans="1:14" s="462" customFormat="1" hidden="1" outlineLevel="1">
      <c r="A3788" s="1261"/>
      <c r="B3788" s="260"/>
      <c r="C3788" s="457"/>
      <c r="D3788" s="440"/>
      <c r="E3788" s="439"/>
      <c r="F3788" s="1350"/>
      <c r="G3788" s="1350"/>
      <c r="H3788" s="1350"/>
      <c r="I3788" s="399" t="str">
        <f t="shared" si="137"/>
        <v/>
      </c>
      <c r="J3788" s="442"/>
      <c r="K3788" s="1263"/>
      <c r="L3788" s="461"/>
      <c r="M3788" s="461"/>
      <c r="N3788" s="461"/>
    </row>
    <row r="3789" spans="1:14" s="462" customFormat="1" hidden="1" outlineLevel="1">
      <c r="A3789" s="1261"/>
      <c r="B3789" s="260" t="s">
        <v>179</v>
      </c>
      <c r="C3789" s="457" t="s">
        <v>2</v>
      </c>
      <c r="D3789" s="440">
        <v>1</v>
      </c>
      <c r="E3789" s="439">
        <v>1</v>
      </c>
      <c r="F3789" s="1350">
        <v>6.89</v>
      </c>
      <c r="G3789" s="1350">
        <v>0.23</v>
      </c>
      <c r="H3789" s="1350">
        <v>0.2</v>
      </c>
      <c r="I3789" s="399">
        <f t="shared" si="137"/>
        <v>0.32</v>
      </c>
      <c r="J3789" s="442"/>
      <c r="K3789" s="1263"/>
      <c r="L3789" s="461"/>
      <c r="M3789" s="461"/>
      <c r="N3789" s="461"/>
    </row>
    <row r="3790" spans="1:14" s="462" customFormat="1" hidden="1" outlineLevel="1">
      <c r="A3790" s="1261"/>
      <c r="B3790" s="260"/>
      <c r="C3790" s="457"/>
      <c r="D3790" s="440"/>
      <c r="E3790" s="439"/>
      <c r="F3790" s="1350"/>
      <c r="G3790" s="1350"/>
      <c r="H3790" s="1350"/>
      <c r="I3790" s="399" t="str">
        <f t="shared" si="137"/>
        <v/>
      </c>
      <c r="J3790" s="442"/>
      <c r="K3790" s="1263"/>
      <c r="L3790" s="461"/>
      <c r="M3790" s="461"/>
      <c r="N3790" s="461"/>
    </row>
    <row r="3791" spans="1:14" s="462" customFormat="1" hidden="1" outlineLevel="1">
      <c r="A3791" s="1261"/>
      <c r="B3791" s="260"/>
      <c r="C3791" s="457" t="s">
        <v>2</v>
      </c>
      <c r="D3791" s="440">
        <v>1</v>
      </c>
      <c r="E3791" s="439">
        <v>1</v>
      </c>
      <c r="F3791" s="1350">
        <v>4.66</v>
      </c>
      <c r="G3791" s="1350">
        <v>0.23</v>
      </c>
      <c r="H3791" s="1350">
        <v>0.2</v>
      </c>
      <c r="I3791" s="399">
        <f t="shared" si="137"/>
        <v>0.21</v>
      </c>
      <c r="J3791" s="442"/>
      <c r="K3791" s="1263"/>
      <c r="L3791" s="461"/>
      <c r="M3791" s="461"/>
      <c r="N3791" s="461"/>
    </row>
    <row r="3792" spans="1:14" s="462" customFormat="1" hidden="1" outlineLevel="1">
      <c r="A3792" s="1261"/>
      <c r="B3792" s="260" t="s">
        <v>327</v>
      </c>
      <c r="C3792" s="457" t="s">
        <v>2</v>
      </c>
      <c r="D3792" s="440">
        <v>1</v>
      </c>
      <c r="E3792" s="439">
        <v>1</v>
      </c>
      <c r="F3792" s="1350">
        <v>3.3</v>
      </c>
      <c r="G3792" s="1350">
        <v>0.38500000000000001</v>
      </c>
      <c r="H3792" s="1350">
        <v>0.27500000000000002</v>
      </c>
      <c r="I3792" s="399">
        <f t="shared" si="137"/>
        <v>0.35</v>
      </c>
      <c r="J3792" s="442"/>
      <c r="K3792" s="1263"/>
      <c r="L3792" s="461"/>
      <c r="M3792" s="461"/>
      <c r="N3792" s="461"/>
    </row>
    <row r="3793" spans="1:14" s="462" customFormat="1" hidden="1" outlineLevel="1">
      <c r="A3793" s="1261"/>
      <c r="B3793" s="260"/>
      <c r="C3793" s="457"/>
      <c r="D3793" s="440"/>
      <c r="E3793" s="439"/>
      <c r="F3793" s="1350"/>
      <c r="G3793" s="1350"/>
      <c r="H3793" s="1350"/>
      <c r="I3793" s="399" t="str">
        <f t="shared" si="137"/>
        <v/>
      </c>
      <c r="J3793" s="442"/>
      <c r="K3793" s="1263"/>
      <c r="L3793" s="461"/>
      <c r="M3793" s="461"/>
      <c r="N3793" s="461"/>
    </row>
    <row r="3794" spans="1:14" s="462" customFormat="1" hidden="1" outlineLevel="1">
      <c r="A3794" s="1261"/>
      <c r="B3794" s="260" t="s">
        <v>181</v>
      </c>
      <c r="C3794" s="457" t="s">
        <v>2</v>
      </c>
      <c r="D3794" s="440">
        <v>1</v>
      </c>
      <c r="E3794" s="439">
        <v>1</v>
      </c>
      <c r="F3794" s="1350">
        <v>4.66</v>
      </c>
      <c r="G3794" s="1350">
        <v>0.23</v>
      </c>
      <c r="H3794" s="1350">
        <v>0.2</v>
      </c>
      <c r="I3794" s="399">
        <f t="shared" si="137"/>
        <v>0.21</v>
      </c>
      <c r="J3794" s="442"/>
      <c r="K3794" s="1263"/>
      <c r="L3794" s="461"/>
      <c r="M3794" s="461"/>
      <c r="N3794" s="461"/>
    </row>
    <row r="3795" spans="1:14" s="462" customFormat="1" hidden="1" outlineLevel="1">
      <c r="A3795" s="1261"/>
      <c r="B3795" s="260"/>
      <c r="C3795" s="457"/>
      <c r="D3795" s="440"/>
      <c r="E3795" s="439"/>
      <c r="F3795" s="1350"/>
      <c r="G3795" s="1350"/>
      <c r="H3795" s="1350"/>
      <c r="I3795" s="399" t="str">
        <f t="shared" si="137"/>
        <v/>
      </c>
      <c r="J3795" s="442"/>
      <c r="K3795" s="1263"/>
      <c r="L3795" s="461"/>
      <c r="M3795" s="461"/>
      <c r="N3795" s="461"/>
    </row>
    <row r="3796" spans="1:14" s="462" customFormat="1" hidden="1" outlineLevel="1">
      <c r="A3796" s="1261"/>
      <c r="B3796" s="260"/>
      <c r="C3796" s="457" t="s">
        <v>2</v>
      </c>
      <c r="D3796" s="440">
        <v>1</v>
      </c>
      <c r="E3796" s="439">
        <v>1</v>
      </c>
      <c r="F3796" s="1350">
        <v>1.79</v>
      </c>
      <c r="G3796" s="1350">
        <v>0.23</v>
      </c>
      <c r="H3796" s="1350">
        <v>0.2</v>
      </c>
      <c r="I3796" s="399">
        <f t="shared" si="137"/>
        <v>0.08</v>
      </c>
      <c r="J3796" s="442"/>
      <c r="K3796" s="1263"/>
      <c r="L3796" s="461"/>
      <c r="M3796" s="461"/>
      <c r="N3796" s="461"/>
    </row>
    <row r="3797" spans="1:14" s="462" customFormat="1" hidden="1" outlineLevel="1">
      <c r="A3797" s="1261"/>
      <c r="B3797" s="260"/>
      <c r="C3797" s="457"/>
      <c r="D3797" s="440"/>
      <c r="E3797" s="439"/>
      <c r="F3797" s="1350"/>
      <c r="G3797" s="1350"/>
      <c r="H3797" s="1350"/>
      <c r="I3797" s="399" t="str">
        <f t="shared" si="137"/>
        <v/>
      </c>
      <c r="J3797" s="442"/>
      <c r="K3797" s="1263"/>
      <c r="L3797" s="461"/>
      <c r="M3797" s="461"/>
      <c r="N3797" s="461"/>
    </row>
    <row r="3798" spans="1:14" s="462" customFormat="1" hidden="1" outlineLevel="1">
      <c r="A3798" s="1261"/>
      <c r="B3798" s="260"/>
      <c r="C3798" s="457" t="s">
        <v>2</v>
      </c>
      <c r="D3798" s="440">
        <v>1</v>
      </c>
      <c r="E3798" s="439">
        <v>1</v>
      </c>
      <c r="F3798" s="1350">
        <v>5.620000000000001</v>
      </c>
      <c r="G3798" s="1350">
        <v>0.23</v>
      </c>
      <c r="H3798" s="1350">
        <v>0.2</v>
      </c>
      <c r="I3798" s="399">
        <f t="shared" si="137"/>
        <v>0.26</v>
      </c>
      <c r="J3798" s="442"/>
      <c r="K3798" s="1263"/>
      <c r="L3798" s="461"/>
      <c r="M3798" s="461"/>
      <c r="N3798" s="461"/>
    </row>
    <row r="3799" spans="1:14" s="462" customFormat="1" hidden="1" outlineLevel="1">
      <c r="A3799" s="1261"/>
      <c r="B3799" s="260"/>
      <c r="C3799" s="457"/>
      <c r="D3799" s="440"/>
      <c r="E3799" s="439"/>
      <c r="F3799" s="1350"/>
      <c r="G3799" s="1350"/>
      <c r="H3799" s="1350"/>
      <c r="I3799" s="399" t="str">
        <f t="shared" si="137"/>
        <v/>
      </c>
      <c r="J3799" s="442"/>
      <c r="K3799" s="1263"/>
      <c r="L3799" s="461"/>
      <c r="M3799" s="461"/>
      <c r="N3799" s="461"/>
    </row>
    <row r="3800" spans="1:14" s="462" customFormat="1" hidden="1" outlineLevel="1">
      <c r="A3800" s="1261"/>
      <c r="B3800" s="260"/>
      <c r="C3800" s="457" t="s">
        <v>2</v>
      </c>
      <c r="D3800" s="440">
        <v>1</v>
      </c>
      <c r="E3800" s="439">
        <v>1</v>
      </c>
      <c r="F3800" s="1350">
        <v>0.83</v>
      </c>
      <c r="G3800" s="1350">
        <v>0.23</v>
      </c>
      <c r="H3800" s="1350">
        <v>0.2</v>
      </c>
      <c r="I3800" s="399">
        <f t="shared" si="137"/>
        <v>0.04</v>
      </c>
      <c r="J3800" s="442"/>
      <c r="K3800" s="1263"/>
      <c r="L3800" s="461"/>
      <c r="M3800" s="461"/>
      <c r="N3800" s="461"/>
    </row>
    <row r="3801" spans="1:14" s="462" customFormat="1" hidden="1" outlineLevel="1">
      <c r="A3801" s="1261"/>
      <c r="B3801" s="260"/>
      <c r="C3801" s="457"/>
      <c r="D3801" s="440"/>
      <c r="E3801" s="439"/>
      <c r="F3801" s="1350"/>
      <c r="G3801" s="1350"/>
      <c r="H3801" s="1350"/>
      <c r="I3801" s="399" t="str">
        <f t="shared" si="137"/>
        <v/>
      </c>
      <c r="J3801" s="442"/>
      <c r="K3801" s="1263"/>
      <c r="L3801" s="461"/>
      <c r="M3801" s="461"/>
      <c r="N3801" s="461"/>
    </row>
    <row r="3802" spans="1:14" s="462" customFormat="1" hidden="1" outlineLevel="1">
      <c r="A3802" s="1261"/>
      <c r="B3802" s="260"/>
      <c r="C3802" s="457" t="s">
        <v>2</v>
      </c>
      <c r="D3802" s="440">
        <v>1</v>
      </c>
      <c r="E3802" s="439">
        <v>1</v>
      </c>
      <c r="F3802" s="1350">
        <v>6.5200000000000005</v>
      </c>
      <c r="G3802" s="1350">
        <v>0.23</v>
      </c>
      <c r="H3802" s="1350">
        <v>0.2</v>
      </c>
      <c r="I3802" s="399">
        <f t="shared" si="137"/>
        <v>0.3</v>
      </c>
      <c r="J3802" s="442"/>
      <c r="K3802" s="1263"/>
      <c r="L3802" s="461"/>
      <c r="M3802" s="461"/>
      <c r="N3802" s="461"/>
    </row>
    <row r="3803" spans="1:14" s="462" customFormat="1" hidden="1" outlineLevel="1">
      <c r="A3803" s="1261"/>
      <c r="B3803" s="260" t="s">
        <v>328</v>
      </c>
      <c r="C3803" s="457" t="s">
        <v>2</v>
      </c>
      <c r="D3803" s="440">
        <v>1</v>
      </c>
      <c r="E3803" s="439">
        <v>1</v>
      </c>
      <c r="F3803" s="1350">
        <v>3</v>
      </c>
      <c r="G3803" s="1350">
        <v>0.38500000000000001</v>
      </c>
      <c r="H3803" s="1350">
        <v>0.27500000000000002</v>
      </c>
      <c r="I3803" s="399">
        <f t="shared" si="137"/>
        <v>0.32</v>
      </c>
      <c r="J3803" s="442"/>
      <c r="K3803" s="1263"/>
      <c r="L3803" s="461"/>
      <c r="M3803" s="461"/>
      <c r="N3803" s="461"/>
    </row>
    <row r="3804" spans="1:14" s="462" customFormat="1" hidden="1" outlineLevel="1">
      <c r="A3804" s="1261"/>
      <c r="B3804" s="260"/>
      <c r="C3804" s="457"/>
      <c r="D3804" s="440"/>
      <c r="E3804" s="439"/>
      <c r="F3804" s="1350"/>
      <c r="G3804" s="1350"/>
      <c r="H3804" s="1350"/>
      <c r="I3804" s="399" t="str">
        <f t="shared" si="137"/>
        <v/>
      </c>
      <c r="J3804" s="442"/>
      <c r="K3804" s="1263"/>
      <c r="L3804" s="461"/>
      <c r="M3804" s="461"/>
      <c r="N3804" s="461"/>
    </row>
    <row r="3805" spans="1:14" s="462" customFormat="1" hidden="1" outlineLevel="1">
      <c r="A3805" s="1261"/>
      <c r="B3805" s="260"/>
      <c r="C3805" s="457" t="s">
        <v>2</v>
      </c>
      <c r="D3805" s="440">
        <v>1</v>
      </c>
      <c r="E3805" s="439">
        <v>1</v>
      </c>
      <c r="F3805" s="1350">
        <v>6.5200000000000005</v>
      </c>
      <c r="G3805" s="1350">
        <v>0.23</v>
      </c>
      <c r="H3805" s="1350">
        <v>0.2</v>
      </c>
      <c r="I3805" s="399">
        <f t="shared" si="137"/>
        <v>0.3</v>
      </c>
      <c r="J3805" s="442"/>
      <c r="K3805" s="1263"/>
      <c r="L3805" s="461"/>
      <c r="M3805" s="461"/>
      <c r="N3805" s="461"/>
    </row>
    <row r="3806" spans="1:14" s="462" customFormat="1" hidden="1" outlineLevel="1">
      <c r="A3806" s="1261"/>
      <c r="B3806" s="260" t="s">
        <v>328</v>
      </c>
      <c r="C3806" s="457" t="s">
        <v>2</v>
      </c>
      <c r="D3806" s="440">
        <v>1</v>
      </c>
      <c r="E3806" s="439">
        <v>1</v>
      </c>
      <c r="F3806" s="1350">
        <v>3</v>
      </c>
      <c r="G3806" s="1350">
        <v>0.38500000000000001</v>
      </c>
      <c r="H3806" s="1350">
        <v>0.27500000000000002</v>
      </c>
      <c r="I3806" s="399">
        <f t="shared" si="137"/>
        <v>0.32</v>
      </c>
      <c r="J3806" s="442"/>
      <c r="K3806" s="1263"/>
      <c r="L3806" s="461"/>
      <c r="M3806" s="461"/>
      <c r="N3806" s="461"/>
    </row>
    <row r="3807" spans="1:14" s="462" customFormat="1" hidden="1" outlineLevel="1">
      <c r="A3807" s="1261"/>
      <c r="B3807" s="260"/>
      <c r="C3807" s="457"/>
      <c r="D3807" s="440"/>
      <c r="E3807" s="439"/>
      <c r="F3807" s="1350"/>
      <c r="G3807" s="1350"/>
      <c r="H3807" s="1350"/>
      <c r="I3807" s="399" t="str">
        <f t="shared" si="137"/>
        <v/>
      </c>
      <c r="J3807" s="442"/>
      <c r="K3807" s="1263"/>
      <c r="L3807" s="461"/>
      <c r="M3807" s="461"/>
      <c r="N3807" s="461"/>
    </row>
    <row r="3808" spans="1:14" s="462" customFormat="1" hidden="1" outlineLevel="1">
      <c r="A3808" s="1261"/>
      <c r="B3808" s="260" t="s">
        <v>182</v>
      </c>
      <c r="C3808" s="457" t="s">
        <v>2</v>
      </c>
      <c r="D3808" s="440">
        <v>1</v>
      </c>
      <c r="E3808" s="439">
        <v>1</v>
      </c>
      <c r="F3808" s="1350">
        <v>7.12</v>
      </c>
      <c r="G3808" s="1350">
        <v>0.23</v>
      </c>
      <c r="H3808" s="1350">
        <v>0.2</v>
      </c>
      <c r="I3808" s="399">
        <f t="shared" si="137"/>
        <v>0.33</v>
      </c>
      <c r="J3808" s="442"/>
      <c r="K3808" s="1263"/>
      <c r="L3808" s="461"/>
      <c r="M3808" s="461"/>
      <c r="N3808" s="461"/>
    </row>
    <row r="3809" spans="1:14" s="462" customFormat="1" hidden="1" outlineLevel="1">
      <c r="A3809" s="1261"/>
      <c r="B3809" s="260"/>
      <c r="C3809" s="457"/>
      <c r="D3809" s="440"/>
      <c r="E3809" s="439"/>
      <c r="F3809" s="1350"/>
      <c r="G3809" s="1350"/>
      <c r="H3809" s="1350"/>
      <c r="I3809" s="399" t="str">
        <f t="shared" si="137"/>
        <v/>
      </c>
      <c r="J3809" s="442"/>
      <c r="K3809" s="1263"/>
      <c r="L3809" s="461"/>
      <c r="M3809" s="461"/>
      <c r="N3809" s="461"/>
    </row>
    <row r="3810" spans="1:14" s="462" customFormat="1" hidden="1" outlineLevel="1">
      <c r="A3810" s="1261"/>
      <c r="B3810" s="260"/>
      <c r="C3810" s="457" t="s">
        <v>2</v>
      </c>
      <c r="D3810" s="440">
        <v>1</v>
      </c>
      <c r="E3810" s="439">
        <v>1</v>
      </c>
      <c r="F3810" s="1350">
        <v>2.0300000000000002</v>
      </c>
      <c r="G3810" s="1350">
        <v>0.23</v>
      </c>
      <c r="H3810" s="1350">
        <v>0.2</v>
      </c>
      <c r="I3810" s="399">
        <f t="shared" si="137"/>
        <v>0.09</v>
      </c>
      <c r="J3810" s="442"/>
      <c r="K3810" s="1263"/>
      <c r="L3810" s="461"/>
      <c r="M3810" s="461"/>
      <c r="N3810" s="461"/>
    </row>
    <row r="3811" spans="1:14" s="462" customFormat="1" hidden="1" outlineLevel="1">
      <c r="A3811" s="1261"/>
      <c r="B3811" s="260"/>
      <c r="C3811" s="457"/>
      <c r="D3811" s="440"/>
      <c r="E3811" s="439"/>
      <c r="F3811" s="1350"/>
      <c r="G3811" s="1350"/>
      <c r="H3811" s="1350"/>
      <c r="I3811" s="399" t="str">
        <f t="shared" si="137"/>
        <v/>
      </c>
      <c r="J3811" s="442"/>
      <c r="K3811" s="1263"/>
      <c r="L3811" s="461"/>
      <c r="M3811" s="461"/>
      <c r="N3811" s="461"/>
    </row>
    <row r="3812" spans="1:14" s="462" customFormat="1" hidden="1" outlineLevel="1">
      <c r="A3812" s="1261"/>
      <c r="B3812" s="260"/>
      <c r="C3812" s="457" t="s">
        <v>2</v>
      </c>
      <c r="D3812" s="440">
        <v>1</v>
      </c>
      <c r="E3812" s="439">
        <v>2</v>
      </c>
      <c r="F3812" s="1350">
        <v>8.92</v>
      </c>
      <c r="G3812" s="1350">
        <v>0.23</v>
      </c>
      <c r="H3812" s="1350">
        <v>0.2</v>
      </c>
      <c r="I3812" s="399">
        <f t="shared" si="137"/>
        <v>0.82</v>
      </c>
      <c r="J3812" s="442"/>
      <c r="K3812" s="1263"/>
      <c r="L3812" s="461"/>
      <c r="M3812" s="461"/>
      <c r="N3812" s="461"/>
    </row>
    <row r="3813" spans="1:14" s="462" customFormat="1" hidden="1" outlineLevel="1">
      <c r="A3813" s="1261"/>
      <c r="B3813" s="260"/>
      <c r="C3813" s="457"/>
      <c r="D3813" s="440"/>
      <c r="E3813" s="439"/>
      <c r="F3813" s="1350"/>
      <c r="G3813" s="1350"/>
      <c r="H3813" s="1350"/>
      <c r="I3813" s="399" t="str">
        <f t="shared" ref="I3813:I3876" si="138">IF(D3813&lt;&gt;0,ROUND(PRODUCT(E3813:H3813)*D3813,2),"")</f>
        <v/>
      </c>
      <c r="J3813" s="442"/>
      <c r="K3813" s="1263"/>
      <c r="L3813" s="461"/>
      <c r="M3813" s="461"/>
      <c r="N3813" s="461"/>
    </row>
    <row r="3814" spans="1:14" s="462" customFormat="1" hidden="1" outlineLevel="1">
      <c r="A3814" s="1261"/>
      <c r="B3814" s="260" t="s">
        <v>183</v>
      </c>
      <c r="C3814" s="457" t="s">
        <v>2</v>
      </c>
      <c r="D3814" s="440">
        <v>1</v>
      </c>
      <c r="E3814" s="439">
        <v>1</v>
      </c>
      <c r="F3814" s="1350">
        <v>11.150000000000002</v>
      </c>
      <c r="G3814" s="1350">
        <v>0.23</v>
      </c>
      <c r="H3814" s="1350">
        <v>0.2</v>
      </c>
      <c r="I3814" s="399">
        <f t="shared" si="138"/>
        <v>0.51</v>
      </c>
      <c r="J3814" s="442"/>
      <c r="K3814" s="1263"/>
      <c r="L3814" s="461"/>
      <c r="M3814" s="461"/>
      <c r="N3814" s="461"/>
    </row>
    <row r="3815" spans="1:14" s="462" customFormat="1" hidden="1" outlineLevel="1">
      <c r="A3815" s="1261"/>
      <c r="B3815" s="260" t="s">
        <v>328</v>
      </c>
      <c r="C3815" s="457" t="s">
        <v>2</v>
      </c>
      <c r="D3815" s="440">
        <v>1</v>
      </c>
      <c r="E3815" s="439">
        <v>1</v>
      </c>
      <c r="F3815" s="1350">
        <v>3</v>
      </c>
      <c r="G3815" s="1350">
        <v>0.38500000000000001</v>
      </c>
      <c r="H3815" s="1350">
        <v>0.27500000000000002</v>
      </c>
      <c r="I3815" s="399">
        <f t="shared" si="138"/>
        <v>0.32</v>
      </c>
      <c r="J3815" s="442"/>
      <c r="K3815" s="1263"/>
      <c r="L3815" s="461"/>
      <c r="M3815" s="461"/>
      <c r="N3815" s="461"/>
    </row>
    <row r="3816" spans="1:14" s="462" customFormat="1" hidden="1" outlineLevel="1">
      <c r="A3816" s="1261"/>
      <c r="B3816" s="260"/>
      <c r="C3816" s="457"/>
      <c r="D3816" s="440"/>
      <c r="E3816" s="439"/>
      <c r="F3816" s="1350"/>
      <c r="G3816" s="1350"/>
      <c r="H3816" s="1350"/>
      <c r="I3816" s="399" t="str">
        <f t="shared" si="138"/>
        <v/>
      </c>
      <c r="J3816" s="442"/>
      <c r="K3816" s="1263"/>
      <c r="L3816" s="461"/>
      <c r="M3816" s="461"/>
      <c r="N3816" s="461"/>
    </row>
    <row r="3817" spans="1:14" s="462" customFormat="1" hidden="1" outlineLevel="1">
      <c r="A3817" s="1261"/>
      <c r="B3817" s="260" t="s">
        <v>185</v>
      </c>
      <c r="C3817" s="457" t="s">
        <v>2</v>
      </c>
      <c r="D3817" s="440">
        <v>1</v>
      </c>
      <c r="E3817" s="439">
        <v>1</v>
      </c>
      <c r="F3817" s="1350">
        <v>0.61499999999999999</v>
      </c>
      <c r="G3817" s="1350">
        <v>0.23</v>
      </c>
      <c r="H3817" s="1350">
        <v>0.2</v>
      </c>
      <c r="I3817" s="399">
        <f t="shared" si="138"/>
        <v>0.03</v>
      </c>
      <c r="J3817" s="442"/>
      <c r="K3817" s="1263"/>
      <c r="L3817" s="461"/>
      <c r="M3817" s="461"/>
      <c r="N3817" s="461"/>
    </row>
    <row r="3818" spans="1:14" s="462" customFormat="1" hidden="1" outlineLevel="1">
      <c r="A3818" s="1261"/>
      <c r="B3818" s="260"/>
      <c r="C3818" s="457"/>
      <c r="D3818" s="440"/>
      <c r="E3818" s="439"/>
      <c r="F3818" s="1350"/>
      <c r="G3818" s="1350"/>
      <c r="H3818" s="1350"/>
      <c r="I3818" s="399" t="str">
        <f t="shared" si="138"/>
        <v/>
      </c>
      <c r="J3818" s="442"/>
      <c r="K3818" s="1263"/>
      <c r="L3818" s="461"/>
      <c r="M3818" s="461"/>
      <c r="N3818" s="461"/>
    </row>
    <row r="3819" spans="1:14" s="462" customFormat="1" hidden="1" outlineLevel="1">
      <c r="A3819" s="1261"/>
      <c r="B3819" s="260"/>
      <c r="C3819" s="457" t="s">
        <v>2</v>
      </c>
      <c r="D3819" s="440">
        <v>1</v>
      </c>
      <c r="E3819" s="439">
        <v>1</v>
      </c>
      <c r="F3819" s="1350">
        <v>1.67</v>
      </c>
      <c r="G3819" s="1350">
        <v>0.23</v>
      </c>
      <c r="H3819" s="1350">
        <v>0.2</v>
      </c>
      <c r="I3819" s="399">
        <f t="shared" si="138"/>
        <v>0.08</v>
      </c>
      <c r="J3819" s="442"/>
      <c r="K3819" s="1263"/>
      <c r="L3819" s="461"/>
      <c r="M3819" s="461"/>
      <c r="N3819" s="461"/>
    </row>
    <row r="3820" spans="1:14" s="462" customFormat="1" hidden="1" outlineLevel="1">
      <c r="A3820" s="1261"/>
      <c r="B3820" s="260"/>
      <c r="C3820" s="457"/>
      <c r="D3820" s="440"/>
      <c r="E3820" s="439"/>
      <c r="F3820" s="1350"/>
      <c r="G3820" s="1350"/>
      <c r="H3820" s="1350"/>
      <c r="I3820" s="399" t="str">
        <f t="shared" si="138"/>
        <v/>
      </c>
      <c r="J3820" s="442"/>
      <c r="K3820" s="1263"/>
      <c r="L3820" s="461"/>
      <c r="M3820" s="461"/>
      <c r="N3820" s="461"/>
    </row>
    <row r="3821" spans="1:14" s="462" customFormat="1" hidden="1" outlineLevel="1">
      <c r="A3821" s="1261"/>
      <c r="B3821" s="260"/>
      <c r="C3821" s="457" t="s">
        <v>2</v>
      </c>
      <c r="D3821" s="440">
        <v>1</v>
      </c>
      <c r="E3821" s="439">
        <v>2</v>
      </c>
      <c r="F3821" s="1350">
        <v>0.61499999999999999</v>
      </c>
      <c r="G3821" s="1350">
        <v>0.23</v>
      </c>
      <c r="H3821" s="1350">
        <v>0.2</v>
      </c>
      <c r="I3821" s="399">
        <f t="shared" si="138"/>
        <v>0.06</v>
      </c>
      <c r="J3821" s="442"/>
      <c r="K3821" s="1263"/>
      <c r="L3821" s="461"/>
      <c r="M3821" s="461"/>
      <c r="N3821" s="461"/>
    </row>
    <row r="3822" spans="1:14" s="462" customFormat="1" hidden="1" outlineLevel="1">
      <c r="A3822" s="1261"/>
      <c r="B3822" s="260"/>
      <c r="C3822" s="457"/>
      <c r="D3822" s="440"/>
      <c r="E3822" s="439"/>
      <c r="F3822" s="1350"/>
      <c r="G3822" s="1350"/>
      <c r="H3822" s="1350"/>
      <c r="I3822" s="399" t="str">
        <f t="shared" si="138"/>
        <v/>
      </c>
      <c r="J3822" s="442"/>
      <c r="K3822" s="1263"/>
      <c r="L3822" s="461"/>
      <c r="M3822" s="461"/>
      <c r="N3822" s="461"/>
    </row>
    <row r="3823" spans="1:14" s="462" customFormat="1" hidden="1" outlineLevel="1">
      <c r="A3823" s="1261"/>
      <c r="B3823" s="260"/>
      <c r="C3823" s="457" t="s">
        <v>2</v>
      </c>
      <c r="D3823" s="440">
        <v>1</v>
      </c>
      <c r="E3823" s="439">
        <v>1</v>
      </c>
      <c r="F3823" s="1350">
        <v>2.5150000000000001</v>
      </c>
      <c r="G3823" s="1350">
        <v>0.23</v>
      </c>
      <c r="H3823" s="1350">
        <v>0.2</v>
      </c>
      <c r="I3823" s="399">
        <f t="shared" si="138"/>
        <v>0.12</v>
      </c>
      <c r="J3823" s="442"/>
      <c r="K3823" s="1263"/>
      <c r="L3823" s="461"/>
      <c r="M3823" s="461"/>
      <c r="N3823" s="461"/>
    </row>
    <row r="3824" spans="1:14" s="462" customFormat="1" hidden="1" outlineLevel="1">
      <c r="A3824" s="1261"/>
      <c r="B3824" s="260"/>
      <c r="C3824" s="457"/>
      <c r="D3824" s="440"/>
      <c r="E3824" s="439"/>
      <c r="F3824" s="1350"/>
      <c r="G3824" s="1350"/>
      <c r="H3824" s="1350"/>
      <c r="I3824" s="399" t="str">
        <f t="shared" si="138"/>
        <v/>
      </c>
      <c r="J3824" s="442"/>
      <c r="K3824" s="1263"/>
      <c r="L3824" s="461"/>
      <c r="M3824" s="461"/>
      <c r="N3824" s="461"/>
    </row>
    <row r="3825" spans="1:14" s="462" customFormat="1" hidden="1" outlineLevel="1">
      <c r="A3825" s="1261"/>
      <c r="B3825" s="260"/>
      <c r="C3825" s="457" t="s">
        <v>2</v>
      </c>
      <c r="D3825" s="440">
        <v>1</v>
      </c>
      <c r="E3825" s="439">
        <v>1</v>
      </c>
      <c r="F3825" s="1350">
        <v>1.0550000000000002</v>
      </c>
      <c r="G3825" s="1350">
        <v>0.23</v>
      </c>
      <c r="H3825" s="1350">
        <v>0.2</v>
      </c>
      <c r="I3825" s="399">
        <f t="shared" si="138"/>
        <v>0.05</v>
      </c>
      <c r="J3825" s="442"/>
      <c r="K3825" s="1263"/>
      <c r="L3825" s="461"/>
      <c r="M3825" s="461"/>
      <c r="N3825" s="461"/>
    </row>
    <row r="3826" spans="1:14" s="462" customFormat="1" hidden="1" outlineLevel="1">
      <c r="A3826" s="1261"/>
      <c r="B3826" s="260"/>
      <c r="C3826" s="457"/>
      <c r="D3826" s="440"/>
      <c r="E3826" s="439"/>
      <c r="F3826" s="1350"/>
      <c r="G3826" s="1350"/>
      <c r="H3826" s="1350"/>
      <c r="I3826" s="399" t="str">
        <f t="shared" si="138"/>
        <v/>
      </c>
      <c r="J3826" s="442"/>
      <c r="K3826" s="1263"/>
      <c r="L3826" s="461"/>
      <c r="M3826" s="461"/>
      <c r="N3826" s="461"/>
    </row>
    <row r="3827" spans="1:14" s="462" customFormat="1" hidden="1" outlineLevel="1">
      <c r="A3827" s="1261"/>
      <c r="B3827" s="260"/>
      <c r="C3827" s="457" t="s">
        <v>2</v>
      </c>
      <c r="D3827" s="440">
        <v>1</v>
      </c>
      <c r="E3827" s="439">
        <v>1</v>
      </c>
      <c r="F3827" s="1350">
        <v>2.5150000000000001</v>
      </c>
      <c r="G3827" s="1350">
        <v>0.23</v>
      </c>
      <c r="H3827" s="1350">
        <v>0.2</v>
      </c>
      <c r="I3827" s="399">
        <f t="shared" si="138"/>
        <v>0.12</v>
      </c>
      <c r="J3827" s="442"/>
      <c r="K3827" s="1263"/>
      <c r="L3827" s="461"/>
      <c r="M3827" s="461"/>
      <c r="N3827" s="461"/>
    </row>
    <row r="3828" spans="1:14" s="462" customFormat="1" hidden="1" outlineLevel="1">
      <c r="A3828" s="1261"/>
      <c r="B3828" s="260"/>
      <c r="C3828" s="457"/>
      <c r="D3828" s="440"/>
      <c r="E3828" s="439"/>
      <c r="F3828" s="1350"/>
      <c r="G3828" s="1350"/>
      <c r="H3828" s="1350"/>
      <c r="I3828" s="399" t="str">
        <f t="shared" si="138"/>
        <v/>
      </c>
      <c r="J3828" s="442"/>
      <c r="K3828" s="1263"/>
      <c r="L3828" s="461"/>
      <c r="M3828" s="461"/>
      <c r="N3828" s="461"/>
    </row>
    <row r="3829" spans="1:14" s="462" customFormat="1" hidden="1" outlineLevel="1">
      <c r="A3829" s="1261"/>
      <c r="B3829" s="260"/>
      <c r="C3829" s="457" t="s">
        <v>2</v>
      </c>
      <c r="D3829" s="440">
        <v>1</v>
      </c>
      <c r="E3829" s="439">
        <v>1</v>
      </c>
      <c r="F3829" s="1350">
        <v>1.67</v>
      </c>
      <c r="G3829" s="1350">
        <v>0.23</v>
      </c>
      <c r="H3829" s="1350">
        <v>0.2</v>
      </c>
      <c r="I3829" s="399">
        <f t="shared" si="138"/>
        <v>0.08</v>
      </c>
      <c r="J3829" s="442"/>
      <c r="K3829" s="1263"/>
      <c r="L3829" s="461"/>
      <c r="M3829" s="461"/>
      <c r="N3829" s="461"/>
    </row>
    <row r="3830" spans="1:14" s="462" customFormat="1" hidden="1" outlineLevel="1">
      <c r="A3830" s="1261"/>
      <c r="B3830" s="260"/>
      <c r="C3830" s="457"/>
      <c r="D3830" s="440"/>
      <c r="E3830" s="439"/>
      <c r="F3830" s="1350"/>
      <c r="G3830" s="1350"/>
      <c r="H3830" s="1350"/>
      <c r="I3830" s="399" t="str">
        <f t="shared" si="138"/>
        <v/>
      </c>
      <c r="J3830" s="442"/>
      <c r="K3830" s="1263"/>
      <c r="L3830" s="461"/>
      <c r="M3830" s="461"/>
      <c r="N3830" s="461"/>
    </row>
    <row r="3831" spans="1:14" s="462" customFormat="1" hidden="1" outlineLevel="1">
      <c r="A3831" s="1261"/>
      <c r="B3831" s="260"/>
      <c r="C3831" s="457" t="s">
        <v>2</v>
      </c>
      <c r="D3831" s="440">
        <v>1</v>
      </c>
      <c r="E3831" s="439">
        <v>1</v>
      </c>
      <c r="F3831" s="1350">
        <v>2.5150000000000001</v>
      </c>
      <c r="G3831" s="1350">
        <v>0.23</v>
      </c>
      <c r="H3831" s="1350">
        <v>0.2</v>
      </c>
      <c r="I3831" s="399">
        <f t="shared" si="138"/>
        <v>0.12</v>
      </c>
      <c r="J3831" s="442"/>
      <c r="K3831" s="1263"/>
      <c r="L3831" s="461"/>
      <c r="M3831" s="461"/>
      <c r="N3831" s="461"/>
    </row>
    <row r="3832" spans="1:14" s="462" customFormat="1" hidden="1" outlineLevel="1">
      <c r="A3832" s="1261"/>
      <c r="B3832" s="260"/>
      <c r="C3832" s="457"/>
      <c r="D3832" s="440"/>
      <c r="E3832" s="439"/>
      <c r="F3832" s="1350"/>
      <c r="G3832" s="1350"/>
      <c r="H3832" s="1350"/>
      <c r="I3832" s="399" t="str">
        <f t="shared" si="138"/>
        <v/>
      </c>
      <c r="J3832" s="442"/>
      <c r="K3832" s="1263"/>
      <c r="L3832" s="461"/>
      <c r="M3832" s="461"/>
      <c r="N3832" s="461"/>
    </row>
    <row r="3833" spans="1:14" s="462" customFormat="1" hidden="1" outlineLevel="1">
      <c r="A3833" s="1261"/>
      <c r="B3833" s="260"/>
      <c r="C3833" s="457" t="s">
        <v>2</v>
      </c>
      <c r="D3833" s="440">
        <v>1</v>
      </c>
      <c r="E3833" s="439">
        <v>1</v>
      </c>
      <c r="F3833" s="1350">
        <v>0.61499999999999999</v>
      </c>
      <c r="G3833" s="1350">
        <v>0.23</v>
      </c>
      <c r="H3833" s="1350">
        <v>0.2</v>
      </c>
      <c r="I3833" s="399">
        <f t="shared" si="138"/>
        <v>0.03</v>
      </c>
      <c r="J3833" s="442"/>
      <c r="K3833" s="1263"/>
      <c r="L3833" s="461"/>
      <c r="M3833" s="461"/>
      <c r="N3833" s="461"/>
    </row>
    <row r="3834" spans="1:14" s="462" customFormat="1" hidden="1" outlineLevel="1">
      <c r="A3834" s="1261"/>
      <c r="B3834" s="260"/>
      <c r="C3834" s="457"/>
      <c r="D3834" s="440"/>
      <c r="E3834" s="439"/>
      <c r="F3834" s="1350"/>
      <c r="G3834" s="1350"/>
      <c r="H3834" s="1350"/>
      <c r="I3834" s="399" t="str">
        <f t="shared" si="138"/>
        <v/>
      </c>
      <c r="J3834" s="442"/>
      <c r="K3834" s="1263"/>
      <c r="L3834" s="461"/>
      <c r="M3834" s="461"/>
      <c r="N3834" s="461"/>
    </row>
    <row r="3835" spans="1:14" s="462" customFormat="1" hidden="1" outlineLevel="1">
      <c r="A3835" s="1261"/>
      <c r="B3835" s="260"/>
      <c r="C3835" s="457" t="s">
        <v>2</v>
      </c>
      <c r="D3835" s="440">
        <v>1</v>
      </c>
      <c r="E3835" s="439">
        <v>1</v>
      </c>
      <c r="F3835" s="1350">
        <v>3.36</v>
      </c>
      <c r="G3835" s="1350">
        <v>0.23</v>
      </c>
      <c r="H3835" s="1350">
        <v>0.2</v>
      </c>
      <c r="I3835" s="399">
        <f t="shared" si="138"/>
        <v>0.15</v>
      </c>
      <c r="J3835" s="442"/>
      <c r="K3835" s="1263"/>
      <c r="L3835" s="461"/>
      <c r="M3835" s="461"/>
      <c r="N3835" s="461"/>
    </row>
    <row r="3836" spans="1:14" s="462" customFormat="1" hidden="1" outlineLevel="1">
      <c r="A3836" s="1261"/>
      <c r="B3836" s="260"/>
      <c r="C3836" s="457"/>
      <c r="D3836" s="440"/>
      <c r="E3836" s="439"/>
      <c r="F3836" s="1350"/>
      <c r="G3836" s="1350"/>
      <c r="H3836" s="1350"/>
      <c r="I3836" s="399" t="str">
        <f t="shared" si="138"/>
        <v/>
      </c>
      <c r="J3836" s="442"/>
      <c r="K3836" s="1263"/>
      <c r="L3836" s="461"/>
      <c r="M3836" s="461"/>
      <c r="N3836" s="461"/>
    </row>
    <row r="3837" spans="1:14" s="462" customFormat="1" hidden="1" outlineLevel="1">
      <c r="A3837" s="1261"/>
      <c r="B3837" s="260"/>
      <c r="C3837" s="457" t="s">
        <v>2</v>
      </c>
      <c r="D3837" s="440">
        <v>1</v>
      </c>
      <c r="E3837" s="439">
        <v>1</v>
      </c>
      <c r="F3837" s="1350">
        <v>1.67</v>
      </c>
      <c r="G3837" s="1350">
        <v>0.23</v>
      </c>
      <c r="H3837" s="1350">
        <v>0.2</v>
      </c>
      <c r="I3837" s="399">
        <f t="shared" si="138"/>
        <v>0.08</v>
      </c>
      <c r="J3837" s="442"/>
      <c r="K3837" s="1263"/>
      <c r="L3837" s="461"/>
      <c r="M3837" s="461"/>
      <c r="N3837" s="461"/>
    </row>
    <row r="3838" spans="1:14" s="462" customFormat="1" hidden="1" outlineLevel="1">
      <c r="A3838" s="1261"/>
      <c r="B3838" s="260"/>
      <c r="C3838" s="457"/>
      <c r="D3838" s="440"/>
      <c r="E3838" s="439"/>
      <c r="F3838" s="1350"/>
      <c r="G3838" s="1350"/>
      <c r="H3838" s="1350"/>
      <c r="I3838" s="399" t="str">
        <f t="shared" si="138"/>
        <v/>
      </c>
      <c r="J3838" s="442"/>
      <c r="K3838" s="1263"/>
      <c r="L3838" s="461"/>
      <c r="M3838" s="461"/>
      <c r="N3838" s="461"/>
    </row>
    <row r="3839" spans="1:14" s="462" customFormat="1" hidden="1" outlineLevel="1">
      <c r="A3839" s="1261"/>
      <c r="B3839" s="260"/>
      <c r="C3839" s="457" t="s">
        <v>2</v>
      </c>
      <c r="D3839" s="440">
        <v>1</v>
      </c>
      <c r="E3839" s="439">
        <v>1</v>
      </c>
      <c r="F3839" s="1350">
        <v>0.61499999999999999</v>
      </c>
      <c r="G3839" s="1350">
        <v>0.23</v>
      </c>
      <c r="H3839" s="1350">
        <v>0.2</v>
      </c>
      <c r="I3839" s="399">
        <f t="shared" si="138"/>
        <v>0.03</v>
      </c>
      <c r="J3839" s="442"/>
      <c r="K3839" s="1263"/>
      <c r="L3839" s="461"/>
      <c r="M3839" s="461"/>
      <c r="N3839" s="461"/>
    </row>
    <row r="3840" spans="1:14" s="462" customFormat="1" hidden="1" outlineLevel="1">
      <c r="A3840" s="1261"/>
      <c r="B3840" s="260"/>
      <c r="C3840" s="457"/>
      <c r="D3840" s="440"/>
      <c r="E3840" s="439"/>
      <c r="F3840" s="1350"/>
      <c r="G3840" s="1350"/>
      <c r="H3840" s="1350"/>
      <c r="I3840" s="399" t="str">
        <f t="shared" si="138"/>
        <v/>
      </c>
      <c r="J3840" s="442"/>
      <c r="K3840" s="1263"/>
      <c r="L3840" s="461"/>
      <c r="M3840" s="461"/>
      <c r="N3840" s="461"/>
    </row>
    <row r="3841" spans="1:14" s="462" customFormat="1" hidden="1" outlineLevel="1">
      <c r="A3841" s="1261"/>
      <c r="B3841" s="260" t="s">
        <v>329</v>
      </c>
      <c r="C3841" s="457"/>
      <c r="D3841" s="440"/>
      <c r="E3841" s="439"/>
      <c r="F3841" s="1350"/>
      <c r="G3841" s="1350"/>
      <c r="H3841" s="1350"/>
      <c r="I3841" s="399" t="str">
        <f t="shared" si="138"/>
        <v/>
      </c>
      <c r="J3841" s="442"/>
      <c r="K3841" s="1263"/>
      <c r="L3841" s="461"/>
      <c r="M3841" s="461"/>
      <c r="N3841" s="461"/>
    </row>
    <row r="3842" spans="1:14" s="462" customFormat="1" hidden="1" outlineLevel="1">
      <c r="A3842" s="1261"/>
      <c r="B3842" s="260"/>
      <c r="C3842" s="457"/>
      <c r="D3842" s="440"/>
      <c r="E3842" s="439"/>
      <c r="F3842" s="1350"/>
      <c r="G3842" s="1350"/>
      <c r="H3842" s="1350"/>
      <c r="I3842" s="399" t="str">
        <f t="shared" si="138"/>
        <v/>
      </c>
      <c r="J3842" s="442"/>
      <c r="K3842" s="1263"/>
      <c r="L3842" s="461"/>
      <c r="M3842" s="461"/>
      <c r="N3842" s="461"/>
    </row>
    <row r="3843" spans="1:14" s="462" customFormat="1" hidden="1" outlineLevel="1">
      <c r="A3843" s="1261"/>
      <c r="B3843" s="260" t="s">
        <v>187</v>
      </c>
      <c r="C3843" s="457" t="s">
        <v>2</v>
      </c>
      <c r="D3843" s="440">
        <v>1</v>
      </c>
      <c r="E3843" s="439">
        <v>1</v>
      </c>
      <c r="F3843" s="1350">
        <v>9.2600000000000016</v>
      </c>
      <c r="G3843" s="1350">
        <v>0.23</v>
      </c>
      <c r="H3843" s="1350">
        <v>0.2</v>
      </c>
      <c r="I3843" s="399">
        <f t="shared" si="138"/>
        <v>0.43</v>
      </c>
      <c r="J3843" s="442"/>
      <c r="K3843" s="1263"/>
      <c r="L3843" s="461"/>
      <c r="M3843" s="461"/>
      <c r="N3843" s="461"/>
    </row>
    <row r="3844" spans="1:14" s="462" customFormat="1" hidden="1" outlineLevel="1">
      <c r="A3844" s="1261"/>
      <c r="B3844" s="260"/>
      <c r="C3844" s="457"/>
      <c r="D3844" s="440"/>
      <c r="E3844" s="439"/>
      <c r="F3844" s="1350"/>
      <c r="G3844" s="1350"/>
      <c r="H3844" s="1350"/>
      <c r="I3844" s="399" t="str">
        <f t="shared" si="138"/>
        <v/>
      </c>
      <c r="J3844" s="442"/>
      <c r="K3844" s="1263"/>
      <c r="L3844" s="461"/>
      <c r="M3844" s="461"/>
      <c r="N3844" s="461"/>
    </row>
    <row r="3845" spans="1:14" s="462" customFormat="1" hidden="1" outlineLevel="1">
      <c r="A3845" s="1261"/>
      <c r="B3845" s="260"/>
      <c r="C3845" s="457" t="s">
        <v>2</v>
      </c>
      <c r="D3845" s="440">
        <v>1</v>
      </c>
      <c r="E3845" s="439">
        <v>1</v>
      </c>
      <c r="F3845" s="1350">
        <v>4.4300000000000006</v>
      </c>
      <c r="G3845" s="1350">
        <v>0.23</v>
      </c>
      <c r="H3845" s="1350">
        <v>0.2</v>
      </c>
      <c r="I3845" s="399">
        <f t="shared" si="138"/>
        <v>0.2</v>
      </c>
      <c r="J3845" s="442"/>
      <c r="K3845" s="1263"/>
      <c r="L3845" s="461"/>
      <c r="M3845" s="461"/>
      <c r="N3845" s="461"/>
    </row>
    <row r="3846" spans="1:14" s="462" customFormat="1" hidden="1" outlineLevel="1">
      <c r="A3846" s="1261"/>
      <c r="B3846" s="260"/>
      <c r="C3846" s="457"/>
      <c r="D3846" s="440"/>
      <c r="E3846" s="439"/>
      <c r="F3846" s="1350"/>
      <c r="G3846" s="1350"/>
      <c r="H3846" s="1350"/>
      <c r="I3846" s="399" t="str">
        <f t="shared" si="138"/>
        <v/>
      </c>
      <c r="J3846" s="442"/>
      <c r="K3846" s="1263"/>
      <c r="L3846" s="461"/>
      <c r="M3846" s="461"/>
      <c r="N3846" s="461"/>
    </row>
    <row r="3847" spans="1:14" s="462" customFormat="1" hidden="1" outlineLevel="1">
      <c r="A3847" s="1261"/>
      <c r="B3847" s="260"/>
      <c r="C3847" s="457" t="s">
        <v>2</v>
      </c>
      <c r="D3847" s="440">
        <v>1</v>
      </c>
      <c r="E3847" s="439">
        <v>1</v>
      </c>
      <c r="F3847" s="1350">
        <v>3.03</v>
      </c>
      <c r="G3847" s="1350">
        <v>0.23</v>
      </c>
      <c r="H3847" s="1350">
        <v>0.2</v>
      </c>
      <c r="I3847" s="399">
        <f t="shared" si="138"/>
        <v>0.14000000000000001</v>
      </c>
      <c r="J3847" s="442"/>
      <c r="K3847" s="1263"/>
      <c r="L3847" s="461"/>
      <c r="M3847" s="461"/>
      <c r="N3847" s="461"/>
    </row>
    <row r="3848" spans="1:14" s="462" customFormat="1" hidden="1" outlineLevel="1">
      <c r="A3848" s="1261"/>
      <c r="B3848" s="260"/>
      <c r="C3848" s="457"/>
      <c r="D3848" s="440"/>
      <c r="E3848" s="439"/>
      <c r="F3848" s="1350"/>
      <c r="G3848" s="1350"/>
      <c r="H3848" s="1350"/>
      <c r="I3848" s="399" t="str">
        <f t="shared" si="138"/>
        <v/>
      </c>
      <c r="J3848" s="442"/>
      <c r="K3848" s="1263"/>
      <c r="L3848" s="461"/>
      <c r="M3848" s="461"/>
      <c r="N3848" s="461"/>
    </row>
    <row r="3849" spans="1:14" s="462" customFormat="1" hidden="1" outlineLevel="1">
      <c r="A3849" s="1261"/>
      <c r="B3849" s="260" t="s">
        <v>188</v>
      </c>
      <c r="C3849" s="457" t="s">
        <v>2</v>
      </c>
      <c r="D3849" s="440">
        <v>1</v>
      </c>
      <c r="E3849" s="439">
        <v>1</v>
      </c>
      <c r="F3849" s="1350">
        <v>2.0300000000000002</v>
      </c>
      <c r="G3849" s="1350">
        <v>0.23</v>
      </c>
      <c r="H3849" s="1350">
        <v>0.2</v>
      </c>
      <c r="I3849" s="399">
        <f t="shared" si="138"/>
        <v>0.09</v>
      </c>
      <c r="J3849" s="442"/>
      <c r="K3849" s="1263"/>
      <c r="L3849" s="461"/>
      <c r="M3849" s="461"/>
      <c r="N3849" s="461"/>
    </row>
    <row r="3850" spans="1:14" s="462" customFormat="1" hidden="1" outlineLevel="1">
      <c r="A3850" s="1261"/>
      <c r="B3850" s="260"/>
      <c r="C3850" s="457"/>
      <c r="D3850" s="440"/>
      <c r="E3850" s="439"/>
      <c r="F3850" s="1350"/>
      <c r="G3850" s="1350"/>
      <c r="H3850" s="1350"/>
      <c r="I3850" s="399" t="str">
        <f t="shared" si="138"/>
        <v/>
      </c>
      <c r="J3850" s="442"/>
      <c r="K3850" s="1263"/>
      <c r="L3850" s="461"/>
      <c r="M3850" s="461"/>
      <c r="N3850" s="461"/>
    </row>
    <row r="3851" spans="1:14" s="462" customFormat="1" hidden="1" outlineLevel="1">
      <c r="A3851" s="1261"/>
      <c r="B3851" s="260"/>
      <c r="C3851" s="457" t="s">
        <v>2</v>
      </c>
      <c r="D3851" s="440">
        <v>1</v>
      </c>
      <c r="E3851" s="439">
        <v>1</v>
      </c>
      <c r="F3851" s="1350">
        <v>6.4300000000000006</v>
      </c>
      <c r="G3851" s="1350">
        <v>0.23</v>
      </c>
      <c r="H3851" s="1350">
        <v>0.2</v>
      </c>
      <c r="I3851" s="399">
        <f t="shared" si="138"/>
        <v>0.3</v>
      </c>
      <c r="J3851" s="442"/>
      <c r="K3851" s="1263"/>
      <c r="L3851" s="461"/>
      <c r="M3851" s="461"/>
      <c r="N3851" s="461"/>
    </row>
    <row r="3852" spans="1:14" s="462" customFormat="1" hidden="1" outlineLevel="1">
      <c r="A3852" s="1261"/>
      <c r="B3852" s="260" t="s">
        <v>330</v>
      </c>
      <c r="C3852" s="457" t="s">
        <v>2</v>
      </c>
      <c r="D3852" s="440">
        <v>1</v>
      </c>
      <c r="E3852" s="439">
        <v>1</v>
      </c>
      <c r="F3852" s="1350">
        <v>3</v>
      </c>
      <c r="G3852" s="1350">
        <v>0.38500000000000001</v>
      </c>
      <c r="H3852" s="1350">
        <v>0.27500000000000002</v>
      </c>
      <c r="I3852" s="399">
        <f t="shared" si="138"/>
        <v>0.32</v>
      </c>
      <c r="J3852" s="442"/>
      <c r="K3852" s="1263"/>
      <c r="L3852" s="461"/>
      <c r="M3852" s="461"/>
      <c r="N3852" s="461"/>
    </row>
    <row r="3853" spans="1:14" s="462" customFormat="1" hidden="1" outlineLevel="1">
      <c r="A3853" s="1261"/>
      <c r="B3853" s="260"/>
      <c r="C3853" s="457"/>
      <c r="D3853" s="440"/>
      <c r="E3853" s="439"/>
      <c r="F3853" s="1350"/>
      <c r="G3853" s="1350"/>
      <c r="H3853" s="1350"/>
      <c r="I3853" s="399" t="str">
        <f t="shared" si="138"/>
        <v/>
      </c>
      <c r="J3853" s="442"/>
      <c r="K3853" s="1263"/>
      <c r="L3853" s="461"/>
      <c r="M3853" s="461"/>
      <c r="N3853" s="461"/>
    </row>
    <row r="3854" spans="1:14" s="462" customFormat="1" hidden="1" outlineLevel="1">
      <c r="A3854" s="1261"/>
      <c r="B3854" s="260"/>
      <c r="C3854" s="457" t="s">
        <v>2</v>
      </c>
      <c r="D3854" s="440">
        <v>1</v>
      </c>
      <c r="E3854" s="439">
        <v>1</v>
      </c>
      <c r="F3854" s="1350">
        <v>8.23</v>
      </c>
      <c r="G3854" s="1350">
        <v>0.23</v>
      </c>
      <c r="H3854" s="1350">
        <v>0.2</v>
      </c>
      <c r="I3854" s="399">
        <f t="shared" si="138"/>
        <v>0.38</v>
      </c>
      <c r="J3854" s="442"/>
      <c r="K3854" s="1263"/>
      <c r="L3854" s="461"/>
      <c r="M3854" s="461"/>
      <c r="N3854" s="461"/>
    </row>
    <row r="3855" spans="1:14" s="462" customFormat="1" hidden="1" outlineLevel="1">
      <c r="A3855" s="1261"/>
      <c r="B3855" s="260" t="s">
        <v>331</v>
      </c>
      <c r="C3855" s="457" t="s">
        <v>2</v>
      </c>
      <c r="D3855" s="440">
        <v>1</v>
      </c>
      <c r="E3855" s="439">
        <v>1</v>
      </c>
      <c r="F3855" s="1350">
        <v>3</v>
      </c>
      <c r="G3855" s="1350">
        <v>0.38500000000000001</v>
      </c>
      <c r="H3855" s="1350">
        <v>0.27500000000000002</v>
      </c>
      <c r="I3855" s="399">
        <f t="shared" si="138"/>
        <v>0.32</v>
      </c>
      <c r="J3855" s="442"/>
      <c r="K3855" s="1263"/>
      <c r="L3855" s="461"/>
      <c r="M3855" s="461"/>
      <c r="N3855" s="461"/>
    </row>
    <row r="3856" spans="1:14" s="462" customFormat="1" hidden="1" outlineLevel="1">
      <c r="A3856" s="1261"/>
      <c r="B3856" s="260"/>
      <c r="C3856" s="457"/>
      <c r="D3856" s="440"/>
      <c r="E3856" s="439"/>
      <c r="F3856" s="1350"/>
      <c r="G3856" s="1350"/>
      <c r="H3856" s="1350"/>
      <c r="I3856" s="399" t="str">
        <f t="shared" si="138"/>
        <v/>
      </c>
      <c r="J3856" s="442"/>
      <c r="K3856" s="1263"/>
      <c r="L3856" s="461"/>
      <c r="M3856" s="461"/>
      <c r="N3856" s="461"/>
    </row>
    <row r="3857" spans="1:14" s="462" customFormat="1" hidden="1" outlineLevel="1">
      <c r="A3857" s="1261"/>
      <c r="B3857" s="260"/>
      <c r="C3857" s="457" t="s">
        <v>2</v>
      </c>
      <c r="D3857" s="440">
        <v>1</v>
      </c>
      <c r="E3857" s="439">
        <v>1</v>
      </c>
      <c r="F3857" s="1350">
        <v>1.23</v>
      </c>
      <c r="G3857" s="1350">
        <v>0.23</v>
      </c>
      <c r="H3857" s="1350">
        <v>0.2</v>
      </c>
      <c r="I3857" s="399">
        <f t="shared" si="138"/>
        <v>0.06</v>
      </c>
      <c r="J3857" s="442"/>
      <c r="K3857" s="1263"/>
      <c r="L3857" s="461"/>
      <c r="M3857" s="461"/>
      <c r="N3857" s="461"/>
    </row>
    <row r="3858" spans="1:14" s="462" customFormat="1" hidden="1" outlineLevel="1">
      <c r="A3858" s="1261"/>
      <c r="B3858" s="260"/>
      <c r="C3858" s="457"/>
      <c r="D3858" s="440"/>
      <c r="E3858" s="439"/>
      <c r="F3858" s="1350"/>
      <c r="G3858" s="1350"/>
      <c r="H3858" s="1350"/>
      <c r="I3858" s="399" t="str">
        <f t="shared" si="138"/>
        <v/>
      </c>
      <c r="J3858" s="442"/>
      <c r="K3858" s="1263"/>
      <c r="L3858" s="461"/>
      <c r="M3858" s="461"/>
      <c r="N3858" s="461"/>
    </row>
    <row r="3859" spans="1:14" s="462" customFormat="1" hidden="1" outlineLevel="1">
      <c r="A3859" s="1261"/>
      <c r="B3859" s="260"/>
      <c r="C3859" s="457" t="s">
        <v>2</v>
      </c>
      <c r="D3859" s="440">
        <v>1</v>
      </c>
      <c r="E3859" s="439">
        <v>1</v>
      </c>
      <c r="F3859" s="1350">
        <v>6.23</v>
      </c>
      <c r="G3859" s="1350">
        <v>0.23</v>
      </c>
      <c r="H3859" s="1350">
        <v>0.2</v>
      </c>
      <c r="I3859" s="399">
        <f t="shared" si="138"/>
        <v>0.28999999999999998</v>
      </c>
      <c r="J3859" s="442"/>
      <c r="K3859" s="1263"/>
      <c r="L3859" s="461"/>
      <c r="M3859" s="461"/>
      <c r="N3859" s="461"/>
    </row>
    <row r="3860" spans="1:14" s="462" customFormat="1" hidden="1" outlineLevel="1">
      <c r="A3860" s="1261"/>
      <c r="B3860" s="260"/>
      <c r="C3860" s="457"/>
      <c r="D3860" s="440"/>
      <c r="E3860" s="439"/>
      <c r="F3860" s="1350"/>
      <c r="G3860" s="1350"/>
      <c r="H3860" s="1350"/>
      <c r="I3860" s="399" t="str">
        <f t="shared" si="138"/>
        <v/>
      </c>
      <c r="J3860" s="442"/>
      <c r="K3860" s="1263"/>
      <c r="L3860" s="461"/>
      <c r="M3860" s="461"/>
      <c r="N3860" s="461"/>
    </row>
    <row r="3861" spans="1:14" s="462" customFormat="1" hidden="1" outlineLevel="1">
      <c r="A3861" s="1261"/>
      <c r="B3861" s="260"/>
      <c r="C3861" s="457" t="s">
        <v>2</v>
      </c>
      <c r="D3861" s="440">
        <v>1</v>
      </c>
      <c r="E3861" s="439">
        <v>1</v>
      </c>
      <c r="F3861" s="1350">
        <v>3.03</v>
      </c>
      <c r="G3861" s="1350">
        <v>0.23</v>
      </c>
      <c r="H3861" s="1350">
        <v>0.2</v>
      </c>
      <c r="I3861" s="399">
        <f t="shared" si="138"/>
        <v>0.14000000000000001</v>
      </c>
      <c r="J3861" s="442"/>
      <c r="K3861" s="1263"/>
      <c r="L3861" s="461"/>
      <c r="M3861" s="461"/>
      <c r="N3861" s="461"/>
    </row>
    <row r="3862" spans="1:14" s="462" customFormat="1" hidden="1" outlineLevel="1">
      <c r="A3862" s="1261"/>
      <c r="B3862" s="260"/>
      <c r="C3862" s="457"/>
      <c r="D3862" s="440"/>
      <c r="E3862" s="439"/>
      <c r="F3862" s="1350"/>
      <c r="G3862" s="1350"/>
      <c r="H3862" s="1350"/>
      <c r="I3862" s="399" t="str">
        <f t="shared" si="138"/>
        <v/>
      </c>
      <c r="J3862" s="442"/>
      <c r="K3862" s="1263"/>
      <c r="L3862" s="461"/>
      <c r="M3862" s="461"/>
      <c r="N3862" s="461"/>
    </row>
    <row r="3863" spans="1:14" s="462" customFormat="1" hidden="1" outlineLevel="1">
      <c r="A3863" s="1261"/>
      <c r="B3863" s="260"/>
      <c r="C3863" s="457" t="s">
        <v>2</v>
      </c>
      <c r="D3863" s="440">
        <v>1</v>
      </c>
      <c r="E3863" s="439">
        <v>1</v>
      </c>
      <c r="F3863" s="1350">
        <v>4.4300000000000006</v>
      </c>
      <c r="G3863" s="1350">
        <v>0.23</v>
      </c>
      <c r="H3863" s="1350">
        <v>0.2</v>
      </c>
      <c r="I3863" s="399">
        <f t="shared" si="138"/>
        <v>0.2</v>
      </c>
      <c r="J3863" s="442"/>
      <c r="K3863" s="1263"/>
      <c r="L3863" s="461"/>
      <c r="M3863" s="461"/>
      <c r="N3863" s="461"/>
    </row>
    <row r="3864" spans="1:14" s="462" customFormat="1" hidden="1" outlineLevel="1">
      <c r="A3864" s="1261"/>
      <c r="B3864" s="260" t="s">
        <v>332</v>
      </c>
      <c r="C3864" s="457" t="s">
        <v>2</v>
      </c>
      <c r="D3864" s="440">
        <v>1</v>
      </c>
      <c r="E3864" s="439">
        <v>1</v>
      </c>
      <c r="F3864" s="1350">
        <v>3</v>
      </c>
      <c r="G3864" s="1350">
        <v>0.38500000000000001</v>
      </c>
      <c r="H3864" s="1350">
        <v>0.27500000000000002</v>
      </c>
      <c r="I3864" s="399">
        <f t="shared" si="138"/>
        <v>0.32</v>
      </c>
      <c r="J3864" s="442"/>
      <c r="K3864" s="1263"/>
      <c r="L3864" s="461"/>
      <c r="M3864" s="461"/>
      <c r="N3864" s="461"/>
    </row>
    <row r="3865" spans="1:14" s="462" customFormat="1" hidden="1" outlineLevel="1">
      <c r="A3865" s="1261"/>
      <c r="B3865" s="260"/>
      <c r="C3865" s="457"/>
      <c r="D3865" s="440"/>
      <c r="E3865" s="439"/>
      <c r="F3865" s="1350"/>
      <c r="G3865" s="1350"/>
      <c r="H3865" s="1350"/>
      <c r="I3865" s="399" t="str">
        <f t="shared" si="138"/>
        <v/>
      </c>
      <c r="J3865" s="442"/>
      <c r="K3865" s="1263"/>
      <c r="L3865" s="461"/>
      <c r="M3865" s="461"/>
      <c r="N3865" s="461"/>
    </row>
    <row r="3866" spans="1:14" s="462" customFormat="1" hidden="1" outlineLevel="1">
      <c r="A3866" s="1261"/>
      <c r="B3866" s="260"/>
      <c r="C3866" s="457" t="s">
        <v>2</v>
      </c>
      <c r="D3866" s="440">
        <v>1</v>
      </c>
      <c r="E3866" s="439">
        <v>1</v>
      </c>
      <c r="F3866" s="1350">
        <v>2.0300000000000002</v>
      </c>
      <c r="G3866" s="1350">
        <v>0.23</v>
      </c>
      <c r="H3866" s="1350">
        <v>0.2</v>
      </c>
      <c r="I3866" s="399">
        <f t="shared" si="138"/>
        <v>0.09</v>
      </c>
      <c r="J3866" s="442"/>
      <c r="K3866" s="1263"/>
      <c r="L3866" s="461"/>
      <c r="M3866" s="461"/>
      <c r="N3866" s="461"/>
    </row>
    <row r="3867" spans="1:14" s="462" customFormat="1" hidden="1" outlineLevel="1">
      <c r="A3867" s="1261"/>
      <c r="B3867" s="260"/>
      <c r="C3867" s="457"/>
      <c r="D3867" s="440"/>
      <c r="E3867" s="439"/>
      <c r="F3867" s="1350"/>
      <c r="G3867" s="1350"/>
      <c r="H3867" s="1350"/>
      <c r="I3867" s="399" t="str">
        <f t="shared" si="138"/>
        <v/>
      </c>
      <c r="J3867" s="442"/>
      <c r="K3867" s="1263"/>
      <c r="L3867" s="461"/>
      <c r="M3867" s="461"/>
      <c r="N3867" s="461"/>
    </row>
    <row r="3868" spans="1:14" s="462" customFormat="1" hidden="1" outlineLevel="1">
      <c r="A3868" s="1261"/>
      <c r="B3868" s="260"/>
      <c r="C3868" s="457" t="s">
        <v>2</v>
      </c>
      <c r="D3868" s="440">
        <v>1</v>
      </c>
      <c r="E3868" s="439">
        <v>1</v>
      </c>
      <c r="F3868" s="1350">
        <v>2.93</v>
      </c>
      <c r="G3868" s="1350">
        <v>0.23</v>
      </c>
      <c r="H3868" s="1350">
        <v>0.2</v>
      </c>
      <c r="I3868" s="399">
        <f t="shared" si="138"/>
        <v>0.13</v>
      </c>
      <c r="J3868" s="442"/>
      <c r="K3868" s="1263"/>
      <c r="L3868" s="461"/>
      <c r="M3868" s="461"/>
      <c r="N3868" s="461"/>
    </row>
    <row r="3869" spans="1:14" s="462" customFormat="1" hidden="1" outlineLevel="1">
      <c r="A3869" s="1261"/>
      <c r="B3869" s="260"/>
      <c r="C3869" s="457"/>
      <c r="D3869" s="440"/>
      <c r="E3869" s="439"/>
      <c r="F3869" s="1350"/>
      <c r="G3869" s="1350"/>
      <c r="H3869" s="1350"/>
      <c r="I3869" s="399" t="str">
        <f t="shared" si="138"/>
        <v/>
      </c>
      <c r="J3869" s="442"/>
      <c r="K3869" s="1263"/>
      <c r="L3869" s="461"/>
      <c r="M3869" s="461"/>
      <c r="N3869" s="461"/>
    </row>
    <row r="3870" spans="1:14" s="462" customFormat="1" hidden="1" outlineLevel="1">
      <c r="A3870" s="1261"/>
      <c r="B3870" s="260"/>
      <c r="C3870" s="457" t="s">
        <v>2</v>
      </c>
      <c r="D3870" s="440">
        <v>1</v>
      </c>
      <c r="E3870" s="439">
        <v>1</v>
      </c>
      <c r="F3870" s="1350">
        <v>4.7300000000000004</v>
      </c>
      <c r="G3870" s="1350">
        <v>0.23</v>
      </c>
      <c r="H3870" s="1350">
        <v>0.2</v>
      </c>
      <c r="I3870" s="399">
        <f t="shared" si="138"/>
        <v>0.22</v>
      </c>
      <c r="J3870" s="442"/>
      <c r="K3870" s="1263"/>
      <c r="L3870" s="461"/>
      <c r="M3870" s="461"/>
      <c r="N3870" s="461"/>
    </row>
    <row r="3871" spans="1:14" s="462" customFormat="1" hidden="1" outlineLevel="1">
      <c r="A3871" s="1261"/>
      <c r="B3871" s="260" t="s">
        <v>333</v>
      </c>
      <c r="C3871" s="457" t="s">
        <v>2</v>
      </c>
      <c r="D3871" s="440">
        <v>1</v>
      </c>
      <c r="E3871" s="439">
        <v>1</v>
      </c>
      <c r="F3871" s="1350">
        <v>3</v>
      </c>
      <c r="G3871" s="1350">
        <v>0.38500000000000001</v>
      </c>
      <c r="H3871" s="1350">
        <v>0.27500000000000002</v>
      </c>
      <c r="I3871" s="399">
        <f t="shared" si="138"/>
        <v>0.32</v>
      </c>
      <c r="J3871" s="442"/>
      <c r="K3871" s="1263"/>
      <c r="L3871" s="461"/>
      <c r="M3871" s="461"/>
      <c r="N3871" s="461"/>
    </row>
    <row r="3872" spans="1:14" s="462" customFormat="1" hidden="1" outlineLevel="1">
      <c r="A3872" s="1261"/>
      <c r="B3872" s="260"/>
      <c r="C3872" s="457"/>
      <c r="D3872" s="440"/>
      <c r="E3872" s="439"/>
      <c r="F3872" s="1350"/>
      <c r="G3872" s="1350"/>
      <c r="H3872" s="1350"/>
      <c r="I3872" s="399" t="str">
        <f t="shared" si="138"/>
        <v/>
      </c>
      <c r="J3872" s="442"/>
      <c r="K3872" s="1263"/>
      <c r="L3872" s="461"/>
      <c r="M3872" s="461"/>
      <c r="N3872" s="461"/>
    </row>
    <row r="3873" spans="1:14" s="462" customFormat="1" hidden="1" outlineLevel="1">
      <c r="A3873" s="1261"/>
      <c r="B3873" s="260"/>
      <c r="C3873" s="457" t="s">
        <v>2</v>
      </c>
      <c r="D3873" s="440">
        <v>1</v>
      </c>
      <c r="E3873" s="439">
        <v>1</v>
      </c>
      <c r="F3873" s="1350">
        <v>1.2</v>
      </c>
      <c r="G3873" s="1350">
        <v>0.23</v>
      </c>
      <c r="H3873" s="1350">
        <v>0.2</v>
      </c>
      <c r="I3873" s="399">
        <f t="shared" si="138"/>
        <v>0.06</v>
      </c>
      <c r="J3873" s="442"/>
      <c r="K3873" s="1263"/>
      <c r="L3873" s="461"/>
      <c r="M3873" s="461"/>
      <c r="N3873" s="461"/>
    </row>
    <row r="3874" spans="1:14" s="462" customFormat="1" hidden="1" outlineLevel="1">
      <c r="A3874" s="1261"/>
      <c r="B3874" s="260"/>
      <c r="C3874" s="457"/>
      <c r="D3874" s="440"/>
      <c r="E3874" s="439"/>
      <c r="F3874" s="1350"/>
      <c r="G3874" s="1350"/>
      <c r="H3874" s="1350"/>
      <c r="I3874" s="399" t="str">
        <f t="shared" si="138"/>
        <v/>
      </c>
      <c r="J3874" s="442"/>
      <c r="K3874" s="1263"/>
      <c r="L3874" s="461"/>
      <c r="M3874" s="461"/>
      <c r="N3874" s="461"/>
    </row>
    <row r="3875" spans="1:14" s="462" customFormat="1" hidden="1" outlineLevel="1">
      <c r="A3875" s="1261"/>
      <c r="B3875" s="260" t="s">
        <v>190</v>
      </c>
      <c r="C3875" s="457" t="s">
        <v>2</v>
      </c>
      <c r="D3875" s="440">
        <v>1</v>
      </c>
      <c r="E3875" s="439">
        <v>1</v>
      </c>
      <c r="F3875" s="1350">
        <v>7.96</v>
      </c>
      <c r="G3875" s="1350">
        <v>0.23</v>
      </c>
      <c r="H3875" s="1350">
        <v>0.2</v>
      </c>
      <c r="I3875" s="399">
        <f t="shared" si="138"/>
        <v>0.37</v>
      </c>
      <c r="J3875" s="442"/>
      <c r="K3875" s="1263"/>
      <c r="L3875" s="461"/>
      <c r="M3875" s="461"/>
      <c r="N3875" s="461"/>
    </row>
    <row r="3876" spans="1:14" s="462" customFormat="1" hidden="1" outlineLevel="1">
      <c r="A3876" s="1261"/>
      <c r="B3876" s="260"/>
      <c r="C3876" s="457"/>
      <c r="D3876" s="440"/>
      <c r="E3876" s="439"/>
      <c r="F3876" s="1350"/>
      <c r="G3876" s="1350"/>
      <c r="H3876" s="1350"/>
      <c r="I3876" s="399" t="str">
        <f t="shared" si="138"/>
        <v/>
      </c>
      <c r="J3876" s="442"/>
      <c r="K3876" s="1263"/>
      <c r="L3876" s="461"/>
      <c r="M3876" s="461"/>
      <c r="N3876" s="461"/>
    </row>
    <row r="3877" spans="1:14" s="462" customFormat="1" hidden="1" outlineLevel="1">
      <c r="A3877" s="1261"/>
      <c r="B3877" s="260" t="s">
        <v>191</v>
      </c>
      <c r="C3877" s="457" t="s">
        <v>2</v>
      </c>
      <c r="D3877" s="440">
        <v>1</v>
      </c>
      <c r="E3877" s="439">
        <v>8</v>
      </c>
      <c r="F3877" s="1350">
        <v>0.61499999999999999</v>
      </c>
      <c r="G3877" s="1350">
        <v>0.23</v>
      </c>
      <c r="H3877" s="1350">
        <v>0.2</v>
      </c>
      <c r="I3877" s="399">
        <f t="shared" ref="I3877:I3940" si="139">IF(D3877&lt;&gt;0,ROUND(PRODUCT(E3877:H3877)*D3877,2),"")</f>
        <v>0.23</v>
      </c>
      <c r="J3877" s="442"/>
      <c r="K3877" s="1263"/>
      <c r="L3877" s="461"/>
      <c r="M3877" s="461"/>
      <c r="N3877" s="461"/>
    </row>
    <row r="3878" spans="1:14" s="462" customFormat="1" hidden="1" outlineLevel="1">
      <c r="A3878" s="1261"/>
      <c r="B3878" s="260"/>
      <c r="C3878" s="457"/>
      <c r="D3878" s="440"/>
      <c r="E3878" s="439"/>
      <c r="F3878" s="1350"/>
      <c r="G3878" s="1350"/>
      <c r="H3878" s="1350"/>
      <c r="I3878" s="399" t="str">
        <f t="shared" si="139"/>
        <v/>
      </c>
      <c r="J3878" s="442"/>
      <c r="K3878" s="1263"/>
      <c r="L3878" s="461"/>
      <c r="M3878" s="461"/>
      <c r="N3878" s="461"/>
    </row>
    <row r="3879" spans="1:14" s="462" customFormat="1" hidden="1" outlineLevel="1">
      <c r="A3879" s="1261"/>
      <c r="B3879" s="260"/>
      <c r="C3879" s="457" t="s">
        <v>2</v>
      </c>
      <c r="D3879" s="440">
        <v>1</v>
      </c>
      <c r="E3879" s="439">
        <v>2</v>
      </c>
      <c r="F3879" s="1350">
        <v>1.9750000000000001</v>
      </c>
      <c r="G3879" s="1350">
        <v>0.23</v>
      </c>
      <c r="H3879" s="1350">
        <v>0.2</v>
      </c>
      <c r="I3879" s="399">
        <f t="shared" si="139"/>
        <v>0.18</v>
      </c>
      <c r="J3879" s="442"/>
      <c r="K3879" s="1263"/>
      <c r="L3879" s="461"/>
      <c r="M3879" s="461"/>
      <c r="N3879" s="461"/>
    </row>
    <row r="3880" spans="1:14" s="462" customFormat="1" hidden="1" outlineLevel="1">
      <c r="A3880" s="1261"/>
      <c r="B3880" s="260"/>
      <c r="C3880" s="457"/>
      <c r="D3880" s="440"/>
      <c r="E3880" s="439"/>
      <c r="F3880" s="1350"/>
      <c r="G3880" s="1350"/>
      <c r="H3880" s="1350"/>
      <c r="I3880" s="399" t="str">
        <f t="shared" si="139"/>
        <v/>
      </c>
      <c r="J3880" s="442"/>
      <c r="K3880" s="1263"/>
      <c r="L3880" s="461"/>
      <c r="M3880" s="461"/>
      <c r="N3880" s="461"/>
    </row>
    <row r="3881" spans="1:14" s="462" customFormat="1" hidden="1" outlineLevel="1">
      <c r="A3881" s="1261"/>
      <c r="B3881" s="260"/>
      <c r="C3881" s="457" t="s">
        <v>2</v>
      </c>
      <c r="D3881" s="440">
        <v>1</v>
      </c>
      <c r="E3881" s="439">
        <v>1</v>
      </c>
      <c r="F3881" s="1350">
        <v>2.5150000000000001</v>
      </c>
      <c r="G3881" s="1350">
        <v>0.23</v>
      </c>
      <c r="H3881" s="1350">
        <v>0.2</v>
      </c>
      <c r="I3881" s="399">
        <f t="shared" si="139"/>
        <v>0.12</v>
      </c>
      <c r="J3881" s="442"/>
      <c r="K3881" s="1263"/>
      <c r="L3881" s="461"/>
      <c r="M3881" s="461"/>
      <c r="N3881" s="461"/>
    </row>
    <row r="3882" spans="1:14" s="462" customFormat="1" hidden="1" outlineLevel="1">
      <c r="A3882" s="1261"/>
      <c r="B3882" s="260"/>
      <c r="C3882" s="457"/>
      <c r="D3882" s="440"/>
      <c r="E3882" s="439"/>
      <c r="F3882" s="1350"/>
      <c r="G3882" s="1350"/>
      <c r="H3882" s="1350"/>
      <c r="I3882" s="399" t="str">
        <f t="shared" si="139"/>
        <v/>
      </c>
      <c r="J3882" s="442"/>
      <c r="K3882" s="1263"/>
      <c r="L3882" s="461"/>
      <c r="M3882" s="461"/>
      <c r="N3882" s="461"/>
    </row>
    <row r="3883" spans="1:14" s="462" customFormat="1" hidden="1" outlineLevel="1">
      <c r="A3883" s="1261"/>
      <c r="B3883" s="260"/>
      <c r="C3883" s="457" t="s">
        <v>2</v>
      </c>
      <c r="D3883" s="440">
        <v>1</v>
      </c>
      <c r="E3883" s="439">
        <v>1</v>
      </c>
      <c r="F3883" s="1350">
        <v>1.67</v>
      </c>
      <c r="G3883" s="1350">
        <v>0.23</v>
      </c>
      <c r="H3883" s="1350">
        <v>0.2</v>
      </c>
      <c r="I3883" s="399">
        <f t="shared" si="139"/>
        <v>0.08</v>
      </c>
      <c r="J3883" s="442"/>
      <c r="K3883" s="1263"/>
      <c r="L3883" s="461"/>
      <c r="M3883" s="461"/>
      <c r="N3883" s="461"/>
    </row>
    <row r="3884" spans="1:14" s="462" customFormat="1" hidden="1" outlineLevel="1">
      <c r="A3884" s="1261"/>
      <c r="B3884" s="260"/>
      <c r="C3884" s="457"/>
      <c r="D3884" s="440"/>
      <c r="E3884" s="439"/>
      <c r="F3884" s="1350"/>
      <c r="G3884" s="1350"/>
      <c r="H3884" s="1350"/>
      <c r="I3884" s="399" t="str">
        <f t="shared" si="139"/>
        <v/>
      </c>
      <c r="J3884" s="442"/>
      <c r="K3884" s="1263"/>
      <c r="L3884" s="461"/>
      <c r="M3884" s="461"/>
      <c r="N3884" s="461"/>
    </row>
    <row r="3885" spans="1:14" s="462" customFormat="1" hidden="1" outlineLevel="1">
      <c r="A3885" s="1261"/>
      <c r="B3885" s="260"/>
      <c r="C3885" s="457" t="s">
        <v>2</v>
      </c>
      <c r="D3885" s="440">
        <v>1</v>
      </c>
      <c r="E3885" s="439">
        <v>2</v>
      </c>
      <c r="F3885" s="1350">
        <v>1.67</v>
      </c>
      <c r="G3885" s="1350">
        <v>0.23</v>
      </c>
      <c r="H3885" s="1350">
        <v>0.2</v>
      </c>
      <c r="I3885" s="399">
        <f t="shared" si="139"/>
        <v>0.15</v>
      </c>
      <c r="J3885" s="442"/>
      <c r="K3885" s="1263"/>
      <c r="L3885" s="461"/>
      <c r="M3885" s="461"/>
      <c r="N3885" s="461"/>
    </row>
    <row r="3886" spans="1:14" s="462" customFormat="1" hidden="1" outlineLevel="1">
      <c r="A3886" s="1261"/>
      <c r="B3886" s="260"/>
      <c r="C3886" s="457"/>
      <c r="D3886" s="440"/>
      <c r="E3886" s="439"/>
      <c r="F3886" s="1350"/>
      <c r="G3886" s="1350"/>
      <c r="H3886" s="1350"/>
      <c r="I3886" s="399" t="str">
        <f t="shared" si="139"/>
        <v/>
      </c>
      <c r="J3886" s="442"/>
      <c r="K3886" s="1263"/>
      <c r="L3886" s="461"/>
      <c r="M3886" s="461"/>
      <c r="N3886" s="461"/>
    </row>
    <row r="3887" spans="1:14" s="462" customFormat="1" hidden="1" outlineLevel="1">
      <c r="A3887" s="1261"/>
      <c r="B3887" s="260"/>
      <c r="C3887" s="457" t="s">
        <v>2</v>
      </c>
      <c r="D3887" s="440">
        <v>1</v>
      </c>
      <c r="E3887" s="439">
        <v>1</v>
      </c>
      <c r="F3887" s="1350">
        <v>2.5150000000000001</v>
      </c>
      <c r="G3887" s="1350">
        <v>0.23</v>
      </c>
      <c r="H3887" s="1350">
        <v>0.2</v>
      </c>
      <c r="I3887" s="399">
        <f t="shared" si="139"/>
        <v>0.12</v>
      </c>
      <c r="J3887" s="442"/>
      <c r="K3887" s="1263"/>
      <c r="L3887" s="461"/>
      <c r="M3887" s="461"/>
      <c r="N3887" s="461"/>
    </row>
    <row r="3888" spans="1:14" s="462" customFormat="1" hidden="1" outlineLevel="1">
      <c r="A3888" s="1261"/>
      <c r="B3888" s="260"/>
      <c r="C3888" s="457"/>
      <c r="D3888" s="440"/>
      <c r="E3888" s="439"/>
      <c r="F3888" s="1350"/>
      <c r="G3888" s="1350"/>
      <c r="H3888" s="1350"/>
      <c r="I3888" s="399" t="str">
        <f t="shared" si="139"/>
        <v/>
      </c>
      <c r="J3888" s="442"/>
      <c r="K3888" s="1263"/>
      <c r="L3888" s="461"/>
      <c r="M3888" s="461"/>
      <c r="N3888" s="461"/>
    </row>
    <row r="3889" spans="1:14" s="462" customFormat="1" hidden="1" outlineLevel="1">
      <c r="A3889" s="1261"/>
      <c r="B3889" s="260"/>
      <c r="C3889" s="457" t="s">
        <v>2</v>
      </c>
      <c r="D3889" s="440">
        <v>1</v>
      </c>
      <c r="E3889" s="439">
        <v>1</v>
      </c>
      <c r="F3889" s="1350">
        <v>1.67</v>
      </c>
      <c r="G3889" s="1350">
        <v>0.23</v>
      </c>
      <c r="H3889" s="1350">
        <v>0.2</v>
      </c>
      <c r="I3889" s="399">
        <f t="shared" si="139"/>
        <v>0.08</v>
      </c>
      <c r="J3889" s="442"/>
      <c r="K3889" s="1263"/>
      <c r="L3889" s="461"/>
      <c r="M3889" s="461"/>
      <c r="N3889" s="461"/>
    </row>
    <row r="3890" spans="1:14" s="462" customFormat="1" hidden="1" outlineLevel="1">
      <c r="A3890" s="1261"/>
      <c r="B3890" s="260"/>
      <c r="C3890" s="457"/>
      <c r="D3890" s="440"/>
      <c r="E3890" s="439"/>
      <c r="F3890" s="1350"/>
      <c r="G3890" s="1350"/>
      <c r="H3890" s="1350"/>
      <c r="I3890" s="399" t="str">
        <f t="shared" si="139"/>
        <v/>
      </c>
      <c r="J3890" s="442"/>
      <c r="K3890" s="1263"/>
      <c r="L3890" s="461"/>
      <c r="M3890" s="461"/>
      <c r="N3890" s="461"/>
    </row>
    <row r="3891" spans="1:14" s="462" customFormat="1" hidden="1" outlineLevel="1">
      <c r="A3891" s="1261"/>
      <c r="B3891" s="260" t="s">
        <v>334</v>
      </c>
      <c r="C3891" s="457"/>
      <c r="D3891" s="440"/>
      <c r="E3891" s="439"/>
      <c r="F3891" s="1350"/>
      <c r="G3891" s="1350"/>
      <c r="H3891" s="1350"/>
      <c r="I3891" s="399" t="str">
        <f t="shared" si="139"/>
        <v/>
      </c>
      <c r="J3891" s="442"/>
      <c r="K3891" s="1263"/>
      <c r="L3891" s="461"/>
      <c r="M3891" s="461"/>
      <c r="N3891" s="461"/>
    </row>
    <row r="3892" spans="1:14" s="462" customFormat="1" hidden="1" outlineLevel="1">
      <c r="A3892" s="1261"/>
      <c r="B3892" s="260"/>
      <c r="C3892" s="457"/>
      <c r="D3892" s="440"/>
      <c r="E3892" s="439"/>
      <c r="F3892" s="1350"/>
      <c r="G3892" s="1350"/>
      <c r="H3892" s="1350"/>
      <c r="I3892" s="399" t="str">
        <f t="shared" si="139"/>
        <v/>
      </c>
      <c r="J3892" s="442"/>
      <c r="K3892" s="1263"/>
      <c r="L3892" s="461"/>
      <c r="M3892" s="461"/>
      <c r="N3892" s="461"/>
    </row>
    <row r="3893" spans="1:14" s="462" customFormat="1" hidden="1" outlineLevel="1">
      <c r="A3893" s="1261"/>
      <c r="B3893" s="260" t="s">
        <v>187</v>
      </c>
      <c r="C3893" s="457" t="s">
        <v>2</v>
      </c>
      <c r="D3893" s="440">
        <v>1</v>
      </c>
      <c r="E3893" s="439">
        <v>1</v>
      </c>
      <c r="F3893" s="1350">
        <v>8.4600000000000009</v>
      </c>
      <c r="G3893" s="1350">
        <v>0.23</v>
      </c>
      <c r="H3893" s="1350">
        <v>0.2</v>
      </c>
      <c r="I3893" s="399">
        <f t="shared" si="139"/>
        <v>0.39</v>
      </c>
      <c r="J3893" s="442"/>
      <c r="K3893" s="1263"/>
      <c r="L3893" s="461"/>
      <c r="M3893" s="461"/>
      <c r="N3893" s="461"/>
    </row>
    <row r="3894" spans="1:14" s="462" customFormat="1" hidden="1" outlineLevel="1">
      <c r="A3894" s="1261"/>
      <c r="B3894" s="260"/>
      <c r="C3894" s="457"/>
      <c r="D3894" s="440"/>
      <c r="E3894" s="439"/>
      <c r="F3894" s="1350"/>
      <c r="G3894" s="1350"/>
      <c r="H3894" s="1350"/>
      <c r="I3894" s="399" t="str">
        <f t="shared" si="139"/>
        <v/>
      </c>
      <c r="J3894" s="442"/>
      <c r="K3894" s="1263"/>
      <c r="L3894" s="461"/>
      <c r="M3894" s="461"/>
      <c r="N3894" s="461"/>
    </row>
    <row r="3895" spans="1:14" s="462" customFormat="1" hidden="1" outlineLevel="1">
      <c r="A3895" s="1261"/>
      <c r="B3895" s="260"/>
      <c r="C3895" s="457" t="s">
        <v>2</v>
      </c>
      <c r="D3895" s="440">
        <v>1</v>
      </c>
      <c r="E3895" s="439">
        <v>1</v>
      </c>
      <c r="F3895" s="1350">
        <v>6.4300000000000006</v>
      </c>
      <c r="G3895" s="1350">
        <v>0.23</v>
      </c>
      <c r="H3895" s="1350">
        <v>0.2</v>
      </c>
      <c r="I3895" s="399">
        <f t="shared" si="139"/>
        <v>0.3</v>
      </c>
      <c r="J3895" s="442"/>
      <c r="K3895" s="1263"/>
      <c r="L3895" s="461"/>
      <c r="M3895" s="461"/>
      <c r="N3895" s="461"/>
    </row>
    <row r="3896" spans="1:14" s="462" customFormat="1" hidden="1" outlineLevel="1">
      <c r="A3896" s="1261"/>
      <c r="B3896" s="260"/>
      <c r="C3896" s="457"/>
      <c r="D3896" s="440"/>
      <c r="E3896" s="439"/>
      <c r="F3896" s="1350"/>
      <c r="G3896" s="1350"/>
      <c r="H3896" s="1350"/>
      <c r="I3896" s="399" t="str">
        <f t="shared" si="139"/>
        <v/>
      </c>
      <c r="J3896" s="442"/>
      <c r="K3896" s="1263"/>
      <c r="L3896" s="461"/>
      <c r="M3896" s="461"/>
      <c r="N3896" s="461"/>
    </row>
    <row r="3897" spans="1:14" s="462" customFormat="1" hidden="1" outlineLevel="1">
      <c r="A3897" s="1261"/>
      <c r="B3897" s="260"/>
      <c r="C3897" s="457" t="s">
        <v>2</v>
      </c>
      <c r="D3897" s="440">
        <v>1</v>
      </c>
      <c r="E3897" s="439">
        <v>1</v>
      </c>
      <c r="F3897" s="1350">
        <v>4.6300000000000008</v>
      </c>
      <c r="G3897" s="1350">
        <v>0.23</v>
      </c>
      <c r="H3897" s="1350">
        <v>0.2</v>
      </c>
      <c r="I3897" s="399">
        <f t="shared" si="139"/>
        <v>0.21</v>
      </c>
      <c r="J3897" s="442"/>
      <c r="K3897" s="1263"/>
      <c r="L3897" s="461"/>
      <c r="M3897" s="461"/>
      <c r="N3897" s="461"/>
    </row>
    <row r="3898" spans="1:14" s="462" customFormat="1" hidden="1" outlineLevel="1">
      <c r="A3898" s="1261"/>
      <c r="B3898" s="260"/>
      <c r="C3898" s="457"/>
      <c r="D3898" s="440"/>
      <c r="E3898" s="439"/>
      <c r="F3898" s="1350"/>
      <c r="G3898" s="1350"/>
      <c r="H3898" s="1350"/>
      <c r="I3898" s="399" t="str">
        <f t="shared" si="139"/>
        <v/>
      </c>
      <c r="J3898" s="442"/>
      <c r="K3898" s="1263"/>
      <c r="L3898" s="461"/>
      <c r="M3898" s="461"/>
      <c r="N3898" s="461"/>
    </row>
    <row r="3899" spans="1:14" s="462" customFormat="1" hidden="1" outlineLevel="1">
      <c r="A3899" s="1261"/>
      <c r="B3899" s="260"/>
      <c r="C3899" s="457" t="s">
        <v>2</v>
      </c>
      <c r="D3899" s="440">
        <v>1</v>
      </c>
      <c r="E3899" s="439">
        <v>1</v>
      </c>
      <c r="F3899" s="1350">
        <v>1.43</v>
      </c>
      <c r="G3899" s="1350">
        <v>0.23</v>
      </c>
      <c r="H3899" s="1350">
        <v>0.2</v>
      </c>
      <c r="I3899" s="399">
        <f t="shared" si="139"/>
        <v>7.0000000000000007E-2</v>
      </c>
      <c r="J3899" s="442"/>
      <c r="K3899" s="1263"/>
      <c r="L3899" s="461"/>
      <c r="M3899" s="461"/>
      <c r="N3899" s="461"/>
    </row>
    <row r="3900" spans="1:14" s="462" customFormat="1" hidden="1" outlineLevel="1">
      <c r="A3900" s="1261"/>
      <c r="B3900" s="260"/>
      <c r="C3900" s="457"/>
      <c r="D3900" s="440"/>
      <c r="E3900" s="439"/>
      <c r="F3900" s="1350"/>
      <c r="G3900" s="1350"/>
      <c r="H3900" s="1350"/>
      <c r="I3900" s="399" t="str">
        <f t="shared" si="139"/>
        <v/>
      </c>
      <c r="J3900" s="442"/>
      <c r="K3900" s="1263"/>
      <c r="L3900" s="461"/>
      <c r="M3900" s="461"/>
      <c r="N3900" s="461"/>
    </row>
    <row r="3901" spans="1:14" s="462" customFormat="1" hidden="1" outlineLevel="1">
      <c r="A3901" s="1261"/>
      <c r="B3901" s="260"/>
      <c r="C3901" s="457" t="s">
        <v>2</v>
      </c>
      <c r="D3901" s="440">
        <v>1</v>
      </c>
      <c r="E3901" s="439">
        <v>1</v>
      </c>
      <c r="F3901" s="1350">
        <v>3.43</v>
      </c>
      <c r="G3901" s="1350">
        <v>0.23</v>
      </c>
      <c r="H3901" s="1350">
        <v>0.2</v>
      </c>
      <c r="I3901" s="399">
        <f t="shared" si="139"/>
        <v>0.16</v>
      </c>
      <c r="J3901" s="442"/>
      <c r="K3901" s="1263"/>
      <c r="L3901" s="461"/>
      <c r="M3901" s="461"/>
      <c r="N3901" s="461"/>
    </row>
    <row r="3902" spans="1:14" s="462" customFormat="1" hidden="1" outlineLevel="1">
      <c r="A3902" s="1261"/>
      <c r="B3902" s="260" t="s">
        <v>333</v>
      </c>
      <c r="C3902" s="457" t="s">
        <v>2</v>
      </c>
      <c r="D3902" s="440">
        <v>1</v>
      </c>
      <c r="E3902" s="439">
        <v>1</v>
      </c>
      <c r="F3902" s="1350">
        <v>3</v>
      </c>
      <c r="G3902" s="1350">
        <v>0.38500000000000001</v>
      </c>
      <c r="H3902" s="1350">
        <v>0.27500000000000002</v>
      </c>
      <c r="I3902" s="399">
        <f t="shared" si="139"/>
        <v>0.32</v>
      </c>
      <c r="J3902" s="442"/>
      <c r="K3902" s="1263"/>
      <c r="L3902" s="461"/>
      <c r="M3902" s="461"/>
      <c r="N3902" s="461"/>
    </row>
    <row r="3903" spans="1:14" s="462" customFormat="1" hidden="1" outlineLevel="1">
      <c r="A3903" s="1261"/>
      <c r="B3903" s="260"/>
      <c r="C3903" s="457"/>
      <c r="D3903" s="440"/>
      <c r="E3903" s="439"/>
      <c r="F3903" s="1350"/>
      <c r="G3903" s="1350"/>
      <c r="H3903" s="1350"/>
      <c r="I3903" s="399" t="str">
        <f t="shared" si="139"/>
        <v/>
      </c>
      <c r="J3903" s="442"/>
      <c r="K3903" s="1263"/>
      <c r="L3903" s="461"/>
      <c r="M3903" s="461"/>
      <c r="N3903" s="461"/>
    </row>
    <row r="3904" spans="1:14" s="462" customFormat="1" hidden="1" outlineLevel="1">
      <c r="A3904" s="1261"/>
      <c r="B3904" s="260"/>
      <c r="C3904" s="457" t="s">
        <v>2</v>
      </c>
      <c r="D3904" s="440">
        <v>1</v>
      </c>
      <c r="E3904" s="439">
        <v>1</v>
      </c>
      <c r="F3904" s="1350">
        <v>3.23</v>
      </c>
      <c r="G3904" s="1350">
        <v>0.23</v>
      </c>
      <c r="H3904" s="1350">
        <v>0.2</v>
      </c>
      <c r="I3904" s="399">
        <f t="shared" si="139"/>
        <v>0.15</v>
      </c>
      <c r="J3904" s="442"/>
      <c r="K3904" s="1263"/>
      <c r="L3904" s="461"/>
      <c r="M3904" s="461"/>
      <c r="N3904" s="461"/>
    </row>
    <row r="3905" spans="1:14" s="462" customFormat="1" hidden="1" outlineLevel="1">
      <c r="A3905" s="1261"/>
      <c r="B3905" s="260" t="s">
        <v>335</v>
      </c>
      <c r="C3905" s="457" t="s">
        <v>2</v>
      </c>
      <c r="D3905" s="440">
        <v>1</v>
      </c>
      <c r="E3905" s="439">
        <v>1</v>
      </c>
      <c r="F3905" s="1350">
        <v>3</v>
      </c>
      <c r="G3905" s="1350">
        <v>0.38500000000000001</v>
      </c>
      <c r="H3905" s="1350">
        <v>0.27500000000000002</v>
      </c>
      <c r="I3905" s="399">
        <f t="shared" si="139"/>
        <v>0.32</v>
      </c>
      <c r="J3905" s="442"/>
      <c r="K3905" s="1263"/>
      <c r="L3905" s="461"/>
      <c r="M3905" s="461"/>
      <c r="N3905" s="461"/>
    </row>
    <row r="3906" spans="1:14" s="462" customFormat="1" hidden="1" outlineLevel="1">
      <c r="A3906" s="1261"/>
      <c r="B3906" s="260"/>
      <c r="C3906" s="457"/>
      <c r="D3906" s="440"/>
      <c r="E3906" s="439"/>
      <c r="F3906" s="1350"/>
      <c r="G3906" s="1350"/>
      <c r="H3906" s="1350"/>
      <c r="I3906" s="399" t="str">
        <f t="shared" si="139"/>
        <v/>
      </c>
      <c r="J3906" s="442"/>
      <c r="K3906" s="1263"/>
      <c r="L3906" s="461"/>
      <c r="M3906" s="461"/>
      <c r="N3906" s="461"/>
    </row>
    <row r="3907" spans="1:14" s="462" customFormat="1" hidden="1" outlineLevel="1">
      <c r="A3907" s="1261"/>
      <c r="B3907" s="260"/>
      <c r="C3907" s="457" t="s">
        <v>2</v>
      </c>
      <c r="D3907" s="440">
        <v>1</v>
      </c>
      <c r="E3907" s="439">
        <v>1</v>
      </c>
      <c r="F3907" s="1350">
        <v>4.4300000000000006</v>
      </c>
      <c r="G3907" s="1350">
        <v>0.23</v>
      </c>
      <c r="H3907" s="1350">
        <v>0.2</v>
      </c>
      <c r="I3907" s="399">
        <f t="shared" si="139"/>
        <v>0.2</v>
      </c>
      <c r="J3907" s="442"/>
      <c r="K3907" s="1263"/>
      <c r="L3907" s="461"/>
      <c r="M3907" s="461"/>
      <c r="N3907" s="461"/>
    </row>
    <row r="3908" spans="1:14" s="462" customFormat="1" hidden="1" outlineLevel="1">
      <c r="A3908" s="1261"/>
      <c r="B3908" s="260"/>
      <c r="C3908" s="457"/>
      <c r="D3908" s="440"/>
      <c r="E3908" s="439"/>
      <c r="F3908" s="1350"/>
      <c r="G3908" s="1350"/>
      <c r="H3908" s="1350"/>
      <c r="I3908" s="399" t="str">
        <f t="shared" si="139"/>
        <v/>
      </c>
      <c r="J3908" s="442"/>
      <c r="K3908" s="1263"/>
      <c r="L3908" s="461"/>
      <c r="M3908" s="461"/>
      <c r="N3908" s="461"/>
    </row>
    <row r="3909" spans="1:14" s="462" customFormat="1" hidden="1" outlineLevel="1">
      <c r="A3909" s="1261"/>
      <c r="B3909" s="260"/>
      <c r="C3909" s="457" t="s">
        <v>2</v>
      </c>
      <c r="D3909" s="440">
        <v>1</v>
      </c>
      <c r="E3909" s="439">
        <v>1</v>
      </c>
      <c r="F3909" s="1350">
        <v>3.23</v>
      </c>
      <c r="G3909" s="1350">
        <v>0.23</v>
      </c>
      <c r="H3909" s="1350">
        <v>0.2</v>
      </c>
      <c r="I3909" s="399">
        <f t="shared" si="139"/>
        <v>0.15</v>
      </c>
      <c r="J3909" s="442"/>
      <c r="K3909" s="1263"/>
      <c r="L3909" s="461"/>
      <c r="M3909" s="461"/>
      <c r="N3909" s="461"/>
    </row>
    <row r="3910" spans="1:14" s="462" customFormat="1" hidden="1" outlineLevel="1">
      <c r="A3910" s="1261"/>
      <c r="B3910" s="260"/>
      <c r="C3910" s="457"/>
      <c r="D3910" s="440"/>
      <c r="E3910" s="439"/>
      <c r="F3910" s="1350"/>
      <c r="G3910" s="1350"/>
      <c r="H3910" s="1350"/>
      <c r="I3910" s="399" t="str">
        <f t="shared" si="139"/>
        <v/>
      </c>
      <c r="J3910" s="442"/>
      <c r="K3910" s="1263"/>
      <c r="L3910" s="461"/>
      <c r="M3910" s="461"/>
      <c r="N3910" s="461"/>
    </row>
    <row r="3911" spans="1:14" s="462" customFormat="1" hidden="1" outlineLevel="1">
      <c r="A3911" s="1261"/>
      <c r="B3911" s="260"/>
      <c r="C3911" s="457" t="s">
        <v>2</v>
      </c>
      <c r="D3911" s="440">
        <v>1</v>
      </c>
      <c r="E3911" s="439">
        <v>1</v>
      </c>
      <c r="F3911" s="1350">
        <v>4.4300000000000006</v>
      </c>
      <c r="G3911" s="1350">
        <v>0.23</v>
      </c>
      <c r="H3911" s="1350">
        <v>0.2</v>
      </c>
      <c r="I3911" s="399">
        <f t="shared" si="139"/>
        <v>0.2</v>
      </c>
      <c r="J3911" s="442"/>
      <c r="K3911" s="1263"/>
      <c r="L3911" s="461"/>
      <c r="M3911" s="461"/>
      <c r="N3911" s="461"/>
    </row>
    <row r="3912" spans="1:14" s="462" customFormat="1" hidden="1" outlineLevel="1">
      <c r="A3912" s="1261"/>
      <c r="B3912" s="260"/>
      <c r="C3912" s="457"/>
      <c r="D3912" s="440"/>
      <c r="E3912" s="439"/>
      <c r="F3912" s="1350"/>
      <c r="G3912" s="1350"/>
      <c r="H3912" s="1350"/>
      <c r="I3912" s="399" t="str">
        <f t="shared" si="139"/>
        <v/>
      </c>
      <c r="J3912" s="442"/>
      <c r="K3912" s="1263"/>
      <c r="L3912" s="461"/>
      <c r="M3912" s="461"/>
      <c r="N3912" s="461"/>
    </row>
    <row r="3913" spans="1:14" s="462" customFormat="1" hidden="1" outlineLevel="1">
      <c r="A3913" s="1261"/>
      <c r="B3913" s="260"/>
      <c r="C3913" s="457" t="s">
        <v>2</v>
      </c>
      <c r="D3913" s="440">
        <v>1</v>
      </c>
      <c r="E3913" s="439">
        <v>1</v>
      </c>
      <c r="F3913" s="1350">
        <v>1.43</v>
      </c>
      <c r="G3913" s="1350">
        <v>0.23</v>
      </c>
      <c r="H3913" s="1350">
        <v>0.2</v>
      </c>
      <c r="I3913" s="399">
        <f t="shared" si="139"/>
        <v>7.0000000000000007E-2</v>
      </c>
      <c r="J3913" s="442"/>
      <c r="K3913" s="1263"/>
      <c r="L3913" s="461"/>
      <c r="M3913" s="461"/>
      <c r="N3913" s="461"/>
    </row>
    <row r="3914" spans="1:14" s="462" customFormat="1" hidden="1" outlineLevel="1">
      <c r="A3914" s="1261"/>
      <c r="B3914" s="260"/>
      <c r="C3914" s="457"/>
      <c r="D3914" s="440"/>
      <c r="E3914" s="439"/>
      <c r="F3914" s="1350"/>
      <c r="G3914" s="1350"/>
      <c r="H3914" s="1350"/>
      <c r="I3914" s="399" t="str">
        <f t="shared" si="139"/>
        <v/>
      </c>
      <c r="J3914" s="442"/>
      <c r="K3914" s="1263"/>
      <c r="L3914" s="461"/>
      <c r="M3914" s="461"/>
      <c r="N3914" s="461"/>
    </row>
    <row r="3915" spans="1:14" s="462" customFormat="1" hidden="1" outlineLevel="1">
      <c r="A3915" s="1261"/>
      <c r="B3915" s="260"/>
      <c r="C3915" s="457" t="s">
        <v>2</v>
      </c>
      <c r="D3915" s="440">
        <v>1</v>
      </c>
      <c r="E3915" s="439">
        <v>1</v>
      </c>
      <c r="F3915" s="1350">
        <v>6.23</v>
      </c>
      <c r="G3915" s="1350">
        <v>0.23</v>
      </c>
      <c r="H3915" s="1350">
        <v>0.2</v>
      </c>
      <c r="I3915" s="399">
        <f t="shared" si="139"/>
        <v>0.28999999999999998</v>
      </c>
      <c r="J3915" s="442"/>
      <c r="K3915" s="1263"/>
      <c r="L3915" s="461"/>
      <c r="M3915" s="461"/>
      <c r="N3915" s="461"/>
    </row>
    <row r="3916" spans="1:14" s="462" customFormat="1" hidden="1" outlineLevel="1">
      <c r="A3916" s="1261"/>
      <c r="B3916" s="260"/>
      <c r="C3916" s="457"/>
      <c r="D3916" s="440"/>
      <c r="E3916" s="439"/>
      <c r="F3916" s="1350"/>
      <c r="G3916" s="1350"/>
      <c r="H3916" s="1350"/>
      <c r="I3916" s="399" t="str">
        <f t="shared" si="139"/>
        <v/>
      </c>
      <c r="J3916" s="442"/>
      <c r="K3916" s="1263"/>
      <c r="L3916" s="461"/>
      <c r="M3916" s="461"/>
      <c r="N3916" s="461"/>
    </row>
    <row r="3917" spans="1:14" s="462" customFormat="1" hidden="1" outlineLevel="1">
      <c r="A3917" s="1261"/>
      <c r="B3917" s="260"/>
      <c r="C3917" s="457" t="s">
        <v>2</v>
      </c>
      <c r="D3917" s="440">
        <v>1</v>
      </c>
      <c r="E3917" s="439">
        <v>1</v>
      </c>
      <c r="F3917" s="1350">
        <v>8.23</v>
      </c>
      <c r="G3917" s="1350">
        <v>0.23</v>
      </c>
      <c r="H3917" s="1350">
        <v>0.2</v>
      </c>
      <c r="I3917" s="399">
        <f t="shared" si="139"/>
        <v>0.38</v>
      </c>
      <c r="J3917" s="442"/>
      <c r="K3917" s="1263"/>
      <c r="L3917" s="461"/>
      <c r="M3917" s="461"/>
      <c r="N3917" s="461"/>
    </row>
    <row r="3918" spans="1:14" s="462" customFormat="1" hidden="1" outlineLevel="1">
      <c r="A3918" s="1261"/>
      <c r="B3918" s="260"/>
      <c r="C3918" s="457"/>
      <c r="D3918" s="440"/>
      <c r="E3918" s="439"/>
      <c r="F3918" s="1350"/>
      <c r="G3918" s="1350"/>
      <c r="H3918" s="1350"/>
      <c r="I3918" s="399" t="str">
        <f t="shared" si="139"/>
        <v/>
      </c>
      <c r="J3918" s="442"/>
      <c r="K3918" s="1263"/>
      <c r="L3918" s="461"/>
      <c r="M3918" s="461"/>
      <c r="N3918" s="461"/>
    </row>
    <row r="3919" spans="1:14" s="462" customFormat="1" hidden="1" outlineLevel="1">
      <c r="A3919" s="1261"/>
      <c r="B3919" s="260"/>
      <c r="C3919" s="457" t="s">
        <v>2</v>
      </c>
      <c r="D3919" s="440">
        <v>1</v>
      </c>
      <c r="E3919" s="439">
        <v>1</v>
      </c>
      <c r="F3919" s="1350">
        <v>10.260000000000002</v>
      </c>
      <c r="G3919" s="1350">
        <v>0.23</v>
      </c>
      <c r="H3919" s="1350">
        <v>0.2</v>
      </c>
      <c r="I3919" s="399">
        <f t="shared" si="139"/>
        <v>0.47</v>
      </c>
      <c r="J3919" s="442"/>
      <c r="K3919" s="1263"/>
      <c r="L3919" s="461"/>
      <c r="M3919" s="461"/>
      <c r="N3919" s="461"/>
    </row>
    <row r="3920" spans="1:14" s="462" customFormat="1" hidden="1" outlineLevel="1">
      <c r="A3920" s="1261"/>
      <c r="B3920" s="260"/>
      <c r="C3920" s="457"/>
      <c r="D3920" s="440"/>
      <c r="E3920" s="439"/>
      <c r="F3920" s="1350"/>
      <c r="G3920" s="1350"/>
      <c r="H3920" s="1350"/>
      <c r="I3920" s="399" t="str">
        <f t="shared" si="139"/>
        <v/>
      </c>
      <c r="J3920" s="442"/>
      <c r="K3920" s="1263"/>
      <c r="L3920" s="461"/>
      <c r="M3920" s="461"/>
      <c r="N3920" s="461"/>
    </row>
    <row r="3921" spans="1:14" s="462" customFormat="1" hidden="1" outlineLevel="1">
      <c r="A3921" s="1261"/>
      <c r="B3921" s="260" t="s">
        <v>194</v>
      </c>
      <c r="C3921" s="457" t="s">
        <v>2</v>
      </c>
      <c r="D3921" s="440">
        <v>1</v>
      </c>
      <c r="E3921" s="439">
        <v>6</v>
      </c>
      <c r="F3921" s="1350">
        <v>0.61499999999999999</v>
      </c>
      <c r="G3921" s="1350">
        <v>0.23</v>
      </c>
      <c r="H3921" s="1350">
        <v>0.2</v>
      </c>
      <c r="I3921" s="399">
        <f t="shared" si="139"/>
        <v>0.17</v>
      </c>
      <c r="J3921" s="442"/>
      <c r="K3921" s="1263"/>
      <c r="L3921" s="461"/>
      <c r="M3921" s="461"/>
      <c r="N3921" s="461"/>
    </row>
    <row r="3922" spans="1:14" s="462" customFormat="1" hidden="1" outlineLevel="1">
      <c r="A3922" s="1261"/>
      <c r="B3922" s="260"/>
      <c r="C3922" s="457"/>
      <c r="D3922" s="440"/>
      <c r="E3922" s="439"/>
      <c r="F3922" s="1350"/>
      <c r="G3922" s="1350"/>
      <c r="H3922" s="1350"/>
      <c r="I3922" s="399" t="str">
        <f t="shared" si="139"/>
        <v/>
      </c>
      <c r="J3922" s="442"/>
      <c r="K3922" s="1263"/>
      <c r="L3922" s="461"/>
      <c r="M3922" s="461"/>
      <c r="N3922" s="461"/>
    </row>
    <row r="3923" spans="1:14" s="462" customFormat="1" hidden="1" outlineLevel="1">
      <c r="A3923" s="1261"/>
      <c r="B3923" s="260"/>
      <c r="C3923" s="457" t="s">
        <v>2</v>
      </c>
      <c r="D3923" s="440">
        <v>1</v>
      </c>
      <c r="E3923" s="439">
        <v>1</v>
      </c>
      <c r="F3923" s="1350">
        <v>2.5150000000000001</v>
      </c>
      <c r="G3923" s="1350">
        <v>0.23</v>
      </c>
      <c r="H3923" s="1350">
        <v>0.2</v>
      </c>
      <c r="I3923" s="399">
        <f t="shared" si="139"/>
        <v>0.12</v>
      </c>
      <c r="J3923" s="442"/>
      <c r="K3923" s="1263"/>
      <c r="L3923" s="461"/>
      <c r="M3923" s="461"/>
      <c r="N3923" s="461"/>
    </row>
    <row r="3924" spans="1:14" s="462" customFormat="1" hidden="1" outlineLevel="1">
      <c r="A3924" s="1261"/>
      <c r="B3924" s="260"/>
      <c r="C3924" s="457"/>
      <c r="D3924" s="440"/>
      <c r="E3924" s="439"/>
      <c r="F3924" s="1350"/>
      <c r="G3924" s="1350"/>
      <c r="H3924" s="1350"/>
      <c r="I3924" s="399" t="str">
        <f t="shared" si="139"/>
        <v/>
      </c>
      <c r="J3924" s="442"/>
      <c r="K3924" s="1263"/>
      <c r="L3924" s="461"/>
      <c r="M3924" s="461"/>
      <c r="N3924" s="461"/>
    </row>
    <row r="3925" spans="1:14" s="462" customFormat="1" hidden="1" outlineLevel="1">
      <c r="A3925" s="1261"/>
      <c r="B3925" s="260"/>
      <c r="C3925" s="457" t="s">
        <v>2</v>
      </c>
      <c r="D3925" s="440">
        <v>1</v>
      </c>
      <c r="E3925" s="439">
        <v>1</v>
      </c>
      <c r="F3925" s="1350">
        <v>1.67</v>
      </c>
      <c r="G3925" s="1350">
        <v>0.23</v>
      </c>
      <c r="H3925" s="1350">
        <v>0.2</v>
      </c>
      <c r="I3925" s="399">
        <f t="shared" si="139"/>
        <v>0.08</v>
      </c>
      <c r="J3925" s="442"/>
      <c r="K3925" s="1263"/>
      <c r="L3925" s="461"/>
      <c r="M3925" s="461"/>
      <c r="N3925" s="461"/>
    </row>
    <row r="3926" spans="1:14" s="462" customFormat="1" hidden="1" outlineLevel="1">
      <c r="A3926" s="1261"/>
      <c r="B3926" s="260"/>
      <c r="C3926" s="457"/>
      <c r="D3926" s="440"/>
      <c r="E3926" s="439"/>
      <c r="F3926" s="1350"/>
      <c r="G3926" s="1350"/>
      <c r="H3926" s="1350"/>
      <c r="I3926" s="399" t="str">
        <f t="shared" si="139"/>
        <v/>
      </c>
      <c r="J3926" s="442"/>
      <c r="K3926" s="1263"/>
      <c r="L3926" s="461"/>
      <c r="M3926" s="461"/>
      <c r="N3926" s="461"/>
    </row>
    <row r="3927" spans="1:14" s="462" customFormat="1" hidden="1" outlineLevel="1">
      <c r="A3927" s="1261"/>
      <c r="B3927" s="260"/>
      <c r="C3927" s="457" t="s">
        <v>2</v>
      </c>
      <c r="D3927" s="440">
        <v>1</v>
      </c>
      <c r="E3927" s="439">
        <v>2</v>
      </c>
      <c r="F3927" s="1350">
        <v>1.67</v>
      </c>
      <c r="G3927" s="1350">
        <v>0.23</v>
      </c>
      <c r="H3927" s="1350">
        <v>0.2</v>
      </c>
      <c r="I3927" s="399">
        <f t="shared" si="139"/>
        <v>0.15</v>
      </c>
      <c r="J3927" s="442"/>
      <c r="K3927" s="1263"/>
      <c r="L3927" s="461"/>
      <c r="M3927" s="461"/>
      <c r="N3927" s="461"/>
    </row>
    <row r="3928" spans="1:14" s="462" customFormat="1" hidden="1" outlineLevel="1">
      <c r="A3928" s="1261"/>
      <c r="B3928" s="260"/>
      <c r="C3928" s="457"/>
      <c r="D3928" s="440"/>
      <c r="E3928" s="439"/>
      <c r="F3928" s="1350"/>
      <c r="G3928" s="1350"/>
      <c r="H3928" s="1350"/>
      <c r="I3928" s="399" t="str">
        <f t="shared" si="139"/>
        <v/>
      </c>
      <c r="J3928" s="442"/>
      <c r="K3928" s="1263"/>
      <c r="L3928" s="461"/>
      <c r="M3928" s="461"/>
      <c r="N3928" s="461"/>
    </row>
    <row r="3929" spans="1:14" s="462" customFormat="1" hidden="1" outlineLevel="1">
      <c r="A3929" s="1261"/>
      <c r="B3929" s="260"/>
      <c r="C3929" s="457" t="s">
        <v>2</v>
      </c>
      <c r="D3929" s="440">
        <v>1</v>
      </c>
      <c r="E3929" s="439">
        <v>1</v>
      </c>
      <c r="F3929" s="1350">
        <v>2.5150000000000001</v>
      </c>
      <c r="G3929" s="1350">
        <v>0.23</v>
      </c>
      <c r="H3929" s="1350">
        <v>0.2</v>
      </c>
      <c r="I3929" s="399">
        <f t="shared" si="139"/>
        <v>0.12</v>
      </c>
      <c r="J3929" s="442"/>
      <c r="K3929" s="1263"/>
      <c r="L3929" s="461"/>
      <c r="M3929" s="461"/>
      <c r="N3929" s="461"/>
    </row>
    <row r="3930" spans="1:14" s="462" customFormat="1" hidden="1" outlineLevel="1">
      <c r="A3930" s="1261"/>
      <c r="B3930" s="260"/>
      <c r="C3930" s="457"/>
      <c r="D3930" s="440"/>
      <c r="E3930" s="439"/>
      <c r="F3930" s="1350"/>
      <c r="G3930" s="1350"/>
      <c r="H3930" s="1350"/>
      <c r="I3930" s="399" t="str">
        <f t="shared" si="139"/>
        <v/>
      </c>
      <c r="J3930" s="442"/>
      <c r="K3930" s="1263"/>
      <c r="L3930" s="461"/>
      <c r="M3930" s="461"/>
      <c r="N3930" s="461"/>
    </row>
    <row r="3931" spans="1:14" s="462" customFormat="1" hidden="1" outlineLevel="1">
      <c r="A3931" s="1261"/>
      <c r="B3931" s="260"/>
      <c r="C3931" s="457" t="s">
        <v>2</v>
      </c>
      <c r="D3931" s="440">
        <v>1</v>
      </c>
      <c r="E3931" s="439">
        <v>1</v>
      </c>
      <c r="F3931" s="1350">
        <v>1.67</v>
      </c>
      <c r="G3931" s="1350">
        <v>0.23</v>
      </c>
      <c r="H3931" s="1350">
        <v>0.2</v>
      </c>
      <c r="I3931" s="399">
        <f t="shared" si="139"/>
        <v>0.08</v>
      </c>
      <c r="J3931" s="442"/>
      <c r="K3931" s="1263"/>
      <c r="L3931" s="461"/>
      <c r="M3931" s="461"/>
      <c r="N3931" s="461"/>
    </row>
    <row r="3932" spans="1:14" s="462" customFormat="1" hidden="1" outlineLevel="1">
      <c r="A3932" s="1261"/>
      <c r="B3932" s="260"/>
      <c r="C3932" s="457"/>
      <c r="D3932" s="440"/>
      <c r="E3932" s="439"/>
      <c r="F3932" s="1350"/>
      <c r="G3932" s="1350"/>
      <c r="H3932" s="1350"/>
      <c r="I3932" s="399" t="str">
        <f t="shared" si="139"/>
        <v/>
      </c>
      <c r="J3932" s="442"/>
      <c r="K3932" s="1263"/>
      <c r="L3932" s="461"/>
      <c r="M3932" s="461"/>
      <c r="N3932" s="461"/>
    </row>
    <row r="3933" spans="1:14" s="462" customFormat="1" hidden="1" outlineLevel="1">
      <c r="A3933" s="1261"/>
      <c r="B3933" s="260" t="s">
        <v>336</v>
      </c>
      <c r="C3933" s="457"/>
      <c r="D3933" s="440"/>
      <c r="E3933" s="439"/>
      <c r="F3933" s="1350"/>
      <c r="G3933" s="1350"/>
      <c r="H3933" s="1350"/>
      <c r="I3933" s="399" t="str">
        <f t="shared" si="139"/>
        <v/>
      </c>
      <c r="J3933" s="442"/>
      <c r="K3933" s="1263"/>
      <c r="L3933" s="461"/>
      <c r="M3933" s="461"/>
      <c r="N3933" s="461"/>
    </row>
    <row r="3934" spans="1:14" s="462" customFormat="1" hidden="1" outlineLevel="1">
      <c r="A3934" s="1261"/>
      <c r="B3934" s="260"/>
      <c r="C3934" s="457"/>
      <c r="D3934" s="440"/>
      <c r="E3934" s="439"/>
      <c r="F3934" s="1350"/>
      <c r="G3934" s="1350"/>
      <c r="H3934" s="1350"/>
      <c r="I3934" s="399" t="str">
        <f t="shared" si="139"/>
        <v/>
      </c>
      <c r="J3934" s="442"/>
      <c r="K3934" s="1263"/>
      <c r="L3934" s="461"/>
      <c r="M3934" s="461"/>
      <c r="N3934" s="461"/>
    </row>
    <row r="3935" spans="1:14" s="462" customFormat="1" hidden="1" outlineLevel="1">
      <c r="A3935" s="1261"/>
      <c r="B3935" s="260" t="s">
        <v>196</v>
      </c>
      <c r="C3935" s="457" t="s">
        <v>2</v>
      </c>
      <c r="D3935" s="440">
        <v>1</v>
      </c>
      <c r="E3935" s="439">
        <v>1</v>
      </c>
      <c r="F3935" s="1350">
        <v>7.24</v>
      </c>
      <c r="G3935" s="1350">
        <v>0.23</v>
      </c>
      <c r="H3935" s="1350">
        <v>0.2</v>
      </c>
      <c r="I3935" s="399">
        <f t="shared" si="139"/>
        <v>0.33</v>
      </c>
      <c r="J3935" s="442"/>
      <c r="K3935" s="1263"/>
      <c r="L3935" s="461"/>
      <c r="M3935" s="461"/>
      <c r="N3935" s="461"/>
    </row>
    <row r="3936" spans="1:14" s="462" customFormat="1" hidden="1" outlineLevel="1">
      <c r="A3936" s="1261"/>
      <c r="B3936" s="260"/>
      <c r="C3936" s="457"/>
      <c r="D3936" s="440"/>
      <c r="E3936" s="439"/>
      <c r="F3936" s="1350"/>
      <c r="G3936" s="1350"/>
      <c r="H3936" s="1350"/>
      <c r="I3936" s="399" t="str">
        <f t="shared" si="139"/>
        <v/>
      </c>
      <c r="J3936" s="442"/>
      <c r="K3936" s="1263"/>
      <c r="L3936" s="461"/>
      <c r="M3936" s="461"/>
      <c r="N3936" s="461"/>
    </row>
    <row r="3937" spans="1:14" s="462" customFormat="1" hidden="1" outlineLevel="1">
      <c r="A3937" s="1261"/>
      <c r="B3937" s="260"/>
      <c r="C3937" s="457" t="s">
        <v>2</v>
      </c>
      <c r="D3937" s="440">
        <v>1</v>
      </c>
      <c r="E3937" s="439">
        <v>1</v>
      </c>
      <c r="F3937" s="1350">
        <v>5.23</v>
      </c>
      <c r="G3937" s="1350">
        <v>0.23</v>
      </c>
      <c r="H3937" s="1350">
        <v>0.2</v>
      </c>
      <c r="I3937" s="399">
        <f t="shared" si="139"/>
        <v>0.24</v>
      </c>
      <c r="J3937" s="442"/>
      <c r="K3937" s="1263"/>
      <c r="L3937" s="461"/>
      <c r="M3937" s="461"/>
      <c r="N3937" s="461"/>
    </row>
    <row r="3938" spans="1:14" s="462" customFormat="1" hidden="1" outlineLevel="1">
      <c r="A3938" s="1261"/>
      <c r="B3938" s="260"/>
      <c r="C3938" s="457"/>
      <c r="D3938" s="440"/>
      <c r="E3938" s="439"/>
      <c r="F3938" s="1350"/>
      <c r="G3938" s="1350"/>
      <c r="H3938" s="1350"/>
      <c r="I3938" s="399" t="str">
        <f t="shared" si="139"/>
        <v/>
      </c>
      <c r="J3938" s="442"/>
      <c r="K3938" s="1263"/>
      <c r="L3938" s="461"/>
      <c r="M3938" s="461"/>
      <c r="N3938" s="461"/>
    </row>
    <row r="3939" spans="1:14" s="462" customFormat="1" hidden="1" outlineLevel="1">
      <c r="A3939" s="1261"/>
      <c r="B3939" s="260"/>
      <c r="C3939" s="457" t="s">
        <v>2</v>
      </c>
      <c r="D3939" s="440">
        <v>1</v>
      </c>
      <c r="E3939" s="439">
        <v>1</v>
      </c>
      <c r="F3939" s="1350">
        <v>4.2300000000000004</v>
      </c>
      <c r="G3939" s="1350">
        <v>0.23</v>
      </c>
      <c r="H3939" s="1350">
        <v>0.2</v>
      </c>
      <c r="I3939" s="399">
        <f t="shared" si="139"/>
        <v>0.19</v>
      </c>
      <c r="J3939" s="442"/>
      <c r="K3939" s="1263"/>
      <c r="L3939" s="461"/>
      <c r="M3939" s="461"/>
      <c r="N3939" s="461"/>
    </row>
    <row r="3940" spans="1:14" s="462" customFormat="1" hidden="1" outlineLevel="1">
      <c r="A3940" s="1261"/>
      <c r="B3940" s="260" t="s">
        <v>335</v>
      </c>
      <c r="C3940" s="457" t="s">
        <v>2</v>
      </c>
      <c r="D3940" s="440">
        <v>1</v>
      </c>
      <c r="E3940" s="439">
        <v>1</v>
      </c>
      <c r="F3940" s="1350">
        <v>3</v>
      </c>
      <c r="G3940" s="1350">
        <v>0.38500000000000001</v>
      </c>
      <c r="H3940" s="1350">
        <v>0.27500000000000002</v>
      </c>
      <c r="I3940" s="399">
        <f t="shared" si="139"/>
        <v>0.32</v>
      </c>
      <c r="J3940" s="442"/>
      <c r="K3940" s="1263"/>
      <c r="L3940" s="461"/>
      <c r="M3940" s="461"/>
      <c r="N3940" s="461"/>
    </row>
    <row r="3941" spans="1:14" s="462" customFormat="1" hidden="1" outlineLevel="1">
      <c r="A3941" s="1261"/>
      <c r="B3941" s="260"/>
      <c r="C3941" s="457"/>
      <c r="D3941" s="440"/>
      <c r="E3941" s="439"/>
      <c r="F3941" s="1350"/>
      <c r="G3941" s="1350"/>
      <c r="H3941" s="1350"/>
      <c r="I3941" s="399" t="str">
        <f t="shared" ref="I3941:I4004" si="140">IF(D3941&lt;&gt;0,ROUND(PRODUCT(E3941:H3941)*D3941,2),"")</f>
        <v/>
      </c>
      <c r="J3941" s="442"/>
      <c r="K3941" s="1263"/>
      <c r="L3941" s="461"/>
      <c r="M3941" s="461"/>
      <c r="N3941" s="461"/>
    </row>
    <row r="3942" spans="1:14" s="462" customFormat="1" hidden="1" outlineLevel="1">
      <c r="A3942" s="1261"/>
      <c r="B3942" s="260"/>
      <c r="C3942" s="457" t="s">
        <v>2</v>
      </c>
      <c r="D3942" s="440">
        <v>1</v>
      </c>
      <c r="E3942" s="439">
        <v>1</v>
      </c>
      <c r="F3942" s="1350">
        <v>1.23</v>
      </c>
      <c r="G3942" s="1350">
        <v>0.23</v>
      </c>
      <c r="H3942" s="1350">
        <v>0.2</v>
      </c>
      <c r="I3942" s="399">
        <f t="shared" si="140"/>
        <v>0.06</v>
      </c>
      <c r="J3942" s="442"/>
      <c r="K3942" s="1263"/>
      <c r="L3942" s="461"/>
      <c r="M3942" s="461"/>
      <c r="N3942" s="461"/>
    </row>
    <row r="3943" spans="1:14" s="462" customFormat="1" hidden="1" outlineLevel="1">
      <c r="A3943" s="1261"/>
      <c r="B3943" s="260"/>
      <c r="C3943" s="457"/>
      <c r="D3943" s="440"/>
      <c r="E3943" s="439"/>
      <c r="F3943" s="1350"/>
      <c r="G3943" s="1350"/>
      <c r="H3943" s="1350"/>
      <c r="I3943" s="399" t="str">
        <f t="shared" si="140"/>
        <v/>
      </c>
      <c r="J3943" s="442"/>
      <c r="K3943" s="1263"/>
      <c r="L3943" s="461"/>
      <c r="M3943" s="461"/>
      <c r="N3943" s="461"/>
    </row>
    <row r="3944" spans="1:14" s="462" customFormat="1" hidden="1" outlineLevel="1">
      <c r="A3944" s="1261"/>
      <c r="B3944" s="260"/>
      <c r="C3944" s="457" t="s">
        <v>2</v>
      </c>
      <c r="D3944" s="440">
        <v>1</v>
      </c>
      <c r="E3944" s="439">
        <v>6</v>
      </c>
      <c r="F3944" s="1350">
        <v>3.23</v>
      </c>
      <c r="G3944" s="1350">
        <v>0.23</v>
      </c>
      <c r="H3944" s="1350">
        <v>0.2</v>
      </c>
      <c r="I3944" s="399">
        <f t="shared" si="140"/>
        <v>0.89</v>
      </c>
      <c r="J3944" s="442"/>
      <c r="K3944" s="1263"/>
      <c r="L3944" s="461"/>
      <c r="M3944" s="461"/>
      <c r="N3944" s="461"/>
    </row>
    <row r="3945" spans="1:14" s="462" customFormat="1" hidden="1" outlineLevel="1">
      <c r="A3945" s="1261"/>
      <c r="B3945" s="260"/>
      <c r="C3945" s="457"/>
      <c r="D3945" s="440"/>
      <c r="E3945" s="439"/>
      <c r="F3945" s="1350"/>
      <c r="G3945" s="1350"/>
      <c r="H3945" s="1350"/>
      <c r="I3945" s="399" t="str">
        <f t="shared" si="140"/>
        <v/>
      </c>
      <c r="J3945" s="442"/>
      <c r="K3945" s="1263"/>
      <c r="L3945" s="461"/>
      <c r="M3945" s="461"/>
      <c r="N3945" s="461"/>
    </row>
    <row r="3946" spans="1:14" s="462" customFormat="1" hidden="1" outlineLevel="1">
      <c r="A3946" s="1261"/>
      <c r="B3946" s="260"/>
      <c r="C3946" s="457" t="s">
        <v>2</v>
      </c>
      <c r="D3946" s="440">
        <v>1</v>
      </c>
      <c r="E3946" s="439">
        <v>1</v>
      </c>
      <c r="F3946" s="1350">
        <v>5.23</v>
      </c>
      <c r="G3946" s="1350">
        <v>0.23</v>
      </c>
      <c r="H3946" s="1350">
        <v>0.2</v>
      </c>
      <c r="I3946" s="399">
        <f t="shared" si="140"/>
        <v>0.24</v>
      </c>
      <c r="J3946" s="442"/>
      <c r="K3946" s="1263"/>
      <c r="L3946" s="461"/>
      <c r="M3946" s="461"/>
      <c r="N3946" s="461"/>
    </row>
    <row r="3947" spans="1:14" s="462" customFormat="1" hidden="1" outlineLevel="1">
      <c r="A3947" s="1261"/>
      <c r="B3947" s="260" t="s">
        <v>335</v>
      </c>
      <c r="C3947" s="457" t="s">
        <v>2</v>
      </c>
      <c r="D3947" s="440">
        <v>1</v>
      </c>
      <c r="E3947" s="439">
        <v>3</v>
      </c>
      <c r="F3947" s="1350">
        <v>3</v>
      </c>
      <c r="G3947" s="1350">
        <v>0.38500000000000001</v>
      </c>
      <c r="H3947" s="1350">
        <v>0.27500000000000002</v>
      </c>
      <c r="I3947" s="399">
        <f t="shared" si="140"/>
        <v>0.95</v>
      </c>
      <c r="J3947" s="442"/>
      <c r="K3947" s="1263"/>
      <c r="L3947" s="461"/>
      <c r="M3947" s="461"/>
      <c r="N3947" s="461"/>
    </row>
    <row r="3948" spans="1:14" s="462" customFormat="1" hidden="1" outlineLevel="1">
      <c r="A3948" s="1261"/>
      <c r="B3948" s="260"/>
      <c r="C3948" s="457"/>
      <c r="D3948" s="440"/>
      <c r="E3948" s="439"/>
      <c r="F3948" s="1350"/>
      <c r="G3948" s="1350"/>
      <c r="H3948" s="1350"/>
      <c r="I3948" s="399" t="str">
        <f t="shared" si="140"/>
        <v/>
      </c>
      <c r="J3948" s="442"/>
      <c r="K3948" s="1263"/>
      <c r="L3948" s="461"/>
      <c r="M3948" s="461"/>
      <c r="N3948" s="461"/>
    </row>
    <row r="3949" spans="1:14" s="462" customFormat="1" hidden="1" outlineLevel="1">
      <c r="A3949" s="1261"/>
      <c r="B3949" s="260"/>
      <c r="C3949" s="457" t="s">
        <v>2</v>
      </c>
      <c r="D3949" s="440">
        <v>1</v>
      </c>
      <c r="E3949" s="439">
        <v>1</v>
      </c>
      <c r="F3949" s="1350">
        <v>4.2300000000000004</v>
      </c>
      <c r="G3949" s="1350">
        <v>0.23</v>
      </c>
      <c r="H3949" s="1350">
        <v>0.2</v>
      </c>
      <c r="I3949" s="399">
        <f t="shared" si="140"/>
        <v>0.19</v>
      </c>
      <c r="J3949" s="442"/>
      <c r="K3949" s="1263"/>
      <c r="L3949" s="461"/>
      <c r="M3949" s="461"/>
      <c r="N3949" s="461"/>
    </row>
    <row r="3950" spans="1:14" s="462" customFormat="1" hidden="1" outlineLevel="1">
      <c r="A3950" s="1261"/>
      <c r="B3950" s="260"/>
      <c r="C3950" s="457"/>
      <c r="D3950" s="440"/>
      <c r="E3950" s="439"/>
      <c r="F3950" s="1350"/>
      <c r="G3950" s="1350"/>
      <c r="H3950" s="1350"/>
      <c r="I3950" s="399" t="str">
        <f t="shared" si="140"/>
        <v/>
      </c>
      <c r="J3950" s="442"/>
      <c r="K3950" s="1263"/>
      <c r="L3950" s="461"/>
      <c r="M3950" s="461"/>
      <c r="N3950" s="461"/>
    </row>
    <row r="3951" spans="1:14" s="462" customFormat="1" hidden="1" outlineLevel="1">
      <c r="A3951" s="1261"/>
      <c r="B3951" s="260" t="s">
        <v>197</v>
      </c>
      <c r="C3951" s="457" t="s">
        <v>2</v>
      </c>
      <c r="D3951" s="440">
        <v>1</v>
      </c>
      <c r="E3951" s="439">
        <v>1</v>
      </c>
      <c r="F3951" s="1350">
        <v>5.26</v>
      </c>
      <c r="G3951" s="1350">
        <v>0.23</v>
      </c>
      <c r="H3951" s="1350">
        <v>0.2</v>
      </c>
      <c r="I3951" s="399">
        <f t="shared" si="140"/>
        <v>0.24</v>
      </c>
      <c r="J3951" s="442"/>
      <c r="K3951" s="1263"/>
      <c r="L3951" s="461"/>
      <c r="M3951" s="461"/>
      <c r="N3951" s="461"/>
    </row>
    <row r="3952" spans="1:14" s="462" customFormat="1" hidden="1" outlineLevel="1">
      <c r="A3952" s="1261"/>
      <c r="B3952" s="260"/>
      <c r="C3952" s="457"/>
      <c r="D3952" s="440"/>
      <c r="E3952" s="439"/>
      <c r="F3952" s="1350"/>
      <c r="G3952" s="1350"/>
      <c r="H3952" s="1350"/>
      <c r="I3952" s="399" t="str">
        <f t="shared" si="140"/>
        <v/>
      </c>
      <c r="J3952" s="442"/>
      <c r="K3952" s="1263"/>
      <c r="L3952" s="461"/>
      <c r="M3952" s="461"/>
      <c r="N3952" s="461"/>
    </row>
    <row r="3953" spans="1:14" s="462" customFormat="1" hidden="1" outlineLevel="1">
      <c r="A3953" s="1261"/>
      <c r="B3953" s="260" t="s">
        <v>198</v>
      </c>
      <c r="C3953" s="457" t="s">
        <v>2</v>
      </c>
      <c r="D3953" s="440">
        <v>1</v>
      </c>
      <c r="E3953" s="439">
        <v>3</v>
      </c>
      <c r="F3953" s="1350">
        <v>3.36</v>
      </c>
      <c r="G3953" s="1350">
        <v>0.23</v>
      </c>
      <c r="H3953" s="1350">
        <v>0.2</v>
      </c>
      <c r="I3953" s="399">
        <f t="shared" si="140"/>
        <v>0.46</v>
      </c>
      <c r="J3953" s="442"/>
      <c r="K3953" s="1263"/>
      <c r="L3953" s="461"/>
      <c r="M3953" s="461"/>
      <c r="N3953" s="461"/>
    </row>
    <row r="3954" spans="1:14" s="462" customFormat="1" hidden="1" outlineLevel="1">
      <c r="A3954" s="1261"/>
      <c r="B3954" s="260"/>
      <c r="C3954" s="457"/>
      <c r="D3954" s="440"/>
      <c r="E3954" s="439"/>
      <c r="F3954" s="1350"/>
      <c r="G3954" s="1350"/>
      <c r="H3954" s="1350"/>
      <c r="I3954" s="399" t="str">
        <f t="shared" si="140"/>
        <v/>
      </c>
      <c r="J3954" s="442"/>
      <c r="K3954" s="1263"/>
      <c r="L3954" s="461"/>
      <c r="M3954" s="461"/>
      <c r="N3954" s="461"/>
    </row>
    <row r="3955" spans="1:14" s="462" customFormat="1" hidden="1" outlineLevel="1">
      <c r="A3955" s="1261"/>
      <c r="B3955" s="260"/>
      <c r="C3955" s="457" t="s">
        <v>2</v>
      </c>
      <c r="D3955" s="440">
        <v>1</v>
      </c>
      <c r="E3955" s="439">
        <v>3</v>
      </c>
      <c r="F3955" s="1350">
        <v>1.67</v>
      </c>
      <c r="G3955" s="1350">
        <v>0.23</v>
      </c>
      <c r="H3955" s="1350">
        <v>0.2</v>
      </c>
      <c r="I3955" s="399">
        <f t="shared" si="140"/>
        <v>0.23</v>
      </c>
      <c r="J3955" s="442"/>
      <c r="K3955" s="1263"/>
      <c r="L3955" s="461"/>
      <c r="M3955" s="461"/>
      <c r="N3955" s="461"/>
    </row>
    <row r="3956" spans="1:14" s="462" customFormat="1" hidden="1" outlineLevel="1">
      <c r="A3956" s="1261"/>
      <c r="B3956" s="260"/>
      <c r="C3956" s="457"/>
      <c r="D3956" s="440"/>
      <c r="E3956" s="439"/>
      <c r="F3956" s="1350"/>
      <c r="G3956" s="1350"/>
      <c r="H3956" s="1350"/>
      <c r="I3956" s="399" t="str">
        <f t="shared" si="140"/>
        <v/>
      </c>
      <c r="J3956" s="442"/>
      <c r="K3956" s="1263"/>
      <c r="L3956" s="461"/>
      <c r="M3956" s="461"/>
      <c r="N3956" s="461"/>
    </row>
    <row r="3957" spans="1:14" s="462" customFormat="1" hidden="1" outlineLevel="1">
      <c r="A3957" s="1261"/>
      <c r="B3957" s="260"/>
      <c r="C3957" s="457" t="s">
        <v>2</v>
      </c>
      <c r="D3957" s="440">
        <v>1</v>
      </c>
      <c r="E3957" s="439">
        <v>1</v>
      </c>
      <c r="F3957" s="1350">
        <v>1.67</v>
      </c>
      <c r="G3957" s="1350">
        <v>0.23</v>
      </c>
      <c r="H3957" s="1350">
        <v>0.2</v>
      </c>
      <c r="I3957" s="399">
        <f t="shared" si="140"/>
        <v>0.08</v>
      </c>
      <c r="J3957" s="442"/>
      <c r="K3957" s="1263"/>
      <c r="L3957" s="461"/>
      <c r="M3957" s="461"/>
      <c r="N3957" s="461"/>
    </row>
    <row r="3958" spans="1:14" s="462" customFormat="1" hidden="1" outlineLevel="1">
      <c r="A3958" s="1261"/>
      <c r="B3958" s="260"/>
      <c r="C3958" s="457"/>
      <c r="D3958" s="440"/>
      <c r="E3958" s="439"/>
      <c r="F3958" s="1350"/>
      <c r="G3958" s="1350"/>
      <c r="H3958" s="1350"/>
      <c r="I3958" s="399" t="str">
        <f t="shared" si="140"/>
        <v/>
      </c>
      <c r="J3958" s="442"/>
      <c r="K3958" s="1263"/>
      <c r="L3958" s="461"/>
      <c r="M3958" s="461"/>
      <c r="N3958" s="461"/>
    </row>
    <row r="3959" spans="1:14" s="462" customFormat="1" hidden="1" outlineLevel="1">
      <c r="A3959" s="1261"/>
      <c r="B3959" s="260"/>
      <c r="C3959" s="457" t="s">
        <v>2</v>
      </c>
      <c r="D3959" s="440">
        <v>1</v>
      </c>
      <c r="E3959" s="439">
        <v>1</v>
      </c>
      <c r="F3959" s="1350">
        <v>2.5150000000000001</v>
      </c>
      <c r="G3959" s="1350">
        <v>0.23</v>
      </c>
      <c r="H3959" s="1350">
        <v>0.2</v>
      </c>
      <c r="I3959" s="399">
        <f t="shared" si="140"/>
        <v>0.12</v>
      </c>
      <c r="J3959" s="442"/>
      <c r="K3959" s="1263"/>
      <c r="L3959" s="461"/>
      <c r="M3959" s="461"/>
      <c r="N3959" s="461"/>
    </row>
    <row r="3960" spans="1:14" s="462" customFormat="1" hidden="1" outlineLevel="1">
      <c r="A3960" s="1261"/>
      <c r="B3960" s="260"/>
      <c r="C3960" s="457"/>
      <c r="D3960" s="440"/>
      <c r="E3960" s="439"/>
      <c r="F3960" s="1350"/>
      <c r="G3960" s="1350"/>
      <c r="H3960" s="1350"/>
      <c r="I3960" s="399" t="str">
        <f t="shared" si="140"/>
        <v/>
      </c>
      <c r="J3960" s="442"/>
      <c r="K3960" s="1263"/>
      <c r="L3960" s="461"/>
      <c r="M3960" s="461"/>
      <c r="N3960" s="461"/>
    </row>
    <row r="3961" spans="1:14" s="462" customFormat="1" hidden="1" outlineLevel="1">
      <c r="A3961" s="1261"/>
      <c r="B3961" s="260"/>
      <c r="C3961" s="457" t="s">
        <v>2</v>
      </c>
      <c r="D3961" s="440">
        <v>1</v>
      </c>
      <c r="E3961" s="439">
        <v>2</v>
      </c>
      <c r="F3961" s="1350">
        <v>1.67</v>
      </c>
      <c r="G3961" s="1350">
        <v>0.23</v>
      </c>
      <c r="H3961" s="1350">
        <v>0.2</v>
      </c>
      <c r="I3961" s="399">
        <f t="shared" si="140"/>
        <v>0.15</v>
      </c>
      <c r="J3961" s="442"/>
      <c r="K3961" s="1263"/>
      <c r="L3961" s="461"/>
      <c r="M3961" s="461"/>
      <c r="N3961" s="461"/>
    </row>
    <row r="3962" spans="1:14" s="462" customFormat="1" hidden="1" outlineLevel="1">
      <c r="A3962" s="1261"/>
      <c r="B3962" s="260"/>
      <c r="C3962" s="457"/>
      <c r="D3962" s="440"/>
      <c r="E3962" s="439"/>
      <c r="F3962" s="1350"/>
      <c r="G3962" s="1350"/>
      <c r="H3962" s="1350"/>
      <c r="I3962" s="399" t="str">
        <f t="shared" si="140"/>
        <v/>
      </c>
      <c r="J3962" s="442"/>
      <c r="K3962" s="1263"/>
      <c r="L3962" s="461"/>
      <c r="M3962" s="461"/>
      <c r="N3962" s="461"/>
    </row>
    <row r="3963" spans="1:14" s="462" customFormat="1" hidden="1" outlineLevel="1">
      <c r="A3963" s="1261"/>
      <c r="B3963" s="260"/>
      <c r="C3963" s="457" t="s">
        <v>2</v>
      </c>
      <c r="D3963" s="440">
        <v>1</v>
      </c>
      <c r="E3963" s="439">
        <v>5</v>
      </c>
      <c r="F3963" s="1350">
        <v>0.61499999999999999</v>
      </c>
      <c r="G3963" s="1350">
        <v>0.23</v>
      </c>
      <c r="H3963" s="1350">
        <v>0.2</v>
      </c>
      <c r="I3963" s="399">
        <f t="shared" si="140"/>
        <v>0.14000000000000001</v>
      </c>
      <c r="J3963" s="442"/>
      <c r="K3963" s="1263"/>
      <c r="L3963" s="461"/>
      <c r="M3963" s="461"/>
      <c r="N3963" s="461"/>
    </row>
    <row r="3964" spans="1:14" s="462" customFormat="1" hidden="1" outlineLevel="1">
      <c r="A3964" s="1261"/>
      <c r="B3964" s="260" t="s">
        <v>335</v>
      </c>
      <c r="C3964" s="457" t="s">
        <v>2</v>
      </c>
      <c r="D3964" s="440">
        <v>1</v>
      </c>
      <c r="E3964" s="439">
        <v>4</v>
      </c>
      <c r="F3964" s="1350">
        <v>3</v>
      </c>
      <c r="G3964" s="1350">
        <v>0.38500000000000001</v>
      </c>
      <c r="H3964" s="1350">
        <v>0.27500000000000002</v>
      </c>
      <c r="I3964" s="399">
        <f t="shared" si="140"/>
        <v>1.27</v>
      </c>
      <c r="J3964" s="442"/>
      <c r="K3964" s="1263"/>
      <c r="L3964" s="461"/>
      <c r="M3964" s="461"/>
      <c r="N3964" s="461"/>
    </row>
    <row r="3965" spans="1:14" s="462" customFormat="1" hidden="1" outlineLevel="1">
      <c r="A3965" s="1261"/>
      <c r="B3965" s="260"/>
      <c r="C3965" s="457"/>
      <c r="D3965" s="440"/>
      <c r="E3965" s="439"/>
      <c r="F3965" s="1350"/>
      <c r="G3965" s="1350"/>
      <c r="H3965" s="1350"/>
      <c r="I3965" s="399" t="str">
        <f t="shared" si="140"/>
        <v/>
      </c>
      <c r="J3965" s="442"/>
      <c r="K3965" s="1263"/>
      <c r="L3965" s="461"/>
      <c r="M3965" s="461"/>
      <c r="N3965" s="461"/>
    </row>
    <row r="3966" spans="1:14" s="462" customFormat="1" hidden="1" outlineLevel="1">
      <c r="A3966" s="1261"/>
      <c r="B3966" s="260" t="s">
        <v>337</v>
      </c>
      <c r="C3966" s="457"/>
      <c r="D3966" s="440"/>
      <c r="E3966" s="439"/>
      <c r="F3966" s="1350"/>
      <c r="G3966" s="1350"/>
      <c r="H3966" s="1350"/>
      <c r="I3966" s="399" t="str">
        <f t="shared" si="140"/>
        <v/>
      </c>
      <c r="J3966" s="442"/>
      <c r="K3966" s="1263"/>
      <c r="L3966" s="461"/>
      <c r="M3966" s="461"/>
      <c r="N3966" s="461"/>
    </row>
    <row r="3967" spans="1:14" s="462" customFormat="1" hidden="1" outlineLevel="1">
      <c r="A3967" s="1261"/>
      <c r="B3967" s="260"/>
      <c r="C3967" s="457"/>
      <c r="D3967" s="440"/>
      <c r="E3967" s="439"/>
      <c r="F3967" s="1350"/>
      <c r="G3967" s="1350"/>
      <c r="H3967" s="1350"/>
      <c r="I3967" s="399" t="str">
        <f t="shared" si="140"/>
        <v/>
      </c>
      <c r="J3967" s="442"/>
      <c r="K3967" s="1263"/>
      <c r="L3967" s="461"/>
      <c r="M3967" s="461"/>
      <c r="N3967" s="461"/>
    </row>
    <row r="3968" spans="1:14" s="462" customFormat="1" hidden="1" outlineLevel="1">
      <c r="A3968" s="1261"/>
      <c r="B3968" s="260" t="s">
        <v>338</v>
      </c>
      <c r="C3968" s="457" t="s">
        <v>2</v>
      </c>
      <c r="D3968" s="440">
        <v>1</v>
      </c>
      <c r="E3968" s="439">
        <v>1</v>
      </c>
      <c r="F3968" s="1350">
        <v>3.06</v>
      </c>
      <c r="G3968" s="1350">
        <v>0.23</v>
      </c>
      <c r="H3968" s="1350">
        <v>0.2</v>
      </c>
      <c r="I3968" s="399">
        <f t="shared" si="140"/>
        <v>0.14000000000000001</v>
      </c>
      <c r="J3968" s="442"/>
      <c r="K3968" s="1263"/>
      <c r="L3968" s="461"/>
      <c r="M3968" s="461"/>
      <c r="N3968" s="461"/>
    </row>
    <row r="3969" spans="1:14" s="462" customFormat="1" hidden="1" outlineLevel="1">
      <c r="A3969" s="1261"/>
      <c r="B3969" s="260"/>
      <c r="C3969" s="457"/>
      <c r="D3969" s="440"/>
      <c r="E3969" s="439"/>
      <c r="F3969" s="1350"/>
      <c r="G3969" s="1350"/>
      <c r="H3969" s="1350"/>
      <c r="I3969" s="399" t="str">
        <f t="shared" si="140"/>
        <v/>
      </c>
      <c r="J3969" s="442"/>
      <c r="K3969" s="1263"/>
      <c r="L3969" s="461"/>
      <c r="M3969" s="461"/>
      <c r="N3969" s="461"/>
    </row>
    <row r="3970" spans="1:14" s="462" customFormat="1" hidden="1" outlineLevel="1">
      <c r="A3970" s="1261"/>
      <c r="B3970" s="260"/>
      <c r="C3970" s="457" t="s">
        <v>2</v>
      </c>
      <c r="D3970" s="440">
        <v>1</v>
      </c>
      <c r="E3970" s="439">
        <v>3</v>
      </c>
      <c r="F3970" s="1350">
        <v>0.86699999999999999</v>
      </c>
      <c r="G3970" s="1350">
        <v>0.23</v>
      </c>
      <c r="H3970" s="1350">
        <v>0.2</v>
      </c>
      <c r="I3970" s="399">
        <f t="shared" si="140"/>
        <v>0.12</v>
      </c>
      <c r="J3970" s="442"/>
      <c r="K3970" s="1263"/>
      <c r="L3970" s="461"/>
      <c r="M3970" s="461"/>
      <c r="N3970" s="461"/>
    </row>
    <row r="3971" spans="1:14" s="462" customFormat="1" hidden="1" outlineLevel="1">
      <c r="A3971" s="1261"/>
      <c r="B3971" s="260"/>
      <c r="C3971" s="457"/>
      <c r="D3971" s="440"/>
      <c r="E3971" s="439"/>
      <c r="F3971" s="1350"/>
      <c r="G3971" s="1350"/>
      <c r="H3971" s="1350"/>
      <c r="I3971" s="399" t="str">
        <f t="shared" si="140"/>
        <v/>
      </c>
      <c r="J3971" s="442"/>
      <c r="K3971" s="1263"/>
      <c r="L3971" s="461"/>
      <c r="M3971" s="461"/>
      <c r="N3971" s="461"/>
    </row>
    <row r="3972" spans="1:14" s="462" customFormat="1" hidden="1" outlineLevel="1">
      <c r="A3972" s="1261"/>
      <c r="B3972" s="260"/>
      <c r="C3972" s="457" t="s">
        <v>2</v>
      </c>
      <c r="D3972" s="440">
        <v>1</v>
      </c>
      <c r="E3972" s="439">
        <v>1</v>
      </c>
      <c r="F3972" s="1350">
        <v>3.66</v>
      </c>
      <c r="G3972" s="1350">
        <v>0.23</v>
      </c>
      <c r="H3972" s="1350">
        <v>0.2</v>
      </c>
      <c r="I3972" s="399">
        <f t="shared" si="140"/>
        <v>0.17</v>
      </c>
      <c r="J3972" s="442"/>
      <c r="K3972" s="1263"/>
      <c r="L3972" s="461"/>
      <c r="M3972" s="461"/>
      <c r="N3972" s="461"/>
    </row>
    <row r="3973" spans="1:14" s="462" customFormat="1" hidden="1" outlineLevel="1">
      <c r="A3973" s="1261"/>
      <c r="B3973" s="260"/>
      <c r="C3973" s="457"/>
      <c r="D3973" s="440"/>
      <c r="E3973" s="439"/>
      <c r="F3973" s="1350"/>
      <c r="G3973" s="1350"/>
      <c r="H3973" s="1350"/>
      <c r="I3973" s="399" t="str">
        <f t="shared" si="140"/>
        <v/>
      </c>
      <c r="J3973" s="442"/>
      <c r="K3973" s="1263"/>
      <c r="L3973" s="461"/>
      <c r="M3973" s="461"/>
      <c r="N3973" s="461"/>
    </row>
    <row r="3974" spans="1:14" s="462" customFormat="1" hidden="1" outlineLevel="1">
      <c r="A3974" s="1261"/>
      <c r="B3974" s="260"/>
      <c r="C3974" s="457" t="s">
        <v>2</v>
      </c>
      <c r="D3974" s="440">
        <v>1</v>
      </c>
      <c r="E3974" s="439">
        <v>1</v>
      </c>
      <c r="F3974" s="1350">
        <v>2.83</v>
      </c>
      <c r="G3974" s="1350">
        <v>0.23</v>
      </c>
      <c r="H3974" s="1350">
        <v>0.2</v>
      </c>
      <c r="I3974" s="399">
        <f t="shared" si="140"/>
        <v>0.13</v>
      </c>
      <c r="J3974" s="442"/>
      <c r="K3974" s="1263"/>
      <c r="L3974" s="461"/>
      <c r="M3974" s="461"/>
      <c r="N3974" s="461"/>
    </row>
    <row r="3975" spans="1:14" s="462" customFormat="1" hidden="1" outlineLevel="1">
      <c r="A3975" s="1261"/>
      <c r="B3975" s="260"/>
      <c r="C3975" s="457"/>
      <c r="D3975" s="440"/>
      <c r="E3975" s="439"/>
      <c r="F3975" s="1350"/>
      <c r="G3975" s="1350"/>
      <c r="H3975" s="1350"/>
      <c r="I3975" s="399" t="str">
        <f t="shared" si="140"/>
        <v/>
      </c>
      <c r="J3975" s="442"/>
      <c r="K3975" s="1263"/>
      <c r="L3975" s="461"/>
      <c r="M3975" s="461"/>
      <c r="N3975" s="461"/>
    </row>
    <row r="3976" spans="1:14" s="462" customFormat="1" hidden="1" outlineLevel="1">
      <c r="A3976" s="1261"/>
      <c r="B3976" s="260"/>
      <c r="C3976" s="457" t="s">
        <v>2</v>
      </c>
      <c r="D3976" s="440">
        <v>1</v>
      </c>
      <c r="E3976" s="439">
        <v>4</v>
      </c>
      <c r="F3976" s="1350">
        <v>0.53500000000000003</v>
      </c>
      <c r="G3976" s="1350">
        <v>0.23</v>
      </c>
      <c r="H3976" s="1350">
        <v>0.2</v>
      </c>
      <c r="I3976" s="399">
        <f t="shared" si="140"/>
        <v>0.1</v>
      </c>
      <c r="J3976" s="442"/>
      <c r="K3976" s="1263"/>
      <c r="L3976" s="461"/>
      <c r="M3976" s="461"/>
      <c r="N3976" s="461"/>
    </row>
    <row r="3977" spans="1:14" s="462" customFormat="1" hidden="1" outlineLevel="1">
      <c r="A3977" s="1261"/>
      <c r="B3977" s="260"/>
      <c r="C3977" s="457"/>
      <c r="D3977" s="440"/>
      <c r="E3977" s="439"/>
      <c r="F3977" s="1350"/>
      <c r="G3977" s="1350"/>
      <c r="H3977" s="1350"/>
      <c r="I3977" s="399" t="str">
        <f t="shared" si="140"/>
        <v/>
      </c>
      <c r="J3977" s="442"/>
      <c r="K3977" s="1263"/>
      <c r="L3977" s="461"/>
      <c r="M3977" s="461"/>
      <c r="N3977" s="461"/>
    </row>
    <row r="3978" spans="1:14" s="462" customFormat="1" hidden="1" outlineLevel="1">
      <c r="A3978" s="1261"/>
      <c r="B3978" s="260" t="s">
        <v>339</v>
      </c>
      <c r="C3978" s="457"/>
      <c r="D3978" s="440"/>
      <c r="E3978" s="439"/>
      <c r="F3978" s="1350"/>
      <c r="G3978" s="1350"/>
      <c r="H3978" s="1350"/>
      <c r="I3978" s="399" t="str">
        <f t="shared" si="140"/>
        <v/>
      </c>
      <c r="J3978" s="442"/>
      <c r="K3978" s="1263"/>
      <c r="L3978" s="461"/>
      <c r="M3978" s="461"/>
      <c r="N3978" s="461"/>
    </row>
    <row r="3979" spans="1:14" s="462" customFormat="1" hidden="1" outlineLevel="1">
      <c r="A3979" s="1261"/>
      <c r="B3979" s="260" t="s">
        <v>340</v>
      </c>
      <c r="C3979" s="457" t="s">
        <v>2</v>
      </c>
      <c r="D3979" s="440">
        <v>1</v>
      </c>
      <c r="E3979" s="439">
        <v>1</v>
      </c>
      <c r="F3979" s="1350">
        <v>3.665</v>
      </c>
      <c r="G3979" s="1350">
        <v>0.23</v>
      </c>
      <c r="H3979" s="1350">
        <v>0.2</v>
      </c>
      <c r="I3979" s="399">
        <f t="shared" si="140"/>
        <v>0.17</v>
      </c>
      <c r="J3979" s="442"/>
      <c r="K3979" s="1263"/>
      <c r="L3979" s="461"/>
      <c r="M3979" s="461"/>
      <c r="N3979" s="461"/>
    </row>
    <row r="3980" spans="1:14" s="462" customFormat="1" hidden="1" outlineLevel="1">
      <c r="A3980" s="1261"/>
      <c r="B3980" s="260"/>
      <c r="C3980" s="457"/>
      <c r="D3980" s="440"/>
      <c r="E3980" s="439"/>
      <c r="F3980" s="1350"/>
      <c r="G3980" s="1350"/>
      <c r="H3980" s="1350"/>
      <c r="I3980" s="399" t="str">
        <f t="shared" si="140"/>
        <v/>
      </c>
      <c r="J3980" s="442"/>
      <c r="K3980" s="1263"/>
      <c r="L3980" s="461"/>
      <c r="M3980" s="461"/>
      <c r="N3980" s="461"/>
    </row>
    <row r="3981" spans="1:14" s="462" customFormat="1" hidden="1" outlineLevel="1">
      <c r="A3981" s="1261"/>
      <c r="B3981" s="260"/>
      <c r="C3981" s="457" t="s">
        <v>2</v>
      </c>
      <c r="D3981" s="440">
        <v>1</v>
      </c>
      <c r="E3981" s="439">
        <v>2</v>
      </c>
      <c r="F3981" s="1350">
        <v>0.73499999999999999</v>
      </c>
      <c r="G3981" s="1350">
        <v>0.23</v>
      </c>
      <c r="H3981" s="1350">
        <v>0.2</v>
      </c>
      <c r="I3981" s="399">
        <f t="shared" si="140"/>
        <v>7.0000000000000007E-2</v>
      </c>
      <c r="J3981" s="442"/>
      <c r="K3981" s="1263"/>
      <c r="L3981" s="461"/>
      <c r="M3981" s="461"/>
      <c r="N3981" s="461"/>
    </row>
    <row r="3982" spans="1:14" s="462" customFormat="1" hidden="1" outlineLevel="1">
      <c r="A3982" s="1261"/>
      <c r="B3982" s="260"/>
      <c r="C3982" s="457"/>
      <c r="D3982" s="440"/>
      <c r="E3982" s="439"/>
      <c r="F3982" s="1350"/>
      <c r="G3982" s="1350"/>
      <c r="H3982" s="1350"/>
      <c r="I3982" s="399" t="str">
        <f t="shared" si="140"/>
        <v/>
      </c>
      <c r="J3982" s="442"/>
      <c r="K3982" s="1263"/>
      <c r="L3982" s="461"/>
      <c r="M3982" s="461"/>
      <c r="N3982" s="461"/>
    </row>
    <row r="3983" spans="1:14" s="462" customFormat="1" hidden="1" outlineLevel="1">
      <c r="A3983" s="1261"/>
      <c r="B3983" s="260" t="s">
        <v>341</v>
      </c>
      <c r="C3983" s="457" t="s">
        <v>2</v>
      </c>
      <c r="D3983" s="440">
        <v>1</v>
      </c>
      <c r="E3983" s="439">
        <v>3</v>
      </c>
      <c r="F3983" s="1350">
        <v>2.83</v>
      </c>
      <c r="G3983" s="1350">
        <v>0.23</v>
      </c>
      <c r="H3983" s="1350">
        <v>0.2</v>
      </c>
      <c r="I3983" s="399">
        <f t="shared" si="140"/>
        <v>0.39</v>
      </c>
      <c r="J3983" s="442"/>
      <c r="K3983" s="1263"/>
      <c r="L3983" s="461"/>
      <c r="M3983" s="461"/>
      <c r="N3983" s="461"/>
    </row>
    <row r="3984" spans="1:14" s="462" customFormat="1" hidden="1" outlineLevel="1">
      <c r="A3984" s="1261"/>
      <c r="B3984" s="260"/>
      <c r="C3984" s="457"/>
      <c r="D3984" s="440"/>
      <c r="E3984" s="439"/>
      <c r="F3984" s="1350"/>
      <c r="G3984" s="1350"/>
      <c r="H3984" s="1350"/>
      <c r="I3984" s="399" t="str">
        <f t="shared" si="140"/>
        <v/>
      </c>
      <c r="J3984" s="442"/>
      <c r="K3984" s="1263"/>
      <c r="L3984" s="461"/>
      <c r="M3984" s="461"/>
      <c r="N3984" s="461"/>
    </row>
    <row r="3985" spans="1:14" s="462" customFormat="1" hidden="1" outlineLevel="1">
      <c r="A3985" s="1261"/>
      <c r="B3985" s="260"/>
      <c r="C3985" s="457" t="s">
        <v>2</v>
      </c>
      <c r="D3985" s="440">
        <v>1</v>
      </c>
      <c r="E3985" s="439">
        <v>2</v>
      </c>
      <c r="F3985" s="1350">
        <v>0.53500000000000003</v>
      </c>
      <c r="G3985" s="1350">
        <v>0.23</v>
      </c>
      <c r="H3985" s="1350">
        <v>0.2</v>
      </c>
      <c r="I3985" s="399">
        <f t="shared" si="140"/>
        <v>0.05</v>
      </c>
      <c r="J3985" s="442"/>
      <c r="K3985" s="1263"/>
      <c r="L3985" s="461"/>
      <c r="M3985" s="461"/>
      <c r="N3985" s="461"/>
    </row>
    <row r="3986" spans="1:14" s="462" customFormat="1" hidden="1" outlineLevel="1">
      <c r="A3986" s="1261"/>
      <c r="B3986" s="260"/>
      <c r="C3986" s="457"/>
      <c r="D3986" s="440"/>
      <c r="E3986" s="439"/>
      <c r="F3986" s="1350"/>
      <c r="G3986" s="1350"/>
      <c r="H3986" s="1350"/>
      <c r="I3986" s="399" t="str">
        <f t="shared" si="140"/>
        <v/>
      </c>
      <c r="J3986" s="442"/>
      <c r="K3986" s="1263"/>
      <c r="L3986" s="461"/>
      <c r="M3986" s="461"/>
      <c r="N3986" s="461"/>
    </row>
    <row r="3987" spans="1:14" s="462" customFormat="1" hidden="1" outlineLevel="1">
      <c r="A3987" s="1261"/>
      <c r="B3987" s="260"/>
      <c r="C3987" s="457" t="s">
        <v>2</v>
      </c>
      <c r="D3987" s="440">
        <v>1</v>
      </c>
      <c r="E3987" s="439">
        <v>1</v>
      </c>
      <c r="F3987" s="1350">
        <v>2.23</v>
      </c>
      <c r="G3987" s="1350">
        <v>0.23</v>
      </c>
      <c r="H3987" s="1350">
        <v>0.2</v>
      </c>
      <c r="I3987" s="399">
        <f t="shared" si="140"/>
        <v>0.1</v>
      </c>
      <c r="J3987" s="442"/>
      <c r="K3987" s="1263"/>
      <c r="L3987" s="461"/>
      <c r="M3987" s="461"/>
      <c r="N3987" s="461"/>
    </row>
    <row r="3988" spans="1:14" s="462" customFormat="1" hidden="1" outlineLevel="1">
      <c r="A3988" s="1261"/>
      <c r="B3988" s="260"/>
      <c r="C3988" s="457"/>
      <c r="D3988" s="440"/>
      <c r="E3988" s="439"/>
      <c r="F3988" s="1350"/>
      <c r="G3988" s="1350"/>
      <c r="H3988" s="1350"/>
      <c r="I3988" s="399" t="str">
        <f t="shared" si="140"/>
        <v/>
      </c>
      <c r="J3988" s="442"/>
      <c r="K3988" s="1263"/>
      <c r="L3988" s="461"/>
      <c r="M3988" s="461"/>
      <c r="N3988" s="461"/>
    </row>
    <row r="3989" spans="1:14" s="462" customFormat="1" hidden="1" outlineLevel="1">
      <c r="A3989" s="1261"/>
      <c r="B3989" s="260" t="s">
        <v>342</v>
      </c>
      <c r="C3989" s="457"/>
      <c r="D3989" s="440"/>
      <c r="E3989" s="439"/>
      <c r="F3989" s="1350"/>
      <c r="G3989" s="1350"/>
      <c r="H3989" s="1350"/>
      <c r="I3989" s="399" t="str">
        <f t="shared" si="140"/>
        <v/>
      </c>
      <c r="J3989" s="442"/>
      <c r="K3989" s="1263"/>
      <c r="L3989" s="461"/>
      <c r="M3989" s="461"/>
      <c r="N3989" s="461"/>
    </row>
    <row r="3990" spans="1:14" s="462" customFormat="1" hidden="1" outlineLevel="1">
      <c r="A3990" s="1261"/>
      <c r="B3990" s="260" t="s">
        <v>342</v>
      </c>
      <c r="C3990" s="457" t="s">
        <v>2</v>
      </c>
      <c r="D3990" s="440">
        <v>1</v>
      </c>
      <c r="E3990" s="439">
        <v>1</v>
      </c>
      <c r="F3990" s="1350">
        <v>9.1549999999999994</v>
      </c>
      <c r="G3990" s="1350">
        <v>0.23</v>
      </c>
      <c r="H3990" s="1350">
        <v>0.2</v>
      </c>
      <c r="I3990" s="399">
        <f t="shared" si="140"/>
        <v>0.42</v>
      </c>
      <c r="J3990" s="442"/>
      <c r="K3990" s="1263"/>
      <c r="L3990" s="461"/>
      <c r="M3990" s="461"/>
      <c r="N3990" s="461"/>
    </row>
    <row r="3991" spans="1:14" s="462" customFormat="1" hidden="1" outlineLevel="1">
      <c r="A3991" s="1261"/>
      <c r="B3991" s="260"/>
      <c r="C3991" s="457"/>
      <c r="D3991" s="440"/>
      <c r="E3991" s="439"/>
      <c r="F3991" s="1350"/>
      <c r="G3991" s="1350"/>
      <c r="H3991" s="1350"/>
      <c r="I3991" s="399" t="str">
        <f t="shared" si="140"/>
        <v/>
      </c>
      <c r="J3991" s="442"/>
      <c r="K3991" s="1263"/>
      <c r="L3991" s="461"/>
      <c r="M3991" s="461"/>
      <c r="N3991" s="461"/>
    </row>
    <row r="3992" spans="1:14" s="462" customFormat="1" hidden="1" outlineLevel="1">
      <c r="A3992" s="1261"/>
      <c r="B3992" s="260"/>
      <c r="C3992" s="457" t="s">
        <v>2</v>
      </c>
      <c r="D3992" s="440">
        <v>1</v>
      </c>
      <c r="E3992" s="439">
        <v>2</v>
      </c>
      <c r="F3992" s="1350">
        <v>6.7849999999999993</v>
      </c>
      <c r="G3992" s="1350">
        <v>0.23</v>
      </c>
      <c r="H3992" s="1350">
        <v>0.2</v>
      </c>
      <c r="I3992" s="399">
        <f t="shared" si="140"/>
        <v>0.62</v>
      </c>
      <c r="J3992" s="442"/>
      <c r="K3992" s="1263"/>
      <c r="L3992" s="461"/>
      <c r="M3992" s="461"/>
      <c r="N3992" s="461"/>
    </row>
    <row r="3993" spans="1:14" s="462" customFormat="1" hidden="1" outlineLevel="1">
      <c r="A3993" s="1261"/>
      <c r="B3993" s="260" t="s">
        <v>206</v>
      </c>
      <c r="C3993" s="457" t="s">
        <v>2</v>
      </c>
      <c r="D3993" s="440">
        <v>1</v>
      </c>
      <c r="E3993" s="439">
        <v>4</v>
      </c>
      <c r="F3993" s="1350">
        <v>3</v>
      </c>
      <c r="G3993" s="1350">
        <v>0.38500000000000001</v>
      </c>
      <c r="H3993" s="1350">
        <v>0.27500000000000002</v>
      </c>
      <c r="I3993" s="399">
        <f t="shared" si="140"/>
        <v>1.27</v>
      </c>
      <c r="J3993" s="442"/>
      <c r="K3993" s="1263"/>
      <c r="L3993" s="461"/>
      <c r="M3993" s="461"/>
      <c r="N3993" s="461"/>
    </row>
    <row r="3994" spans="1:14" s="462" customFormat="1" hidden="1" outlineLevel="1">
      <c r="A3994" s="1261"/>
      <c r="B3994" s="260"/>
      <c r="C3994" s="457"/>
      <c r="D3994" s="440"/>
      <c r="E3994" s="439"/>
      <c r="F3994" s="1350"/>
      <c r="G3994" s="1350"/>
      <c r="H3994" s="1350"/>
      <c r="I3994" s="399" t="str">
        <f t="shared" si="140"/>
        <v/>
      </c>
      <c r="J3994" s="442"/>
      <c r="K3994" s="1263"/>
      <c r="L3994" s="461"/>
      <c r="M3994" s="461"/>
      <c r="N3994" s="461"/>
    </row>
    <row r="3995" spans="1:14" s="462" customFormat="1" hidden="1" outlineLevel="1">
      <c r="A3995" s="1261"/>
      <c r="B3995" s="260"/>
      <c r="C3995" s="457" t="s">
        <v>2</v>
      </c>
      <c r="D3995" s="440">
        <v>1</v>
      </c>
      <c r="E3995" s="439">
        <v>1</v>
      </c>
      <c r="F3995" s="1350">
        <v>5.26</v>
      </c>
      <c r="G3995" s="1350">
        <v>0.23</v>
      </c>
      <c r="H3995" s="1350">
        <v>0.2</v>
      </c>
      <c r="I3995" s="399">
        <f t="shared" si="140"/>
        <v>0.24</v>
      </c>
      <c r="J3995" s="442"/>
      <c r="K3995" s="1263"/>
      <c r="L3995" s="461"/>
      <c r="M3995" s="461"/>
      <c r="N3995" s="461"/>
    </row>
    <row r="3996" spans="1:14" s="462" customFormat="1" hidden="1" outlineLevel="1">
      <c r="A3996" s="1261"/>
      <c r="B3996" s="260"/>
      <c r="C3996" s="457"/>
      <c r="D3996" s="440"/>
      <c r="E3996" s="439"/>
      <c r="F3996" s="1350"/>
      <c r="G3996" s="1350"/>
      <c r="H3996" s="1350"/>
      <c r="I3996" s="399" t="str">
        <f t="shared" si="140"/>
        <v/>
      </c>
      <c r="J3996" s="442"/>
      <c r="K3996" s="1263"/>
      <c r="L3996" s="461"/>
      <c r="M3996" s="461"/>
      <c r="N3996" s="461"/>
    </row>
    <row r="3997" spans="1:14" s="462" customFormat="1" hidden="1" outlineLevel="1">
      <c r="A3997" s="1261"/>
      <c r="B3997" s="260"/>
      <c r="C3997" s="457" t="s">
        <v>2</v>
      </c>
      <c r="D3997" s="440">
        <v>1</v>
      </c>
      <c r="E3997" s="439">
        <v>1</v>
      </c>
      <c r="F3997" s="1350">
        <v>1.1599999999999999</v>
      </c>
      <c r="G3997" s="1350">
        <v>0.23</v>
      </c>
      <c r="H3997" s="1350">
        <v>0.2</v>
      </c>
      <c r="I3997" s="399">
        <f t="shared" si="140"/>
        <v>0.05</v>
      </c>
      <c r="J3997" s="442"/>
      <c r="K3997" s="1263"/>
      <c r="L3997" s="461"/>
      <c r="M3997" s="461"/>
      <c r="N3997" s="461"/>
    </row>
    <row r="3998" spans="1:14" s="462" customFormat="1" hidden="1" outlineLevel="1">
      <c r="A3998" s="1261"/>
      <c r="B3998" s="260"/>
      <c r="C3998" s="457"/>
      <c r="D3998" s="440"/>
      <c r="E3998" s="439"/>
      <c r="F3998" s="1350"/>
      <c r="G3998" s="1350"/>
      <c r="H3998" s="1350"/>
      <c r="I3998" s="399" t="str">
        <f t="shared" si="140"/>
        <v/>
      </c>
      <c r="J3998" s="442"/>
      <c r="K3998" s="1263"/>
      <c r="L3998" s="461"/>
      <c r="M3998" s="461"/>
      <c r="N3998" s="461"/>
    </row>
    <row r="3999" spans="1:14" s="462" customFormat="1" hidden="1" outlineLevel="1">
      <c r="A3999" s="1261"/>
      <c r="B3999" s="260" t="s">
        <v>207</v>
      </c>
      <c r="C3999" s="457" t="s">
        <v>2</v>
      </c>
      <c r="D3999" s="440">
        <v>1</v>
      </c>
      <c r="E3999" s="439">
        <v>1</v>
      </c>
      <c r="F3999" s="1350">
        <v>1.45</v>
      </c>
      <c r="G3999" s="1350">
        <v>0.23</v>
      </c>
      <c r="H3999" s="1350">
        <v>0.2</v>
      </c>
      <c r="I3999" s="399">
        <f t="shared" si="140"/>
        <v>7.0000000000000007E-2</v>
      </c>
      <c r="J3999" s="442"/>
      <c r="K3999" s="1263"/>
      <c r="L3999" s="461"/>
      <c r="M3999" s="461"/>
      <c r="N3999" s="461"/>
    </row>
    <row r="4000" spans="1:14" s="462" customFormat="1" hidden="1" outlineLevel="1">
      <c r="A4000" s="1261"/>
      <c r="B4000" s="260"/>
      <c r="C4000" s="457"/>
      <c r="D4000" s="440"/>
      <c r="E4000" s="439"/>
      <c r="F4000" s="1350"/>
      <c r="G4000" s="1350"/>
      <c r="H4000" s="1350"/>
      <c r="I4000" s="399" t="str">
        <f t="shared" si="140"/>
        <v/>
      </c>
      <c r="J4000" s="442"/>
      <c r="K4000" s="1263"/>
      <c r="L4000" s="461"/>
      <c r="M4000" s="461"/>
      <c r="N4000" s="461"/>
    </row>
    <row r="4001" spans="1:14" s="462" customFormat="1" hidden="1" outlineLevel="1">
      <c r="A4001" s="1261"/>
      <c r="B4001" s="260"/>
      <c r="C4001" s="457" t="s">
        <v>2</v>
      </c>
      <c r="D4001" s="440">
        <v>1</v>
      </c>
      <c r="E4001" s="439">
        <v>1</v>
      </c>
      <c r="F4001" s="1350">
        <v>0.6</v>
      </c>
      <c r="G4001" s="1350">
        <v>0.23</v>
      </c>
      <c r="H4001" s="1350">
        <v>0.2</v>
      </c>
      <c r="I4001" s="399">
        <f t="shared" si="140"/>
        <v>0.03</v>
      </c>
      <c r="J4001" s="442"/>
      <c r="K4001" s="1263"/>
      <c r="L4001" s="461"/>
      <c r="M4001" s="461"/>
      <c r="N4001" s="461"/>
    </row>
    <row r="4002" spans="1:14" s="462" customFormat="1" hidden="1" outlineLevel="1">
      <c r="A4002" s="1261"/>
      <c r="B4002" s="260"/>
      <c r="C4002" s="457"/>
      <c r="D4002" s="440"/>
      <c r="E4002" s="439"/>
      <c r="F4002" s="1350"/>
      <c r="G4002" s="1350"/>
      <c r="H4002" s="1350"/>
      <c r="I4002" s="399" t="str">
        <f t="shared" si="140"/>
        <v/>
      </c>
      <c r="J4002" s="442"/>
      <c r="K4002" s="1263"/>
      <c r="L4002" s="461"/>
      <c r="M4002" s="461"/>
      <c r="N4002" s="461"/>
    </row>
    <row r="4003" spans="1:14" s="462" customFormat="1" hidden="1" outlineLevel="1">
      <c r="A4003" s="1261"/>
      <c r="B4003" s="260"/>
      <c r="C4003" s="457" t="s">
        <v>2</v>
      </c>
      <c r="D4003" s="440">
        <f>1</f>
        <v>1</v>
      </c>
      <c r="E4003" s="439">
        <v>1</v>
      </c>
      <c r="F4003" s="1350">
        <v>3.7449999999999997</v>
      </c>
      <c r="G4003" s="1350">
        <v>0.23</v>
      </c>
      <c r="H4003" s="1350">
        <v>0.2</v>
      </c>
      <c r="I4003" s="399">
        <f t="shared" si="140"/>
        <v>0.17</v>
      </c>
      <c r="J4003" s="442"/>
      <c r="K4003" s="1263"/>
      <c r="L4003" s="461"/>
      <c r="M4003" s="461"/>
      <c r="N4003" s="461"/>
    </row>
    <row r="4004" spans="1:14" s="462" customFormat="1" hidden="1" outlineLevel="1">
      <c r="A4004" s="1261"/>
      <c r="B4004" s="260"/>
      <c r="C4004" s="457"/>
      <c r="D4004" s="440"/>
      <c r="E4004" s="439"/>
      <c r="F4004" s="1350"/>
      <c r="G4004" s="1350"/>
      <c r="H4004" s="1350"/>
      <c r="I4004" s="399" t="str">
        <f t="shared" si="140"/>
        <v/>
      </c>
      <c r="J4004" s="442"/>
      <c r="K4004" s="1263"/>
      <c r="L4004" s="461"/>
      <c r="M4004" s="461"/>
      <c r="N4004" s="461"/>
    </row>
    <row r="4005" spans="1:14" s="462" customFormat="1" hidden="1" outlineLevel="1">
      <c r="A4005" s="1261"/>
      <c r="B4005" s="260"/>
      <c r="C4005" s="457" t="s">
        <v>2</v>
      </c>
      <c r="D4005" s="440">
        <f>1</f>
        <v>1</v>
      </c>
      <c r="E4005" s="439">
        <v>2</v>
      </c>
      <c r="F4005" s="1350">
        <v>3.7349999999999999</v>
      </c>
      <c r="G4005" s="1350">
        <v>0.23</v>
      </c>
      <c r="H4005" s="1350">
        <v>0.2</v>
      </c>
      <c r="I4005" s="399">
        <f t="shared" ref="I4005:I4068" si="141">IF(D4005&lt;&gt;0,ROUND(PRODUCT(E4005:H4005)*D4005,2),"")</f>
        <v>0.34</v>
      </c>
      <c r="J4005" s="442"/>
      <c r="K4005" s="1263"/>
      <c r="L4005" s="461"/>
      <c r="M4005" s="461"/>
      <c r="N4005" s="461"/>
    </row>
    <row r="4006" spans="1:14" s="462" customFormat="1" hidden="1" outlineLevel="1">
      <c r="A4006" s="1261"/>
      <c r="B4006" s="260"/>
      <c r="C4006" s="457"/>
      <c r="D4006" s="440"/>
      <c r="E4006" s="439"/>
      <c r="F4006" s="1350"/>
      <c r="G4006" s="1350"/>
      <c r="H4006" s="1350"/>
      <c r="I4006" s="399" t="str">
        <f t="shared" si="141"/>
        <v/>
      </c>
      <c r="J4006" s="442"/>
      <c r="K4006" s="1263"/>
      <c r="L4006" s="461"/>
      <c r="M4006" s="461"/>
      <c r="N4006" s="461"/>
    </row>
    <row r="4007" spans="1:14" s="462" customFormat="1" hidden="1" outlineLevel="1">
      <c r="A4007" s="1261"/>
      <c r="B4007" s="260"/>
      <c r="C4007" s="457" t="s">
        <v>2</v>
      </c>
      <c r="D4007" s="440">
        <f>1</f>
        <v>1</v>
      </c>
      <c r="E4007" s="439">
        <v>1</v>
      </c>
      <c r="F4007" s="1350">
        <v>3.43</v>
      </c>
      <c r="G4007" s="1350">
        <v>0.23</v>
      </c>
      <c r="H4007" s="1350">
        <v>0.2</v>
      </c>
      <c r="I4007" s="399">
        <f t="shared" si="141"/>
        <v>0.16</v>
      </c>
      <c r="J4007" s="442"/>
      <c r="K4007" s="1263"/>
      <c r="L4007" s="461"/>
      <c r="M4007" s="461"/>
      <c r="N4007" s="461"/>
    </row>
    <row r="4008" spans="1:14" s="462" customFormat="1" hidden="1" outlineLevel="1">
      <c r="A4008" s="1261"/>
      <c r="B4008" s="260"/>
      <c r="C4008" s="457"/>
      <c r="D4008" s="440"/>
      <c r="E4008" s="439"/>
      <c r="F4008" s="1350"/>
      <c r="G4008" s="1350"/>
      <c r="H4008" s="1350"/>
      <c r="I4008" s="399" t="str">
        <f t="shared" si="141"/>
        <v/>
      </c>
      <c r="J4008" s="442"/>
      <c r="K4008" s="1263"/>
      <c r="L4008" s="461"/>
      <c r="M4008" s="461"/>
      <c r="N4008" s="461"/>
    </row>
    <row r="4009" spans="1:14" s="462" customFormat="1" hidden="1" outlineLevel="1">
      <c r="A4009" s="1261"/>
      <c r="B4009" s="260"/>
      <c r="C4009" s="457" t="s">
        <v>2</v>
      </c>
      <c r="D4009" s="440">
        <f>1</f>
        <v>1</v>
      </c>
      <c r="E4009" s="439">
        <v>2</v>
      </c>
      <c r="F4009" s="1350">
        <v>0.68500000000000005</v>
      </c>
      <c r="G4009" s="1350">
        <v>0.23</v>
      </c>
      <c r="H4009" s="1350">
        <v>0.2</v>
      </c>
      <c r="I4009" s="399">
        <f t="shared" si="141"/>
        <v>0.06</v>
      </c>
      <c r="J4009" s="442"/>
      <c r="K4009" s="1263"/>
      <c r="L4009" s="461"/>
      <c r="M4009" s="461"/>
      <c r="N4009" s="461"/>
    </row>
    <row r="4010" spans="1:14" s="462" customFormat="1" hidden="1" outlineLevel="1">
      <c r="A4010" s="1268"/>
      <c r="B4010" s="458"/>
      <c r="C4010" s="459"/>
      <c r="D4010" s="460"/>
      <c r="E4010" s="439"/>
      <c r="F4010" s="1350"/>
      <c r="G4010" s="1350"/>
      <c r="H4010" s="1350"/>
      <c r="I4010" s="399" t="str">
        <f t="shared" si="141"/>
        <v/>
      </c>
      <c r="J4010" s="442"/>
      <c r="K4010" s="1263"/>
      <c r="L4010" s="461"/>
      <c r="M4010" s="461"/>
      <c r="N4010" s="461"/>
    </row>
    <row r="4011" spans="1:14" s="462" customFormat="1" hidden="1" outlineLevel="1">
      <c r="A4011" s="1268"/>
      <c r="B4011" s="458"/>
      <c r="C4011" s="459" t="s">
        <v>2</v>
      </c>
      <c r="D4011" s="460">
        <f>1</f>
        <v>1</v>
      </c>
      <c r="E4011" s="439">
        <v>1</v>
      </c>
      <c r="F4011" s="1350">
        <v>1.2949999999999999</v>
      </c>
      <c r="G4011" s="1350">
        <v>0.23</v>
      </c>
      <c r="H4011" s="1350">
        <v>0.2</v>
      </c>
      <c r="I4011" s="399">
        <f t="shared" si="141"/>
        <v>0.06</v>
      </c>
      <c r="J4011" s="442"/>
      <c r="K4011" s="1263"/>
      <c r="L4011" s="461"/>
      <c r="M4011" s="461"/>
      <c r="N4011" s="461"/>
    </row>
    <row r="4012" spans="1:14" s="462" customFormat="1" hidden="1" outlineLevel="1">
      <c r="A4012" s="1268"/>
      <c r="B4012" s="458"/>
      <c r="C4012" s="459"/>
      <c r="D4012" s="460"/>
      <c r="E4012" s="439"/>
      <c r="F4012" s="1350"/>
      <c r="G4012" s="1350"/>
      <c r="H4012" s="1350"/>
      <c r="I4012" s="399" t="str">
        <f t="shared" si="141"/>
        <v/>
      </c>
      <c r="J4012" s="442"/>
      <c r="K4012" s="1263"/>
      <c r="L4012" s="461"/>
      <c r="M4012" s="461"/>
      <c r="N4012" s="461"/>
    </row>
    <row r="4013" spans="1:14" s="462" customFormat="1" hidden="1" outlineLevel="1">
      <c r="A4013" s="1268"/>
      <c r="B4013" s="458"/>
      <c r="C4013" s="459" t="s">
        <v>2</v>
      </c>
      <c r="D4013" s="460">
        <f>1</f>
        <v>1</v>
      </c>
      <c r="E4013" s="439">
        <v>1</v>
      </c>
      <c r="F4013" s="1350">
        <v>2.11</v>
      </c>
      <c r="G4013" s="1350">
        <v>0.23</v>
      </c>
      <c r="H4013" s="1350">
        <v>0.2</v>
      </c>
      <c r="I4013" s="399">
        <f t="shared" si="141"/>
        <v>0.1</v>
      </c>
      <c r="J4013" s="442"/>
      <c r="K4013" s="1263"/>
      <c r="L4013" s="461"/>
      <c r="M4013" s="461"/>
      <c r="N4013" s="461"/>
    </row>
    <row r="4014" spans="1:14" s="462" customFormat="1" hidden="1" outlineLevel="1">
      <c r="A4014" s="1261"/>
      <c r="B4014" s="260"/>
      <c r="C4014" s="457"/>
      <c r="D4014" s="440"/>
      <c r="E4014" s="439"/>
      <c r="F4014" s="1350"/>
      <c r="G4014" s="1350"/>
      <c r="H4014" s="1350"/>
      <c r="I4014" s="399" t="str">
        <f t="shared" si="141"/>
        <v/>
      </c>
      <c r="J4014" s="442"/>
      <c r="K4014" s="1263"/>
      <c r="L4014" s="461"/>
      <c r="M4014" s="461"/>
      <c r="N4014" s="461"/>
    </row>
    <row r="4015" spans="1:14" s="462" customFormat="1" hidden="1" outlineLevel="1">
      <c r="A4015" s="1261"/>
      <c r="B4015" s="260" t="s">
        <v>343</v>
      </c>
      <c r="C4015" s="457"/>
      <c r="D4015" s="440"/>
      <c r="E4015" s="439"/>
      <c r="F4015" s="1350"/>
      <c r="G4015" s="1350"/>
      <c r="H4015" s="1350"/>
      <c r="I4015" s="399" t="str">
        <f t="shared" si="141"/>
        <v/>
      </c>
      <c r="J4015" s="442"/>
      <c r="K4015" s="1263"/>
      <c r="L4015" s="461"/>
      <c r="M4015" s="461"/>
      <c r="N4015" s="461"/>
    </row>
    <row r="4016" spans="1:14" s="462" customFormat="1" hidden="1" outlineLevel="1">
      <c r="A4016" s="1261"/>
      <c r="B4016" s="260"/>
      <c r="C4016" s="457"/>
      <c r="D4016" s="440"/>
      <c r="E4016" s="439"/>
      <c r="F4016" s="1350"/>
      <c r="G4016" s="1350"/>
      <c r="H4016" s="1350"/>
      <c r="I4016" s="399" t="str">
        <f t="shared" si="141"/>
        <v/>
      </c>
      <c r="J4016" s="442"/>
      <c r="K4016" s="1263"/>
      <c r="L4016" s="461"/>
      <c r="M4016" s="461"/>
      <c r="N4016" s="461"/>
    </row>
    <row r="4017" spans="1:14" s="462" customFormat="1" hidden="1" outlineLevel="1">
      <c r="A4017" s="1261"/>
      <c r="B4017" s="260" t="s">
        <v>209</v>
      </c>
      <c r="C4017" s="457" t="s">
        <v>2</v>
      </c>
      <c r="D4017" s="440">
        <v>1</v>
      </c>
      <c r="E4017" s="439">
        <v>2</v>
      </c>
      <c r="F4017" s="1350">
        <v>29.71</v>
      </c>
      <c r="G4017" s="1350">
        <v>0.23</v>
      </c>
      <c r="H4017" s="1350">
        <v>0.2</v>
      </c>
      <c r="I4017" s="399">
        <f t="shared" si="141"/>
        <v>2.73</v>
      </c>
      <c r="J4017" s="442"/>
      <c r="K4017" s="1263"/>
      <c r="L4017" s="461"/>
      <c r="M4017" s="461"/>
      <c r="N4017" s="461"/>
    </row>
    <row r="4018" spans="1:14" s="462" customFormat="1" hidden="1" outlineLevel="1">
      <c r="A4018" s="1261"/>
      <c r="B4018" s="260"/>
      <c r="C4018" s="457"/>
      <c r="D4018" s="440"/>
      <c r="E4018" s="439"/>
      <c r="F4018" s="1350"/>
      <c r="G4018" s="1350"/>
      <c r="H4018" s="1350"/>
      <c r="I4018" s="399" t="str">
        <f t="shared" si="141"/>
        <v/>
      </c>
      <c r="J4018" s="442"/>
      <c r="K4018" s="1263"/>
      <c r="L4018" s="461"/>
      <c r="M4018" s="461"/>
      <c r="N4018" s="461"/>
    </row>
    <row r="4019" spans="1:14" s="462" customFormat="1" hidden="1" outlineLevel="1">
      <c r="A4019" s="1261"/>
      <c r="B4019" s="260"/>
      <c r="C4019" s="457" t="s">
        <v>2</v>
      </c>
      <c r="D4019" s="440">
        <v>1</v>
      </c>
      <c r="E4019" s="439">
        <v>2</v>
      </c>
      <c r="F4019" s="1350">
        <v>0.6</v>
      </c>
      <c r="G4019" s="1350">
        <v>0.23</v>
      </c>
      <c r="H4019" s="1350">
        <v>0.2</v>
      </c>
      <c r="I4019" s="399">
        <f t="shared" si="141"/>
        <v>0.06</v>
      </c>
      <c r="J4019" s="442"/>
      <c r="K4019" s="1263"/>
      <c r="L4019" s="461"/>
      <c r="M4019" s="461"/>
      <c r="N4019" s="461"/>
    </row>
    <row r="4020" spans="1:14" s="462" customFormat="1" hidden="1" outlineLevel="1">
      <c r="A4020" s="1261"/>
      <c r="B4020" s="260"/>
      <c r="C4020" s="457"/>
      <c r="D4020" s="440"/>
      <c r="E4020" s="439"/>
      <c r="F4020" s="1350"/>
      <c r="G4020" s="1350"/>
      <c r="H4020" s="1350"/>
      <c r="I4020" s="399" t="str">
        <f t="shared" si="141"/>
        <v/>
      </c>
      <c r="J4020" s="442"/>
      <c r="K4020" s="1263"/>
      <c r="L4020" s="461"/>
      <c r="M4020" s="461"/>
      <c r="N4020" s="461"/>
    </row>
    <row r="4021" spans="1:14" s="462" customFormat="1" hidden="1" outlineLevel="1">
      <c r="A4021" s="1261"/>
      <c r="B4021" s="260" t="s">
        <v>210</v>
      </c>
      <c r="C4021" s="457" t="s">
        <v>2</v>
      </c>
      <c r="D4021" s="440">
        <v>1</v>
      </c>
      <c r="E4021" s="439">
        <v>2</v>
      </c>
      <c r="F4021" s="1350">
        <v>5.4850000000000003</v>
      </c>
      <c r="G4021" s="1350">
        <v>0.23</v>
      </c>
      <c r="H4021" s="1350">
        <v>0.2</v>
      </c>
      <c r="I4021" s="399">
        <f t="shared" si="141"/>
        <v>0.5</v>
      </c>
      <c r="J4021" s="442"/>
      <c r="K4021" s="1263"/>
      <c r="L4021" s="461"/>
      <c r="M4021" s="461"/>
      <c r="N4021" s="461"/>
    </row>
    <row r="4022" spans="1:14" s="462" customFormat="1" hidden="1" outlineLevel="1">
      <c r="A4022" s="1261"/>
      <c r="B4022" s="260"/>
      <c r="C4022" s="457"/>
      <c r="D4022" s="440"/>
      <c r="E4022" s="439"/>
      <c r="F4022" s="1350"/>
      <c r="G4022" s="1350"/>
      <c r="H4022" s="1350"/>
      <c r="I4022" s="399" t="str">
        <f t="shared" si="141"/>
        <v/>
      </c>
      <c r="J4022" s="442"/>
      <c r="K4022" s="1263"/>
      <c r="L4022" s="461"/>
      <c r="M4022" s="461"/>
      <c r="N4022" s="461"/>
    </row>
    <row r="4023" spans="1:14" s="462" customFormat="1" hidden="1" outlineLevel="1">
      <c r="A4023" s="1261"/>
      <c r="B4023" s="260"/>
      <c r="C4023" s="457" t="s">
        <v>2</v>
      </c>
      <c r="D4023" s="440">
        <v>1</v>
      </c>
      <c r="E4023" s="439">
        <v>2</v>
      </c>
      <c r="F4023" s="1350">
        <v>1.1950000000000001</v>
      </c>
      <c r="G4023" s="1350">
        <v>0.23</v>
      </c>
      <c r="H4023" s="1350">
        <v>0.2</v>
      </c>
      <c r="I4023" s="399">
        <f t="shared" si="141"/>
        <v>0.11</v>
      </c>
      <c r="J4023" s="442"/>
      <c r="K4023" s="1263"/>
      <c r="L4023" s="461"/>
      <c r="M4023" s="461"/>
      <c r="N4023" s="461"/>
    </row>
    <row r="4024" spans="1:14" s="462" customFormat="1" hidden="1" outlineLevel="1">
      <c r="A4024" s="1261"/>
      <c r="B4024" s="260"/>
      <c r="C4024" s="457"/>
      <c r="D4024" s="440"/>
      <c r="E4024" s="439"/>
      <c r="F4024" s="1350"/>
      <c r="G4024" s="1350"/>
      <c r="H4024" s="1350"/>
      <c r="I4024" s="399" t="str">
        <f t="shared" si="141"/>
        <v/>
      </c>
      <c r="J4024" s="442"/>
      <c r="K4024" s="1263"/>
      <c r="L4024" s="461"/>
      <c r="M4024" s="461"/>
      <c r="N4024" s="461"/>
    </row>
    <row r="4025" spans="1:14" s="462" customFormat="1" hidden="1" outlineLevel="1">
      <c r="A4025" s="1261"/>
      <c r="B4025" s="260" t="s">
        <v>211</v>
      </c>
      <c r="C4025" s="457" t="s">
        <v>2</v>
      </c>
      <c r="D4025" s="440">
        <v>1</v>
      </c>
      <c r="E4025" s="439">
        <v>2</v>
      </c>
      <c r="F4025" s="1350">
        <v>6.31</v>
      </c>
      <c r="G4025" s="1350">
        <v>0.23</v>
      </c>
      <c r="H4025" s="1350">
        <v>0.2</v>
      </c>
      <c r="I4025" s="399">
        <f t="shared" si="141"/>
        <v>0.57999999999999996</v>
      </c>
      <c r="J4025" s="442"/>
      <c r="K4025" s="1263"/>
      <c r="L4025" s="461"/>
      <c r="M4025" s="461"/>
      <c r="N4025" s="461"/>
    </row>
    <row r="4026" spans="1:14" s="462" customFormat="1" hidden="1" outlineLevel="1">
      <c r="A4026" s="1261"/>
      <c r="B4026" s="260"/>
      <c r="C4026" s="457"/>
      <c r="D4026" s="440"/>
      <c r="E4026" s="439"/>
      <c r="F4026" s="1350"/>
      <c r="G4026" s="1350"/>
      <c r="H4026" s="1350"/>
      <c r="I4026" s="399" t="str">
        <f t="shared" si="141"/>
        <v/>
      </c>
      <c r="J4026" s="442"/>
      <c r="K4026" s="1263"/>
      <c r="L4026" s="461"/>
      <c r="M4026" s="461"/>
      <c r="N4026" s="461"/>
    </row>
    <row r="4027" spans="1:14" s="462" customFormat="1" hidden="1" outlineLevel="1">
      <c r="A4027" s="1261"/>
      <c r="B4027" s="260"/>
      <c r="C4027" s="457" t="s">
        <v>2</v>
      </c>
      <c r="D4027" s="440">
        <v>1</v>
      </c>
      <c r="E4027" s="439">
        <v>2</v>
      </c>
      <c r="F4027" s="1350">
        <v>1.1950000000000001</v>
      </c>
      <c r="G4027" s="1350">
        <v>0.23</v>
      </c>
      <c r="H4027" s="1350">
        <v>0.2</v>
      </c>
      <c r="I4027" s="399">
        <f t="shared" si="141"/>
        <v>0.11</v>
      </c>
      <c r="J4027" s="442"/>
      <c r="K4027" s="1263"/>
      <c r="L4027" s="461"/>
      <c r="M4027" s="461"/>
      <c r="N4027" s="461"/>
    </row>
    <row r="4028" spans="1:14" s="462" customFormat="1" hidden="1" outlineLevel="1">
      <c r="A4028" s="1261"/>
      <c r="B4028" s="260"/>
      <c r="C4028" s="457"/>
      <c r="D4028" s="440"/>
      <c r="E4028" s="439"/>
      <c r="F4028" s="1350"/>
      <c r="G4028" s="1350"/>
      <c r="H4028" s="1350"/>
      <c r="I4028" s="399" t="str">
        <f t="shared" si="141"/>
        <v/>
      </c>
      <c r="J4028" s="442"/>
      <c r="K4028" s="1263"/>
      <c r="L4028" s="461"/>
      <c r="M4028" s="461"/>
      <c r="N4028" s="461"/>
    </row>
    <row r="4029" spans="1:14" s="462" customFormat="1" hidden="1" outlineLevel="1">
      <c r="A4029" s="1261"/>
      <c r="B4029" s="260" t="s">
        <v>337</v>
      </c>
      <c r="C4029" s="457"/>
      <c r="D4029" s="440"/>
      <c r="E4029" s="439"/>
      <c r="F4029" s="1350"/>
      <c r="G4029" s="1350"/>
      <c r="H4029" s="1350"/>
      <c r="I4029" s="399" t="str">
        <f t="shared" si="141"/>
        <v/>
      </c>
      <c r="J4029" s="442"/>
      <c r="K4029" s="1263"/>
      <c r="L4029" s="461"/>
      <c r="M4029" s="461"/>
      <c r="N4029" s="461"/>
    </row>
    <row r="4030" spans="1:14" s="462" customFormat="1" hidden="1" outlineLevel="1">
      <c r="A4030" s="1261"/>
      <c r="B4030" s="260"/>
      <c r="C4030" s="457"/>
      <c r="D4030" s="440"/>
      <c r="E4030" s="439"/>
      <c r="F4030" s="1350"/>
      <c r="G4030" s="1350"/>
      <c r="H4030" s="1350"/>
      <c r="I4030" s="399" t="str">
        <f t="shared" si="141"/>
        <v/>
      </c>
      <c r="J4030" s="442"/>
      <c r="K4030" s="1263"/>
      <c r="L4030" s="461"/>
      <c r="M4030" s="461"/>
      <c r="N4030" s="461"/>
    </row>
    <row r="4031" spans="1:14" s="462" customFormat="1" hidden="1" outlineLevel="1">
      <c r="A4031" s="1261"/>
      <c r="B4031" s="260" t="s">
        <v>344</v>
      </c>
      <c r="C4031" s="457" t="s">
        <v>2</v>
      </c>
      <c r="D4031" s="440">
        <v>1</v>
      </c>
      <c r="E4031" s="439">
        <v>1</v>
      </c>
      <c r="F4031" s="1350">
        <v>4.66</v>
      </c>
      <c r="G4031" s="1350">
        <v>0.23</v>
      </c>
      <c r="H4031" s="1350">
        <v>0.2</v>
      </c>
      <c r="I4031" s="399">
        <f t="shared" si="141"/>
        <v>0.21</v>
      </c>
      <c r="J4031" s="442"/>
      <c r="K4031" s="1263"/>
      <c r="L4031" s="461"/>
      <c r="M4031" s="461"/>
      <c r="N4031" s="461"/>
    </row>
    <row r="4032" spans="1:14" s="462" customFormat="1" hidden="1" outlineLevel="1">
      <c r="A4032" s="1261"/>
      <c r="B4032" s="260"/>
      <c r="C4032" s="457"/>
      <c r="D4032" s="440"/>
      <c r="E4032" s="439"/>
      <c r="F4032" s="1350"/>
      <c r="G4032" s="1350"/>
      <c r="H4032" s="1350"/>
      <c r="I4032" s="399" t="str">
        <f t="shared" si="141"/>
        <v/>
      </c>
      <c r="J4032" s="442"/>
      <c r="K4032" s="1263"/>
      <c r="L4032" s="461"/>
      <c r="M4032" s="461"/>
      <c r="N4032" s="461"/>
    </row>
    <row r="4033" spans="1:14" s="462" customFormat="1" hidden="1" outlineLevel="1">
      <c r="A4033" s="1261"/>
      <c r="B4033" s="260"/>
      <c r="C4033" s="457" t="s">
        <v>2</v>
      </c>
      <c r="D4033" s="440">
        <v>1</v>
      </c>
      <c r="E4033" s="439">
        <v>1</v>
      </c>
      <c r="F4033" s="1350">
        <v>2.4300000000000002</v>
      </c>
      <c r="G4033" s="1350">
        <v>0.23</v>
      </c>
      <c r="H4033" s="1350">
        <v>0.2</v>
      </c>
      <c r="I4033" s="399">
        <f t="shared" si="141"/>
        <v>0.11</v>
      </c>
      <c r="J4033" s="442"/>
      <c r="K4033" s="1263"/>
      <c r="L4033" s="461"/>
      <c r="M4033" s="461"/>
      <c r="N4033" s="461"/>
    </row>
    <row r="4034" spans="1:14" s="462" customFormat="1" hidden="1" outlineLevel="1">
      <c r="A4034" s="1261"/>
      <c r="B4034" s="260"/>
      <c r="C4034" s="457"/>
      <c r="D4034" s="440"/>
      <c r="E4034" s="439"/>
      <c r="F4034" s="1350"/>
      <c r="G4034" s="1350"/>
      <c r="H4034" s="1350"/>
      <c r="I4034" s="399" t="str">
        <f t="shared" si="141"/>
        <v/>
      </c>
      <c r="J4034" s="442"/>
      <c r="K4034" s="1263"/>
      <c r="L4034" s="461"/>
      <c r="M4034" s="461"/>
      <c r="N4034" s="461"/>
    </row>
    <row r="4035" spans="1:14" s="462" customFormat="1" hidden="1" outlineLevel="1">
      <c r="A4035" s="1261"/>
      <c r="B4035" s="260"/>
      <c r="C4035" s="457" t="s">
        <v>2</v>
      </c>
      <c r="D4035" s="440">
        <v>1</v>
      </c>
      <c r="E4035" s="439">
        <v>1</v>
      </c>
      <c r="F4035" s="1350">
        <v>3.63</v>
      </c>
      <c r="G4035" s="1350">
        <v>0.23</v>
      </c>
      <c r="H4035" s="1350">
        <v>0.2</v>
      </c>
      <c r="I4035" s="399">
        <f t="shared" si="141"/>
        <v>0.17</v>
      </c>
      <c r="J4035" s="442"/>
      <c r="K4035" s="1263"/>
      <c r="L4035" s="461"/>
      <c r="M4035" s="461"/>
      <c r="N4035" s="461"/>
    </row>
    <row r="4036" spans="1:14" s="462" customFormat="1" hidden="1" outlineLevel="1">
      <c r="A4036" s="1261"/>
      <c r="B4036" s="260"/>
      <c r="C4036" s="457"/>
      <c r="D4036" s="440"/>
      <c r="E4036" s="439"/>
      <c r="F4036" s="1350"/>
      <c r="G4036" s="1350"/>
      <c r="H4036" s="1350"/>
      <c r="I4036" s="399" t="str">
        <f t="shared" si="141"/>
        <v/>
      </c>
      <c r="J4036" s="442"/>
      <c r="K4036" s="1263"/>
      <c r="L4036" s="461"/>
      <c r="M4036" s="461"/>
      <c r="N4036" s="461"/>
    </row>
    <row r="4037" spans="1:14" s="462" customFormat="1" hidden="1" outlineLevel="1">
      <c r="A4037" s="1261"/>
      <c r="B4037" s="260"/>
      <c r="C4037" s="457" t="s">
        <v>2</v>
      </c>
      <c r="D4037" s="440">
        <v>1</v>
      </c>
      <c r="E4037" s="439">
        <v>1</v>
      </c>
      <c r="F4037" s="1350">
        <v>0.89</v>
      </c>
      <c r="G4037" s="1350">
        <v>0.23</v>
      </c>
      <c r="H4037" s="1350">
        <v>0.2</v>
      </c>
      <c r="I4037" s="399">
        <f t="shared" si="141"/>
        <v>0.04</v>
      </c>
      <c r="J4037" s="442"/>
      <c r="K4037" s="1263"/>
      <c r="L4037" s="461"/>
      <c r="M4037" s="461"/>
      <c r="N4037" s="461"/>
    </row>
    <row r="4038" spans="1:14" s="462" customFormat="1" hidden="1" outlineLevel="1">
      <c r="A4038" s="1261"/>
      <c r="B4038" s="260"/>
      <c r="C4038" s="457"/>
      <c r="D4038" s="440"/>
      <c r="E4038" s="439"/>
      <c r="F4038" s="1350"/>
      <c r="G4038" s="1350"/>
      <c r="H4038" s="1350"/>
      <c r="I4038" s="399" t="str">
        <f t="shared" si="141"/>
        <v/>
      </c>
      <c r="J4038" s="442"/>
      <c r="K4038" s="1263"/>
      <c r="L4038" s="461"/>
      <c r="M4038" s="461"/>
      <c r="N4038" s="461"/>
    </row>
    <row r="4039" spans="1:14" s="462" customFormat="1" hidden="1" outlineLevel="1">
      <c r="A4039" s="1261"/>
      <c r="B4039" s="260"/>
      <c r="C4039" s="457" t="s">
        <v>2</v>
      </c>
      <c r="D4039" s="440">
        <v>1</v>
      </c>
      <c r="E4039" s="439">
        <v>2</v>
      </c>
      <c r="F4039" s="1350">
        <v>4.2900000000000009</v>
      </c>
      <c r="G4039" s="1350">
        <v>0.23</v>
      </c>
      <c r="H4039" s="1350">
        <v>0.2</v>
      </c>
      <c r="I4039" s="399">
        <f t="shared" si="141"/>
        <v>0.39</v>
      </c>
      <c r="J4039" s="442"/>
      <c r="K4039" s="1263"/>
      <c r="L4039" s="461"/>
      <c r="M4039" s="461"/>
      <c r="N4039" s="461"/>
    </row>
    <row r="4040" spans="1:14" s="462" customFormat="1" hidden="1" outlineLevel="1">
      <c r="A4040" s="1261"/>
      <c r="B4040" s="260"/>
      <c r="C4040" s="457"/>
      <c r="D4040" s="440"/>
      <c r="E4040" s="439"/>
      <c r="F4040" s="1350"/>
      <c r="G4040" s="1350"/>
      <c r="H4040" s="1350"/>
      <c r="I4040" s="399" t="str">
        <f t="shared" si="141"/>
        <v/>
      </c>
      <c r="J4040" s="442"/>
      <c r="K4040" s="1263"/>
      <c r="L4040" s="461"/>
      <c r="M4040" s="461"/>
      <c r="N4040" s="461"/>
    </row>
    <row r="4041" spans="1:14" s="462" customFormat="1" hidden="1" outlineLevel="1">
      <c r="A4041" s="1261"/>
      <c r="B4041" s="260"/>
      <c r="C4041" s="457" t="s">
        <v>2</v>
      </c>
      <c r="D4041" s="440">
        <v>1</v>
      </c>
      <c r="E4041" s="439">
        <v>1</v>
      </c>
      <c r="F4041" s="1350">
        <v>0.61</v>
      </c>
      <c r="G4041" s="1350">
        <v>0.23</v>
      </c>
      <c r="H4041" s="1350">
        <v>0.2</v>
      </c>
      <c r="I4041" s="399">
        <f t="shared" si="141"/>
        <v>0.03</v>
      </c>
      <c r="J4041" s="442"/>
      <c r="K4041" s="1263"/>
      <c r="L4041" s="461"/>
      <c r="M4041" s="461"/>
      <c r="N4041" s="461"/>
    </row>
    <row r="4042" spans="1:14" s="462" customFormat="1" hidden="1" outlineLevel="1">
      <c r="A4042" s="1261"/>
      <c r="B4042" s="260"/>
      <c r="C4042" s="457"/>
      <c r="D4042" s="440"/>
      <c r="E4042" s="439"/>
      <c r="F4042" s="1350"/>
      <c r="G4042" s="1350"/>
      <c r="H4042" s="1350"/>
      <c r="I4042" s="399" t="str">
        <f t="shared" si="141"/>
        <v/>
      </c>
      <c r="J4042" s="442"/>
      <c r="K4042" s="1263"/>
      <c r="L4042" s="461"/>
      <c r="M4042" s="461"/>
      <c r="N4042" s="461"/>
    </row>
    <row r="4043" spans="1:14" s="462" customFormat="1" hidden="1" outlineLevel="1">
      <c r="A4043" s="1261"/>
      <c r="B4043" s="260"/>
      <c r="C4043" s="457" t="s">
        <v>2</v>
      </c>
      <c r="D4043" s="440">
        <v>1</v>
      </c>
      <c r="E4043" s="439">
        <v>1</v>
      </c>
      <c r="F4043" s="1350">
        <v>3.91</v>
      </c>
      <c r="G4043" s="1350">
        <v>0.23</v>
      </c>
      <c r="H4043" s="1350">
        <v>0.2</v>
      </c>
      <c r="I4043" s="399">
        <f t="shared" si="141"/>
        <v>0.18</v>
      </c>
      <c r="J4043" s="442"/>
      <c r="K4043" s="1263"/>
      <c r="L4043" s="461"/>
      <c r="M4043" s="461"/>
      <c r="N4043" s="461"/>
    </row>
    <row r="4044" spans="1:14" s="462" customFormat="1" hidden="1" outlineLevel="1">
      <c r="A4044" s="1261"/>
      <c r="B4044" s="260"/>
      <c r="C4044" s="457"/>
      <c r="D4044" s="440"/>
      <c r="E4044" s="439"/>
      <c r="F4044" s="1350"/>
      <c r="G4044" s="1350"/>
      <c r="H4044" s="1350"/>
      <c r="I4044" s="399" t="str">
        <f t="shared" si="141"/>
        <v/>
      </c>
      <c r="J4044" s="442"/>
      <c r="K4044" s="1263"/>
      <c r="L4044" s="461"/>
      <c r="M4044" s="461"/>
      <c r="N4044" s="461"/>
    </row>
    <row r="4045" spans="1:14" s="462" customFormat="1" hidden="1" outlineLevel="1">
      <c r="A4045" s="1261"/>
      <c r="B4045" s="260" t="s">
        <v>213</v>
      </c>
      <c r="C4045" s="457" t="s">
        <v>2</v>
      </c>
      <c r="D4045" s="440">
        <v>1</v>
      </c>
      <c r="E4045" s="439">
        <v>1</v>
      </c>
      <c r="F4045" s="1350">
        <v>1.51</v>
      </c>
      <c r="G4045" s="1350">
        <v>0.23</v>
      </c>
      <c r="H4045" s="1350">
        <v>0.2</v>
      </c>
      <c r="I4045" s="399">
        <f t="shared" si="141"/>
        <v>7.0000000000000007E-2</v>
      </c>
      <c r="J4045" s="442"/>
      <c r="K4045" s="1263"/>
      <c r="L4045" s="461"/>
      <c r="M4045" s="461"/>
      <c r="N4045" s="461"/>
    </row>
    <row r="4046" spans="1:14" s="462" customFormat="1" hidden="1" outlineLevel="1">
      <c r="A4046" s="1261"/>
      <c r="B4046" s="260"/>
      <c r="C4046" s="457"/>
      <c r="D4046" s="440"/>
      <c r="E4046" s="439"/>
      <c r="F4046" s="1350"/>
      <c r="G4046" s="1350"/>
      <c r="H4046" s="1350"/>
      <c r="I4046" s="399" t="str">
        <f t="shared" si="141"/>
        <v/>
      </c>
      <c r="J4046" s="442"/>
      <c r="K4046" s="1263"/>
      <c r="L4046" s="461"/>
      <c r="M4046" s="461"/>
      <c r="N4046" s="461"/>
    </row>
    <row r="4047" spans="1:14" s="462" customFormat="1" hidden="1" outlineLevel="1">
      <c r="A4047" s="1261"/>
      <c r="B4047" s="260"/>
      <c r="C4047" s="457" t="s">
        <v>2</v>
      </c>
      <c r="D4047" s="440">
        <v>1</v>
      </c>
      <c r="E4047" s="439">
        <v>1</v>
      </c>
      <c r="F4047" s="1350">
        <v>3.31</v>
      </c>
      <c r="G4047" s="1350">
        <v>0.23</v>
      </c>
      <c r="H4047" s="1350">
        <v>0.2</v>
      </c>
      <c r="I4047" s="399">
        <f t="shared" si="141"/>
        <v>0.15</v>
      </c>
      <c r="J4047" s="442"/>
      <c r="K4047" s="1263"/>
      <c r="L4047" s="461"/>
      <c r="M4047" s="461"/>
      <c r="N4047" s="461"/>
    </row>
    <row r="4048" spans="1:14" s="462" customFormat="1" hidden="1" outlineLevel="1">
      <c r="A4048" s="1261"/>
      <c r="B4048" s="260"/>
      <c r="C4048" s="457"/>
      <c r="D4048" s="440"/>
      <c r="E4048" s="439"/>
      <c r="F4048" s="1350"/>
      <c r="G4048" s="1350"/>
      <c r="H4048" s="1350"/>
      <c r="I4048" s="399" t="str">
        <f t="shared" si="141"/>
        <v/>
      </c>
      <c r="J4048" s="442"/>
      <c r="K4048" s="1263"/>
      <c r="L4048" s="461"/>
      <c r="M4048" s="461"/>
      <c r="N4048" s="461"/>
    </row>
    <row r="4049" spans="1:14" s="462" customFormat="1" hidden="1" outlineLevel="1">
      <c r="A4049" s="1261"/>
      <c r="B4049" s="260"/>
      <c r="C4049" s="457" t="s">
        <v>2</v>
      </c>
      <c r="D4049" s="440">
        <v>1</v>
      </c>
      <c r="E4049" s="439">
        <v>1</v>
      </c>
      <c r="F4049" s="1350">
        <v>3.31</v>
      </c>
      <c r="G4049" s="1350">
        <v>0.23</v>
      </c>
      <c r="H4049" s="1350">
        <v>0.2</v>
      </c>
      <c r="I4049" s="399">
        <f t="shared" si="141"/>
        <v>0.15</v>
      </c>
      <c r="J4049" s="442"/>
      <c r="K4049" s="1263"/>
      <c r="L4049" s="461"/>
      <c r="M4049" s="461"/>
      <c r="N4049" s="461"/>
    </row>
    <row r="4050" spans="1:14" s="462" customFormat="1" hidden="1" outlineLevel="1">
      <c r="A4050" s="1261"/>
      <c r="B4050" s="260"/>
      <c r="C4050" s="457"/>
      <c r="D4050" s="440"/>
      <c r="E4050" s="439"/>
      <c r="F4050" s="1350"/>
      <c r="G4050" s="1350"/>
      <c r="H4050" s="1350"/>
      <c r="I4050" s="399" t="str">
        <f t="shared" si="141"/>
        <v/>
      </c>
      <c r="J4050" s="442"/>
      <c r="K4050" s="1263"/>
      <c r="L4050" s="461"/>
      <c r="M4050" s="461"/>
      <c r="N4050" s="461"/>
    </row>
    <row r="4051" spans="1:14" s="462" customFormat="1" hidden="1" outlineLevel="1">
      <c r="A4051" s="1261"/>
      <c r="B4051" s="260" t="s">
        <v>214</v>
      </c>
      <c r="C4051" s="457" t="s">
        <v>2</v>
      </c>
      <c r="D4051" s="440">
        <v>1</v>
      </c>
      <c r="E4051" s="439">
        <v>1</v>
      </c>
      <c r="F4051" s="1350">
        <v>5.7900000000000009</v>
      </c>
      <c r="G4051" s="1350">
        <v>0.23</v>
      </c>
      <c r="H4051" s="1350">
        <v>0.2</v>
      </c>
      <c r="I4051" s="399">
        <f t="shared" si="141"/>
        <v>0.27</v>
      </c>
      <c r="J4051" s="442"/>
      <c r="K4051" s="1263"/>
      <c r="L4051" s="461"/>
      <c r="M4051" s="461"/>
      <c r="N4051" s="461"/>
    </row>
    <row r="4052" spans="1:14" s="462" customFormat="1" hidden="1" outlineLevel="1">
      <c r="A4052" s="1261"/>
      <c r="B4052" s="260"/>
      <c r="C4052" s="457"/>
      <c r="D4052" s="440"/>
      <c r="E4052" s="439"/>
      <c r="F4052" s="1350"/>
      <c r="G4052" s="1350"/>
      <c r="H4052" s="1350"/>
      <c r="I4052" s="399" t="str">
        <f t="shared" si="141"/>
        <v/>
      </c>
      <c r="J4052" s="442"/>
      <c r="K4052" s="1263"/>
      <c r="L4052" s="461"/>
      <c r="M4052" s="461"/>
      <c r="N4052" s="461"/>
    </row>
    <row r="4053" spans="1:14" s="462" customFormat="1" hidden="1" outlineLevel="1">
      <c r="A4053" s="1261"/>
      <c r="B4053" s="260"/>
      <c r="C4053" s="457" t="s">
        <v>2</v>
      </c>
      <c r="D4053" s="440">
        <v>1</v>
      </c>
      <c r="E4053" s="439">
        <v>1</v>
      </c>
      <c r="F4053" s="1350">
        <v>0.83</v>
      </c>
      <c r="G4053" s="1350">
        <v>0.23</v>
      </c>
      <c r="H4053" s="1350">
        <v>0.2</v>
      </c>
      <c r="I4053" s="399">
        <f t="shared" si="141"/>
        <v>0.04</v>
      </c>
      <c r="J4053" s="442"/>
      <c r="K4053" s="1263"/>
      <c r="L4053" s="461"/>
      <c r="M4053" s="461"/>
      <c r="N4053" s="461"/>
    </row>
    <row r="4054" spans="1:14" s="462" customFormat="1" hidden="1" outlineLevel="1">
      <c r="A4054" s="1261"/>
      <c r="B4054" s="260"/>
      <c r="C4054" s="457"/>
      <c r="D4054" s="440"/>
      <c r="E4054" s="439"/>
      <c r="F4054" s="1350"/>
      <c r="G4054" s="1350"/>
      <c r="H4054" s="1350"/>
      <c r="I4054" s="399" t="str">
        <f t="shared" si="141"/>
        <v/>
      </c>
      <c r="J4054" s="442"/>
      <c r="K4054" s="1263"/>
      <c r="L4054" s="461"/>
      <c r="M4054" s="461"/>
      <c r="N4054" s="461"/>
    </row>
    <row r="4055" spans="1:14" s="462" customFormat="1" hidden="1" outlineLevel="1">
      <c r="A4055" s="1261"/>
      <c r="B4055" s="260"/>
      <c r="C4055" s="457" t="s">
        <v>2</v>
      </c>
      <c r="D4055" s="440">
        <v>1</v>
      </c>
      <c r="E4055" s="439">
        <v>2</v>
      </c>
      <c r="F4055" s="1350">
        <v>6.3900000000000006</v>
      </c>
      <c r="G4055" s="1350">
        <v>0.23</v>
      </c>
      <c r="H4055" s="1350">
        <v>0.2</v>
      </c>
      <c r="I4055" s="399">
        <f t="shared" si="141"/>
        <v>0.59</v>
      </c>
      <c r="J4055" s="442"/>
      <c r="K4055" s="1263"/>
      <c r="L4055" s="461"/>
      <c r="M4055" s="461"/>
      <c r="N4055" s="461"/>
    </row>
    <row r="4056" spans="1:14" s="462" customFormat="1" hidden="1" outlineLevel="1">
      <c r="A4056" s="1261"/>
      <c r="B4056" s="260"/>
      <c r="C4056" s="457"/>
      <c r="D4056" s="440"/>
      <c r="E4056" s="439"/>
      <c r="F4056" s="1350"/>
      <c r="G4056" s="1350"/>
      <c r="H4056" s="1350"/>
      <c r="I4056" s="399" t="str">
        <f t="shared" si="141"/>
        <v/>
      </c>
      <c r="J4056" s="442"/>
      <c r="K4056" s="1263"/>
      <c r="L4056" s="461"/>
      <c r="M4056" s="461"/>
      <c r="N4056" s="461"/>
    </row>
    <row r="4057" spans="1:14" s="462" customFormat="1" hidden="1" outlineLevel="1">
      <c r="A4057" s="1261"/>
      <c r="B4057" s="260"/>
      <c r="C4057" s="457" t="s">
        <v>2</v>
      </c>
      <c r="D4057" s="440">
        <v>1</v>
      </c>
      <c r="E4057" s="439">
        <v>1</v>
      </c>
      <c r="F4057" s="1350">
        <v>1.43</v>
      </c>
      <c r="G4057" s="1350">
        <v>0.23</v>
      </c>
      <c r="H4057" s="1350">
        <v>0.2</v>
      </c>
      <c r="I4057" s="399">
        <f t="shared" si="141"/>
        <v>7.0000000000000007E-2</v>
      </c>
      <c r="J4057" s="442"/>
      <c r="K4057" s="1263"/>
      <c r="L4057" s="461"/>
      <c r="M4057" s="461"/>
      <c r="N4057" s="461"/>
    </row>
    <row r="4058" spans="1:14" s="462" customFormat="1" hidden="1" outlineLevel="1">
      <c r="A4058" s="1261"/>
      <c r="B4058" s="260"/>
      <c r="C4058" s="457"/>
      <c r="D4058" s="440"/>
      <c r="E4058" s="439"/>
      <c r="F4058" s="1350"/>
      <c r="G4058" s="1350"/>
      <c r="H4058" s="1350"/>
      <c r="I4058" s="399" t="str">
        <f t="shared" si="141"/>
        <v/>
      </c>
      <c r="J4058" s="442"/>
      <c r="K4058" s="1263"/>
      <c r="L4058" s="461"/>
      <c r="M4058" s="461"/>
      <c r="N4058" s="461"/>
    </row>
    <row r="4059" spans="1:14" s="462" customFormat="1" hidden="1" outlineLevel="1">
      <c r="A4059" s="1261"/>
      <c r="B4059" s="260"/>
      <c r="C4059" s="457" t="s">
        <v>2</v>
      </c>
      <c r="D4059" s="440">
        <v>1</v>
      </c>
      <c r="E4059" s="439">
        <v>1</v>
      </c>
      <c r="F4059" s="1350">
        <v>9.82</v>
      </c>
      <c r="G4059" s="1350">
        <v>0.23</v>
      </c>
      <c r="H4059" s="1350">
        <v>0.2</v>
      </c>
      <c r="I4059" s="399">
        <f t="shared" si="141"/>
        <v>0.45</v>
      </c>
      <c r="J4059" s="442"/>
      <c r="K4059" s="1263"/>
      <c r="L4059" s="461"/>
      <c r="M4059" s="461"/>
      <c r="N4059" s="461"/>
    </row>
    <row r="4060" spans="1:14" s="462" customFormat="1" hidden="1" outlineLevel="1">
      <c r="A4060" s="1261"/>
      <c r="B4060" s="260" t="s">
        <v>331</v>
      </c>
      <c r="C4060" s="457" t="s">
        <v>2</v>
      </c>
      <c r="D4060" s="440">
        <v>1</v>
      </c>
      <c r="E4060" s="439">
        <v>5</v>
      </c>
      <c r="F4060" s="1350">
        <v>3</v>
      </c>
      <c r="G4060" s="1350">
        <v>0.38500000000000001</v>
      </c>
      <c r="H4060" s="1350">
        <v>0.27500000000000002</v>
      </c>
      <c r="I4060" s="399">
        <f t="shared" si="141"/>
        <v>1.59</v>
      </c>
      <c r="J4060" s="442"/>
      <c r="K4060" s="1263"/>
      <c r="L4060" s="461"/>
      <c r="M4060" s="461"/>
      <c r="N4060" s="461"/>
    </row>
    <row r="4061" spans="1:14" s="462" customFormat="1" hidden="1" outlineLevel="1">
      <c r="A4061" s="1261"/>
      <c r="B4061" s="260"/>
      <c r="C4061" s="457"/>
      <c r="D4061" s="440"/>
      <c r="E4061" s="439"/>
      <c r="F4061" s="1350"/>
      <c r="G4061" s="1350"/>
      <c r="H4061" s="1350"/>
      <c r="I4061" s="399" t="str">
        <f t="shared" si="141"/>
        <v/>
      </c>
      <c r="J4061" s="442"/>
      <c r="K4061" s="1263"/>
      <c r="L4061" s="461"/>
      <c r="M4061" s="461"/>
      <c r="N4061" s="461"/>
    </row>
    <row r="4062" spans="1:14" s="462" customFormat="1" hidden="1" outlineLevel="1">
      <c r="A4062" s="1261"/>
      <c r="B4062" s="260" t="s">
        <v>215</v>
      </c>
      <c r="C4062" s="457"/>
      <c r="D4062" s="440"/>
      <c r="E4062" s="439"/>
      <c r="F4062" s="1350"/>
      <c r="G4062" s="1350"/>
      <c r="H4062" s="1350"/>
      <c r="I4062" s="399" t="str">
        <f t="shared" si="141"/>
        <v/>
      </c>
      <c r="J4062" s="442"/>
      <c r="K4062" s="1263"/>
      <c r="L4062" s="461"/>
      <c r="M4062" s="461"/>
      <c r="N4062" s="461"/>
    </row>
    <row r="4063" spans="1:14" s="462" customFormat="1" hidden="1" outlineLevel="1">
      <c r="A4063" s="1261"/>
      <c r="B4063" s="260"/>
      <c r="C4063" s="457" t="s">
        <v>2</v>
      </c>
      <c r="D4063" s="440">
        <v>1</v>
      </c>
      <c r="E4063" s="439">
        <v>7</v>
      </c>
      <c r="F4063" s="1350">
        <v>0.61499999999999999</v>
      </c>
      <c r="G4063" s="1350">
        <v>0.23</v>
      </c>
      <c r="H4063" s="1350">
        <v>0.2</v>
      </c>
      <c r="I4063" s="399">
        <f t="shared" si="141"/>
        <v>0.2</v>
      </c>
      <c r="J4063" s="442"/>
      <c r="K4063" s="1263"/>
      <c r="L4063" s="461"/>
      <c r="M4063" s="461"/>
      <c r="N4063" s="461"/>
    </row>
    <row r="4064" spans="1:14" s="462" customFormat="1" hidden="1" outlineLevel="1">
      <c r="A4064" s="1261"/>
      <c r="B4064" s="260"/>
      <c r="C4064" s="457"/>
      <c r="D4064" s="440"/>
      <c r="E4064" s="439"/>
      <c r="F4064" s="1350"/>
      <c r="G4064" s="1350"/>
      <c r="H4064" s="1350"/>
      <c r="I4064" s="399" t="str">
        <f t="shared" si="141"/>
        <v/>
      </c>
      <c r="J4064" s="442"/>
      <c r="K4064" s="1263"/>
      <c r="L4064" s="461"/>
      <c r="M4064" s="461"/>
      <c r="N4064" s="461"/>
    </row>
    <row r="4065" spans="1:14" s="462" customFormat="1" hidden="1" outlineLevel="1">
      <c r="A4065" s="1261"/>
      <c r="B4065" s="260"/>
      <c r="C4065" s="457" t="s">
        <v>2</v>
      </c>
      <c r="D4065" s="440">
        <v>1</v>
      </c>
      <c r="E4065" s="439">
        <v>1</v>
      </c>
      <c r="F4065" s="1350">
        <v>1.905</v>
      </c>
      <c r="G4065" s="1350">
        <v>0.23</v>
      </c>
      <c r="H4065" s="1350">
        <v>0.2</v>
      </c>
      <c r="I4065" s="399">
        <f t="shared" si="141"/>
        <v>0.09</v>
      </c>
      <c r="J4065" s="442"/>
      <c r="K4065" s="1263"/>
      <c r="L4065" s="461"/>
      <c r="M4065" s="461"/>
      <c r="N4065" s="461"/>
    </row>
    <row r="4066" spans="1:14" s="462" customFormat="1" hidden="1" outlineLevel="1">
      <c r="A4066" s="1261"/>
      <c r="B4066" s="260"/>
      <c r="C4066" s="457"/>
      <c r="D4066" s="440"/>
      <c r="E4066" s="439"/>
      <c r="F4066" s="1350"/>
      <c r="G4066" s="1350"/>
      <c r="H4066" s="1350"/>
      <c r="I4066" s="399" t="str">
        <f t="shared" si="141"/>
        <v/>
      </c>
      <c r="J4066" s="442"/>
      <c r="K4066" s="1263"/>
      <c r="L4066" s="461"/>
      <c r="M4066" s="461"/>
      <c r="N4066" s="461"/>
    </row>
    <row r="4067" spans="1:14" s="462" customFormat="1" hidden="1" outlineLevel="1">
      <c r="A4067" s="1261"/>
      <c r="B4067" s="260"/>
      <c r="C4067" s="457" t="s">
        <v>2</v>
      </c>
      <c r="D4067" s="440">
        <v>1</v>
      </c>
      <c r="E4067" s="439">
        <v>1</v>
      </c>
      <c r="F4067" s="1350">
        <v>1.06</v>
      </c>
      <c r="G4067" s="1350">
        <v>0.23</v>
      </c>
      <c r="H4067" s="1350">
        <v>0.2</v>
      </c>
      <c r="I4067" s="399">
        <f t="shared" si="141"/>
        <v>0.05</v>
      </c>
      <c r="J4067" s="442"/>
      <c r="K4067" s="1263"/>
      <c r="L4067" s="461"/>
      <c r="M4067" s="461"/>
      <c r="N4067" s="461"/>
    </row>
    <row r="4068" spans="1:14" s="462" customFormat="1" hidden="1" outlineLevel="1">
      <c r="A4068" s="1261"/>
      <c r="B4068" s="260"/>
      <c r="C4068" s="457"/>
      <c r="D4068" s="440"/>
      <c r="E4068" s="439"/>
      <c r="F4068" s="1350"/>
      <c r="G4068" s="1350"/>
      <c r="H4068" s="1350"/>
      <c r="I4068" s="399" t="str">
        <f t="shared" si="141"/>
        <v/>
      </c>
      <c r="J4068" s="442"/>
      <c r="K4068" s="1263"/>
      <c r="L4068" s="461"/>
      <c r="M4068" s="461"/>
      <c r="N4068" s="461"/>
    </row>
    <row r="4069" spans="1:14" s="462" customFormat="1" hidden="1" outlineLevel="1">
      <c r="A4069" s="1261"/>
      <c r="B4069" s="260"/>
      <c r="C4069" s="457" t="s">
        <v>2</v>
      </c>
      <c r="D4069" s="440">
        <v>1</v>
      </c>
      <c r="E4069" s="439">
        <v>5</v>
      </c>
      <c r="F4069" s="1350">
        <v>1.67</v>
      </c>
      <c r="G4069" s="1350">
        <v>0.23</v>
      </c>
      <c r="H4069" s="1350">
        <v>0.2</v>
      </c>
      <c r="I4069" s="399">
        <f t="shared" ref="I4069:I4132" si="142">IF(D4069&lt;&gt;0,ROUND(PRODUCT(E4069:H4069)*D4069,2),"")</f>
        <v>0.38</v>
      </c>
      <c r="J4069" s="442"/>
      <c r="K4069" s="1263"/>
      <c r="L4069" s="461"/>
      <c r="M4069" s="461"/>
      <c r="N4069" s="461"/>
    </row>
    <row r="4070" spans="1:14" s="462" customFormat="1" hidden="1" outlineLevel="1">
      <c r="A4070" s="1261"/>
      <c r="B4070" s="260"/>
      <c r="C4070" s="457"/>
      <c r="D4070" s="440"/>
      <c r="E4070" s="439"/>
      <c r="F4070" s="1350"/>
      <c r="G4070" s="1350"/>
      <c r="H4070" s="1350"/>
      <c r="I4070" s="399" t="str">
        <f t="shared" si="142"/>
        <v/>
      </c>
      <c r="J4070" s="442"/>
      <c r="K4070" s="1263"/>
      <c r="L4070" s="461"/>
      <c r="M4070" s="461"/>
      <c r="N4070" s="461"/>
    </row>
    <row r="4071" spans="1:14" s="462" customFormat="1" hidden="1" outlineLevel="1">
      <c r="A4071" s="1261"/>
      <c r="B4071" s="260"/>
      <c r="C4071" s="457" t="s">
        <v>2</v>
      </c>
      <c r="D4071" s="440">
        <v>1</v>
      </c>
      <c r="E4071" s="439">
        <v>1</v>
      </c>
      <c r="F4071" s="1350">
        <v>3.36</v>
      </c>
      <c r="G4071" s="1350">
        <v>0.23</v>
      </c>
      <c r="H4071" s="1350">
        <v>0.2</v>
      </c>
      <c r="I4071" s="399">
        <f t="shared" si="142"/>
        <v>0.15</v>
      </c>
      <c r="J4071" s="442"/>
      <c r="K4071" s="1263"/>
      <c r="L4071" s="461"/>
      <c r="M4071" s="461"/>
      <c r="N4071" s="461"/>
    </row>
    <row r="4072" spans="1:14" s="462" customFormat="1" hidden="1" outlineLevel="1">
      <c r="A4072" s="1261"/>
      <c r="B4072" s="260"/>
      <c r="C4072" s="457"/>
      <c r="D4072" s="440"/>
      <c r="E4072" s="439"/>
      <c r="F4072" s="1350"/>
      <c r="G4072" s="1350"/>
      <c r="H4072" s="1350"/>
      <c r="I4072" s="399" t="str">
        <f t="shared" si="142"/>
        <v/>
      </c>
      <c r="J4072" s="442"/>
      <c r="K4072" s="1263"/>
      <c r="L4072" s="461"/>
      <c r="M4072" s="461"/>
      <c r="N4072" s="461"/>
    </row>
    <row r="4073" spans="1:14" s="462" customFormat="1" hidden="1" outlineLevel="1">
      <c r="A4073" s="1261"/>
      <c r="B4073" s="260"/>
      <c r="C4073" s="457" t="s">
        <v>2</v>
      </c>
      <c r="D4073" s="440">
        <v>1</v>
      </c>
      <c r="E4073" s="439">
        <v>2</v>
      </c>
      <c r="F4073" s="1350">
        <v>2.0350000000000001</v>
      </c>
      <c r="G4073" s="1350">
        <v>0.23</v>
      </c>
      <c r="H4073" s="1350">
        <v>0.2</v>
      </c>
      <c r="I4073" s="399">
        <f t="shared" si="142"/>
        <v>0.19</v>
      </c>
      <c r="J4073" s="442"/>
      <c r="K4073" s="1263"/>
      <c r="L4073" s="461"/>
      <c r="M4073" s="461"/>
      <c r="N4073" s="461"/>
    </row>
    <row r="4074" spans="1:14" s="462" customFormat="1" hidden="1" outlineLevel="1">
      <c r="A4074" s="1261"/>
      <c r="B4074" s="260"/>
      <c r="C4074" s="457"/>
      <c r="D4074" s="440"/>
      <c r="E4074" s="439"/>
      <c r="F4074" s="1350"/>
      <c r="G4074" s="1350"/>
      <c r="H4074" s="1350"/>
      <c r="I4074" s="399" t="str">
        <f t="shared" si="142"/>
        <v/>
      </c>
      <c r="J4074" s="442"/>
      <c r="K4074" s="1263"/>
      <c r="L4074" s="461"/>
      <c r="M4074" s="461"/>
      <c r="N4074" s="461"/>
    </row>
    <row r="4075" spans="1:14" s="462" customFormat="1" hidden="1" outlineLevel="1">
      <c r="A4075" s="1261"/>
      <c r="B4075" s="260"/>
      <c r="C4075" s="457"/>
      <c r="D4075" s="440"/>
      <c r="E4075" s="439"/>
      <c r="F4075" s="1350"/>
      <c r="G4075" s="1350"/>
      <c r="H4075" s="1350"/>
      <c r="I4075" s="399" t="str">
        <f t="shared" si="142"/>
        <v/>
      </c>
      <c r="J4075" s="442"/>
      <c r="K4075" s="1263"/>
      <c r="L4075" s="461"/>
      <c r="M4075" s="461"/>
      <c r="N4075" s="461"/>
    </row>
    <row r="4076" spans="1:14" s="462" customFormat="1" hidden="1" outlineLevel="1">
      <c r="A4076" s="1261"/>
      <c r="B4076" s="260" t="s">
        <v>337</v>
      </c>
      <c r="C4076" s="457"/>
      <c r="D4076" s="440"/>
      <c r="E4076" s="439"/>
      <c r="F4076" s="1350"/>
      <c r="G4076" s="1350"/>
      <c r="H4076" s="1350"/>
      <c r="I4076" s="399" t="str">
        <f t="shared" si="142"/>
        <v/>
      </c>
      <c r="J4076" s="442"/>
      <c r="K4076" s="1263"/>
      <c r="L4076" s="461"/>
      <c r="M4076" s="461"/>
      <c r="N4076" s="461"/>
    </row>
    <row r="4077" spans="1:14" s="462" customFormat="1" hidden="1" outlineLevel="1">
      <c r="A4077" s="1261"/>
      <c r="B4077" s="260"/>
      <c r="C4077" s="457"/>
      <c r="D4077" s="440"/>
      <c r="E4077" s="439"/>
      <c r="F4077" s="1350"/>
      <c r="G4077" s="1350"/>
      <c r="H4077" s="1350"/>
      <c r="I4077" s="399" t="str">
        <f t="shared" si="142"/>
        <v/>
      </c>
      <c r="J4077" s="442"/>
      <c r="K4077" s="1263"/>
      <c r="L4077" s="461"/>
      <c r="M4077" s="461"/>
      <c r="N4077" s="461"/>
    </row>
    <row r="4078" spans="1:14" s="462" customFormat="1" hidden="1" outlineLevel="1">
      <c r="A4078" s="1261"/>
      <c r="B4078" s="260" t="s">
        <v>345</v>
      </c>
      <c r="C4078" s="457" t="s">
        <v>2</v>
      </c>
      <c r="D4078" s="440">
        <v>1</v>
      </c>
      <c r="E4078" s="439">
        <v>1</v>
      </c>
      <c r="F4078" s="1350">
        <v>10.620000000000001</v>
      </c>
      <c r="G4078" s="1350">
        <v>0.23</v>
      </c>
      <c r="H4078" s="1350">
        <v>0.2</v>
      </c>
      <c r="I4078" s="399">
        <f t="shared" si="142"/>
        <v>0.49</v>
      </c>
      <c r="J4078" s="442"/>
      <c r="K4078" s="1263"/>
      <c r="L4078" s="461"/>
      <c r="M4078" s="461"/>
      <c r="N4078" s="461"/>
    </row>
    <row r="4079" spans="1:14" s="462" customFormat="1" hidden="1" outlineLevel="1">
      <c r="A4079" s="1261"/>
      <c r="B4079" s="260"/>
      <c r="C4079" s="457"/>
      <c r="D4079" s="440"/>
      <c r="E4079" s="439"/>
      <c r="F4079" s="1350"/>
      <c r="G4079" s="1350"/>
      <c r="H4079" s="1350"/>
      <c r="I4079" s="399" t="str">
        <f t="shared" si="142"/>
        <v/>
      </c>
      <c r="J4079" s="442"/>
      <c r="K4079" s="1263"/>
      <c r="L4079" s="461"/>
      <c r="M4079" s="461"/>
      <c r="N4079" s="461"/>
    </row>
    <row r="4080" spans="1:14" s="462" customFormat="1" hidden="1" outlineLevel="1">
      <c r="A4080" s="1261"/>
      <c r="B4080" s="260"/>
      <c r="C4080" s="457" t="s">
        <v>2</v>
      </c>
      <c r="D4080" s="440">
        <v>1</v>
      </c>
      <c r="E4080" s="439">
        <v>1</v>
      </c>
      <c r="F4080" s="1350">
        <v>8.39</v>
      </c>
      <c r="G4080" s="1350">
        <v>0.23</v>
      </c>
      <c r="H4080" s="1350">
        <v>0.2</v>
      </c>
      <c r="I4080" s="399">
        <f t="shared" si="142"/>
        <v>0.39</v>
      </c>
      <c r="J4080" s="442"/>
      <c r="K4080" s="1263"/>
      <c r="L4080" s="461"/>
      <c r="M4080" s="461"/>
      <c r="N4080" s="461"/>
    </row>
    <row r="4081" spans="1:14" s="462" customFormat="1" hidden="1" outlineLevel="1">
      <c r="A4081" s="1261"/>
      <c r="B4081" s="260"/>
      <c r="C4081" s="457"/>
      <c r="D4081" s="440"/>
      <c r="E4081" s="439"/>
      <c r="F4081" s="1350"/>
      <c r="G4081" s="1350"/>
      <c r="H4081" s="1350"/>
      <c r="I4081" s="399" t="str">
        <f t="shared" si="142"/>
        <v/>
      </c>
      <c r="J4081" s="442"/>
      <c r="K4081" s="1263"/>
      <c r="L4081" s="461"/>
      <c r="M4081" s="461"/>
      <c r="N4081" s="461"/>
    </row>
    <row r="4082" spans="1:14" s="462" customFormat="1" hidden="1" outlineLevel="1">
      <c r="A4082" s="1261"/>
      <c r="B4082" s="260" t="s">
        <v>218</v>
      </c>
      <c r="C4082" s="457" t="s">
        <v>2</v>
      </c>
      <c r="D4082" s="440">
        <v>1</v>
      </c>
      <c r="E4082" s="439">
        <v>2</v>
      </c>
      <c r="F4082" s="1350">
        <v>6.3900000000000006</v>
      </c>
      <c r="G4082" s="1350">
        <v>0.23</v>
      </c>
      <c r="H4082" s="1350">
        <v>0.2</v>
      </c>
      <c r="I4082" s="399">
        <f t="shared" si="142"/>
        <v>0.59</v>
      </c>
      <c r="J4082" s="442"/>
      <c r="K4082" s="1263"/>
      <c r="L4082" s="461"/>
      <c r="M4082" s="461"/>
      <c r="N4082" s="461"/>
    </row>
    <row r="4083" spans="1:14" s="462" customFormat="1" hidden="1" outlineLevel="1">
      <c r="A4083" s="1261"/>
      <c r="B4083" s="260"/>
      <c r="C4083" s="457"/>
      <c r="D4083" s="440"/>
      <c r="E4083" s="439"/>
      <c r="F4083" s="1350"/>
      <c r="G4083" s="1350"/>
      <c r="H4083" s="1350"/>
      <c r="I4083" s="399" t="str">
        <f t="shared" si="142"/>
        <v/>
      </c>
      <c r="J4083" s="442"/>
      <c r="K4083" s="1263"/>
      <c r="L4083" s="461"/>
      <c r="M4083" s="461"/>
      <c r="N4083" s="461"/>
    </row>
    <row r="4084" spans="1:14" s="462" customFormat="1" hidden="1" outlineLevel="1">
      <c r="A4084" s="1261"/>
      <c r="B4084" s="260" t="s">
        <v>219</v>
      </c>
      <c r="C4084" s="457" t="s">
        <v>2</v>
      </c>
      <c r="D4084" s="440">
        <v>1</v>
      </c>
      <c r="E4084" s="439">
        <v>2</v>
      </c>
      <c r="F4084" s="1350">
        <v>8.7900000000000009</v>
      </c>
      <c r="G4084" s="1350">
        <v>0.23</v>
      </c>
      <c r="H4084" s="1350">
        <v>0.2</v>
      </c>
      <c r="I4084" s="399">
        <f t="shared" si="142"/>
        <v>0.81</v>
      </c>
      <c r="J4084" s="442"/>
      <c r="K4084" s="1263"/>
      <c r="L4084" s="461"/>
      <c r="M4084" s="461"/>
      <c r="N4084" s="461"/>
    </row>
    <row r="4085" spans="1:14" s="462" customFormat="1" hidden="1" outlineLevel="1">
      <c r="A4085" s="1261"/>
      <c r="B4085" s="260"/>
      <c r="C4085" s="457"/>
      <c r="D4085" s="440"/>
      <c r="E4085" s="439"/>
      <c r="F4085" s="1350"/>
      <c r="G4085" s="1350"/>
      <c r="H4085" s="1350"/>
      <c r="I4085" s="399" t="str">
        <f t="shared" si="142"/>
        <v/>
      </c>
      <c r="J4085" s="442"/>
      <c r="K4085" s="1263"/>
      <c r="L4085" s="461"/>
      <c r="M4085" s="461"/>
      <c r="N4085" s="461"/>
    </row>
    <row r="4086" spans="1:14" s="462" customFormat="1" hidden="1" outlineLevel="1">
      <c r="A4086" s="1261"/>
      <c r="B4086" s="260"/>
      <c r="C4086" s="457" t="s">
        <v>2</v>
      </c>
      <c r="D4086" s="440">
        <v>1</v>
      </c>
      <c r="E4086" s="439">
        <v>1</v>
      </c>
      <c r="F4086" s="1350">
        <v>7.8900000000000006</v>
      </c>
      <c r="G4086" s="1350">
        <v>0.23</v>
      </c>
      <c r="H4086" s="1350">
        <v>0.2</v>
      </c>
      <c r="I4086" s="399">
        <f t="shared" si="142"/>
        <v>0.36</v>
      </c>
      <c r="J4086" s="442"/>
      <c r="K4086" s="1263"/>
      <c r="L4086" s="461"/>
      <c r="M4086" s="461"/>
      <c r="N4086" s="461"/>
    </row>
    <row r="4087" spans="1:14" s="462" customFormat="1" hidden="1" outlineLevel="1">
      <c r="A4087" s="1261"/>
      <c r="B4087" s="260"/>
      <c r="C4087" s="457"/>
      <c r="D4087" s="440"/>
      <c r="E4087" s="439"/>
      <c r="F4087" s="1350"/>
      <c r="G4087" s="1350"/>
      <c r="H4087" s="1350"/>
      <c r="I4087" s="399" t="str">
        <f t="shared" si="142"/>
        <v/>
      </c>
      <c r="J4087" s="442"/>
      <c r="K4087" s="1263"/>
      <c r="L4087" s="461"/>
      <c r="M4087" s="461"/>
      <c r="N4087" s="461"/>
    </row>
    <row r="4088" spans="1:14" s="462" customFormat="1" hidden="1" outlineLevel="1">
      <c r="A4088" s="1261"/>
      <c r="B4088" s="260" t="s">
        <v>220</v>
      </c>
      <c r="C4088" s="457" t="s">
        <v>2</v>
      </c>
      <c r="D4088" s="440">
        <v>1</v>
      </c>
      <c r="E4088" s="439">
        <v>1</v>
      </c>
      <c r="F4088" s="1350">
        <v>10.120000000000001</v>
      </c>
      <c r="G4088" s="1350">
        <v>0.23</v>
      </c>
      <c r="H4088" s="1350">
        <v>0.2</v>
      </c>
      <c r="I4088" s="399">
        <f t="shared" si="142"/>
        <v>0.47</v>
      </c>
      <c r="J4088" s="442"/>
      <c r="K4088" s="1263"/>
      <c r="L4088" s="461"/>
      <c r="M4088" s="461"/>
      <c r="N4088" s="461"/>
    </row>
    <row r="4089" spans="1:14" s="462" customFormat="1" hidden="1" outlineLevel="1">
      <c r="A4089" s="1261"/>
      <c r="B4089" s="260" t="s">
        <v>331</v>
      </c>
      <c r="C4089" s="457" t="s">
        <v>2</v>
      </c>
      <c r="D4089" s="440">
        <v>1</v>
      </c>
      <c r="E4089" s="439">
        <v>3</v>
      </c>
      <c r="F4089" s="1350">
        <v>3</v>
      </c>
      <c r="G4089" s="1350">
        <v>0.38500000000000001</v>
      </c>
      <c r="H4089" s="1350">
        <v>0.27500000000000002</v>
      </c>
      <c r="I4089" s="399">
        <f t="shared" si="142"/>
        <v>0.95</v>
      </c>
      <c r="J4089" s="442"/>
      <c r="K4089" s="1263"/>
      <c r="L4089" s="461"/>
      <c r="M4089" s="461"/>
      <c r="N4089" s="461"/>
    </row>
    <row r="4090" spans="1:14" s="462" customFormat="1" hidden="1" outlineLevel="1">
      <c r="A4090" s="1261"/>
      <c r="B4090" s="260"/>
      <c r="C4090" s="457"/>
      <c r="D4090" s="440"/>
      <c r="E4090" s="439"/>
      <c r="F4090" s="1350"/>
      <c r="G4090" s="1350"/>
      <c r="H4090" s="1350"/>
      <c r="I4090" s="399" t="str">
        <f t="shared" si="142"/>
        <v/>
      </c>
      <c r="J4090" s="442"/>
      <c r="K4090" s="1263"/>
      <c r="L4090" s="461"/>
      <c r="M4090" s="461"/>
      <c r="N4090" s="461"/>
    </row>
    <row r="4091" spans="1:14" s="462" customFormat="1" hidden="1" outlineLevel="1">
      <c r="A4091" s="1261"/>
      <c r="B4091" s="260" t="s">
        <v>221</v>
      </c>
      <c r="C4091" s="457" t="s">
        <v>2</v>
      </c>
      <c r="D4091" s="440">
        <v>1</v>
      </c>
      <c r="E4091" s="439">
        <v>2</v>
      </c>
      <c r="F4091" s="1350">
        <v>0.61499999999999999</v>
      </c>
      <c r="G4091" s="1350">
        <v>0.23</v>
      </c>
      <c r="H4091" s="1350">
        <v>0.2</v>
      </c>
      <c r="I4091" s="399">
        <f t="shared" si="142"/>
        <v>0.06</v>
      </c>
      <c r="J4091" s="442"/>
      <c r="K4091" s="1263"/>
      <c r="L4091" s="461"/>
      <c r="M4091" s="461"/>
      <c r="N4091" s="461"/>
    </row>
    <row r="4092" spans="1:14" s="462" customFormat="1" hidden="1" outlineLevel="1">
      <c r="A4092" s="1261"/>
      <c r="B4092" s="260"/>
      <c r="C4092" s="457"/>
      <c r="D4092" s="440"/>
      <c r="E4092" s="439"/>
      <c r="F4092" s="1350"/>
      <c r="G4092" s="1350"/>
      <c r="H4092" s="1350"/>
      <c r="I4092" s="399" t="str">
        <f t="shared" si="142"/>
        <v/>
      </c>
      <c r="J4092" s="442"/>
      <c r="K4092" s="1263"/>
      <c r="L4092" s="461"/>
      <c r="M4092" s="461"/>
      <c r="N4092" s="461"/>
    </row>
    <row r="4093" spans="1:14" s="462" customFormat="1" hidden="1" outlineLevel="1">
      <c r="A4093" s="1261"/>
      <c r="B4093" s="260" t="s">
        <v>222</v>
      </c>
      <c r="C4093" s="457" t="s">
        <v>2</v>
      </c>
      <c r="D4093" s="440">
        <v>1</v>
      </c>
      <c r="E4093" s="439">
        <v>3</v>
      </c>
      <c r="F4093" s="1350">
        <v>1.6400000000000001</v>
      </c>
      <c r="G4093" s="1350">
        <v>0.23</v>
      </c>
      <c r="H4093" s="1350">
        <v>0.2</v>
      </c>
      <c r="I4093" s="399">
        <f t="shared" si="142"/>
        <v>0.23</v>
      </c>
      <c r="J4093" s="442"/>
      <c r="K4093" s="1263"/>
      <c r="L4093" s="461"/>
      <c r="M4093" s="461"/>
      <c r="N4093" s="461"/>
    </row>
    <row r="4094" spans="1:14" s="462" customFormat="1" hidden="1" outlineLevel="1">
      <c r="A4094" s="1261"/>
      <c r="B4094" s="260"/>
      <c r="C4094" s="457"/>
      <c r="D4094" s="440"/>
      <c r="E4094" s="439"/>
      <c r="F4094" s="1350"/>
      <c r="G4094" s="1350"/>
      <c r="H4094" s="1350"/>
      <c r="I4094" s="399" t="str">
        <f t="shared" si="142"/>
        <v/>
      </c>
      <c r="J4094" s="442"/>
      <c r="K4094" s="1263"/>
      <c r="L4094" s="461"/>
      <c r="M4094" s="461"/>
      <c r="N4094" s="461"/>
    </row>
    <row r="4095" spans="1:14" s="462" customFormat="1" hidden="1" outlineLevel="1">
      <c r="A4095" s="1261"/>
      <c r="B4095" s="260"/>
      <c r="C4095" s="457" t="s">
        <v>2</v>
      </c>
      <c r="D4095" s="440">
        <v>1</v>
      </c>
      <c r="E4095" s="439">
        <v>3</v>
      </c>
      <c r="F4095" s="1350">
        <v>3.36</v>
      </c>
      <c r="G4095" s="1350">
        <v>0.23</v>
      </c>
      <c r="H4095" s="1350">
        <v>0.2</v>
      </c>
      <c r="I4095" s="399">
        <f t="shared" si="142"/>
        <v>0.46</v>
      </c>
      <c r="J4095" s="442"/>
      <c r="K4095" s="1263"/>
      <c r="L4095" s="461"/>
      <c r="M4095" s="461"/>
      <c r="N4095" s="461"/>
    </row>
    <row r="4096" spans="1:14" s="462" customFormat="1" hidden="1" outlineLevel="1">
      <c r="A4096" s="1261"/>
      <c r="B4096" s="260"/>
      <c r="C4096" s="457"/>
      <c r="D4096" s="440"/>
      <c r="E4096" s="439"/>
      <c r="F4096" s="1350"/>
      <c r="G4096" s="1350"/>
      <c r="H4096" s="1350"/>
      <c r="I4096" s="399" t="str">
        <f t="shared" si="142"/>
        <v/>
      </c>
      <c r="J4096" s="442"/>
      <c r="K4096" s="1263"/>
      <c r="L4096" s="461"/>
      <c r="M4096" s="461"/>
      <c r="N4096" s="461"/>
    </row>
    <row r="4097" spans="1:14" s="462" customFormat="1" ht="34.5" hidden="1" outlineLevel="1">
      <c r="A4097" s="1261"/>
      <c r="B4097" s="260" t="s">
        <v>346</v>
      </c>
      <c r="C4097" s="457"/>
      <c r="D4097" s="440"/>
      <c r="E4097" s="439"/>
      <c r="F4097" s="1350"/>
      <c r="G4097" s="1350"/>
      <c r="H4097" s="1350"/>
      <c r="I4097" s="399" t="str">
        <f t="shared" si="142"/>
        <v/>
      </c>
      <c r="J4097" s="442"/>
      <c r="K4097" s="1263"/>
      <c r="L4097" s="461"/>
      <c r="M4097" s="461"/>
      <c r="N4097" s="461"/>
    </row>
    <row r="4098" spans="1:14" s="462" customFormat="1" hidden="1" outlineLevel="1">
      <c r="A4098" s="1261"/>
      <c r="B4098" s="260"/>
      <c r="C4098" s="457"/>
      <c r="D4098" s="440"/>
      <c r="E4098" s="439"/>
      <c r="F4098" s="1350"/>
      <c r="G4098" s="1350"/>
      <c r="H4098" s="1350"/>
      <c r="I4098" s="399" t="str">
        <f t="shared" si="142"/>
        <v/>
      </c>
      <c r="J4098" s="442"/>
      <c r="K4098" s="1263"/>
      <c r="L4098" s="461"/>
      <c r="M4098" s="461"/>
      <c r="N4098" s="461"/>
    </row>
    <row r="4099" spans="1:14" s="462" customFormat="1" hidden="1" outlineLevel="1">
      <c r="A4099" s="1261"/>
      <c r="B4099" s="260" t="s">
        <v>347</v>
      </c>
      <c r="C4099" s="457" t="s">
        <v>2</v>
      </c>
      <c r="D4099" s="440">
        <v>1</v>
      </c>
      <c r="E4099" s="439">
        <v>1</v>
      </c>
      <c r="F4099" s="1350">
        <v>33.159999999999997</v>
      </c>
      <c r="G4099" s="1350">
        <v>0.23</v>
      </c>
      <c r="H4099" s="1350">
        <v>0.2</v>
      </c>
      <c r="I4099" s="399">
        <f t="shared" si="142"/>
        <v>1.53</v>
      </c>
      <c r="J4099" s="442"/>
      <c r="K4099" s="1263"/>
      <c r="L4099" s="461"/>
      <c r="M4099" s="461"/>
      <c r="N4099" s="461"/>
    </row>
    <row r="4100" spans="1:14" s="462" customFormat="1" hidden="1" outlineLevel="1">
      <c r="A4100" s="1261"/>
      <c r="B4100" s="260"/>
      <c r="C4100" s="457"/>
      <c r="D4100" s="440"/>
      <c r="E4100" s="439"/>
      <c r="F4100" s="1350"/>
      <c r="G4100" s="1350"/>
      <c r="H4100" s="1350"/>
      <c r="I4100" s="399" t="str">
        <f t="shared" si="142"/>
        <v/>
      </c>
      <c r="J4100" s="442"/>
      <c r="K4100" s="1263"/>
      <c r="L4100" s="461"/>
      <c r="M4100" s="461"/>
      <c r="N4100" s="461"/>
    </row>
    <row r="4101" spans="1:14" s="462" customFormat="1" hidden="1" outlineLevel="1">
      <c r="A4101" s="1261"/>
      <c r="B4101" s="260"/>
      <c r="C4101" s="457" t="s">
        <v>2</v>
      </c>
      <c r="D4101" s="440">
        <v>1</v>
      </c>
      <c r="E4101" s="439">
        <v>1</v>
      </c>
      <c r="F4101" s="1350">
        <v>30.129999999999995</v>
      </c>
      <c r="G4101" s="1350">
        <v>0.23</v>
      </c>
      <c r="H4101" s="1350">
        <v>0.2</v>
      </c>
      <c r="I4101" s="399">
        <f t="shared" si="142"/>
        <v>1.39</v>
      </c>
      <c r="J4101" s="442"/>
      <c r="K4101" s="1263"/>
      <c r="L4101" s="461"/>
      <c r="M4101" s="461"/>
      <c r="N4101" s="461"/>
    </row>
    <row r="4102" spans="1:14" s="462" customFormat="1" hidden="1" outlineLevel="1">
      <c r="A4102" s="1261"/>
      <c r="B4102" s="260"/>
      <c r="C4102" s="457"/>
      <c r="D4102" s="440"/>
      <c r="E4102" s="439"/>
      <c r="F4102" s="1350"/>
      <c r="G4102" s="1350"/>
      <c r="H4102" s="1350"/>
      <c r="I4102" s="399" t="str">
        <f t="shared" si="142"/>
        <v/>
      </c>
      <c r="J4102" s="442"/>
      <c r="K4102" s="1263"/>
      <c r="L4102" s="461"/>
      <c r="M4102" s="461"/>
      <c r="N4102" s="461"/>
    </row>
    <row r="4103" spans="1:14" s="462" customFormat="1" ht="34.5" hidden="1" outlineLevel="1">
      <c r="A4103" s="1261"/>
      <c r="B4103" s="260" t="s">
        <v>348</v>
      </c>
      <c r="C4103" s="457" t="s">
        <v>2</v>
      </c>
      <c r="D4103" s="440">
        <v>1</v>
      </c>
      <c r="E4103" s="439">
        <v>1</v>
      </c>
      <c r="F4103" s="1350">
        <v>1.145</v>
      </c>
      <c r="G4103" s="1350">
        <v>0.23</v>
      </c>
      <c r="H4103" s="1350">
        <v>0.2</v>
      </c>
      <c r="I4103" s="399">
        <f t="shared" si="142"/>
        <v>0.05</v>
      </c>
      <c r="J4103" s="442"/>
      <c r="K4103" s="1263"/>
      <c r="L4103" s="461"/>
      <c r="M4103" s="461"/>
      <c r="N4103" s="461"/>
    </row>
    <row r="4104" spans="1:14" s="462" customFormat="1" hidden="1" outlineLevel="1">
      <c r="A4104" s="1261"/>
      <c r="B4104" s="260"/>
      <c r="C4104" s="457"/>
      <c r="D4104" s="440"/>
      <c r="E4104" s="439"/>
      <c r="F4104" s="1350"/>
      <c r="G4104" s="1350"/>
      <c r="H4104" s="1350"/>
      <c r="I4104" s="399" t="str">
        <f t="shared" si="142"/>
        <v/>
      </c>
      <c r="J4104" s="442"/>
      <c r="K4104" s="1263"/>
      <c r="L4104" s="461"/>
      <c r="M4104" s="461"/>
      <c r="N4104" s="461"/>
    </row>
    <row r="4105" spans="1:14" s="462" customFormat="1" hidden="1" outlineLevel="1">
      <c r="A4105" s="1261"/>
      <c r="B4105" s="260"/>
      <c r="C4105" s="457" t="s">
        <v>2</v>
      </c>
      <c r="D4105" s="440">
        <v>1</v>
      </c>
      <c r="E4105" s="439">
        <v>1</v>
      </c>
      <c r="F4105" s="1350">
        <v>0.69500000000000006</v>
      </c>
      <c r="G4105" s="1350">
        <v>0.23</v>
      </c>
      <c r="H4105" s="1350">
        <v>0.2</v>
      </c>
      <c r="I4105" s="399">
        <f t="shared" si="142"/>
        <v>0.03</v>
      </c>
      <c r="J4105" s="442"/>
      <c r="K4105" s="1263"/>
      <c r="L4105" s="461"/>
      <c r="M4105" s="461"/>
      <c r="N4105" s="461"/>
    </row>
    <row r="4106" spans="1:14" s="462" customFormat="1" hidden="1" outlineLevel="1">
      <c r="A4106" s="1261"/>
      <c r="B4106" s="260"/>
      <c r="C4106" s="457"/>
      <c r="D4106" s="440"/>
      <c r="E4106" s="439"/>
      <c r="F4106" s="1350"/>
      <c r="G4106" s="1350"/>
      <c r="H4106" s="1350"/>
      <c r="I4106" s="399" t="str">
        <f t="shared" si="142"/>
        <v/>
      </c>
      <c r="J4106" s="442"/>
      <c r="K4106" s="1263"/>
      <c r="L4106" s="461"/>
      <c r="M4106" s="461"/>
      <c r="N4106" s="461"/>
    </row>
    <row r="4107" spans="1:14" s="462" customFormat="1" hidden="1" outlineLevel="1">
      <c r="A4107" s="1261"/>
      <c r="B4107" s="260"/>
      <c r="C4107" s="457" t="s">
        <v>2</v>
      </c>
      <c r="D4107" s="440">
        <v>1</v>
      </c>
      <c r="E4107" s="439">
        <v>1</v>
      </c>
      <c r="F4107" s="1350">
        <v>2.2200000000000002</v>
      </c>
      <c r="G4107" s="1350">
        <v>0.23</v>
      </c>
      <c r="H4107" s="1350">
        <v>0.2</v>
      </c>
      <c r="I4107" s="399">
        <f t="shared" si="142"/>
        <v>0.1</v>
      </c>
      <c r="J4107" s="442"/>
      <c r="K4107" s="1263"/>
      <c r="L4107" s="461"/>
      <c r="M4107" s="461"/>
      <c r="N4107" s="461"/>
    </row>
    <row r="4108" spans="1:14" s="462" customFormat="1" hidden="1" outlineLevel="1">
      <c r="A4108" s="1261"/>
      <c r="B4108" s="260"/>
      <c r="C4108" s="457"/>
      <c r="D4108" s="440"/>
      <c r="E4108" s="439"/>
      <c r="F4108" s="1350"/>
      <c r="G4108" s="1350"/>
      <c r="H4108" s="1350"/>
      <c r="I4108" s="399" t="str">
        <f t="shared" si="142"/>
        <v/>
      </c>
      <c r="J4108" s="442"/>
      <c r="K4108" s="1263"/>
      <c r="L4108" s="461"/>
      <c r="M4108" s="461"/>
      <c r="N4108" s="461"/>
    </row>
    <row r="4109" spans="1:14" s="462" customFormat="1" hidden="1" outlineLevel="1">
      <c r="A4109" s="1261"/>
      <c r="B4109" s="260"/>
      <c r="C4109" s="457" t="s">
        <v>2</v>
      </c>
      <c r="D4109" s="440">
        <v>1</v>
      </c>
      <c r="E4109" s="439">
        <v>1</v>
      </c>
      <c r="F4109" s="1350">
        <v>0.72</v>
      </c>
      <c r="G4109" s="1350">
        <v>0.23</v>
      </c>
      <c r="H4109" s="1350">
        <v>0.2</v>
      </c>
      <c r="I4109" s="399">
        <f t="shared" si="142"/>
        <v>0.03</v>
      </c>
      <c r="J4109" s="442"/>
      <c r="K4109" s="1263"/>
      <c r="L4109" s="461"/>
      <c r="M4109" s="461"/>
      <c r="N4109" s="461"/>
    </row>
    <row r="4110" spans="1:14" s="462" customFormat="1" hidden="1" outlineLevel="1">
      <c r="A4110" s="1261"/>
      <c r="B4110" s="260"/>
      <c r="C4110" s="457"/>
      <c r="D4110" s="440"/>
      <c r="E4110" s="439"/>
      <c r="F4110" s="1350"/>
      <c r="G4110" s="1350"/>
      <c r="H4110" s="1350"/>
      <c r="I4110" s="399" t="str">
        <f t="shared" si="142"/>
        <v/>
      </c>
      <c r="J4110" s="442"/>
      <c r="K4110" s="1263"/>
      <c r="L4110" s="461"/>
      <c r="M4110" s="461"/>
      <c r="N4110" s="461"/>
    </row>
    <row r="4111" spans="1:14" s="462" customFormat="1" hidden="1" outlineLevel="1">
      <c r="A4111" s="1261"/>
      <c r="B4111" s="260"/>
      <c r="C4111" s="457" t="s">
        <v>2</v>
      </c>
      <c r="D4111" s="440">
        <v>1</v>
      </c>
      <c r="E4111" s="439">
        <v>1</v>
      </c>
      <c r="F4111" s="1350">
        <v>3.18</v>
      </c>
      <c r="G4111" s="1350">
        <v>0.23</v>
      </c>
      <c r="H4111" s="1350">
        <v>0.2</v>
      </c>
      <c r="I4111" s="399">
        <f t="shared" si="142"/>
        <v>0.15</v>
      </c>
      <c r="J4111" s="442"/>
      <c r="K4111" s="1263"/>
      <c r="L4111" s="461"/>
      <c r="M4111" s="461"/>
      <c r="N4111" s="461"/>
    </row>
    <row r="4112" spans="1:14" s="462" customFormat="1" hidden="1" outlineLevel="1">
      <c r="A4112" s="1261"/>
      <c r="B4112" s="260"/>
      <c r="C4112" s="457"/>
      <c r="D4112" s="440"/>
      <c r="E4112" s="439"/>
      <c r="F4112" s="1350"/>
      <c r="G4112" s="1350"/>
      <c r="H4112" s="1350"/>
      <c r="I4112" s="399" t="str">
        <f t="shared" si="142"/>
        <v/>
      </c>
      <c r="J4112" s="442"/>
      <c r="K4112" s="1263"/>
      <c r="L4112" s="461"/>
      <c r="M4112" s="461"/>
      <c r="N4112" s="461"/>
    </row>
    <row r="4113" spans="1:14" s="462" customFormat="1" ht="34.5" hidden="1" outlineLevel="1">
      <c r="A4113" s="1261"/>
      <c r="B4113" s="260" t="s">
        <v>349</v>
      </c>
      <c r="C4113" s="457" t="s">
        <v>2</v>
      </c>
      <c r="D4113" s="440">
        <v>1</v>
      </c>
      <c r="E4113" s="439">
        <v>1</v>
      </c>
      <c r="F4113" s="1350">
        <v>1.77</v>
      </c>
      <c r="G4113" s="1350">
        <v>0.23</v>
      </c>
      <c r="H4113" s="1350">
        <v>0.2</v>
      </c>
      <c r="I4113" s="399">
        <f t="shared" si="142"/>
        <v>0.08</v>
      </c>
      <c r="J4113" s="442"/>
      <c r="K4113" s="1263"/>
      <c r="L4113" s="461"/>
      <c r="M4113" s="461"/>
      <c r="N4113" s="461"/>
    </row>
    <row r="4114" spans="1:14" s="462" customFormat="1" hidden="1" outlineLevel="1">
      <c r="A4114" s="1261"/>
      <c r="B4114" s="260"/>
      <c r="C4114" s="457"/>
      <c r="D4114" s="440"/>
      <c r="E4114" s="439"/>
      <c r="F4114" s="1350"/>
      <c r="G4114" s="1350"/>
      <c r="H4114" s="1350"/>
      <c r="I4114" s="399" t="str">
        <f t="shared" si="142"/>
        <v/>
      </c>
      <c r="J4114" s="442"/>
      <c r="K4114" s="1263"/>
      <c r="L4114" s="461"/>
      <c r="M4114" s="461"/>
      <c r="N4114" s="461"/>
    </row>
    <row r="4115" spans="1:14" s="462" customFormat="1" hidden="1" outlineLevel="1">
      <c r="A4115" s="1261"/>
      <c r="B4115" s="260"/>
      <c r="C4115" s="457" t="s">
        <v>2</v>
      </c>
      <c r="D4115" s="440">
        <v>1</v>
      </c>
      <c r="E4115" s="439">
        <v>1</v>
      </c>
      <c r="F4115" s="1350">
        <v>2</v>
      </c>
      <c r="G4115" s="1350">
        <v>0.23</v>
      </c>
      <c r="H4115" s="1350">
        <v>0.2</v>
      </c>
      <c r="I4115" s="399">
        <f t="shared" si="142"/>
        <v>0.09</v>
      </c>
      <c r="J4115" s="442"/>
      <c r="K4115" s="1263"/>
      <c r="L4115" s="461"/>
      <c r="M4115" s="461"/>
      <c r="N4115" s="461"/>
    </row>
    <row r="4116" spans="1:14" s="462" customFormat="1" hidden="1" outlineLevel="1">
      <c r="A4116" s="1261"/>
      <c r="B4116" s="260"/>
      <c r="C4116" s="457"/>
      <c r="D4116" s="440"/>
      <c r="E4116" s="439"/>
      <c r="F4116" s="1350"/>
      <c r="G4116" s="1350"/>
      <c r="H4116" s="1350"/>
      <c r="I4116" s="399" t="str">
        <f t="shared" si="142"/>
        <v/>
      </c>
      <c r="J4116" s="442"/>
      <c r="K4116" s="1263"/>
      <c r="L4116" s="461"/>
      <c r="M4116" s="461"/>
      <c r="N4116" s="461"/>
    </row>
    <row r="4117" spans="1:14" s="462" customFormat="1" hidden="1" outlineLevel="1">
      <c r="A4117" s="1261"/>
      <c r="B4117" s="260"/>
      <c r="C4117" s="457" t="s">
        <v>2</v>
      </c>
      <c r="D4117" s="440">
        <v>1</v>
      </c>
      <c r="E4117" s="439">
        <v>1</v>
      </c>
      <c r="F4117" s="1350">
        <v>0.54</v>
      </c>
      <c r="G4117" s="1350">
        <v>0.23</v>
      </c>
      <c r="H4117" s="1350">
        <v>0.2</v>
      </c>
      <c r="I4117" s="399">
        <f t="shared" si="142"/>
        <v>0.02</v>
      </c>
      <c r="J4117" s="442"/>
      <c r="K4117" s="1263"/>
      <c r="L4117" s="461"/>
      <c r="M4117" s="461"/>
      <c r="N4117" s="461"/>
    </row>
    <row r="4118" spans="1:14" s="462" customFormat="1" hidden="1" outlineLevel="1">
      <c r="A4118" s="1261"/>
      <c r="B4118" s="260"/>
      <c r="C4118" s="457"/>
      <c r="D4118" s="440"/>
      <c r="E4118" s="439"/>
      <c r="F4118" s="1350"/>
      <c r="G4118" s="1350"/>
      <c r="H4118" s="1350"/>
      <c r="I4118" s="399" t="str">
        <f t="shared" si="142"/>
        <v/>
      </c>
      <c r="J4118" s="442"/>
      <c r="K4118" s="1263"/>
      <c r="L4118" s="461"/>
      <c r="M4118" s="461"/>
      <c r="N4118" s="461"/>
    </row>
    <row r="4119" spans="1:14" s="462" customFormat="1" hidden="1" outlineLevel="1">
      <c r="A4119" s="1261"/>
      <c r="B4119" s="260"/>
      <c r="C4119" s="457" t="s">
        <v>2</v>
      </c>
      <c r="D4119" s="440">
        <v>1</v>
      </c>
      <c r="E4119" s="439">
        <v>1</v>
      </c>
      <c r="F4119" s="1350">
        <v>1</v>
      </c>
      <c r="G4119" s="1350">
        <v>0.23</v>
      </c>
      <c r="H4119" s="1350">
        <v>0.2</v>
      </c>
      <c r="I4119" s="399">
        <f t="shared" si="142"/>
        <v>0.05</v>
      </c>
      <c r="J4119" s="442"/>
      <c r="K4119" s="1263"/>
      <c r="L4119" s="461"/>
      <c r="M4119" s="461"/>
      <c r="N4119" s="461"/>
    </row>
    <row r="4120" spans="1:14" s="462" customFormat="1" hidden="1" outlineLevel="1">
      <c r="A4120" s="1261"/>
      <c r="B4120" s="260"/>
      <c r="C4120" s="457"/>
      <c r="D4120" s="440"/>
      <c r="E4120" s="439"/>
      <c r="F4120" s="1350"/>
      <c r="G4120" s="1350"/>
      <c r="H4120" s="1350"/>
      <c r="I4120" s="399" t="str">
        <f t="shared" si="142"/>
        <v/>
      </c>
      <c r="J4120" s="442"/>
      <c r="K4120" s="1263"/>
      <c r="L4120" s="461"/>
      <c r="M4120" s="461"/>
      <c r="N4120" s="461"/>
    </row>
    <row r="4121" spans="1:14" s="462" customFormat="1" hidden="1" outlineLevel="1">
      <c r="A4121" s="1261"/>
      <c r="B4121" s="260"/>
      <c r="C4121" s="457" t="s">
        <v>2</v>
      </c>
      <c r="D4121" s="440">
        <v>1</v>
      </c>
      <c r="E4121" s="439">
        <v>1</v>
      </c>
      <c r="F4121" s="1350">
        <v>1.74</v>
      </c>
      <c r="G4121" s="1350">
        <v>0.23</v>
      </c>
      <c r="H4121" s="1350">
        <v>0.2</v>
      </c>
      <c r="I4121" s="399">
        <f t="shared" si="142"/>
        <v>0.08</v>
      </c>
      <c r="J4121" s="442"/>
      <c r="K4121" s="1263"/>
      <c r="L4121" s="461"/>
      <c r="M4121" s="461"/>
      <c r="N4121" s="461"/>
    </row>
    <row r="4122" spans="1:14" s="462" customFormat="1" hidden="1" outlineLevel="1">
      <c r="A4122" s="1261"/>
      <c r="B4122" s="260"/>
      <c r="C4122" s="457"/>
      <c r="D4122" s="440"/>
      <c r="E4122" s="439"/>
      <c r="F4122" s="1350"/>
      <c r="G4122" s="1350"/>
      <c r="H4122" s="1350"/>
      <c r="I4122" s="399" t="str">
        <f t="shared" si="142"/>
        <v/>
      </c>
      <c r="J4122" s="442"/>
      <c r="K4122" s="1263"/>
      <c r="L4122" s="461"/>
      <c r="M4122" s="461"/>
      <c r="N4122" s="461"/>
    </row>
    <row r="4123" spans="1:14" s="462" customFormat="1" hidden="1" outlineLevel="1">
      <c r="A4123" s="1261"/>
      <c r="B4123" s="260"/>
      <c r="C4123" s="457" t="s">
        <v>2</v>
      </c>
      <c r="D4123" s="440">
        <v>1</v>
      </c>
      <c r="E4123" s="439">
        <v>1</v>
      </c>
      <c r="F4123" s="1350">
        <v>5.9399999999999995</v>
      </c>
      <c r="G4123" s="1350">
        <v>0.23</v>
      </c>
      <c r="H4123" s="1350">
        <v>0.2</v>
      </c>
      <c r="I4123" s="399">
        <f t="shared" si="142"/>
        <v>0.27</v>
      </c>
      <c r="J4123" s="442"/>
      <c r="K4123" s="1263"/>
      <c r="L4123" s="461"/>
      <c r="M4123" s="461"/>
      <c r="N4123" s="461"/>
    </row>
    <row r="4124" spans="1:14" s="462" customFormat="1" hidden="1" outlineLevel="1">
      <c r="A4124" s="1261"/>
      <c r="B4124" s="260"/>
      <c r="C4124" s="457"/>
      <c r="D4124" s="440"/>
      <c r="E4124" s="439"/>
      <c r="F4124" s="1350"/>
      <c r="G4124" s="1350"/>
      <c r="H4124" s="1350"/>
      <c r="I4124" s="399" t="str">
        <f t="shared" si="142"/>
        <v/>
      </c>
      <c r="J4124" s="442"/>
      <c r="K4124" s="1263"/>
      <c r="L4124" s="461"/>
      <c r="M4124" s="461"/>
      <c r="N4124" s="461"/>
    </row>
    <row r="4125" spans="1:14" s="462" customFormat="1" ht="34.5" hidden="1" outlineLevel="1">
      <c r="A4125" s="1261"/>
      <c r="B4125" s="260" t="s">
        <v>350</v>
      </c>
      <c r="C4125" s="457" t="s">
        <v>2</v>
      </c>
      <c r="D4125" s="440">
        <f>1</f>
        <v>1</v>
      </c>
      <c r="E4125" s="439">
        <v>1</v>
      </c>
      <c r="F4125" s="1350">
        <v>2.2600000000000002</v>
      </c>
      <c r="G4125" s="1350">
        <v>0.23</v>
      </c>
      <c r="H4125" s="1350">
        <v>0.2</v>
      </c>
      <c r="I4125" s="399">
        <f t="shared" si="142"/>
        <v>0.1</v>
      </c>
      <c r="J4125" s="442"/>
      <c r="K4125" s="1263"/>
      <c r="L4125" s="461"/>
      <c r="M4125" s="461"/>
      <c r="N4125" s="461"/>
    </row>
    <row r="4126" spans="1:14" s="462" customFormat="1" hidden="1" outlineLevel="1">
      <c r="A4126" s="1261"/>
      <c r="B4126" s="260"/>
      <c r="C4126" s="457"/>
      <c r="D4126" s="440"/>
      <c r="E4126" s="439"/>
      <c r="F4126" s="1350"/>
      <c r="G4126" s="1350"/>
      <c r="H4126" s="1350"/>
      <c r="I4126" s="399" t="str">
        <f t="shared" si="142"/>
        <v/>
      </c>
      <c r="J4126" s="442"/>
      <c r="K4126" s="1263"/>
      <c r="L4126" s="461"/>
      <c r="M4126" s="461"/>
      <c r="N4126" s="461"/>
    </row>
    <row r="4127" spans="1:14" s="462" customFormat="1" ht="34.5" hidden="1" outlineLevel="1">
      <c r="A4127" s="1261"/>
      <c r="B4127" s="260" t="s">
        <v>351</v>
      </c>
      <c r="C4127" s="457" t="s">
        <v>2</v>
      </c>
      <c r="D4127" s="440">
        <f>1</f>
        <v>1</v>
      </c>
      <c r="E4127" s="439">
        <v>1</v>
      </c>
      <c r="F4127" s="1350">
        <v>4.4950000000000001</v>
      </c>
      <c r="G4127" s="1350">
        <v>0.23</v>
      </c>
      <c r="H4127" s="1350">
        <v>0.2</v>
      </c>
      <c r="I4127" s="399">
        <f t="shared" si="142"/>
        <v>0.21</v>
      </c>
      <c r="J4127" s="442"/>
      <c r="K4127" s="1263"/>
      <c r="L4127" s="461"/>
      <c r="M4127" s="461"/>
      <c r="N4127" s="461"/>
    </row>
    <row r="4128" spans="1:14" s="462" customFormat="1" hidden="1" outlineLevel="1">
      <c r="A4128" s="1261"/>
      <c r="B4128" s="260"/>
      <c r="C4128" s="457"/>
      <c r="D4128" s="440"/>
      <c r="E4128" s="439"/>
      <c r="F4128" s="1350"/>
      <c r="G4128" s="1350"/>
      <c r="H4128" s="1350"/>
      <c r="I4128" s="399" t="str">
        <f t="shared" si="142"/>
        <v/>
      </c>
      <c r="J4128" s="442"/>
      <c r="K4128" s="1263"/>
      <c r="L4128" s="461"/>
      <c r="M4128" s="461"/>
      <c r="N4128" s="461"/>
    </row>
    <row r="4129" spans="1:14" s="462" customFormat="1" hidden="1" outlineLevel="1">
      <c r="A4129" s="1261"/>
      <c r="B4129" s="260" t="s">
        <v>229</v>
      </c>
      <c r="C4129" s="457" t="s">
        <v>2</v>
      </c>
      <c r="D4129" s="440">
        <f>1</f>
        <v>1</v>
      </c>
      <c r="E4129" s="439">
        <v>1</v>
      </c>
      <c r="F4129" s="1350">
        <v>2.9649999999999999</v>
      </c>
      <c r="G4129" s="1350">
        <v>0.23</v>
      </c>
      <c r="H4129" s="1350">
        <v>0.2</v>
      </c>
      <c r="I4129" s="399">
        <f t="shared" si="142"/>
        <v>0.14000000000000001</v>
      </c>
      <c r="J4129" s="442"/>
      <c r="K4129" s="1263"/>
      <c r="L4129" s="461"/>
      <c r="M4129" s="461"/>
      <c r="N4129" s="461"/>
    </row>
    <row r="4130" spans="1:14" s="462" customFormat="1" hidden="1" outlineLevel="1">
      <c r="A4130" s="1261"/>
      <c r="B4130" s="260"/>
      <c r="C4130" s="457"/>
      <c r="D4130" s="440"/>
      <c r="E4130" s="439"/>
      <c r="F4130" s="1350"/>
      <c r="G4130" s="1350"/>
      <c r="H4130" s="1350"/>
      <c r="I4130" s="399" t="str">
        <f t="shared" si="142"/>
        <v/>
      </c>
      <c r="J4130" s="442"/>
      <c r="K4130" s="1263"/>
      <c r="L4130" s="461"/>
      <c r="M4130" s="461"/>
      <c r="N4130" s="461"/>
    </row>
    <row r="4131" spans="1:14" s="462" customFormat="1" ht="34.5" hidden="1" outlineLevel="1">
      <c r="A4131" s="1261"/>
      <c r="B4131" s="260" t="s">
        <v>352</v>
      </c>
      <c r="C4131" s="457"/>
      <c r="D4131" s="440"/>
      <c r="E4131" s="439"/>
      <c r="F4131" s="1350"/>
      <c r="G4131" s="1350"/>
      <c r="H4131" s="1350"/>
      <c r="I4131" s="399" t="str">
        <f t="shared" si="142"/>
        <v/>
      </c>
      <c r="J4131" s="442"/>
      <c r="K4131" s="1263"/>
      <c r="L4131" s="461"/>
      <c r="M4131" s="461"/>
      <c r="N4131" s="461"/>
    </row>
    <row r="4132" spans="1:14" s="462" customFormat="1" hidden="1" outlineLevel="1">
      <c r="A4132" s="1261"/>
      <c r="B4132" s="260"/>
      <c r="C4132" s="457"/>
      <c r="D4132" s="440"/>
      <c r="E4132" s="439"/>
      <c r="F4132" s="1350"/>
      <c r="G4132" s="1350"/>
      <c r="H4132" s="1350"/>
      <c r="I4132" s="399" t="str">
        <f t="shared" si="142"/>
        <v/>
      </c>
      <c r="J4132" s="442"/>
      <c r="K4132" s="1263"/>
      <c r="L4132" s="461"/>
      <c r="M4132" s="461"/>
      <c r="N4132" s="461"/>
    </row>
    <row r="4133" spans="1:14" s="462" customFormat="1" hidden="1" outlineLevel="1">
      <c r="A4133" s="1261"/>
      <c r="B4133" s="260" t="s">
        <v>353</v>
      </c>
      <c r="C4133" s="457" t="s">
        <v>2</v>
      </c>
      <c r="D4133" s="440">
        <v>1</v>
      </c>
      <c r="E4133" s="439">
        <v>2</v>
      </c>
      <c r="F4133" s="1350">
        <v>32.28</v>
      </c>
      <c r="G4133" s="1350">
        <v>0.23</v>
      </c>
      <c r="H4133" s="1350">
        <v>0.2</v>
      </c>
      <c r="I4133" s="399">
        <f t="shared" ref="I4133:I4196" si="143">IF(D4133&lt;&gt;0,ROUND(PRODUCT(E4133:H4133)*D4133,2),"")</f>
        <v>2.97</v>
      </c>
      <c r="J4133" s="442"/>
      <c r="K4133" s="1263"/>
      <c r="L4133" s="461"/>
      <c r="M4133" s="461"/>
      <c r="N4133" s="461"/>
    </row>
    <row r="4134" spans="1:14" s="462" customFormat="1" hidden="1" outlineLevel="1">
      <c r="A4134" s="1261"/>
      <c r="B4134" s="260"/>
      <c r="C4134" s="457"/>
      <c r="D4134" s="440"/>
      <c r="E4134" s="439"/>
      <c r="F4134" s="1350"/>
      <c r="G4134" s="1350"/>
      <c r="H4134" s="1350"/>
      <c r="I4134" s="399" t="str">
        <f t="shared" si="143"/>
        <v/>
      </c>
      <c r="J4134" s="442"/>
      <c r="K4134" s="1263"/>
      <c r="L4134" s="461"/>
      <c r="M4134" s="461"/>
      <c r="N4134" s="461"/>
    </row>
    <row r="4135" spans="1:14" s="462" customFormat="1" hidden="1" outlineLevel="1">
      <c r="A4135" s="1261"/>
      <c r="B4135" s="260"/>
      <c r="C4135" s="457" t="s">
        <v>2</v>
      </c>
      <c r="D4135" s="440">
        <v>1</v>
      </c>
      <c r="E4135" s="439">
        <v>2</v>
      </c>
      <c r="F4135" s="1350">
        <v>1.36</v>
      </c>
      <c r="G4135" s="1350">
        <v>0.23</v>
      </c>
      <c r="H4135" s="1350">
        <v>0.2</v>
      </c>
      <c r="I4135" s="399">
        <f t="shared" si="143"/>
        <v>0.13</v>
      </c>
      <c r="J4135" s="442"/>
      <c r="K4135" s="1263"/>
      <c r="L4135" s="461"/>
      <c r="M4135" s="461"/>
      <c r="N4135" s="461"/>
    </row>
    <row r="4136" spans="1:14" s="462" customFormat="1" hidden="1" outlineLevel="1">
      <c r="A4136" s="1261"/>
      <c r="B4136" s="260"/>
      <c r="C4136" s="457"/>
      <c r="D4136" s="440"/>
      <c r="E4136" s="439"/>
      <c r="F4136" s="1350"/>
      <c r="G4136" s="1350"/>
      <c r="H4136" s="1350"/>
      <c r="I4136" s="399" t="str">
        <f t="shared" si="143"/>
        <v/>
      </c>
      <c r="J4136" s="442"/>
      <c r="K4136" s="1263"/>
      <c r="L4136" s="461"/>
      <c r="M4136" s="461"/>
      <c r="N4136" s="461"/>
    </row>
    <row r="4137" spans="1:14" s="462" customFormat="1" hidden="1" outlineLevel="1">
      <c r="A4137" s="1261"/>
      <c r="B4137" s="260"/>
      <c r="C4137" s="457"/>
      <c r="D4137" s="440"/>
      <c r="E4137" s="439"/>
      <c r="F4137" s="1350"/>
      <c r="G4137" s="1350"/>
      <c r="H4137" s="1350"/>
      <c r="I4137" s="399" t="str">
        <f t="shared" si="143"/>
        <v/>
      </c>
      <c r="J4137" s="442"/>
      <c r="K4137" s="1263"/>
      <c r="L4137" s="461"/>
      <c r="M4137" s="461"/>
      <c r="N4137" s="461"/>
    </row>
    <row r="4138" spans="1:14" s="462" customFormat="1" ht="34.5" hidden="1" outlineLevel="1">
      <c r="A4138" s="1261"/>
      <c r="B4138" s="260" t="s">
        <v>354</v>
      </c>
      <c r="C4138" s="457"/>
      <c r="D4138" s="440"/>
      <c r="E4138" s="439"/>
      <c r="F4138" s="1350"/>
      <c r="G4138" s="1350"/>
      <c r="H4138" s="1350"/>
      <c r="I4138" s="399" t="str">
        <f t="shared" si="143"/>
        <v/>
      </c>
      <c r="J4138" s="442"/>
      <c r="K4138" s="1263"/>
      <c r="L4138" s="461"/>
      <c r="M4138" s="461"/>
      <c r="N4138" s="461"/>
    </row>
    <row r="4139" spans="1:14" s="462" customFormat="1" hidden="1" outlineLevel="1">
      <c r="A4139" s="1261"/>
      <c r="B4139" s="260"/>
      <c r="C4139" s="457"/>
      <c r="D4139" s="440"/>
      <c r="E4139" s="439"/>
      <c r="F4139" s="1350"/>
      <c r="G4139" s="1350"/>
      <c r="H4139" s="1350"/>
      <c r="I4139" s="399" t="str">
        <f t="shared" si="143"/>
        <v/>
      </c>
      <c r="J4139" s="442"/>
      <c r="K4139" s="1263"/>
      <c r="L4139" s="461"/>
      <c r="M4139" s="461"/>
      <c r="N4139" s="461"/>
    </row>
    <row r="4140" spans="1:14" s="462" customFormat="1" hidden="1" outlineLevel="1">
      <c r="A4140" s="1261"/>
      <c r="B4140" s="260" t="s">
        <v>355</v>
      </c>
      <c r="C4140" s="457"/>
      <c r="D4140" s="440"/>
      <c r="E4140" s="439"/>
      <c r="F4140" s="1350"/>
      <c r="G4140" s="1350"/>
      <c r="H4140" s="1350"/>
      <c r="I4140" s="399" t="str">
        <f t="shared" si="143"/>
        <v/>
      </c>
      <c r="J4140" s="442"/>
      <c r="K4140" s="1263"/>
      <c r="L4140" s="461"/>
      <c r="M4140" s="461"/>
      <c r="N4140" s="461"/>
    </row>
    <row r="4141" spans="1:14" s="462" customFormat="1" hidden="1" outlineLevel="1">
      <c r="A4141" s="1261"/>
      <c r="B4141" s="260" t="s">
        <v>234</v>
      </c>
      <c r="C4141" s="457" t="s">
        <v>2</v>
      </c>
      <c r="D4141" s="440">
        <v>1</v>
      </c>
      <c r="E4141" s="439">
        <v>2</v>
      </c>
      <c r="F4141" s="1350">
        <v>3.94</v>
      </c>
      <c r="G4141" s="1350">
        <v>0.23</v>
      </c>
      <c r="H4141" s="1350">
        <v>0.2</v>
      </c>
      <c r="I4141" s="399">
        <f t="shared" si="143"/>
        <v>0.36</v>
      </c>
      <c r="J4141" s="442"/>
      <c r="K4141" s="1263"/>
      <c r="L4141" s="461"/>
      <c r="M4141" s="461"/>
      <c r="N4141" s="461"/>
    </row>
    <row r="4142" spans="1:14" s="462" customFormat="1" hidden="1" outlineLevel="1">
      <c r="A4142" s="1261"/>
      <c r="B4142" s="260"/>
      <c r="C4142" s="457"/>
      <c r="D4142" s="440"/>
      <c r="E4142" s="439"/>
      <c r="F4142" s="1350"/>
      <c r="G4142" s="1350"/>
      <c r="H4142" s="1350"/>
      <c r="I4142" s="399" t="str">
        <f t="shared" si="143"/>
        <v/>
      </c>
      <c r="J4142" s="442"/>
      <c r="K4142" s="1263"/>
      <c r="L4142" s="461"/>
      <c r="M4142" s="461"/>
      <c r="N4142" s="461"/>
    </row>
    <row r="4143" spans="1:14" s="462" customFormat="1" hidden="1" outlineLevel="1">
      <c r="A4143" s="1261"/>
      <c r="B4143" s="260"/>
      <c r="C4143" s="457" t="s">
        <v>2</v>
      </c>
      <c r="D4143" s="440">
        <v>1</v>
      </c>
      <c r="E4143" s="439">
        <v>1</v>
      </c>
      <c r="F4143" s="1350">
        <v>1.71</v>
      </c>
      <c r="G4143" s="1350">
        <v>0.23</v>
      </c>
      <c r="H4143" s="1350">
        <v>0.2</v>
      </c>
      <c r="I4143" s="399">
        <f t="shared" si="143"/>
        <v>0.08</v>
      </c>
      <c r="J4143" s="442"/>
      <c r="K4143" s="1263"/>
      <c r="L4143" s="461"/>
      <c r="M4143" s="461"/>
      <c r="N4143" s="461"/>
    </row>
    <row r="4144" spans="1:14" s="462" customFormat="1" hidden="1" outlineLevel="1">
      <c r="A4144" s="1261"/>
      <c r="B4144" s="260"/>
      <c r="C4144" s="457"/>
      <c r="D4144" s="440"/>
      <c r="E4144" s="439"/>
      <c r="F4144" s="1350"/>
      <c r="G4144" s="1350"/>
      <c r="H4144" s="1350"/>
      <c r="I4144" s="399" t="str">
        <f t="shared" si="143"/>
        <v/>
      </c>
      <c r="J4144" s="442"/>
      <c r="K4144" s="1263"/>
      <c r="L4144" s="461"/>
      <c r="M4144" s="461"/>
      <c r="N4144" s="461"/>
    </row>
    <row r="4145" spans="1:14" s="462" customFormat="1" hidden="1" outlineLevel="1">
      <c r="A4145" s="1261"/>
      <c r="B4145" s="260"/>
      <c r="C4145" s="457" t="s">
        <v>2</v>
      </c>
      <c r="D4145" s="440">
        <v>1</v>
      </c>
      <c r="E4145" s="439">
        <v>4</v>
      </c>
      <c r="F4145" s="1350">
        <v>2.61</v>
      </c>
      <c r="G4145" s="1350">
        <v>0.23</v>
      </c>
      <c r="H4145" s="1350">
        <v>0.2</v>
      </c>
      <c r="I4145" s="399">
        <f t="shared" si="143"/>
        <v>0.48</v>
      </c>
      <c r="J4145" s="442"/>
      <c r="K4145" s="1263"/>
      <c r="L4145" s="461"/>
      <c r="M4145" s="461"/>
      <c r="N4145" s="461"/>
    </row>
    <row r="4146" spans="1:14" s="462" customFormat="1" hidden="1" outlineLevel="1">
      <c r="A4146" s="1261"/>
      <c r="B4146" s="260"/>
      <c r="C4146" s="457"/>
      <c r="D4146" s="440"/>
      <c r="E4146" s="439"/>
      <c r="F4146" s="1350"/>
      <c r="G4146" s="1350"/>
      <c r="H4146" s="1350"/>
      <c r="I4146" s="399" t="str">
        <f t="shared" si="143"/>
        <v/>
      </c>
      <c r="J4146" s="442"/>
      <c r="K4146" s="1263"/>
      <c r="L4146" s="461"/>
      <c r="M4146" s="461"/>
      <c r="N4146" s="461"/>
    </row>
    <row r="4147" spans="1:14" s="462" customFormat="1" hidden="1" outlineLevel="1">
      <c r="A4147" s="1261"/>
      <c r="B4147" s="260"/>
      <c r="C4147" s="457" t="s">
        <v>2</v>
      </c>
      <c r="D4147" s="440">
        <v>1</v>
      </c>
      <c r="E4147" s="439">
        <v>2</v>
      </c>
      <c r="F4147" s="1350">
        <v>4.7100000000000009</v>
      </c>
      <c r="G4147" s="1350">
        <v>0.23</v>
      </c>
      <c r="H4147" s="1350">
        <v>0.2</v>
      </c>
      <c r="I4147" s="399">
        <f t="shared" si="143"/>
        <v>0.43</v>
      </c>
      <c r="J4147" s="442"/>
      <c r="K4147" s="1263"/>
      <c r="L4147" s="461"/>
      <c r="M4147" s="461"/>
      <c r="N4147" s="461"/>
    </row>
    <row r="4148" spans="1:14" s="462" customFormat="1" hidden="1" outlineLevel="1">
      <c r="A4148" s="1261"/>
      <c r="B4148" s="260"/>
      <c r="C4148" s="457"/>
      <c r="D4148" s="440"/>
      <c r="E4148" s="439"/>
      <c r="F4148" s="1350"/>
      <c r="G4148" s="1350"/>
      <c r="H4148" s="1350"/>
      <c r="I4148" s="399" t="str">
        <f t="shared" si="143"/>
        <v/>
      </c>
      <c r="J4148" s="442"/>
      <c r="K4148" s="1263"/>
      <c r="L4148" s="461"/>
      <c r="M4148" s="461"/>
      <c r="N4148" s="461"/>
    </row>
    <row r="4149" spans="1:14" s="462" customFormat="1" hidden="1" outlineLevel="1">
      <c r="A4149" s="1261"/>
      <c r="B4149" s="260"/>
      <c r="C4149" s="457" t="s">
        <v>2</v>
      </c>
      <c r="D4149" s="440">
        <v>1</v>
      </c>
      <c r="E4149" s="439">
        <v>2</v>
      </c>
      <c r="F4149" s="1350">
        <v>4.41</v>
      </c>
      <c r="G4149" s="1350">
        <v>0.23</v>
      </c>
      <c r="H4149" s="1350">
        <v>0.2</v>
      </c>
      <c r="I4149" s="399">
        <f t="shared" si="143"/>
        <v>0.41</v>
      </c>
      <c r="J4149" s="442"/>
      <c r="K4149" s="1263"/>
      <c r="L4149" s="461"/>
      <c r="M4149" s="461"/>
      <c r="N4149" s="461"/>
    </row>
    <row r="4150" spans="1:14" s="462" customFormat="1" hidden="1" outlineLevel="1">
      <c r="A4150" s="1261"/>
      <c r="B4150" s="260"/>
      <c r="C4150" s="457"/>
      <c r="D4150" s="440"/>
      <c r="E4150" s="439"/>
      <c r="F4150" s="1350"/>
      <c r="G4150" s="1350"/>
      <c r="H4150" s="1350"/>
      <c r="I4150" s="399" t="str">
        <f t="shared" si="143"/>
        <v/>
      </c>
      <c r="J4150" s="442"/>
      <c r="K4150" s="1263"/>
      <c r="L4150" s="461"/>
      <c r="M4150" s="461"/>
      <c r="N4150" s="461"/>
    </row>
    <row r="4151" spans="1:14" s="462" customFormat="1" hidden="1" outlineLevel="1">
      <c r="A4151" s="1261"/>
      <c r="B4151" s="260"/>
      <c r="C4151" s="457" t="s">
        <v>2</v>
      </c>
      <c r="D4151" s="440">
        <v>1</v>
      </c>
      <c r="E4151" s="439">
        <v>2</v>
      </c>
      <c r="F4151" s="1350">
        <v>5.3100000000000005</v>
      </c>
      <c r="G4151" s="1350">
        <v>0.23</v>
      </c>
      <c r="H4151" s="1350">
        <v>0.2</v>
      </c>
      <c r="I4151" s="399">
        <f t="shared" si="143"/>
        <v>0.49</v>
      </c>
      <c r="J4151" s="442"/>
      <c r="K4151" s="1263"/>
      <c r="L4151" s="461"/>
      <c r="M4151" s="461"/>
      <c r="N4151" s="461"/>
    </row>
    <row r="4152" spans="1:14" s="462" customFormat="1" hidden="1" outlineLevel="1">
      <c r="A4152" s="1261"/>
      <c r="B4152" s="260"/>
      <c r="C4152" s="457"/>
      <c r="D4152" s="440"/>
      <c r="E4152" s="439"/>
      <c r="F4152" s="1350"/>
      <c r="G4152" s="1350"/>
      <c r="H4152" s="1350"/>
      <c r="I4152" s="399" t="str">
        <f t="shared" si="143"/>
        <v/>
      </c>
      <c r="J4152" s="442"/>
      <c r="K4152" s="1263"/>
      <c r="L4152" s="461"/>
      <c r="M4152" s="461"/>
      <c r="N4152" s="461"/>
    </row>
    <row r="4153" spans="1:14" s="462" customFormat="1" hidden="1" outlineLevel="1">
      <c r="A4153" s="1261"/>
      <c r="B4153" s="260"/>
      <c r="C4153" s="457" t="s">
        <v>2</v>
      </c>
      <c r="D4153" s="440">
        <v>1</v>
      </c>
      <c r="E4153" s="439">
        <v>2</v>
      </c>
      <c r="F4153" s="1350">
        <v>6.2100000000000009</v>
      </c>
      <c r="G4153" s="1350">
        <v>0.23</v>
      </c>
      <c r="H4153" s="1350">
        <v>0.2</v>
      </c>
      <c r="I4153" s="399">
        <f t="shared" si="143"/>
        <v>0.56999999999999995</v>
      </c>
      <c r="J4153" s="442"/>
      <c r="K4153" s="1263"/>
      <c r="L4153" s="461"/>
      <c r="M4153" s="461"/>
      <c r="N4153" s="461"/>
    </row>
    <row r="4154" spans="1:14" s="462" customFormat="1" hidden="1" outlineLevel="1">
      <c r="A4154" s="1261"/>
      <c r="B4154" s="260"/>
      <c r="C4154" s="457"/>
      <c r="D4154" s="440"/>
      <c r="E4154" s="439"/>
      <c r="F4154" s="1350"/>
      <c r="G4154" s="1350"/>
      <c r="H4154" s="1350"/>
      <c r="I4154" s="399" t="str">
        <f t="shared" si="143"/>
        <v/>
      </c>
      <c r="J4154" s="442"/>
      <c r="K4154" s="1263"/>
      <c r="L4154" s="461"/>
      <c r="M4154" s="461"/>
      <c r="N4154" s="461"/>
    </row>
    <row r="4155" spans="1:14" s="462" customFormat="1" hidden="1" outlineLevel="1">
      <c r="A4155" s="1261"/>
      <c r="B4155" s="260"/>
      <c r="C4155" s="457" t="s">
        <v>2</v>
      </c>
      <c r="D4155" s="440">
        <v>1</v>
      </c>
      <c r="E4155" s="439">
        <v>1</v>
      </c>
      <c r="F4155" s="1350">
        <v>7.41</v>
      </c>
      <c r="G4155" s="1350">
        <v>0.23</v>
      </c>
      <c r="H4155" s="1350">
        <v>0.2</v>
      </c>
      <c r="I4155" s="399">
        <f t="shared" si="143"/>
        <v>0.34</v>
      </c>
      <c r="J4155" s="442"/>
      <c r="K4155" s="1263"/>
      <c r="L4155" s="461"/>
      <c r="M4155" s="461"/>
      <c r="N4155" s="461"/>
    </row>
    <row r="4156" spans="1:14" s="462" customFormat="1" hidden="1" outlineLevel="1">
      <c r="A4156" s="1261"/>
      <c r="B4156" s="260"/>
      <c r="C4156" s="457"/>
      <c r="D4156" s="440"/>
      <c r="E4156" s="439"/>
      <c r="F4156" s="1350"/>
      <c r="G4156" s="1350"/>
      <c r="H4156" s="1350"/>
      <c r="I4156" s="399" t="str">
        <f t="shared" si="143"/>
        <v/>
      </c>
      <c r="J4156" s="442"/>
      <c r="K4156" s="1263"/>
      <c r="L4156" s="461"/>
      <c r="M4156" s="461"/>
      <c r="N4156" s="461"/>
    </row>
    <row r="4157" spans="1:14" s="462" customFormat="1" hidden="1" outlineLevel="1">
      <c r="A4157" s="1261"/>
      <c r="B4157" s="260"/>
      <c r="C4157" s="457" t="s">
        <v>2</v>
      </c>
      <c r="D4157" s="440">
        <v>1</v>
      </c>
      <c r="E4157" s="439">
        <v>1</v>
      </c>
      <c r="F4157" s="1350">
        <v>1.73</v>
      </c>
      <c r="G4157" s="1350">
        <v>0.23</v>
      </c>
      <c r="H4157" s="1350">
        <v>0.2</v>
      </c>
      <c r="I4157" s="399">
        <f t="shared" si="143"/>
        <v>0.08</v>
      </c>
      <c r="J4157" s="442"/>
      <c r="K4157" s="1263"/>
      <c r="L4157" s="461"/>
      <c r="M4157" s="461"/>
      <c r="N4157" s="461"/>
    </row>
    <row r="4158" spans="1:14" s="462" customFormat="1" hidden="1" outlineLevel="1">
      <c r="A4158" s="1261"/>
      <c r="B4158" s="260"/>
      <c r="C4158" s="457"/>
      <c r="D4158" s="440"/>
      <c r="E4158" s="439"/>
      <c r="F4158" s="1350"/>
      <c r="G4158" s="1350"/>
      <c r="H4158" s="1350"/>
      <c r="I4158" s="399" t="str">
        <f t="shared" si="143"/>
        <v/>
      </c>
      <c r="J4158" s="442"/>
      <c r="K4158" s="1263"/>
      <c r="L4158" s="461"/>
      <c r="M4158" s="461"/>
      <c r="N4158" s="461"/>
    </row>
    <row r="4159" spans="1:14" s="462" customFormat="1" hidden="1" outlineLevel="1">
      <c r="A4159" s="1261"/>
      <c r="B4159" s="260" t="s">
        <v>235</v>
      </c>
      <c r="C4159" s="457" t="s">
        <v>2</v>
      </c>
      <c r="D4159" s="440">
        <v>1</v>
      </c>
      <c r="E4159" s="439">
        <v>1</v>
      </c>
      <c r="F4159" s="1350">
        <v>10.62</v>
      </c>
      <c r="G4159" s="1350">
        <v>0.23</v>
      </c>
      <c r="H4159" s="1350">
        <v>0.2</v>
      </c>
      <c r="I4159" s="399">
        <f t="shared" si="143"/>
        <v>0.49</v>
      </c>
      <c r="J4159" s="442"/>
      <c r="K4159" s="1263"/>
      <c r="L4159" s="461"/>
      <c r="M4159" s="461"/>
      <c r="N4159" s="461"/>
    </row>
    <row r="4160" spans="1:14" s="462" customFormat="1" hidden="1" outlineLevel="1">
      <c r="A4160" s="1261"/>
      <c r="B4160" s="260" t="s">
        <v>331</v>
      </c>
      <c r="C4160" s="457" t="s">
        <v>2</v>
      </c>
      <c r="D4160" s="440">
        <v>1</v>
      </c>
      <c r="E4160" s="439">
        <v>4</v>
      </c>
      <c r="F4160" s="1350">
        <v>3</v>
      </c>
      <c r="G4160" s="1350">
        <v>0.38500000000000001</v>
      </c>
      <c r="H4160" s="1350">
        <v>0.27500000000000002</v>
      </c>
      <c r="I4160" s="399">
        <f t="shared" si="143"/>
        <v>1.27</v>
      </c>
      <c r="J4160" s="442"/>
      <c r="K4160" s="1263"/>
      <c r="L4160" s="461"/>
      <c r="M4160" s="461"/>
      <c r="N4160" s="461"/>
    </row>
    <row r="4161" spans="1:14" s="462" customFormat="1" hidden="1" outlineLevel="1">
      <c r="A4161" s="1261"/>
      <c r="B4161" s="260"/>
      <c r="C4161" s="457"/>
      <c r="D4161" s="440"/>
      <c r="E4161" s="439"/>
      <c r="F4161" s="1350"/>
      <c r="G4161" s="1350"/>
      <c r="H4161" s="1350"/>
      <c r="I4161" s="399" t="str">
        <f t="shared" si="143"/>
        <v/>
      </c>
      <c r="J4161" s="442"/>
      <c r="K4161" s="1263"/>
      <c r="L4161" s="461"/>
      <c r="M4161" s="461"/>
      <c r="N4161" s="461"/>
    </row>
    <row r="4162" spans="1:14" s="462" customFormat="1" hidden="1" outlineLevel="1">
      <c r="A4162" s="1261"/>
      <c r="B4162" s="260" t="s">
        <v>236</v>
      </c>
      <c r="C4162" s="457" t="s">
        <v>2</v>
      </c>
      <c r="D4162" s="440">
        <v>1</v>
      </c>
      <c r="E4162" s="439">
        <v>3</v>
      </c>
      <c r="F4162" s="1350">
        <v>0.61499999999999999</v>
      </c>
      <c r="G4162" s="1350">
        <v>0.23</v>
      </c>
      <c r="H4162" s="1350">
        <v>0.2</v>
      </c>
      <c r="I4162" s="399">
        <f t="shared" si="143"/>
        <v>0.08</v>
      </c>
      <c r="J4162" s="442"/>
      <c r="K4162" s="1263"/>
      <c r="L4162" s="461"/>
      <c r="M4162" s="461"/>
      <c r="N4162" s="461"/>
    </row>
    <row r="4163" spans="1:14" s="462" customFormat="1" hidden="1" outlineLevel="1">
      <c r="A4163" s="1261"/>
      <c r="B4163" s="260"/>
      <c r="C4163" s="457"/>
      <c r="D4163" s="440"/>
      <c r="E4163" s="439"/>
      <c r="F4163" s="1350"/>
      <c r="G4163" s="1350"/>
      <c r="H4163" s="1350"/>
      <c r="I4163" s="399" t="str">
        <f t="shared" si="143"/>
        <v/>
      </c>
      <c r="J4163" s="442"/>
      <c r="K4163" s="1263"/>
      <c r="L4163" s="461"/>
      <c r="M4163" s="461"/>
      <c r="N4163" s="461"/>
    </row>
    <row r="4164" spans="1:14" s="462" customFormat="1" hidden="1" outlineLevel="1">
      <c r="A4164" s="1261"/>
      <c r="B4164" s="260"/>
      <c r="C4164" s="457" t="s">
        <v>2</v>
      </c>
      <c r="D4164" s="440">
        <v>1</v>
      </c>
      <c r="E4164" s="439">
        <v>6</v>
      </c>
      <c r="F4164" s="1350">
        <v>3.36</v>
      </c>
      <c r="G4164" s="1350">
        <v>0.23</v>
      </c>
      <c r="H4164" s="1350">
        <v>0.2</v>
      </c>
      <c r="I4164" s="399">
        <f t="shared" si="143"/>
        <v>0.93</v>
      </c>
      <c r="J4164" s="442"/>
      <c r="K4164" s="1263"/>
      <c r="L4164" s="461"/>
      <c r="M4164" s="461"/>
      <c r="N4164" s="461"/>
    </row>
    <row r="4165" spans="1:14" s="462" customFormat="1" hidden="1" outlineLevel="1">
      <c r="A4165" s="1261"/>
      <c r="B4165" s="260"/>
      <c r="C4165" s="457"/>
      <c r="D4165" s="440"/>
      <c r="E4165" s="439"/>
      <c r="F4165" s="1350"/>
      <c r="G4165" s="1350"/>
      <c r="H4165" s="1350"/>
      <c r="I4165" s="399" t="str">
        <f t="shared" si="143"/>
        <v/>
      </c>
      <c r="J4165" s="442"/>
      <c r="K4165" s="1263"/>
      <c r="L4165" s="461"/>
      <c r="M4165" s="461"/>
      <c r="N4165" s="461"/>
    </row>
    <row r="4166" spans="1:14" s="462" customFormat="1" hidden="1" outlineLevel="1">
      <c r="A4166" s="1261"/>
      <c r="B4166" s="260"/>
      <c r="C4166" s="457" t="s">
        <v>2</v>
      </c>
      <c r="D4166" s="440">
        <v>1</v>
      </c>
      <c r="E4166" s="439">
        <v>7</v>
      </c>
      <c r="F4166" s="1350">
        <v>1.67</v>
      </c>
      <c r="G4166" s="1350">
        <v>0.23</v>
      </c>
      <c r="H4166" s="1350">
        <v>0.2</v>
      </c>
      <c r="I4166" s="399">
        <f t="shared" si="143"/>
        <v>0.54</v>
      </c>
      <c r="J4166" s="442"/>
      <c r="K4166" s="1263"/>
      <c r="L4166" s="461"/>
      <c r="M4166" s="461"/>
      <c r="N4166" s="461"/>
    </row>
    <row r="4167" spans="1:14" s="462" customFormat="1" hidden="1" outlineLevel="1">
      <c r="A4167" s="1261"/>
      <c r="B4167" s="260"/>
      <c r="C4167" s="457"/>
      <c r="D4167" s="440"/>
      <c r="E4167" s="439"/>
      <c r="F4167" s="1350"/>
      <c r="G4167" s="1350"/>
      <c r="H4167" s="1350"/>
      <c r="I4167" s="399" t="str">
        <f t="shared" si="143"/>
        <v/>
      </c>
      <c r="J4167" s="442"/>
      <c r="K4167" s="1263"/>
      <c r="L4167" s="461"/>
      <c r="M4167" s="461"/>
      <c r="N4167" s="461"/>
    </row>
    <row r="4168" spans="1:14" s="462" customFormat="1" hidden="1" outlineLevel="1">
      <c r="A4168" s="1261"/>
      <c r="B4168" s="260"/>
      <c r="C4168" s="457" t="s">
        <v>2</v>
      </c>
      <c r="D4168" s="440">
        <v>1</v>
      </c>
      <c r="E4168" s="439">
        <v>1</v>
      </c>
      <c r="F4168" s="1350">
        <v>2.5150000000000001</v>
      </c>
      <c r="G4168" s="1350">
        <v>0.23</v>
      </c>
      <c r="H4168" s="1350">
        <v>0.2</v>
      </c>
      <c r="I4168" s="399">
        <f t="shared" si="143"/>
        <v>0.12</v>
      </c>
      <c r="J4168" s="442"/>
      <c r="K4168" s="1263"/>
      <c r="L4168" s="461"/>
      <c r="M4168" s="461"/>
      <c r="N4168" s="461"/>
    </row>
    <row r="4169" spans="1:14" s="462" customFormat="1" hidden="1" outlineLevel="1">
      <c r="A4169" s="1261"/>
      <c r="B4169" s="260"/>
      <c r="C4169" s="457"/>
      <c r="D4169" s="440"/>
      <c r="E4169" s="439"/>
      <c r="F4169" s="1350"/>
      <c r="G4169" s="1350"/>
      <c r="H4169" s="1350"/>
      <c r="I4169" s="399" t="str">
        <f t="shared" si="143"/>
        <v/>
      </c>
      <c r="J4169" s="442"/>
      <c r="K4169" s="1263"/>
      <c r="L4169" s="461"/>
      <c r="M4169" s="461"/>
      <c r="N4169" s="461"/>
    </row>
    <row r="4170" spans="1:14" s="462" customFormat="1" ht="51.75" hidden="1" outlineLevel="1">
      <c r="A4170" s="1261"/>
      <c r="B4170" s="260" t="s">
        <v>356</v>
      </c>
      <c r="C4170" s="457"/>
      <c r="D4170" s="440"/>
      <c r="E4170" s="439"/>
      <c r="F4170" s="1350"/>
      <c r="G4170" s="1350"/>
      <c r="H4170" s="1350"/>
      <c r="I4170" s="399" t="str">
        <f t="shared" si="143"/>
        <v/>
      </c>
      <c r="J4170" s="442"/>
      <c r="K4170" s="1263"/>
      <c r="L4170" s="461"/>
      <c r="M4170" s="461"/>
      <c r="N4170" s="461"/>
    </row>
    <row r="4171" spans="1:14" s="462" customFormat="1" hidden="1" outlineLevel="1">
      <c r="A4171" s="1261"/>
      <c r="B4171" s="260" t="s">
        <v>357</v>
      </c>
      <c r="C4171" s="457" t="s">
        <v>2</v>
      </c>
      <c r="D4171" s="440">
        <v>1</v>
      </c>
      <c r="E4171" s="439">
        <v>1</v>
      </c>
      <c r="F4171" s="1350">
        <v>18.990000000000002</v>
      </c>
      <c r="G4171" s="1350">
        <v>0.23</v>
      </c>
      <c r="H4171" s="1350">
        <v>0.2</v>
      </c>
      <c r="I4171" s="399">
        <f t="shared" si="143"/>
        <v>0.87</v>
      </c>
      <c r="J4171" s="442"/>
      <c r="K4171" s="1263"/>
      <c r="L4171" s="461"/>
      <c r="M4171" s="461"/>
      <c r="N4171" s="461"/>
    </row>
    <row r="4172" spans="1:14" s="462" customFormat="1" hidden="1" outlineLevel="1">
      <c r="A4172" s="1261"/>
      <c r="B4172" s="260" t="s">
        <v>239</v>
      </c>
      <c r="C4172" s="457" t="s">
        <v>2</v>
      </c>
      <c r="D4172" s="440">
        <v>1</v>
      </c>
      <c r="E4172" s="439">
        <v>3</v>
      </c>
      <c r="F4172" s="1350">
        <v>3</v>
      </c>
      <c r="G4172" s="1350">
        <v>0.38500000000000001</v>
      </c>
      <c r="H4172" s="1350">
        <v>0.27500000000000002</v>
      </c>
      <c r="I4172" s="399">
        <f t="shared" si="143"/>
        <v>0.95</v>
      </c>
      <c r="J4172" s="442"/>
      <c r="K4172" s="1263"/>
      <c r="L4172" s="461"/>
      <c r="M4172" s="461"/>
      <c r="N4172" s="461"/>
    </row>
    <row r="4173" spans="1:14" s="462" customFormat="1" hidden="1" outlineLevel="1">
      <c r="A4173" s="1261"/>
      <c r="B4173" s="260"/>
      <c r="C4173" s="457"/>
      <c r="D4173" s="440"/>
      <c r="E4173" s="439"/>
      <c r="F4173" s="1350"/>
      <c r="G4173" s="1350"/>
      <c r="H4173" s="1350"/>
      <c r="I4173" s="399" t="str">
        <f t="shared" si="143"/>
        <v/>
      </c>
      <c r="J4173" s="442"/>
      <c r="K4173" s="1263"/>
      <c r="L4173" s="461"/>
      <c r="M4173" s="461"/>
      <c r="N4173" s="461"/>
    </row>
    <row r="4174" spans="1:14" s="462" customFormat="1" hidden="1" outlineLevel="1">
      <c r="A4174" s="1261"/>
      <c r="B4174" s="260" t="s">
        <v>240</v>
      </c>
      <c r="C4174" s="457" t="s">
        <v>2</v>
      </c>
      <c r="D4174" s="440">
        <v>2</v>
      </c>
      <c r="E4174" s="439">
        <v>1</v>
      </c>
      <c r="F4174" s="1350">
        <v>2</v>
      </c>
      <c r="G4174" s="1350">
        <v>0.23</v>
      </c>
      <c r="H4174" s="1350">
        <v>0.2</v>
      </c>
      <c r="I4174" s="399">
        <f t="shared" si="143"/>
        <v>0.18</v>
      </c>
      <c r="J4174" s="442"/>
      <c r="K4174" s="1263"/>
      <c r="L4174" s="461"/>
      <c r="M4174" s="461"/>
      <c r="N4174" s="461"/>
    </row>
    <row r="4175" spans="1:14" s="462" customFormat="1" hidden="1" outlineLevel="1">
      <c r="A4175" s="1261"/>
      <c r="B4175" s="260"/>
      <c r="C4175" s="457"/>
      <c r="D4175" s="440"/>
      <c r="E4175" s="439"/>
      <c r="F4175" s="1350"/>
      <c r="G4175" s="1350"/>
      <c r="H4175" s="1350"/>
      <c r="I4175" s="399" t="str">
        <f t="shared" si="143"/>
        <v/>
      </c>
      <c r="J4175" s="442"/>
      <c r="K4175" s="1263"/>
      <c r="L4175" s="461"/>
      <c r="M4175" s="461"/>
      <c r="N4175" s="461"/>
    </row>
    <row r="4176" spans="1:14" s="462" customFormat="1" hidden="1" outlineLevel="1">
      <c r="A4176" s="1261"/>
      <c r="B4176" s="260"/>
      <c r="C4176" s="457" t="s">
        <v>2</v>
      </c>
      <c r="D4176" s="440">
        <v>1</v>
      </c>
      <c r="E4176" s="439">
        <v>3</v>
      </c>
      <c r="F4176" s="1350">
        <v>2.4350000000000001</v>
      </c>
      <c r="G4176" s="1350">
        <v>0.23</v>
      </c>
      <c r="H4176" s="1350">
        <v>0.2</v>
      </c>
      <c r="I4176" s="399">
        <f t="shared" si="143"/>
        <v>0.34</v>
      </c>
      <c r="J4176" s="442"/>
      <c r="K4176" s="1263"/>
      <c r="L4176" s="461"/>
      <c r="M4176" s="461"/>
      <c r="N4176" s="461"/>
    </row>
    <row r="4177" spans="1:14" s="462" customFormat="1" hidden="1" outlineLevel="1">
      <c r="A4177" s="1261"/>
      <c r="B4177" s="260"/>
      <c r="C4177" s="457"/>
      <c r="D4177" s="440"/>
      <c r="E4177" s="439"/>
      <c r="F4177" s="1350"/>
      <c r="G4177" s="1350"/>
      <c r="H4177" s="1350"/>
      <c r="I4177" s="399" t="str">
        <f t="shared" si="143"/>
        <v/>
      </c>
      <c r="J4177" s="442"/>
      <c r="K4177" s="1263"/>
      <c r="L4177" s="461"/>
      <c r="M4177" s="461"/>
      <c r="N4177" s="461"/>
    </row>
    <row r="4178" spans="1:14" s="462" customFormat="1" hidden="1" outlineLevel="1">
      <c r="A4178" s="1261"/>
      <c r="B4178" s="260"/>
      <c r="C4178" s="457" t="s">
        <v>2</v>
      </c>
      <c r="D4178" s="440">
        <v>1</v>
      </c>
      <c r="E4178" s="439">
        <v>1</v>
      </c>
      <c r="F4178" s="1350">
        <v>2.44</v>
      </c>
      <c r="G4178" s="1350">
        <v>0.23</v>
      </c>
      <c r="H4178" s="1350">
        <v>0.2</v>
      </c>
      <c r="I4178" s="399">
        <f t="shared" si="143"/>
        <v>0.11</v>
      </c>
      <c r="J4178" s="442"/>
      <c r="K4178" s="1263"/>
      <c r="L4178" s="461"/>
      <c r="M4178" s="461"/>
      <c r="N4178" s="461"/>
    </row>
    <row r="4179" spans="1:14" s="462" customFormat="1" hidden="1" outlineLevel="1">
      <c r="A4179" s="1261"/>
      <c r="B4179" s="260"/>
      <c r="C4179" s="457"/>
      <c r="D4179" s="440"/>
      <c r="E4179" s="439"/>
      <c r="F4179" s="1350"/>
      <c r="G4179" s="1350"/>
      <c r="H4179" s="1350"/>
      <c r="I4179" s="399" t="str">
        <f t="shared" si="143"/>
        <v/>
      </c>
      <c r="J4179" s="442"/>
      <c r="K4179" s="1263"/>
      <c r="L4179" s="461"/>
      <c r="M4179" s="461"/>
      <c r="N4179" s="461"/>
    </row>
    <row r="4180" spans="1:14" s="462" customFormat="1" hidden="1" outlineLevel="1">
      <c r="A4180" s="1261"/>
      <c r="B4180" s="260"/>
      <c r="C4180" s="457" t="s">
        <v>2</v>
      </c>
      <c r="D4180" s="440">
        <v>1</v>
      </c>
      <c r="E4180" s="439">
        <v>1</v>
      </c>
      <c r="F4180" s="1350">
        <v>2.13</v>
      </c>
      <c r="G4180" s="1350">
        <v>0.23</v>
      </c>
      <c r="H4180" s="1350">
        <v>0.2</v>
      </c>
      <c r="I4180" s="399">
        <f t="shared" si="143"/>
        <v>0.1</v>
      </c>
      <c r="J4180" s="442"/>
      <c r="K4180" s="1263"/>
      <c r="L4180" s="461"/>
      <c r="M4180" s="461"/>
      <c r="N4180" s="461"/>
    </row>
    <row r="4181" spans="1:14" s="462" customFormat="1" hidden="1" outlineLevel="1">
      <c r="A4181" s="1261"/>
      <c r="B4181" s="260"/>
      <c r="C4181" s="457"/>
      <c r="D4181" s="440"/>
      <c r="E4181" s="439"/>
      <c r="F4181" s="1350"/>
      <c r="G4181" s="1350"/>
      <c r="H4181" s="1350"/>
      <c r="I4181" s="399" t="str">
        <f t="shared" si="143"/>
        <v/>
      </c>
      <c r="J4181" s="442"/>
      <c r="K4181" s="1263"/>
      <c r="L4181" s="461"/>
      <c r="M4181" s="461"/>
      <c r="N4181" s="461"/>
    </row>
    <row r="4182" spans="1:14" s="462" customFormat="1" hidden="1" outlineLevel="1">
      <c r="A4182" s="1261"/>
      <c r="B4182" s="260"/>
      <c r="C4182" s="457" t="s">
        <v>2</v>
      </c>
      <c r="D4182" s="440">
        <v>1</v>
      </c>
      <c r="E4182" s="439">
        <v>1</v>
      </c>
      <c r="F4182" s="1350">
        <v>1.71</v>
      </c>
      <c r="G4182" s="1350">
        <v>0.23</v>
      </c>
      <c r="H4182" s="1350">
        <v>0.2</v>
      </c>
      <c r="I4182" s="399">
        <f t="shared" si="143"/>
        <v>0.08</v>
      </c>
      <c r="J4182" s="442"/>
      <c r="K4182" s="1263"/>
      <c r="L4182" s="461"/>
      <c r="M4182" s="461"/>
      <c r="N4182" s="461"/>
    </row>
    <row r="4183" spans="1:14" s="462" customFormat="1" hidden="1" outlineLevel="1">
      <c r="A4183" s="1261"/>
      <c r="B4183" s="260"/>
      <c r="C4183" s="457"/>
      <c r="D4183" s="440"/>
      <c r="E4183" s="439"/>
      <c r="F4183" s="1350"/>
      <c r="G4183" s="1350"/>
      <c r="H4183" s="1350"/>
      <c r="I4183" s="399" t="str">
        <f t="shared" si="143"/>
        <v/>
      </c>
      <c r="J4183" s="442"/>
      <c r="K4183" s="1263"/>
      <c r="L4183" s="461"/>
      <c r="M4183" s="461"/>
      <c r="N4183" s="461"/>
    </row>
    <row r="4184" spans="1:14" s="462" customFormat="1" hidden="1" outlineLevel="1">
      <c r="A4184" s="1261"/>
      <c r="B4184" s="260"/>
      <c r="C4184" s="457" t="s">
        <v>2</v>
      </c>
      <c r="D4184" s="440">
        <v>1</v>
      </c>
      <c r="E4184" s="439">
        <v>2</v>
      </c>
      <c r="F4184" s="1350">
        <v>5.3449999999999998</v>
      </c>
      <c r="G4184" s="1350">
        <v>0.23</v>
      </c>
      <c r="H4184" s="1350">
        <v>0.2</v>
      </c>
      <c r="I4184" s="399">
        <f t="shared" si="143"/>
        <v>0.49</v>
      </c>
      <c r="J4184" s="442"/>
      <c r="K4184" s="1263"/>
      <c r="L4184" s="461"/>
      <c r="M4184" s="461"/>
      <c r="N4184" s="461"/>
    </row>
    <row r="4185" spans="1:14" s="462" customFormat="1" hidden="1" outlineLevel="1">
      <c r="A4185" s="1261"/>
      <c r="B4185" s="260"/>
      <c r="C4185" s="457"/>
      <c r="D4185" s="440"/>
      <c r="E4185" s="439"/>
      <c r="F4185" s="1350"/>
      <c r="G4185" s="1350"/>
      <c r="H4185" s="1350"/>
      <c r="I4185" s="399" t="str">
        <f t="shared" si="143"/>
        <v/>
      </c>
      <c r="J4185" s="442"/>
      <c r="K4185" s="1263"/>
      <c r="L4185" s="461"/>
      <c r="M4185" s="461"/>
      <c r="N4185" s="461"/>
    </row>
    <row r="4186" spans="1:14" s="462" customFormat="1" hidden="1" outlineLevel="1">
      <c r="A4186" s="1261"/>
      <c r="B4186" s="260"/>
      <c r="C4186" s="457" t="s">
        <v>2</v>
      </c>
      <c r="D4186" s="440">
        <v>1</v>
      </c>
      <c r="E4186" s="439">
        <v>2</v>
      </c>
      <c r="F4186" s="1350">
        <v>6.38</v>
      </c>
      <c r="G4186" s="1350">
        <v>0.23</v>
      </c>
      <c r="H4186" s="1350">
        <v>0.2</v>
      </c>
      <c r="I4186" s="399">
        <f t="shared" si="143"/>
        <v>0.59</v>
      </c>
      <c r="J4186" s="442"/>
      <c r="K4186" s="1263"/>
      <c r="L4186" s="461"/>
      <c r="M4186" s="461"/>
      <c r="N4186" s="461"/>
    </row>
    <row r="4187" spans="1:14" s="462" customFormat="1" hidden="1" outlineLevel="1">
      <c r="A4187" s="1261"/>
      <c r="B4187" s="260"/>
      <c r="C4187" s="457"/>
      <c r="D4187" s="440"/>
      <c r="E4187" s="439"/>
      <c r="F4187" s="1350"/>
      <c r="G4187" s="1350"/>
      <c r="H4187" s="1350"/>
      <c r="I4187" s="399" t="str">
        <f t="shared" si="143"/>
        <v/>
      </c>
      <c r="J4187" s="442"/>
      <c r="K4187" s="1263"/>
      <c r="L4187" s="461"/>
      <c r="M4187" s="461"/>
      <c r="N4187" s="461"/>
    </row>
    <row r="4188" spans="1:14" s="462" customFormat="1" hidden="1" outlineLevel="1">
      <c r="A4188" s="1261"/>
      <c r="B4188" s="260"/>
      <c r="C4188" s="457" t="s">
        <v>2</v>
      </c>
      <c r="D4188" s="440">
        <v>1</v>
      </c>
      <c r="E4188" s="439">
        <v>2</v>
      </c>
      <c r="F4188" s="1350">
        <v>6.95</v>
      </c>
      <c r="G4188" s="1350">
        <v>0.23</v>
      </c>
      <c r="H4188" s="1350">
        <v>0.2</v>
      </c>
      <c r="I4188" s="399">
        <f t="shared" si="143"/>
        <v>0.64</v>
      </c>
      <c r="J4188" s="442"/>
      <c r="K4188" s="1263"/>
      <c r="L4188" s="461"/>
      <c r="M4188" s="461"/>
      <c r="N4188" s="461"/>
    </row>
    <row r="4189" spans="1:14" s="462" customFormat="1" hidden="1" outlineLevel="1">
      <c r="A4189" s="1261"/>
      <c r="B4189" s="260"/>
      <c r="C4189" s="457"/>
      <c r="D4189" s="440"/>
      <c r="E4189" s="439"/>
      <c r="F4189" s="1350"/>
      <c r="G4189" s="1350"/>
      <c r="H4189" s="1350"/>
      <c r="I4189" s="399" t="str">
        <f t="shared" si="143"/>
        <v/>
      </c>
      <c r="J4189" s="442"/>
      <c r="K4189" s="1263"/>
      <c r="L4189" s="461"/>
      <c r="M4189" s="461"/>
      <c r="N4189" s="461"/>
    </row>
    <row r="4190" spans="1:14" s="462" customFormat="1" hidden="1" outlineLevel="1">
      <c r="A4190" s="1261"/>
      <c r="B4190" s="260"/>
      <c r="C4190" s="457" t="s">
        <v>2</v>
      </c>
      <c r="D4190" s="440">
        <v>1</v>
      </c>
      <c r="E4190" s="439">
        <v>2</v>
      </c>
      <c r="F4190" s="1350">
        <v>6.12</v>
      </c>
      <c r="G4190" s="1350">
        <v>0.23</v>
      </c>
      <c r="H4190" s="1350">
        <v>0.2</v>
      </c>
      <c r="I4190" s="399">
        <f t="shared" si="143"/>
        <v>0.56000000000000005</v>
      </c>
      <c r="J4190" s="442"/>
      <c r="K4190" s="1263"/>
      <c r="L4190" s="461"/>
      <c r="M4190" s="461"/>
      <c r="N4190" s="461"/>
    </row>
    <row r="4191" spans="1:14" s="462" customFormat="1" hidden="1" outlineLevel="1">
      <c r="A4191" s="1261"/>
      <c r="B4191" s="260"/>
      <c r="C4191" s="457"/>
      <c r="D4191" s="440"/>
      <c r="E4191" s="439"/>
      <c r="F4191" s="1350"/>
      <c r="G4191" s="1350"/>
      <c r="H4191" s="1350"/>
      <c r="I4191" s="399" t="str">
        <f t="shared" si="143"/>
        <v/>
      </c>
      <c r="J4191" s="442"/>
      <c r="K4191" s="1263"/>
      <c r="L4191" s="461"/>
      <c r="M4191" s="461"/>
      <c r="N4191" s="461"/>
    </row>
    <row r="4192" spans="1:14" s="462" customFormat="1" hidden="1" outlineLevel="1">
      <c r="A4192" s="1261"/>
      <c r="B4192" s="260"/>
      <c r="C4192" s="457" t="s">
        <v>2</v>
      </c>
      <c r="D4192" s="440">
        <v>1</v>
      </c>
      <c r="E4192" s="439">
        <v>2</v>
      </c>
      <c r="F4192" s="1350">
        <v>4.6449999999999996</v>
      </c>
      <c r="G4192" s="1350">
        <v>0.23</v>
      </c>
      <c r="H4192" s="1350">
        <v>0.2</v>
      </c>
      <c r="I4192" s="399">
        <f t="shared" si="143"/>
        <v>0.43</v>
      </c>
      <c r="J4192" s="442"/>
      <c r="K4192" s="1263"/>
      <c r="L4192" s="461"/>
      <c r="M4192" s="461"/>
      <c r="N4192" s="461"/>
    </row>
    <row r="4193" spans="1:14" s="462" customFormat="1" hidden="1" outlineLevel="1">
      <c r="A4193" s="1261"/>
      <c r="B4193" s="260"/>
      <c r="C4193" s="457"/>
      <c r="D4193" s="440"/>
      <c r="E4193" s="439"/>
      <c r="F4193" s="1350"/>
      <c r="G4193" s="1350"/>
      <c r="H4193" s="1350"/>
      <c r="I4193" s="399" t="str">
        <f t="shared" si="143"/>
        <v/>
      </c>
      <c r="J4193" s="442"/>
      <c r="K4193" s="1263"/>
      <c r="L4193" s="461"/>
      <c r="M4193" s="461"/>
      <c r="N4193" s="461"/>
    </row>
    <row r="4194" spans="1:14" s="462" customFormat="1" hidden="1" outlineLevel="1">
      <c r="A4194" s="1261"/>
      <c r="B4194" s="260"/>
      <c r="C4194" s="457" t="s">
        <v>2</v>
      </c>
      <c r="D4194" s="440">
        <v>1</v>
      </c>
      <c r="E4194" s="439">
        <v>2</v>
      </c>
      <c r="F4194" s="1350">
        <v>3</v>
      </c>
      <c r="G4194" s="1350">
        <v>0.23</v>
      </c>
      <c r="H4194" s="1350">
        <v>0.2</v>
      </c>
      <c r="I4194" s="399">
        <f t="shared" si="143"/>
        <v>0.28000000000000003</v>
      </c>
      <c r="J4194" s="442"/>
      <c r="K4194" s="1263"/>
      <c r="L4194" s="461"/>
      <c r="M4194" s="461"/>
      <c r="N4194" s="461"/>
    </row>
    <row r="4195" spans="1:14" s="462" customFormat="1" hidden="1" outlineLevel="1">
      <c r="A4195" s="1261"/>
      <c r="B4195" s="260"/>
      <c r="C4195" s="457"/>
      <c r="D4195" s="440"/>
      <c r="E4195" s="439"/>
      <c r="F4195" s="1350"/>
      <c r="G4195" s="1350"/>
      <c r="H4195" s="1350"/>
      <c r="I4195" s="399" t="str">
        <f t="shared" si="143"/>
        <v/>
      </c>
      <c r="J4195" s="442"/>
      <c r="K4195" s="1263"/>
      <c r="L4195" s="461"/>
      <c r="M4195" s="461"/>
      <c r="N4195" s="461"/>
    </row>
    <row r="4196" spans="1:14" s="462" customFormat="1" hidden="1" outlineLevel="1">
      <c r="A4196" s="1261"/>
      <c r="B4196" s="260"/>
      <c r="C4196" s="457" t="s">
        <v>2</v>
      </c>
      <c r="D4196" s="440">
        <v>1</v>
      </c>
      <c r="E4196" s="439">
        <v>4</v>
      </c>
      <c r="F4196" s="1350">
        <v>0.61499999999999999</v>
      </c>
      <c r="G4196" s="1350">
        <v>0.23</v>
      </c>
      <c r="H4196" s="1350">
        <v>0.2</v>
      </c>
      <c r="I4196" s="399">
        <f t="shared" si="143"/>
        <v>0.11</v>
      </c>
      <c r="J4196" s="442"/>
      <c r="K4196" s="1263"/>
      <c r="L4196" s="461"/>
      <c r="M4196" s="461"/>
      <c r="N4196" s="461"/>
    </row>
    <row r="4197" spans="1:14" s="462" customFormat="1" hidden="1" outlineLevel="1">
      <c r="A4197" s="1261"/>
      <c r="B4197" s="260"/>
      <c r="C4197" s="457"/>
      <c r="D4197" s="440"/>
      <c r="E4197" s="439"/>
      <c r="F4197" s="1350"/>
      <c r="G4197" s="1350"/>
      <c r="H4197" s="1350"/>
      <c r="I4197" s="399" t="str">
        <f t="shared" ref="I4197:I4260" si="144">IF(D4197&lt;&gt;0,ROUND(PRODUCT(E4197:H4197)*D4197,2),"")</f>
        <v/>
      </c>
      <c r="J4197" s="442"/>
      <c r="K4197" s="1263"/>
      <c r="L4197" s="461"/>
      <c r="M4197" s="461"/>
      <c r="N4197" s="461"/>
    </row>
    <row r="4198" spans="1:14" s="462" customFormat="1" hidden="1" outlineLevel="1">
      <c r="A4198" s="1261"/>
      <c r="B4198" s="260"/>
      <c r="C4198" s="457" t="s">
        <v>2</v>
      </c>
      <c r="D4198" s="440">
        <v>1</v>
      </c>
      <c r="E4198" s="439">
        <v>2</v>
      </c>
      <c r="F4198" s="1350">
        <v>0.61</v>
      </c>
      <c r="G4198" s="1350">
        <v>0.23</v>
      </c>
      <c r="H4198" s="1350">
        <v>0.2</v>
      </c>
      <c r="I4198" s="399">
        <f t="shared" si="144"/>
        <v>0.06</v>
      </c>
      <c r="J4198" s="442"/>
      <c r="K4198" s="1263"/>
      <c r="L4198" s="461"/>
      <c r="M4198" s="461"/>
      <c r="N4198" s="461"/>
    </row>
    <row r="4199" spans="1:14" s="462" customFormat="1" hidden="1" outlineLevel="1">
      <c r="A4199" s="1261"/>
      <c r="B4199" s="260"/>
      <c r="C4199" s="457"/>
      <c r="D4199" s="440"/>
      <c r="E4199" s="439"/>
      <c r="F4199" s="1350"/>
      <c r="G4199" s="1350"/>
      <c r="H4199" s="1350"/>
      <c r="I4199" s="399" t="str">
        <f t="shared" si="144"/>
        <v/>
      </c>
      <c r="J4199" s="442"/>
      <c r="K4199" s="1263"/>
      <c r="L4199" s="461"/>
      <c r="M4199" s="461"/>
      <c r="N4199" s="461"/>
    </row>
    <row r="4200" spans="1:14" s="462" customFormat="1" ht="34.5" hidden="1" outlineLevel="1">
      <c r="A4200" s="1261"/>
      <c r="B4200" s="260" t="s">
        <v>358</v>
      </c>
      <c r="C4200" s="457"/>
      <c r="D4200" s="440"/>
      <c r="E4200" s="439"/>
      <c r="F4200" s="1350"/>
      <c r="G4200" s="1350"/>
      <c r="H4200" s="1350"/>
      <c r="I4200" s="399" t="str">
        <f t="shared" si="144"/>
        <v/>
      </c>
      <c r="J4200" s="442"/>
      <c r="K4200" s="1263"/>
      <c r="L4200" s="461"/>
      <c r="M4200" s="461"/>
      <c r="N4200" s="461"/>
    </row>
    <row r="4201" spans="1:14" s="462" customFormat="1" ht="34.5" hidden="1" outlineLevel="1">
      <c r="A4201" s="1261"/>
      <c r="B4201" s="260" t="s">
        <v>359</v>
      </c>
      <c r="C4201" s="457"/>
      <c r="D4201" s="440"/>
      <c r="E4201" s="439"/>
      <c r="F4201" s="1350"/>
      <c r="G4201" s="1350"/>
      <c r="H4201" s="1350"/>
      <c r="I4201" s="399" t="str">
        <f t="shared" si="144"/>
        <v/>
      </c>
      <c r="J4201" s="442"/>
      <c r="K4201" s="1263"/>
      <c r="L4201" s="461"/>
      <c r="M4201" s="461"/>
      <c r="N4201" s="461"/>
    </row>
    <row r="4202" spans="1:14" s="462" customFormat="1" hidden="1" outlineLevel="1">
      <c r="A4202" s="1261"/>
      <c r="B4202" s="260" t="s">
        <v>243</v>
      </c>
      <c r="C4202" s="457" t="s">
        <v>2</v>
      </c>
      <c r="D4202" s="440">
        <v>1</v>
      </c>
      <c r="E4202" s="439">
        <v>1</v>
      </c>
      <c r="F4202" s="1350">
        <v>7.86</v>
      </c>
      <c r="G4202" s="1350">
        <v>0.23</v>
      </c>
      <c r="H4202" s="1350">
        <v>0.2</v>
      </c>
      <c r="I4202" s="399">
        <f t="shared" si="144"/>
        <v>0.36</v>
      </c>
      <c r="J4202" s="442"/>
      <c r="K4202" s="1263"/>
      <c r="L4202" s="461"/>
      <c r="M4202" s="461"/>
      <c r="N4202" s="461"/>
    </row>
    <row r="4203" spans="1:14" s="462" customFormat="1" hidden="1" outlineLevel="1">
      <c r="A4203" s="1261"/>
      <c r="B4203" s="260"/>
      <c r="C4203" s="457"/>
      <c r="D4203" s="440"/>
      <c r="E4203" s="439"/>
      <c r="F4203" s="1350"/>
      <c r="G4203" s="1350"/>
      <c r="H4203" s="1350"/>
      <c r="I4203" s="399" t="str">
        <f t="shared" si="144"/>
        <v/>
      </c>
      <c r="J4203" s="442"/>
      <c r="K4203" s="1263"/>
      <c r="L4203" s="461"/>
      <c r="M4203" s="461"/>
      <c r="N4203" s="461"/>
    </row>
    <row r="4204" spans="1:14" s="462" customFormat="1" hidden="1" outlineLevel="1">
      <c r="A4204" s="1261"/>
      <c r="B4204" s="260"/>
      <c r="C4204" s="457" t="s">
        <v>2</v>
      </c>
      <c r="D4204" s="440">
        <v>1</v>
      </c>
      <c r="E4204" s="439">
        <v>1</v>
      </c>
      <c r="F4204" s="1350">
        <v>5.6300000000000008</v>
      </c>
      <c r="G4204" s="1350">
        <v>0.23</v>
      </c>
      <c r="H4204" s="1350">
        <v>0.2</v>
      </c>
      <c r="I4204" s="399">
        <f t="shared" si="144"/>
        <v>0.26</v>
      </c>
      <c r="J4204" s="442"/>
      <c r="K4204" s="1263"/>
      <c r="L4204" s="461"/>
      <c r="M4204" s="461"/>
      <c r="N4204" s="461"/>
    </row>
    <row r="4205" spans="1:14" s="462" customFormat="1" hidden="1" outlineLevel="1">
      <c r="A4205" s="1261"/>
      <c r="B4205" s="260"/>
      <c r="C4205" s="457"/>
      <c r="D4205" s="440"/>
      <c r="E4205" s="439"/>
      <c r="F4205" s="1350"/>
      <c r="G4205" s="1350"/>
      <c r="H4205" s="1350"/>
      <c r="I4205" s="399" t="str">
        <f t="shared" si="144"/>
        <v/>
      </c>
      <c r="J4205" s="442"/>
      <c r="K4205" s="1263"/>
      <c r="L4205" s="461"/>
      <c r="M4205" s="461"/>
      <c r="N4205" s="461"/>
    </row>
    <row r="4206" spans="1:14" s="462" customFormat="1" hidden="1" outlineLevel="1">
      <c r="A4206" s="1261"/>
      <c r="B4206" s="260"/>
      <c r="C4206" s="457" t="s">
        <v>2</v>
      </c>
      <c r="D4206" s="440">
        <v>1</v>
      </c>
      <c r="E4206" s="439">
        <v>2</v>
      </c>
      <c r="F4206" s="1350">
        <v>6.23</v>
      </c>
      <c r="G4206" s="1350">
        <v>0.23</v>
      </c>
      <c r="H4206" s="1350">
        <v>0.2</v>
      </c>
      <c r="I4206" s="399">
        <f t="shared" si="144"/>
        <v>0.56999999999999995</v>
      </c>
      <c r="J4206" s="442"/>
      <c r="K4206" s="1263"/>
      <c r="L4206" s="461"/>
      <c r="M4206" s="461"/>
      <c r="N4206" s="461"/>
    </row>
    <row r="4207" spans="1:14" s="462" customFormat="1" hidden="1" outlineLevel="1">
      <c r="A4207" s="1261"/>
      <c r="B4207" s="260"/>
      <c r="C4207" s="457"/>
      <c r="D4207" s="440"/>
      <c r="E4207" s="439"/>
      <c r="F4207" s="1350"/>
      <c r="G4207" s="1350"/>
      <c r="H4207" s="1350"/>
      <c r="I4207" s="399" t="str">
        <f t="shared" si="144"/>
        <v/>
      </c>
      <c r="J4207" s="442"/>
      <c r="K4207" s="1263"/>
      <c r="L4207" s="461"/>
      <c r="M4207" s="461"/>
      <c r="N4207" s="461"/>
    </row>
    <row r="4208" spans="1:14" s="462" customFormat="1" hidden="1" outlineLevel="1">
      <c r="A4208" s="1261"/>
      <c r="B4208" s="260"/>
      <c r="C4208" s="457" t="s">
        <v>2</v>
      </c>
      <c r="D4208" s="440">
        <v>1</v>
      </c>
      <c r="E4208" s="439">
        <v>3</v>
      </c>
      <c r="F4208" s="1350">
        <v>5.03</v>
      </c>
      <c r="G4208" s="1350">
        <v>0.23</v>
      </c>
      <c r="H4208" s="1350">
        <v>0.2</v>
      </c>
      <c r="I4208" s="399">
        <f t="shared" si="144"/>
        <v>0.69</v>
      </c>
      <c r="J4208" s="442"/>
      <c r="K4208" s="1263"/>
      <c r="L4208" s="461"/>
      <c r="M4208" s="461"/>
      <c r="N4208" s="461"/>
    </row>
    <row r="4209" spans="1:14" s="462" customFormat="1" hidden="1" outlineLevel="1">
      <c r="A4209" s="1261"/>
      <c r="B4209" s="260"/>
      <c r="C4209" s="457"/>
      <c r="D4209" s="440"/>
      <c r="E4209" s="439"/>
      <c r="F4209" s="1350"/>
      <c r="G4209" s="1350"/>
      <c r="H4209" s="1350"/>
      <c r="I4209" s="399" t="str">
        <f t="shared" si="144"/>
        <v/>
      </c>
      <c r="J4209" s="442"/>
      <c r="K4209" s="1263"/>
      <c r="L4209" s="461"/>
      <c r="M4209" s="461"/>
      <c r="N4209" s="461"/>
    </row>
    <row r="4210" spans="1:14" s="462" customFormat="1" hidden="1" outlineLevel="1">
      <c r="A4210" s="1261"/>
      <c r="B4210" s="260"/>
      <c r="C4210" s="457" t="s">
        <v>2</v>
      </c>
      <c r="D4210" s="440">
        <v>1</v>
      </c>
      <c r="E4210" s="439">
        <v>1</v>
      </c>
      <c r="F4210" s="1350">
        <v>1.43</v>
      </c>
      <c r="G4210" s="1350">
        <v>0.23</v>
      </c>
      <c r="H4210" s="1350">
        <v>0.2</v>
      </c>
      <c r="I4210" s="399">
        <f t="shared" si="144"/>
        <v>7.0000000000000007E-2</v>
      </c>
      <c r="J4210" s="442"/>
      <c r="K4210" s="1263"/>
      <c r="L4210" s="461"/>
      <c r="M4210" s="461"/>
      <c r="N4210" s="461"/>
    </row>
    <row r="4211" spans="1:14" s="462" customFormat="1" hidden="1" outlineLevel="1">
      <c r="A4211" s="1261"/>
      <c r="B4211" s="260"/>
      <c r="C4211" s="457"/>
      <c r="D4211" s="440"/>
      <c r="E4211" s="439"/>
      <c r="F4211" s="1350"/>
      <c r="G4211" s="1350"/>
      <c r="H4211" s="1350"/>
      <c r="I4211" s="399" t="str">
        <f t="shared" si="144"/>
        <v/>
      </c>
      <c r="J4211" s="442"/>
      <c r="K4211" s="1263"/>
      <c r="L4211" s="461"/>
      <c r="M4211" s="461"/>
      <c r="N4211" s="461"/>
    </row>
    <row r="4212" spans="1:14" s="462" customFormat="1" hidden="1" outlineLevel="1">
      <c r="A4212" s="1261"/>
      <c r="B4212" s="260"/>
      <c r="C4212" s="457" t="s">
        <v>2</v>
      </c>
      <c r="D4212" s="440">
        <v>1</v>
      </c>
      <c r="E4212" s="439">
        <v>1</v>
      </c>
      <c r="F4212" s="1350">
        <v>5.63</v>
      </c>
      <c r="G4212" s="1350">
        <v>0.23</v>
      </c>
      <c r="H4212" s="1350">
        <v>0.2</v>
      </c>
      <c r="I4212" s="399">
        <f t="shared" si="144"/>
        <v>0.26</v>
      </c>
      <c r="J4212" s="442"/>
      <c r="K4212" s="1263"/>
      <c r="L4212" s="461"/>
      <c r="M4212" s="461"/>
      <c r="N4212" s="461"/>
    </row>
    <row r="4213" spans="1:14" s="462" customFormat="1" hidden="1" outlineLevel="1">
      <c r="A4213" s="1261"/>
      <c r="B4213" s="260"/>
      <c r="C4213" s="457"/>
      <c r="D4213" s="440"/>
      <c r="E4213" s="439"/>
      <c r="F4213" s="1350"/>
      <c r="G4213" s="1350"/>
      <c r="H4213" s="1350"/>
      <c r="I4213" s="399" t="str">
        <f t="shared" si="144"/>
        <v/>
      </c>
      <c r="J4213" s="442"/>
      <c r="K4213" s="1263"/>
      <c r="L4213" s="461"/>
      <c r="M4213" s="461"/>
      <c r="N4213" s="461"/>
    </row>
    <row r="4214" spans="1:14" s="462" customFormat="1" hidden="1" outlineLevel="1">
      <c r="A4214" s="1261"/>
      <c r="B4214" s="260"/>
      <c r="C4214" s="457" t="s">
        <v>2</v>
      </c>
      <c r="D4214" s="440">
        <v>1</v>
      </c>
      <c r="E4214" s="439">
        <v>1</v>
      </c>
      <c r="F4214" s="1350">
        <v>0.83</v>
      </c>
      <c r="G4214" s="1350">
        <v>0.23</v>
      </c>
      <c r="H4214" s="1350">
        <v>0.2</v>
      </c>
      <c r="I4214" s="399">
        <f t="shared" si="144"/>
        <v>0.04</v>
      </c>
      <c r="J4214" s="442"/>
      <c r="K4214" s="1263"/>
      <c r="L4214" s="461"/>
      <c r="M4214" s="461"/>
      <c r="N4214" s="461"/>
    </row>
    <row r="4215" spans="1:14" s="462" customFormat="1" hidden="1" outlineLevel="1">
      <c r="A4215" s="1261"/>
      <c r="B4215" s="260"/>
      <c r="C4215" s="457"/>
      <c r="D4215" s="440"/>
      <c r="E4215" s="439"/>
      <c r="F4215" s="1350"/>
      <c r="G4215" s="1350"/>
      <c r="H4215" s="1350"/>
      <c r="I4215" s="399" t="str">
        <f t="shared" si="144"/>
        <v/>
      </c>
      <c r="J4215" s="442"/>
      <c r="K4215" s="1263"/>
      <c r="L4215" s="461"/>
      <c r="M4215" s="461"/>
      <c r="N4215" s="461"/>
    </row>
    <row r="4216" spans="1:14" s="462" customFormat="1" hidden="1" outlineLevel="1">
      <c r="A4216" s="1261"/>
      <c r="B4216" s="260"/>
      <c r="C4216" s="457" t="s">
        <v>2</v>
      </c>
      <c r="D4216" s="440">
        <v>1</v>
      </c>
      <c r="E4216" s="439">
        <v>5</v>
      </c>
      <c r="F4216" s="1350">
        <v>4.4300000000000006</v>
      </c>
      <c r="G4216" s="1350">
        <v>0.23</v>
      </c>
      <c r="H4216" s="1350">
        <v>0.2</v>
      </c>
      <c r="I4216" s="399">
        <f t="shared" si="144"/>
        <v>1.02</v>
      </c>
      <c r="J4216" s="442"/>
      <c r="K4216" s="1263"/>
      <c r="L4216" s="461"/>
      <c r="M4216" s="461"/>
      <c r="N4216" s="461"/>
    </row>
    <row r="4217" spans="1:14" s="462" customFormat="1" hidden="1" outlineLevel="1">
      <c r="A4217" s="1261"/>
      <c r="B4217" s="260"/>
      <c r="C4217" s="457"/>
      <c r="D4217" s="440"/>
      <c r="E4217" s="439"/>
      <c r="F4217" s="1350"/>
      <c r="G4217" s="1350"/>
      <c r="H4217" s="1350"/>
      <c r="I4217" s="399" t="str">
        <f t="shared" si="144"/>
        <v/>
      </c>
      <c r="J4217" s="442"/>
      <c r="K4217" s="1263"/>
      <c r="L4217" s="461"/>
      <c r="M4217" s="461"/>
      <c r="N4217" s="461"/>
    </row>
    <row r="4218" spans="1:14" s="462" customFormat="1" hidden="1" outlineLevel="1">
      <c r="A4218" s="1261"/>
      <c r="B4218" s="260"/>
      <c r="C4218" s="457" t="s">
        <v>2</v>
      </c>
      <c r="D4218" s="440">
        <v>1</v>
      </c>
      <c r="E4218" s="439">
        <v>1</v>
      </c>
      <c r="F4218" s="1350">
        <v>0.83</v>
      </c>
      <c r="G4218" s="1350">
        <v>0.23</v>
      </c>
      <c r="H4218" s="1350">
        <v>0.2</v>
      </c>
      <c r="I4218" s="399">
        <f t="shared" si="144"/>
        <v>0.04</v>
      </c>
      <c r="J4218" s="442"/>
      <c r="K4218" s="1263"/>
      <c r="L4218" s="461"/>
      <c r="M4218" s="461"/>
      <c r="N4218" s="461"/>
    </row>
    <row r="4219" spans="1:14" s="462" customFormat="1" hidden="1" outlineLevel="1">
      <c r="A4219" s="1261"/>
      <c r="B4219" s="260"/>
      <c r="C4219" s="457"/>
      <c r="D4219" s="440"/>
      <c r="E4219" s="439"/>
      <c r="F4219" s="1350"/>
      <c r="G4219" s="1350"/>
      <c r="H4219" s="1350"/>
      <c r="I4219" s="399" t="str">
        <f t="shared" si="144"/>
        <v/>
      </c>
      <c r="J4219" s="442"/>
      <c r="K4219" s="1263"/>
      <c r="L4219" s="461"/>
      <c r="M4219" s="461"/>
      <c r="N4219" s="461"/>
    </row>
    <row r="4220" spans="1:14" s="462" customFormat="1" hidden="1" outlineLevel="1">
      <c r="A4220" s="1261"/>
      <c r="B4220" s="260"/>
      <c r="C4220" s="457" t="s">
        <v>2</v>
      </c>
      <c r="D4220" s="440">
        <v>1</v>
      </c>
      <c r="E4220" s="439">
        <v>1</v>
      </c>
      <c r="F4220" s="1350">
        <v>5.03</v>
      </c>
      <c r="G4220" s="1350">
        <v>0.23</v>
      </c>
      <c r="H4220" s="1350">
        <v>0.2</v>
      </c>
      <c r="I4220" s="399">
        <f t="shared" si="144"/>
        <v>0.23</v>
      </c>
      <c r="J4220" s="442"/>
      <c r="K4220" s="1263"/>
      <c r="L4220" s="461"/>
      <c r="M4220" s="461"/>
      <c r="N4220" s="461"/>
    </row>
    <row r="4221" spans="1:14" s="462" customFormat="1" hidden="1" outlineLevel="1">
      <c r="A4221" s="1261"/>
      <c r="B4221" s="260"/>
      <c r="C4221" s="457"/>
      <c r="D4221" s="440"/>
      <c r="E4221" s="439"/>
      <c r="F4221" s="1350"/>
      <c r="G4221" s="1350"/>
      <c r="H4221" s="1350"/>
      <c r="I4221" s="399" t="str">
        <f t="shared" si="144"/>
        <v/>
      </c>
      <c r="J4221" s="442"/>
      <c r="K4221" s="1263"/>
      <c r="L4221" s="461"/>
      <c r="M4221" s="461"/>
      <c r="N4221" s="461"/>
    </row>
    <row r="4222" spans="1:14" s="462" customFormat="1" hidden="1" outlineLevel="1">
      <c r="A4222" s="1261"/>
      <c r="B4222" s="260"/>
      <c r="C4222" s="457" t="s">
        <v>2</v>
      </c>
      <c r="D4222" s="440">
        <v>1</v>
      </c>
      <c r="E4222" s="439">
        <v>1</v>
      </c>
      <c r="F4222" s="1350">
        <v>1.43</v>
      </c>
      <c r="G4222" s="1350">
        <v>0.23</v>
      </c>
      <c r="H4222" s="1350">
        <v>0.2</v>
      </c>
      <c r="I4222" s="399">
        <f t="shared" si="144"/>
        <v>7.0000000000000007E-2</v>
      </c>
      <c r="J4222" s="442"/>
      <c r="K4222" s="1263"/>
      <c r="L4222" s="461"/>
      <c r="M4222" s="461"/>
      <c r="N4222" s="461"/>
    </row>
    <row r="4223" spans="1:14" s="462" customFormat="1" hidden="1" outlineLevel="1">
      <c r="A4223" s="1261"/>
      <c r="B4223" s="260"/>
      <c r="C4223" s="457"/>
      <c r="D4223" s="440"/>
      <c r="E4223" s="439"/>
      <c r="F4223" s="1350"/>
      <c r="G4223" s="1350"/>
      <c r="H4223" s="1350"/>
      <c r="I4223" s="399" t="str">
        <f t="shared" si="144"/>
        <v/>
      </c>
      <c r="J4223" s="442"/>
      <c r="K4223" s="1263"/>
      <c r="L4223" s="461"/>
      <c r="M4223" s="461"/>
      <c r="N4223" s="461"/>
    </row>
    <row r="4224" spans="1:14" s="462" customFormat="1" hidden="1" outlineLevel="1">
      <c r="A4224" s="1261"/>
      <c r="B4224" s="260" t="s">
        <v>244</v>
      </c>
      <c r="C4224" s="457" t="s">
        <v>2</v>
      </c>
      <c r="D4224" s="440">
        <v>1</v>
      </c>
      <c r="E4224" s="439">
        <v>2</v>
      </c>
      <c r="F4224" s="1350">
        <v>6.23</v>
      </c>
      <c r="G4224" s="1350">
        <v>0.23</v>
      </c>
      <c r="H4224" s="1350">
        <v>0.2</v>
      </c>
      <c r="I4224" s="399">
        <f t="shared" si="144"/>
        <v>0.56999999999999995</v>
      </c>
      <c r="J4224" s="442"/>
      <c r="K4224" s="1263"/>
      <c r="L4224" s="461"/>
      <c r="M4224" s="461"/>
      <c r="N4224" s="461"/>
    </row>
    <row r="4225" spans="1:14" s="462" customFormat="1" hidden="1" outlineLevel="1">
      <c r="A4225" s="1261"/>
      <c r="B4225" s="260"/>
      <c r="C4225" s="457"/>
      <c r="D4225" s="440"/>
      <c r="E4225" s="439"/>
      <c r="F4225" s="1350"/>
      <c r="G4225" s="1350"/>
      <c r="H4225" s="1350"/>
      <c r="I4225" s="399" t="str">
        <f t="shared" si="144"/>
        <v/>
      </c>
      <c r="J4225" s="442"/>
      <c r="K4225" s="1263"/>
      <c r="L4225" s="461"/>
      <c r="M4225" s="461"/>
      <c r="N4225" s="461"/>
    </row>
    <row r="4226" spans="1:14" s="462" customFormat="1" hidden="1" outlineLevel="1">
      <c r="A4226" s="1261"/>
      <c r="B4226" s="260"/>
      <c r="C4226" s="457" t="s">
        <v>2</v>
      </c>
      <c r="D4226" s="440">
        <v>1</v>
      </c>
      <c r="E4226" s="439">
        <v>1</v>
      </c>
      <c r="F4226" s="1350">
        <v>8.4600000000000009</v>
      </c>
      <c r="G4226" s="1350">
        <v>0.23</v>
      </c>
      <c r="H4226" s="1350">
        <v>0.2</v>
      </c>
      <c r="I4226" s="399">
        <f t="shared" si="144"/>
        <v>0.39</v>
      </c>
      <c r="J4226" s="442"/>
      <c r="K4226" s="1263"/>
      <c r="L4226" s="461"/>
      <c r="M4226" s="461"/>
      <c r="N4226" s="461"/>
    </row>
    <row r="4227" spans="1:14" s="462" customFormat="1" hidden="1" outlineLevel="1">
      <c r="A4227" s="1261"/>
      <c r="B4227" s="260" t="s">
        <v>245</v>
      </c>
      <c r="C4227" s="457" t="s">
        <v>2</v>
      </c>
      <c r="D4227" s="440">
        <v>1</v>
      </c>
      <c r="E4227" s="439">
        <v>8</v>
      </c>
      <c r="F4227" s="1350">
        <v>3.3</v>
      </c>
      <c r="G4227" s="1350">
        <v>0.22</v>
      </c>
      <c r="H4227" s="1350">
        <v>0.15</v>
      </c>
      <c r="I4227" s="399">
        <f t="shared" si="144"/>
        <v>0.87</v>
      </c>
      <c r="J4227" s="442"/>
      <c r="K4227" s="1263"/>
      <c r="L4227" s="461"/>
      <c r="M4227" s="461"/>
      <c r="N4227" s="461"/>
    </row>
    <row r="4228" spans="1:14" s="462" customFormat="1" hidden="1" outlineLevel="1">
      <c r="A4228" s="1261"/>
      <c r="B4228" s="260"/>
      <c r="C4228" s="457"/>
      <c r="D4228" s="440"/>
      <c r="E4228" s="439"/>
      <c r="F4228" s="1350"/>
      <c r="G4228" s="1350"/>
      <c r="H4228" s="1350"/>
      <c r="I4228" s="399" t="str">
        <f t="shared" si="144"/>
        <v/>
      </c>
      <c r="J4228" s="442"/>
      <c r="K4228" s="1263"/>
      <c r="L4228" s="461"/>
      <c r="M4228" s="461"/>
      <c r="N4228" s="461"/>
    </row>
    <row r="4229" spans="1:14" s="462" customFormat="1" hidden="1" outlineLevel="1">
      <c r="A4229" s="1261"/>
      <c r="B4229" s="260" t="s">
        <v>246</v>
      </c>
      <c r="C4229" s="457"/>
      <c r="D4229" s="440"/>
      <c r="E4229" s="439"/>
      <c r="F4229" s="1350"/>
      <c r="G4229" s="1350"/>
      <c r="H4229" s="1350"/>
      <c r="I4229" s="399" t="str">
        <f t="shared" si="144"/>
        <v/>
      </c>
      <c r="J4229" s="442"/>
      <c r="K4229" s="1263"/>
      <c r="L4229" s="461"/>
      <c r="M4229" s="461"/>
      <c r="N4229" s="461"/>
    </row>
    <row r="4230" spans="1:14" s="462" customFormat="1" hidden="1" outlineLevel="1">
      <c r="A4230" s="1261"/>
      <c r="B4230" s="260"/>
      <c r="C4230" s="457" t="s">
        <v>2</v>
      </c>
      <c r="D4230" s="440">
        <v>1</v>
      </c>
      <c r="E4230" s="439">
        <v>6</v>
      </c>
      <c r="F4230" s="1350">
        <v>0.61499999999999999</v>
      </c>
      <c r="G4230" s="1350">
        <v>0.23</v>
      </c>
      <c r="H4230" s="1350">
        <v>0.2</v>
      </c>
      <c r="I4230" s="399">
        <f t="shared" si="144"/>
        <v>0.17</v>
      </c>
      <c r="J4230" s="442"/>
      <c r="K4230" s="1263"/>
      <c r="L4230" s="461"/>
      <c r="M4230" s="461"/>
      <c r="N4230" s="461"/>
    </row>
    <row r="4231" spans="1:14" s="462" customFormat="1" hidden="1" outlineLevel="1">
      <c r="A4231" s="1261"/>
      <c r="B4231" s="260"/>
      <c r="C4231" s="457"/>
      <c r="D4231" s="440"/>
      <c r="E4231" s="439"/>
      <c r="F4231" s="1350"/>
      <c r="G4231" s="1350"/>
      <c r="H4231" s="1350"/>
      <c r="I4231" s="399" t="str">
        <f t="shared" si="144"/>
        <v/>
      </c>
      <c r="J4231" s="442"/>
      <c r="K4231" s="1263"/>
      <c r="L4231" s="461"/>
      <c r="M4231" s="461"/>
      <c r="N4231" s="461"/>
    </row>
    <row r="4232" spans="1:14" s="462" customFormat="1" hidden="1" outlineLevel="1">
      <c r="A4232" s="1261"/>
      <c r="B4232" s="260"/>
      <c r="C4232" s="457" t="s">
        <v>2</v>
      </c>
      <c r="D4232" s="440">
        <v>1</v>
      </c>
      <c r="E4232" s="439">
        <v>4</v>
      </c>
      <c r="F4232" s="1350">
        <v>1.67</v>
      </c>
      <c r="G4232" s="1350">
        <v>0.23</v>
      </c>
      <c r="H4232" s="1350">
        <v>0.2</v>
      </c>
      <c r="I4232" s="399">
        <f t="shared" si="144"/>
        <v>0.31</v>
      </c>
      <c r="J4232" s="442"/>
      <c r="K4232" s="1263"/>
      <c r="L4232" s="461"/>
      <c r="M4232" s="461"/>
      <c r="N4232" s="461"/>
    </row>
    <row r="4233" spans="1:14" s="462" customFormat="1" hidden="1" outlineLevel="1">
      <c r="A4233" s="1261"/>
      <c r="B4233" s="260"/>
      <c r="C4233" s="457"/>
      <c r="D4233" s="440"/>
      <c r="E4233" s="439"/>
      <c r="F4233" s="1350"/>
      <c r="G4233" s="1350"/>
      <c r="H4233" s="1350"/>
      <c r="I4233" s="399" t="str">
        <f t="shared" si="144"/>
        <v/>
      </c>
      <c r="J4233" s="442"/>
      <c r="K4233" s="1263"/>
      <c r="L4233" s="461"/>
      <c r="M4233" s="461"/>
      <c r="N4233" s="461"/>
    </row>
    <row r="4234" spans="1:14" s="462" customFormat="1" hidden="1" outlineLevel="1">
      <c r="A4234" s="1261"/>
      <c r="B4234" s="260"/>
      <c r="C4234" s="457" t="s">
        <v>2</v>
      </c>
      <c r="D4234" s="440">
        <v>1</v>
      </c>
      <c r="E4234" s="439">
        <v>2</v>
      </c>
      <c r="F4234" s="1350">
        <v>3.36</v>
      </c>
      <c r="G4234" s="1350">
        <v>0.23</v>
      </c>
      <c r="H4234" s="1350">
        <v>0.2</v>
      </c>
      <c r="I4234" s="399">
        <f t="shared" si="144"/>
        <v>0.31</v>
      </c>
      <c r="J4234" s="442"/>
      <c r="K4234" s="1263"/>
      <c r="L4234" s="461"/>
      <c r="M4234" s="461"/>
      <c r="N4234" s="461"/>
    </row>
    <row r="4235" spans="1:14" s="462" customFormat="1" hidden="1" outlineLevel="1">
      <c r="A4235" s="1261"/>
      <c r="B4235" s="260"/>
      <c r="C4235" s="457"/>
      <c r="D4235" s="440"/>
      <c r="E4235" s="439"/>
      <c r="F4235" s="1350"/>
      <c r="G4235" s="1350"/>
      <c r="H4235" s="1350"/>
      <c r="I4235" s="399" t="str">
        <f t="shared" si="144"/>
        <v/>
      </c>
      <c r="J4235" s="442"/>
      <c r="K4235" s="1263"/>
      <c r="L4235" s="461"/>
      <c r="M4235" s="461"/>
      <c r="N4235" s="461"/>
    </row>
    <row r="4236" spans="1:14" s="462" customFormat="1" hidden="1" outlineLevel="1">
      <c r="A4236" s="1261"/>
      <c r="B4236" s="260"/>
      <c r="C4236" s="457" t="s">
        <v>2</v>
      </c>
      <c r="D4236" s="440">
        <v>1</v>
      </c>
      <c r="E4236" s="439">
        <v>3</v>
      </c>
      <c r="F4236" s="1350">
        <v>1.365</v>
      </c>
      <c r="G4236" s="1350">
        <v>0.23</v>
      </c>
      <c r="H4236" s="1350">
        <v>0.2</v>
      </c>
      <c r="I4236" s="399">
        <f t="shared" si="144"/>
        <v>0.19</v>
      </c>
      <c r="J4236" s="442"/>
      <c r="K4236" s="1263"/>
      <c r="L4236" s="461"/>
      <c r="M4236" s="461"/>
      <c r="N4236" s="461"/>
    </row>
    <row r="4237" spans="1:14" s="462" customFormat="1" hidden="1" outlineLevel="1">
      <c r="A4237" s="1261"/>
      <c r="B4237" s="260"/>
      <c r="C4237" s="457"/>
      <c r="D4237" s="440"/>
      <c r="E4237" s="439"/>
      <c r="F4237" s="1350"/>
      <c r="G4237" s="1350"/>
      <c r="H4237" s="1350"/>
      <c r="I4237" s="399" t="str">
        <f t="shared" si="144"/>
        <v/>
      </c>
      <c r="J4237" s="442"/>
      <c r="K4237" s="1263"/>
      <c r="L4237" s="461"/>
      <c r="M4237" s="461"/>
      <c r="N4237" s="461"/>
    </row>
    <row r="4238" spans="1:14" s="462" customFormat="1" hidden="1" outlineLevel="1">
      <c r="A4238" s="1261"/>
      <c r="B4238" s="260"/>
      <c r="C4238" s="457" t="s">
        <v>2</v>
      </c>
      <c r="D4238" s="440">
        <v>1</v>
      </c>
      <c r="E4238" s="439">
        <v>2</v>
      </c>
      <c r="F4238" s="1350">
        <v>2.21</v>
      </c>
      <c r="G4238" s="1350">
        <v>0.23</v>
      </c>
      <c r="H4238" s="1350">
        <v>0.2</v>
      </c>
      <c r="I4238" s="399">
        <f t="shared" si="144"/>
        <v>0.2</v>
      </c>
      <c r="J4238" s="442"/>
      <c r="K4238" s="1263"/>
      <c r="L4238" s="461"/>
      <c r="M4238" s="461"/>
      <c r="N4238" s="461"/>
    </row>
    <row r="4239" spans="1:14" s="462" customFormat="1" hidden="1" outlineLevel="1">
      <c r="A4239" s="1261"/>
      <c r="B4239" s="260"/>
      <c r="C4239" s="457"/>
      <c r="D4239" s="440"/>
      <c r="E4239" s="439"/>
      <c r="F4239" s="1350"/>
      <c r="G4239" s="1350"/>
      <c r="H4239" s="1350"/>
      <c r="I4239" s="399" t="str">
        <f t="shared" si="144"/>
        <v/>
      </c>
      <c r="J4239" s="442"/>
      <c r="K4239" s="1263"/>
      <c r="L4239" s="461"/>
      <c r="M4239" s="461"/>
      <c r="N4239" s="461"/>
    </row>
    <row r="4240" spans="1:14" s="462" customFormat="1" hidden="1" outlineLevel="1">
      <c r="A4240" s="1261"/>
      <c r="B4240" s="260"/>
      <c r="C4240" s="457" t="s">
        <v>2</v>
      </c>
      <c r="D4240" s="440">
        <v>1</v>
      </c>
      <c r="E4240" s="439">
        <v>2</v>
      </c>
      <c r="F4240" s="1350">
        <v>2.5150000000000001</v>
      </c>
      <c r="G4240" s="1350">
        <v>0.23</v>
      </c>
      <c r="H4240" s="1350">
        <v>0.2</v>
      </c>
      <c r="I4240" s="399">
        <f t="shared" si="144"/>
        <v>0.23</v>
      </c>
      <c r="J4240" s="442"/>
      <c r="K4240" s="1263"/>
      <c r="L4240" s="461"/>
      <c r="M4240" s="461"/>
      <c r="N4240" s="461"/>
    </row>
    <row r="4241" spans="1:14" s="462" customFormat="1" hidden="1" outlineLevel="1">
      <c r="A4241" s="1261"/>
      <c r="B4241" s="260"/>
      <c r="C4241" s="457"/>
      <c r="D4241" s="440"/>
      <c r="E4241" s="439"/>
      <c r="F4241" s="1350"/>
      <c r="G4241" s="1350"/>
      <c r="H4241" s="1350"/>
      <c r="I4241" s="399" t="str">
        <f t="shared" si="144"/>
        <v/>
      </c>
      <c r="J4241" s="442"/>
      <c r="K4241" s="1263"/>
      <c r="L4241" s="461"/>
      <c r="M4241" s="461"/>
      <c r="N4241" s="461"/>
    </row>
    <row r="4242" spans="1:14" s="462" customFormat="1" hidden="1" outlineLevel="1">
      <c r="A4242" s="1261"/>
      <c r="B4242" s="260"/>
      <c r="C4242" s="457" t="s">
        <v>2</v>
      </c>
      <c r="D4242" s="440">
        <v>1</v>
      </c>
      <c r="E4242" s="439">
        <v>1</v>
      </c>
      <c r="F4242" s="1350">
        <v>3.0549999999999997</v>
      </c>
      <c r="G4242" s="1350">
        <v>0.23</v>
      </c>
      <c r="H4242" s="1350">
        <v>0.2</v>
      </c>
      <c r="I4242" s="399">
        <f t="shared" si="144"/>
        <v>0.14000000000000001</v>
      </c>
      <c r="J4242" s="442"/>
      <c r="K4242" s="1263"/>
      <c r="L4242" s="461"/>
      <c r="M4242" s="461"/>
      <c r="N4242" s="461"/>
    </row>
    <row r="4243" spans="1:14" s="462" customFormat="1" hidden="1" outlineLevel="1">
      <c r="A4243" s="1261"/>
      <c r="B4243" s="260"/>
      <c r="C4243" s="457"/>
      <c r="D4243" s="440"/>
      <c r="E4243" s="439"/>
      <c r="F4243" s="1350"/>
      <c r="G4243" s="1350"/>
      <c r="H4243" s="1350"/>
      <c r="I4243" s="399" t="str">
        <f t="shared" si="144"/>
        <v/>
      </c>
      <c r="J4243" s="442"/>
      <c r="K4243" s="1263"/>
      <c r="L4243" s="461"/>
      <c r="M4243" s="461"/>
      <c r="N4243" s="461"/>
    </row>
    <row r="4244" spans="1:14" s="462" customFormat="1" hidden="1" outlineLevel="1">
      <c r="A4244" s="1261"/>
      <c r="B4244" s="260"/>
      <c r="C4244" s="457" t="s">
        <v>2</v>
      </c>
      <c r="D4244" s="440">
        <v>1</v>
      </c>
      <c r="E4244" s="439">
        <v>1</v>
      </c>
      <c r="F4244" s="1350">
        <v>3.165</v>
      </c>
      <c r="G4244" s="1350">
        <v>0.23</v>
      </c>
      <c r="H4244" s="1350">
        <v>0.2</v>
      </c>
      <c r="I4244" s="399">
        <f t="shared" si="144"/>
        <v>0.15</v>
      </c>
      <c r="J4244" s="442"/>
      <c r="K4244" s="1263"/>
      <c r="L4244" s="461"/>
      <c r="M4244" s="461"/>
      <c r="N4244" s="461"/>
    </row>
    <row r="4245" spans="1:14" s="462" customFormat="1" hidden="1" outlineLevel="1">
      <c r="A4245" s="1261"/>
      <c r="B4245" s="260"/>
      <c r="C4245" s="457"/>
      <c r="D4245" s="440"/>
      <c r="E4245" s="439"/>
      <c r="F4245" s="1350"/>
      <c r="G4245" s="1350"/>
      <c r="H4245" s="1350"/>
      <c r="I4245" s="399" t="str">
        <f t="shared" si="144"/>
        <v/>
      </c>
      <c r="J4245" s="442"/>
      <c r="K4245" s="1263"/>
      <c r="L4245" s="461"/>
      <c r="M4245" s="461"/>
      <c r="N4245" s="461"/>
    </row>
    <row r="4246" spans="1:14" s="462" customFormat="1" hidden="1" outlineLevel="1">
      <c r="A4246" s="1261"/>
      <c r="B4246" s="260"/>
      <c r="C4246" s="457" t="s">
        <v>2</v>
      </c>
      <c r="D4246" s="440">
        <v>1</v>
      </c>
      <c r="E4246" s="439">
        <v>1</v>
      </c>
      <c r="F4246" s="1350">
        <v>1.4749999999999999</v>
      </c>
      <c r="G4246" s="1350">
        <v>0.23</v>
      </c>
      <c r="H4246" s="1350">
        <v>0.2</v>
      </c>
      <c r="I4246" s="399">
        <f t="shared" si="144"/>
        <v>7.0000000000000007E-2</v>
      </c>
      <c r="J4246" s="442"/>
      <c r="K4246" s="1263"/>
      <c r="L4246" s="461"/>
      <c r="M4246" s="461"/>
      <c r="N4246" s="461"/>
    </row>
    <row r="4247" spans="1:14" s="462" customFormat="1" hidden="1" outlineLevel="1">
      <c r="A4247" s="1261"/>
      <c r="B4247" s="260"/>
      <c r="C4247" s="457"/>
      <c r="D4247" s="440"/>
      <c r="E4247" s="439"/>
      <c r="F4247" s="1350"/>
      <c r="G4247" s="1350"/>
      <c r="H4247" s="1350"/>
      <c r="I4247" s="399" t="str">
        <f t="shared" si="144"/>
        <v/>
      </c>
      <c r="J4247" s="442"/>
      <c r="K4247" s="1263"/>
      <c r="L4247" s="461"/>
      <c r="M4247" s="461"/>
      <c r="N4247" s="461"/>
    </row>
    <row r="4248" spans="1:14" s="462" customFormat="1" hidden="1" outlineLevel="1">
      <c r="A4248" s="1261"/>
      <c r="B4248" s="260"/>
      <c r="C4248" s="457"/>
      <c r="D4248" s="440"/>
      <c r="E4248" s="439"/>
      <c r="F4248" s="1350"/>
      <c r="G4248" s="1350"/>
      <c r="H4248" s="1350"/>
      <c r="I4248" s="399" t="str">
        <f t="shared" si="144"/>
        <v/>
      </c>
      <c r="J4248" s="442"/>
      <c r="K4248" s="1263"/>
      <c r="L4248" s="461"/>
      <c r="M4248" s="461"/>
      <c r="N4248" s="461"/>
    </row>
    <row r="4249" spans="1:14" s="462" customFormat="1" ht="34.5" hidden="1" outlineLevel="1">
      <c r="A4249" s="1261"/>
      <c r="B4249" s="260" t="s">
        <v>360</v>
      </c>
      <c r="C4249" s="457"/>
      <c r="D4249" s="440"/>
      <c r="E4249" s="439"/>
      <c r="F4249" s="1350"/>
      <c r="G4249" s="1350"/>
      <c r="H4249" s="1350"/>
      <c r="I4249" s="399" t="str">
        <f t="shared" si="144"/>
        <v/>
      </c>
      <c r="J4249" s="442"/>
      <c r="K4249" s="1263"/>
      <c r="L4249" s="461"/>
      <c r="M4249" s="461"/>
      <c r="N4249" s="461"/>
    </row>
    <row r="4250" spans="1:14" s="462" customFormat="1" ht="34.5" hidden="1" outlineLevel="1">
      <c r="A4250" s="1261"/>
      <c r="B4250" s="260" t="s">
        <v>361</v>
      </c>
      <c r="C4250" s="457" t="s">
        <v>2</v>
      </c>
      <c r="D4250" s="440">
        <v>1</v>
      </c>
      <c r="E4250" s="439">
        <v>1</v>
      </c>
      <c r="F4250" s="1350">
        <v>34.935000000000002</v>
      </c>
      <c r="G4250" s="1350">
        <v>0.23</v>
      </c>
      <c r="H4250" s="1350">
        <v>0.2</v>
      </c>
      <c r="I4250" s="399">
        <f t="shared" si="144"/>
        <v>1.61</v>
      </c>
      <c r="J4250" s="442"/>
      <c r="K4250" s="1263"/>
      <c r="L4250" s="461"/>
      <c r="M4250" s="461"/>
      <c r="N4250" s="461"/>
    </row>
    <row r="4251" spans="1:14" s="462" customFormat="1" hidden="1" outlineLevel="1">
      <c r="A4251" s="1261"/>
      <c r="B4251" s="260"/>
      <c r="C4251" s="457"/>
      <c r="D4251" s="440"/>
      <c r="E4251" s="439"/>
      <c r="F4251" s="1350"/>
      <c r="G4251" s="1350"/>
      <c r="H4251" s="1350"/>
      <c r="I4251" s="399" t="str">
        <f t="shared" si="144"/>
        <v/>
      </c>
      <c r="J4251" s="442"/>
      <c r="K4251" s="1263"/>
      <c r="L4251" s="461"/>
      <c r="M4251" s="461"/>
      <c r="N4251" s="461"/>
    </row>
    <row r="4252" spans="1:14" s="462" customFormat="1" ht="34.5" hidden="1" outlineLevel="1">
      <c r="A4252" s="1261"/>
      <c r="B4252" s="260" t="s">
        <v>362</v>
      </c>
      <c r="C4252" s="457" t="s">
        <v>2</v>
      </c>
      <c r="D4252" s="440">
        <v>1</v>
      </c>
      <c r="E4252" s="439">
        <v>1</v>
      </c>
      <c r="F4252" s="1350">
        <v>15</v>
      </c>
      <c r="G4252" s="1350">
        <v>0.23</v>
      </c>
      <c r="H4252" s="1350">
        <v>0.2</v>
      </c>
      <c r="I4252" s="399">
        <f t="shared" si="144"/>
        <v>0.69</v>
      </c>
      <c r="J4252" s="442"/>
      <c r="K4252" s="1263"/>
      <c r="L4252" s="461"/>
      <c r="M4252" s="461"/>
      <c r="N4252" s="461"/>
    </row>
    <row r="4253" spans="1:14" s="462" customFormat="1" hidden="1" outlineLevel="1">
      <c r="A4253" s="1261"/>
      <c r="B4253" s="260"/>
      <c r="C4253" s="457"/>
      <c r="D4253" s="440"/>
      <c r="E4253" s="439"/>
      <c r="F4253" s="1350"/>
      <c r="G4253" s="1350"/>
      <c r="H4253" s="1350"/>
      <c r="I4253" s="399" t="str">
        <f t="shared" si="144"/>
        <v/>
      </c>
      <c r="J4253" s="442"/>
      <c r="K4253" s="1263"/>
      <c r="L4253" s="461"/>
      <c r="M4253" s="461"/>
      <c r="N4253" s="461"/>
    </row>
    <row r="4254" spans="1:14" s="462" customFormat="1" ht="34.5" hidden="1" outlineLevel="1">
      <c r="A4254" s="1261"/>
      <c r="B4254" s="260" t="s">
        <v>363</v>
      </c>
      <c r="C4254" s="457"/>
      <c r="D4254" s="440"/>
      <c r="E4254" s="439"/>
      <c r="F4254" s="1350"/>
      <c r="G4254" s="1350"/>
      <c r="H4254" s="1350"/>
      <c r="I4254" s="399" t="str">
        <f t="shared" si="144"/>
        <v/>
      </c>
      <c r="J4254" s="442"/>
      <c r="K4254" s="1263"/>
      <c r="L4254" s="461"/>
      <c r="M4254" s="461"/>
      <c r="N4254" s="461"/>
    </row>
    <row r="4255" spans="1:14" s="462" customFormat="1" hidden="1" outlineLevel="1">
      <c r="A4255" s="1261"/>
      <c r="B4255" s="260" t="s">
        <v>251</v>
      </c>
      <c r="C4255" s="457" t="s">
        <v>2</v>
      </c>
      <c r="D4255" s="440">
        <v>1</v>
      </c>
      <c r="E4255" s="439">
        <v>2</v>
      </c>
      <c r="F4255" s="1350">
        <v>28</v>
      </c>
      <c r="G4255" s="1350">
        <v>0.23</v>
      </c>
      <c r="H4255" s="1350">
        <v>0.2</v>
      </c>
      <c r="I4255" s="399">
        <f t="shared" si="144"/>
        <v>2.58</v>
      </c>
      <c r="J4255" s="442"/>
      <c r="K4255" s="1263"/>
      <c r="L4255" s="461"/>
      <c r="M4255" s="461"/>
      <c r="N4255" s="461"/>
    </row>
    <row r="4256" spans="1:14" s="462" customFormat="1" hidden="1" outlineLevel="1">
      <c r="A4256" s="1261"/>
      <c r="B4256" s="260"/>
      <c r="C4256" s="457"/>
      <c r="D4256" s="440"/>
      <c r="E4256" s="439"/>
      <c r="F4256" s="1350"/>
      <c r="G4256" s="1350"/>
      <c r="H4256" s="1350"/>
      <c r="I4256" s="399" t="str">
        <f t="shared" si="144"/>
        <v/>
      </c>
      <c r="J4256" s="442"/>
      <c r="K4256" s="1263"/>
      <c r="L4256" s="461"/>
      <c r="M4256" s="461"/>
      <c r="N4256" s="461"/>
    </row>
    <row r="4257" spans="1:14" s="462" customFormat="1" hidden="1" outlineLevel="1">
      <c r="A4257" s="1261"/>
      <c r="B4257" s="260" t="s">
        <v>131</v>
      </c>
      <c r="C4257" s="457" t="s">
        <v>2</v>
      </c>
      <c r="D4257" s="440">
        <v>1</v>
      </c>
      <c r="E4257" s="439">
        <v>2</v>
      </c>
      <c r="F4257" s="1350">
        <v>14.74</v>
      </c>
      <c r="G4257" s="1350">
        <v>0.23</v>
      </c>
      <c r="H4257" s="1350">
        <v>0.2</v>
      </c>
      <c r="I4257" s="399">
        <f t="shared" si="144"/>
        <v>1.36</v>
      </c>
      <c r="J4257" s="442"/>
      <c r="K4257" s="1263"/>
      <c r="L4257" s="461"/>
      <c r="M4257" s="461"/>
      <c r="N4257" s="461"/>
    </row>
    <row r="4258" spans="1:14" s="462" customFormat="1" hidden="1" outlineLevel="1">
      <c r="A4258" s="1261"/>
      <c r="B4258" s="260"/>
      <c r="C4258" s="457"/>
      <c r="D4258" s="440"/>
      <c r="E4258" s="439"/>
      <c r="F4258" s="1350"/>
      <c r="G4258" s="1350"/>
      <c r="H4258" s="1350"/>
      <c r="I4258" s="399" t="str">
        <f t="shared" si="144"/>
        <v/>
      </c>
      <c r="J4258" s="442"/>
      <c r="K4258" s="1263"/>
      <c r="L4258" s="461"/>
      <c r="M4258" s="461"/>
      <c r="N4258" s="461"/>
    </row>
    <row r="4259" spans="1:14" s="462" customFormat="1" hidden="1" outlineLevel="1">
      <c r="A4259" s="1261"/>
      <c r="B4259" s="260" t="s">
        <v>140</v>
      </c>
      <c r="C4259" s="457" t="s">
        <v>2</v>
      </c>
      <c r="D4259" s="440">
        <v>1</v>
      </c>
      <c r="E4259" s="439">
        <v>2</v>
      </c>
      <c r="F4259" s="1350">
        <v>3.3</v>
      </c>
      <c r="G4259" s="1350">
        <v>0.23</v>
      </c>
      <c r="H4259" s="1350">
        <v>0.2</v>
      </c>
      <c r="I4259" s="399">
        <f t="shared" si="144"/>
        <v>0.3</v>
      </c>
      <c r="J4259" s="442"/>
      <c r="K4259" s="1263"/>
      <c r="L4259" s="461"/>
      <c r="M4259" s="461"/>
      <c r="N4259" s="461"/>
    </row>
    <row r="4260" spans="1:14" s="462" customFormat="1" hidden="1" outlineLevel="1">
      <c r="A4260" s="1261"/>
      <c r="B4260" s="260"/>
      <c r="C4260" s="457"/>
      <c r="D4260" s="440"/>
      <c r="E4260" s="439"/>
      <c r="F4260" s="1350"/>
      <c r="G4260" s="1350"/>
      <c r="H4260" s="1350"/>
      <c r="I4260" s="399" t="str">
        <f t="shared" si="144"/>
        <v/>
      </c>
      <c r="J4260" s="442"/>
      <c r="K4260" s="1263"/>
      <c r="L4260" s="461"/>
      <c r="M4260" s="461"/>
      <c r="N4260" s="461"/>
    </row>
    <row r="4261" spans="1:14" s="462" customFormat="1" hidden="1" outlineLevel="1">
      <c r="A4261" s="1261"/>
      <c r="B4261" s="260"/>
      <c r="C4261" s="457"/>
      <c r="D4261" s="440"/>
      <c r="E4261" s="439"/>
      <c r="F4261" s="1350"/>
      <c r="G4261" s="1350"/>
      <c r="H4261" s="1350"/>
      <c r="I4261" s="399" t="str">
        <f t="shared" ref="I4261:I4324" si="145">IF(D4261&lt;&gt;0,ROUND(PRODUCT(E4261:H4261)*D4261,2),"")</f>
        <v/>
      </c>
      <c r="J4261" s="442"/>
      <c r="K4261" s="1263"/>
      <c r="L4261" s="461"/>
      <c r="M4261" s="461"/>
      <c r="N4261" s="461"/>
    </row>
    <row r="4262" spans="1:14" s="462" customFormat="1" ht="34.5" hidden="1" outlineLevel="1">
      <c r="A4262" s="1261"/>
      <c r="B4262" s="260" t="s">
        <v>364</v>
      </c>
      <c r="C4262" s="457"/>
      <c r="D4262" s="440"/>
      <c r="E4262" s="439"/>
      <c r="F4262" s="1350"/>
      <c r="G4262" s="1350"/>
      <c r="H4262" s="1350"/>
      <c r="I4262" s="399" t="str">
        <f t="shared" si="145"/>
        <v/>
      </c>
      <c r="J4262" s="442"/>
      <c r="K4262" s="1263"/>
      <c r="L4262" s="461"/>
      <c r="M4262" s="461"/>
      <c r="N4262" s="461"/>
    </row>
    <row r="4263" spans="1:14" s="462" customFormat="1" hidden="1" outlineLevel="1">
      <c r="A4263" s="1261"/>
      <c r="B4263" s="260"/>
      <c r="C4263" s="457"/>
      <c r="D4263" s="440"/>
      <c r="E4263" s="439"/>
      <c r="F4263" s="1350"/>
      <c r="G4263" s="1350"/>
      <c r="H4263" s="1350"/>
      <c r="I4263" s="399" t="str">
        <f t="shared" si="145"/>
        <v/>
      </c>
      <c r="J4263" s="442"/>
      <c r="K4263" s="1263"/>
      <c r="L4263" s="461"/>
      <c r="M4263" s="461"/>
      <c r="N4263" s="461"/>
    </row>
    <row r="4264" spans="1:14" s="462" customFormat="1" hidden="1" outlineLevel="1">
      <c r="A4264" s="1261"/>
      <c r="B4264" s="260" t="s">
        <v>146</v>
      </c>
      <c r="C4264" s="457" t="s">
        <v>2</v>
      </c>
      <c r="D4264" s="440">
        <v>1</v>
      </c>
      <c r="E4264" s="439">
        <v>1</v>
      </c>
      <c r="F4264" s="1350">
        <v>31.4</v>
      </c>
      <c r="G4264" s="1350">
        <v>0.23</v>
      </c>
      <c r="H4264" s="1350">
        <v>0.2</v>
      </c>
      <c r="I4264" s="399">
        <f t="shared" si="145"/>
        <v>1.44</v>
      </c>
      <c r="J4264" s="442"/>
      <c r="K4264" s="1263"/>
      <c r="L4264" s="461"/>
      <c r="M4264" s="461"/>
      <c r="N4264" s="461"/>
    </row>
    <row r="4265" spans="1:14" s="462" customFormat="1" hidden="1" outlineLevel="1">
      <c r="A4265" s="1261"/>
      <c r="B4265" s="260"/>
      <c r="C4265" s="457"/>
      <c r="D4265" s="440"/>
      <c r="E4265" s="439"/>
      <c r="F4265" s="1350"/>
      <c r="G4265" s="1350"/>
      <c r="H4265" s="1350"/>
      <c r="I4265" s="399" t="str">
        <f t="shared" si="145"/>
        <v/>
      </c>
      <c r="J4265" s="442"/>
      <c r="K4265" s="1263"/>
      <c r="L4265" s="461"/>
      <c r="M4265" s="461"/>
      <c r="N4265" s="461"/>
    </row>
    <row r="4266" spans="1:14" s="462" customFormat="1" hidden="1" outlineLevel="1">
      <c r="A4266" s="1261"/>
      <c r="B4266" s="260" t="s">
        <v>147</v>
      </c>
      <c r="C4266" s="457" t="s">
        <v>2</v>
      </c>
      <c r="D4266" s="440">
        <v>1</v>
      </c>
      <c r="E4266" s="439">
        <v>1</v>
      </c>
      <c r="F4266" s="1350">
        <v>42.55</v>
      </c>
      <c r="G4266" s="1350">
        <v>0.23</v>
      </c>
      <c r="H4266" s="1350">
        <v>0.2</v>
      </c>
      <c r="I4266" s="399">
        <f t="shared" si="145"/>
        <v>1.96</v>
      </c>
      <c r="J4266" s="442"/>
      <c r="K4266" s="1263"/>
      <c r="L4266" s="461"/>
      <c r="M4266" s="461"/>
      <c r="N4266" s="461"/>
    </row>
    <row r="4267" spans="1:14" s="462" customFormat="1" hidden="1" outlineLevel="1">
      <c r="A4267" s="1261"/>
      <c r="B4267" s="260" t="s">
        <v>365</v>
      </c>
      <c r="C4267" s="457"/>
      <c r="D4267" s="440"/>
      <c r="E4267" s="439"/>
      <c r="F4267" s="1350"/>
      <c r="G4267" s="1350"/>
      <c r="H4267" s="1350"/>
      <c r="I4267" s="399" t="str">
        <f t="shared" si="145"/>
        <v/>
      </c>
      <c r="J4267" s="442"/>
      <c r="K4267" s="1263"/>
      <c r="L4267" s="461"/>
      <c r="M4267" s="461"/>
      <c r="N4267" s="461"/>
    </row>
    <row r="4268" spans="1:14" s="462" customFormat="1" hidden="1" outlineLevel="1">
      <c r="A4268" s="1261"/>
      <c r="B4268" s="260"/>
      <c r="C4268" s="457"/>
      <c r="D4268" s="440"/>
      <c r="E4268" s="439"/>
      <c r="F4268" s="1350"/>
      <c r="G4268" s="1350"/>
      <c r="H4268" s="1350"/>
      <c r="I4268" s="399" t="str">
        <f t="shared" si="145"/>
        <v/>
      </c>
      <c r="J4268" s="442"/>
      <c r="K4268" s="1263"/>
      <c r="L4268" s="461"/>
      <c r="M4268" s="461"/>
      <c r="N4268" s="461"/>
    </row>
    <row r="4269" spans="1:14" s="462" customFormat="1" ht="34.5" hidden="1" outlineLevel="1">
      <c r="A4269" s="1261"/>
      <c r="B4269" s="260" t="s">
        <v>366</v>
      </c>
      <c r="C4269" s="457" t="s">
        <v>2</v>
      </c>
      <c r="D4269" s="440">
        <v>1</v>
      </c>
      <c r="E4269" s="439">
        <v>2</v>
      </c>
      <c r="F4269" s="1350">
        <v>29.78</v>
      </c>
      <c r="G4269" s="1350">
        <v>0.23</v>
      </c>
      <c r="H4269" s="1350">
        <v>0.2</v>
      </c>
      <c r="I4269" s="399">
        <f t="shared" si="145"/>
        <v>2.74</v>
      </c>
      <c r="J4269" s="442"/>
      <c r="K4269" s="1263"/>
      <c r="L4269" s="461"/>
      <c r="M4269" s="461"/>
      <c r="N4269" s="461"/>
    </row>
    <row r="4270" spans="1:14" s="462" customFormat="1" hidden="1" outlineLevel="1">
      <c r="A4270" s="1261"/>
      <c r="B4270" s="260"/>
      <c r="C4270" s="457"/>
      <c r="D4270" s="440"/>
      <c r="E4270" s="439"/>
      <c r="F4270" s="1350"/>
      <c r="G4270" s="1350"/>
      <c r="H4270" s="1350"/>
      <c r="I4270" s="399" t="str">
        <f t="shared" si="145"/>
        <v/>
      </c>
      <c r="J4270" s="442"/>
      <c r="K4270" s="1263"/>
      <c r="L4270" s="461"/>
      <c r="M4270" s="461"/>
      <c r="N4270" s="461"/>
    </row>
    <row r="4271" spans="1:14" s="462" customFormat="1" hidden="1" outlineLevel="1">
      <c r="A4271" s="1261"/>
      <c r="B4271" s="260"/>
      <c r="C4271" s="457" t="s">
        <v>2</v>
      </c>
      <c r="D4271" s="440">
        <v>1</v>
      </c>
      <c r="E4271" s="439">
        <v>2</v>
      </c>
      <c r="F4271" s="1350">
        <v>0.67</v>
      </c>
      <c r="G4271" s="1350">
        <v>0.23</v>
      </c>
      <c r="H4271" s="1350">
        <v>0.2</v>
      </c>
      <c r="I4271" s="399">
        <f t="shared" si="145"/>
        <v>0.06</v>
      </c>
      <c r="J4271" s="442"/>
      <c r="K4271" s="1263"/>
      <c r="L4271" s="461"/>
      <c r="M4271" s="461"/>
      <c r="N4271" s="461"/>
    </row>
    <row r="4272" spans="1:14" s="462" customFormat="1" ht="34.5" hidden="1" outlineLevel="1">
      <c r="A4272" s="1261"/>
      <c r="B4272" s="260" t="s">
        <v>367</v>
      </c>
      <c r="C4272" s="457"/>
      <c r="D4272" s="440"/>
      <c r="E4272" s="439"/>
      <c r="F4272" s="1350"/>
      <c r="G4272" s="1350"/>
      <c r="H4272" s="1350"/>
      <c r="I4272" s="399" t="str">
        <f t="shared" si="145"/>
        <v/>
      </c>
      <c r="J4272" s="442"/>
      <c r="K4272" s="1263"/>
      <c r="L4272" s="461"/>
      <c r="M4272" s="461"/>
      <c r="N4272" s="461"/>
    </row>
    <row r="4273" spans="1:14" s="462" customFormat="1" hidden="1" outlineLevel="1">
      <c r="A4273" s="1261"/>
      <c r="B4273" s="260"/>
      <c r="C4273" s="457"/>
      <c r="D4273" s="440"/>
      <c r="E4273" s="439"/>
      <c r="F4273" s="1350"/>
      <c r="G4273" s="1350"/>
      <c r="H4273" s="1350"/>
      <c r="I4273" s="399" t="str">
        <f t="shared" si="145"/>
        <v/>
      </c>
      <c r="J4273" s="442"/>
      <c r="K4273" s="1263"/>
      <c r="L4273" s="461"/>
      <c r="M4273" s="461"/>
      <c r="N4273" s="461"/>
    </row>
    <row r="4274" spans="1:14" s="462" customFormat="1" hidden="1" outlineLevel="1">
      <c r="A4274" s="1261"/>
      <c r="B4274" s="260"/>
      <c r="C4274" s="457" t="s">
        <v>2</v>
      </c>
      <c r="D4274" s="440">
        <v>1</v>
      </c>
      <c r="E4274" s="439">
        <v>2</v>
      </c>
      <c r="F4274" s="1350">
        <v>5.5549999999999997</v>
      </c>
      <c r="G4274" s="1350">
        <v>0.23</v>
      </c>
      <c r="H4274" s="1350">
        <v>0.2</v>
      </c>
      <c r="I4274" s="399">
        <f t="shared" si="145"/>
        <v>0.51</v>
      </c>
      <c r="J4274" s="442"/>
      <c r="K4274" s="1263"/>
      <c r="L4274" s="461"/>
      <c r="M4274" s="461"/>
      <c r="N4274" s="461"/>
    </row>
    <row r="4275" spans="1:14" s="462" customFormat="1" hidden="1" outlineLevel="1">
      <c r="A4275" s="1261"/>
      <c r="B4275" s="260"/>
      <c r="C4275" s="457"/>
      <c r="D4275" s="440"/>
      <c r="E4275" s="439"/>
      <c r="F4275" s="1350"/>
      <c r="G4275" s="1350"/>
      <c r="H4275" s="1350"/>
      <c r="I4275" s="399" t="str">
        <f t="shared" si="145"/>
        <v/>
      </c>
      <c r="J4275" s="442"/>
      <c r="K4275" s="1263"/>
      <c r="L4275" s="461"/>
      <c r="M4275" s="461"/>
      <c r="N4275" s="461"/>
    </row>
    <row r="4276" spans="1:14" s="462" customFormat="1" hidden="1" outlineLevel="1">
      <c r="A4276" s="1261"/>
      <c r="B4276" s="260"/>
      <c r="C4276" s="457" t="s">
        <v>2</v>
      </c>
      <c r="D4276" s="440">
        <v>1</v>
      </c>
      <c r="E4276" s="439">
        <v>2</v>
      </c>
      <c r="F4276" s="1350">
        <v>1.2649999999999999</v>
      </c>
      <c r="G4276" s="1350">
        <v>0.23</v>
      </c>
      <c r="H4276" s="1350">
        <v>0.2</v>
      </c>
      <c r="I4276" s="399">
        <f t="shared" si="145"/>
        <v>0.12</v>
      </c>
      <c r="J4276" s="442"/>
      <c r="K4276" s="1263"/>
      <c r="L4276" s="461"/>
      <c r="M4276" s="461"/>
      <c r="N4276" s="461"/>
    </row>
    <row r="4277" spans="1:14" s="462" customFormat="1" hidden="1" outlineLevel="1">
      <c r="A4277" s="1261"/>
      <c r="B4277" s="260"/>
      <c r="C4277" s="457"/>
      <c r="D4277" s="440"/>
      <c r="E4277" s="439"/>
      <c r="F4277" s="1350"/>
      <c r="G4277" s="1350"/>
      <c r="H4277" s="1350"/>
      <c r="I4277" s="399" t="str">
        <f t="shared" si="145"/>
        <v/>
      </c>
      <c r="J4277" s="442"/>
      <c r="K4277" s="1263"/>
      <c r="L4277" s="461"/>
      <c r="M4277" s="461"/>
      <c r="N4277" s="461"/>
    </row>
    <row r="4278" spans="1:14" s="462" customFormat="1" hidden="1" outlineLevel="1">
      <c r="A4278" s="1261"/>
      <c r="B4278" s="260"/>
      <c r="C4278" s="457" t="s">
        <v>2</v>
      </c>
      <c r="D4278" s="440">
        <v>1</v>
      </c>
      <c r="E4278" s="439">
        <v>2</v>
      </c>
      <c r="F4278" s="1350">
        <v>6.38</v>
      </c>
      <c r="G4278" s="1350">
        <v>0.23</v>
      </c>
      <c r="H4278" s="1350">
        <v>0.2</v>
      </c>
      <c r="I4278" s="399">
        <f t="shared" si="145"/>
        <v>0.59</v>
      </c>
      <c r="J4278" s="442"/>
      <c r="K4278" s="1263"/>
      <c r="L4278" s="461"/>
      <c r="M4278" s="461"/>
      <c r="N4278" s="461"/>
    </row>
    <row r="4279" spans="1:14" s="462" customFormat="1" hidden="1" outlineLevel="1">
      <c r="A4279" s="1261"/>
      <c r="B4279" s="260"/>
      <c r="C4279" s="457"/>
      <c r="D4279" s="440"/>
      <c r="E4279" s="439"/>
      <c r="F4279" s="1350"/>
      <c r="G4279" s="1350"/>
      <c r="H4279" s="1350"/>
      <c r="I4279" s="399" t="str">
        <f t="shared" si="145"/>
        <v/>
      </c>
      <c r="J4279" s="442"/>
      <c r="K4279" s="1263"/>
      <c r="L4279" s="461"/>
      <c r="M4279" s="461"/>
      <c r="N4279" s="461"/>
    </row>
    <row r="4280" spans="1:14" s="462" customFormat="1" hidden="1" outlineLevel="1">
      <c r="A4280" s="1261"/>
      <c r="B4280" s="260"/>
      <c r="C4280" s="457" t="s">
        <v>2</v>
      </c>
      <c r="D4280" s="440">
        <v>1</v>
      </c>
      <c r="E4280" s="439">
        <v>2</v>
      </c>
      <c r="F4280" s="1350">
        <v>1.2649999999999999</v>
      </c>
      <c r="G4280" s="1350">
        <v>0.23</v>
      </c>
      <c r="H4280" s="1350">
        <v>0.2</v>
      </c>
      <c r="I4280" s="399">
        <f t="shared" si="145"/>
        <v>0.12</v>
      </c>
      <c r="J4280" s="442"/>
      <c r="K4280" s="1263"/>
      <c r="L4280" s="461"/>
      <c r="M4280" s="461"/>
      <c r="N4280" s="461"/>
    </row>
    <row r="4281" spans="1:14" s="462" customFormat="1" hidden="1" outlineLevel="1">
      <c r="A4281" s="1261"/>
      <c r="B4281" s="260"/>
      <c r="C4281" s="457"/>
      <c r="D4281" s="440"/>
      <c r="E4281" s="439"/>
      <c r="F4281" s="1350"/>
      <c r="G4281" s="1350"/>
      <c r="H4281" s="1350"/>
      <c r="I4281" s="399" t="str">
        <f t="shared" si="145"/>
        <v/>
      </c>
      <c r="J4281" s="442"/>
      <c r="K4281" s="1263"/>
      <c r="L4281" s="461"/>
      <c r="M4281" s="461"/>
      <c r="N4281" s="461"/>
    </row>
    <row r="4282" spans="1:14" s="462" customFormat="1" ht="34.5" hidden="1" outlineLevel="1">
      <c r="A4282" s="1268"/>
      <c r="B4282" s="458" t="s">
        <v>368</v>
      </c>
      <c r="C4282" s="459"/>
      <c r="D4282" s="460"/>
      <c r="E4282" s="439"/>
      <c r="F4282" s="1350"/>
      <c r="G4282" s="1350"/>
      <c r="H4282" s="1350"/>
      <c r="I4282" s="399" t="str">
        <f t="shared" si="145"/>
        <v/>
      </c>
      <c r="J4282" s="442"/>
      <c r="K4282" s="1263"/>
      <c r="L4282" s="461"/>
      <c r="M4282" s="461"/>
      <c r="N4282" s="461"/>
    </row>
    <row r="4283" spans="1:14" s="462" customFormat="1" hidden="1" outlineLevel="1">
      <c r="A4283" s="1268"/>
      <c r="B4283" s="458"/>
      <c r="C4283" s="459"/>
      <c r="D4283" s="460"/>
      <c r="E4283" s="439"/>
      <c r="F4283" s="1350"/>
      <c r="G4283" s="1350"/>
      <c r="H4283" s="1350"/>
      <c r="I4283" s="399" t="str">
        <f t="shared" si="145"/>
        <v/>
      </c>
      <c r="J4283" s="442"/>
      <c r="K4283" s="1263"/>
      <c r="L4283" s="461"/>
      <c r="M4283" s="461"/>
      <c r="N4283" s="461"/>
    </row>
    <row r="4284" spans="1:14" s="462" customFormat="1" hidden="1" outlineLevel="1">
      <c r="A4284" s="1268"/>
      <c r="B4284" s="458"/>
      <c r="C4284" s="459" t="s">
        <v>2</v>
      </c>
      <c r="D4284" s="460">
        <v>1</v>
      </c>
      <c r="E4284" s="439">
        <v>4</v>
      </c>
      <c r="F4284" s="1350">
        <v>7.625</v>
      </c>
      <c r="G4284" s="1350">
        <v>0.23</v>
      </c>
      <c r="H4284" s="1350">
        <v>0.2</v>
      </c>
      <c r="I4284" s="399">
        <f t="shared" si="145"/>
        <v>1.4</v>
      </c>
      <c r="J4284" s="442"/>
      <c r="K4284" s="1263"/>
      <c r="L4284" s="461"/>
      <c r="M4284" s="461"/>
      <c r="N4284" s="461"/>
    </row>
    <row r="4285" spans="1:14" s="462" customFormat="1" hidden="1" outlineLevel="1">
      <c r="A4285" s="1268"/>
      <c r="B4285" s="458"/>
      <c r="C4285" s="459"/>
      <c r="D4285" s="460"/>
      <c r="E4285" s="439"/>
      <c r="F4285" s="1350"/>
      <c r="G4285" s="1350"/>
      <c r="H4285" s="1350"/>
      <c r="I4285" s="399" t="str">
        <f t="shared" si="145"/>
        <v/>
      </c>
      <c r="J4285" s="442"/>
      <c r="K4285" s="1263"/>
      <c r="L4285" s="461"/>
      <c r="M4285" s="461"/>
      <c r="N4285" s="461"/>
    </row>
    <row r="4286" spans="1:14" s="462" customFormat="1" ht="34.5" hidden="1" outlineLevel="1">
      <c r="A4286" s="1268"/>
      <c r="B4286" s="458" t="s">
        <v>369</v>
      </c>
      <c r="C4286" s="459"/>
      <c r="D4286" s="460"/>
      <c r="E4286" s="439"/>
      <c r="F4286" s="1350"/>
      <c r="G4286" s="1350"/>
      <c r="H4286" s="1350"/>
      <c r="I4286" s="399" t="str">
        <f t="shared" si="145"/>
        <v/>
      </c>
      <c r="J4286" s="442"/>
      <c r="K4286" s="1263"/>
      <c r="L4286" s="461"/>
      <c r="M4286" s="461"/>
      <c r="N4286" s="461"/>
    </row>
    <row r="4287" spans="1:14" s="462" customFormat="1" hidden="1" outlineLevel="1">
      <c r="A4287" s="1268"/>
      <c r="B4287" s="458"/>
      <c r="C4287" s="459"/>
      <c r="D4287" s="460"/>
      <c r="E4287" s="439"/>
      <c r="F4287" s="1350"/>
      <c r="G4287" s="1350"/>
      <c r="H4287" s="1350"/>
      <c r="I4287" s="399" t="str">
        <f t="shared" si="145"/>
        <v/>
      </c>
      <c r="J4287" s="442"/>
      <c r="K4287" s="1263"/>
      <c r="L4287" s="461"/>
      <c r="M4287" s="461"/>
      <c r="N4287" s="461"/>
    </row>
    <row r="4288" spans="1:14" s="462" customFormat="1" hidden="1" outlineLevel="1">
      <c r="A4288" s="1268"/>
      <c r="B4288" s="458"/>
      <c r="C4288" s="459" t="s">
        <v>2</v>
      </c>
      <c r="D4288" s="460">
        <v>1</v>
      </c>
      <c r="E4288" s="439">
        <v>8</v>
      </c>
      <c r="F4288" s="1350">
        <v>7.625</v>
      </c>
      <c r="G4288" s="1350">
        <v>0.23</v>
      </c>
      <c r="H4288" s="1350">
        <v>0.2</v>
      </c>
      <c r="I4288" s="399">
        <f t="shared" si="145"/>
        <v>2.81</v>
      </c>
      <c r="J4288" s="442"/>
      <c r="K4288" s="1263"/>
      <c r="L4288" s="461"/>
      <c r="M4288" s="461"/>
      <c r="N4288" s="461"/>
    </row>
    <row r="4289" spans="1:14" s="462" customFormat="1" hidden="1" outlineLevel="1">
      <c r="A4289" s="1268"/>
      <c r="B4289" s="458"/>
      <c r="C4289" s="459"/>
      <c r="D4289" s="460"/>
      <c r="E4289" s="439"/>
      <c r="F4289" s="1350"/>
      <c r="G4289" s="1350"/>
      <c r="H4289" s="1350"/>
      <c r="I4289" s="399" t="str">
        <f t="shared" si="145"/>
        <v/>
      </c>
      <c r="J4289" s="442"/>
      <c r="K4289" s="1263"/>
      <c r="L4289" s="461"/>
      <c r="M4289" s="461"/>
      <c r="N4289" s="461"/>
    </row>
    <row r="4290" spans="1:14" s="462" customFormat="1" hidden="1" outlineLevel="1">
      <c r="A4290" s="1268"/>
      <c r="B4290" s="458"/>
      <c r="C4290" s="459" t="s">
        <v>2</v>
      </c>
      <c r="D4290" s="460">
        <v>1</v>
      </c>
      <c r="E4290" s="439">
        <v>1</v>
      </c>
      <c r="F4290" s="1350">
        <v>9.9499999999999993</v>
      </c>
      <c r="G4290" s="1350">
        <v>0.23</v>
      </c>
      <c r="H4290" s="1350">
        <v>0.2</v>
      </c>
      <c r="I4290" s="399">
        <f t="shared" si="145"/>
        <v>0.46</v>
      </c>
      <c r="J4290" s="442"/>
      <c r="K4290" s="1263"/>
      <c r="L4290" s="461"/>
      <c r="M4290" s="461"/>
      <c r="N4290" s="461"/>
    </row>
    <row r="4291" spans="1:14" s="462" customFormat="1" hidden="1" outlineLevel="1">
      <c r="A4291" s="1268"/>
      <c r="B4291" s="458"/>
      <c r="C4291" s="459"/>
      <c r="D4291" s="460"/>
      <c r="E4291" s="439"/>
      <c r="F4291" s="1350"/>
      <c r="G4291" s="1350"/>
      <c r="H4291" s="1350"/>
      <c r="I4291" s="399" t="str">
        <f t="shared" si="145"/>
        <v/>
      </c>
      <c r="J4291" s="442"/>
      <c r="K4291" s="1263"/>
      <c r="L4291" s="461"/>
      <c r="M4291" s="461"/>
      <c r="N4291" s="461"/>
    </row>
    <row r="4292" spans="1:14" s="462" customFormat="1" ht="34.5" hidden="1" outlineLevel="1">
      <c r="A4292" s="1268"/>
      <c r="B4292" s="458" t="s">
        <v>370</v>
      </c>
      <c r="C4292" s="459"/>
      <c r="D4292" s="460"/>
      <c r="E4292" s="439"/>
      <c r="F4292" s="1350"/>
      <c r="G4292" s="1350"/>
      <c r="H4292" s="1350"/>
      <c r="I4292" s="399" t="str">
        <f t="shared" si="145"/>
        <v/>
      </c>
      <c r="J4292" s="442"/>
      <c r="K4292" s="1263"/>
      <c r="L4292" s="461"/>
      <c r="M4292" s="461"/>
      <c r="N4292" s="461"/>
    </row>
    <row r="4293" spans="1:14" s="462" customFormat="1" hidden="1" outlineLevel="1">
      <c r="A4293" s="1268"/>
      <c r="B4293" s="458"/>
      <c r="C4293" s="459"/>
      <c r="D4293" s="460"/>
      <c r="E4293" s="439"/>
      <c r="F4293" s="1350"/>
      <c r="G4293" s="1350"/>
      <c r="H4293" s="1350"/>
      <c r="I4293" s="399" t="str">
        <f t="shared" si="145"/>
        <v/>
      </c>
      <c r="J4293" s="442"/>
      <c r="K4293" s="1263"/>
      <c r="L4293" s="461"/>
      <c r="M4293" s="461"/>
      <c r="N4293" s="461"/>
    </row>
    <row r="4294" spans="1:14" s="462" customFormat="1" hidden="1" outlineLevel="1">
      <c r="A4294" s="1268"/>
      <c r="B4294" s="458" t="s">
        <v>263</v>
      </c>
      <c r="C4294" s="459" t="s">
        <v>2</v>
      </c>
      <c r="D4294" s="460">
        <v>1</v>
      </c>
      <c r="E4294" s="439">
        <v>6</v>
      </c>
      <c r="F4294" s="1350">
        <v>4.8000000000000007</v>
      </c>
      <c r="G4294" s="1350">
        <v>1.1499999999999999</v>
      </c>
      <c r="H4294" s="1350">
        <v>0.3</v>
      </c>
      <c r="I4294" s="399">
        <f t="shared" si="145"/>
        <v>9.94</v>
      </c>
      <c r="J4294" s="442"/>
      <c r="K4294" s="1263"/>
      <c r="L4294" s="461"/>
      <c r="M4294" s="461"/>
      <c r="N4294" s="461"/>
    </row>
    <row r="4295" spans="1:14" s="462" customFormat="1" hidden="1" outlineLevel="1">
      <c r="A4295" s="1268"/>
      <c r="B4295" s="458"/>
      <c r="C4295" s="459"/>
      <c r="D4295" s="460"/>
      <c r="E4295" s="439"/>
      <c r="F4295" s="1350"/>
      <c r="G4295" s="1350"/>
      <c r="H4295" s="1350"/>
      <c r="I4295" s="399" t="str">
        <f t="shared" si="145"/>
        <v/>
      </c>
      <c r="J4295" s="442"/>
      <c r="K4295" s="1263"/>
      <c r="L4295" s="461"/>
      <c r="M4295" s="461"/>
      <c r="N4295" s="461"/>
    </row>
    <row r="4296" spans="1:14" s="462" customFormat="1" hidden="1" outlineLevel="1">
      <c r="A4296" s="1268"/>
      <c r="B4296" s="458" t="s">
        <v>263</v>
      </c>
      <c r="C4296" s="459" t="s">
        <v>2</v>
      </c>
      <c r="D4296" s="460">
        <v>1</v>
      </c>
      <c r="E4296" s="439">
        <v>2</v>
      </c>
      <c r="F4296" s="1350">
        <v>4.8000000000000007</v>
      </c>
      <c r="G4296" s="1350">
        <v>1.2999999999999998</v>
      </c>
      <c r="H4296" s="1350">
        <v>0.3</v>
      </c>
      <c r="I4296" s="399">
        <f t="shared" si="145"/>
        <v>3.74</v>
      </c>
      <c r="J4296" s="442"/>
      <c r="K4296" s="1263"/>
      <c r="L4296" s="461"/>
      <c r="M4296" s="461"/>
      <c r="N4296" s="461"/>
    </row>
    <row r="4297" spans="1:14" s="462" customFormat="1" hidden="1" outlineLevel="1">
      <c r="A4297" s="1268"/>
      <c r="B4297" s="458"/>
      <c r="C4297" s="459"/>
      <c r="D4297" s="460"/>
      <c r="E4297" s="439"/>
      <c r="F4297" s="1350"/>
      <c r="G4297" s="1350"/>
      <c r="H4297" s="1350"/>
      <c r="I4297" s="399" t="str">
        <f t="shared" si="145"/>
        <v/>
      </c>
      <c r="J4297" s="442"/>
      <c r="K4297" s="1263"/>
      <c r="L4297" s="461"/>
      <c r="M4297" s="461"/>
      <c r="N4297" s="461"/>
    </row>
    <row r="4298" spans="1:14" s="462" customFormat="1" hidden="1" outlineLevel="1">
      <c r="A4298" s="1268"/>
      <c r="B4298" s="458" t="s">
        <v>371</v>
      </c>
      <c r="C4298" s="459" t="s">
        <v>2</v>
      </c>
      <c r="D4298" s="460">
        <v>8</v>
      </c>
      <c r="E4298" s="439">
        <v>2</v>
      </c>
      <c r="F4298" s="1350">
        <v>4.5</v>
      </c>
      <c r="G4298" s="1350">
        <v>0.2</v>
      </c>
      <c r="H4298" s="1350">
        <v>1.0249999999999999</v>
      </c>
      <c r="I4298" s="399">
        <f t="shared" si="145"/>
        <v>14.76</v>
      </c>
      <c r="J4298" s="442"/>
      <c r="K4298" s="1263"/>
      <c r="L4298" s="461"/>
      <c r="M4298" s="461"/>
      <c r="N4298" s="461"/>
    </row>
    <row r="4299" spans="1:14" s="462" customFormat="1" hidden="1" outlineLevel="1">
      <c r="A4299" s="1268"/>
      <c r="B4299" s="458"/>
      <c r="C4299" s="459" t="s">
        <v>2</v>
      </c>
      <c r="D4299" s="460">
        <v>8</v>
      </c>
      <c r="E4299" s="439">
        <v>2</v>
      </c>
      <c r="F4299" s="1350">
        <v>0.6</v>
      </c>
      <c r="G4299" s="1350">
        <v>0.2</v>
      </c>
      <c r="H4299" s="1350">
        <v>0.8</v>
      </c>
      <c r="I4299" s="399">
        <f t="shared" si="145"/>
        <v>1.54</v>
      </c>
      <c r="J4299" s="442"/>
      <c r="K4299" s="1263"/>
      <c r="L4299" s="461"/>
      <c r="M4299" s="461"/>
      <c r="N4299" s="461"/>
    </row>
    <row r="4300" spans="1:14" s="462" customFormat="1" hidden="1" outlineLevel="1">
      <c r="A4300" s="1268"/>
      <c r="B4300" s="458" t="s">
        <v>372</v>
      </c>
      <c r="C4300" s="459" t="s">
        <v>2</v>
      </c>
      <c r="D4300" s="460">
        <v>-1</v>
      </c>
      <c r="E4300" s="439">
        <v>1</v>
      </c>
      <c r="F4300" s="1350">
        <v>93.98</v>
      </c>
      <c r="G4300" s="1350"/>
      <c r="H4300" s="1350"/>
      <c r="I4300" s="399">
        <f t="shared" si="145"/>
        <v>-93.98</v>
      </c>
      <c r="J4300" s="442"/>
      <c r="K4300" s="1262"/>
      <c r="L4300" s="461"/>
      <c r="M4300" s="461"/>
      <c r="N4300" s="461"/>
    </row>
    <row r="4301" spans="1:14" s="398" customFormat="1" ht="51.75" hidden="1" outlineLevel="1" collapsed="1">
      <c r="A4301" s="1248"/>
      <c r="B4301" s="598" t="s">
        <v>661</v>
      </c>
      <c r="C4301" s="298"/>
      <c r="D4301" s="302"/>
      <c r="E4301" s="298"/>
      <c r="F4301" s="1156"/>
      <c r="G4301" s="1156"/>
      <c r="H4301" s="1156"/>
      <c r="I4301" s="399" t="str">
        <f t="shared" si="145"/>
        <v/>
      </c>
      <c r="J4301" s="374"/>
      <c r="K4301" s="1222"/>
      <c r="L4301" s="431"/>
      <c r="M4301" s="431"/>
      <c r="N4301" s="431"/>
    </row>
    <row r="4302" spans="1:14" s="398" customFormat="1" ht="34.5" hidden="1" outlineLevel="1">
      <c r="A4302" s="1248"/>
      <c r="B4302" s="303" t="s">
        <v>662</v>
      </c>
      <c r="C4302" s="165"/>
      <c r="D4302" s="437"/>
      <c r="E4302" s="298"/>
      <c r="F4302" s="1156"/>
      <c r="G4302" s="1156"/>
      <c r="H4302" s="1156"/>
      <c r="I4302" s="399" t="str">
        <f t="shared" si="145"/>
        <v/>
      </c>
      <c r="J4302" s="374"/>
      <c r="K4302" s="1222"/>
      <c r="L4302" s="431"/>
      <c r="M4302" s="431"/>
      <c r="N4302" s="431"/>
    </row>
    <row r="4303" spans="1:14" s="398" customFormat="1" hidden="1" outlineLevel="1">
      <c r="A4303" s="1248"/>
      <c r="B4303" s="303" t="s">
        <v>600</v>
      </c>
      <c r="C4303" s="165"/>
      <c r="D4303" s="437"/>
      <c r="E4303" s="298"/>
      <c r="F4303" s="1156"/>
      <c r="G4303" s="1156"/>
      <c r="H4303" s="1156"/>
      <c r="I4303" s="399" t="str">
        <f t="shared" si="145"/>
        <v/>
      </c>
      <c r="J4303" s="374"/>
      <c r="K4303" s="1222"/>
      <c r="L4303" s="431"/>
      <c r="M4303" s="431"/>
      <c r="N4303" s="431"/>
    </row>
    <row r="4304" spans="1:14" s="398" customFormat="1" hidden="1" outlineLevel="1">
      <c r="A4304" s="1248"/>
      <c r="B4304" s="305"/>
      <c r="C4304" s="165" t="s">
        <v>2</v>
      </c>
      <c r="D4304" s="437">
        <v>1</v>
      </c>
      <c r="E4304" s="298">
        <v>1</v>
      </c>
      <c r="F4304" s="1156">
        <f>1.4+1.4+1.53+1.53+4.89+G4304*2</f>
        <v>11.21</v>
      </c>
      <c r="G4304" s="1156">
        <v>0.23</v>
      </c>
      <c r="H4304" s="1156">
        <v>0.2</v>
      </c>
      <c r="I4304" s="399">
        <f t="shared" si="145"/>
        <v>0.52</v>
      </c>
      <c r="J4304" s="374"/>
      <c r="K4304" s="1222"/>
      <c r="L4304" s="431"/>
      <c r="M4304" s="431"/>
      <c r="N4304" s="431"/>
    </row>
    <row r="4305" spans="1:14" s="398" customFormat="1" hidden="1" outlineLevel="1">
      <c r="A4305" s="1248"/>
      <c r="B4305" s="305"/>
      <c r="C4305" s="165" t="s">
        <v>2</v>
      </c>
      <c r="D4305" s="437">
        <v>1</v>
      </c>
      <c r="E4305" s="298">
        <v>1</v>
      </c>
      <c r="F4305" s="1156">
        <f>1.4+G4305</f>
        <v>1.63</v>
      </c>
      <c r="G4305" s="1156">
        <v>0.23</v>
      </c>
      <c r="H4305" s="1156">
        <v>0.2</v>
      </c>
      <c r="I4305" s="399">
        <f t="shared" si="145"/>
        <v>7.0000000000000007E-2</v>
      </c>
      <c r="J4305" s="374"/>
      <c r="K4305" s="1222"/>
      <c r="L4305" s="431"/>
      <c r="M4305" s="431"/>
      <c r="N4305" s="431"/>
    </row>
    <row r="4306" spans="1:14" s="398" customFormat="1" hidden="1" outlineLevel="1">
      <c r="A4306" s="1248"/>
      <c r="B4306" s="305"/>
      <c r="C4306" s="165" t="s">
        <v>2</v>
      </c>
      <c r="D4306" s="437">
        <v>1</v>
      </c>
      <c r="E4306" s="298">
        <v>1</v>
      </c>
      <c r="F4306" s="1156">
        <f>7.355+G4306</f>
        <v>7.5850000000000009</v>
      </c>
      <c r="G4306" s="1156">
        <v>0.23</v>
      </c>
      <c r="H4306" s="1156">
        <v>0.2</v>
      </c>
      <c r="I4306" s="399">
        <f t="shared" si="145"/>
        <v>0.35</v>
      </c>
      <c r="J4306" s="374"/>
      <c r="K4306" s="1222"/>
      <c r="L4306" s="431"/>
      <c r="M4306" s="431"/>
      <c r="N4306" s="431"/>
    </row>
    <row r="4307" spans="1:14" s="398" customFormat="1" hidden="1" outlineLevel="1">
      <c r="A4307" s="1248"/>
      <c r="B4307" s="303" t="s">
        <v>601</v>
      </c>
      <c r="C4307" s="165" t="s">
        <v>2</v>
      </c>
      <c r="D4307" s="437">
        <v>1</v>
      </c>
      <c r="E4307" s="298">
        <v>1</v>
      </c>
      <c r="F4307" s="1156">
        <f>7.355+G4307</f>
        <v>7.5850000000000009</v>
      </c>
      <c r="G4307" s="1156">
        <v>0.23</v>
      </c>
      <c r="H4307" s="1156">
        <v>0.2</v>
      </c>
      <c r="I4307" s="399">
        <f t="shared" si="145"/>
        <v>0.35</v>
      </c>
      <c r="J4307" s="374"/>
      <c r="K4307" s="1222"/>
      <c r="L4307" s="431"/>
      <c r="M4307" s="431"/>
      <c r="N4307" s="431"/>
    </row>
    <row r="4308" spans="1:14" s="398" customFormat="1" hidden="1" outlineLevel="1">
      <c r="A4308" s="1248"/>
      <c r="B4308" s="305"/>
      <c r="C4308" s="165" t="s">
        <v>2</v>
      </c>
      <c r="D4308" s="437">
        <v>1</v>
      </c>
      <c r="E4308" s="298">
        <v>1</v>
      </c>
      <c r="F4308" s="1156">
        <f>1.4+G4308</f>
        <v>1.63</v>
      </c>
      <c r="G4308" s="1156">
        <v>0.23</v>
      </c>
      <c r="H4308" s="1156">
        <v>0.2</v>
      </c>
      <c r="I4308" s="399">
        <f t="shared" si="145"/>
        <v>7.0000000000000007E-2</v>
      </c>
      <c r="J4308" s="374"/>
      <c r="K4308" s="1222"/>
      <c r="L4308" s="431"/>
      <c r="M4308" s="431"/>
      <c r="N4308" s="431"/>
    </row>
    <row r="4309" spans="1:14" s="398" customFormat="1" hidden="1" outlineLevel="1">
      <c r="A4309" s="1248"/>
      <c r="B4309" s="305"/>
      <c r="C4309" s="165" t="s">
        <v>2</v>
      </c>
      <c r="D4309" s="437">
        <v>1</v>
      </c>
      <c r="E4309" s="298">
        <v>1</v>
      </c>
      <c r="F4309" s="1156">
        <f>5.955+G4309</f>
        <v>6.1850000000000005</v>
      </c>
      <c r="G4309" s="1156">
        <v>0.23</v>
      </c>
      <c r="H4309" s="1156">
        <v>0.2</v>
      </c>
      <c r="I4309" s="399">
        <f t="shared" si="145"/>
        <v>0.28000000000000003</v>
      </c>
      <c r="J4309" s="374"/>
      <c r="K4309" s="1222"/>
      <c r="L4309" s="431"/>
      <c r="M4309" s="431"/>
      <c r="N4309" s="431"/>
    </row>
    <row r="4310" spans="1:14" s="398" customFormat="1" hidden="1" outlineLevel="1">
      <c r="A4310" s="1248"/>
      <c r="B4310" s="303" t="s">
        <v>602</v>
      </c>
      <c r="C4310" s="165" t="s">
        <v>2</v>
      </c>
      <c r="D4310" s="437">
        <v>1</v>
      </c>
      <c r="E4310" s="298">
        <v>1</v>
      </c>
      <c r="F4310" s="1156">
        <f>5.955+G4310</f>
        <v>6.1850000000000005</v>
      </c>
      <c r="G4310" s="1156">
        <v>0.23</v>
      </c>
      <c r="H4310" s="1156">
        <v>0.2</v>
      </c>
      <c r="I4310" s="399">
        <f t="shared" si="145"/>
        <v>0.28000000000000003</v>
      </c>
      <c r="J4310" s="374"/>
      <c r="K4310" s="1222"/>
      <c r="L4310" s="431"/>
      <c r="M4310" s="431"/>
      <c r="N4310" s="431"/>
    </row>
    <row r="4311" spans="1:14" s="398" customFormat="1" hidden="1" outlineLevel="1">
      <c r="A4311" s="1248"/>
      <c r="B4311" s="305"/>
      <c r="C4311" s="165" t="s">
        <v>2</v>
      </c>
      <c r="D4311" s="437">
        <v>1</v>
      </c>
      <c r="E4311" s="298">
        <v>1</v>
      </c>
      <c r="F4311" s="1156">
        <f>1.53+G4311</f>
        <v>1.76</v>
      </c>
      <c r="G4311" s="1156">
        <v>0.23</v>
      </c>
      <c r="H4311" s="1156">
        <v>0.2</v>
      </c>
      <c r="I4311" s="399">
        <f t="shared" si="145"/>
        <v>0.08</v>
      </c>
      <c r="J4311" s="374"/>
      <c r="K4311" s="1222"/>
      <c r="L4311" s="431"/>
      <c r="M4311" s="431"/>
      <c r="N4311" s="431"/>
    </row>
    <row r="4312" spans="1:14" s="398" customFormat="1" hidden="1" outlineLevel="1">
      <c r="A4312" s="1248"/>
      <c r="B4312" s="305"/>
      <c r="C4312" s="165" t="s">
        <v>2</v>
      </c>
      <c r="D4312" s="437">
        <v>1</v>
      </c>
      <c r="E4312" s="298">
        <v>1</v>
      </c>
      <c r="F4312" s="1156">
        <f>4.425+G4312</f>
        <v>4.6550000000000002</v>
      </c>
      <c r="G4312" s="1156">
        <v>0.23</v>
      </c>
      <c r="H4312" s="1156">
        <v>0.2</v>
      </c>
      <c r="I4312" s="399">
        <f t="shared" si="145"/>
        <v>0.21</v>
      </c>
      <c r="J4312" s="374"/>
      <c r="K4312" s="1222"/>
      <c r="L4312" s="431"/>
      <c r="M4312" s="431"/>
      <c r="N4312" s="431"/>
    </row>
    <row r="4313" spans="1:14" s="398" customFormat="1" hidden="1" outlineLevel="1">
      <c r="A4313" s="1248"/>
      <c r="B4313" s="303" t="s">
        <v>603</v>
      </c>
      <c r="C4313" s="165" t="s">
        <v>2</v>
      </c>
      <c r="D4313" s="437">
        <v>1</v>
      </c>
      <c r="E4313" s="298">
        <v>1</v>
      </c>
      <c r="F4313" s="1156">
        <f>4.425+G4313</f>
        <v>4.6550000000000002</v>
      </c>
      <c r="G4313" s="1156">
        <v>0.23</v>
      </c>
      <c r="H4313" s="1156">
        <v>0.2</v>
      </c>
      <c r="I4313" s="399">
        <f t="shared" si="145"/>
        <v>0.21</v>
      </c>
      <c r="J4313" s="374"/>
      <c r="K4313" s="1222"/>
      <c r="L4313" s="431"/>
      <c r="M4313" s="431"/>
      <c r="N4313" s="431"/>
    </row>
    <row r="4314" spans="1:14" s="398" customFormat="1" hidden="1" outlineLevel="1">
      <c r="A4314" s="1248"/>
      <c r="B4314" s="305"/>
      <c r="C4314" s="165" t="s">
        <v>2</v>
      </c>
      <c r="D4314" s="437">
        <v>1</v>
      </c>
      <c r="E4314" s="298">
        <v>1</v>
      </c>
      <c r="F4314" s="1156">
        <f>1.53+G4314</f>
        <v>1.76</v>
      </c>
      <c r="G4314" s="1156">
        <v>0.23</v>
      </c>
      <c r="H4314" s="1156">
        <v>0.2</v>
      </c>
      <c r="I4314" s="399">
        <f t="shared" si="145"/>
        <v>0.08</v>
      </c>
      <c r="J4314" s="374"/>
      <c r="K4314" s="1222"/>
      <c r="L4314" s="431"/>
      <c r="M4314" s="431"/>
      <c r="N4314" s="431"/>
    </row>
    <row r="4315" spans="1:14" s="398" customFormat="1" hidden="1" outlineLevel="1">
      <c r="A4315" s="1248"/>
      <c r="B4315" s="305"/>
      <c r="C4315" s="165" t="s">
        <v>2</v>
      </c>
      <c r="D4315" s="437">
        <v>1</v>
      </c>
      <c r="E4315" s="298">
        <v>1</v>
      </c>
      <c r="F4315" s="1156">
        <f>2.89+G4315</f>
        <v>3.12</v>
      </c>
      <c r="G4315" s="1156">
        <v>0.23</v>
      </c>
      <c r="H4315" s="1156">
        <v>0.2</v>
      </c>
      <c r="I4315" s="399">
        <f t="shared" si="145"/>
        <v>0.14000000000000001</v>
      </c>
      <c r="J4315" s="374"/>
      <c r="K4315" s="1222"/>
      <c r="L4315" s="431"/>
      <c r="M4315" s="431"/>
      <c r="N4315" s="431"/>
    </row>
    <row r="4316" spans="1:14" s="398" customFormat="1" hidden="1" outlineLevel="1">
      <c r="A4316" s="1248"/>
      <c r="B4316" s="303" t="s">
        <v>663</v>
      </c>
      <c r="C4316" s="165" t="s">
        <v>2</v>
      </c>
      <c r="D4316" s="437">
        <v>1</v>
      </c>
      <c r="E4316" s="298">
        <v>1</v>
      </c>
      <c r="F4316" s="1156">
        <f>2.89+G4316</f>
        <v>3.12</v>
      </c>
      <c r="G4316" s="1156">
        <v>0.23</v>
      </c>
      <c r="H4316" s="1156">
        <v>0.2</v>
      </c>
      <c r="I4316" s="399">
        <f t="shared" si="145"/>
        <v>0.14000000000000001</v>
      </c>
      <c r="J4316" s="374"/>
      <c r="K4316" s="1222"/>
      <c r="L4316" s="431"/>
      <c r="M4316" s="431"/>
      <c r="N4316" s="431"/>
    </row>
    <row r="4317" spans="1:14" s="398" customFormat="1" hidden="1" outlineLevel="1">
      <c r="A4317" s="1248"/>
      <c r="B4317" s="305"/>
      <c r="C4317" s="165" t="s">
        <v>2</v>
      </c>
      <c r="D4317" s="437">
        <v>1</v>
      </c>
      <c r="E4317" s="298">
        <v>1</v>
      </c>
      <c r="F4317" s="1155">
        <v>5.12</v>
      </c>
      <c r="G4317" s="1156">
        <v>0.23</v>
      </c>
      <c r="H4317" s="1156">
        <v>0.2</v>
      </c>
      <c r="I4317" s="399">
        <f t="shared" si="145"/>
        <v>0.24</v>
      </c>
      <c r="J4317" s="374"/>
      <c r="K4317" s="1222"/>
      <c r="L4317" s="431"/>
      <c r="M4317" s="431"/>
      <c r="N4317" s="431"/>
    </row>
    <row r="4318" spans="1:14" s="398" customFormat="1" hidden="1" outlineLevel="1">
      <c r="A4318" s="1248"/>
      <c r="B4318" s="599" t="s">
        <v>604</v>
      </c>
      <c r="C4318" s="165" t="s">
        <v>2</v>
      </c>
      <c r="D4318" s="437">
        <v>1</v>
      </c>
      <c r="E4318" s="298">
        <v>6</v>
      </c>
      <c r="F4318" s="1156">
        <v>0.61499999999999999</v>
      </c>
      <c r="G4318" s="1156">
        <v>0.23</v>
      </c>
      <c r="H4318" s="1156">
        <v>0.2</v>
      </c>
      <c r="I4318" s="399">
        <f t="shared" si="145"/>
        <v>0.17</v>
      </c>
      <c r="J4318" s="374"/>
      <c r="K4318" s="1222"/>
      <c r="L4318" s="431"/>
      <c r="M4318" s="431"/>
      <c r="N4318" s="431"/>
    </row>
    <row r="4319" spans="1:14" s="398" customFormat="1" hidden="1" outlineLevel="1">
      <c r="A4319" s="1248"/>
      <c r="B4319" s="305"/>
      <c r="C4319" s="165" t="s">
        <v>2</v>
      </c>
      <c r="D4319" s="437">
        <v>1</v>
      </c>
      <c r="E4319" s="298">
        <v>3</v>
      </c>
      <c r="F4319" s="1156">
        <f>2.745-G4319</f>
        <v>2.5150000000000001</v>
      </c>
      <c r="G4319" s="1156">
        <v>0.23</v>
      </c>
      <c r="H4319" s="1156">
        <v>0.2</v>
      </c>
      <c r="I4319" s="399">
        <f t="shared" si="145"/>
        <v>0.35</v>
      </c>
      <c r="J4319" s="374"/>
      <c r="K4319" s="1222"/>
      <c r="L4319" s="431"/>
      <c r="M4319" s="431"/>
      <c r="N4319" s="431"/>
    </row>
    <row r="4320" spans="1:14" s="398" customFormat="1" hidden="1" outlineLevel="1">
      <c r="A4320" s="1248"/>
      <c r="B4320" s="305"/>
      <c r="C4320" s="165" t="s">
        <v>2</v>
      </c>
      <c r="D4320" s="437">
        <v>1</v>
      </c>
      <c r="E4320" s="298">
        <v>1</v>
      </c>
      <c r="F4320" s="1156">
        <f>2.44-G4320</f>
        <v>2.21</v>
      </c>
      <c r="G4320" s="1156">
        <v>0.23</v>
      </c>
      <c r="H4320" s="1156">
        <v>0.2</v>
      </c>
      <c r="I4320" s="399">
        <f t="shared" si="145"/>
        <v>0.1</v>
      </c>
      <c r="J4320" s="374"/>
      <c r="K4320" s="1222"/>
      <c r="L4320" s="431"/>
      <c r="M4320" s="431"/>
      <c r="N4320" s="431"/>
    </row>
    <row r="4321" spans="1:14" s="398" customFormat="1" hidden="1" outlineLevel="1">
      <c r="A4321" s="1248"/>
      <c r="B4321" s="305"/>
      <c r="C4321" s="165" t="s">
        <v>2</v>
      </c>
      <c r="D4321" s="437">
        <v>1</v>
      </c>
      <c r="E4321" s="298">
        <v>3</v>
      </c>
      <c r="F4321" s="1156">
        <f>2.13-G4321*2</f>
        <v>1.67</v>
      </c>
      <c r="G4321" s="1156">
        <v>0.23</v>
      </c>
      <c r="H4321" s="1156">
        <v>0.2</v>
      </c>
      <c r="I4321" s="399">
        <f t="shared" si="145"/>
        <v>0.23</v>
      </c>
      <c r="J4321" s="374"/>
      <c r="K4321" s="1222"/>
      <c r="L4321" s="431"/>
      <c r="M4321" s="431"/>
      <c r="N4321" s="431"/>
    </row>
    <row r="4322" spans="1:14" s="398" customFormat="1" hidden="1" outlineLevel="1">
      <c r="A4322" s="1248"/>
      <c r="B4322" s="305"/>
      <c r="C4322" s="165" t="s">
        <v>2</v>
      </c>
      <c r="D4322" s="437">
        <v>1</v>
      </c>
      <c r="E4322" s="298">
        <v>1</v>
      </c>
      <c r="F4322" s="1156">
        <f>1.825-G4322*2</f>
        <v>1.365</v>
      </c>
      <c r="G4322" s="1156">
        <v>0.23</v>
      </c>
      <c r="H4322" s="1156">
        <v>0.2</v>
      </c>
      <c r="I4322" s="399">
        <f t="shared" si="145"/>
        <v>0.06</v>
      </c>
      <c r="J4322" s="374"/>
      <c r="K4322" s="1222"/>
      <c r="L4322" s="431"/>
      <c r="M4322" s="431"/>
      <c r="N4322" s="431"/>
    </row>
    <row r="4323" spans="1:14" s="398" customFormat="1" ht="51.75" hidden="1" outlineLevel="1">
      <c r="A4323" s="1248"/>
      <c r="B4323" s="598" t="s">
        <v>664</v>
      </c>
      <c r="C4323" s="165"/>
      <c r="D4323" s="437"/>
      <c r="E4323" s="298"/>
      <c r="F4323" s="1156"/>
      <c r="G4323" s="1156"/>
      <c r="H4323" s="1156"/>
      <c r="I4323" s="399" t="str">
        <f t="shared" si="145"/>
        <v/>
      </c>
      <c r="J4323" s="374"/>
      <c r="K4323" s="1222"/>
      <c r="L4323" s="431"/>
      <c r="M4323" s="431"/>
      <c r="N4323" s="431"/>
    </row>
    <row r="4324" spans="1:14" s="398" customFormat="1" hidden="1" outlineLevel="1">
      <c r="A4324" s="1248"/>
      <c r="B4324" s="303" t="s">
        <v>665</v>
      </c>
      <c r="C4324" s="165"/>
      <c r="D4324" s="437"/>
      <c r="E4324" s="298"/>
      <c r="F4324" s="1156"/>
      <c r="G4324" s="1156"/>
      <c r="H4324" s="1156"/>
      <c r="I4324" s="399" t="str">
        <f t="shared" si="145"/>
        <v/>
      </c>
      <c r="J4324" s="374"/>
      <c r="K4324" s="1222"/>
      <c r="L4324" s="431"/>
      <c r="M4324" s="431"/>
      <c r="N4324" s="431"/>
    </row>
    <row r="4325" spans="1:14" s="398" customFormat="1" hidden="1" outlineLevel="1">
      <c r="A4325" s="1248"/>
      <c r="B4325" s="303" t="s">
        <v>607</v>
      </c>
      <c r="C4325" s="165" t="s">
        <v>2</v>
      </c>
      <c r="D4325" s="437">
        <v>1</v>
      </c>
      <c r="E4325" s="298">
        <v>1</v>
      </c>
      <c r="F4325" s="1156">
        <f>29.85</f>
        <v>29.85</v>
      </c>
      <c r="G4325" s="1156">
        <v>0.23</v>
      </c>
      <c r="H4325" s="1156">
        <v>0.2</v>
      </c>
      <c r="I4325" s="399">
        <f t="shared" ref="I4325:I4388" si="146">IF(D4325&lt;&gt;0,ROUND(PRODUCT(E4325:H4325)*D4325,2),"")</f>
        <v>1.37</v>
      </c>
      <c r="J4325" s="374"/>
      <c r="K4325" s="1222"/>
      <c r="L4325" s="431"/>
      <c r="M4325" s="431"/>
      <c r="N4325" s="431"/>
    </row>
    <row r="4326" spans="1:14" s="398" customFormat="1" hidden="1" outlineLevel="1">
      <c r="A4326" s="1248"/>
      <c r="B4326" s="305"/>
      <c r="C4326" s="165" t="s">
        <v>2</v>
      </c>
      <c r="D4326" s="437">
        <v>1</v>
      </c>
      <c r="E4326" s="298">
        <v>1</v>
      </c>
      <c r="F4326" s="1156">
        <f>2.3-G4326*2</f>
        <v>1.8399999999999999</v>
      </c>
      <c r="G4326" s="1156">
        <v>0.23</v>
      </c>
      <c r="H4326" s="1156">
        <v>0.2</v>
      </c>
      <c r="I4326" s="399">
        <f t="shared" si="146"/>
        <v>0.08</v>
      </c>
      <c r="J4326" s="374"/>
      <c r="K4326" s="1222"/>
      <c r="L4326" s="431"/>
      <c r="M4326" s="431"/>
      <c r="N4326" s="431"/>
    </row>
    <row r="4327" spans="1:14" s="398" customFormat="1" hidden="1" outlineLevel="1">
      <c r="A4327" s="1248"/>
      <c r="B4327" s="305"/>
      <c r="C4327" s="165" t="s">
        <v>2</v>
      </c>
      <c r="D4327" s="437">
        <v>1</v>
      </c>
      <c r="E4327" s="298">
        <v>7</v>
      </c>
      <c r="F4327" s="1156">
        <f>2-G4327*2</f>
        <v>1.54</v>
      </c>
      <c r="G4327" s="1156">
        <v>0.23</v>
      </c>
      <c r="H4327" s="1156">
        <v>0.2</v>
      </c>
      <c r="I4327" s="399">
        <f t="shared" si="146"/>
        <v>0.5</v>
      </c>
      <c r="J4327" s="374"/>
      <c r="K4327" s="1222"/>
      <c r="L4327" s="431"/>
      <c r="M4327" s="431"/>
      <c r="N4327" s="431"/>
    </row>
    <row r="4328" spans="1:14" s="398" customFormat="1" hidden="1" outlineLevel="1">
      <c r="A4328" s="1248"/>
      <c r="B4328" s="305"/>
      <c r="C4328" s="165" t="s">
        <v>2</v>
      </c>
      <c r="D4328" s="437">
        <v>1</v>
      </c>
      <c r="E4328" s="298">
        <v>1</v>
      </c>
      <c r="F4328" s="1156">
        <f>2.25-G4328*2</f>
        <v>1.79</v>
      </c>
      <c r="G4328" s="1156">
        <v>0.23</v>
      </c>
      <c r="H4328" s="1156">
        <v>0.2</v>
      </c>
      <c r="I4328" s="399">
        <f t="shared" si="146"/>
        <v>0.08</v>
      </c>
      <c r="J4328" s="374"/>
      <c r="K4328" s="1222"/>
      <c r="L4328" s="431"/>
      <c r="M4328" s="431"/>
      <c r="N4328" s="431"/>
    </row>
    <row r="4329" spans="1:14" s="398" customFormat="1" hidden="1" outlineLevel="1">
      <c r="A4329" s="1248"/>
      <c r="B4329" s="305"/>
      <c r="C4329" s="165" t="s">
        <v>2</v>
      </c>
      <c r="D4329" s="437">
        <v>1</v>
      </c>
      <c r="E4329" s="298">
        <v>1</v>
      </c>
      <c r="F4329" s="1156">
        <f>1.75-G4329*2</f>
        <v>1.29</v>
      </c>
      <c r="G4329" s="1156">
        <v>0.23</v>
      </c>
      <c r="H4329" s="1156">
        <v>0.2</v>
      </c>
      <c r="I4329" s="399">
        <f t="shared" si="146"/>
        <v>0.06</v>
      </c>
      <c r="J4329" s="374"/>
      <c r="K4329" s="1222"/>
      <c r="L4329" s="431"/>
      <c r="M4329" s="431"/>
      <c r="N4329" s="431"/>
    </row>
    <row r="4330" spans="1:14" s="398" customFormat="1" hidden="1" outlineLevel="1">
      <c r="A4330" s="1248"/>
      <c r="B4330" s="305"/>
      <c r="C4330" s="165" t="s">
        <v>2</v>
      </c>
      <c r="D4330" s="437">
        <v>1</v>
      </c>
      <c r="E4330" s="298">
        <v>12</v>
      </c>
      <c r="F4330" s="1156">
        <v>0.6</v>
      </c>
      <c r="G4330" s="1156">
        <v>0.23</v>
      </c>
      <c r="H4330" s="1156">
        <v>0.2</v>
      </c>
      <c r="I4330" s="399">
        <f t="shared" si="146"/>
        <v>0.33</v>
      </c>
      <c r="J4330" s="374"/>
      <c r="K4330" s="1222"/>
      <c r="L4330" s="431"/>
      <c r="M4330" s="431"/>
      <c r="N4330" s="431"/>
    </row>
    <row r="4331" spans="1:14" s="398" customFormat="1" hidden="1" outlineLevel="1">
      <c r="A4331" s="1248"/>
      <c r="B4331" s="599" t="s">
        <v>608</v>
      </c>
      <c r="C4331" s="165" t="s">
        <v>2</v>
      </c>
      <c r="D4331" s="437">
        <v>1</v>
      </c>
      <c r="E4331" s="298">
        <v>1</v>
      </c>
      <c r="F4331" s="1156">
        <f>10.315+G4331*2</f>
        <v>10.775</v>
      </c>
      <c r="G4331" s="1156">
        <v>0.23</v>
      </c>
      <c r="H4331" s="1156">
        <v>0.2</v>
      </c>
      <c r="I4331" s="399">
        <f t="shared" si="146"/>
        <v>0.5</v>
      </c>
      <c r="J4331" s="374"/>
      <c r="K4331" s="1222"/>
      <c r="L4331" s="431"/>
      <c r="M4331" s="431"/>
      <c r="N4331" s="431"/>
    </row>
    <row r="4332" spans="1:14" s="398" customFormat="1" hidden="1" outlineLevel="1">
      <c r="A4332" s="1248"/>
      <c r="B4332" s="305" t="s">
        <v>609</v>
      </c>
      <c r="C4332" s="165" t="s">
        <v>2</v>
      </c>
      <c r="D4332" s="437">
        <v>1</v>
      </c>
      <c r="E4332" s="298">
        <v>1</v>
      </c>
      <c r="F4332" s="1155">
        <v>9.3149999999999995</v>
      </c>
      <c r="G4332" s="1156">
        <v>0.23</v>
      </c>
      <c r="H4332" s="1156">
        <v>0.2</v>
      </c>
      <c r="I4332" s="399">
        <f t="shared" si="146"/>
        <v>0.43</v>
      </c>
      <c r="J4332" s="374"/>
      <c r="K4332" s="1222"/>
      <c r="L4332" s="431"/>
      <c r="M4332" s="431"/>
      <c r="N4332" s="431"/>
    </row>
    <row r="4333" spans="1:14" s="398" customFormat="1" hidden="1" outlineLevel="1">
      <c r="A4333" s="1248"/>
      <c r="B4333" s="305" t="s">
        <v>610</v>
      </c>
      <c r="C4333" s="165" t="s">
        <v>2</v>
      </c>
      <c r="D4333" s="437">
        <v>1</v>
      </c>
      <c r="E4333" s="298">
        <v>2</v>
      </c>
      <c r="F4333" s="1155">
        <v>7.7850000000000001</v>
      </c>
      <c r="G4333" s="1156">
        <v>0.23</v>
      </c>
      <c r="H4333" s="1156">
        <v>0.2</v>
      </c>
      <c r="I4333" s="399">
        <f t="shared" si="146"/>
        <v>0.72</v>
      </c>
      <c r="J4333" s="374"/>
      <c r="K4333" s="1222"/>
      <c r="L4333" s="431"/>
      <c r="M4333" s="431"/>
      <c r="N4333" s="431"/>
    </row>
    <row r="4334" spans="1:14" s="398" customFormat="1" hidden="1" outlineLevel="1">
      <c r="A4334" s="1248"/>
      <c r="B4334" s="305" t="s">
        <v>611</v>
      </c>
      <c r="C4334" s="165" t="s">
        <v>2</v>
      </c>
      <c r="D4334" s="437">
        <v>1</v>
      </c>
      <c r="E4334" s="298">
        <v>2</v>
      </c>
      <c r="F4334" s="1155">
        <v>6.2649999999999997</v>
      </c>
      <c r="G4334" s="1156">
        <v>0.23</v>
      </c>
      <c r="H4334" s="1156">
        <v>0.2</v>
      </c>
      <c r="I4334" s="399">
        <f t="shared" si="146"/>
        <v>0.57999999999999996</v>
      </c>
      <c r="J4334" s="374"/>
      <c r="K4334" s="1222"/>
      <c r="L4334" s="431"/>
      <c r="M4334" s="431"/>
      <c r="N4334" s="431"/>
    </row>
    <row r="4335" spans="1:14" s="464" customFormat="1" hidden="1" outlineLevel="1">
      <c r="A4335" s="1279"/>
      <c r="B4335" s="343" t="s">
        <v>612</v>
      </c>
      <c r="C4335" s="345" t="s">
        <v>2</v>
      </c>
      <c r="D4335" s="444">
        <f>1*0</f>
        <v>0</v>
      </c>
      <c r="E4335" s="337">
        <v>2</v>
      </c>
      <c r="F4335" s="1157">
        <f>6.265+G4335</f>
        <v>6.4950000000000001</v>
      </c>
      <c r="G4335" s="1157">
        <v>0.23</v>
      </c>
      <c r="H4335" s="1157">
        <v>0.2</v>
      </c>
      <c r="I4335" s="399" t="str">
        <f t="shared" si="146"/>
        <v/>
      </c>
      <c r="J4335" s="381"/>
      <c r="K4335" s="1258"/>
      <c r="L4335" s="463"/>
      <c r="M4335" s="463"/>
      <c r="N4335" s="463"/>
    </row>
    <row r="4336" spans="1:14" s="398" customFormat="1" hidden="1" outlineLevel="1">
      <c r="A4336" s="1248"/>
      <c r="B4336" s="305"/>
      <c r="C4336" s="165" t="s">
        <v>2</v>
      </c>
      <c r="D4336" s="437">
        <v>1</v>
      </c>
      <c r="E4336" s="298">
        <v>2</v>
      </c>
      <c r="F4336" s="1155">
        <v>4.74</v>
      </c>
      <c r="G4336" s="1156">
        <v>0.23</v>
      </c>
      <c r="H4336" s="1156">
        <v>0.2</v>
      </c>
      <c r="I4336" s="399">
        <f t="shared" si="146"/>
        <v>0.44</v>
      </c>
      <c r="J4336" s="374"/>
      <c r="K4336" s="1222"/>
      <c r="L4336" s="431"/>
      <c r="M4336" s="431"/>
      <c r="N4336" s="431"/>
    </row>
    <row r="4337" spans="1:14" s="398" customFormat="1" hidden="1" outlineLevel="1">
      <c r="A4337" s="1248"/>
      <c r="B4337" s="305"/>
      <c r="C4337" s="165" t="s">
        <v>2</v>
      </c>
      <c r="D4337" s="437">
        <v>1</v>
      </c>
      <c r="E4337" s="298">
        <v>2</v>
      </c>
      <c r="F4337" s="1155">
        <v>3.52</v>
      </c>
      <c r="G4337" s="1156">
        <v>0.23</v>
      </c>
      <c r="H4337" s="1156">
        <v>0.2</v>
      </c>
      <c r="I4337" s="399">
        <f t="shared" si="146"/>
        <v>0.32</v>
      </c>
      <c r="J4337" s="374"/>
      <c r="K4337" s="1222"/>
      <c r="L4337" s="431"/>
      <c r="M4337" s="431"/>
      <c r="N4337" s="431"/>
    </row>
    <row r="4338" spans="1:14" s="398" customFormat="1" hidden="1" outlineLevel="1">
      <c r="A4338" s="1248"/>
      <c r="B4338" s="305"/>
      <c r="C4338" s="165" t="s">
        <v>2</v>
      </c>
      <c r="D4338" s="437">
        <v>6</v>
      </c>
      <c r="E4338" s="298">
        <v>2</v>
      </c>
      <c r="F4338" s="1155">
        <v>3.2149999999999999</v>
      </c>
      <c r="G4338" s="1156">
        <v>0.23</v>
      </c>
      <c r="H4338" s="1156">
        <v>0.2</v>
      </c>
      <c r="I4338" s="399">
        <f t="shared" si="146"/>
        <v>1.77</v>
      </c>
      <c r="J4338" s="374"/>
      <c r="K4338" s="1222"/>
      <c r="L4338" s="431"/>
      <c r="M4338" s="431"/>
      <c r="N4338" s="431"/>
    </row>
    <row r="4339" spans="1:14" s="398" customFormat="1" hidden="1" outlineLevel="1">
      <c r="A4339" s="1248"/>
      <c r="B4339" s="305"/>
      <c r="C4339" s="165" t="s">
        <v>2</v>
      </c>
      <c r="D4339" s="437">
        <v>1</v>
      </c>
      <c r="E4339" s="298">
        <v>1</v>
      </c>
      <c r="F4339" s="1155">
        <v>3.2149999999999999</v>
      </c>
      <c r="G4339" s="1156">
        <v>0.23</v>
      </c>
      <c r="H4339" s="1156">
        <v>0.2</v>
      </c>
      <c r="I4339" s="399">
        <f t="shared" si="146"/>
        <v>0.15</v>
      </c>
      <c r="J4339" s="374"/>
      <c r="K4339" s="1222"/>
      <c r="L4339" s="431"/>
      <c r="M4339" s="431"/>
      <c r="N4339" s="431"/>
    </row>
    <row r="4340" spans="1:14" s="398" customFormat="1" hidden="1" outlineLevel="1">
      <c r="A4340" s="1248"/>
      <c r="B4340" s="305"/>
      <c r="C4340" s="165" t="s">
        <v>2</v>
      </c>
      <c r="D4340" s="437">
        <v>1</v>
      </c>
      <c r="E4340" s="298">
        <v>1</v>
      </c>
      <c r="F4340" s="1156">
        <f>4.215+G4340*2</f>
        <v>4.6749999999999998</v>
      </c>
      <c r="G4340" s="1156">
        <v>0.23</v>
      </c>
      <c r="H4340" s="1156">
        <v>0.2</v>
      </c>
      <c r="I4340" s="399">
        <f t="shared" si="146"/>
        <v>0.22</v>
      </c>
      <c r="J4340" s="374"/>
      <c r="K4340" s="1222"/>
      <c r="L4340" s="431"/>
      <c r="M4340" s="431"/>
      <c r="N4340" s="431"/>
    </row>
    <row r="4341" spans="1:14" s="398" customFormat="1" hidden="1" outlineLevel="1">
      <c r="A4341" s="1248"/>
      <c r="B4341" s="305" t="s">
        <v>666</v>
      </c>
      <c r="C4341" s="165" t="s">
        <v>2</v>
      </c>
      <c r="D4341" s="437">
        <v>1</v>
      </c>
      <c r="E4341" s="298">
        <v>11</v>
      </c>
      <c r="F4341" s="1156">
        <v>3</v>
      </c>
      <c r="G4341" s="1156">
        <v>0.38500000000000001</v>
      </c>
      <c r="H4341" s="1156">
        <v>0.27500000000000002</v>
      </c>
      <c r="I4341" s="399">
        <f t="shared" si="146"/>
        <v>3.49</v>
      </c>
      <c r="J4341" s="374"/>
      <c r="K4341" s="1222"/>
      <c r="L4341" s="431"/>
      <c r="M4341" s="431"/>
      <c r="N4341" s="431"/>
    </row>
    <row r="4342" spans="1:14" s="398" customFormat="1" ht="51.75" hidden="1" outlineLevel="1">
      <c r="A4342" s="1248"/>
      <c r="B4342" s="598" t="s">
        <v>667</v>
      </c>
      <c r="C4342" s="165"/>
      <c r="D4342" s="437"/>
      <c r="E4342" s="298"/>
      <c r="F4342" s="1156"/>
      <c r="G4342" s="1156"/>
      <c r="H4342" s="1156"/>
      <c r="I4342" s="399" t="str">
        <f t="shared" si="146"/>
        <v/>
      </c>
      <c r="J4342" s="374"/>
      <c r="K4342" s="1222"/>
      <c r="L4342" s="431"/>
      <c r="M4342" s="431"/>
      <c r="N4342" s="431"/>
    </row>
    <row r="4343" spans="1:14" s="398" customFormat="1" hidden="1" outlineLevel="1">
      <c r="A4343" s="1248"/>
      <c r="B4343" s="303" t="s">
        <v>668</v>
      </c>
      <c r="C4343" s="165"/>
      <c r="D4343" s="437"/>
      <c r="E4343" s="298"/>
      <c r="F4343" s="1156"/>
      <c r="G4343" s="1156"/>
      <c r="H4343" s="1156"/>
      <c r="I4343" s="399" t="str">
        <f t="shared" si="146"/>
        <v/>
      </c>
      <c r="J4343" s="374"/>
      <c r="K4343" s="1222"/>
      <c r="L4343" s="431"/>
      <c r="M4343" s="431"/>
      <c r="N4343" s="431"/>
    </row>
    <row r="4344" spans="1:14" s="398" customFormat="1" hidden="1" outlineLevel="1">
      <c r="A4344" s="1248"/>
      <c r="B4344" s="303" t="s">
        <v>616</v>
      </c>
      <c r="C4344" s="165" t="s">
        <v>2</v>
      </c>
      <c r="D4344" s="437">
        <v>1</v>
      </c>
      <c r="E4344" s="298">
        <v>2</v>
      </c>
      <c r="F4344" s="1156">
        <f>3.59+G4344</f>
        <v>3.82</v>
      </c>
      <c r="G4344" s="1156">
        <v>0.23</v>
      </c>
      <c r="H4344" s="1156">
        <v>0.2</v>
      </c>
      <c r="I4344" s="399">
        <f t="shared" si="146"/>
        <v>0.35</v>
      </c>
      <c r="J4344" s="374"/>
      <c r="K4344" s="1222"/>
      <c r="L4344" s="431"/>
      <c r="M4344" s="431"/>
      <c r="N4344" s="431"/>
    </row>
    <row r="4345" spans="1:14" s="398" customFormat="1" hidden="1" outlineLevel="1">
      <c r="A4345" s="1248"/>
      <c r="B4345" s="305"/>
      <c r="C4345" s="165" t="s">
        <v>2</v>
      </c>
      <c r="D4345" s="437">
        <v>1</v>
      </c>
      <c r="E4345" s="298">
        <v>2</v>
      </c>
      <c r="F4345" s="1156">
        <f>5.725+G4345</f>
        <v>5.9550000000000001</v>
      </c>
      <c r="G4345" s="1156">
        <v>0.23</v>
      </c>
      <c r="H4345" s="1156">
        <v>0.2</v>
      </c>
      <c r="I4345" s="399">
        <f t="shared" si="146"/>
        <v>0.55000000000000004</v>
      </c>
      <c r="J4345" s="374"/>
      <c r="K4345" s="1222"/>
      <c r="L4345" s="431"/>
      <c r="M4345" s="431"/>
      <c r="N4345" s="431"/>
    </row>
    <row r="4346" spans="1:14" s="398" customFormat="1" hidden="1" outlineLevel="1">
      <c r="A4346" s="1248"/>
      <c r="B4346" s="305"/>
      <c r="C4346" s="165" t="s">
        <v>2</v>
      </c>
      <c r="D4346" s="437">
        <v>1</v>
      </c>
      <c r="E4346" s="298">
        <v>2</v>
      </c>
      <c r="F4346" s="1156">
        <f>6.64+G4346</f>
        <v>6.87</v>
      </c>
      <c r="G4346" s="1156">
        <v>0.23</v>
      </c>
      <c r="H4346" s="1156">
        <v>0.2</v>
      </c>
      <c r="I4346" s="399">
        <f t="shared" si="146"/>
        <v>0.63</v>
      </c>
      <c r="J4346" s="374"/>
      <c r="K4346" s="1222"/>
      <c r="L4346" s="431"/>
      <c r="M4346" s="431"/>
      <c r="N4346" s="431"/>
    </row>
    <row r="4347" spans="1:14" s="398" customFormat="1" hidden="1" outlineLevel="1">
      <c r="A4347" s="1248"/>
      <c r="B4347" s="305"/>
      <c r="C4347" s="165" t="s">
        <v>2</v>
      </c>
      <c r="D4347" s="437">
        <v>1</v>
      </c>
      <c r="E4347" s="298">
        <v>2</v>
      </c>
      <c r="F4347" s="1156">
        <f>6.03+G4347</f>
        <v>6.2600000000000007</v>
      </c>
      <c r="G4347" s="1156">
        <v>0.23</v>
      </c>
      <c r="H4347" s="1156">
        <v>0.2</v>
      </c>
      <c r="I4347" s="399">
        <f t="shared" si="146"/>
        <v>0.57999999999999996</v>
      </c>
      <c r="J4347" s="374"/>
      <c r="K4347" s="1222"/>
      <c r="L4347" s="431"/>
      <c r="M4347" s="431"/>
      <c r="N4347" s="431"/>
    </row>
    <row r="4348" spans="1:14" s="398" customFormat="1" hidden="1" outlineLevel="1">
      <c r="A4348" s="1248"/>
      <c r="B4348" s="305"/>
      <c r="C4348" s="165" t="s">
        <v>2</v>
      </c>
      <c r="D4348" s="437">
        <v>1</v>
      </c>
      <c r="E4348" s="298">
        <v>5</v>
      </c>
      <c r="F4348" s="1156">
        <v>0.6</v>
      </c>
      <c r="G4348" s="1156">
        <v>0.23</v>
      </c>
      <c r="H4348" s="1156">
        <v>0.2</v>
      </c>
      <c r="I4348" s="399">
        <f t="shared" si="146"/>
        <v>0.14000000000000001</v>
      </c>
      <c r="J4348" s="374"/>
      <c r="K4348" s="1222"/>
      <c r="L4348" s="431"/>
      <c r="M4348" s="431"/>
      <c r="N4348" s="431"/>
    </row>
    <row r="4349" spans="1:14" s="398" customFormat="1" ht="51.75" hidden="1" outlineLevel="1">
      <c r="A4349" s="1248"/>
      <c r="B4349" s="598" t="s">
        <v>669</v>
      </c>
      <c r="C4349" s="165"/>
      <c r="D4349" s="437"/>
      <c r="E4349" s="298"/>
      <c r="F4349" s="1156"/>
      <c r="G4349" s="1156"/>
      <c r="H4349" s="1156"/>
      <c r="I4349" s="399" t="str">
        <f t="shared" si="146"/>
        <v/>
      </c>
      <c r="J4349" s="374"/>
      <c r="K4349" s="1222"/>
      <c r="L4349" s="431"/>
      <c r="M4349" s="431"/>
      <c r="N4349" s="431"/>
    </row>
    <row r="4350" spans="1:14" s="398" customFormat="1" hidden="1" outlineLevel="1">
      <c r="A4350" s="1248"/>
      <c r="B4350" s="303" t="s">
        <v>670</v>
      </c>
      <c r="C4350" s="165"/>
      <c r="D4350" s="437">
        <v>1</v>
      </c>
      <c r="E4350" s="298">
        <v>1</v>
      </c>
      <c r="F4350" s="1156">
        <v>4.6349999999999998</v>
      </c>
      <c r="G4350" s="1156">
        <v>0.23</v>
      </c>
      <c r="H4350" s="1156">
        <v>0.2</v>
      </c>
      <c r="I4350" s="399">
        <f t="shared" si="146"/>
        <v>0.21</v>
      </c>
      <c r="J4350" s="374"/>
      <c r="K4350" s="1222"/>
      <c r="L4350" s="431"/>
      <c r="M4350" s="431"/>
      <c r="N4350" s="431"/>
    </row>
    <row r="4351" spans="1:14" s="398" customFormat="1" hidden="1" outlineLevel="1">
      <c r="A4351" s="1248"/>
      <c r="B4351" s="305"/>
      <c r="C4351" s="165"/>
      <c r="D4351" s="437">
        <v>1</v>
      </c>
      <c r="E4351" s="298">
        <v>10</v>
      </c>
      <c r="F4351" s="1156">
        <v>7.625</v>
      </c>
      <c r="G4351" s="1156">
        <v>0.23</v>
      </c>
      <c r="H4351" s="1156">
        <v>0.2</v>
      </c>
      <c r="I4351" s="399">
        <f t="shared" si="146"/>
        <v>3.51</v>
      </c>
      <c r="J4351" s="374"/>
      <c r="K4351" s="1222"/>
      <c r="L4351" s="431"/>
      <c r="M4351" s="431"/>
      <c r="N4351" s="431"/>
    </row>
    <row r="4352" spans="1:14" s="398" customFormat="1" hidden="1" outlineLevel="1">
      <c r="A4352" s="1248"/>
      <c r="B4352" s="305"/>
      <c r="C4352" s="165"/>
      <c r="D4352" s="437">
        <v>1</v>
      </c>
      <c r="E4352" s="298">
        <v>1</v>
      </c>
      <c r="F4352" s="1155">
        <v>15.765000000000001</v>
      </c>
      <c r="G4352" s="1156">
        <v>0.23</v>
      </c>
      <c r="H4352" s="1156">
        <v>0.2</v>
      </c>
      <c r="I4352" s="399">
        <f t="shared" si="146"/>
        <v>0.73</v>
      </c>
      <c r="J4352" s="374"/>
      <c r="K4352" s="1222"/>
      <c r="L4352" s="431"/>
      <c r="M4352" s="431"/>
      <c r="N4352" s="431"/>
    </row>
    <row r="4353" spans="1:14" s="398" customFormat="1" hidden="1" outlineLevel="1">
      <c r="A4353" s="1248"/>
      <c r="B4353" s="303" t="s">
        <v>671</v>
      </c>
      <c r="C4353" s="165"/>
      <c r="D4353" s="437">
        <v>1</v>
      </c>
      <c r="E4353" s="298">
        <v>1</v>
      </c>
      <c r="F4353" s="1156">
        <f>14.67-G4353</f>
        <v>14.44</v>
      </c>
      <c r="G4353" s="1156">
        <v>0.23</v>
      </c>
      <c r="H4353" s="1156">
        <v>0.2</v>
      </c>
      <c r="I4353" s="399">
        <f t="shared" si="146"/>
        <v>0.66</v>
      </c>
      <c r="J4353" s="374"/>
      <c r="K4353" s="1222"/>
      <c r="L4353" s="431"/>
      <c r="M4353" s="431"/>
      <c r="N4353" s="431"/>
    </row>
    <row r="4354" spans="1:14" s="398" customFormat="1" hidden="1" outlineLevel="1">
      <c r="A4354" s="1248"/>
      <c r="B4354" s="305"/>
      <c r="C4354" s="165"/>
      <c r="D4354" s="437">
        <v>1</v>
      </c>
      <c r="E4354" s="298">
        <f>13-8</f>
        <v>5</v>
      </c>
      <c r="F4354" s="1156">
        <v>7.625</v>
      </c>
      <c r="G4354" s="1156">
        <v>0.23</v>
      </c>
      <c r="H4354" s="1156">
        <v>0.2</v>
      </c>
      <c r="I4354" s="399">
        <f t="shared" si="146"/>
        <v>1.75</v>
      </c>
      <c r="J4354" s="374"/>
      <c r="K4354" s="1222"/>
      <c r="L4354" s="431"/>
      <c r="M4354" s="431"/>
      <c r="N4354" s="431"/>
    </row>
    <row r="4355" spans="1:14" s="398" customFormat="1" hidden="1" outlineLevel="1">
      <c r="A4355" s="1248"/>
      <c r="B4355" s="305"/>
      <c r="C4355" s="165"/>
      <c r="D4355" s="437">
        <v>1</v>
      </c>
      <c r="E4355" s="298">
        <v>1</v>
      </c>
      <c r="F4355" s="1156">
        <f>10.215-9.95</f>
        <v>0.26500000000000057</v>
      </c>
      <c r="G4355" s="1156">
        <v>0.23</v>
      </c>
      <c r="H4355" s="1156">
        <v>0.2</v>
      </c>
      <c r="I4355" s="399">
        <f t="shared" si="146"/>
        <v>0.01</v>
      </c>
      <c r="J4355" s="374"/>
      <c r="K4355" s="1222"/>
      <c r="L4355" s="431"/>
      <c r="M4355" s="431"/>
      <c r="N4355" s="431"/>
    </row>
    <row r="4356" spans="1:14" s="398" customFormat="1" hidden="1" outlineLevel="1">
      <c r="A4356" s="1248"/>
      <c r="B4356" s="303" t="s">
        <v>672</v>
      </c>
      <c r="C4356" s="165"/>
      <c r="D4356" s="437">
        <v>1</v>
      </c>
      <c r="E4356" s="298">
        <v>1</v>
      </c>
      <c r="F4356" s="1156">
        <f>8.14-G4356</f>
        <v>7.91</v>
      </c>
      <c r="G4356" s="1156">
        <v>0.23</v>
      </c>
      <c r="H4356" s="1156">
        <v>0.2</v>
      </c>
      <c r="I4356" s="399">
        <f t="shared" si="146"/>
        <v>0.36</v>
      </c>
      <c r="J4356" s="374"/>
      <c r="K4356" s="1222"/>
      <c r="L4356" s="431"/>
      <c r="M4356" s="431"/>
      <c r="N4356" s="431"/>
    </row>
    <row r="4357" spans="1:14" s="398" customFormat="1" hidden="1" outlineLevel="1">
      <c r="A4357" s="1248"/>
      <c r="B4357" s="305"/>
      <c r="C4357" s="165"/>
      <c r="D4357" s="437">
        <v>1</v>
      </c>
      <c r="E4357" s="298">
        <v>2</v>
      </c>
      <c r="F4357" s="1156">
        <v>7.625</v>
      </c>
      <c r="G4357" s="1156">
        <v>0.23</v>
      </c>
      <c r="H4357" s="1156">
        <v>0.2</v>
      </c>
      <c r="I4357" s="399">
        <f t="shared" si="146"/>
        <v>0.7</v>
      </c>
      <c r="J4357" s="374"/>
      <c r="K4357" s="1222"/>
      <c r="L4357" s="431"/>
      <c r="M4357" s="431"/>
      <c r="N4357" s="431"/>
    </row>
    <row r="4358" spans="1:14" s="398" customFormat="1" ht="34.5" hidden="1" outlineLevel="1">
      <c r="A4358" s="1248"/>
      <c r="B4358" s="598" t="s">
        <v>673</v>
      </c>
      <c r="C4358" s="165"/>
      <c r="D4358" s="437"/>
      <c r="E4358" s="298"/>
      <c r="F4358" s="1156"/>
      <c r="G4358" s="1156"/>
      <c r="H4358" s="1156"/>
      <c r="I4358" s="399" t="str">
        <f t="shared" si="146"/>
        <v/>
      </c>
      <c r="J4358" s="374"/>
      <c r="K4358" s="1222"/>
      <c r="L4358" s="431"/>
      <c r="M4358" s="431"/>
      <c r="N4358" s="431"/>
    </row>
    <row r="4359" spans="1:14" s="398" customFormat="1" hidden="1" outlineLevel="1">
      <c r="A4359" s="1248"/>
      <c r="B4359" s="305"/>
      <c r="C4359" s="165"/>
      <c r="D4359" s="437"/>
      <c r="E4359" s="298"/>
      <c r="F4359" s="1156"/>
      <c r="G4359" s="1156"/>
      <c r="H4359" s="1156"/>
      <c r="I4359" s="399" t="str">
        <f t="shared" si="146"/>
        <v/>
      </c>
      <c r="J4359" s="374"/>
      <c r="K4359" s="1222"/>
      <c r="L4359" s="431"/>
      <c r="M4359" s="431"/>
      <c r="N4359" s="431"/>
    </row>
    <row r="4360" spans="1:14" s="398" customFormat="1" hidden="1" outlineLevel="1">
      <c r="A4360" s="1248"/>
      <c r="B4360" s="305" t="s">
        <v>263</v>
      </c>
      <c r="C4360" s="165" t="s">
        <v>2</v>
      </c>
      <c r="D4360" s="437">
        <v>1</v>
      </c>
      <c r="E4360" s="298">
        <v>6</v>
      </c>
      <c r="F4360" s="1156">
        <f>4.5+0.15+0.15</f>
        <v>4.8000000000000007</v>
      </c>
      <c r="G4360" s="1156">
        <f>1+0.15</f>
        <v>1.1499999999999999</v>
      </c>
      <c r="H4360" s="1156">
        <v>0.3</v>
      </c>
      <c r="I4360" s="399">
        <f t="shared" si="146"/>
        <v>9.94</v>
      </c>
      <c r="J4360" s="374"/>
      <c r="K4360" s="1222"/>
      <c r="L4360" s="431"/>
      <c r="M4360" s="431"/>
      <c r="N4360" s="431"/>
    </row>
    <row r="4361" spans="1:14" s="398" customFormat="1" hidden="1" outlineLevel="1">
      <c r="A4361" s="1248"/>
      <c r="B4361" s="305"/>
      <c r="C4361" s="165"/>
      <c r="D4361" s="437"/>
      <c r="E4361" s="298"/>
      <c r="F4361" s="1156"/>
      <c r="G4361" s="1156"/>
      <c r="H4361" s="1156"/>
      <c r="I4361" s="399" t="str">
        <f t="shared" si="146"/>
        <v/>
      </c>
      <c r="J4361" s="374"/>
      <c r="K4361" s="1222"/>
      <c r="L4361" s="431"/>
      <c r="M4361" s="431"/>
      <c r="N4361" s="431"/>
    </row>
    <row r="4362" spans="1:14" s="398" customFormat="1" hidden="1" outlineLevel="1">
      <c r="A4362" s="1248"/>
      <c r="B4362" s="305" t="s">
        <v>263</v>
      </c>
      <c r="C4362" s="165" t="s">
        <v>2</v>
      </c>
      <c r="D4362" s="437">
        <v>1</v>
      </c>
      <c r="E4362" s="298">
        <v>2</v>
      </c>
      <c r="F4362" s="1156">
        <f>4.5+0.15+0.15</f>
        <v>4.8000000000000007</v>
      </c>
      <c r="G4362" s="1156">
        <f>1+0.15+0.15</f>
        <v>1.2999999999999998</v>
      </c>
      <c r="H4362" s="1156">
        <v>0.3</v>
      </c>
      <c r="I4362" s="399">
        <f t="shared" si="146"/>
        <v>3.74</v>
      </c>
      <c r="J4362" s="374"/>
      <c r="K4362" s="1222"/>
      <c r="L4362" s="431"/>
      <c r="M4362" s="431"/>
      <c r="N4362" s="431"/>
    </row>
    <row r="4363" spans="1:14" s="398" customFormat="1" hidden="1" outlineLevel="1">
      <c r="A4363" s="1248"/>
      <c r="B4363" s="305"/>
      <c r="C4363" s="165"/>
      <c r="D4363" s="437"/>
      <c r="E4363" s="298"/>
      <c r="F4363" s="1156"/>
      <c r="G4363" s="1156"/>
      <c r="H4363" s="1156"/>
      <c r="I4363" s="399" t="str">
        <f t="shared" si="146"/>
        <v/>
      </c>
      <c r="J4363" s="374"/>
      <c r="K4363" s="1222"/>
      <c r="L4363" s="431"/>
      <c r="M4363" s="431"/>
      <c r="N4363" s="431"/>
    </row>
    <row r="4364" spans="1:14" s="398" customFormat="1" hidden="1" outlineLevel="1">
      <c r="A4364" s="1248"/>
      <c r="B4364" s="305" t="s">
        <v>371</v>
      </c>
      <c r="C4364" s="165" t="s">
        <v>2</v>
      </c>
      <c r="D4364" s="437">
        <v>8</v>
      </c>
      <c r="E4364" s="298">
        <v>2</v>
      </c>
      <c r="F4364" s="1156">
        <f>1.5+3</f>
        <v>4.5</v>
      </c>
      <c r="G4364" s="1156">
        <v>0.2</v>
      </c>
      <c r="H4364" s="1156">
        <f>(0.8+1.25)/2</f>
        <v>1.0249999999999999</v>
      </c>
      <c r="I4364" s="399">
        <f t="shared" si="146"/>
        <v>14.76</v>
      </c>
      <c r="J4364" s="374"/>
      <c r="K4364" s="1222"/>
      <c r="L4364" s="431"/>
      <c r="M4364" s="431"/>
      <c r="N4364" s="431"/>
    </row>
    <row r="4365" spans="1:14" s="398" customFormat="1" hidden="1" outlineLevel="1">
      <c r="A4365" s="1248"/>
      <c r="B4365" s="305"/>
      <c r="C4365" s="165" t="s">
        <v>2</v>
      </c>
      <c r="D4365" s="437">
        <v>8</v>
      </c>
      <c r="E4365" s="298">
        <v>2</v>
      </c>
      <c r="F4365" s="1156">
        <v>0.6</v>
      </c>
      <c r="G4365" s="1156">
        <v>0.2</v>
      </c>
      <c r="H4365" s="1156">
        <f>0.5+0.3</f>
        <v>0.8</v>
      </c>
      <c r="I4365" s="399">
        <f t="shared" si="146"/>
        <v>1.54</v>
      </c>
      <c r="J4365" s="374"/>
      <c r="K4365" s="1222"/>
      <c r="L4365" s="431"/>
      <c r="M4365" s="431"/>
      <c r="N4365" s="431"/>
    </row>
    <row r="4366" spans="1:14" s="398" customFormat="1" ht="34.5" hidden="1" outlineLevel="1">
      <c r="A4366" s="1248"/>
      <c r="B4366" s="598" t="s">
        <v>674</v>
      </c>
      <c r="C4366" s="165"/>
      <c r="D4366" s="437"/>
      <c r="E4366" s="298"/>
      <c r="F4366" s="1156"/>
      <c r="G4366" s="1156"/>
      <c r="H4366" s="1156"/>
      <c r="I4366" s="399" t="str">
        <f t="shared" si="146"/>
        <v/>
      </c>
      <c r="J4366" s="374"/>
      <c r="K4366" s="1222"/>
      <c r="L4366" s="431"/>
      <c r="M4366" s="431"/>
      <c r="N4366" s="431"/>
    </row>
    <row r="4367" spans="1:14" s="398" customFormat="1" hidden="1" outlineLevel="1">
      <c r="A4367" s="1248"/>
      <c r="B4367" s="305"/>
      <c r="C4367" s="165"/>
      <c r="D4367" s="437"/>
      <c r="E4367" s="298"/>
      <c r="F4367" s="1156"/>
      <c r="G4367" s="1156"/>
      <c r="H4367" s="1156"/>
      <c r="I4367" s="399" t="str">
        <f t="shared" si="146"/>
        <v/>
      </c>
      <c r="J4367" s="374"/>
      <c r="K4367" s="1222"/>
      <c r="L4367" s="431"/>
      <c r="M4367" s="431"/>
      <c r="N4367" s="431"/>
    </row>
    <row r="4368" spans="1:14" s="398" customFormat="1" hidden="1" outlineLevel="1">
      <c r="A4368" s="1248"/>
      <c r="B4368" s="305" t="s">
        <v>263</v>
      </c>
      <c r="C4368" s="165" t="s">
        <v>2</v>
      </c>
      <c r="D4368" s="437">
        <v>1</v>
      </c>
      <c r="E4368" s="298">
        <v>6</v>
      </c>
      <c r="F4368" s="1156">
        <f>4.5+0.15+0.15</f>
        <v>4.8000000000000007</v>
      </c>
      <c r="G4368" s="1156">
        <f>1+0.15</f>
        <v>1.1499999999999999</v>
      </c>
      <c r="H4368" s="1156">
        <v>0.3</v>
      </c>
      <c r="I4368" s="399">
        <f t="shared" si="146"/>
        <v>9.94</v>
      </c>
      <c r="J4368" s="374"/>
      <c r="K4368" s="1222"/>
      <c r="L4368" s="431"/>
      <c r="M4368" s="431"/>
      <c r="N4368" s="431"/>
    </row>
    <row r="4369" spans="1:14" s="398" customFormat="1" hidden="1" outlineLevel="1">
      <c r="A4369" s="1248"/>
      <c r="B4369" s="305"/>
      <c r="C4369" s="165"/>
      <c r="D4369" s="437"/>
      <c r="E4369" s="298"/>
      <c r="F4369" s="1156"/>
      <c r="G4369" s="1156"/>
      <c r="H4369" s="1156"/>
      <c r="I4369" s="399" t="str">
        <f t="shared" si="146"/>
        <v/>
      </c>
      <c r="J4369" s="374"/>
      <c r="K4369" s="1222"/>
      <c r="L4369" s="431"/>
      <c r="M4369" s="431"/>
      <c r="N4369" s="431"/>
    </row>
    <row r="4370" spans="1:14" s="398" customFormat="1" hidden="1" outlineLevel="1">
      <c r="A4370" s="1248"/>
      <c r="B4370" s="305" t="s">
        <v>263</v>
      </c>
      <c r="C4370" s="165" t="s">
        <v>2</v>
      </c>
      <c r="D4370" s="437">
        <v>1</v>
      </c>
      <c r="E4370" s="298">
        <v>3</v>
      </c>
      <c r="F4370" s="1156">
        <f>4.5+0.15+0.15</f>
        <v>4.8000000000000007</v>
      </c>
      <c r="G4370" s="1156">
        <f>1+0.15+0.15</f>
        <v>1.2999999999999998</v>
      </c>
      <c r="H4370" s="1156">
        <v>0.3</v>
      </c>
      <c r="I4370" s="399">
        <f t="shared" si="146"/>
        <v>5.62</v>
      </c>
      <c r="J4370" s="374"/>
      <c r="K4370" s="1222"/>
      <c r="L4370" s="431"/>
      <c r="M4370" s="431"/>
      <c r="N4370" s="431"/>
    </row>
    <row r="4371" spans="1:14" s="398" customFormat="1" hidden="1" outlineLevel="1">
      <c r="A4371" s="1248"/>
      <c r="B4371" s="305"/>
      <c r="C4371" s="165"/>
      <c r="D4371" s="437"/>
      <c r="E4371" s="298"/>
      <c r="F4371" s="1156"/>
      <c r="G4371" s="1156"/>
      <c r="H4371" s="1156"/>
      <c r="I4371" s="399" t="str">
        <f t="shared" si="146"/>
        <v/>
      </c>
      <c r="J4371" s="374"/>
      <c r="K4371" s="1222"/>
      <c r="L4371" s="431"/>
      <c r="M4371" s="431"/>
      <c r="N4371" s="431"/>
    </row>
    <row r="4372" spans="1:14" s="398" customFormat="1" hidden="1" outlineLevel="1">
      <c r="A4372" s="1248"/>
      <c r="B4372" s="305" t="s">
        <v>371</v>
      </c>
      <c r="C4372" s="165" t="s">
        <v>2</v>
      </c>
      <c r="D4372" s="437">
        <v>9</v>
      </c>
      <c r="E4372" s="298">
        <v>2</v>
      </c>
      <c r="F4372" s="1156">
        <f>1.5+3</f>
        <v>4.5</v>
      </c>
      <c r="G4372" s="1156">
        <v>0.2</v>
      </c>
      <c r="H4372" s="1156">
        <f>(0.8+1.25)/2</f>
        <v>1.0249999999999999</v>
      </c>
      <c r="I4372" s="399">
        <f t="shared" si="146"/>
        <v>16.61</v>
      </c>
      <c r="J4372" s="374"/>
      <c r="K4372" s="1222"/>
      <c r="L4372" s="431"/>
      <c r="M4372" s="431"/>
      <c r="N4372" s="431"/>
    </row>
    <row r="4373" spans="1:14" s="398" customFormat="1" hidden="1" outlineLevel="1">
      <c r="A4373" s="1248"/>
      <c r="B4373" s="305"/>
      <c r="C4373" s="165" t="s">
        <v>2</v>
      </c>
      <c r="D4373" s="437">
        <v>9</v>
      </c>
      <c r="E4373" s="298">
        <v>2</v>
      </c>
      <c r="F4373" s="1156">
        <v>0.6</v>
      </c>
      <c r="G4373" s="1156">
        <v>0.2</v>
      </c>
      <c r="H4373" s="1156">
        <f>0.5+0.3</f>
        <v>0.8</v>
      </c>
      <c r="I4373" s="399">
        <f t="shared" si="146"/>
        <v>1.73</v>
      </c>
      <c r="J4373" s="374"/>
      <c r="K4373" s="1222"/>
      <c r="L4373" s="431"/>
      <c r="M4373" s="431"/>
      <c r="N4373" s="431"/>
    </row>
    <row r="4374" spans="1:14" s="398" customFormat="1" ht="34.5" hidden="1" outlineLevel="1">
      <c r="A4374" s="1248"/>
      <c r="B4374" s="598" t="s">
        <v>675</v>
      </c>
      <c r="C4374" s="165"/>
      <c r="D4374" s="437"/>
      <c r="E4374" s="298"/>
      <c r="F4374" s="1156"/>
      <c r="G4374" s="1156"/>
      <c r="H4374" s="1156"/>
      <c r="I4374" s="399" t="str">
        <f t="shared" si="146"/>
        <v/>
      </c>
      <c r="J4374" s="374"/>
      <c r="K4374" s="1222"/>
      <c r="L4374" s="431"/>
      <c r="M4374" s="431"/>
      <c r="N4374" s="431"/>
    </row>
    <row r="4375" spans="1:14" s="398" customFormat="1" hidden="1" outlineLevel="1">
      <c r="A4375" s="1248"/>
      <c r="B4375" s="305"/>
      <c r="C4375" s="165"/>
      <c r="D4375" s="437"/>
      <c r="E4375" s="298"/>
      <c r="F4375" s="1156"/>
      <c r="G4375" s="1156"/>
      <c r="H4375" s="1156"/>
      <c r="I4375" s="399" t="str">
        <f t="shared" si="146"/>
        <v/>
      </c>
      <c r="J4375" s="374"/>
      <c r="K4375" s="1222"/>
      <c r="L4375" s="431"/>
      <c r="M4375" s="431"/>
      <c r="N4375" s="431"/>
    </row>
    <row r="4376" spans="1:14" s="398" customFormat="1" hidden="1" outlineLevel="1">
      <c r="A4376" s="1248"/>
      <c r="B4376" s="305" t="s">
        <v>263</v>
      </c>
      <c r="C4376" s="165" t="s">
        <v>2</v>
      </c>
      <c r="D4376" s="437">
        <v>1</v>
      </c>
      <c r="E4376" s="298">
        <v>6</v>
      </c>
      <c r="F4376" s="1156">
        <f>4.5+0.15+0.15</f>
        <v>4.8000000000000007</v>
      </c>
      <c r="G4376" s="1156">
        <f>1+0.15</f>
        <v>1.1499999999999999</v>
      </c>
      <c r="H4376" s="1156">
        <v>0.3</v>
      </c>
      <c r="I4376" s="399">
        <f t="shared" si="146"/>
        <v>9.94</v>
      </c>
      <c r="J4376" s="374"/>
      <c r="K4376" s="1222"/>
      <c r="L4376" s="431"/>
      <c r="M4376" s="431"/>
      <c r="N4376" s="431"/>
    </row>
    <row r="4377" spans="1:14" s="398" customFormat="1" hidden="1" outlineLevel="1">
      <c r="A4377" s="1248"/>
      <c r="B4377" s="305"/>
      <c r="C4377" s="165"/>
      <c r="D4377" s="437"/>
      <c r="E4377" s="298"/>
      <c r="F4377" s="1156"/>
      <c r="G4377" s="1156"/>
      <c r="H4377" s="1156"/>
      <c r="I4377" s="399" t="str">
        <f t="shared" si="146"/>
        <v/>
      </c>
      <c r="J4377" s="374"/>
      <c r="K4377" s="1222"/>
      <c r="L4377" s="431"/>
      <c r="M4377" s="431"/>
      <c r="N4377" s="431"/>
    </row>
    <row r="4378" spans="1:14" s="398" customFormat="1" hidden="1" outlineLevel="1">
      <c r="A4378" s="1248"/>
      <c r="B4378" s="305" t="s">
        <v>263</v>
      </c>
      <c r="C4378" s="165" t="s">
        <v>2</v>
      </c>
      <c r="D4378" s="437">
        <v>1</v>
      </c>
      <c r="E4378" s="298">
        <v>2</v>
      </c>
      <c r="F4378" s="1156">
        <f>4.5+0.15+0.15</f>
        <v>4.8000000000000007</v>
      </c>
      <c r="G4378" s="1156">
        <f>1+0.15+0.15</f>
        <v>1.2999999999999998</v>
      </c>
      <c r="H4378" s="1156">
        <v>0.3</v>
      </c>
      <c r="I4378" s="399">
        <f t="shared" si="146"/>
        <v>3.74</v>
      </c>
      <c r="J4378" s="374"/>
      <c r="K4378" s="1222"/>
      <c r="L4378" s="431"/>
      <c r="M4378" s="431"/>
      <c r="N4378" s="431"/>
    </row>
    <row r="4379" spans="1:14" s="398" customFormat="1" hidden="1" outlineLevel="1">
      <c r="A4379" s="1248"/>
      <c r="B4379" s="305"/>
      <c r="C4379" s="165"/>
      <c r="D4379" s="437"/>
      <c r="E4379" s="298"/>
      <c r="F4379" s="1156"/>
      <c r="G4379" s="1156"/>
      <c r="H4379" s="1156"/>
      <c r="I4379" s="399" t="str">
        <f t="shared" si="146"/>
        <v/>
      </c>
      <c r="J4379" s="374"/>
      <c r="K4379" s="1222"/>
      <c r="L4379" s="431"/>
      <c r="M4379" s="431"/>
      <c r="N4379" s="431"/>
    </row>
    <row r="4380" spans="1:14" s="398" customFormat="1" hidden="1" outlineLevel="1">
      <c r="A4380" s="1248"/>
      <c r="B4380" s="305" t="s">
        <v>371</v>
      </c>
      <c r="C4380" s="165" t="s">
        <v>2</v>
      </c>
      <c r="D4380" s="437">
        <v>8</v>
      </c>
      <c r="E4380" s="298">
        <v>2</v>
      </c>
      <c r="F4380" s="1156">
        <f>1.5+3</f>
        <v>4.5</v>
      </c>
      <c r="G4380" s="1156">
        <v>0.2</v>
      </c>
      <c r="H4380" s="1156">
        <f>(0.8+1.25)/2</f>
        <v>1.0249999999999999</v>
      </c>
      <c r="I4380" s="399">
        <f t="shared" si="146"/>
        <v>14.76</v>
      </c>
      <c r="J4380" s="374"/>
      <c r="K4380" s="1222"/>
      <c r="L4380" s="431"/>
      <c r="M4380" s="431"/>
      <c r="N4380" s="431"/>
    </row>
    <row r="4381" spans="1:14" s="398" customFormat="1" hidden="1" outlineLevel="1">
      <c r="A4381" s="1248"/>
      <c r="B4381" s="305"/>
      <c r="C4381" s="165" t="s">
        <v>2</v>
      </c>
      <c r="D4381" s="437">
        <v>8</v>
      </c>
      <c r="E4381" s="298">
        <v>2</v>
      </c>
      <c r="F4381" s="1156">
        <v>0.6</v>
      </c>
      <c r="G4381" s="1156">
        <v>0.2</v>
      </c>
      <c r="H4381" s="1156">
        <f>0.5+0.3</f>
        <v>0.8</v>
      </c>
      <c r="I4381" s="399">
        <f t="shared" si="146"/>
        <v>1.54</v>
      </c>
      <c r="J4381" s="374"/>
      <c r="K4381" s="1222"/>
      <c r="L4381" s="431"/>
      <c r="M4381" s="431"/>
      <c r="N4381" s="431"/>
    </row>
    <row r="4382" spans="1:14" s="398" customFormat="1" ht="51.75" hidden="1" outlineLevel="1">
      <c r="A4382" s="1248"/>
      <c r="B4382" s="303" t="s">
        <v>681</v>
      </c>
      <c r="C4382" s="165"/>
      <c r="D4382" s="437"/>
      <c r="E4382" s="298"/>
      <c r="F4382" s="1156" t="s">
        <v>624</v>
      </c>
      <c r="G4382" s="1156"/>
      <c r="H4382" s="1156"/>
      <c r="I4382" s="399" t="str">
        <f t="shared" si="146"/>
        <v/>
      </c>
      <c r="J4382" s="374"/>
      <c r="K4382" s="1222"/>
      <c r="L4382" s="431"/>
      <c r="M4382" s="431"/>
      <c r="N4382" s="431"/>
    </row>
    <row r="4383" spans="1:14" s="398" customFormat="1" hidden="1" outlineLevel="1">
      <c r="A4383" s="1248"/>
      <c r="B4383" s="305" t="s">
        <v>676</v>
      </c>
      <c r="C4383" s="165" t="s">
        <v>2</v>
      </c>
      <c r="D4383" s="437">
        <v>1</v>
      </c>
      <c r="E4383" s="298">
        <v>1</v>
      </c>
      <c r="F4383" s="1371">
        <f>3.14*10.86^2</f>
        <v>370.33034399999997</v>
      </c>
      <c r="G4383" s="1156"/>
      <c r="H4383" s="1156">
        <v>0.2</v>
      </c>
      <c r="I4383" s="399">
        <f t="shared" si="146"/>
        <v>74.069999999999993</v>
      </c>
      <c r="J4383" s="374"/>
      <c r="K4383" s="1222"/>
      <c r="L4383" s="431"/>
      <c r="M4383" s="431"/>
      <c r="N4383" s="431"/>
    </row>
    <row r="4384" spans="1:14" s="398" customFormat="1" hidden="1" outlineLevel="1">
      <c r="A4384" s="1248"/>
      <c r="B4384" s="305" t="s">
        <v>677</v>
      </c>
      <c r="C4384" s="165" t="s">
        <v>2</v>
      </c>
      <c r="D4384" s="437">
        <v>-1</v>
      </c>
      <c r="E4384" s="298">
        <v>1</v>
      </c>
      <c r="F4384" s="1371">
        <f>3.14*9.16^2</f>
        <v>263.46358400000003</v>
      </c>
      <c r="G4384" s="1156"/>
      <c r="H4384" s="1156">
        <v>0.2</v>
      </c>
      <c r="I4384" s="399">
        <f t="shared" si="146"/>
        <v>-52.69</v>
      </c>
      <c r="J4384" s="374"/>
      <c r="K4384" s="1222"/>
      <c r="L4384" s="431"/>
      <c r="M4384" s="431"/>
      <c r="N4384" s="431"/>
    </row>
    <row r="4385" spans="1:16" s="398" customFormat="1" hidden="1" outlineLevel="1">
      <c r="A4385" s="1248"/>
      <c r="B4385" s="305" t="s">
        <v>678</v>
      </c>
      <c r="C4385" s="165" t="s">
        <v>2</v>
      </c>
      <c r="D4385" s="437">
        <v>1</v>
      </c>
      <c r="E4385" s="298">
        <v>1</v>
      </c>
      <c r="F4385" s="1371">
        <f>3.14*20.52</f>
        <v>64.4328</v>
      </c>
      <c r="G4385" s="1156">
        <v>0.23</v>
      </c>
      <c r="H4385" s="1156">
        <f>0.75+0.45-0.15-0.1-0.2-0.055-0.15</f>
        <v>0.54499999999999993</v>
      </c>
      <c r="I4385" s="399">
        <f t="shared" si="146"/>
        <v>8.08</v>
      </c>
      <c r="J4385" s="374"/>
      <c r="K4385" s="1222"/>
      <c r="L4385" s="431"/>
      <c r="M4385" s="431"/>
      <c r="N4385" s="431"/>
    </row>
    <row r="4386" spans="1:16" s="398" customFormat="1" hidden="1" outlineLevel="1">
      <c r="A4386" s="1248"/>
      <c r="B4386" s="303" t="s">
        <v>679</v>
      </c>
      <c r="C4386" s="165" t="s">
        <v>2</v>
      </c>
      <c r="D4386" s="437">
        <v>1</v>
      </c>
      <c r="E4386" s="298">
        <v>1</v>
      </c>
      <c r="F4386" s="1371">
        <f>3.14*20.52</f>
        <v>64.4328</v>
      </c>
      <c r="G4386" s="1156">
        <v>0.39</v>
      </c>
      <c r="H4386" s="1156">
        <v>0.15</v>
      </c>
      <c r="I4386" s="399">
        <f t="shared" si="146"/>
        <v>3.77</v>
      </c>
      <c r="J4386" s="374"/>
      <c r="K4386" s="1222"/>
      <c r="L4386" s="431"/>
      <c r="M4386" s="431"/>
      <c r="N4386" s="431"/>
    </row>
    <row r="4387" spans="1:16" s="398" customFormat="1" hidden="1" outlineLevel="1">
      <c r="A4387" s="1248"/>
      <c r="B4387" s="305"/>
      <c r="C4387" s="165"/>
      <c r="D4387" s="437"/>
      <c r="E4387" s="298"/>
      <c r="F4387" s="1371"/>
      <c r="G4387" s="1156"/>
      <c r="H4387" s="1156"/>
      <c r="I4387" s="399" t="str">
        <f t="shared" si="146"/>
        <v/>
      </c>
      <c r="J4387" s="374"/>
      <c r="K4387" s="1222"/>
      <c r="L4387" s="431"/>
      <c r="M4387" s="431"/>
      <c r="N4387" s="431"/>
    </row>
    <row r="4388" spans="1:16" s="398" customFormat="1" hidden="1" outlineLevel="1">
      <c r="A4388" s="1248"/>
      <c r="B4388" s="598" t="s">
        <v>680</v>
      </c>
      <c r="C4388" s="165"/>
      <c r="D4388" s="437"/>
      <c r="E4388" s="298"/>
      <c r="F4388" s="1156"/>
      <c r="G4388" s="1156"/>
      <c r="H4388" s="1156"/>
      <c r="I4388" s="399" t="str">
        <f t="shared" si="146"/>
        <v/>
      </c>
      <c r="J4388" s="374"/>
      <c r="K4388" s="1222"/>
      <c r="L4388" s="431"/>
      <c r="M4388" s="431"/>
      <c r="N4388" s="431"/>
    </row>
    <row r="4389" spans="1:16" s="398" customFormat="1" hidden="1" outlineLevel="1">
      <c r="A4389" s="1248"/>
      <c r="B4389" s="305"/>
      <c r="C4389" s="165" t="s">
        <v>2</v>
      </c>
      <c r="D4389" s="437">
        <v>1</v>
      </c>
      <c r="E4389" s="298">
        <v>1</v>
      </c>
      <c r="F4389" s="1156">
        <f>28-0.23-0.23</f>
        <v>27.54</v>
      </c>
      <c r="G4389" s="1156">
        <v>14.19</v>
      </c>
      <c r="H4389" s="1156">
        <v>0.125</v>
      </c>
      <c r="I4389" s="399">
        <f t="shared" ref="I4389:I4452" si="147">IF(D4389&lt;&gt;0,ROUND(PRODUCT(E4389:H4389)*D4389,2),"")</f>
        <v>48.85</v>
      </c>
      <c r="J4389" s="374"/>
      <c r="K4389" s="1222"/>
      <c r="L4389" s="431"/>
      <c r="M4389" s="431"/>
      <c r="N4389" s="431"/>
    </row>
    <row r="4390" spans="1:16" s="165" customFormat="1" hidden="1" outlineLevel="1">
      <c r="A4390" s="1256"/>
      <c r="B4390" s="597">
        <v>0.1</v>
      </c>
      <c r="C4390" s="329" t="s">
        <v>2</v>
      </c>
      <c r="D4390" s="330">
        <v>-1</v>
      </c>
      <c r="E4390" s="629"/>
      <c r="F4390" s="1361">
        <v>31.987000000000013</v>
      </c>
      <c r="G4390" s="1361"/>
      <c r="H4390" s="1361"/>
      <c r="I4390" s="399">
        <f t="shared" si="147"/>
        <v>-31.99</v>
      </c>
      <c r="J4390" s="332"/>
      <c r="K4390" s="1224"/>
      <c r="L4390" s="164"/>
      <c r="M4390" s="164"/>
      <c r="N4390" s="164"/>
    </row>
    <row r="4391" spans="1:16" s="398" customFormat="1" ht="51.75" hidden="1" outlineLevel="1">
      <c r="A4391" s="1221"/>
      <c r="B4391" s="592" t="s">
        <v>962</v>
      </c>
      <c r="C4391" s="165" t="s">
        <v>2</v>
      </c>
      <c r="D4391" s="631"/>
      <c r="E4391" s="632"/>
      <c r="F4391" s="486"/>
      <c r="G4391" s="486"/>
      <c r="H4391" s="486"/>
      <c r="I4391" s="399" t="str">
        <f t="shared" si="147"/>
        <v/>
      </c>
      <c r="J4391" s="403"/>
      <c r="K4391" s="1234"/>
      <c r="L4391" s="431"/>
      <c r="M4391" s="431"/>
      <c r="N4391" s="431"/>
      <c r="O4391" s="431"/>
      <c r="P4391" s="431"/>
    </row>
    <row r="4392" spans="1:16" s="526" customFormat="1" ht="34.5" hidden="1" outlineLevel="1">
      <c r="A4392" s="1280"/>
      <c r="B4392" s="297" t="s">
        <v>959</v>
      </c>
      <c r="C4392" s="498" t="s">
        <v>2</v>
      </c>
      <c r="D4392" s="296"/>
      <c r="E4392" s="295"/>
      <c r="F4392" s="1205"/>
      <c r="G4392" s="1205"/>
      <c r="H4392" s="1205"/>
      <c r="I4392" s="399" t="str">
        <f t="shared" si="147"/>
        <v/>
      </c>
      <c r="J4392" s="483"/>
      <c r="K4392" s="1266"/>
    </row>
    <row r="4393" spans="1:16" s="526" customFormat="1" hidden="1" outlineLevel="1">
      <c r="A4393" s="1281"/>
      <c r="B4393" s="297" t="s">
        <v>810</v>
      </c>
      <c r="C4393" s="498" t="s">
        <v>2</v>
      </c>
      <c r="D4393" s="296">
        <v>1</v>
      </c>
      <c r="E4393" s="295">
        <v>1</v>
      </c>
      <c r="F4393" s="1204">
        <v>9.81</v>
      </c>
      <c r="G4393" s="1205">
        <v>0.23</v>
      </c>
      <c r="H4393" s="1205">
        <v>0.2</v>
      </c>
      <c r="I4393" s="399">
        <f t="shared" si="147"/>
        <v>0.45</v>
      </c>
      <c r="J4393" s="493"/>
      <c r="K4393" s="1266"/>
    </row>
    <row r="4394" spans="1:16" s="398" customFormat="1" hidden="1" outlineLevel="1">
      <c r="A4394" s="1221"/>
      <c r="B4394" s="592"/>
      <c r="C4394" s="498" t="s">
        <v>2</v>
      </c>
      <c r="D4394" s="296">
        <v>1</v>
      </c>
      <c r="E4394" s="295">
        <v>1</v>
      </c>
      <c r="F4394" s="1205">
        <f>9.395+G4394</f>
        <v>9.625</v>
      </c>
      <c r="G4394" s="1205">
        <v>0.23</v>
      </c>
      <c r="H4394" s="1205">
        <v>0.2</v>
      </c>
      <c r="I4394" s="399">
        <f t="shared" si="147"/>
        <v>0.44</v>
      </c>
      <c r="J4394" s="403"/>
      <c r="K4394" s="1234"/>
      <c r="L4394" s="431"/>
      <c r="M4394" s="431"/>
      <c r="N4394" s="431"/>
      <c r="O4394" s="431"/>
      <c r="P4394" s="431"/>
    </row>
    <row r="4395" spans="1:16" s="526" customFormat="1" hidden="1" outlineLevel="1">
      <c r="A4395" s="1281"/>
      <c r="B4395" s="297" t="s">
        <v>811</v>
      </c>
      <c r="C4395" s="498" t="s">
        <v>2</v>
      </c>
      <c r="D4395" s="296">
        <v>1</v>
      </c>
      <c r="E4395" s="295">
        <v>2</v>
      </c>
      <c r="F4395" s="1204">
        <v>8.3699999999999992</v>
      </c>
      <c r="G4395" s="1205">
        <v>0.23</v>
      </c>
      <c r="H4395" s="1205">
        <v>0.2</v>
      </c>
      <c r="I4395" s="399">
        <f t="shared" si="147"/>
        <v>0.77</v>
      </c>
      <c r="J4395" s="483"/>
      <c r="K4395" s="1266"/>
    </row>
    <row r="4396" spans="1:16" s="526" customFormat="1" hidden="1" outlineLevel="1">
      <c r="A4396" s="1281"/>
      <c r="B4396" s="297" t="s">
        <v>812</v>
      </c>
      <c r="C4396" s="498" t="s">
        <v>2</v>
      </c>
      <c r="D4396" s="296">
        <v>1</v>
      </c>
      <c r="E4396" s="295">
        <v>2</v>
      </c>
      <c r="F4396" s="1204">
        <v>6.8460000000000001</v>
      </c>
      <c r="G4396" s="1205">
        <v>0.23</v>
      </c>
      <c r="H4396" s="1205">
        <v>0.2</v>
      </c>
      <c r="I4396" s="399">
        <f t="shared" si="147"/>
        <v>0.63</v>
      </c>
      <c r="J4396" s="483"/>
      <c r="K4396" s="1266"/>
    </row>
    <row r="4397" spans="1:16" s="526" customFormat="1" hidden="1" outlineLevel="1">
      <c r="A4397" s="1281"/>
      <c r="B4397" s="297" t="s">
        <v>813</v>
      </c>
      <c r="C4397" s="498" t="s">
        <v>2</v>
      </c>
      <c r="D4397" s="296">
        <v>1</v>
      </c>
      <c r="E4397" s="295">
        <v>2</v>
      </c>
      <c r="F4397" s="1204">
        <v>5.0149999999999997</v>
      </c>
      <c r="G4397" s="1205">
        <v>0.23</v>
      </c>
      <c r="H4397" s="1205">
        <v>0.2</v>
      </c>
      <c r="I4397" s="399">
        <f t="shared" si="147"/>
        <v>0.46</v>
      </c>
      <c r="J4397" s="483"/>
      <c r="K4397" s="1266"/>
    </row>
    <row r="4398" spans="1:16" s="526" customFormat="1" hidden="1" outlineLevel="1">
      <c r="A4398" s="1281"/>
      <c r="B4398" s="297" t="s">
        <v>814</v>
      </c>
      <c r="C4398" s="498" t="s">
        <v>2</v>
      </c>
      <c r="D4398" s="296">
        <v>1</v>
      </c>
      <c r="E4398" s="295">
        <v>1</v>
      </c>
      <c r="F4398" s="1204">
        <v>3.49</v>
      </c>
      <c r="G4398" s="1205">
        <v>0.23</v>
      </c>
      <c r="H4398" s="1205">
        <v>0.2</v>
      </c>
      <c r="I4398" s="399">
        <f t="shared" si="147"/>
        <v>0.16</v>
      </c>
      <c r="J4398" s="483"/>
      <c r="K4398" s="1266"/>
    </row>
    <row r="4399" spans="1:16" s="464" customFormat="1" hidden="1" outlineLevel="1">
      <c r="A4399" s="1282"/>
      <c r="B4399" s="591"/>
      <c r="C4399" s="346" t="s">
        <v>2</v>
      </c>
      <c r="D4399" s="849">
        <f>1*0</f>
        <v>0</v>
      </c>
      <c r="E4399" s="348">
        <v>1</v>
      </c>
      <c r="F4399" s="1365">
        <f>3.33+G4399*2</f>
        <v>3.79</v>
      </c>
      <c r="G4399" s="1365">
        <v>0.23</v>
      </c>
      <c r="H4399" s="1365">
        <v>0.2</v>
      </c>
      <c r="I4399" s="399" t="str">
        <f t="shared" si="147"/>
        <v/>
      </c>
      <c r="J4399" s="615"/>
      <c r="K4399" s="1283"/>
      <c r="L4399" s="463"/>
      <c r="M4399" s="463"/>
      <c r="N4399" s="463"/>
      <c r="O4399" s="463"/>
      <c r="P4399" s="463"/>
    </row>
    <row r="4400" spans="1:16" s="398" customFormat="1" hidden="1" outlineLevel="1">
      <c r="A4400" s="1221"/>
      <c r="B4400" s="592" t="s">
        <v>815</v>
      </c>
      <c r="C4400" s="498" t="s">
        <v>2</v>
      </c>
      <c r="D4400" s="296">
        <v>1</v>
      </c>
      <c r="E4400" s="484">
        <v>5</v>
      </c>
      <c r="F4400" s="1204">
        <v>0.6</v>
      </c>
      <c r="G4400" s="1205">
        <v>0.23</v>
      </c>
      <c r="H4400" s="1205">
        <v>0.2</v>
      </c>
      <c r="I4400" s="399">
        <f t="shared" si="147"/>
        <v>0.14000000000000001</v>
      </c>
      <c r="J4400" s="404"/>
      <c r="K4400" s="1234"/>
      <c r="L4400" s="431"/>
      <c r="M4400" s="431"/>
      <c r="N4400" s="431"/>
    </row>
    <row r="4401" spans="1:14" s="398" customFormat="1" hidden="1" outlineLevel="1">
      <c r="A4401" s="1221"/>
      <c r="B4401" s="592"/>
      <c r="C4401" s="165" t="s">
        <v>2</v>
      </c>
      <c r="D4401" s="485"/>
      <c r="E4401" s="408"/>
      <c r="F4401" s="486"/>
      <c r="G4401" s="486"/>
      <c r="H4401" s="486"/>
      <c r="I4401" s="399" t="str">
        <f t="shared" si="147"/>
        <v/>
      </c>
      <c r="J4401" s="404"/>
      <c r="K4401" s="1234"/>
      <c r="L4401" s="431"/>
      <c r="M4401" s="431"/>
      <c r="N4401" s="431"/>
    </row>
    <row r="4402" spans="1:14" s="398" customFormat="1" ht="51.75" hidden="1" outlineLevel="1">
      <c r="A4402" s="1221"/>
      <c r="B4402" s="592" t="s">
        <v>963</v>
      </c>
      <c r="C4402" s="165" t="s">
        <v>2</v>
      </c>
      <c r="D4402" s="485"/>
      <c r="E4402" s="408"/>
      <c r="F4402" s="1511"/>
      <c r="G4402" s="1511"/>
      <c r="H4402" s="1511"/>
      <c r="I4402" s="399" t="str">
        <f t="shared" si="147"/>
        <v/>
      </c>
      <c r="J4402" s="404"/>
      <c r="K4402" s="1234"/>
      <c r="L4402" s="431"/>
      <c r="M4402" s="431"/>
      <c r="N4402" s="431"/>
    </row>
    <row r="4403" spans="1:14" s="398" customFormat="1" hidden="1" outlineLevel="1">
      <c r="A4403" s="1221"/>
      <c r="B4403" s="425"/>
      <c r="C4403" s="498" t="s">
        <v>2</v>
      </c>
      <c r="D4403" s="296">
        <v>1</v>
      </c>
      <c r="E4403" s="484">
        <v>1</v>
      </c>
      <c r="F4403" s="486">
        <v>6</v>
      </c>
      <c r="G4403" s="486">
        <v>2</v>
      </c>
      <c r="H4403" s="486">
        <v>0.1</v>
      </c>
      <c r="I4403" s="399">
        <f t="shared" si="147"/>
        <v>1.2</v>
      </c>
      <c r="J4403" s="404"/>
      <c r="K4403" s="1234"/>
      <c r="L4403" s="431"/>
      <c r="M4403" s="431"/>
      <c r="N4403" s="431"/>
    </row>
    <row r="4404" spans="1:14" s="398" customFormat="1" hidden="1" outlineLevel="1">
      <c r="A4404" s="1221"/>
      <c r="B4404" s="425"/>
      <c r="C4404" s="498" t="s">
        <v>2</v>
      </c>
      <c r="D4404" s="485">
        <v>1</v>
      </c>
      <c r="E4404" s="487">
        <v>1</v>
      </c>
      <c r="F4404" s="662">
        <v>2.9249999999999998</v>
      </c>
      <c r="G4404" s="486">
        <v>3</v>
      </c>
      <c r="H4404" s="486">
        <v>0.1</v>
      </c>
      <c r="I4404" s="399">
        <f t="shared" si="147"/>
        <v>0.88</v>
      </c>
      <c r="J4404" s="404"/>
      <c r="K4404" s="1234"/>
      <c r="L4404" s="431"/>
      <c r="M4404" s="431"/>
      <c r="N4404" s="431"/>
    </row>
    <row r="4405" spans="1:14" s="398" customFormat="1" hidden="1" outlineLevel="1">
      <c r="A4405" s="1221"/>
      <c r="B4405" s="425"/>
      <c r="C4405" s="498" t="s">
        <v>2</v>
      </c>
      <c r="D4405" s="485"/>
      <c r="E4405" s="408"/>
      <c r="F4405" s="486"/>
      <c r="G4405" s="486"/>
      <c r="H4405" s="486"/>
      <c r="I4405" s="399" t="str">
        <f t="shared" si="147"/>
        <v/>
      </c>
      <c r="J4405" s="404"/>
      <c r="K4405" s="1234"/>
      <c r="L4405" s="431"/>
      <c r="M4405" s="431"/>
      <c r="N4405" s="431"/>
    </row>
    <row r="4406" spans="1:14" s="398" customFormat="1" ht="34.5" hidden="1" outlineLevel="1">
      <c r="A4406" s="1221"/>
      <c r="B4406" s="592" t="s">
        <v>964</v>
      </c>
      <c r="C4406" s="165" t="s">
        <v>2</v>
      </c>
      <c r="D4406" s="485"/>
      <c r="E4406" s="408"/>
      <c r="F4406" s="1511"/>
      <c r="G4406" s="1511"/>
      <c r="H4406" s="1511"/>
      <c r="I4406" s="399" t="str">
        <f t="shared" si="147"/>
        <v/>
      </c>
      <c r="J4406" s="404"/>
      <c r="K4406" s="1234"/>
      <c r="L4406" s="431"/>
      <c r="M4406" s="431"/>
      <c r="N4406" s="431"/>
    </row>
    <row r="4407" spans="1:14" s="398" customFormat="1" hidden="1" outlineLevel="1">
      <c r="A4407" s="1221"/>
      <c r="B4407" s="425"/>
      <c r="C4407" s="498" t="s">
        <v>2</v>
      </c>
      <c r="D4407" s="296">
        <v>1</v>
      </c>
      <c r="E4407" s="484">
        <v>1</v>
      </c>
      <c r="F4407" s="486">
        <v>6</v>
      </c>
      <c r="G4407" s="486">
        <v>2</v>
      </c>
      <c r="H4407" s="486">
        <v>0.1</v>
      </c>
      <c r="I4407" s="399">
        <f t="shared" si="147"/>
        <v>1.2</v>
      </c>
      <c r="J4407" s="404"/>
      <c r="K4407" s="1234"/>
      <c r="L4407" s="431"/>
      <c r="M4407" s="431"/>
      <c r="N4407" s="431"/>
    </row>
    <row r="4408" spans="1:14" s="398" customFormat="1" hidden="1" outlineLevel="1">
      <c r="A4408" s="1221"/>
      <c r="B4408" s="425"/>
      <c r="C4408" s="498" t="s">
        <v>2</v>
      </c>
      <c r="D4408" s="485">
        <v>1</v>
      </c>
      <c r="E4408" s="487">
        <v>1</v>
      </c>
      <c r="F4408" s="662">
        <v>2.9249999999999998</v>
      </c>
      <c r="G4408" s="486">
        <v>3</v>
      </c>
      <c r="H4408" s="486">
        <v>0.1</v>
      </c>
      <c r="I4408" s="399">
        <f t="shared" si="147"/>
        <v>0.88</v>
      </c>
      <c r="J4408" s="404"/>
      <c r="K4408" s="1234"/>
      <c r="L4408" s="431"/>
      <c r="M4408" s="431"/>
      <c r="N4408" s="431"/>
    </row>
    <row r="4409" spans="1:14" s="398" customFormat="1" hidden="1" outlineLevel="1">
      <c r="A4409" s="1221"/>
      <c r="B4409" s="425"/>
      <c r="C4409" s="498" t="s">
        <v>2</v>
      </c>
      <c r="D4409" s="485"/>
      <c r="E4409" s="408"/>
      <c r="F4409" s="486"/>
      <c r="G4409" s="486"/>
      <c r="H4409" s="486"/>
      <c r="I4409" s="399" t="str">
        <f t="shared" si="147"/>
        <v/>
      </c>
      <c r="J4409" s="404"/>
      <c r="K4409" s="1234"/>
      <c r="L4409" s="431"/>
      <c r="M4409" s="431"/>
      <c r="N4409" s="431"/>
    </row>
    <row r="4410" spans="1:14" s="398" customFormat="1" ht="34.5" hidden="1" outlineLevel="1">
      <c r="A4410" s="1221"/>
      <c r="B4410" s="592" t="s">
        <v>965</v>
      </c>
      <c r="C4410" s="165" t="s">
        <v>2</v>
      </c>
      <c r="D4410" s="485"/>
      <c r="E4410" s="408"/>
      <c r="F4410" s="1511"/>
      <c r="G4410" s="1511"/>
      <c r="H4410" s="1511"/>
      <c r="I4410" s="399" t="str">
        <f t="shared" si="147"/>
        <v/>
      </c>
      <c r="J4410" s="404"/>
      <c r="K4410" s="1234"/>
      <c r="L4410" s="431"/>
      <c r="M4410" s="431"/>
      <c r="N4410" s="431"/>
    </row>
    <row r="4411" spans="1:14" s="398" customFormat="1" hidden="1" outlineLevel="1">
      <c r="A4411" s="1221"/>
      <c r="B4411" s="425"/>
      <c r="C4411" s="498" t="s">
        <v>2</v>
      </c>
      <c r="D4411" s="296">
        <v>1</v>
      </c>
      <c r="E4411" s="484">
        <v>1</v>
      </c>
      <c r="F4411" s="486">
        <v>6</v>
      </c>
      <c r="G4411" s="486">
        <v>2</v>
      </c>
      <c r="H4411" s="486">
        <v>0.1</v>
      </c>
      <c r="I4411" s="399">
        <f t="shared" si="147"/>
        <v>1.2</v>
      </c>
      <c r="J4411" s="404"/>
      <c r="K4411" s="1234"/>
      <c r="L4411" s="431"/>
      <c r="M4411" s="431"/>
      <c r="N4411" s="431"/>
    </row>
    <row r="4412" spans="1:14" s="398" customFormat="1" hidden="1" outlineLevel="1">
      <c r="A4412" s="1221"/>
      <c r="B4412" s="425"/>
      <c r="C4412" s="498" t="s">
        <v>2</v>
      </c>
      <c r="D4412" s="485">
        <v>1</v>
      </c>
      <c r="E4412" s="487">
        <v>1</v>
      </c>
      <c r="F4412" s="662">
        <v>2.9249999999999998</v>
      </c>
      <c r="G4412" s="486">
        <v>3</v>
      </c>
      <c r="H4412" s="486">
        <v>0.1</v>
      </c>
      <c r="I4412" s="399">
        <f t="shared" si="147"/>
        <v>0.88</v>
      </c>
      <c r="J4412" s="404"/>
      <c r="K4412" s="1234"/>
      <c r="L4412" s="431"/>
      <c r="M4412" s="431"/>
      <c r="N4412" s="431"/>
    </row>
    <row r="4413" spans="1:14" s="398" customFormat="1" hidden="1" outlineLevel="1">
      <c r="A4413" s="1221"/>
      <c r="B4413" s="425"/>
      <c r="C4413" s="498" t="s">
        <v>2</v>
      </c>
      <c r="D4413" s="485"/>
      <c r="E4413" s="408"/>
      <c r="F4413" s="486"/>
      <c r="G4413" s="486"/>
      <c r="H4413" s="486"/>
      <c r="I4413" s="399" t="str">
        <f t="shared" si="147"/>
        <v/>
      </c>
      <c r="J4413" s="404"/>
      <c r="K4413" s="1234"/>
      <c r="L4413" s="431"/>
      <c r="M4413" s="431"/>
      <c r="N4413" s="431"/>
    </row>
    <row r="4414" spans="1:14" s="398" customFormat="1" ht="34.5" hidden="1" outlineLevel="1">
      <c r="A4414" s="1221"/>
      <c r="B4414" s="592" t="s">
        <v>966</v>
      </c>
      <c r="C4414" s="165" t="s">
        <v>2</v>
      </c>
      <c r="D4414" s="485"/>
      <c r="E4414" s="408"/>
      <c r="F4414" s="1511"/>
      <c r="G4414" s="1511"/>
      <c r="H4414" s="1511"/>
      <c r="I4414" s="399" t="str">
        <f t="shared" si="147"/>
        <v/>
      </c>
      <c r="J4414" s="404"/>
      <c r="K4414" s="1234"/>
      <c r="L4414" s="431"/>
      <c r="M4414" s="431"/>
      <c r="N4414" s="431"/>
    </row>
    <row r="4415" spans="1:14" s="398" customFormat="1" hidden="1" outlineLevel="1">
      <c r="A4415" s="1221"/>
      <c r="B4415" s="425"/>
      <c r="C4415" s="498" t="s">
        <v>2</v>
      </c>
      <c r="D4415" s="296">
        <v>1</v>
      </c>
      <c r="E4415" s="484">
        <v>1</v>
      </c>
      <c r="F4415" s="486">
        <v>6</v>
      </c>
      <c r="G4415" s="486">
        <v>2</v>
      </c>
      <c r="H4415" s="486">
        <v>0.1</v>
      </c>
      <c r="I4415" s="399">
        <f t="shared" si="147"/>
        <v>1.2</v>
      </c>
      <c r="J4415" s="404"/>
      <c r="K4415" s="1234"/>
      <c r="L4415" s="431"/>
      <c r="M4415" s="431"/>
      <c r="N4415" s="431"/>
    </row>
    <row r="4416" spans="1:14" s="398" customFormat="1" hidden="1" outlineLevel="1">
      <c r="A4416" s="1221"/>
      <c r="B4416" s="425"/>
      <c r="C4416" s="498" t="s">
        <v>2</v>
      </c>
      <c r="D4416" s="485">
        <v>1</v>
      </c>
      <c r="E4416" s="487">
        <v>1</v>
      </c>
      <c r="F4416" s="662">
        <v>2.9249999999999998</v>
      </c>
      <c r="G4416" s="486">
        <v>3</v>
      </c>
      <c r="H4416" s="486">
        <v>0.1</v>
      </c>
      <c r="I4416" s="399">
        <f t="shared" si="147"/>
        <v>0.88</v>
      </c>
      <c r="J4416" s="404"/>
      <c r="K4416" s="1234"/>
      <c r="L4416" s="431"/>
      <c r="M4416" s="431"/>
      <c r="N4416" s="431"/>
    </row>
    <row r="4417" spans="1:14" s="398" customFormat="1" hidden="1" outlineLevel="1">
      <c r="A4417" s="1221"/>
      <c r="B4417" s="425"/>
      <c r="C4417" s="498" t="s">
        <v>2</v>
      </c>
      <c r="D4417" s="485"/>
      <c r="E4417" s="408"/>
      <c r="F4417" s="486"/>
      <c r="G4417" s="486"/>
      <c r="H4417" s="486"/>
      <c r="I4417" s="399" t="str">
        <f t="shared" si="147"/>
        <v/>
      </c>
      <c r="J4417" s="404"/>
      <c r="K4417" s="1234"/>
      <c r="L4417" s="431"/>
      <c r="M4417" s="431"/>
      <c r="N4417" s="431"/>
    </row>
    <row r="4418" spans="1:14" s="398" customFormat="1" hidden="1" outlineLevel="1">
      <c r="A4418" s="1221"/>
      <c r="B4418" s="593" t="s">
        <v>967</v>
      </c>
      <c r="C4418" s="498" t="s">
        <v>2</v>
      </c>
      <c r="D4418" s="485"/>
      <c r="E4418" s="408"/>
      <c r="F4418" s="486"/>
      <c r="G4418" s="486"/>
      <c r="H4418" s="486"/>
      <c r="I4418" s="399" t="str">
        <f t="shared" si="147"/>
        <v/>
      </c>
      <c r="J4418" s="404"/>
      <c r="K4418" s="1234"/>
      <c r="L4418" s="431"/>
      <c r="M4418" s="431"/>
      <c r="N4418" s="431"/>
    </row>
    <row r="4419" spans="1:14" s="322" customFormat="1" hidden="1" outlineLevel="1">
      <c r="A4419" s="1284"/>
      <c r="B4419" s="358"/>
      <c r="C4419" s="498" t="s">
        <v>2</v>
      </c>
      <c r="D4419" s="490">
        <v>1</v>
      </c>
      <c r="E4419" s="387">
        <v>1</v>
      </c>
      <c r="F4419" s="1372">
        <v>7.625</v>
      </c>
      <c r="G4419" s="1372">
        <v>0.23</v>
      </c>
      <c r="H4419" s="1372">
        <v>0.2</v>
      </c>
      <c r="I4419" s="399">
        <f t="shared" si="147"/>
        <v>0.35</v>
      </c>
      <c r="J4419" s="491"/>
      <c r="K4419" s="1285"/>
    </row>
    <row r="4420" spans="1:14" s="322" customFormat="1" hidden="1" outlineLevel="1">
      <c r="A4420" s="1284"/>
      <c r="B4420" s="358"/>
      <c r="C4420" s="498" t="s">
        <v>2</v>
      </c>
      <c r="D4420" s="490">
        <v>1</v>
      </c>
      <c r="E4420" s="387">
        <v>1</v>
      </c>
      <c r="F4420" s="1372">
        <v>1.1000000000000001</v>
      </c>
      <c r="G4420" s="1372">
        <v>0.23</v>
      </c>
      <c r="H4420" s="1372">
        <v>0.2</v>
      </c>
      <c r="I4420" s="399">
        <f t="shared" si="147"/>
        <v>0.05</v>
      </c>
      <c r="J4420" s="491"/>
      <c r="K4420" s="1285"/>
    </row>
    <row r="4421" spans="1:14" s="398" customFormat="1" ht="34.5" hidden="1" outlineLevel="1">
      <c r="A4421" s="1221"/>
      <c r="B4421" s="593" t="s">
        <v>968</v>
      </c>
      <c r="C4421" s="498" t="s">
        <v>2</v>
      </c>
      <c r="D4421" s="485"/>
      <c r="E4421" s="408"/>
      <c r="F4421" s="486"/>
      <c r="G4421" s="486"/>
      <c r="H4421" s="486"/>
      <c r="I4421" s="399" t="str">
        <f t="shared" si="147"/>
        <v/>
      </c>
      <c r="J4421" s="404"/>
      <c r="K4421" s="1234"/>
      <c r="L4421" s="431"/>
      <c r="M4421" s="431"/>
      <c r="N4421" s="431"/>
    </row>
    <row r="4422" spans="1:14" s="322" customFormat="1" hidden="1" outlineLevel="1">
      <c r="A4422" s="1284"/>
      <c r="B4422" s="358"/>
      <c r="C4422" s="498" t="s">
        <v>2</v>
      </c>
      <c r="D4422" s="490">
        <v>1</v>
      </c>
      <c r="E4422" s="387">
        <v>1</v>
      </c>
      <c r="F4422" s="1372">
        <v>7.625</v>
      </c>
      <c r="G4422" s="1372">
        <v>0.23</v>
      </c>
      <c r="H4422" s="1372">
        <v>0.2</v>
      </c>
      <c r="I4422" s="399">
        <f t="shared" si="147"/>
        <v>0.35</v>
      </c>
      <c r="J4422" s="491"/>
      <c r="K4422" s="1285"/>
    </row>
    <row r="4423" spans="1:14" s="322" customFormat="1" hidden="1" outlineLevel="1">
      <c r="A4423" s="1284"/>
      <c r="B4423" s="358"/>
      <c r="C4423" s="498" t="s">
        <v>2</v>
      </c>
      <c r="D4423" s="490">
        <v>1</v>
      </c>
      <c r="E4423" s="387">
        <v>1</v>
      </c>
      <c r="F4423" s="1372">
        <v>7.125</v>
      </c>
      <c r="G4423" s="1372">
        <v>0.23</v>
      </c>
      <c r="H4423" s="1372">
        <v>0.2</v>
      </c>
      <c r="I4423" s="399">
        <f t="shared" si="147"/>
        <v>0.33</v>
      </c>
      <c r="J4423" s="491"/>
      <c r="K4423" s="1285"/>
    </row>
    <row r="4424" spans="1:14" s="322" customFormat="1" hidden="1" outlineLevel="1">
      <c r="A4424" s="1284"/>
      <c r="B4424" s="358"/>
      <c r="C4424" s="499" t="s">
        <v>2</v>
      </c>
      <c r="D4424" s="490"/>
      <c r="E4424" s="387"/>
      <c r="F4424" s="1372"/>
      <c r="G4424" s="1372"/>
      <c r="H4424" s="1372"/>
      <c r="I4424" s="399" t="str">
        <f t="shared" si="147"/>
        <v/>
      </c>
      <c r="J4424" s="491"/>
      <c r="K4424" s="1285"/>
    </row>
    <row r="4425" spans="1:14" s="398" customFormat="1" ht="34.5" hidden="1" outlineLevel="1">
      <c r="A4425" s="1221"/>
      <c r="B4425" s="592" t="s">
        <v>969</v>
      </c>
      <c r="C4425" s="498" t="s">
        <v>2</v>
      </c>
      <c r="D4425" s="490"/>
      <c r="E4425" s="387"/>
      <c r="F4425" s="1372"/>
      <c r="G4425" s="1372"/>
      <c r="H4425" s="1372"/>
      <c r="I4425" s="399" t="str">
        <f t="shared" si="147"/>
        <v/>
      </c>
      <c r="J4425" s="404"/>
      <c r="K4425" s="1234"/>
      <c r="L4425" s="431"/>
      <c r="M4425" s="431"/>
      <c r="N4425" s="431"/>
    </row>
    <row r="4426" spans="1:14" s="398" customFormat="1" ht="34.5" hidden="1" outlineLevel="1">
      <c r="A4426" s="1221"/>
      <c r="B4426" s="425" t="s">
        <v>960</v>
      </c>
      <c r="C4426" s="165" t="s">
        <v>2</v>
      </c>
      <c r="D4426" s="437">
        <v>1</v>
      </c>
      <c r="E4426" s="414">
        <v>1</v>
      </c>
      <c r="F4426" s="1372">
        <v>24.945</v>
      </c>
      <c r="G4426" s="486">
        <v>0.23</v>
      </c>
      <c r="H4426" s="486">
        <v>0.2</v>
      </c>
      <c r="I4426" s="399">
        <f t="shared" si="147"/>
        <v>1.1499999999999999</v>
      </c>
      <c r="J4426" s="404"/>
      <c r="K4426" s="1234"/>
      <c r="L4426" s="431"/>
      <c r="M4426" s="431"/>
      <c r="N4426" s="431"/>
    </row>
    <row r="4427" spans="1:14" s="398" customFormat="1" hidden="1" outlineLevel="1">
      <c r="A4427" s="1221"/>
      <c r="B4427" s="425"/>
      <c r="C4427" s="165" t="s">
        <v>2</v>
      </c>
      <c r="D4427" s="437">
        <v>1</v>
      </c>
      <c r="E4427" s="414">
        <v>1</v>
      </c>
      <c r="F4427" s="1354">
        <v>13.605</v>
      </c>
      <c r="G4427" s="486">
        <v>0.23</v>
      </c>
      <c r="H4427" s="486">
        <v>0.2</v>
      </c>
      <c r="I4427" s="399">
        <f t="shared" si="147"/>
        <v>0.63</v>
      </c>
      <c r="J4427" s="404"/>
      <c r="K4427" s="1234"/>
      <c r="L4427" s="431"/>
      <c r="M4427" s="431"/>
      <c r="N4427" s="431"/>
    </row>
    <row r="4428" spans="1:14" s="398" customFormat="1" hidden="1" outlineLevel="1">
      <c r="A4428" s="1221"/>
      <c r="B4428" s="425"/>
      <c r="C4428" s="165" t="s">
        <v>2</v>
      </c>
      <c r="D4428" s="437">
        <v>1</v>
      </c>
      <c r="E4428" s="414">
        <v>1</v>
      </c>
      <c r="F4428" s="1372">
        <v>4.343</v>
      </c>
      <c r="G4428" s="486">
        <v>0.23</v>
      </c>
      <c r="H4428" s="486">
        <v>0.2</v>
      </c>
      <c r="I4428" s="399">
        <f t="shared" si="147"/>
        <v>0.2</v>
      </c>
      <c r="J4428" s="404"/>
      <c r="K4428" s="1234"/>
      <c r="L4428" s="431"/>
      <c r="M4428" s="431"/>
      <c r="N4428" s="431"/>
    </row>
    <row r="4429" spans="1:14" s="398" customFormat="1" hidden="1" outlineLevel="1">
      <c r="A4429" s="1221"/>
      <c r="B4429" s="425"/>
      <c r="C4429" s="165" t="s">
        <v>2</v>
      </c>
      <c r="D4429" s="437">
        <v>1</v>
      </c>
      <c r="E4429" s="414">
        <v>1</v>
      </c>
      <c r="F4429" s="1372">
        <v>4.7480000000000002</v>
      </c>
      <c r="G4429" s="486">
        <v>0.23</v>
      </c>
      <c r="H4429" s="486">
        <v>0.2</v>
      </c>
      <c r="I4429" s="399">
        <f t="shared" si="147"/>
        <v>0.22</v>
      </c>
      <c r="J4429" s="404"/>
      <c r="K4429" s="1234"/>
      <c r="L4429" s="431"/>
      <c r="M4429" s="431"/>
      <c r="N4429" s="431"/>
    </row>
    <row r="4430" spans="1:14" s="398" customFormat="1" hidden="1" outlineLevel="1">
      <c r="A4430" s="1221"/>
      <c r="B4430" s="425"/>
      <c r="C4430" s="165" t="s">
        <v>2</v>
      </c>
      <c r="D4430" s="437">
        <v>1</v>
      </c>
      <c r="E4430" s="414">
        <v>1</v>
      </c>
      <c r="F4430" s="1372">
        <f>(0.374)</f>
        <v>0.374</v>
      </c>
      <c r="G4430" s="486">
        <v>0.23</v>
      </c>
      <c r="H4430" s="486">
        <v>0.2</v>
      </c>
      <c r="I4430" s="399">
        <f t="shared" si="147"/>
        <v>0.02</v>
      </c>
      <c r="J4430" s="404"/>
      <c r="K4430" s="1234"/>
      <c r="L4430" s="431"/>
      <c r="M4430" s="431"/>
      <c r="N4430" s="431"/>
    </row>
    <row r="4431" spans="1:14" s="398" customFormat="1" ht="34.5" hidden="1" outlineLevel="1">
      <c r="A4431" s="1221"/>
      <c r="B4431" s="425" t="s">
        <v>840</v>
      </c>
      <c r="C4431" s="165" t="s">
        <v>2</v>
      </c>
      <c r="D4431" s="437">
        <v>1</v>
      </c>
      <c r="E4431" s="414">
        <v>1</v>
      </c>
      <c r="F4431" s="1372">
        <v>1.359</v>
      </c>
      <c r="G4431" s="486">
        <v>0.23</v>
      </c>
      <c r="H4431" s="486">
        <v>0.2</v>
      </c>
      <c r="I4431" s="399">
        <f t="shared" si="147"/>
        <v>0.06</v>
      </c>
      <c r="J4431" s="404"/>
      <c r="K4431" s="1234"/>
      <c r="L4431" s="431"/>
      <c r="M4431" s="431"/>
      <c r="N4431" s="431"/>
    </row>
    <row r="4432" spans="1:14" s="398" customFormat="1" hidden="1" outlineLevel="1">
      <c r="A4432" s="1221"/>
      <c r="B4432" s="425"/>
      <c r="C4432" s="165" t="s">
        <v>2</v>
      </c>
      <c r="D4432" s="437">
        <v>1</v>
      </c>
      <c r="E4432" s="414">
        <v>1</v>
      </c>
      <c r="F4432" s="1372">
        <v>26.228999999999999</v>
      </c>
      <c r="G4432" s="486">
        <v>0.23</v>
      </c>
      <c r="H4432" s="486">
        <v>0.2</v>
      </c>
      <c r="I4432" s="399">
        <f t="shared" si="147"/>
        <v>1.21</v>
      </c>
      <c r="J4432" s="404"/>
      <c r="K4432" s="1234"/>
      <c r="L4432" s="431"/>
      <c r="M4432" s="431"/>
      <c r="N4432" s="431"/>
    </row>
    <row r="4433" spans="1:14" s="398" customFormat="1" hidden="1" outlineLevel="1">
      <c r="A4433" s="1221"/>
      <c r="B4433" s="425" t="s">
        <v>841</v>
      </c>
      <c r="C4433" s="165" t="s">
        <v>2</v>
      </c>
      <c r="D4433" s="437">
        <v>1</v>
      </c>
      <c r="E4433" s="414">
        <v>1</v>
      </c>
      <c r="F4433" s="1372">
        <v>10.507999999999999</v>
      </c>
      <c r="G4433" s="486">
        <v>0.23</v>
      </c>
      <c r="H4433" s="486">
        <v>0.2</v>
      </c>
      <c r="I4433" s="399">
        <f t="shared" si="147"/>
        <v>0.48</v>
      </c>
      <c r="J4433" s="404"/>
      <c r="K4433" s="1234"/>
      <c r="L4433" s="431"/>
      <c r="M4433" s="431"/>
      <c r="N4433" s="431"/>
    </row>
    <row r="4434" spans="1:14" s="398" customFormat="1" hidden="1" outlineLevel="1">
      <c r="A4434" s="1221"/>
      <c r="B4434" s="425"/>
      <c r="C4434" s="165" t="s">
        <v>2</v>
      </c>
      <c r="D4434" s="437">
        <v>1</v>
      </c>
      <c r="E4434" s="414">
        <v>1</v>
      </c>
      <c r="F4434" s="1372">
        <v>1.639</v>
      </c>
      <c r="G4434" s="486">
        <v>0.23</v>
      </c>
      <c r="H4434" s="486">
        <v>0.2</v>
      </c>
      <c r="I4434" s="399">
        <f t="shared" si="147"/>
        <v>0.08</v>
      </c>
      <c r="J4434" s="404"/>
      <c r="K4434" s="1234"/>
      <c r="L4434" s="431"/>
      <c r="M4434" s="431"/>
      <c r="N4434" s="431"/>
    </row>
    <row r="4435" spans="1:14" s="398" customFormat="1" hidden="1" outlineLevel="1">
      <c r="A4435" s="1221"/>
      <c r="B4435" s="425"/>
      <c r="C4435" s="165" t="s">
        <v>2</v>
      </c>
      <c r="D4435" s="437">
        <v>1</v>
      </c>
      <c r="E4435" s="414">
        <v>1</v>
      </c>
      <c r="F4435" s="1354">
        <v>2.0590000000000002</v>
      </c>
      <c r="G4435" s="486">
        <v>0.23</v>
      </c>
      <c r="H4435" s="486">
        <v>0.2</v>
      </c>
      <c r="I4435" s="399">
        <f t="shared" si="147"/>
        <v>0.09</v>
      </c>
      <c r="J4435" s="404"/>
      <c r="K4435" s="1234"/>
      <c r="L4435" s="431"/>
      <c r="M4435" s="431"/>
      <c r="N4435" s="431"/>
    </row>
    <row r="4436" spans="1:14" s="398" customFormat="1" hidden="1" outlineLevel="1">
      <c r="A4436" s="1221"/>
      <c r="B4436" s="425"/>
      <c r="C4436" s="165" t="s">
        <v>2</v>
      </c>
      <c r="D4436" s="437">
        <v>1</v>
      </c>
      <c r="E4436" s="414">
        <v>1</v>
      </c>
      <c r="F4436" s="1354">
        <v>2.9380000000000002</v>
      </c>
      <c r="G4436" s="486">
        <v>0.23</v>
      </c>
      <c r="H4436" s="486">
        <v>0.2</v>
      </c>
      <c r="I4436" s="399">
        <f t="shared" si="147"/>
        <v>0.14000000000000001</v>
      </c>
      <c r="J4436" s="404"/>
      <c r="K4436" s="1234"/>
      <c r="L4436" s="431"/>
      <c r="M4436" s="431"/>
      <c r="N4436" s="431"/>
    </row>
    <row r="4437" spans="1:14" s="398" customFormat="1" hidden="1" outlineLevel="1">
      <c r="A4437" s="1221"/>
      <c r="B4437" s="425"/>
      <c r="C4437" s="165" t="s">
        <v>2</v>
      </c>
      <c r="D4437" s="437">
        <v>1</v>
      </c>
      <c r="E4437" s="414">
        <v>1</v>
      </c>
      <c r="F4437" s="1354">
        <v>7.7949999999999999</v>
      </c>
      <c r="G4437" s="486">
        <v>0.23</v>
      </c>
      <c r="H4437" s="486">
        <v>0.2</v>
      </c>
      <c r="I4437" s="399">
        <f t="shared" si="147"/>
        <v>0.36</v>
      </c>
      <c r="J4437" s="404"/>
      <c r="K4437" s="1234"/>
      <c r="L4437" s="431"/>
      <c r="M4437" s="431"/>
      <c r="N4437" s="431"/>
    </row>
    <row r="4438" spans="1:14" s="398" customFormat="1" hidden="1" outlineLevel="1">
      <c r="A4438" s="1221"/>
      <c r="B4438" s="425"/>
      <c r="C4438" s="165" t="s">
        <v>2</v>
      </c>
      <c r="D4438" s="437">
        <v>1</v>
      </c>
      <c r="E4438" s="414">
        <v>1</v>
      </c>
      <c r="F4438" s="1354">
        <v>2.0630000000000002</v>
      </c>
      <c r="G4438" s="486">
        <v>0.23</v>
      </c>
      <c r="H4438" s="486">
        <v>0.2</v>
      </c>
      <c r="I4438" s="399">
        <f t="shared" si="147"/>
        <v>0.09</v>
      </c>
      <c r="J4438" s="404"/>
      <c r="K4438" s="1234"/>
      <c r="L4438" s="431"/>
      <c r="M4438" s="431"/>
      <c r="N4438" s="431"/>
    </row>
    <row r="4439" spans="1:14" s="398" customFormat="1" hidden="1" outlineLevel="1">
      <c r="A4439" s="1221"/>
      <c r="B4439" s="425"/>
      <c r="C4439" s="165" t="s">
        <v>2</v>
      </c>
      <c r="D4439" s="437">
        <v>1</v>
      </c>
      <c r="E4439" s="414">
        <v>1</v>
      </c>
      <c r="F4439" s="1354">
        <v>1.079</v>
      </c>
      <c r="G4439" s="486">
        <v>0.23</v>
      </c>
      <c r="H4439" s="486">
        <v>0.2</v>
      </c>
      <c r="I4439" s="399">
        <f t="shared" si="147"/>
        <v>0.05</v>
      </c>
      <c r="J4439" s="404"/>
      <c r="K4439" s="1234"/>
      <c r="L4439" s="431"/>
      <c r="M4439" s="431"/>
      <c r="N4439" s="431"/>
    </row>
    <row r="4440" spans="1:14" s="398" customFormat="1" hidden="1" outlineLevel="1">
      <c r="A4440" s="1221"/>
      <c r="B4440" s="425"/>
      <c r="C4440" s="165" t="s">
        <v>2</v>
      </c>
      <c r="D4440" s="437">
        <v>1</v>
      </c>
      <c r="E4440" s="414">
        <v>1</v>
      </c>
      <c r="F4440" s="1354">
        <v>3.2730000000000001</v>
      </c>
      <c r="G4440" s="486">
        <v>0.23</v>
      </c>
      <c r="H4440" s="486">
        <v>0.2</v>
      </c>
      <c r="I4440" s="399">
        <f t="shared" si="147"/>
        <v>0.15</v>
      </c>
      <c r="J4440" s="404"/>
      <c r="K4440" s="1234"/>
      <c r="L4440" s="431"/>
      <c r="M4440" s="431"/>
      <c r="N4440" s="431"/>
    </row>
    <row r="4441" spans="1:14" s="398" customFormat="1" hidden="1" outlineLevel="1">
      <c r="A4441" s="1221"/>
      <c r="B4441" s="425"/>
      <c r="C4441" s="165" t="s">
        <v>2</v>
      </c>
      <c r="D4441" s="437">
        <v>1</v>
      </c>
      <c r="E4441" s="414">
        <v>1</v>
      </c>
      <c r="F4441" s="1354">
        <v>5.0839999999999996</v>
      </c>
      <c r="G4441" s="486">
        <v>0.23</v>
      </c>
      <c r="H4441" s="486">
        <v>0.2</v>
      </c>
      <c r="I4441" s="399">
        <f t="shared" si="147"/>
        <v>0.23</v>
      </c>
      <c r="J4441" s="404"/>
      <c r="K4441" s="1234"/>
      <c r="L4441" s="431"/>
      <c r="M4441" s="431"/>
      <c r="N4441" s="431"/>
    </row>
    <row r="4442" spans="1:14" s="398" customFormat="1" ht="51.75" hidden="1" outlineLevel="1">
      <c r="A4442" s="1221"/>
      <c r="B4442" s="592" t="s">
        <v>842</v>
      </c>
      <c r="C4442" s="165" t="s">
        <v>2</v>
      </c>
      <c r="D4442" s="444">
        <v>1</v>
      </c>
      <c r="E4442" s="479">
        <v>1</v>
      </c>
      <c r="F4442" s="1157">
        <v>1.3979999999999999</v>
      </c>
      <c r="G4442" s="614">
        <v>0.23</v>
      </c>
      <c r="H4442" s="614">
        <v>0.2</v>
      </c>
      <c r="I4442" s="399">
        <f t="shared" si="147"/>
        <v>0.06</v>
      </c>
      <c r="J4442" s="404"/>
      <c r="K4442" s="1234"/>
      <c r="L4442" s="431"/>
      <c r="M4442" s="431"/>
      <c r="N4442" s="431"/>
    </row>
    <row r="4443" spans="1:14" s="398" customFormat="1" hidden="1" outlineLevel="1">
      <c r="A4443" s="1221"/>
      <c r="B4443" s="425"/>
      <c r="C4443" s="165" t="s">
        <v>2</v>
      </c>
      <c r="D4443" s="444">
        <v>1</v>
      </c>
      <c r="E4443" s="479">
        <v>1</v>
      </c>
      <c r="F4443" s="1157">
        <v>6.1820000000000004</v>
      </c>
      <c r="G4443" s="614">
        <v>0.23</v>
      </c>
      <c r="H4443" s="614">
        <v>0.2</v>
      </c>
      <c r="I4443" s="399">
        <f t="shared" si="147"/>
        <v>0.28000000000000003</v>
      </c>
      <c r="J4443" s="404"/>
      <c r="K4443" s="1234"/>
      <c r="L4443" s="431"/>
      <c r="M4443" s="431"/>
      <c r="N4443" s="431"/>
    </row>
    <row r="4444" spans="1:14" s="398" customFormat="1" hidden="1" outlineLevel="1">
      <c r="A4444" s="1221"/>
      <c r="B4444" s="425"/>
      <c r="C4444" s="165" t="s">
        <v>2</v>
      </c>
      <c r="D4444" s="444">
        <v>1</v>
      </c>
      <c r="E4444" s="479">
        <v>1</v>
      </c>
      <c r="F4444" s="1157">
        <v>0.23</v>
      </c>
      <c r="G4444" s="614">
        <v>0.23</v>
      </c>
      <c r="H4444" s="614">
        <v>0.2</v>
      </c>
      <c r="I4444" s="399">
        <f t="shared" si="147"/>
        <v>0.01</v>
      </c>
      <c r="J4444" s="404"/>
      <c r="K4444" s="1234"/>
      <c r="L4444" s="431"/>
      <c r="M4444" s="431"/>
      <c r="N4444" s="431"/>
    </row>
    <row r="4445" spans="1:14" s="398" customFormat="1" hidden="1" outlineLevel="1">
      <c r="A4445" s="1221"/>
      <c r="B4445" s="425"/>
      <c r="C4445" s="165" t="s">
        <v>2</v>
      </c>
      <c r="D4445" s="444">
        <v>1</v>
      </c>
      <c r="E4445" s="479">
        <v>1</v>
      </c>
      <c r="F4445" s="1157">
        <v>8.6950000000000003</v>
      </c>
      <c r="G4445" s="614">
        <v>0.23</v>
      </c>
      <c r="H4445" s="614">
        <v>0.2</v>
      </c>
      <c r="I4445" s="399">
        <f t="shared" si="147"/>
        <v>0.4</v>
      </c>
      <c r="J4445" s="404"/>
      <c r="K4445" s="1234"/>
      <c r="L4445" s="431"/>
      <c r="M4445" s="431"/>
      <c r="N4445" s="431"/>
    </row>
    <row r="4446" spans="1:14" s="398" customFormat="1" hidden="1" outlineLevel="1">
      <c r="A4446" s="1221"/>
      <c r="B4446" s="425"/>
      <c r="C4446" s="165" t="s">
        <v>2</v>
      </c>
      <c r="D4446" s="438">
        <v>1</v>
      </c>
      <c r="E4446" s="333">
        <v>1</v>
      </c>
      <c r="F4446" s="1354">
        <v>16.408999999999999</v>
      </c>
      <c r="G4446" s="662">
        <v>0.23</v>
      </c>
      <c r="H4446" s="662">
        <v>0.2</v>
      </c>
      <c r="I4446" s="399">
        <f t="shared" si="147"/>
        <v>0.75</v>
      </c>
      <c r="J4446" s="404"/>
      <c r="K4446" s="1234"/>
      <c r="L4446" s="431"/>
      <c r="M4446" s="431"/>
      <c r="N4446" s="431"/>
    </row>
    <row r="4447" spans="1:14" s="398" customFormat="1" ht="34.5" hidden="1" outlineLevel="1">
      <c r="A4447" s="1221"/>
      <c r="B4447" s="592" t="s">
        <v>843</v>
      </c>
      <c r="C4447" s="165" t="s">
        <v>2</v>
      </c>
      <c r="D4447" s="444">
        <v>1</v>
      </c>
      <c r="E4447" s="479">
        <v>1</v>
      </c>
      <c r="F4447" s="1157">
        <v>0.89800000000000002</v>
      </c>
      <c r="G4447" s="614">
        <v>0.23</v>
      </c>
      <c r="H4447" s="614">
        <v>0.2</v>
      </c>
      <c r="I4447" s="399">
        <f t="shared" si="147"/>
        <v>0.04</v>
      </c>
      <c r="J4447" s="404"/>
      <c r="K4447" s="1234"/>
      <c r="L4447" s="431"/>
      <c r="M4447" s="431"/>
      <c r="N4447" s="431"/>
    </row>
    <row r="4448" spans="1:14" s="398" customFormat="1" hidden="1" outlineLevel="1">
      <c r="A4448" s="1221"/>
      <c r="B4448" s="425"/>
      <c r="C4448" s="165" t="s">
        <v>2</v>
      </c>
      <c r="D4448" s="444">
        <v>1</v>
      </c>
      <c r="E4448" s="479">
        <v>1</v>
      </c>
      <c r="F4448" s="1157">
        <v>1.4970000000000001</v>
      </c>
      <c r="G4448" s="614">
        <v>0.23</v>
      </c>
      <c r="H4448" s="614">
        <v>0.2</v>
      </c>
      <c r="I4448" s="399">
        <f t="shared" si="147"/>
        <v>7.0000000000000007E-2</v>
      </c>
      <c r="J4448" s="404"/>
      <c r="K4448" s="1234"/>
      <c r="L4448" s="431"/>
      <c r="M4448" s="431"/>
      <c r="N4448" s="431"/>
    </row>
    <row r="4449" spans="1:14" s="398" customFormat="1" hidden="1" outlineLevel="1">
      <c r="A4449" s="1221"/>
      <c r="B4449" s="425"/>
      <c r="C4449" s="165" t="s">
        <v>2</v>
      </c>
      <c r="D4449" s="444">
        <v>1</v>
      </c>
      <c r="E4449" s="479">
        <v>1</v>
      </c>
      <c r="F4449" s="1157">
        <v>1.6020000000000001</v>
      </c>
      <c r="G4449" s="614">
        <v>0.23</v>
      </c>
      <c r="H4449" s="614">
        <v>0.2</v>
      </c>
      <c r="I4449" s="399">
        <f t="shared" si="147"/>
        <v>7.0000000000000007E-2</v>
      </c>
      <c r="J4449" s="404"/>
      <c r="K4449" s="1234"/>
      <c r="L4449" s="431"/>
      <c r="M4449" s="431"/>
      <c r="N4449" s="431"/>
    </row>
    <row r="4450" spans="1:14" s="398" customFormat="1" hidden="1" outlineLevel="1">
      <c r="A4450" s="1221"/>
      <c r="B4450" s="425"/>
      <c r="C4450" s="165" t="s">
        <v>2</v>
      </c>
      <c r="D4450" s="444">
        <v>1</v>
      </c>
      <c r="E4450" s="479">
        <v>1</v>
      </c>
      <c r="F4450" s="1157">
        <v>1.012</v>
      </c>
      <c r="G4450" s="614">
        <v>0.23</v>
      </c>
      <c r="H4450" s="614">
        <v>0.2</v>
      </c>
      <c r="I4450" s="399">
        <f t="shared" si="147"/>
        <v>0.05</v>
      </c>
      <c r="J4450" s="404"/>
      <c r="K4450" s="1234"/>
      <c r="L4450" s="431"/>
      <c r="M4450" s="431"/>
      <c r="N4450" s="431"/>
    </row>
    <row r="4451" spans="1:14" s="398" customFormat="1" hidden="1" outlineLevel="1">
      <c r="A4451" s="1221"/>
      <c r="B4451" s="425"/>
      <c r="C4451" s="165" t="s">
        <v>2</v>
      </c>
      <c r="D4451" s="444">
        <v>1</v>
      </c>
      <c r="E4451" s="479">
        <v>1</v>
      </c>
      <c r="F4451" s="1157">
        <v>4.1719999999999997</v>
      </c>
      <c r="G4451" s="614">
        <v>0.23</v>
      </c>
      <c r="H4451" s="614">
        <v>0.2</v>
      </c>
      <c r="I4451" s="399">
        <f t="shared" si="147"/>
        <v>0.19</v>
      </c>
      <c r="J4451" s="404"/>
      <c r="K4451" s="1234"/>
      <c r="L4451" s="431"/>
      <c r="M4451" s="431"/>
      <c r="N4451" s="431"/>
    </row>
    <row r="4452" spans="1:14" s="398" customFormat="1" hidden="1" outlineLevel="1">
      <c r="A4452" s="1221"/>
      <c r="B4452" s="425"/>
      <c r="C4452" s="165" t="s">
        <v>2</v>
      </c>
      <c r="D4452" s="444">
        <v>1</v>
      </c>
      <c r="E4452" s="479">
        <v>1</v>
      </c>
      <c r="F4452" s="1157">
        <v>10.42</v>
      </c>
      <c r="G4452" s="614">
        <v>0.23</v>
      </c>
      <c r="H4452" s="614">
        <v>0.2</v>
      </c>
      <c r="I4452" s="399">
        <f t="shared" si="147"/>
        <v>0.48</v>
      </c>
      <c r="J4452" s="404"/>
      <c r="K4452" s="1234"/>
      <c r="L4452" s="431"/>
      <c r="M4452" s="431"/>
      <c r="N4452" s="431"/>
    </row>
    <row r="4453" spans="1:14" s="398" customFormat="1" hidden="1" outlineLevel="1">
      <c r="A4453" s="1221"/>
      <c r="B4453" s="425"/>
      <c r="C4453" s="165" t="s">
        <v>2</v>
      </c>
      <c r="D4453" s="444">
        <v>1</v>
      </c>
      <c r="E4453" s="479">
        <v>1</v>
      </c>
      <c r="F4453" s="1157">
        <v>0.217</v>
      </c>
      <c r="G4453" s="614">
        <v>0.23</v>
      </c>
      <c r="H4453" s="614">
        <v>0.2</v>
      </c>
      <c r="I4453" s="399">
        <f t="shared" ref="I4453:I4516" si="148">IF(D4453&lt;&gt;0,ROUND(PRODUCT(E4453:H4453)*D4453,2),"")</f>
        <v>0.01</v>
      </c>
      <c r="J4453" s="404"/>
      <c r="K4453" s="1234"/>
      <c r="L4453" s="431"/>
      <c r="M4453" s="431"/>
      <c r="N4453" s="431"/>
    </row>
    <row r="4454" spans="1:14" s="398" customFormat="1" hidden="1" outlineLevel="1">
      <c r="A4454" s="1221"/>
      <c r="B4454" s="425"/>
      <c r="C4454" s="165" t="s">
        <v>2</v>
      </c>
      <c r="D4454" s="444">
        <v>1</v>
      </c>
      <c r="E4454" s="479">
        <v>1</v>
      </c>
      <c r="F4454" s="1157">
        <v>4.0110000000000001</v>
      </c>
      <c r="G4454" s="614">
        <v>0.23</v>
      </c>
      <c r="H4454" s="614">
        <v>0.2</v>
      </c>
      <c r="I4454" s="399">
        <f t="shared" si="148"/>
        <v>0.18</v>
      </c>
      <c r="J4454" s="404"/>
      <c r="K4454" s="1234"/>
      <c r="L4454" s="431"/>
      <c r="M4454" s="431"/>
      <c r="N4454" s="431"/>
    </row>
    <row r="4455" spans="1:14" s="398" customFormat="1" hidden="1" outlineLevel="1">
      <c r="A4455" s="1221"/>
      <c r="B4455" s="425"/>
      <c r="C4455" s="498" t="s">
        <v>2</v>
      </c>
      <c r="D4455" s="848">
        <v>1</v>
      </c>
      <c r="E4455" s="637">
        <v>1</v>
      </c>
      <c r="F4455" s="1354">
        <v>23.472000000000001</v>
      </c>
      <c r="G4455" s="1354">
        <v>0.23</v>
      </c>
      <c r="H4455" s="1354">
        <v>0.2</v>
      </c>
      <c r="I4455" s="399">
        <f t="shared" si="148"/>
        <v>1.08</v>
      </c>
      <c r="J4455" s="404"/>
      <c r="K4455" s="1234"/>
      <c r="L4455" s="431"/>
      <c r="M4455" s="431"/>
      <c r="N4455" s="431"/>
    </row>
    <row r="4456" spans="1:14" s="398" customFormat="1" ht="51.75" hidden="1" outlineLevel="1">
      <c r="A4456" s="1221"/>
      <c r="B4456" s="592" t="s">
        <v>844</v>
      </c>
      <c r="C4456" s="165" t="s">
        <v>2</v>
      </c>
      <c r="D4456" s="437">
        <v>1</v>
      </c>
      <c r="E4456" s="414">
        <v>1</v>
      </c>
      <c r="F4456" s="1372">
        <v>15.694000000000001</v>
      </c>
      <c r="G4456" s="486">
        <v>0.23</v>
      </c>
      <c r="H4456" s="486">
        <v>0.2</v>
      </c>
      <c r="I4456" s="399">
        <f t="shared" si="148"/>
        <v>0.72</v>
      </c>
      <c r="J4456" s="404"/>
      <c r="K4456" s="1234"/>
      <c r="L4456" s="431"/>
      <c r="M4456" s="431"/>
      <c r="N4456" s="431"/>
    </row>
    <row r="4457" spans="1:14" s="398" customFormat="1" hidden="1" outlineLevel="1">
      <c r="A4457" s="1221"/>
      <c r="B4457" s="425"/>
      <c r="C4457" s="165" t="s">
        <v>2</v>
      </c>
      <c r="D4457" s="437">
        <v>1</v>
      </c>
      <c r="E4457" s="414">
        <v>1</v>
      </c>
      <c r="F4457" s="1372">
        <v>0.22500000000000001</v>
      </c>
      <c r="G4457" s="486">
        <v>0.23</v>
      </c>
      <c r="H4457" s="486">
        <v>0.2</v>
      </c>
      <c r="I4457" s="399">
        <f t="shared" si="148"/>
        <v>0.01</v>
      </c>
      <c r="J4457" s="404"/>
      <c r="K4457" s="1234"/>
      <c r="L4457" s="431"/>
      <c r="M4457" s="431"/>
      <c r="N4457" s="431"/>
    </row>
    <row r="4458" spans="1:14" s="398" customFormat="1" ht="34.5" hidden="1" outlineLevel="1">
      <c r="A4458" s="1221"/>
      <c r="B4458" s="592" t="s">
        <v>845</v>
      </c>
      <c r="C4458" s="165" t="s">
        <v>2</v>
      </c>
      <c r="D4458" s="437">
        <v>1</v>
      </c>
      <c r="E4458" s="414">
        <v>1</v>
      </c>
      <c r="F4458" s="1372">
        <v>1.4970000000000001</v>
      </c>
      <c r="G4458" s="486">
        <v>0.23</v>
      </c>
      <c r="H4458" s="486">
        <v>0.2</v>
      </c>
      <c r="I4458" s="399">
        <f t="shared" si="148"/>
        <v>7.0000000000000007E-2</v>
      </c>
      <c r="J4458" s="404"/>
      <c r="K4458" s="1234"/>
      <c r="L4458" s="431"/>
      <c r="M4458" s="431"/>
      <c r="N4458" s="431"/>
    </row>
    <row r="4459" spans="1:14" s="398" customFormat="1" hidden="1" outlineLevel="1">
      <c r="A4459" s="1221"/>
      <c r="B4459" s="425"/>
      <c r="C4459" s="165" t="s">
        <v>2</v>
      </c>
      <c r="D4459" s="437">
        <v>1</v>
      </c>
      <c r="E4459" s="414">
        <v>1</v>
      </c>
      <c r="F4459" s="1372">
        <v>1.6</v>
      </c>
      <c r="G4459" s="486">
        <v>0.23</v>
      </c>
      <c r="H4459" s="486">
        <v>0.2</v>
      </c>
      <c r="I4459" s="399">
        <f t="shared" si="148"/>
        <v>7.0000000000000007E-2</v>
      </c>
      <c r="J4459" s="404"/>
      <c r="K4459" s="1234"/>
      <c r="L4459" s="431"/>
      <c r="M4459" s="431"/>
      <c r="N4459" s="431"/>
    </row>
    <row r="4460" spans="1:14" s="398" customFormat="1" hidden="1" outlineLevel="1">
      <c r="A4460" s="1221"/>
      <c r="B4460" s="425"/>
      <c r="C4460" s="165" t="s">
        <v>2</v>
      </c>
      <c r="D4460" s="437">
        <v>1</v>
      </c>
      <c r="E4460" s="414">
        <v>1</v>
      </c>
      <c r="F4460" s="1372">
        <v>3.43</v>
      </c>
      <c r="G4460" s="486">
        <v>0.23</v>
      </c>
      <c r="H4460" s="486">
        <v>0.2</v>
      </c>
      <c r="I4460" s="399">
        <f t="shared" si="148"/>
        <v>0.16</v>
      </c>
      <c r="J4460" s="404"/>
      <c r="K4460" s="1234"/>
      <c r="L4460" s="431"/>
      <c r="M4460" s="431"/>
      <c r="N4460" s="431"/>
    </row>
    <row r="4461" spans="1:14" s="398" customFormat="1" hidden="1" outlineLevel="1">
      <c r="A4461" s="1221"/>
      <c r="B4461" s="425"/>
      <c r="C4461" s="165" t="s">
        <v>2</v>
      </c>
      <c r="D4461" s="437">
        <v>1</v>
      </c>
      <c r="E4461" s="414">
        <v>1</v>
      </c>
      <c r="F4461" s="1372">
        <v>1.4970000000000001</v>
      </c>
      <c r="G4461" s="486">
        <v>0.23</v>
      </c>
      <c r="H4461" s="486">
        <v>0.2</v>
      </c>
      <c r="I4461" s="399">
        <f t="shared" si="148"/>
        <v>7.0000000000000007E-2</v>
      </c>
      <c r="J4461" s="404"/>
      <c r="K4461" s="1234"/>
      <c r="L4461" s="431"/>
      <c r="M4461" s="431"/>
      <c r="N4461" s="431"/>
    </row>
    <row r="4462" spans="1:14" s="398" customFormat="1" hidden="1" outlineLevel="1">
      <c r="A4462" s="1221"/>
      <c r="B4462" s="425"/>
      <c r="C4462" s="165" t="s">
        <v>2</v>
      </c>
      <c r="D4462" s="437">
        <v>1</v>
      </c>
      <c r="E4462" s="414">
        <v>1</v>
      </c>
      <c r="F4462" s="1372">
        <v>3.7349999999999999</v>
      </c>
      <c r="G4462" s="486">
        <v>0.23</v>
      </c>
      <c r="H4462" s="486">
        <v>0.2</v>
      </c>
      <c r="I4462" s="399">
        <f t="shared" si="148"/>
        <v>0.17</v>
      </c>
      <c r="J4462" s="404"/>
      <c r="K4462" s="1234"/>
      <c r="L4462" s="431"/>
      <c r="M4462" s="431"/>
      <c r="N4462" s="431"/>
    </row>
    <row r="4463" spans="1:14" s="398" customFormat="1" hidden="1" outlineLevel="1">
      <c r="A4463" s="1221"/>
      <c r="B4463" s="425"/>
      <c r="C4463" s="165" t="s">
        <v>2</v>
      </c>
      <c r="D4463" s="437">
        <v>1</v>
      </c>
      <c r="E4463" s="414">
        <v>1</v>
      </c>
      <c r="F4463" s="1372">
        <v>4.3449999999999998</v>
      </c>
      <c r="G4463" s="486">
        <v>0.23</v>
      </c>
      <c r="H4463" s="486">
        <v>0.2</v>
      </c>
      <c r="I4463" s="399">
        <f t="shared" si="148"/>
        <v>0.2</v>
      </c>
      <c r="J4463" s="404"/>
      <c r="K4463" s="1234"/>
      <c r="L4463" s="431"/>
      <c r="M4463" s="431"/>
      <c r="N4463" s="431"/>
    </row>
    <row r="4464" spans="1:14" s="398" customFormat="1" ht="51.75" hidden="1" outlineLevel="1">
      <c r="A4464" s="1221"/>
      <c r="B4464" s="592" t="s">
        <v>846</v>
      </c>
      <c r="C4464" s="165" t="s">
        <v>2</v>
      </c>
      <c r="D4464" s="437">
        <v>1</v>
      </c>
      <c r="E4464" s="414">
        <v>1</v>
      </c>
      <c r="F4464" s="1372">
        <v>2.3860000000000001</v>
      </c>
      <c r="G4464" s="486">
        <v>0.23</v>
      </c>
      <c r="H4464" s="486">
        <v>0.2</v>
      </c>
      <c r="I4464" s="399">
        <f t="shared" si="148"/>
        <v>0.11</v>
      </c>
      <c r="J4464" s="404"/>
      <c r="K4464" s="1234"/>
      <c r="L4464" s="431"/>
      <c r="M4464" s="431"/>
      <c r="N4464" s="431"/>
    </row>
    <row r="4465" spans="1:14" s="398" customFormat="1" hidden="1" outlineLevel="1">
      <c r="A4465" s="1221"/>
      <c r="B4465" s="425"/>
      <c r="C4465" s="165" t="s">
        <v>2</v>
      </c>
      <c r="D4465" s="437">
        <v>1</v>
      </c>
      <c r="E4465" s="414">
        <v>1</v>
      </c>
      <c r="F4465" s="1372">
        <f>8.255+4.207+7.541</f>
        <v>20.003</v>
      </c>
      <c r="G4465" s="486">
        <v>0.23</v>
      </c>
      <c r="H4465" s="486">
        <v>0.2</v>
      </c>
      <c r="I4465" s="399">
        <f t="shared" si="148"/>
        <v>0.92</v>
      </c>
      <c r="J4465" s="404"/>
      <c r="K4465" s="1234"/>
      <c r="L4465" s="431"/>
      <c r="M4465" s="431"/>
      <c r="N4465" s="431"/>
    </row>
    <row r="4466" spans="1:14" s="398" customFormat="1" hidden="1" outlineLevel="1">
      <c r="A4466" s="1221"/>
      <c r="B4466" s="425" t="s">
        <v>847</v>
      </c>
      <c r="C4466" s="165" t="s">
        <v>2</v>
      </c>
      <c r="D4466" s="437">
        <v>1</v>
      </c>
      <c r="E4466" s="414">
        <v>1</v>
      </c>
      <c r="F4466" s="1354">
        <v>33.331000000000003</v>
      </c>
      <c r="G4466" s="486">
        <v>0.23</v>
      </c>
      <c r="H4466" s="486">
        <v>0.2</v>
      </c>
      <c r="I4466" s="399">
        <f t="shared" si="148"/>
        <v>1.53</v>
      </c>
      <c r="J4466" s="404"/>
      <c r="K4466" s="1234"/>
      <c r="L4466" s="431"/>
      <c r="M4466" s="431"/>
      <c r="N4466" s="431"/>
    </row>
    <row r="4467" spans="1:14" s="398" customFormat="1" ht="34.5" hidden="1" outlineLevel="1">
      <c r="A4467" s="1221"/>
      <c r="B4467" s="425" t="s">
        <v>848</v>
      </c>
      <c r="C4467" s="165" t="s">
        <v>2</v>
      </c>
      <c r="D4467" s="437">
        <v>1</v>
      </c>
      <c r="E4467" s="414">
        <v>1</v>
      </c>
      <c r="F4467" s="1354">
        <v>31.771000000000001</v>
      </c>
      <c r="G4467" s="486">
        <v>0.23</v>
      </c>
      <c r="H4467" s="486">
        <v>0.2</v>
      </c>
      <c r="I4467" s="399">
        <f t="shared" si="148"/>
        <v>1.46</v>
      </c>
      <c r="J4467" s="404"/>
      <c r="K4467" s="1234"/>
      <c r="L4467" s="431"/>
      <c r="M4467" s="431"/>
      <c r="N4467" s="431"/>
    </row>
    <row r="4468" spans="1:14" s="398" customFormat="1" hidden="1" outlineLevel="1">
      <c r="A4468" s="1221"/>
      <c r="B4468" s="425"/>
      <c r="C4468" s="165" t="s">
        <v>2</v>
      </c>
      <c r="D4468" s="437">
        <v>1</v>
      </c>
      <c r="E4468" s="414">
        <v>1</v>
      </c>
      <c r="F4468" s="1354">
        <v>4.3730000000000002</v>
      </c>
      <c r="G4468" s="486">
        <v>0.23</v>
      </c>
      <c r="H4468" s="486">
        <v>0.2</v>
      </c>
      <c r="I4468" s="399">
        <f t="shared" si="148"/>
        <v>0.2</v>
      </c>
      <c r="J4468" s="404"/>
      <c r="K4468" s="1234"/>
      <c r="L4468" s="431"/>
      <c r="M4468" s="431"/>
      <c r="N4468" s="431"/>
    </row>
    <row r="4469" spans="1:14" s="398" customFormat="1" hidden="1" outlineLevel="1">
      <c r="A4469" s="1221"/>
      <c r="B4469" s="425"/>
      <c r="C4469" s="165" t="s">
        <v>2</v>
      </c>
      <c r="D4469" s="437">
        <v>1</v>
      </c>
      <c r="E4469" s="414">
        <v>1</v>
      </c>
      <c r="F4469" s="1354">
        <v>0.17</v>
      </c>
      <c r="G4469" s="486">
        <v>0.23</v>
      </c>
      <c r="H4469" s="486">
        <v>0.2</v>
      </c>
      <c r="I4469" s="399">
        <f t="shared" si="148"/>
        <v>0.01</v>
      </c>
      <c r="J4469" s="404"/>
      <c r="K4469" s="1234"/>
      <c r="L4469" s="431"/>
      <c r="M4469" s="431"/>
      <c r="N4469" s="431"/>
    </row>
    <row r="4470" spans="1:14" s="398" customFormat="1" ht="34.5" hidden="1" outlineLevel="1">
      <c r="A4470" s="1221"/>
      <c r="B4470" s="592" t="s">
        <v>849</v>
      </c>
      <c r="C4470" s="165" t="s">
        <v>2</v>
      </c>
      <c r="D4470" s="437"/>
      <c r="E4470" s="414"/>
      <c r="F4470" s="1372"/>
      <c r="G4470" s="486"/>
      <c r="H4470" s="486"/>
      <c r="I4470" s="399" t="str">
        <f t="shared" si="148"/>
        <v/>
      </c>
      <c r="J4470" s="404"/>
      <c r="K4470" s="1234"/>
      <c r="L4470" s="431"/>
      <c r="M4470" s="431"/>
      <c r="N4470" s="431"/>
    </row>
    <row r="4471" spans="1:14" s="398" customFormat="1" ht="34.5" hidden="1" outlineLevel="1">
      <c r="A4471" s="1221"/>
      <c r="B4471" s="425" t="s">
        <v>850</v>
      </c>
      <c r="C4471" s="165" t="s">
        <v>2</v>
      </c>
      <c r="D4471" s="437">
        <v>1</v>
      </c>
      <c r="E4471" s="414">
        <v>1</v>
      </c>
      <c r="F4471" s="1354">
        <v>18.742999999999999</v>
      </c>
      <c r="G4471" s="486">
        <v>0.23</v>
      </c>
      <c r="H4471" s="486">
        <v>0.2</v>
      </c>
      <c r="I4471" s="399">
        <f t="shared" si="148"/>
        <v>0.86</v>
      </c>
      <c r="J4471" s="404"/>
      <c r="K4471" s="1234"/>
      <c r="L4471" s="431"/>
      <c r="M4471" s="431"/>
      <c r="N4471" s="431"/>
    </row>
    <row r="4472" spans="1:14" s="398" customFormat="1" hidden="1" outlineLevel="1">
      <c r="A4472" s="1221"/>
      <c r="B4472" s="425"/>
      <c r="C4472" s="165" t="s">
        <v>2</v>
      </c>
      <c r="D4472" s="437">
        <v>1</v>
      </c>
      <c r="E4472" s="414">
        <v>1</v>
      </c>
      <c r="F4472" s="1372">
        <f>0.168+9.528+0.172</f>
        <v>9.8680000000000003</v>
      </c>
      <c r="G4472" s="486">
        <v>0.23</v>
      </c>
      <c r="H4472" s="486">
        <v>0.2</v>
      </c>
      <c r="I4472" s="399">
        <f t="shared" si="148"/>
        <v>0.45</v>
      </c>
      <c r="J4472" s="404"/>
      <c r="K4472" s="1234"/>
      <c r="L4472" s="431"/>
      <c r="M4472" s="431"/>
      <c r="N4472" s="431"/>
    </row>
    <row r="4473" spans="1:14" s="398" customFormat="1" hidden="1" outlineLevel="1">
      <c r="A4473" s="1221"/>
      <c r="B4473" s="425"/>
      <c r="C4473" s="165" t="s">
        <v>2</v>
      </c>
      <c r="D4473" s="437">
        <v>1</v>
      </c>
      <c r="E4473" s="414">
        <v>1</v>
      </c>
      <c r="F4473" s="1354">
        <v>7.05</v>
      </c>
      <c r="G4473" s="486">
        <v>0.23</v>
      </c>
      <c r="H4473" s="486">
        <v>0.2</v>
      </c>
      <c r="I4473" s="399">
        <f t="shared" si="148"/>
        <v>0.32</v>
      </c>
      <c r="J4473" s="404"/>
      <c r="K4473" s="1234"/>
      <c r="L4473" s="431"/>
      <c r="M4473" s="431"/>
      <c r="N4473" s="431"/>
    </row>
    <row r="4474" spans="1:14" s="398" customFormat="1" ht="51.75" hidden="1" outlineLevel="1">
      <c r="A4474" s="1221"/>
      <c r="B4474" s="425" t="s">
        <v>851</v>
      </c>
      <c r="C4474" s="165" t="s">
        <v>2</v>
      </c>
      <c r="D4474" s="437"/>
      <c r="E4474" s="414"/>
      <c r="F4474" s="1372"/>
      <c r="G4474" s="486"/>
      <c r="H4474" s="486"/>
      <c r="I4474" s="399" t="str">
        <f t="shared" si="148"/>
        <v/>
      </c>
      <c r="J4474" s="404"/>
      <c r="K4474" s="1234"/>
      <c r="L4474" s="431"/>
      <c r="M4474" s="431"/>
      <c r="N4474" s="431"/>
    </row>
    <row r="4475" spans="1:14" s="398" customFormat="1" hidden="1" outlineLevel="1">
      <c r="A4475" s="1221"/>
      <c r="B4475" s="425"/>
      <c r="C4475" s="165" t="s">
        <v>167</v>
      </c>
      <c r="D4475" s="438">
        <v>1</v>
      </c>
      <c r="E4475" s="333">
        <v>1</v>
      </c>
      <c r="F4475" s="1354">
        <v>36.695999999999998</v>
      </c>
      <c r="G4475" s="662">
        <v>0.23</v>
      </c>
      <c r="H4475" s="662">
        <v>0.2</v>
      </c>
      <c r="I4475" s="399">
        <f t="shared" si="148"/>
        <v>1.69</v>
      </c>
      <c r="J4475" s="404"/>
      <c r="K4475" s="1234"/>
      <c r="L4475" s="431"/>
      <c r="M4475" s="431"/>
      <c r="N4475" s="431"/>
    </row>
    <row r="4476" spans="1:14" s="398" customFormat="1" hidden="1" outlineLevel="1">
      <c r="A4476" s="1221"/>
      <c r="B4476" s="425"/>
      <c r="C4476" s="345" t="s">
        <v>2</v>
      </c>
      <c r="D4476" s="665">
        <f t="shared" ref="D4476:D4478" si="149">1*0</f>
        <v>0</v>
      </c>
      <c r="E4476" s="479">
        <v>1</v>
      </c>
      <c r="F4476" s="1157">
        <f>0.337</f>
        <v>0.33700000000000002</v>
      </c>
      <c r="G4476" s="614">
        <v>0.23</v>
      </c>
      <c r="H4476" s="614">
        <v>0.2</v>
      </c>
      <c r="I4476" s="399" t="str">
        <f t="shared" si="148"/>
        <v/>
      </c>
      <c r="J4476" s="404"/>
      <c r="K4476" s="1234"/>
      <c r="L4476" s="431"/>
      <c r="M4476" s="431"/>
      <c r="N4476" s="431"/>
    </row>
    <row r="4477" spans="1:14" s="398" customFormat="1" hidden="1" outlineLevel="1">
      <c r="A4477" s="1221"/>
      <c r="B4477" s="425"/>
      <c r="C4477" s="345" t="s">
        <v>2</v>
      </c>
      <c r="D4477" s="665">
        <f t="shared" si="149"/>
        <v>0</v>
      </c>
      <c r="E4477" s="479">
        <v>1</v>
      </c>
      <c r="F4477" s="1157">
        <v>3.1829999999999998</v>
      </c>
      <c r="G4477" s="614">
        <v>0.23</v>
      </c>
      <c r="H4477" s="614">
        <v>0.2</v>
      </c>
      <c r="I4477" s="399" t="str">
        <f t="shared" si="148"/>
        <v/>
      </c>
      <c r="J4477" s="404"/>
      <c r="K4477" s="1234"/>
      <c r="L4477" s="431"/>
      <c r="M4477" s="431"/>
      <c r="N4477" s="431"/>
    </row>
    <row r="4478" spans="1:14" s="398" customFormat="1" hidden="1" outlineLevel="1">
      <c r="A4478" s="1221"/>
      <c r="B4478" s="425"/>
      <c r="C4478" s="345" t="s">
        <v>2</v>
      </c>
      <c r="D4478" s="665">
        <f t="shared" si="149"/>
        <v>0</v>
      </c>
      <c r="E4478" s="479">
        <v>1</v>
      </c>
      <c r="F4478" s="1157">
        <f>3.841+4.613+3.637+1.626+2.824+2.413+3.614+11.064</f>
        <v>33.632000000000005</v>
      </c>
      <c r="G4478" s="614">
        <v>0.23</v>
      </c>
      <c r="H4478" s="614">
        <v>0.2</v>
      </c>
      <c r="I4478" s="399" t="str">
        <f t="shared" si="148"/>
        <v/>
      </c>
      <c r="J4478" s="404"/>
      <c r="K4478" s="1234"/>
      <c r="L4478" s="431"/>
      <c r="M4478" s="431"/>
      <c r="N4478" s="431"/>
    </row>
    <row r="4479" spans="1:14" s="398" customFormat="1" hidden="1" outlineLevel="1">
      <c r="A4479" s="1221"/>
      <c r="B4479" s="425" t="s">
        <v>852</v>
      </c>
      <c r="C4479" s="165" t="s">
        <v>2</v>
      </c>
      <c r="D4479" s="437">
        <v>1</v>
      </c>
      <c r="E4479" s="414">
        <v>1</v>
      </c>
      <c r="F4479" s="1354">
        <v>8.0530000000000008</v>
      </c>
      <c r="G4479" s="486">
        <v>0.23</v>
      </c>
      <c r="H4479" s="486">
        <v>0.2</v>
      </c>
      <c r="I4479" s="399">
        <f t="shared" si="148"/>
        <v>0.37</v>
      </c>
      <c r="J4479" s="404"/>
      <c r="K4479" s="1234"/>
      <c r="L4479" s="431"/>
      <c r="M4479" s="431"/>
      <c r="N4479" s="431"/>
    </row>
    <row r="4480" spans="1:14" s="398" customFormat="1" hidden="1" outlineLevel="1">
      <c r="A4480" s="1221"/>
      <c r="B4480" s="425" t="s">
        <v>853</v>
      </c>
      <c r="C4480" s="165" t="s">
        <v>2</v>
      </c>
      <c r="D4480" s="437">
        <v>1</v>
      </c>
      <c r="E4480" s="414">
        <v>1</v>
      </c>
      <c r="F4480" s="1354">
        <v>14.555</v>
      </c>
      <c r="G4480" s="486">
        <v>0.23</v>
      </c>
      <c r="H4480" s="486">
        <v>0.2</v>
      </c>
      <c r="I4480" s="399">
        <f t="shared" si="148"/>
        <v>0.67</v>
      </c>
      <c r="J4480" s="404"/>
      <c r="K4480" s="1234"/>
      <c r="L4480" s="431"/>
      <c r="M4480" s="431"/>
      <c r="N4480" s="431"/>
    </row>
    <row r="4481" spans="1:14" s="398" customFormat="1" ht="34.5" hidden="1" outlineLevel="1">
      <c r="A4481" s="1221"/>
      <c r="B4481" s="592" t="s">
        <v>854</v>
      </c>
      <c r="C4481" s="498" t="s">
        <v>2</v>
      </c>
      <c r="D4481" s="490"/>
      <c r="E4481" s="387"/>
      <c r="F4481" s="1372"/>
      <c r="G4481" s="1372"/>
      <c r="H4481" s="1372"/>
      <c r="I4481" s="399" t="str">
        <f t="shared" si="148"/>
        <v/>
      </c>
      <c r="J4481" s="404"/>
      <c r="K4481" s="1234"/>
      <c r="L4481" s="431"/>
      <c r="M4481" s="431"/>
      <c r="N4481" s="431"/>
    </row>
    <row r="4482" spans="1:14" s="398" customFormat="1" hidden="1" outlineLevel="1">
      <c r="A4482" s="1221"/>
      <c r="B4482" s="425"/>
      <c r="C4482" s="165" t="s">
        <v>2</v>
      </c>
      <c r="D4482" s="437">
        <v>1</v>
      </c>
      <c r="E4482" s="414">
        <v>1</v>
      </c>
      <c r="F4482" s="1354">
        <v>14.343</v>
      </c>
      <c r="G4482" s="486">
        <v>0.23</v>
      </c>
      <c r="H4482" s="486">
        <v>0.2</v>
      </c>
      <c r="I4482" s="399">
        <f t="shared" si="148"/>
        <v>0.66</v>
      </c>
      <c r="J4482" s="404"/>
      <c r="K4482" s="1234"/>
      <c r="L4482" s="431"/>
      <c r="M4482" s="431"/>
      <c r="N4482" s="431"/>
    </row>
    <row r="4483" spans="1:14" s="398" customFormat="1" ht="51.75" hidden="1" outlineLevel="1">
      <c r="A4483" s="1221"/>
      <c r="B4483" s="592" t="s">
        <v>855</v>
      </c>
      <c r="C4483" s="498" t="s">
        <v>2</v>
      </c>
      <c r="D4483" s="490"/>
      <c r="E4483" s="387"/>
      <c r="F4483" s="1372"/>
      <c r="G4483" s="1372"/>
      <c r="H4483" s="1372"/>
      <c r="I4483" s="399" t="str">
        <f t="shared" si="148"/>
        <v/>
      </c>
      <c r="J4483" s="404"/>
      <c r="K4483" s="1234"/>
      <c r="L4483" s="431"/>
      <c r="M4483" s="431"/>
      <c r="N4483" s="431"/>
    </row>
    <row r="4484" spans="1:14" s="398" customFormat="1" hidden="1" outlineLevel="1">
      <c r="A4484" s="1221"/>
      <c r="B4484" s="425"/>
      <c r="C4484" s="165" t="s">
        <v>2</v>
      </c>
      <c r="D4484" s="437">
        <v>1</v>
      </c>
      <c r="E4484" s="414">
        <v>1</v>
      </c>
      <c r="F4484" s="1372">
        <f>12.275+11.813+4.624+2.625+2.854+1.637+7.303+5.741+2.446+2.704+0.725+6.033</f>
        <v>60.78</v>
      </c>
      <c r="G4484" s="486">
        <v>0.23</v>
      </c>
      <c r="H4484" s="486">
        <v>0.2</v>
      </c>
      <c r="I4484" s="399">
        <f t="shared" si="148"/>
        <v>2.8</v>
      </c>
      <c r="J4484" s="404"/>
      <c r="K4484" s="1234"/>
      <c r="L4484" s="431"/>
      <c r="M4484" s="431"/>
      <c r="N4484" s="431"/>
    </row>
    <row r="4485" spans="1:14" s="398" customFormat="1" ht="34.5" hidden="1" outlineLevel="1">
      <c r="A4485" s="1221"/>
      <c r="B4485" s="425" t="s">
        <v>856</v>
      </c>
      <c r="C4485" s="165" t="s">
        <v>2</v>
      </c>
      <c r="D4485" s="437">
        <v>1</v>
      </c>
      <c r="E4485" s="414">
        <v>1</v>
      </c>
      <c r="F4485" s="1372">
        <v>35.253</v>
      </c>
      <c r="G4485" s="486">
        <v>0.23</v>
      </c>
      <c r="H4485" s="486">
        <v>0.2</v>
      </c>
      <c r="I4485" s="399">
        <f t="shared" si="148"/>
        <v>1.62</v>
      </c>
      <c r="J4485" s="404"/>
      <c r="K4485" s="1234"/>
      <c r="L4485" s="431"/>
      <c r="M4485" s="431"/>
      <c r="N4485" s="431"/>
    </row>
    <row r="4486" spans="1:14" s="398" customFormat="1" hidden="1" outlineLevel="1">
      <c r="A4486" s="1221"/>
      <c r="B4486" s="592" t="s">
        <v>857</v>
      </c>
      <c r="C4486" s="165" t="s">
        <v>2</v>
      </c>
      <c r="D4486" s="437"/>
      <c r="E4486" s="414"/>
      <c r="F4486" s="1372"/>
      <c r="G4486" s="486"/>
      <c r="H4486" s="486"/>
      <c r="I4486" s="399" t="str">
        <f t="shared" si="148"/>
        <v/>
      </c>
      <c r="J4486" s="404"/>
      <c r="K4486" s="1234"/>
      <c r="L4486" s="431"/>
      <c r="M4486" s="431"/>
      <c r="N4486" s="431"/>
    </row>
    <row r="4487" spans="1:14" s="462" customFormat="1" hidden="1" outlineLevel="1">
      <c r="A4487" s="1221"/>
      <c r="B4487" s="494" t="s">
        <v>305</v>
      </c>
      <c r="C4487" s="495" t="s">
        <v>2</v>
      </c>
      <c r="D4487" s="496"/>
      <c r="E4487" s="495"/>
      <c r="F4487" s="1373"/>
      <c r="G4487" s="1373"/>
      <c r="H4487" s="1373"/>
      <c r="I4487" s="399" t="str">
        <f t="shared" si="148"/>
        <v/>
      </c>
      <c r="J4487" s="374"/>
      <c r="K4487" s="1237"/>
      <c r="L4487" s="461"/>
      <c r="M4487" s="461"/>
      <c r="N4487" s="461"/>
    </row>
    <row r="4488" spans="1:14" s="462" customFormat="1" hidden="1" outlineLevel="1">
      <c r="A4488" s="1221"/>
      <c r="B4488" s="494"/>
      <c r="C4488" s="495" t="s">
        <v>2</v>
      </c>
      <c r="D4488" s="496"/>
      <c r="E4488" s="495"/>
      <c r="F4488" s="1373"/>
      <c r="G4488" s="1373"/>
      <c r="H4488" s="1373"/>
      <c r="I4488" s="399" t="str">
        <f t="shared" si="148"/>
        <v/>
      </c>
      <c r="J4488" s="374"/>
      <c r="K4488" s="1237"/>
      <c r="L4488" s="461"/>
      <c r="M4488" s="461"/>
      <c r="N4488" s="461"/>
    </row>
    <row r="4489" spans="1:14" s="462" customFormat="1" ht="34.5" hidden="1" outlineLevel="1">
      <c r="A4489" s="1221"/>
      <c r="B4489" s="494" t="s">
        <v>306</v>
      </c>
      <c r="C4489" s="495" t="s">
        <v>2</v>
      </c>
      <c r="D4489" s="496">
        <v>-1</v>
      </c>
      <c r="E4489" s="495">
        <v>1</v>
      </c>
      <c r="F4489" s="1373">
        <v>31.4</v>
      </c>
      <c r="G4489" s="1373">
        <v>0.23</v>
      </c>
      <c r="H4489" s="1373">
        <v>0.2</v>
      </c>
      <c r="I4489" s="399">
        <f t="shared" si="148"/>
        <v>-1.44</v>
      </c>
      <c r="J4489" s="374"/>
      <c r="K4489" s="1237"/>
      <c r="L4489" s="461"/>
      <c r="M4489" s="461"/>
      <c r="N4489" s="461"/>
    </row>
    <row r="4490" spans="1:14" s="462" customFormat="1" hidden="1" outlineLevel="1">
      <c r="A4490" s="1221"/>
      <c r="B4490" s="494" t="s">
        <v>147</v>
      </c>
      <c r="C4490" s="495" t="s">
        <v>2</v>
      </c>
      <c r="D4490" s="496">
        <v>-1</v>
      </c>
      <c r="E4490" s="495">
        <v>1</v>
      </c>
      <c r="F4490" s="1373">
        <v>42.55</v>
      </c>
      <c r="G4490" s="1373">
        <v>0.23</v>
      </c>
      <c r="H4490" s="1373">
        <v>0.2</v>
      </c>
      <c r="I4490" s="399">
        <f t="shared" si="148"/>
        <v>-1.96</v>
      </c>
      <c r="J4490" s="374"/>
      <c r="K4490" s="1237"/>
      <c r="L4490" s="461"/>
      <c r="M4490" s="461"/>
      <c r="N4490" s="461"/>
    </row>
    <row r="4491" spans="1:14" s="398" customFormat="1" hidden="1" outlineLevel="1">
      <c r="A4491" s="1221"/>
      <c r="B4491" s="425"/>
      <c r="C4491" s="498" t="s">
        <v>2</v>
      </c>
      <c r="D4491" s="490"/>
      <c r="E4491" s="387"/>
      <c r="F4491" s="1372"/>
      <c r="G4491" s="1372"/>
      <c r="H4491" s="1372"/>
      <c r="I4491" s="399" t="str">
        <f t="shared" si="148"/>
        <v/>
      </c>
      <c r="J4491" s="404"/>
      <c r="K4491" s="1234"/>
      <c r="L4491" s="431"/>
      <c r="M4491" s="431"/>
      <c r="N4491" s="431"/>
    </row>
    <row r="4492" spans="1:14" s="398" customFormat="1" ht="34.5" hidden="1" outlineLevel="1">
      <c r="A4492" s="1232"/>
      <c r="B4492" s="598" t="s">
        <v>970</v>
      </c>
      <c r="C4492" s="165" t="s">
        <v>2</v>
      </c>
      <c r="D4492" s="437"/>
      <c r="E4492" s="298"/>
      <c r="F4492" s="1156"/>
      <c r="G4492" s="1156"/>
      <c r="H4492" s="1156"/>
      <c r="I4492" s="399" t="str">
        <f t="shared" si="148"/>
        <v/>
      </c>
      <c r="J4492" s="374"/>
      <c r="K4492" s="1286"/>
      <c r="L4492" s="431"/>
      <c r="M4492" s="431"/>
      <c r="N4492" s="431"/>
    </row>
    <row r="4493" spans="1:14" s="398" customFormat="1" ht="51.75" hidden="1" outlineLevel="1">
      <c r="A4493" s="1232"/>
      <c r="B4493" s="303" t="s">
        <v>681</v>
      </c>
      <c r="C4493" s="165" t="s">
        <v>2</v>
      </c>
      <c r="D4493" s="437"/>
      <c r="E4493" s="298"/>
      <c r="F4493" s="1156" t="s">
        <v>624</v>
      </c>
      <c r="G4493" s="1156"/>
      <c r="H4493" s="1156"/>
      <c r="I4493" s="399" t="str">
        <f t="shared" si="148"/>
        <v/>
      </c>
      <c r="J4493" s="374"/>
      <c r="K4493" s="1286"/>
      <c r="L4493" s="431"/>
      <c r="M4493" s="431"/>
      <c r="N4493" s="431"/>
    </row>
    <row r="4494" spans="1:14" s="398" customFormat="1" hidden="1" outlineLevel="1">
      <c r="A4494" s="1232"/>
      <c r="B4494" s="305" t="s">
        <v>676</v>
      </c>
      <c r="C4494" s="165" t="s">
        <v>2</v>
      </c>
      <c r="D4494" s="437">
        <f>1*0</f>
        <v>0</v>
      </c>
      <c r="E4494" s="298">
        <v>1</v>
      </c>
      <c r="F4494" s="1351">
        <v>346.36099999999999</v>
      </c>
      <c r="G4494" s="1156"/>
      <c r="H4494" s="1156">
        <v>0.2</v>
      </c>
      <c r="I4494" s="399" t="str">
        <f t="shared" si="148"/>
        <v/>
      </c>
      <c r="J4494" s="374"/>
      <c r="K4494" s="1286"/>
      <c r="L4494" s="431"/>
      <c r="M4494" s="431"/>
      <c r="N4494" s="431"/>
    </row>
    <row r="4495" spans="1:14" s="398" customFormat="1" hidden="1" outlineLevel="1">
      <c r="A4495" s="1232"/>
      <c r="B4495" s="305" t="s">
        <v>961</v>
      </c>
      <c r="C4495" s="165" t="s">
        <v>2</v>
      </c>
      <c r="D4495" s="437">
        <v>1</v>
      </c>
      <c r="E4495" s="298">
        <v>1</v>
      </c>
      <c r="F4495" s="1371">
        <f>3.14*9.16^2</f>
        <v>263.46358400000003</v>
      </c>
      <c r="G4495" s="1156"/>
      <c r="H4495" s="1156">
        <v>0.2</v>
      </c>
      <c r="I4495" s="399">
        <f t="shared" si="148"/>
        <v>52.69</v>
      </c>
      <c r="J4495" s="374"/>
      <c r="K4495" s="1286"/>
      <c r="L4495" s="431"/>
      <c r="M4495" s="431"/>
      <c r="N4495" s="431"/>
    </row>
    <row r="4496" spans="1:14" s="398" customFormat="1" hidden="1" outlineLevel="1">
      <c r="A4496" s="1232"/>
      <c r="B4496" s="305" t="s">
        <v>971</v>
      </c>
      <c r="C4496" s="165" t="s">
        <v>2</v>
      </c>
      <c r="D4496" s="437"/>
      <c r="E4496" s="298"/>
      <c r="F4496" s="1371"/>
      <c r="G4496" s="1156"/>
      <c r="H4496" s="1156"/>
      <c r="I4496" s="399" t="str">
        <f t="shared" si="148"/>
        <v/>
      </c>
      <c r="J4496" s="374"/>
      <c r="K4496" s="1286"/>
      <c r="L4496" s="431"/>
      <c r="M4496" s="431"/>
      <c r="N4496" s="431"/>
    </row>
    <row r="4497" spans="1:16" s="398" customFormat="1" hidden="1" outlineLevel="1">
      <c r="A4497" s="1232"/>
      <c r="B4497" s="303" t="s">
        <v>972</v>
      </c>
      <c r="C4497" s="165" t="s">
        <v>2</v>
      </c>
      <c r="D4497" s="437">
        <v>5</v>
      </c>
      <c r="E4497" s="298">
        <v>2</v>
      </c>
      <c r="F4497" s="1371">
        <v>0.9</v>
      </c>
      <c r="G4497" s="1156">
        <v>0.2</v>
      </c>
      <c r="H4497" s="1156">
        <v>0.85</v>
      </c>
      <c r="I4497" s="399">
        <f t="shared" si="148"/>
        <v>1.53</v>
      </c>
      <c r="J4497" s="374"/>
      <c r="K4497" s="1286"/>
      <c r="L4497" s="431"/>
      <c r="M4497" s="431"/>
      <c r="N4497" s="431"/>
    </row>
    <row r="4498" spans="1:16" s="398" customFormat="1" hidden="1" outlineLevel="1">
      <c r="A4498" s="1280"/>
      <c r="B4498" s="295"/>
      <c r="C4498" s="165" t="s">
        <v>2</v>
      </c>
      <c r="D4498" s="437">
        <v>5</v>
      </c>
      <c r="E4498" s="298">
        <v>2</v>
      </c>
      <c r="F4498" s="1371">
        <f>0.9+0.2+0.2</f>
        <v>1.3</v>
      </c>
      <c r="G4498" s="1156">
        <v>0.2</v>
      </c>
      <c r="H4498" s="1156">
        <v>0.85</v>
      </c>
      <c r="I4498" s="399">
        <f t="shared" si="148"/>
        <v>2.21</v>
      </c>
      <c r="J4498" s="483"/>
      <c r="K4498" s="1266"/>
      <c r="L4498" s="431"/>
      <c r="M4498" s="431"/>
      <c r="N4498" s="431"/>
    </row>
    <row r="4499" spans="1:16" s="398" customFormat="1" hidden="1" outlineLevel="1">
      <c r="A4499" s="1280"/>
      <c r="B4499" s="295" t="s">
        <v>973</v>
      </c>
      <c r="C4499" s="165" t="s">
        <v>2</v>
      </c>
      <c r="D4499" s="437"/>
      <c r="E4499" s="298"/>
      <c r="F4499" s="1371"/>
      <c r="G4499" s="1156"/>
      <c r="H4499" s="1156"/>
      <c r="I4499" s="399" t="str">
        <f t="shared" si="148"/>
        <v/>
      </c>
      <c r="J4499" s="483"/>
      <c r="K4499" s="1266"/>
      <c r="L4499" s="431"/>
      <c r="M4499" s="431"/>
      <c r="N4499" s="431"/>
    </row>
    <row r="4500" spans="1:16" s="398" customFormat="1" hidden="1" outlineLevel="1">
      <c r="A4500" s="1280"/>
      <c r="B4500" s="295" t="s">
        <v>974</v>
      </c>
      <c r="C4500" s="165" t="s">
        <v>2</v>
      </c>
      <c r="D4500" s="437">
        <v>1</v>
      </c>
      <c r="E4500" s="298">
        <v>1</v>
      </c>
      <c r="F4500" s="1371">
        <f>2+0.2+0.2</f>
        <v>2.4000000000000004</v>
      </c>
      <c r="G4500" s="1371">
        <f>2+0.2+0.2</f>
        <v>2.4000000000000004</v>
      </c>
      <c r="H4500" s="1156">
        <v>0.1</v>
      </c>
      <c r="I4500" s="399">
        <f t="shared" si="148"/>
        <v>0.57999999999999996</v>
      </c>
      <c r="J4500" s="483"/>
      <c r="K4500" s="1266"/>
      <c r="L4500" s="431"/>
      <c r="M4500" s="431"/>
      <c r="N4500" s="431"/>
    </row>
    <row r="4501" spans="1:16" s="398" customFormat="1" hidden="1" outlineLevel="1">
      <c r="A4501" s="1280"/>
      <c r="B4501" s="295" t="s">
        <v>975</v>
      </c>
      <c r="C4501" s="165" t="s">
        <v>2</v>
      </c>
      <c r="D4501" s="437">
        <v>1</v>
      </c>
      <c r="E4501" s="298">
        <v>2</v>
      </c>
      <c r="F4501" s="1371">
        <v>2</v>
      </c>
      <c r="G4501" s="1156">
        <v>0.2</v>
      </c>
      <c r="H4501" s="1156">
        <v>1.8</v>
      </c>
      <c r="I4501" s="399">
        <f t="shared" si="148"/>
        <v>1.44</v>
      </c>
      <c r="J4501" s="483"/>
      <c r="K4501" s="1266"/>
      <c r="L4501" s="431"/>
      <c r="M4501" s="431"/>
      <c r="N4501" s="431"/>
    </row>
    <row r="4502" spans="1:16" s="398" customFormat="1" hidden="1" outlineLevel="1">
      <c r="A4502" s="1280"/>
      <c r="B4502" s="295"/>
      <c r="C4502" s="437" t="s">
        <v>2</v>
      </c>
      <c r="D4502" s="437">
        <v>1</v>
      </c>
      <c r="E4502" s="437">
        <v>2</v>
      </c>
      <c r="F4502" s="1371">
        <f>2+0.2+0.2</f>
        <v>2.4000000000000004</v>
      </c>
      <c r="G4502" s="1156">
        <v>0.2</v>
      </c>
      <c r="H4502" s="1156">
        <v>1.8</v>
      </c>
      <c r="I4502" s="399">
        <f t="shared" si="148"/>
        <v>1.73</v>
      </c>
      <c r="J4502" s="483"/>
      <c r="K4502" s="1266"/>
      <c r="L4502" s="431"/>
      <c r="M4502" s="431"/>
      <c r="N4502" s="431"/>
    </row>
    <row r="4503" spans="1:16" s="398" customFormat="1" hidden="1" outlineLevel="1">
      <c r="A4503" s="1280"/>
      <c r="B4503" s="295"/>
      <c r="C4503" s="437" t="s">
        <v>2</v>
      </c>
      <c r="D4503" s="437"/>
      <c r="E4503" s="437"/>
      <c r="F4503" s="1156"/>
      <c r="G4503" s="1156"/>
      <c r="H4503" s="1156"/>
      <c r="I4503" s="399" t="str">
        <f t="shared" si="148"/>
        <v/>
      </c>
      <c r="J4503" s="483"/>
      <c r="K4503" s="1266"/>
      <c r="L4503" s="431"/>
      <c r="M4503" s="431"/>
      <c r="N4503" s="431"/>
    </row>
    <row r="4504" spans="1:16" s="398" customFormat="1" hidden="1" outlineLevel="1">
      <c r="A4504" s="1280"/>
      <c r="B4504" s="295" t="s">
        <v>976</v>
      </c>
      <c r="C4504" s="437" t="s">
        <v>2</v>
      </c>
      <c r="D4504" s="437">
        <v>1</v>
      </c>
      <c r="E4504" s="437">
        <v>1</v>
      </c>
      <c r="F4504" s="1156">
        <v>31.986999999999998</v>
      </c>
      <c r="G4504" s="1156"/>
      <c r="H4504" s="1156"/>
      <c r="I4504" s="399">
        <f t="shared" si="148"/>
        <v>31.99</v>
      </c>
      <c r="J4504" s="483"/>
      <c r="K4504" s="1266"/>
      <c r="L4504" s="431"/>
      <c r="M4504" s="431"/>
      <c r="N4504" s="431"/>
    </row>
    <row r="4505" spans="1:16" s="870" customFormat="1" ht="69" hidden="1" outlineLevel="1" collapsed="1">
      <c r="A4505" s="1287"/>
      <c r="B4505" s="877" t="s">
        <v>1329</v>
      </c>
      <c r="C4505" s="854"/>
      <c r="D4505" s="878"/>
      <c r="E4505" s="879"/>
      <c r="F4505" s="1374"/>
      <c r="G4505" s="1374"/>
      <c r="H4505" s="1374"/>
      <c r="I4505" s="399" t="str">
        <f t="shared" si="148"/>
        <v/>
      </c>
      <c r="J4505" s="880"/>
      <c r="K4505" s="1288"/>
      <c r="L4505" s="869"/>
      <c r="M4505" s="869"/>
      <c r="N4505" s="869"/>
      <c r="O4505" s="869"/>
      <c r="P4505" s="869"/>
    </row>
    <row r="4506" spans="1:16" s="891" customFormat="1" hidden="1" outlineLevel="1">
      <c r="A4506" s="1287"/>
      <c r="B4506" s="877"/>
      <c r="C4506" s="854"/>
      <c r="D4506" s="878"/>
      <c r="E4506" s="879"/>
      <c r="F4506" s="1374"/>
      <c r="G4506" s="1374"/>
      <c r="H4506" s="1374"/>
      <c r="I4506" s="399" t="str">
        <f t="shared" si="148"/>
        <v/>
      </c>
      <c r="J4506" s="880"/>
      <c r="K4506" s="1288"/>
    </row>
    <row r="4507" spans="1:16" s="891" customFormat="1" hidden="1" outlineLevel="1">
      <c r="A4507" s="1287"/>
      <c r="B4507" s="877" t="s">
        <v>1310</v>
      </c>
      <c r="C4507" s="854" t="s">
        <v>2</v>
      </c>
      <c r="D4507" s="878">
        <v>1</v>
      </c>
      <c r="E4507" s="879">
        <v>2</v>
      </c>
      <c r="F4507" s="1374">
        <f>5.85+G4507*2</f>
        <v>6.31</v>
      </c>
      <c r="G4507" s="1374">
        <v>0.23</v>
      </c>
      <c r="H4507" s="1374">
        <v>0.2</v>
      </c>
      <c r="I4507" s="399">
        <f t="shared" si="148"/>
        <v>0.57999999999999996</v>
      </c>
      <c r="J4507" s="880"/>
      <c r="K4507" s="1288"/>
    </row>
    <row r="4508" spans="1:16" s="870" customFormat="1" hidden="1" outlineLevel="1">
      <c r="A4508" s="1287"/>
      <c r="B4508" s="877" t="s">
        <v>1311</v>
      </c>
      <c r="C4508" s="854" t="s">
        <v>2</v>
      </c>
      <c r="D4508" s="878">
        <v>1</v>
      </c>
      <c r="E4508" s="879">
        <v>2</v>
      </c>
      <c r="F4508" s="1374">
        <v>1.8</v>
      </c>
      <c r="G4508" s="1374">
        <v>0.23</v>
      </c>
      <c r="H4508" s="1374">
        <v>0.2</v>
      </c>
      <c r="I4508" s="399">
        <f t="shared" si="148"/>
        <v>0.17</v>
      </c>
      <c r="J4508" s="880"/>
      <c r="K4508" s="1288"/>
      <c r="L4508" s="869"/>
      <c r="M4508" s="869"/>
      <c r="N4508" s="869"/>
      <c r="O4508" s="869"/>
      <c r="P4508" s="869"/>
    </row>
    <row r="4509" spans="1:16" s="891" customFormat="1" hidden="1" outlineLevel="1">
      <c r="A4509" s="1287"/>
      <c r="B4509" s="877" t="s">
        <v>1310</v>
      </c>
      <c r="C4509" s="854" t="s">
        <v>2</v>
      </c>
      <c r="D4509" s="878">
        <v>1</v>
      </c>
      <c r="E4509" s="879">
        <v>2</v>
      </c>
      <c r="F4509" s="1375">
        <v>4.9850000000000003</v>
      </c>
      <c r="G4509" s="1374">
        <v>0.23</v>
      </c>
      <c r="H4509" s="1374">
        <v>0.2</v>
      </c>
      <c r="I4509" s="399">
        <f t="shared" si="148"/>
        <v>0.46</v>
      </c>
      <c r="J4509" s="880"/>
      <c r="K4509" s="1288"/>
    </row>
    <row r="4510" spans="1:16" s="891" customFormat="1" hidden="1" outlineLevel="1">
      <c r="A4510" s="1287"/>
      <c r="B4510" s="877" t="s">
        <v>1311</v>
      </c>
      <c r="C4510" s="854" t="s">
        <v>2</v>
      </c>
      <c r="D4510" s="878">
        <v>1</v>
      </c>
      <c r="E4510" s="879">
        <v>2</v>
      </c>
      <c r="F4510" s="1374">
        <v>1.8</v>
      </c>
      <c r="G4510" s="1374">
        <v>0.23</v>
      </c>
      <c r="H4510" s="1374">
        <v>0.2</v>
      </c>
      <c r="I4510" s="399">
        <f t="shared" si="148"/>
        <v>0.17</v>
      </c>
      <c r="J4510" s="880"/>
      <c r="K4510" s="1288"/>
    </row>
    <row r="4511" spans="1:16" s="891" customFormat="1" ht="69" hidden="1" outlineLevel="1">
      <c r="A4511" s="1287"/>
      <c r="B4511" s="877" t="s">
        <v>1330</v>
      </c>
      <c r="C4511" s="854"/>
      <c r="D4511" s="878"/>
      <c r="E4511" s="879"/>
      <c r="F4511" s="1374"/>
      <c r="G4511" s="1374"/>
      <c r="H4511" s="1374"/>
      <c r="I4511" s="399" t="str">
        <f t="shared" si="148"/>
        <v/>
      </c>
      <c r="J4511" s="880"/>
      <c r="K4511" s="1288"/>
    </row>
    <row r="4512" spans="1:16" s="891" customFormat="1" hidden="1" outlineLevel="1">
      <c r="A4512" s="1287"/>
      <c r="B4512" s="877" t="s">
        <v>1310</v>
      </c>
      <c r="C4512" s="854" t="s">
        <v>2</v>
      </c>
      <c r="D4512" s="878">
        <v>1</v>
      </c>
      <c r="E4512" s="879">
        <v>2</v>
      </c>
      <c r="F4512" s="1374">
        <f>5.85+G4512*2</f>
        <v>6.31</v>
      </c>
      <c r="G4512" s="1374">
        <v>0.23</v>
      </c>
      <c r="H4512" s="1374">
        <v>0.2</v>
      </c>
      <c r="I4512" s="399">
        <f t="shared" si="148"/>
        <v>0.57999999999999996</v>
      </c>
      <c r="J4512" s="880"/>
      <c r="K4512" s="1288"/>
    </row>
    <row r="4513" spans="1:16" s="870" customFormat="1" hidden="1" outlineLevel="1">
      <c r="A4513" s="1287"/>
      <c r="B4513" s="877" t="s">
        <v>1311</v>
      </c>
      <c r="C4513" s="854" t="s">
        <v>2</v>
      </c>
      <c r="D4513" s="878">
        <v>1</v>
      </c>
      <c r="E4513" s="879">
        <v>2</v>
      </c>
      <c r="F4513" s="1374">
        <v>1.2</v>
      </c>
      <c r="G4513" s="1374">
        <v>0.23</v>
      </c>
      <c r="H4513" s="1374">
        <v>0.2</v>
      </c>
      <c r="I4513" s="399">
        <f t="shared" si="148"/>
        <v>0.11</v>
      </c>
      <c r="J4513" s="880"/>
      <c r="K4513" s="1288"/>
      <c r="L4513" s="869"/>
      <c r="M4513" s="869"/>
      <c r="N4513" s="869"/>
      <c r="O4513" s="869"/>
      <c r="P4513" s="869"/>
    </row>
    <row r="4514" spans="1:16" s="870" customFormat="1" hidden="1" outlineLevel="1">
      <c r="A4514" s="1287"/>
      <c r="B4514" s="877" t="s">
        <v>1310</v>
      </c>
      <c r="C4514" s="854" t="s">
        <v>2</v>
      </c>
      <c r="D4514" s="878">
        <v>1</v>
      </c>
      <c r="E4514" s="879">
        <v>2</v>
      </c>
      <c r="F4514" s="1375">
        <v>4.9850000000000003</v>
      </c>
      <c r="G4514" s="1374">
        <v>0.23</v>
      </c>
      <c r="H4514" s="1374">
        <v>0.2</v>
      </c>
      <c r="I4514" s="399">
        <f t="shared" si="148"/>
        <v>0.46</v>
      </c>
      <c r="J4514" s="880"/>
      <c r="K4514" s="1288"/>
      <c r="L4514" s="869"/>
      <c r="M4514" s="869"/>
      <c r="N4514" s="869"/>
    </row>
    <row r="4515" spans="1:16" s="870" customFormat="1" hidden="1" outlineLevel="1">
      <c r="A4515" s="1287"/>
      <c r="B4515" s="877" t="s">
        <v>1311</v>
      </c>
      <c r="C4515" s="854" t="s">
        <v>2</v>
      </c>
      <c r="D4515" s="878">
        <v>1</v>
      </c>
      <c r="E4515" s="879">
        <v>2</v>
      </c>
      <c r="F4515" s="1374">
        <v>1.2</v>
      </c>
      <c r="G4515" s="1374">
        <v>0.23</v>
      </c>
      <c r="H4515" s="1374">
        <v>0.2</v>
      </c>
      <c r="I4515" s="399">
        <f t="shared" si="148"/>
        <v>0.11</v>
      </c>
      <c r="J4515" s="880"/>
      <c r="K4515" s="1288"/>
      <c r="L4515" s="869"/>
      <c r="M4515" s="869"/>
      <c r="N4515" s="869"/>
    </row>
    <row r="4516" spans="1:16" s="870" customFormat="1" ht="69" hidden="1" outlineLevel="1">
      <c r="A4516" s="1287"/>
      <c r="B4516" s="877" t="s">
        <v>1331</v>
      </c>
      <c r="C4516" s="854"/>
      <c r="D4516" s="878"/>
      <c r="E4516" s="879"/>
      <c r="F4516" s="1374"/>
      <c r="G4516" s="1374"/>
      <c r="H4516" s="1374"/>
      <c r="I4516" s="399" t="str">
        <f t="shared" si="148"/>
        <v/>
      </c>
      <c r="J4516" s="880"/>
      <c r="K4516" s="1288"/>
      <c r="L4516" s="869"/>
      <c r="M4516" s="869"/>
      <c r="N4516" s="869"/>
    </row>
    <row r="4517" spans="1:16" s="870" customFormat="1" hidden="1" outlineLevel="1">
      <c r="A4517" s="1287"/>
      <c r="B4517" s="877" t="s">
        <v>1310</v>
      </c>
      <c r="C4517" s="854" t="s">
        <v>2</v>
      </c>
      <c r="D4517" s="878">
        <v>1</v>
      </c>
      <c r="E4517" s="879">
        <v>2</v>
      </c>
      <c r="F4517" s="1374">
        <f>5.85+G4517*2</f>
        <v>6.31</v>
      </c>
      <c r="G4517" s="1374">
        <v>0.23</v>
      </c>
      <c r="H4517" s="1374">
        <v>0.2</v>
      </c>
      <c r="I4517" s="399">
        <f t="shared" ref="I4517:I4552" si="150">IF(D4517&lt;&gt;0,ROUND(PRODUCT(E4517:H4517)*D4517,2),"")</f>
        <v>0.57999999999999996</v>
      </c>
      <c r="J4517" s="880"/>
      <c r="K4517" s="1288"/>
      <c r="L4517" s="869"/>
      <c r="M4517" s="869"/>
      <c r="N4517" s="869"/>
    </row>
    <row r="4518" spans="1:16" s="870" customFormat="1" hidden="1" outlineLevel="1">
      <c r="A4518" s="1287"/>
      <c r="B4518" s="877" t="s">
        <v>1311</v>
      </c>
      <c r="C4518" s="854" t="s">
        <v>2</v>
      </c>
      <c r="D4518" s="878">
        <v>1</v>
      </c>
      <c r="E4518" s="879">
        <v>2</v>
      </c>
      <c r="F4518" s="1374">
        <v>1.2</v>
      </c>
      <c r="G4518" s="1374">
        <v>0.23</v>
      </c>
      <c r="H4518" s="1374">
        <v>0.2</v>
      </c>
      <c r="I4518" s="399">
        <f t="shared" si="150"/>
        <v>0.11</v>
      </c>
      <c r="J4518" s="880"/>
      <c r="K4518" s="1288"/>
      <c r="L4518" s="869"/>
      <c r="M4518" s="869"/>
      <c r="N4518" s="869"/>
    </row>
    <row r="4519" spans="1:16" s="870" customFormat="1" hidden="1" outlineLevel="1">
      <c r="A4519" s="1287"/>
      <c r="B4519" s="877" t="s">
        <v>1310</v>
      </c>
      <c r="C4519" s="854" t="s">
        <v>2</v>
      </c>
      <c r="D4519" s="878">
        <v>1</v>
      </c>
      <c r="E4519" s="879">
        <v>2</v>
      </c>
      <c r="F4519" s="1375">
        <v>4.9850000000000003</v>
      </c>
      <c r="G4519" s="1374">
        <v>0.23</v>
      </c>
      <c r="H4519" s="1374">
        <v>0.2</v>
      </c>
      <c r="I4519" s="399">
        <f t="shared" si="150"/>
        <v>0.46</v>
      </c>
      <c r="J4519" s="880"/>
      <c r="K4519" s="1288"/>
      <c r="L4519" s="869"/>
      <c r="M4519" s="869"/>
      <c r="N4519" s="869"/>
    </row>
    <row r="4520" spans="1:16" s="870" customFormat="1" hidden="1" outlineLevel="1">
      <c r="A4520" s="1287"/>
      <c r="B4520" s="877" t="s">
        <v>1311</v>
      </c>
      <c r="C4520" s="854" t="s">
        <v>2</v>
      </c>
      <c r="D4520" s="878">
        <v>1</v>
      </c>
      <c r="E4520" s="879">
        <v>2</v>
      </c>
      <c r="F4520" s="1374">
        <v>1.2</v>
      </c>
      <c r="G4520" s="1374">
        <v>0.23</v>
      </c>
      <c r="H4520" s="1374">
        <v>0.2</v>
      </c>
      <c r="I4520" s="399">
        <f t="shared" si="150"/>
        <v>0.11</v>
      </c>
      <c r="J4520" s="880"/>
      <c r="K4520" s="1288"/>
      <c r="L4520" s="869"/>
      <c r="M4520" s="869"/>
      <c r="N4520" s="869"/>
    </row>
    <row r="4521" spans="1:16" s="870" customFormat="1" hidden="1" outlineLevel="1">
      <c r="A4521" s="1287"/>
      <c r="B4521" s="877" t="s">
        <v>1310</v>
      </c>
      <c r="C4521" s="854" t="s">
        <v>2</v>
      </c>
      <c r="D4521" s="878">
        <v>1</v>
      </c>
      <c r="E4521" s="879">
        <v>2</v>
      </c>
      <c r="F4521" s="1374">
        <f>2.625+G4521*2</f>
        <v>3.085</v>
      </c>
      <c r="G4521" s="1374">
        <v>0.23</v>
      </c>
      <c r="H4521" s="1374">
        <v>0.2</v>
      </c>
      <c r="I4521" s="399">
        <f t="shared" si="150"/>
        <v>0.28000000000000003</v>
      </c>
      <c r="J4521" s="880"/>
      <c r="K4521" s="1288"/>
      <c r="L4521" s="869"/>
      <c r="M4521" s="869"/>
      <c r="N4521" s="869"/>
    </row>
    <row r="4522" spans="1:16" s="870" customFormat="1" hidden="1" outlineLevel="1">
      <c r="A4522" s="1287"/>
      <c r="B4522" s="877" t="s">
        <v>1311</v>
      </c>
      <c r="C4522" s="854" t="s">
        <v>2</v>
      </c>
      <c r="D4522" s="878">
        <v>1</v>
      </c>
      <c r="E4522" s="879">
        <v>2</v>
      </c>
      <c r="F4522" s="1374">
        <v>1.2</v>
      </c>
      <c r="G4522" s="1374">
        <v>0.23</v>
      </c>
      <c r="H4522" s="1374">
        <v>0.2</v>
      </c>
      <c r="I4522" s="399">
        <f t="shared" si="150"/>
        <v>0.11</v>
      </c>
      <c r="J4522" s="880"/>
      <c r="K4522" s="1288"/>
      <c r="L4522" s="869"/>
      <c r="M4522" s="869"/>
      <c r="N4522" s="869"/>
    </row>
    <row r="4523" spans="1:16" s="870" customFormat="1" hidden="1" outlineLevel="1">
      <c r="A4523" s="1287"/>
      <c r="B4523" s="877" t="s">
        <v>1310</v>
      </c>
      <c r="C4523" s="854" t="s">
        <v>2</v>
      </c>
      <c r="D4523" s="878">
        <v>1</v>
      </c>
      <c r="E4523" s="879">
        <v>2</v>
      </c>
      <c r="F4523" s="1374">
        <f>2.4+G4523*2</f>
        <v>2.86</v>
      </c>
      <c r="G4523" s="1374">
        <v>0.23</v>
      </c>
      <c r="H4523" s="1374">
        <v>0.2</v>
      </c>
      <c r="I4523" s="399">
        <f t="shared" si="150"/>
        <v>0.26</v>
      </c>
      <c r="J4523" s="880"/>
      <c r="K4523" s="1288"/>
      <c r="L4523" s="869"/>
      <c r="M4523" s="869"/>
      <c r="N4523" s="869"/>
    </row>
    <row r="4524" spans="1:16" s="870" customFormat="1" hidden="1" outlineLevel="1">
      <c r="A4524" s="1287"/>
      <c r="B4524" s="877" t="s">
        <v>1311</v>
      </c>
      <c r="C4524" s="854" t="s">
        <v>2</v>
      </c>
      <c r="D4524" s="878">
        <v>1</v>
      </c>
      <c r="E4524" s="879">
        <v>2</v>
      </c>
      <c r="F4524" s="1374">
        <v>1.2</v>
      </c>
      <c r="G4524" s="1374">
        <v>0.23</v>
      </c>
      <c r="H4524" s="1374">
        <v>0.2</v>
      </c>
      <c r="I4524" s="399">
        <f t="shared" si="150"/>
        <v>0.11</v>
      </c>
      <c r="J4524" s="880"/>
      <c r="K4524" s="1288"/>
      <c r="L4524" s="869"/>
      <c r="M4524" s="869"/>
      <c r="N4524" s="869"/>
    </row>
    <row r="4525" spans="1:16" s="870" customFormat="1" hidden="1" outlineLevel="1">
      <c r="A4525" s="1287"/>
      <c r="B4525" s="877"/>
      <c r="C4525" s="854"/>
      <c r="D4525" s="878"/>
      <c r="E4525" s="879"/>
      <c r="F4525" s="1374"/>
      <c r="G4525" s="1374"/>
      <c r="H4525" s="1374"/>
      <c r="I4525" s="399" t="str">
        <f t="shared" si="150"/>
        <v/>
      </c>
      <c r="J4525" s="880"/>
      <c r="K4525" s="1288"/>
      <c r="L4525" s="869"/>
      <c r="M4525" s="869"/>
      <c r="N4525" s="869"/>
    </row>
    <row r="4526" spans="1:16" s="870" customFormat="1" ht="34.5" hidden="1" outlineLevel="1">
      <c r="A4526" s="1287"/>
      <c r="B4526" s="877" t="s">
        <v>1332</v>
      </c>
      <c r="C4526" s="854"/>
      <c r="D4526" s="878"/>
      <c r="E4526" s="879"/>
      <c r="F4526" s="1374"/>
      <c r="G4526" s="1374"/>
      <c r="H4526" s="1374"/>
      <c r="I4526" s="399" t="str">
        <f t="shared" si="150"/>
        <v/>
      </c>
      <c r="J4526" s="880"/>
      <c r="K4526" s="1288"/>
      <c r="L4526" s="869"/>
      <c r="M4526" s="869"/>
      <c r="N4526" s="869"/>
    </row>
    <row r="4527" spans="1:16" s="870" customFormat="1" hidden="1" outlineLevel="1">
      <c r="A4527" s="1287"/>
      <c r="B4527" s="877" t="s">
        <v>1333</v>
      </c>
      <c r="C4527" s="854" t="s">
        <v>2</v>
      </c>
      <c r="D4527" s="878">
        <v>5</v>
      </c>
      <c r="E4527" s="879">
        <v>2</v>
      </c>
      <c r="F4527" s="1374">
        <v>1.44</v>
      </c>
      <c r="G4527" s="1374">
        <v>1.44</v>
      </c>
      <c r="H4527" s="1374">
        <v>0.1</v>
      </c>
      <c r="I4527" s="399">
        <f t="shared" si="150"/>
        <v>2.0699999999999998</v>
      </c>
      <c r="J4527" s="880"/>
      <c r="K4527" s="1288"/>
      <c r="L4527" s="869"/>
      <c r="M4527" s="869"/>
      <c r="N4527" s="869"/>
    </row>
    <row r="4528" spans="1:16" s="870" customFormat="1" hidden="1" outlineLevel="1">
      <c r="A4528" s="1287"/>
      <c r="B4528" s="877" t="s">
        <v>1334</v>
      </c>
      <c r="C4528" s="854" t="s">
        <v>2</v>
      </c>
      <c r="D4528" s="878">
        <v>10</v>
      </c>
      <c r="E4528" s="879">
        <v>2</v>
      </c>
      <c r="F4528" s="1374">
        <f>1.44-0.3-0.3</f>
        <v>0.83999999999999986</v>
      </c>
      <c r="G4528" s="1374">
        <v>0.23</v>
      </c>
      <c r="H4528" s="1374">
        <v>0.23</v>
      </c>
      <c r="I4528" s="399">
        <f t="shared" si="150"/>
        <v>0.89</v>
      </c>
      <c r="J4528" s="880"/>
      <c r="K4528" s="1288"/>
      <c r="L4528" s="869"/>
      <c r="M4528" s="869"/>
      <c r="N4528" s="869"/>
    </row>
    <row r="4529" spans="1:14" s="870" customFormat="1" hidden="1" outlineLevel="1">
      <c r="A4529" s="1287"/>
      <c r="B4529" s="877"/>
      <c r="C4529" s="854" t="s">
        <v>2</v>
      </c>
      <c r="D4529" s="878">
        <v>10</v>
      </c>
      <c r="E4529" s="879">
        <v>2</v>
      </c>
      <c r="F4529" s="1374">
        <f>1.44-0.3-0.3-0.23-0.23</f>
        <v>0.37999999999999989</v>
      </c>
      <c r="G4529" s="1374">
        <v>0.23</v>
      </c>
      <c r="H4529" s="1374">
        <v>0.23</v>
      </c>
      <c r="I4529" s="399">
        <f t="shared" si="150"/>
        <v>0.4</v>
      </c>
      <c r="J4529" s="880"/>
      <c r="K4529" s="1288"/>
      <c r="L4529" s="869"/>
      <c r="M4529" s="869"/>
      <c r="N4529" s="869"/>
    </row>
    <row r="4530" spans="1:14" s="870" customFormat="1" hidden="1" outlineLevel="1">
      <c r="A4530" s="1287"/>
      <c r="B4530" s="877"/>
      <c r="C4530" s="854"/>
      <c r="D4530" s="878"/>
      <c r="E4530" s="879"/>
      <c r="F4530" s="1374"/>
      <c r="G4530" s="1374"/>
      <c r="H4530" s="1374"/>
      <c r="I4530" s="399" t="str">
        <f t="shared" si="150"/>
        <v/>
      </c>
      <c r="J4530" s="880"/>
      <c r="K4530" s="1288"/>
      <c r="L4530" s="869"/>
      <c r="M4530" s="869"/>
      <c r="N4530" s="869"/>
    </row>
    <row r="4531" spans="1:14" s="870" customFormat="1" hidden="1" outlineLevel="1">
      <c r="A4531" s="1287"/>
      <c r="B4531" s="877" t="s">
        <v>1335</v>
      </c>
      <c r="C4531" s="854"/>
      <c r="D4531" s="878"/>
      <c r="E4531" s="879"/>
      <c r="F4531" s="1374"/>
      <c r="G4531" s="1374"/>
      <c r="H4531" s="1374"/>
      <c r="I4531" s="399" t="str">
        <f t="shared" si="150"/>
        <v/>
      </c>
      <c r="J4531" s="880"/>
      <c r="K4531" s="1288"/>
      <c r="L4531" s="869"/>
      <c r="M4531" s="869"/>
      <c r="N4531" s="869"/>
    </row>
    <row r="4532" spans="1:14" s="870" customFormat="1" ht="51.75" hidden="1" outlineLevel="1">
      <c r="A4532" s="1287"/>
      <c r="B4532" s="877" t="s">
        <v>1336</v>
      </c>
      <c r="C4532" s="854"/>
      <c r="D4532" s="878"/>
      <c r="E4532" s="879"/>
      <c r="F4532" s="1374"/>
      <c r="G4532" s="1374"/>
      <c r="H4532" s="1374"/>
      <c r="I4532" s="399" t="str">
        <f t="shared" si="150"/>
        <v/>
      </c>
      <c r="J4532" s="880"/>
      <c r="K4532" s="1288"/>
      <c r="L4532" s="869"/>
      <c r="M4532" s="869"/>
      <c r="N4532" s="869"/>
    </row>
    <row r="4533" spans="1:14" s="864" customFormat="1" hidden="1" outlineLevel="1">
      <c r="A4533" s="1287"/>
      <c r="B4533" s="877" t="s">
        <v>835</v>
      </c>
      <c r="C4533" s="854" t="s">
        <v>167</v>
      </c>
      <c r="D4533" s="878">
        <v>1</v>
      </c>
      <c r="E4533" s="879">
        <v>4</v>
      </c>
      <c r="F4533" s="1375">
        <v>2.835</v>
      </c>
      <c r="G4533" s="1374">
        <v>0.38500000000000001</v>
      </c>
      <c r="H4533" s="1374">
        <v>0.27500000000000002</v>
      </c>
      <c r="I4533" s="399">
        <f t="shared" si="150"/>
        <v>1.2</v>
      </c>
      <c r="J4533" s="880"/>
      <c r="K4533" s="1288"/>
    </row>
    <row r="4534" spans="1:14" s="864" customFormat="1" ht="34.5" hidden="1" outlineLevel="1">
      <c r="A4534" s="1287"/>
      <c r="B4534" s="877" t="s">
        <v>1337</v>
      </c>
      <c r="C4534" s="854"/>
      <c r="D4534" s="878"/>
      <c r="E4534" s="879"/>
      <c r="F4534" s="1374"/>
      <c r="G4534" s="1374"/>
      <c r="H4534" s="1374"/>
      <c r="I4534" s="399" t="str">
        <f t="shared" si="150"/>
        <v/>
      </c>
      <c r="J4534" s="880"/>
      <c r="K4534" s="1288"/>
    </row>
    <row r="4535" spans="1:14" s="870" customFormat="1" hidden="1" outlineLevel="1">
      <c r="A4535" s="1287"/>
      <c r="B4535" s="877" t="s">
        <v>835</v>
      </c>
      <c r="C4535" s="854" t="s">
        <v>167</v>
      </c>
      <c r="D4535" s="878">
        <v>1</v>
      </c>
      <c r="E4535" s="879">
        <v>2</v>
      </c>
      <c r="F4535" s="1375">
        <v>2.835</v>
      </c>
      <c r="G4535" s="1374">
        <v>0.38500000000000001</v>
      </c>
      <c r="H4535" s="1374">
        <v>0.27500000000000002</v>
      </c>
      <c r="I4535" s="399">
        <f t="shared" si="150"/>
        <v>0.6</v>
      </c>
      <c r="J4535" s="880"/>
      <c r="K4535" s="1288"/>
      <c r="L4535" s="869"/>
      <c r="M4535" s="869"/>
      <c r="N4535" s="869"/>
    </row>
    <row r="4536" spans="1:14" s="864" customFormat="1" ht="51.75" hidden="1" outlineLevel="1">
      <c r="A4536" s="1287"/>
      <c r="B4536" s="877" t="s">
        <v>1338</v>
      </c>
      <c r="C4536" s="854"/>
      <c r="D4536" s="878"/>
      <c r="E4536" s="879"/>
      <c r="F4536" s="1374"/>
      <c r="G4536" s="1374"/>
      <c r="H4536" s="1374"/>
      <c r="I4536" s="399" t="str">
        <f t="shared" si="150"/>
        <v/>
      </c>
      <c r="J4536" s="880"/>
      <c r="K4536" s="1288"/>
    </row>
    <row r="4537" spans="1:14" s="864" customFormat="1" hidden="1" outlineLevel="1">
      <c r="A4537" s="1287"/>
      <c r="B4537" s="877" t="s">
        <v>835</v>
      </c>
      <c r="C4537" s="854" t="s">
        <v>167</v>
      </c>
      <c r="D4537" s="878">
        <v>1</v>
      </c>
      <c r="E4537" s="879">
        <v>6</v>
      </c>
      <c r="F4537" s="1375">
        <v>2.835</v>
      </c>
      <c r="G4537" s="1374">
        <v>0.38500000000000001</v>
      </c>
      <c r="H4537" s="1374">
        <v>0.27500000000000002</v>
      </c>
      <c r="I4537" s="399">
        <f t="shared" si="150"/>
        <v>1.8</v>
      </c>
      <c r="J4537" s="880"/>
      <c r="K4537" s="1288"/>
    </row>
    <row r="4538" spans="1:14" s="864" customFormat="1" ht="51.75" hidden="1" outlineLevel="1">
      <c r="A4538" s="1287"/>
      <c r="B4538" s="877" t="s">
        <v>1339</v>
      </c>
      <c r="C4538" s="854"/>
      <c r="D4538" s="878"/>
      <c r="E4538" s="879"/>
      <c r="F4538" s="1374"/>
      <c r="G4538" s="1374"/>
      <c r="H4538" s="1374"/>
      <c r="I4538" s="399" t="str">
        <f t="shared" si="150"/>
        <v/>
      </c>
      <c r="J4538" s="880"/>
      <c r="K4538" s="1288"/>
    </row>
    <row r="4539" spans="1:14" s="870" customFormat="1" hidden="1" outlineLevel="1">
      <c r="A4539" s="1287"/>
      <c r="B4539" s="877" t="s">
        <v>835</v>
      </c>
      <c r="C4539" s="854" t="s">
        <v>167</v>
      </c>
      <c r="D4539" s="878">
        <v>1</v>
      </c>
      <c r="E4539" s="879">
        <v>7</v>
      </c>
      <c r="F4539" s="1375">
        <v>2.835</v>
      </c>
      <c r="G4539" s="1374">
        <v>0.38500000000000001</v>
      </c>
      <c r="H4539" s="1374">
        <v>0.27500000000000002</v>
      </c>
      <c r="I4539" s="399">
        <f t="shared" si="150"/>
        <v>2.1</v>
      </c>
      <c r="J4539" s="880"/>
      <c r="K4539" s="1288"/>
      <c r="L4539" s="869"/>
      <c r="M4539" s="869"/>
      <c r="N4539" s="869"/>
    </row>
    <row r="4540" spans="1:14" s="870" customFormat="1" ht="51.75" hidden="1" outlineLevel="1">
      <c r="A4540" s="1287"/>
      <c r="B4540" s="877" t="s">
        <v>1340</v>
      </c>
      <c r="C4540" s="854"/>
      <c r="D4540" s="878"/>
      <c r="E4540" s="879"/>
      <c r="F4540" s="1374"/>
      <c r="G4540" s="1374"/>
      <c r="H4540" s="1374"/>
      <c r="I4540" s="399" t="str">
        <f t="shared" si="150"/>
        <v/>
      </c>
      <c r="J4540" s="880"/>
      <c r="K4540" s="1288"/>
      <c r="L4540" s="869"/>
      <c r="M4540" s="869"/>
      <c r="N4540" s="869"/>
    </row>
    <row r="4541" spans="1:14" s="870" customFormat="1" hidden="1" outlineLevel="1">
      <c r="A4541" s="1287"/>
      <c r="B4541" s="877" t="s">
        <v>835</v>
      </c>
      <c r="C4541" s="854" t="s">
        <v>167</v>
      </c>
      <c r="D4541" s="878">
        <v>1</v>
      </c>
      <c r="E4541" s="879">
        <v>6</v>
      </c>
      <c r="F4541" s="1375">
        <v>2.835</v>
      </c>
      <c r="G4541" s="1374">
        <v>0.38500000000000001</v>
      </c>
      <c r="H4541" s="1374">
        <v>0.27500000000000002</v>
      </c>
      <c r="I4541" s="399">
        <f t="shared" si="150"/>
        <v>1.8</v>
      </c>
      <c r="J4541" s="880"/>
      <c r="K4541" s="1288"/>
      <c r="L4541" s="869"/>
      <c r="M4541" s="869"/>
      <c r="N4541" s="869"/>
    </row>
    <row r="4542" spans="1:14" s="870" customFormat="1" ht="34.5" hidden="1" outlineLevel="1">
      <c r="A4542" s="1287"/>
      <c r="B4542" s="877" t="s">
        <v>1341</v>
      </c>
      <c r="C4542" s="854"/>
      <c r="D4542" s="878"/>
      <c r="E4542" s="879"/>
      <c r="F4542" s="1374"/>
      <c r="G4542" s="1374"/>
      <c r="H4542" s="1374"/>
      <c r="I4542" s="399" t="str">
        <f t="shared" si="150"/>
        <v/>
      </c>
      <c r="J4542" s="880"/>
      <c r="K4542" s="1288"/>
      <c r="L4542" s="869"/>
      <c r="M4542" s="869"/>
      <c r="N4542" s="869"/>
    </row>
    <row r="4543" spans="1:14" s="870" customFormat="1" hidden="1" outlineLevel="1">
      <c r="A4543" s="1287"/>
      <c r="B4543" s="877" t="s">
        <v>835</v>
      </c>
      <c r="C4543" s="854" t="s">
        <v>167</v>
      </c>
      <c r="D4543" s="878">
        <v>1</v>
      </c>
      <c r="E4543" s="879">
        <v>8</v>
      </c>
      <c r="F4543" s="1375">
        <v>2.835</v>
      </c>
      <c r="G4543" s="1374">
        <v>0.38500000000000001</v>
      </c>
      <c r="H4543" s="1374">
        <v>0.27500000000000002</v>
      </c>
      <c r="I4543" s="399">
        <f t="shared" si="150"/>
        <v>2.4</v>
      </c>
      <c r="J4543" s="880"/>
      <c r="K4543" s="1288"/>
      <c r="L4543" s="869"/>
      <c r="M4543" s="869"/>
      <c r="N4543" s="869"/>
    </row>
    <row r="4544" spans="1:14" s="870" customFormat="1" hidden="1" outlineLevel="1">
      <c r="A4544" s="1287"/>
      <c r="B4544" s="877"/>
      <c r="C4544" s="854"/>
      <c r="D4544" s="878"/>
      <c r="E4544" s="879"/>
      <c r="F4544" s="1374"/>
      <c r="G4544" s="1374"/>
      <c r="H4544" s="1374"/>
      <c r="I4544" s="399" t="str">
        <f t="shared" si="150"/>
        <v/>
      </c>
      <c r="J4544" s="880"/>
      <c r="K4544" s="1288"/>
      <c r="L4544" s="869"/>
      <c r="M4544" s="869"/>
      <c r="N4544" s="869"/>
    </row>
    <row r="4545" spans="1:14" s="870" customFormat="1" hidden="1" outlineLevel="1">
      <c r="A4545" s="1287"/>
      <c r="B4545" s="877" t="s">
        <v>1342</v>
      </c>
      <c r="C4545" s="854"/>
      <c r="D4545" s="878"/>
      <c r="E4545" s="879"/>
      <c r="F4545" s="1374"/>
      <c r="G4545" s="1374"/>
      <c r="H4545" s="1374"/>
      <c r="I4545" s="399" t="str">
        <f t="shared" si="150"/>
        <v/>
      </c>
      <c r="J4545" s="880"/>
      <c r="K4545" s="1288"/>
      <c r="L4545" s="869"/>
      <c r="M4545" s="869"/>
      <c r="N4545" s="869"/>
    </row>
    <row r="4546" spans="1:14" s="870" customFormat="1" ht="34.5" hidden="1" outlineLevel="1">
      <c r="A4546" s="1287"/>
      <c r="B4546" s="877" t="s">
        <v>1343</v>
      </c>
      <c r="C4546" s="854" t="s">
        <v>167</v>
      </c>
      <c r="D4546" s="878">
        <v>1</v>
      </c>
      <c r="E4546" s="879">
        <v>2</v>
      </c>
      <c r="F4546" s="1374">
        <f>3.14*0.8</f>
        <v>2.5120000000000005</v>
      </c>
      <c r="G4546" s="1374">
        <v>0.2</v>
      </c>
      <c r="H4546" s="1374">
        <f>0.45+0.75-0.15-0.1-0.2</f>
        <v>0.75</v>
      </c>
      <c r="I4546" s="399">
        <f t="shared" si="150"/>
        <v>0.75</v>
      </c>
      <c r="J4546" s="880"/>
      <c r="K4546" s="1288"/>
      <c r="L4546" s="869"/>
      <c r="M4546" s="869"/>
      <c r="N4546" s="869"/>
    </row>
    <row r="4547" spans="1:14" s="464" customFormat="1" collapsed="1">
      <c r="A4547" s="1264"/>
      <c r="B4547" s="669" t="s">
        <v>85</v>
      </c>
      <c r="C4547" s="465" t="s">
        <v>2</v>
      </c>
      <c r="D4547" s="444"/>
      <c r="E4547" s="345"/>
      <c r="F4547" s="1356"/>
      <c r="G4547" s="1356"/>
      <c r="H4547" s="1356"/>
      <c r="I4547" s="399" t="str">
        <f t="shared" si="150"/>
        <v/>
      </c>
      <c r="J4547" s="381">
        <f>SUM(I3586:I4547)</f>
        <v>431.73999999999978</v>
      </c>
      <c r="K4547" s="1258"/>
      <c r="L4547" s="463"/>
      <c r="M4547" s="463"/>
      <c r="N4547" s="463"/>
    </row>
    <row r="4548" spans="1:14" s="398" customFormat="1" ht="34.5">
      <c r="A4548" s="1248"/>
      <c r="B4548" s="504" t="s">
        <v>1743</v>
      </c>
      <c r="C4548" s="165" t="s">
        <v>2</v>
      </c>
      <c r="D4548" s="392">
        <v>2</v>
      </c>
      <c r="E4548" s="323">
        <v>1</v>
      </c>
      <c r="F4548" s="1160">
        <v>0.9</v>
      </c>
      <c r="G4548" s="1160">
        <v>0.9</v>
      </c>
      <c r="H4548" s="1160">
        <v>0.25</v>
      </c>
      <c r="I4548" s="399">
        <f t="shared" si="150"/>
        <v>0.41</v>
      </c>
      <c r="J4548" s="374"/>
      <c r="K4548" s="1286"/>
      <c r="L4548" s="431"/>
      <c r="M4548" s="431"/>
      <c r="N4548" s="431"/>
    </row>
    <row r="4549" spans="1:14" s="398" customFormat="1">
      <c r="A4549" s="1248"/>
      <c r="B4549" s="504" t="s">
        <v>1744</v>
      </c>
      <c r="C4549" s="165" t="s">
        <v>2</v>
      </c>
      <c r="D4549" s="392">
        <v>2</v>
      </c>
      <c r="E4549" s="323">
        <v>1</v>
      </c>
      <c r="F4549" s="1160">
        <v>0.25</v>
      </c>
      <c r="G4549" s="1160">
        <v>0.25</v>
      </c>
      <c r="H4549" s="1160">
        <v>1.2</v>
      </c>
      <c r="I4549" s="399">
        <f t="shared" si="150"/>
        <v>0.15</v>
      </c>
      <c r="J4549" s="374"/>
      <c r="K4549" s="1286"/>
      <c r="L4549" s="431"/>
      <c r="M4549" s="431">
        <f>1400/200+1</f>
        <v>8</v>
      </c>
      <c r="N4549" s="431"/>
    </row>
    <row r="4550" spans="1:14" s="398" customFormat="1">
      <c r="A4550" s="1248"/>
      <c r="B4550" s="504"/>
      <c r="C4550" s="165"/>
      <c r="D4550" s="392"/>
      <c r="E4550" s="323"/>
      <c r="F4550" s="1160"/>
      <c r="G4550" s="1160"/>
      <c r="H4550" s="1160"/>
      <c r="I4550" s="399" t="str">
        <f t="shared" si="150"/>
        <v/>
      </c>
      <c r="J4550" s="374"/>
      <c r="K4550" s="1286"/>
      <c r="L4550" s="431"/>
      <c r="M4550" s="431"/>
      <c r="N4550" s="431"/>
    </row>
    <row r="4551" spans="1:14" s="398" customFormat="1" ht="34.5">
      <c r="A4551" s="1248"/>
      <c r="B4551" s="504" t="s">
        <v>1745</v>
      </c>
      <c r="C4551" s="165" t="s">
        <v>2</v>
      </c>
      <c r="D4551" s="392">
        <v>2</v>
      </c>
      <c r="E4551" s="323">
        <v>1</v>
      </c>
      <c r="F4551" s="1160">
        <v>1.5</v>
      </c>
      <c r="G4551" s="1160">
        <v>1.5</v>
      </c>
      <c r="H4551" s="1160">
        <v>0.35</v>
      </c>
      <c r="I4551" s="399">
        <f t="shared" si="150"/>
        <v>1.58</v>
      </c>
      <c r="J4551" s="374"/>
      <c r="K4551" s="1286"/>
      <c r="L4551" s="431"/>
      <c r="M4551" s="431"/>
      <c r="N4551" s="431"/>
    </row>
    <row r="4552" spans="1:14" s="398" customFormat="1">
      <c r="A4552" s="1248"/>
      <c r="B4552" s="504" t="s">
        <v>1746</v>
      </c>
      <c r="C4552" s="165" t="s">
        <v>2</v>
      </c>
      <c r="D4552" s="392">
        <v>2</v>
      </c>
      <c r="E4552" s="323">
        <v>1</v>
      </c>
      <c r="F4552" s="1160">
        <v>0.5</v>
      </c>
      <c r="G4552" s="1160">
        <v>0.5</v>
      </c>
      <c r="H4552" s="1160">
        <v>1.9750000000000001</v>
      </c>
      <c r="I4552" s="399">
        <f t="shared" si="150"/>
        <v>0.99</v>
      </c>
      <c r="J4552" s="374"/>
      <c r="K4552" s="1286"/>
      <c r="L4552" s="431"/>
      <c r="M4552" s="431"/>
      <c r="N4552" s="431"/>
    </row>
    <row r="4553" spans="1:14" s="398" customFormat="1">
      <c r="A4553" s="1248"/>
      <c r="B4553" s="504"/>
      <c r="C4553" s="165"/>
      <c r="D4553" s="392"/>
      <c r="E4553" s="323"/>
      <c r="F4553" s="1160"/>
      <c r="G4553" s="1160"/>
      <c r="H4553" s="1160"/>
      <c r="I4553" s="938" t="str">
        <f t="shared" ref="I4553:I4554" si="151">IF(D4553&lt;&gt;0,ROUND(PRODUCT(E4553:H4553)*D4553,2),"")</f>
        <v/>
      </c>
      <c r="J4553" s="374"/>
      <c r="K4553" s="1286"/>
      <c r="L4553" s="431"/>
      <c r="M4553" s="431"/>
      <c r="N4553" s="431"/>
    </row>
    <row r="4554" spans="1:14" s="398" customFormat="1">
      <c r="A4554" s="1248"/>
      <c r="B4554" s="504"/>
      <c r="C4554" s="165"/>
      <c r="D4554" s="392"/>
      <c r="E4554" s="323"/>
      <c r="F4554" s="1160"/>
      <c r="G4554" s="1160"/>
      <c r="H4554" s="1160"/>
      <c r="I4554" s="938" t="str">
        <f t="shared" si="151"/>
        <v/>
      </c>
      <c r="J4554" s="374"/>
      <c r="K4554" s="1286"/>
      <c r="L4554" s="431"/>
      <c r="M4554" s="431"/>
      <c r="N4554" s="431"/>
    </row>
    <row r="4555" spans="1:14" s="398" customFormat="1">
      <c r="A4555" s="1248"/>
      <c r="B4555" s="161" t="s">
        <v>928</v>
      </c>
      <c r="C4555" s="388" t="s">
        <v>2</v>
      </c>
      <c r="D4555" s="392"/>
      <c r="E4555" s="165"/>
      <c r="F4555" s="401"/>
      <c r="G4555" s="401"/>
      <c r="H4555" s="401"/>
      <c r="I4555" s="938" t="str">
        <f t="shared" ref="I4555" si="152">IF(D4555&lt;&gt;0,ROUND(PRODUCT(E4555:H4555)*D4555,2),"")</f>
        <v/>
      </c>
      <c r="J4555" s="403">
        <f>SUM(I4548:I4554)</f>
        <v>3.13</v>
      </c>
      <c r="K4555" s="1222" t="s">
        <v>1690</v>
      </c>
      <c r="L4555" s="431"/>
      <c r="M4555" s="431"/>
      <c r="N4555" s="431"/>
    </row>
    <row r="4556" spans="1:14">
      <c r="A4556" s="1248"/>
      <c r="B4556" s="311"/>
      <c r="C4556" s="165"/>
      <c r="D4556" s="392"/>
      <c r="E4556" s="165"/>
      <c r="F4556" s="401"/>
      <c r="G4556" s="401"/>
      <c r="H4556" s="401"/>
      <c r="I4556" s="938" t="str">
        <f t="shared" ref="I4556:I5811" si="153">IF(D4556&lt;&gt;0,ROUND(PRODUCT(E4556:H4556)*D4556,2),"")</f>
        <v/>
      </c>
      <c r="J4556" s="432">
        <f>SUM(J4547:J4555)</f>
        <v>434.86999999999978</v>
      </c>
      <c r="K4556" s="1242"/>
    </row>
    <row r="4557" spans="1:14" s="165" customFormat="1">
      <c r="A4557" s="1251"/>
      <c r="B4557" s="673" t="s">
        <v>1073</v>
      </c>
      <c r="C4557" s="417"/>
      <c r="D4557" s="446"/>
      <c r="E4557" s="446"/>
      <c r="F4557" s="1370"/>
      <c r="G4557" s="1370"/>
      <c r="H4557" s="1370"/>
      <c r="I4557" s="1175" t="str">
        <f t="shared" ref="I4557" si="154">IF(D4557&lt;&gt;0,ROUND(PRODUCT(E4557:H4557)*D4557,2),"")</f>
        <v/>
      </c>
      <c r="J4557" s="418"/>
      <c r="K4557" s="1252"/>
      <c r="L4557" s="164"/>
      <c r="M4557" s="164"/>
      <c r="N4557" s="164"/>
    </row>
    <row r="4558" spans="1:14">
      <c r="A4558" s="1219">
        <v>5</v>
      </c>
      <c r="B4558" s="768" t="s">
        <v>1066</v>
      </c>
      <c r="C4558" s="422"/>
      <c r="D4558" s="436"/>
      <c r="E4558" s="436"/>
      <c r="F4558" s="1359"/>
      <c r="G4558" s="1359"/>
      <c r="H4558" s="1359"/>
      <c r="I4558" s="1172"/>
      <c r="J4558" s="423"/>
      <c r="K4558" s="1220"/>
    </row>
    <row r="4559" spans="1:14" s="398" customFormat="1" ht="34.5" hidden="1" outlineLevel="1">
      <c r="A4559" s="1248" t="s">
        <v>457</v>
      </c>
      <c r="B4559" s="598" t="s">
        <v>1067</v>
      </c>
      <c r="C4559" s="165"/>
      <c r="D4559" s="392"/>
      <c r="E4559" s="323"/>
      <c r="F4559" s="1160"/>
      <c r="G4559" s="1160"/>
      <c r="H4559" s="1160"/>
      <c r="I4559" s="938"/>
      <c r="J4559" s="374"/>
      <c r="K4559" s="1286"/>
      <c r="L4559" s="431"/>
      <c r="M4559" s="431"/>
      <c r="N4559" s="431"/>
    </row>
    <row r="4560" spans="1:14" s="398" customFormat="1" ht="34.5" hidden="1" outlineLevel="1">
      <c r="A4560" s="1248"/>
      <c r="B4560" s="504" t="s">
        <v>1068</v>
      </c>
      <c r="C4560" s="165"/>
      <c r="D4560" s="392"/>
      <c r="E4560" s="323"/>
      <c r="F4560" s="1160" t="s">
        <v>624</v>
      </c>
      <c r="G4560" s="1160"/>
      <c r="H4560" s="1160"/>
      <c r="I4560" s="938" t="str">
        <f t="shared" ref="I4560:I4571" si="155">IF(D4560&lt;&gt;0,ROUND(PRODUCT(E4560:H4560)*D4560,2),"")</f>
        <v/>
      </c>
      <c r="J4560" s="374"/>
      <c r="K4560" s="1286"/>
      <c r="L4560" s="431"/>
      <c r="M4560" s="431"/>
      <c r="N4560" s="431"/>
    </row>
    <row r="4561" spans="1:14" s="398" customFormat="1" hidden="1" outlineLevel="1">
      <c r="A4561" s="1248"/>
      <c r="B4561" s="369" t="s">
        <v>1069</v>
      </c>
      <c r="C4561" s="165" t="s">
        <v>1</v>
      </c>
      <c r="D4561" s="505">
        <f>1</f>
        <v>1</v>
      </c>
      <c r="E4561" s="492">
        <v>1</v>
      </c>
      <c r="F4561" s="1376">
        <f>3.14*10.06^2</f>
        <v>317.77930400000002</v>
      </c>
      <c r="G4561" s="1160"/>
      <c r="H4561" s="1160"/>
      <c r="I4561" s="399">
        <f t="shared" si="155"/>
        <v>317.77999999999997</v>
      </c>
      <c r="J4561" s="374"/>
      <c r="K4561" s="1286" t="s">
        <v>860</v>
      </c>
      <c r="L4561" s="431"/>
      <c r="M4561" s="431"/>
      <c r="N4561" s="431"/>
    </row>
    <row r="4562" spans="1:14" s="398" customFormat="1" hidden="1" outlineLevel="1">
      <c r="A4562" s="1248"/>
      <c r="B4562" s="369" t="s">
        <v>1070</v>
      </c>
      <c r="C4562" s="165"/>
      <c r="D4562" s="505"/>
      <c r="E4562" s="492"/>
      <c r="F4562" s="1376"/>
      <c r="G4562" s="1160"/>
      <c r="H4562" s="1160"/>
      <c r="I4562" s="399" t="str">
        <f t="shared" si="155"/>
        <v/>
      </c>
      <c r="J4562" s="374"/>
      <c r="K4562" s="1286"/>
      <c r="L4562" s="431"/>
      <c r="M4562" s="431"/>
      <c r="N4562" s="431"/>
    </row>
    <row r="4563" spans="1:14" s="398" customFormat="1" hidden="1" outlineLevel="1">
      <c r="A4563" s="1248"/>
      <c r="B4563" s="504" t="s">
        <v>972</v>
      </c>
      <c r="C4563" s="165" t="s">
        <v>1</v>
      </c>
      <c r="D4563" s="505">
        <v>5</v>
      </c>
      <c r="E4563" s="492">
        <v>2</v>
      </c>
      <c r="F4563" s="1376">
        <v>0.9</v>
      </c>
      <c r="G4563" s="1160"/>
      <c r="H4563" s="1160">
        <v>0.85</v>
      </c>
      <c r="I4563" s="399">
        <f t="shared" si="155"/>
        <v>7.65</v>
      </c>
      <c r="J4563" s="374"/>
      <c r="K4563" s="1286"/>
      <c r="L4563" s="431"/>
      <c r="M4563" s="431"/>
      <c r="N4563" s="431"/>
    </row>
    <row r="4564" spans="1:14" s="398" customFormat="1" hidden="1" outlineLevel="1">
      <c r="A4564" s="1280"/>
      <c r="B4564" s="322"/>
      <c r="C4564" s="165" t="s">
        <v>1</v>
      </c>
      <c r="D4564" s="505">
        <v>5</v>
      </c>
      <c r="E4564" s="492">
        <v>2</v>
      </c>
      <c r="F4564" s="1376">
        <f>0.9+0.2+0.2</f>
        <v>1.3</v>
      </c>
      <c r="G4564" s="1160"/>
      <c r="H4564" s="1160">
        <v>0.85</v>
      </c>
      <c r="I4564" s="399">
        <f t="shared" si="155"/>
        <v>11.05</v>
      </c>
      <c r="J4564" s="483"/>
      <c r="K4564" s="1266"/>
      <c r="L4564" s="431"/>
      <c r="M4564" s="431"/>
      <c r="N4564" s="431"/>
    </row>
    <row r="4565" spans="1:14" s="398" customFormat="1" hidden="1" outlineLevel="1">
      <c r="A4565" s="1280"/>
      <c r="B4565" s="322" t="s">
        <v>1071</v>
      </c>
      <c r="C4565" s="165" t="s">
        <v>1</v>
      </c>
      <c r="D4565" s="492">
        <v>1</v>
      </c>
      <c r="E4565" s="492">
        <v>1</v>
      </c>
      <c r="F4565" s="1160">
        <f>3.14*20.12</f>
        <v>63.176800000000007</v>
      </c>
      <c r="G4565" s="1160"/>
      <c r="H4565" s="1160">
        <f>0.3+0.5</f>
        <v>0.8</v>
      </c>
      <c r="I4565" s="399">
        <f t="shared" si="155"/>
        <v>50.54</v>
      </c>
      <c r="J4565" s="483"/>
      <c r="K4565" s="1266"/>
      <c r="L4565" s="431"/>
      <c r="M4565" s="431"/>
      <c r="N4565" s="431"/>
    </row>
    <row r="4566" spans="1:14" s="398" customFormat="1" hidden="1" outlineLevel="1">
      <c r="A4566" s="1221"/>
      <c r="B4566" s="311" t="s">
        <v>1072</v>
      </c>
      <c r="C4566" s="165" t="s">
        <v>1</v>
      </c>
      <c r="D4566" s="492">
        <v>1</v>
      </c>
      <c r="E4566" s="492">
        <v>1</v>
      </c>
      <c r="F4566" s="1160">
        <f>3.14*20.32</f>
        <v>63.8048</v>
      </c>
      <c r="G4566" s="1352"/>
      <c r="H4566" s="1352">
        <v>0.2</v>
      </c>
      <c r="I4566" s="399">
        <f t="shared" si="155"/>
        <v>12.76</v>
      </c>
      <c r="J4566" s="394"/>
      <c r="K4566" s="1233"/>
      <c r="L4566" s="431"/>
      <c r="M4566" s="431"/>
      <c r="N4566" s="431"/>
    </row>
    <row r="4567" spans="1:14" s="398" customFormat="1" hidden="1" outlineLevel="1">
      <c r="A4567" s="1221"/>
      <c r="B4567" s="311"/>
      <c r="C4567" s="165"/>
      <c r="D4567" s="392"/>
      <c r="E4567" s="392"/>
      <c r="F4567" s="1352"/>
      <c r="G4567" s="1352"/>
      <c r="H4567" s="1352"/>
      <c r="I4567" s="399" t="str">
        <f t="shared" si="155"/>
        <v/>
      </c>
      <c r="J4567" s="394"/>
      <c r="K4567" s="1233"/>
      <c r="L4567" s="431"/>
      <c r="M4567" s="431"/>
      <c r="N4567" s="431"/>
    </row>
    <row r="4568" spans="1:14" s="398" customFormat="1" hidden="1" outlineLevel="1">
      <c r="A4568" s="1221"/>
      <c r="B4568" s="311" t="s">
        <v>973</v>
      </c>
      <c r="C4568" s="165" t="s">
        <v>1</v>
      </c>
      <c r="D4568" s="492">
        <v>1</v>
      </c>
      <c r="E4568" s="492">
        <v>1</v>
      </c>
      <c r="F4568" s="1377">
        <v>2.4</v>
      </c>
      <c r="G4568" s="1377">
        <v>2.4</v>
      </c>
      <c r="H4568" s="1352"/>
      <c r="I4568" s="399">
        <f t="shared" si="155"/>
        <v>5.76</v>
      </c>
      <c r="J4568" s="394"/>
      <c r="K4568" s="1233"/>
      <c r="L4568" s="431"/>
      <c r="M4568" s="431"/>
      <c r="N4568" s="431"/>
    </row>
    <row r="4569" spans="1:14" s="398" customFormat="1" hidden="1" outlineLevel="1">
      <c r="A4569" s="1221"/>
      <c r="B4569" s="311"/>
      <c r="C4569" s="165" t="s">
        <v>1</v>
      </c>
      <c r="D4569" s="492">
        <v>1</v>
      </c>
      <c r="E4569" s="492">
        <v>4</v>
      </c>
      <c r="F4569" s="1377">
        <v>2.4</v>
      </c>
      <c r="G4569" s="1352"/>
      <c r="H4569" s="1352">
        <v>1.8</v>
      </c>
      <c r="I4569" s="399">
        <f t="shared" si="155"/>
        <v>17.28</v>
      </c>
      <c r="J4569" s="394"/>
      <c r="K4569" s="1233"/>
      <c r="L4569" s="431"/>
      <c r="M4569" s="431"/>
      <c r="N4569" s="431"/>
    </row>
    <row r="4570" spans="1:14" s="870" customFormat="1" hidden="1" outlineLevel="1" collapsed="1">
      <c r="A4570" s="1287"/>
      <c r="B4570" s="883" t="s">
        <v>1441</v>
      </c>
      <c r="C4570" s="854"/>
      <c r="D4570" s="884"/>
      <c r="E4570" s="856"/>
      <c r="F4570" s="1378"/>
      <c r="G4570" s="1374"/>
      <c r="H4570" s="1374"/>
      <c r="I4570" s="399" t="str">
        <f t="shared" si="155"/>
        <v/>
      </c>
      <c r="J4570" s="880"/>
      <c r="K4570" s="1288"/>
      <c r="L4570" s="869"/>
      <c r="M4570" s="869"/>
      <c r="N4570" s="869"/>
    </row>
    <row r="4571" spans="1:14" s="870" customFormat="1" hidden="1" outlineLevel="1">
      <c r="A4571" s="1287"/>
      <c r="B4571" s="883" t="s">
        <v>1442</v>
      </c>
      <c r="C4571" s="854" t="s">
        <v>1</v>
      </c>
      <c r="D4571" s="884">
        <v>1</v>
      </c>
      <c r="E4571" s="856">
        <v>2</v>
      </c>
      <c r="F4571" s="1378">
        <f>3.14*1</f>
        <v>3.14</v>
      </c>
      <c r="G4571" s="1374"/>
      <c r="H4571" s="1374">
        <f>0.45+0.75-0.15-0.1-0.2</f>
        <v>0.75</v>
      </c>
      <c r="I4571" s="399">
        <f t="shared" si="155"/>
        <v>4.71</v>
      </c>
      <c r="J4571" s="880"/>
      <c r="K4571" s="1288"/>
      <c r="L4571" s="869"/>
      <c r="M4571" s="869"/>
      <c r="N4571" s="869"/>
    </row>
    <row r="4572" spans="1:14" s="464" customFormat="1" collapsed="1">
      <c r="A4572" s="1264"/>
      <c r="B4572" s="669" t="s">
        <v>85</v>
      </c>
      <c r="C4572" s="465" t="s">
        <v>1</v>
      </c>
      <c r="D4572" s="444"/>
      <c r="E4572" s="345"/>
      <c r="F4572" s="1356"/>
      <c r="G4572" s="1356"/>
      <c r="H4572" s="1356"/>
      <c r="I4572" s="1170" t="str">
        <f t="shared" ref="I4572" si="156">IF(D4572&lt;&gt;0,ROUND(PRODUCT(E4572:H4572)*D4572,2),"")</f>
        <v/>
      </c>
      <c r="J4572" s="467">
        <f>SUM(I4558:I4572)</f>
        <v>427.52999999999992</v>
      </c>
      <c r="K4572" s="1258"/>
      <c r="L4572" s="463"/>
      <c r="M4572" s="463"/>
      <c r="N4572" s="463"/>
    </row>
    <row r="4573" spans="1:14" s="398" customFormat="1">
      <c r="A4573" s="1248"/>
      <c r="B4573" s="369"/>
      <c r="C4573" s="165"/>
      <c r="D4573" s="505"/>
      <c r="E4573" s="492"/>
      <c r="F4573" s="1376"/>
      <c r="G4573" s="1160"/>
      <c r="H4573" s="1160"/>
      <c r="I4573" s="938" t="str">
        <f t="shared" ref="I4573:I4574" si="157">IF(D4573&lt;&gt;0,ROUND(PRODUCT(E4573:H4573)*D4573,2),"")</f>
        <v/>
      </c>
      <c r="J4573" s="374"/>
      <c r="K4573" s="1286"/>
      <c r="L4573" s="431"/>
      <c r="M4573" s="431"/>
      <c r="N4573" s="431"/>
    </row>
    <row r="4574" spans="1:14" s="398" customFormat="1">
      <c r="A4574" s="1248"/>
      <c r="B4574" s="369"/>
      <c r="C4574" s="165"/>
      <c r="D4574" s="505"/>
      <c r="E4574" s="492"/>
      <c r="F4574" s="1376"/>
      <c r="G4574" s="1160"/>
      <c r="H4574" s="1160"/>
      <c r="I4574" s="938" t="str">
        <f t="shared" si="157"/>
        <v/>
      </c>
      <c r="J4574" s="374"/>
      <c r="K4574" s="1286"/>
      <c r="L4574" s="431"/>
      <c r="M4574" s="431"/>
      <c r="N4574" s="431"/>
    </row>
    <row r="4575" spans="1:14" s="398" customFormat="1">
      <c r="A4575" s="1248"/>
      <c r="B4575" s="161" t="s">
        <v>928</v>
      </c>
      <c r="C4575" s="388" t="s">
        <v>1</v>
      </c>
      <c r="D4575" s="392"/>
      <c r="E4575" s="165"/>
      <c r="F4575" s="401"/>
      <c r="G4575" s="401"/>
      <c r="H4575" s="401"/>
      <c r="I4575" s="938" t="str">
        <f t="shared" ref="I4575:I4576" si="158">IF(D4575&lt;&gt;0,ROUND(PRODUCT(E4575:H4575)*D4575,2),"")</f>
        <v/>
      </c>
      <c r="J4575" s="403">
        <f>SUM(I4573:I4574)</f>
        <v>0</v>
      </c>
      <c r="K4575" s="1222" t="s">
        <v>1690</v>
      </c>
      <c r="L4575" s="431"/>
      <c r="M4575" s="431"/>
      <c r="N4575" s="431"/>
    </row>
    <row r="4576" spans="1:14">
      <c r="A4576" s="1248"/>
      <c r="B4576" s="311"/>
      <c r="C4576" s="165"/>
      <c r="D4576" s="392"/>
      <c r="E4576" s="165"/>
      <c r="F4576" s="401"/>
      <c r="G4576" s="401"/>
      <c r="H4576" s="401"/>
      <c r="I4576" s="938" t="str">
        <f t="shared" si="158"/>
        <v/>
      </c>
      <c r="J4576" s="432">
        <f>SUM(J4572:J4575)</f>
        <v>427.52999999999992</v>
      </c>
      <c r="K4576" s="1289"/>
    </row>
    <row r="4577" spans="1:14" s="165" customFormat="1">
      <c r="A4577" s="1251"/>
      <c r="B4577" s="673" t="s">
        <v>316</v>
      </c>
      <c r="C4577" s="417"/>
      <c r="D4577" s="446"/>
      <c r="E4577" s="446"/>
      <c r="F4577" s="1370"/>
      <c r="G4577" s="1370"/>
      <c r="H4577" s="1370"/>
      <c r="I4577" s="1175" t="str">
        <f t="shared" si="153"/>
        <v/>
      </c>
      <c r="J4577" s="418"/>
      <c r="K4577" s="1252"/>
      <c r="L4577" s="164"/>
      <c r="M4577" s="164"/>
      <c r="N4577" s="164"/>
    </row>
    <row r="4578" spans="1:14">
      <c r="A4578" s="1219">
        <v>6</v>
      </c>
      <c r="B4578" s="768" t="s">
        <v>318</v>
      </c>
      <c r="C4578" s="422"/>
      <c r="D4578" s="436"/>
      <c r="E4578" s="436"/>
      <c r="F4578" s="1359"/>
      <c r="G4578" s="1359"/>
      <c r="H4578" s="1359"/>
      <c r="I4578" s="1172"/>
      <c r="J4578" s="423"/>
      <c r="K4578" s="1220"/>
    </row>
    <row r="4579" spans="1:14" s="263" customFormat="1" hidden="1" outlineLevel="1">
      <c r="A4579" s="1225"/>
      <c r="B4579" s="447" t="s">
        <v>258</v>
      </c>
      <c r="C4579" s="439"/>
      <c r="D4579" s="448"/>
      <c r="E4579" s="449"/>
      <c r="F4579" s="1350"/>
      <c r="G4579" s="1350"/>
      <c r="H4579" s="1350"/>
      <c r="I4579" s="1168"/>
      <c r="J4579" s="261"/>
      <c r="K4579" s="1226"/>
      <c r="L4579" s="262"/>
      <c r="M4579" s="262"/>
      <c r="N4579" s="262"/>
    </row>
    <row r="4580" spans="1:14" s="263" customFormat="1" hidden="1" outlineLevel="1">
      <c r="A4580" s="1225"/>
      <c r="B4580" s="447"/>
      <c r="C4580" s="439" t="s">
        <v>2</v>
      </c>
      <c r="D4580" s="448">
        <v>1</v>
      </c>
      <c r="E4580" s="466">
        <v>1</v>
      </c>
      <c r="F4580" s="1350">
        <v>27.54</v>
      </c>
      <c r="G4580" s="1350">
        <v>14.739999999999998</v>
      </c>
      <c r="H4580" s="1350">
        <v>0.15</v>
      </c>
      <c r="I4580" s="1163">
        <f t="shared" ref="I4580:I4643" si="159">IF(D4580&lt;&gt;0,ROUND(PRODUCT(E4580:H4580)*D4580,2),"")</f>
        <v>60.89</v>
      </c>
      <c r="J4580" s="261"/>
      <c r="K4580" s="1227"/>
      <c r="L4580" s="262"/>
      <c r="M4580" s="262"/>
      <c r="N4580" s="262"/>
    </row>
    <row r="4581" spans="1:14" s="263" customFormat="1" hidden="1" outlineLevel="1">
      <c r="A4581" s="1225"/>
      <c r="B4581" s="447"/>
      <c r="C4581" s="439"/>
      <c r="D4581" s="448"/>
      <c r="E4581" s="466"/>
      <c r="F4581" s="1350"/>
      <c r="G4581" s="1350"/>
      <c r="H4581" s="1350"/>
      <c r="I4581" s="1163" t="str">
        <f t="shared" si="159"/>
        <v/>
      </c>
      <c r="J4581" s="261"/>
      <c r="K4581" s="1227"/>
      <c r="L4581" s="262"/>
      <c r="M4581" s="262"/>
      <c r="N4581" s="262"/>
    </row>
    <row r="4582" spans="1:14" s="263" customFormat="1" hidden="1" outlineLevel="1">
      <c r="A4582" s="1225"/>
      <c r="B4582" s="447" t="s">
        <v>259</v>
      </c>
      <c r="C4582" s="439"/>
      <c r="D4582" s="448"/>
      <c r="E4582" s="466"/>
      <c r="F4582" s="1350"/>
      <c r="G4582" s="1350"/>
      <c r="H4582" s="1350"/>
      <c r="I4582" s="1163" t="str">
        <f t="shared" si="159"/>
        <v/>
      </c>
      <c r="J4582" s="261"/>
      <c r="K4582" s="1227"/>
      <c r="L4582" s="262"/>
      <c r="M4582" s="262"/>
      <c r="N4582" s="262"/>
    </row>
    <row r="4583" spans="1:14" s="263" customFormat="1" hidden="1" outlineLevel="1">
      <c r="A4583" s="1225"/>
      <c r="B4583" s="447" t="s">
        <v>260</v>
      </c>
      <c r="C4583" s="439" t="s">
        <v>2</v>
      </c>
      <c r="D4583" s="448">
        <v>1</v>
      </c>
      <c r="E4583" s="466">
        <v>1</v>
      </c>
      <c r="F4583" s="1350">
        <v>29.2</v>
      </c>
      <c r="G4583" s="1350">
        <v>6</v>
      </c>
      <c r="H4583" s="1350">
        <v>0.125</v>
      </c>
      <c r="I4583" s="1163">
        <f t="shared" si="159"/>
        <v>21.9</v>
      </c>
      <c r="J4583" s="261"/>
      <c r="K4583" s="1227"/>
      <c r="L4583" s="262"/>
      <c r="M4583" s="262"/>
      <c r="N4583" s="262"/>
    </row>
    <row r="4584" spans="1:14" s="263" customFormat="1" hidden="1" outlineLevel="1">
      <c r="A4584" s="1225"/>
      <c r="B4584" s="447"/>
      <c r="C4584" s="439" t="s">
        <v>2</v>
      </c>
      <c r="D4584" s="448">
        <v>1</v>
      </c>
      <c r="E4584" s="466">
        <v>1</v>
      </c>
      <c r="F4584" s="1350">
        <v>8.32</v>
      </c>
      <c r="G4584" s="1350">
        <v>6.78</v>
      </c>
      <c r="H4584" s="1350">
        <v>0.125</v>
      </c>
      <c r="I4584" s="1163">
        <f t="shared" si="159"/>
        <v>7.05</v>
      </c>
      <c r="J4584" s="261"/>
      <c r="K4584" s="1227"/>
      <c r="L4584" s="262"/>
      <c r="M4584" s="262"/>
      <c r="N4584" s="262"/>
    </row>
    <row r="4585" spans="1:14" s="263" customFormat="1" hidden="1" outlineLevel="1">
      <c r="A4585" s="1225"/>
      <c r="B4585" s="447" t="s">
        <v>261</v>
      </c>
      <c r="C4585" s="439" t="s">
        <v>2</v>
      </c>
      <c r="D4585" s="448">
        <v>1</v>
      </c>
      <c r="E4585" s="466">
        <v>1</v>
      </c>
      <c r="F4585" s="1350">
        <v>23.234999999999999</v>
      </c>
      <c r="G4585" s="1350">
        <v>6</v>
      </c>
      <c r="H4585" s="1350">
        <v>0.125</v>
      </c>
      <c r="I4585" s="1163">
        <f t="shared" si="159"/>
        <v>17.43</v>
      </c>
      <c r="J4585" s="261"/>
      <c r="K4585" s="1227"/>
      <c r="L4585" s="262"/>
      <c r="M4585" s="262"/>
      <c r="N4585" s="262"/>
    </row>
    <row r="4586" spans="1:14" s="263" customFormat="1" hidden="1" outlineLevel="1">
      <c r="A4586" s="1225"/>
      <c r="B4586" s="447" t="s">
        <v>261</v>
      </c>
      <c r="C4586" s="439" t="s">
        <v>2</v>
      </c>
      <c r="D4586" s="448">
        <v>1</v>
      </c>
      <c r="E4586" s="466">
        <v>1</v>
      </c>
      <c r="F4586" s="1350">
        <v>2.2749999999999999</v>
      </c>
      <c r="G4586" s="1350">
        <v>6</v>
      </c>
      <c r="H4586" s="1350">
        <v>0.125</v>
      </c>
      <c r="I4586" s="1163">
        <f t="shared" si="159"/>
        <v>1.71</v>
      </c>
      <c r="J4586" s="261"/>
      <c r="K4586" s="1227"/>
      <c r="L4586" s="262"/>
      <c r="M4586" s="262"/>
      <c r="N4586" s="262"/>
    </row>
    <row r="4587" spans="1:14" s="263" customFormat="1" hidden="1" outlineLevel="1">
      <c r="A4587" s="1225"/>
      <c r="B4587" s="447" t="s">
        <v>261</v>
      </c>
      <c r="C4587" s="439" t="s">
        <v>2</v>
      </c>
      <c r="D4587" s="448">
        <v>1</v>
      </c>
      <c r="E4587" s="466">
        <v>1</v>
      </c>
      <c r="F4587" s="1350">
        <v>32.39</v>
      </c>
      <c r="G4587" s="1350">
        <v>6</v>
      </c>
      <c r="H4587" s="1350">
        <v>0.125</v>
      </c>
      <c r="I4587" s="1163">
        <f t="shared" si="159"/>
        <v>24.29</v>
      </c>
      <c r="J4587" s="261"/>
      <c r="K4587" s="1227"/>
      <c r="L4587" s="262"/>
      <c r="M4587" s="262"/>
      <c r="N4587" s="262"/>
    </row>
    <row r="4588" spans="1:14" s="263" customFormat="1" hidden="1" outlineLevel="1">
      <c r="A4588" s="1225"/>
      <c r="B4588" s="447" t="s">
        <v>261</v>
      </c>
      <c r="C4588" s="439" t="s">
        <v>2</v>
      </c>
      <c r="D4588" s="448">
        <v>1</v>
      </c>
      <c r="E4588" s="466">
        <v>1</v>
      </c>
      <c r="F4588" s="1350">
        <v>5.2949999999999999</v>
      </c>
      <c r="G4588" s="1350">
        <v>6</v>
      </c>
      <c r="H4588" s="1350">
        <v>0.125</v>
      </c>
      <c r="I4588" s="1163">
        <f t="shared" si="159"/>
        <v>3.97</v>
      </c>
      <c r="J4588" s="261"/>
      <c r="K4588" s="1227"/>
      <c r="L4588" s="262"/>
      <c r="M4588" s="262"/>
      <c r="N4588" s="262"/>
    </row>
    <row r="4589" spans="1:14" s="263" customFormat="1" hidden="1" outlineLevel="1">
      <c r="A4589" s="1225"/>
      <c r="B4589" s="447"/>
      <c r="C4589" s="439"/>
      <c r="D4589" s="448"/>
      <c r="E4589" s="466"/>
      <c r="F4589" s="1350"/>
      <c r="G4589" s="1350"/>
      <c r="H4589" s="1350"/>
      <c r="I4589" s="1163" t="str">
        <f t="shared" si="159"/>
        <v/>
      </c>
      <c r="J4589" s="261"/>
      <c r="K4589" s="1227"/>
      <c r="L4589" s="262"/>
      <c r="M4589" s="262"/>
      <c r="N4589" s="262"/>
    </row>
    <row r="4590" spans="1:14" s="263" customFormat="1" hidden="1" outlineLevel="1">
      <c r="A4590" s="1225"/>
      <c r="B4590" s="447" t="s">
        <v>314</v>
      </c>
      <c r="C4590" s="439" t="s">
        <v>2</v>
      </c>
      <c r="D4590" s="448">
        <v>1</v>
      </c>
      <c r="E4590" s="466">
        <v>1</v>
      </c>
      <c r="F4590" s="1350">
        <v>31.463000000000001</v>
      </c>
      <c r="G4590" s="1350">
        <v>6</v>
      </c>
      <c r="H4590" s="1350">
        <v>0.125</v>
      </c>
      <c r="I4590" s="1163">
        <f t="shared" si="159"/>
        <v>23.6</v>
      </c>
      <c r="J4590" s="261"/>
      <c r="K4590" s="1227"/>
      <c r="L4590" s="262"/>
      <c r="M4590" s="262"/>
      <c r="N4590" s="262"/>
    </row>
    <row r="4591" spans="1:14" s="263" customFormat="1" hidden="1" outlineLevel="1">
      <c r="A4591" s="1225"/>
      <c r="B4591" s="447" t="s">
        <v>315</v>
      </c>
      <c r="C4591" s="439" t="s">
        <v>2</v>
      </c>
      <c r="D4591" s="448">
        <v>1</v>
      </c>
      <c r="E4591" s="466">
        <v>1</v>
      </c>
      <c r="F4591" s="1350">
        <v>33.192999999999998</v>
      </c>
      <c r="G4591" s="1350">
        <v>6</v>
      </c>
      <c r="H4591" s="1350">
        <v>0.125</v>
      </c>
      <c r="I4591" s="1163">
        <f t="shared" si="159"/>
        <v>24.89</v>
      </c>
      <c r="J4591" s="261"/>
      <c r="K4591" s="1227"/>
      <c r="L4591" s="262"/>
      <c r="M4591" s="262"/>
      <c r="N4591" s="262"/>
    </row>
    <row r="4592" spans="1:14" s="263" customFormat="1" hidden="1" outlineLevel="1">
      <c r="A4592" s="1225"/>
      <c r="B4592" s="447"/>
      <c r="C4592" s="439" t="s">
        <v>2</v>
      </c>
      <c r="D4592" s="448">
        <v>1</v>
      </c>
      <c r="E4592" s="466">
        <v>1</v>
      </c>
      <c r="F4592" s="1350">
        <v>29.853999999999999</v>
      </c>
      <c r="G4592" s="1350">
        <v>6</v>
      </c>
      <c r="H4592" s="1350">
        <v>0.125</v>
      </c>
      <c r="I4592" s="1163">
        <f t="shared" si="159"/>
        <v>22.39</v>
      </c>
      <c r="J4592" s="261"/>
      <c r="K4592" s="1227"/>
      <c r="L4592" s="262"/>
      <c r="M4592" s="262"/>
      <c r="N4592" s="262"/>
    </row>
    <row r="4593" spans="1:14" s="263" customFormat="1" hidden="1" outlineLevel="1">
      <c r="A4593" s="1225"/>
      <c r="B4593" s="447"/>
      <c r="C4593" s="439" t="s">
        <v>2</v>
      </c>
      <c r="D4593" s="448">
        <v>1</v>
      </c>
      <c r="E4593" s="466">
        <v>1</v>
      </c>
      <c r="F4593" s="1350">
        <v>33.667000000000002</v>
      </c>
      <c r="G4593" s="1350">
        <v>6</v>
      </c>
      <c r="H4593" s="1350">
        <v>0.125</v>
      </c>
      <c r="I4593" s="1163">
        <f t="shared" si="159"/>
        <v>25.25</v>
      </c>
      <c r="J4593" s="261"/>
      <c r="K4593" s="1227"/>
      <c r="L4593" s="262"/>
      <c r="M4593" s="262"/>
      <c r="N4593" s="262"/>
    </row>
    <row r="4594" spans="1:14" s="263" customFormat="1" hidden="1" outlineLevel="1">
      <c r="A4594" s="1225"/>
      <c r="B4594" s="447"/>
      <c r="C4594" s="439" t="s">
        <v>2</v>
      </c>
      <c r="D4594" s="448">
        <v>1</v>
      </c>
      <c r="E4594" s="466">
        <v>1</v>
      </c>
      <c r="F4594" s="1350">
        <v>12.3</v>
      </c>
      <c r="G4594" s="1350">
        <v>6</v>
      </c>
      <c r="H4594" s="1350">
        <v>0.125</v>
      </c>
      <c r="I4594" s="1163">
        <f t="shared" si="159"/>
        <v>9.23</v>
      </c>
      <c r="J4594" s="261"/>
      <c r="K4594" s="1227"/>
      <c r="L4594" s="262"/>
      <c r="M4594" s="262"/>
      <c r="N4594" s="262"/>
    </row>
    <row r="4595" spans="1:14" s="263" customFormat="1" hidden="1" outlineLevel="1">
      <c r="A4595" s="1225"/>
      <c r="B4595" s="447"/>
      <c r="C4595" s="439"/>
      <c r="D4595" s="448"/>
      <c r="E4595" s="466"/>
      <c r="F4595" s="1350"/>
      <c r="G4595" s="1350"/>
      <c r="H4595" s="1350"/>
      <c r="I4595" s="1163" t="str">
        <f t="shared" si="159"/>
        <v/>
      </c>
      <c r="J4595" s="261"/>
      <c r="K4595" s="1227"/>
      <c r="L4595" s="262"/>
      <c r="M4595" s="262"/>
      <c r="N4595" s="262"/>
    </row>
    <row r="4596" spans="1:14" s="263" customFormat="1" hidden="1" outlineLevel="1">
      <c r="A4596" s="1225"/>
      <c r="B4596" s="447" t="s">
        <v>319</v>
      </c>
      <c r="C4596" s="439"/>
      <c r="D4596" s="448"/>
      <c r="E4596" s="466"/>
      <c r="F4596" s="1350"/>
      <c r="G4596" s="1350"/>
      <c r="H4596" s="1350"/>
      <c r="I4596" s="1163" t="str">
        <f t="shared" si="159"/>
        <v/>
      </c>
      <c r="J4596" s="261"/>
      <c r="K4596" s="1227"/>
      <c r="L4596" s="262"/>
      <c r="M4596" s="262"/>
      <c r="N4596" s="262"/>
    </row>
    <row r="4597" spans="1:14" s="263" customFormat="1" hidden="1" outlineLevel="1">
      <c r="A4597" s="1225"/>
      <c r="B4597" s="447" t="s">
        <v>266</v>
      </c>
      <c r="C4597" s="439" t="s">
        <v>2</v>
      </c>
      <c r="D4597" s="448">
        <v>1</v>
      </c>
      <c r="E4597" s="466">
        <v>1</v>
      </c>
      <c r="F4597" s="1350">
        <v>6.38</v>
      </c>
      <c r="G4597" s="1350">
        <v>1.9750000000000001</v>
      </c>
      <c r="H4597" s="1350">
        <v>0.15</v>
      </c>
      <c r="I4597" s="1163">
        <f t="shared" si="159"/>
        <v>1.89</v>
      </c>
      <c r="J4597" s="261"/>
      <c r="K4597" s="1227"/>
      <c r="L4597" s="262"/>
      <c r="M4597" s="262"/>
      <c r="N4597" s="262"/>
    </row>
    <row r="4598" spans="1:14" s="263" customFormat="1" hidden="1" outlineLevel="1">
      <c r="A4598" s="1225"/>
      <c r="B4598" s="447"/>
      <c r="C4598" s="439" t="s">
        <v>2</v>
      </c>
      <c r="D4598" s="448">
        <v>1</v>
      </c>
      <c r="E4598" s="466">
        <v>2</v>
      </c>
      <c r="F4598" s="1350">
        <v>6.95</v>
      </c>
      <c r="G4598" s="1350">
        <v>1.9750000000000001</v>
      </c>
      <c r="H4598" s="1350">
        <v>0.15</v>
      </c>
      <c r="I4598" s="1163">
        <f t="shared" si="159"/>
        <v>4.12</v>
      </c>
      <c r="J4598" s="261"/>
      <c r="K4598" s="1227"/>
      <c r="L4598" s="262"/>
      <c r="M4598" s="262"/>
      <c r="N4598" s="262"/>
    </row>
    <row r="4599" spans="1:14" s="263" customFormat="1" hidden="1" outlineLevel="1">
      <c r="A4599" s="1225"/>
      <c r="B4599" s="447"/>
      <c r="C4599" s="439" t="s">
        <v>2</v>
      </c>
      <c r="D4599" s="448">
        <v>1</v>
      </c>
      <c r="E4599" s="466">
        <v>1</v>
      </c>
      <c r="F4599" s="1350">
        <v>6.12</v>
      </c>
      <c r="G4599" s="1350">
        <v>1.67</v>
      </c>
      <c r="H4599" s="1350">
        <v>0.15</v>
      </c>
      <c r="I4599" s="1163">
        <f t="shared" si="159"/>
        <v>1.53</v>
      </c>
      <c r="J4599" s="261"/>
      <c r="K4599" s="1227"/>
      <c r="L4599" s="262"/>
      <c r="M4599" s="262"/>
      <c r="N4599" s="262"/>
    </row>
    <row r="4600" spans="1:14" s="263" customFormat="1" hidden="1" outlineLevel="1">
      <c r="A4600" s="1225"/>
      <c r="B4600" s="447"/>
      <c r="C4600" s="439" t="s">
        <v>2</v>
      </c>
      <c r="D4600" s="448">
        <v>1</v>
      </c>
      <c r="E4600" s="466">
        <v>1</v>
      </c>
      <c r="F4600" s="1350">
        <v>4.6449999999999996</v>
      </c>
      <c r="G4600" s="1350">
        <v>1.9750000000000001</v>
      </c>
      <c r="H4600" s="1350">
        <v>0.15</v>
      </c>
      <c r="I4600" s="1163">
        <f t="shared" si="159"/>
        <v>1.38</v>
      </c>
      <c r="J4600" s="261"/>
      <c r="K4600" s="1227"/>
      <c r="L4600" s="262"/>
      <c r="M4600" s="262"/>
      <c r="N4600" s="262"/>
    </row>
    <row r="4601" spans="1:14" s="263" customFormat="1" hidden="1" outlineLevel="1">
      <c r="A4601" s="1225"/>
      <c r="B4601" s="447"/>
      <c r="C4601" s="439"/>
      <c r="D4601" s="448"/>
      <c r="E4601" s="466"/>
      <c r="F4601" s="1350"/>
      <c r="G4601" s="1350"/>
      <c r="H4601" s="1350"/>
      <c r="I4601" s="1163" t="str">
        <f t="shared" si="159"/>
        <v/>
      </c>
      <c r="J4601" s="261"/>
      <c r="K4601" s="1227"/>
      <c r="L4601" s="262"/>
      <c r="M4601" s="262"/>
      <c r="N4601" s="262"/>
    </row>
    <row r="4602" spans="1:14" s="263" customFormat="1" hidden="1" outlineLevel="1">
      <c r="A4602" s="1225"/>
      <c r="B4602" s="447"/>
      <c r="C4602" s="439" t="s">
        <v>2</v>
      </c>
      <c r="D4602" s="448">
        <v>1</v>
      </c>
      <c r="E4602" s="466">
        <v>1</v>
      </c>
      <c r="F4602" s="1350">
        <v>6.8849999999999998</v>
      </c>
      <c r="G4602" s="1350">
        <v>1.27</v>
      </c>
      <c r="H4602" s="1350">
        <v>0.15</v>
      </c>
      <c r="I4602" s="1163">
        <f t="shared" si="159"/>
        <v>1.31</v>
      </c>
      <c r="J4602" s="261"/>
      <c r="K4602" s="1227"/>
      <c r="L4602" s="262"/>
      <c r="M4602" s="262"/>
      <c r="N4602" s="262"/>
    </row>
    <row r="4603" spans="1:14" s="263" customFormat="1" hidden="1" outlineLevel="1">
      <c r="A4603" s="1225"/>
      <c r="B4603" s="447"/>
      <c r="C4603" s="439" t="s">
        <v>2</v>
      </c>
      <c r="D4603" s="448">
        <v>1</v>
      </c>
      <c r="E4603" s="466">
        <v>1</v>
      </c>
      <c r="F4603" s="1350">
        <v>2.3849999999999998</v>
      </c>
      <c r="G4603" s="1350">
        <v>2.2599999999999998</v>
      </c>
      <c r="H4603" s="1350">
        <v>0.15</v>
      </c>
      <c r="I4603" s="1163">
        <f t="shared" si="159"/>
        <v>0.81</v>
      </c>
      <c r="J4603" s="261"/>
      <c r="K4603" s="1227"/>
      <c r="L4603" s="262"/>
      <c r="M4603" s="262"/>
      <c r="N4603" s="262"/>
    </row>
    <row r="4604" spans="1:14" s="263" customFormat="1" hidden="1" outlineLevel="1">
      <c r="A4604" s="1225"/>
      <c r="B4604" s="447" t="s">
        <v>267</v>
      </c>
      <c r="C4604" s="439" t="s">
        <v>2</v>
      </c>
      <c r="D4604" s="448">
        <v>1</v>
      </c>
      <c r="E4604" s="466">
        <v>1</v>
      </c>
      <c r="F4604" s="1350">
        <v>20.170000000000002</v>
      </c>
      <c r="G4604" s="1350">
        <v>2.125</v>
      </c>
      <c r="H4604" s="1350">
        <v>0.15</v>
      </c>
      <c r="I4604" s="1163">
        <f t="shared" si="159"/>
        <v>6.43</v>
      </c>
      <c r="J4604" s="261"/>
      <c r="K4604" s="1227"/>
      <c r="L4604" s="262"/>
      <c r="M4604" s="262"/>
      <c r="N4604" s="262"/>
    </row>
    <row r="4605" spans="1:14" s="263" customFormat="1" hidden="1" outlineLevel="1">
      <c r="A4605" s="1225"/>
      <c r="B4605" s="447"/>
      <c r="C4605" s="439"/>
      <c r="D4605" s="448"/>
      <c r="E4605" s="466"/>
      <c r="F4605" s="1350"/>
      <c r="G4605" s="1350"/>
      <c r="H4605" s="1350"/>
      <c r="I4605" s="1163" t="str">
        <f t="shared" si="159"/>
        <v/>
      </c>
      <c r="J4605" s="261"/>
      <c r="K4605" s="1227"/>
      <c r="L4605" s="262"/>
      <c r="M4605" s="262"/>
      <c r="N4605" s="262"/>
    </row>
    <row r="4606" spans="1:14" s="263" customFormat="1" hidden="1" outlineLevel="1">
      <c r="A4606" s="1225"/>
      <c r="B4606" s="447" t="s">
        <v>268</v>
      </c>
      <c r="C4606" s="439" t="s">
        <v>2</v>
      </c>
      <c r="D4606" s="448">
        <v>1</v>
      </c>
      <c r="E4606" s="466">
        <v>1</v>
      </c>
      <c r="F4606" s="1350">
        <v>12.58</v>
      </c>
      <c r="G4606" s="1350">
        <v>1.19</v>
      </c>
      <c r="H4606" s="1350">
        <v>0.15</v>
      </c>
      <c r="I4606" s="1163">
        <f t="shared" si="159"/>
        <v>2.25</v>
      </c>
      <c r="J4606" s="261"/>
      <c r="K4606" s="1227"/>
      <c r="L4606" s="262"/>
      <c r="M4606" s="262"/>
      <c r="N4606" s="262"/>
    </row>
    <row r="4607" spans="1:14" s="263" customFormat="1" hidden="1" outlineLevel="1">
      <c r="A4607" s="1225"/>
      <c r="B4607" s="447"/>
      <c r="C4607" s="439" t="s">
        <v>2</v>
      </c>
      <c r="D4607" s="448">
        <v>1</v>
      </c>
      <c r="E4607" s="466">
        <v>1</v>
      </c>
      <c r="F4607" s="1350">
        <v>7.09</v>
      </c>
      <c r="G4607" s="1350">
        <v>0.9</v>
      </c>
      <c r="H4607" s="1350">
        <v>0.15</v>
      </c>
      <c r="I4607" s="1163">
        <f t="shared" si="159"/>
        <v>0.96</v>
      </c>
      <c r="J4607" s="261"/>
      <c r="K4607" s="1227"/>
      <c r="L4607" s="262"/>
      <c r="M4607" s="262"/>
      <c r="N4607" s="262"/>
    </row>
    <row r="4608" spans="1:14" s="263" customFormat="1" hidden="1" outlineLevel="1">
      <c r="A4608" s="1225"/>
      <c r="B4608" s="447"/>
      <c r="C4608" s="439" t="s">
        <v>2</v>
      </c>
      <c r="D4608" s="448">
        <v>1</v>
      </c>
      <c r="E4608" s="466">
        <v>1</v>
      </c>
      <c r="F4608" s="1350">
        <v>1.6</v>
      </c>
      <c r="G4608" s="1350">
        <v>5.98</v>
      </c>
      <c r="H4608" s="1350">
        <v>0.15</v>
      </c>
      <c r="I4608" s="1163">
        <f t="shared" si="159"/>
        <v>1.44</v>
      </c>
      <c r="J4608" s="261"/>
      <c r="K4608" s="1227"/>
      <c r="L4608" s="262"/>
      <c r="M4608" s="262"/>
      <c r="N4608" s="262"/>
    </row>
    <row r="4609" spans="1:14" s="263" customFormat="1" hidden="1" outlineLevel="1">
      <c r="A4609" s="1225"/>
      <c r="B4609" s="447"/>
      <c r="C4609" s="439" t="s">
        <v>2</v>
      </c>
      <c r="D4609" s="448">
        <v>1</v>
      </c>
      <c r="E4609" s="466">
        <v>1</v>
      </c>
      <c r="F4609" s="1350">
        <v>1.6</v>
      </c>
      <c r="G4609" s="1350">
        <v>4.18</v>
      </c>
      <c r="H4609" s="1350">
        <v>0.15</v>
      </c>
      <c r="I4609" s="1163">
        <f t="shared" si="159"/>
        <v>1</v>
      </c>
      <c r="J4609" s="261"/>
      <c r="K4609" s="1227"/>
      <c r="L4609" s="262"/>
      <c r="M4609" s="262"/>
      <c r="N4609" s="262"/>
    </row>
    <row r="4610" spans="1:14" s="263" customFormat="1" hidden="1" outlineLevel="1">
      <c r="A4610" s="1225"/>
      <c r="B4610" s="447"/>
      <c r="C4610" s="439" t="s">
        <v>2</v>
      </c>
      <c r="D4610" s="448">
        <v>1</v>
      </c>
      <c r="E4610" s="466">
        <v>2</v>
      </c>
      <c r="F4610" s="1350">
        <v>1.6</v>
      </c>
      <c r="G4610" s="1350">
        <v>2.38</v>
      </c>
      <c r="H4610" s="1350">
        <v>0.15</v>
      </c>
      <c r="I4610" s="1163">
        <f t="shared" si="159"/>
        <v>1.1399999999999999</v>
      </c>
      <c r="J4610" s="261"/>
      <c r="K4610" s="1227"/>
      <c r="L4610" s="262"/>
      <c r="M4610" s="262"/>
      <c r="N4610" s="262"/>
    </row>
    <row r="4611" spans="1:14" s="263" customFormat="1" hidden="1" outlineLevel="1">
      <c r="A4611" s="1225"/>
      <c r="B4611" s="447"/>
      <c r="C4611" s="439" t="s">
        <v>2</v>
      </c>
      <c r="D4611" s="448">
        <v>1</v>
      </c>
      <c r="E4611" s="466">
        <v>1</v>
      </c>
      <c r="F4611" s="1350">
        <v>1.145</v>
      </c>
      <c r="G4611" s="1350">
        <v>0.9</v>
      </c>
      <c r="H4611" s="1350">
        <v>0.15</v>
      </c>
      <c r="I4611" s="1163">
        <f t="shared" si="159"/>
        <v>0.15</v>
      </c>
      <c r="J4611" s="261"/>
      <c r="K4611" s="1227"/>
      <c r="L4611" s="262"/>
      <c r="M4611" s="262"/>
      <c r="N4611" s="262"/>
    </row>
    <row r="4612" spans="1:14" s="263" customFormat="1" hidden="1" outlineLevel="1">
      <c r="A4612" s="1225"/>
      <c r="B4612" s="447"/>
      <c r="C4612" s="439"/>
      <c r="D4612" s="448"/>
      <c r="E4612" s="466"/>
      <c r="F4612" s="1350"/>
      <c r="G4612" s="1350"/>
      <c r="H4612" s="1350"/>
      <c r="I4612" s="1163" t="str">
        <f t="shared" si="159"/>
        <v/>
      </c>
      <c r="J4612" s="261"/>
      <c r="K4612" s="1227"/>
      <c r="L4612" s="262"/>
      <c r="M4612" s="262"/>
      <c r="N4612" s="262"/>
    </row>
    <row r="4613" spans="1:14" s="263" customFormat="1" hidden="1" outlineLevel="1">
      <c r="A4613" s="1225"/>
      <c r="B4613" s="447"/>
      <c r="C4613" s="439" t="s">
        <v>2</v>
      </c>
      <c r="D4613" s="448">
        <v>1</v>
      </c>
      <c r="E4613" s="466">
        <v>1</v>
      </c>
      <c r="F4613" s="1350">
        <v>2.7450000000000001</v>
      </c>
      <c r="G4613" s="1350">
        <v>1.5</v>
      </c>
      <c r="H4613" s="1350">
        <v>0.15</v>
      </c>
      <c r="I4613" s="1163">
        <f t="shared" si="159"/>
        <v>0.62</v>
      </c>
      <c r="J4613" s="261"/>
      <c r="K4613" s="1227"/>
      <c r="L4613" s="262"/>
      <c r="M4613" s="262"/>
      <c r="N4613" s="262"/>
    </row>
    <row r="4614" spans="1:14" s="263" customFormat="1" hidden="1" outlineLevel="1">
      <c r="A4614" s="1225"/>
      <c r="B4614" s="447"/>
      <c r="C4614" s="439" t="s">
        <v>2</v>
      </c>
      <c r="D4614" s="448">
        <v>1</v>
      </c>
      <c r="E4614" s="466">
        <v>1</v>
      </c>
      <c r="F4614" s="1350">
        <v>1.6</v>
      </c>
      <c r="G4614" s="1350">
        <v>6.6749999999999998</v>
      </c>
      <c r="H4614" s="1350">
        <v>0.15</v>
      </c>
      <c r="I4614" s="1163">
        <f t="shared" si="159"/>
        <v>1.6</v>
      </c>
      <c r="J4614" s="261"/>
      <c r="K4614" s="1227"/>
      <c r="L4614" s="262"/>
      <c r="M4614" s="262"/>
      <c r="N4614" s="262"/>
    </row>
    <row r="4615" spans="1:14" s="263" customFormat="1" hidden="1" outlineLevel="1">
      <c r="A4615" s="1225"/>
      <c r="B4615" s="447"/>
      <c r="C4615" s="439" t="s">
        <v>2</v>
      </c>
      <c r="D4615" s="448">
        <v>0.5</v>
      </c>
      <c r="E4615" s="466">
        <v>1</v>
      </c>
      <c r="F4615" s="1350">
        <v>3.07</v>
      </c>
      <c r="G4615" s="1350">
        <v>1.0649999999999999</v>
      </c>
      <c r="H4615" s="1350">
        <v>0.15</v>
      </c>
      <c r="I4615" s="1163">
        <f t="shared" si="159"/>
        <v>0.25</v>
      </c>
      <c r="J4615" s="261"/>
      <c r="K4615" s="1227"/>
      <c r="L4615" s="262"/>
      <c r="M4615" s="262"/>
      <c r="N4615" s="262"/>
    </row>
    <row r="4616" spans="1:14" s="263" customFormat="1" hidden="1" outlineLevel="1">
      <c r="A4616" s="1225"/>
      <c r="B4616" s="447"/>
      <c r="C4616" s="439" t="s">
        <v>2</v>
      </c>
      <c r="D4616" s="448">
        <v>1</v>
      </c>
      <c r="E4616" s="466">
        <v>1</v>
      </c>
      <c r="F4616" s="1350">
        <v>1.6</v>
      </c>
      <c r="G4616" s="1350">
        <v>3.9</v>
      </c>
      <c r="H4616" s="1350">
        <v>0.15</v>
      </c>
      <c r="I4616" s="1163">
        <f t="shared" si="159"/>
        <v>0.94</v>
      </c>
      <c r="J4616" s="261"/>
      <c r="K4616" s="1227"/>
      <c r="L4616" s="262"/>
      <c r="M4616" s="262"/>
      <c r="N4616" s="262"/>
    </row>
    <row r="4617" spans="1:14" s="263" customFormat="1" hidden="1" outlineLevel="1">
      <c r="A4617" s="1225"/>
      <c r="B4617" s="447"/>
      <c r="C4617" s="439" t="s">
        <v>2</v>
      </c>
      <c r="D4617" s="448">
        <v>0.5</v>
      </c>
      <c r="E4617" s="466">
        <v>1</v>
      </c>
      <c r="F4617" s="1350">
        <v>2.77</v>
      </c>
      <c r="G4617" s="1350">
        <v>0.96</v>
      </c>
      <c r="H4617" s="1350">
        <v>0.15</v>
      </c>
      <c r="I4617" s="1163">
        <f t="shared" si="159"/>
        <v>0.2</v>
      </c>
      <c r="J4617" s="261"/>
      <c r="K4617" s="1227"/>
      <c r="L4617" s="262"/>
      <c r="M4617" s="262"/>
      <c r="N4617" s="262"/>
    </row>
    <row r="4618" spans="1:14" s="263" customFormat="1" hidden="1" outlineLevel="1">
      <c r="A4618" s="1225"/>
      <c r="B4618" s="447"/>
      <c r="C4618" s="439" t="s">
        <v>2</v>
      </c>
      <c r="D4618" s="448">
        <v>1</v>
      </c>
      <c r="E4618" s="466">
        <v>1</v>
      </c>
      <c r="F4618" s="1350">
        <v>1.6</v>
      </c>
      <c r="G4618" s="1350">
        <v>4.09</v>
      </c>
      <c r="H4618" s="1350">
        <v>0.15</v>
      </c>
      <c r="I4618" s="1163">
        <f t="shared" si="159"/>
        <v>0.98</v>
      </c>
      <c r="J4618" s="261"/>
      <c r="K4618" s="1227"/>
      <c r="L4618" s="262"/>
      <c r="M4618" s="262"/>
      <c r="N4618" s="262"/>
    </row>
    <row r="4619" spans="1:14" s="263" customFormat="1" hidden="1" outlineLevel="1">
      <c r="A4619" s="1225"/>
      <c r="B4619" s="447"/>
      <c r="C4619" s="439" t="s">
        <v>2</v>
      </c>
      <c r="D4619" s="448">
        <v>0.5</v>
      </c>
      <c r="E4619" s="466">
        <v>1</v>
      </c>
      <c r="F4619" s="1350">
        <v>3.25</v>
      </c>
      <c r="G4619" s="1350">
        <v>1.095</v>
      </c>
      <c r="H4619" s="1350">
        <v>0.15</v>
      </c>
      <c r="I4619" s="1163">
        <f t="shared" si="159"/>
        <v>0.27</v>
      </c>
      <c r="J4619" s="261"/>
      <c r="K4619" s="1227"/>
      <c r="L4619" s="262"/>
      <c r="M4619" s="262"/>
      <c r="N4619" s="262"/>
    </row>
    <row r="4620" spans="1:14" s="263" customFormat="1" hidden="1" outlineLevel="1">
      <c r="A4620" s="1225"/>
      <c r="B4620" s="447"/>
      <c r="C4620" s="439" t="s">
        <v>2</v>
      </c>
      <c r="D4620" s="448">
        <v>0.5</v>
      </c>
      <c r="E4620" s="466">
        <v>1</v>
      </c>
      <c r="F4620" s="1350">
        <v>8.61</v>
      </c>
      <c r="G4620" s="1350">
        <v>4.6150000000000002</v>
      </c>
      <c r="H4620" s="1350">
        <v>0.15</v>
      </c>
      <c r="I4620" s="1163">
        <f t="shared" si="159"/>
        <v>2.98</v>
      </c>
      <c r="J4620" s="261"/>
      <c r="K4620" s="1227"/>
      <c r="L4620" s="262"/>
      <c r="M4620" s="262"/>
      <c r="N4620" s="262"/>
    </row>
    <row r="4621" spans="1:14" s="263" customFormat="1" hidden="1" outlineLevel="1">
      <c r="A4621" s="1225"/>
      <c r="B4621" s="447"/>
      <c r="C4621" s="439"/>
      <c r="D4621" s="448"/>
      <c r="E4621" s="466"/>
      <c r="F4621" s="1350"/>
      <c r="G4621" s="1350"/>
      <c r="H4621" s="1350"/>
      <c r="I4621" s="1163" t="str">
        <f t="shared" si="159"/>
        <v/>
      </c>
      <c r="J4621" s="261"/>
      <c r="K4621" s="1227"/>
      <c r="L4621" s="262"/>
      <c r="M4621" s="262"/>
      <c r="N4621" s="262"/>
    </row>
    <row r="4622" spans="1:14" s="263" customFormat="1" hidden="1" outlineLevel="1">
      <c r="A4622" s="1225"/>
      <c r="B4622" s="447" t="s">
        <v>320</v>
      </c>
      <c r="C4622" s="439" t="s">
        <v>2</v>
      </c>
      <c r="D4622" s="448">
        <v>1</v>
      </c>
      <c r="E4622" s="466">
        <v>1</v>
      </c>
      <c r="F4622" s="1350">
        <v>1.6</v>
      </c>
      <c r="G4622" s="1350">
        <v>8.56</v>
      </c>
      <c r="H4622" s="1350">
        <v>0.15</v>
      </c>
      <c r="I4622" s="1163">
        <f t="shared" si="159"/>
        <v>2.0499999999999998</v>
      </c>
      <c r="J4622" s="261"/>
      <c r="K4622" s="1227"/>
      <c r="L4622" s="262"/>
      <c r="M4622" s="262"/>
      <c r="N4622" s="262"/>
    </row>
    <row r="4623" spans="1:14" s="263" customFormat="1" hidden="1" outlineLevel="1">
      <c r="A4623" s="1225"/>
      <c r="B4623" s="447"/>
      <c r="C4623" s="439" t="s">
        <v>2</v>
      </c>
      <c r="D4623" s="448">
        <v>1</v>
      </c>
      <c r="E4623" s="466">
        <v>1</v>
      </c>
      <c r="F4623" s="1350">
        <v>1.6</v>
      </c>
      <c r="G4623" s="1350">
        <v>6.85</v>
      </c>
      <c r="H4623" s="1350">
        <v>0.15</v>
      </c>
      <c r="I4623" s="1163">
        <f t="shared" si="159"/>
        <v>1.64</v>
      </c>
      <c r="J4623" s="261"/>
      <c r="K4623" s="1227"/>
      <c r="L4623" s="262"/>
      <c r="M4623" s="262"/>
      <c r="N4623" s="262"/>
    </row>
    <row r="4624" spans="1:14" s="263" customFormat="1" hidden="1" outlineLevel="1">
      <c r="A4624" s="1225"/>
      <c r="B4624" s="447"/>
      <c r="C4624" s="439" t="s">
        <v>2</v>
      </c>
      <c r="D4624" s="448">
        <v>1</v>
      </c>
      <c r="E4624" s="466">
        <v>1</v>
      </c>
      <c r="F4624" s="1350">
        <v>1.6</v>
      </c>
      <c r="G4624" s="1350">
        <v>7.4499999999999993</v>
      </c>
      <c r="H4624" s="1350">
        <v>0.15</v>
      </c>
      <c r="I4624" s="1163">
        <f t="shared" si="159"/>
        <v>1.79</v>
      </c>
      <c r="J4624" s="261"/>
      <c r="K4624" s="1227"/>
      <c r="L4624" s="262"/>
      <c r="M4624" s="262"/>
      <c r="N4624" s="262"/>
    </row>
    <row r="4625" spans="1:14" s="263" customFormat="1" hidden="1" outlineLevel="1">
      <c r="A4625" s="1225"/>
      <c r="B4625" s="447"/>
      <c r="C4625" s="439" t="s">
        <v>2</v>
      </c>
      <c r="D4625" s="448">
        <v>1</v>
      </c>
      <c r="E4625" s="466">
        <v>1</v>
      </c>
      <c r="F4625" s="1350">
        <v>0.99</v>
      </c>
      <c r="G4625" s="1350">
        <v>8.85</v>
      </c>
      <c r="H4625" s="1350">
        <v>0.15</v>
      </c>
      <c r="I4625" s="1163">
        <f t="shared" si="159"/>
        <v>1.31</v>
      </c>
      <c r="J4625" s="261"/>
      <c r="K4625" s="1227"/>
      <c r="L4625" s="262"/>
      <c r="M4625" s="262"/>
      <c r="N4625" s="262"/>
    </row>
    <row r="4626" spans="1:14" s="263" customFormat="1" hidden="1" outlineLevel="1">
      <c r="A4626" s="1225"/>
      <c r="B4626" s="447"/>
      <c r="C4626" s="439" t="s">
        <v>2</v>
      </c>
      <c r="D4626" s="448">
        <v>1</v>
      </c>
      <c r="E4626" s="466">
        <v>1</v>
      </c>
      <c r="F4626" s="1350">
        <v>1.6</v>
      </c>
      <c r="G4626" s="1350">
        <v>4.8899999999999997</v>
      </c>
      <c r="H4626" s="1350">
        <v>0.15</v>
      </c>
      <c r="I4626" s="1163">
        <f t="shared" si="159"/>
        <v>1.17</v>
      </c>
      <c r="J4626" s="261"/>
      <c r="K4626" s="1227"/>
      <c r="L4626" s="262"/>
      <c r="M4626" s="262"/>
      <c r="N4626" s="262"/>
    </row>
    <row r="4627" spans="1:14" s="263" customFormat="1" hidden="1" outlineLevel="1">
      <c r="A4627" s="1225"/>
      <c r="B4627" s="447"/>
      <c r="C4627" s="439" t="s">
        <v>2</v>
      </c>
      <c r="D4627" s="448">
        <v>1</v>
      </c>
      <c r="E4627" s="466">
        <v>1</v>
      </c>
      <c r="F4627" s="1350">
        <v>1.6</v>
      </c>
      <c r="G4627" s="1350">
        <v>5.3299999999999992</v>
      </c>
      <c r="H4627" s="1350">
        <v>0.15</v>
      </c>
      <c r="I4627" s="1163">
        <f t="shared" si="159"/>
        <v>1.28</v>
      </c>
      <c r="J4627" s="261"/>
      <c r="K4627" s="1227"/>
      <c r="L4627" s="262"/>
      <c r="M4627" s="262"/>
      <c r="N4627" s="262"/>
    </row>
    <row r="4628" spans="1:14" s="263" customFormat="1" hidden="1" outlineLevel="1">
      <c r="A4628" s="1225"/>
      <c r="B4628" s="447"/>
      <c r="C4628" s="439" t="s">
        <v>2</v>
      </c>
      <c r="D4628" s="448">
        <v>1</v>
      </c>
      <c r="E4628" s="466">
        <v>1</v>
      </c>
      <c r="F4628" s="1350">
        <v>1.6</v>
      </c>
      <c r="G4628" s="1350">
        <v>1.45</v>
      </c>
      <c r="H4628" s="1350">
        <v>0.15</v>
      </c>
      <c r="I4628" s="1163">
        <f t="shared" si="159"/>
        <v>0.35</v>
      </c>
      <c r="J4628" s="261"/>
      <c r="K4628" s="1227"/>
      <c r="L4628" s="262"/>
      <c r="M4628" s="262"/>
      <c r="N4628" s="262"/>
    </row>
    <row r="4629" spans="1:14" s="263" customFormat="1" hidden="1" outlineLevel="1">
      <c r="A4629" s="1225"/>
      <c r="B4629" s="447"/>
      <c r="C4629" s="439" t="s">
        <v>2</v>
      </c>
      <c r="D4629" s="448">
        <v>1</v>
      </c>
      <c r="E4629" s="466">
        <v>1</v>
      </c>
      <c r="F4629" s="1350">
        <v>1.6</v>
      </c>
      <c r="G4629" s="1350">
        <v>3.8299999999999996</v>
      </c>
      <c r="H4629" s="1350">
        <v>0.15</v>
      </c>
      <c r="I4629" s="1163">
        <f t="shared" si="159"/>
        <v>0.92</v>
      </c>
      <c r="J4629" s="261"/>
      <c r="K4629" s="1227"/>
      <c r="L4629" s="262"/>
      <c r="M4629" s="262"/>
      <c r="N4629" s="262"/>
    </row>
    <row r="4630" spans="1:14" s="263" customFormat="1" hidden="1" outlineLevel="1">
      <c r="A4630" s="1225"/>
      <c r="B4630" s="447"/>
      <c r="C4630" s="439" t="s">
        <v>2</v>
      </c>
      <c r="D4630" s="448">
        <v>1</v>
      </c>
      <c r="E4630" s="466">
        <v>1</v>
      </c>
      <c r="F4630" s="1350">
        <v>1.415</v>
      </c>
      <c r="G4630" s="1350">
        <v>2.4249999999999998</v>
      </c>
      <c r="H4630" s="1350">
        <v>0.15</v>
      </c>
      <c r="I4630" s="1163">
        <f t="shared" si="159"/>
        <v>0.51</v>
      </c>
      <c r="J4630" s="261"/>
      <c r="K4630" s="1227"/>
      <c r="L4630" s="262"/>
      <c r="M4630" s="262"/>
      <c r="N4630" s="262"/>
    </row>
    <row r="4631" spans="1:14" s="263" customFormat="1" hidden="1" outlineLevel="1">
      <c r="A4631" s="1225"/>
      <c r="B4631" s="447"/>
      <c r="C4631" s="439" t="s">
        <v>2</v>
      </c>
      <c r="D4631" s="448">
        <v>1</v>
      </c>
      <c r="E4631" s="466">
        <v>1</v>
      </c>
      <c r="F4631" s="1350">
        <v>0.755</v>
      </c>
      <c r="G4631" s="1350">
        <v>1.9650000000000001</v>
      </c>
      <c r="H4631" s="1350">
        <v>0.15</v>
      </c>
      <c r="I4631" s="1163">
        <f t="shared" si="159"/>
        <v>0.22</v>
      </c>
      <c r="J4631" s="261"/>
      <c r="K4631" s="1227"/>
      <c r="L4631" s="262"/>
      <c r="M4631" s="262"/>
      <c r="N4631" s="262"/>
    </row>
    <row r="4632" spans="1:14" s="263" customFormat="1" hidden="1" outlineLevel="1">
      <c r="A4632" s="1225"/>
      <c r="B4632" s="447"/>
      <c r="C4632" s="439" t="s">
        <v>2</v>
      </c>
      <c r="D4632" s="448">
        <v>0.5</v>
      </c>
      <c r="E4632" s="466">
        <v>1</v>
      </c>
      <c r="F4632" s="1350">
        <v>5.4649999999999999</v>
      </c>
      <c r="G4632" s="1350">
        <v>4.2</v>
      </c>
      <c r="H4632" s="1350">
        <v>0.15</v>
      </c>
      <c r="I4632" s="1163">
        <f t="shared" si="159"/>
        <v>1.72</v>
      </c>
      <c r="J4632" s="261"/>
      <c r="K4632" s="1227"/>
      <c r="L4632" s="262"/>
      <c r="M4632" s="262"/>
      <c r="N4632" s="262"/>
    </row>
    <row r="4633" spans="1:14" s="263" customFormat="1" hidden="1" outlineLevel="1">
      <c r="A4633" s="1225"/>
      <c r="B4633" s="447"/>
      <c r="C4633" s="439"/>
      <c r="D4633" s="448"/>
      <c r="E4633" s="466"/>
      <c r="F4633" s="1350"/>
      <c r="G4633" s="1350"/>
      <c r="H4633" s="1350"/>
      <c r="I4633" s="1163" t="str">
        <f t="shared" si="159"/>
        <v/>
      </c>
      <c r="J4633" s="261"/>
      <c r="K4633" s="1227"/>
      <c r="L4633" s="262"/>
      <c r="M4633" s="262"/>
      <c r="N4633" s="262"/>
    </row>
    <row r="4634" spans="1:14" s="263" customFormat="1" hidden="1" outlineLevel="1">
      <c r="A4634" s="1225"/>
      <c r="B4634" s="447" t="s">
        <v>321</v>
      </c>
      <c r="C4634" s="439" t="s">
        <v>2</v>
      </c>
      <c r="D4634" s="448">
        <v>1</v>
      </c>
      <c r="E4634" s="466">
        <v>1</v>
      </c>
      <c r="F4634" s="1350">
        <v>1.6</v>
      </c>
      <c r="G4634" s="1350">
        <v>4</v>
      </c>
      <c r="H4634" s="1350">
        <v>0.15</v>
      </c>
      <c r="I4634" s="1163">
        <f t="shared" si="159"/>
        <v>0.96</v>
      </c>
      <c r="J4634" s="261"/>
      <c r="K4634" s="1227"/>
      <c r="L4634" s="262"/>
      <c r="M4634" s="262"/>
      <c r="N4634" s="262"/>
    </row>
    <row r="4635" spans="1:14" s="263" customFormat="1" hidden="1" outlineLevel="1">
      <c r="A4635" s="1225"/>
      <c r="B4635" s="447"/>
      <c r="C4635" s="439" t="s">
        <v>2</v>
      </c>
      <c r="D4635" s="448">
        <v>1</v>
      </c>
      <c r="E4635" s="466">
        <v>1</v>
      </c>
      <c r="F4635" s="1350">
        <v>1.6</v>
      </c>
      <c r="G4635" s="1350">
        <v>1</v>
      </c>
      <c r="H4635" s="1350">
        <v>0.15</v>
      </c>
      <c r="I4635" s="1163">
        <f t="shared" si="159"/>
        <v>0.24</v>
      </c>
      <c r="J4635" s="261"/>
      <c r="K4635" s="1227"/>
      <c r="L4635" s="262"/>
      <c r="M4635" s="262"/>
      <c r="N4635" s="262"/>
    </row>
    <row r="4636" spans="1:14" s="263" customFormat="1" hidden="1" outlineLevel="1">
      <c r="A4636" s="1225"/>
      <c r="B4636" s="447"/>
      <c r="C4636" s="439" t="s">
        <v>2</v>
      </c>
      <c r="D4636" s="448">
        <v>1</v>
      </c>
      <c r="E4636" s="466">
        <v>1</v>
      </c>
      <c r="F4636" s="1350">
        <v>5.49</v>
      </c>
      <c r="G4636" s="1350">
        <v>0.96499999999999997</v>
      </c>
      <c r="H4636" s="1350">
        <v>0.15</v>
      </c>
      <c r="I4636" s="1163">
        <f t="shared" si="159"/>
        <v>0.79</v>
      </c>
      <c r="J4636" s="261"/>
      <c r="K4636" s="1227"/>
      <c r="L4636" s="262"/>
      <c r="M4636" s="262"/>
      <c r="N4636" s="262"/>
    </row>
    <row r="4637" spans="1:14" s="263" customFormat="1" hidden="1" outlineLevel="1">
      <c r="A4637" s="1225"/>
      <c r="B4637" s="447"/>
      <c r="C4637" s="439" t="s">
        <v>2</v>
      </c>
      <c r="D4637" s="448">
        <v>1</v>
      </c>
      <c r="E4637" s="466">
        <v>1</v>
      </c>
      <c r="F4637" s="1350">
        <v>7.09</v>
      </c>
      <c r="G4637" s="1350">
        <v>1</v>
      </c>
      <c r="H4637" s="1350">
        <v>0.15</v>
      </c>
      <c r="I4637" s="1163">
        <f t="shared" si="159"/>
        <v>1.06</v>
      </c>
      <c r="J4637" s="261"/>
      <c r="K4637" s="1227"/>
      <c r="L4637" s="262"/>
      <c r="M4637" s="262"/>
      <c r="N4637" s="262"/>
    </row>
    <row r="4638" spans="1:14" s="263" customFormat="1" hidden="1" outlineLevel="1">
      <c r="A4638" s="1225"/>
      <c r="B4638" s="447"/>
      <c r="C4638" s="439" t="s">
        <v>2</v>
      </c>
      <c r="D4638" s="448">
        <v>1</v>
      </c>
      <c r="E4638" s="466">
        <v>1</v>
      </c>
      <c r="F4638" s="1350">
        <v>1.6</v>
      </c>
      <c r="G4638" s="1350">
        <v>3</v>
      </c>
      <c r="H4638" s="1350">
        <v>0.15</v>
      </c>
      <c r="I4638" s="1163">
        <f t="shared" si="159"/>
        <v>0.72</v>
      </c>
      <c r="J4638" s="261"/>
      <c r="K4638" s="1227"/>
      <c r="L4638" s="262"/>
      <c r="M4638" s="262"/>
      <c r="N4638" s="262"/>
    </row>
    <row r="4639" spans="1:14" s="263" customFormat="1" hidden="1" outlineLevel="1">
      <c r="A4639" s="1225"/>
      <c r="B4639" s="447"/>
      <c r="C4639" s="439" t="s">
        <v>2</v>
      </c>
      <c r="D4639" s="448">
        <v>1</v>
      </c>
      <c r="E4639" s="466">
        <v>1</v>
      </c>
      <c r="F4639" s="1350">
        <v>4.3449999999999998</v>
      </c>
      <c r="G4639" s="1350">
        <v>1</v>
      </c>
      <c r="H4639" s="1350">
        <v>0.15</v>
      </c>
      <c r="I4639" s="1163">
        <f t="shared" si="159"/>
        <v>0.65</v>
      </c>
      <c r="J4639" s="261"/>
      <c r="K4639" s="1227"/>
      <c r="L4639" s="262"/>
      <c r="M4639" s="262"/>
      <c r="N4639" s="262"/>
    </row>
    <row r="4640" spans="1:14" s="263" customFormat="1" hidden="1" outlineLevel="1">
      <c r="A4640" s="1225"/>
      <c r="B4640" s="447"/>
      <c r="C4640" s="439" t="s">
        <v>2</v>
      </c>
      <c r="D4640" s="448">
        <v>1</v>
      </c>
      <c r="E4640" s="466">
        <v>1</v>
      </c>
      <c r="F4640" s="1350">
        <v>1.6</v>
      </c>
      <c r="G4640" s="1350">
        <v>4</v>
      </c>
      <c r="H4640" s="1350">
        <v>0.15</v>
      </c>
      <c r="I4640" s="1163">
        <f t="shared" si="159"/>
        <v>0.96</v>
      </c>
      <c r="J4640" s="261"/>
      <c r="K4640" s="1227"/>
      <c r="L4640" s="262"/>
      <c r="M4640" s="262"/>
      <c r="N4640" s="262"/>
    </row>
    <row r="4641" spans="1:14" s="263" customFormat="1" hidden="1" outlineLevel="1">
      <c r="A4641" s="1225"/>
      <c r="B4641" s="447"/>
      <c r="C4641" s="439" t="s">
        <v>2</v>
      </c>
      <c r="D4641" s="448">
        <v>1</v>
      </c>
      <c r="E4641" s="466">
        <v>2</v>
      </c>
      <c r="F4641" s="1350">
        <v>1.6</v>
      </c>
      <c r="G4641" s="1350">
        <v>3</v>
      </c>
      <c r="H4641" s="1350">
        <v>0.15</v>
      </c>
      <c r="I4641" s="1163">
        <f t="shared" si="159"/>
        <v>1.44</v>
      </c>
      <c r="J4641" s="261"/>
      <c r="K4641" s="1227"/>
      <c r="L4641" s="262"/>
      <c r="M4641" s="262"/>
      <c r="N4641" s="262"/>
    </row>
    <row r="4642" spans="1:14" s="263" customFormat="1" hidden="1" outlineLevel="1">
      <c r="A4642" s="1225"/>
      <c r="B4642" s="447"/>
      <c r="C4642" s="439"/>
      <c r="D4642" s="448"/>
      <c r="E4642" s="466"/>
      <c r="F4642" s="1350"/>
      <c r="G4642" s="1350"/>
      <c r="H4642" s="1350"/>
      <c r="I4642" s="1163" t="str">
        <f t="shared" si="159"/>
        <v/>
      </c>
      <c r="J4642" s="261"/>
      <c r="K4642" s="1227"/>
      <c r="L4642" s="262"/>
      <c r="M4642" s="262"/>
      <c r="N4642" s="262"/>
    </row>
    <row r="4643" spans="1:14" s="263" customFormat="1" hidden="1" outlineLevel="1">
      <c r="A4643" s="1225"/>
      <c r="B4643" s="447"/>
      <c r="C4643" s="439" t="s">
        <v>2</v>
      </c>
      <c r="D4643" s="448">
        <v>1</v>
      </c>
      <c r="E4643" s="466">
        <v>1</v>
      </c>
      <c r="F4643" s="1350">
        <v>20.145</v>
      </c>
      <c r="G4643" s="1350">
        <v>2.2349999999999999</v>
      </c>
      <c r="H4643" s="1350">
        <v>0.15</v>
      </c>
      <c r="I4643" s="1163">
        <f t="shared" si="159"/>
        <v>6.75</v>
      </c>
      <c r="J4643" s="261"/>
      <c r="K4643" s="1227"/>
      <c r="L4643" s="262"/>
      <c r="M4643" s="262"/>
      <c r="N4643" s="262"/>
    </row>
    <row r="4644" spans="1:14" s="263" customFormat="1" hidden="1" outlineLevel="1">
      <c r="A4644" s="1225"/>
      <c r="B4644" s="447"/>
      <c r="C4644" s="439" t="s">
        <v>2</v>
      </c>
      <c r="D4644" s="448">
        <v>1</v>
      </c>
      <c r="E4644" s="466">
        <v>1</v>
      </c>
      <c r="F4644" s="1350">
        <v>1.845</v>
      </c>
      <c r="G4644" s="1350">
        <v>4.07</v>
      </c>
      <c r="H4644" s="1350">
        <v>0.15</v>
      </c>
      <c r="I4644" s="1163">
        <f t="shared" ref="I4644:I4707" si="160">IF(D4644&lt;&gt;0,ROUND(PRODUCT(E4644:H4644)*D4644,2),"")</f>
        <v>1.1299999999999999</v>
      </c>
      <c r="J4644" s="261"/>
      <c r="K4644" s="1227"/>
      <c r="L4644" s="262"/>
      <c r="M4644" s="262"/>
      <c r="N4644" s="262"/>
    </row>
    <row r="4645" spans="1:14" s="263" customFormat="1" hidden="1" outlineLevel="1">
      <c r="A4645" s="1225"/>
      <c r="B4645" s="447"/>
      <c r="C4645" s="439"/>
      <c r="D4645" s="448"/>
      <c r="E4645" s="466"/>
      <c r="F4645" s="1350"/>
      <c r="G4645" s="1350"/>
      <c r="H4645" s="1350"/>
      <c r="I4645" s="1163" t="str">
        <f t="shared" si="160"/>
        <v/>
      </c>
      <c r="J4645" s="261"/>
      <c r="K4645" s="1227"/>
      <c r="L4645" s="262"/>
      <c r="M4645" s="262"/>
      <c r="N4645" s="262"/>
    </row>
    <row r="4646" spans="1:14" s="263" customFormat="1" hidden="1" outlineLevel="1">
      <c r="A4646" s="1225"/>
      <c r="B4646" s="447"/>
      <c r="C4646" s="439" t="s">
        <v>2</v>
      </c>
      <c r="D4646" s="448">
        <v>1</v>
      </c>
      <c r="E4646" s="466">
        <v>1</v>
      </c>
      <c r="F4646" s="1350">
        <v>0.68500000000000005</v>
      </c>
      <c r="G4646" s="1350">
        <v>4.13</v>
      </c>
      <c r="H4646" s="1350">
        <v>0.15</v>
      </c>
      <c r="I4646" s="1163">
        <f t="shared" si="160"/>
        <v>0.42</v>
      </c>
      <c r="J4646" s="261"/>
      <c r="K4646" s="1227"/>
      <c r="L4646" s="262"/>
      <c r="M4646" s="262"/>
      <c r="N4646" s="262"/>
    </row>
    <row r="4647" spans="1:14" s="263" customFormat="1" hidden="1" outlineLevel="1">
      <c r="A4647" s="1225"/>
      <c r="B4647" s="447"/>
      <c r="C4647" s="439" t="s">
        <v>2</v>
      </c>
      <c r="D4647" s="448">
        <v>1</v>
      </c>
      <c r="E4647" s="466">
        <v>1</v>
      </c>
      <c r="F4647" s="1350">
        <v>3.43</v>
      </c>
      <c r="G4647" s="1350">
        <v>1.2</v>
      </c>
      <c r="H4647" s="1350">
        <v>0.15</v>
      </c>
      <c r="I4647" s="1163">
        <f t="shared" si="160"/>
        <v>0.62</v>
      </c>
      <c r="J4647" s="261"/>
      <c r="K4647" s="1227"/>
      <c r="L4647" s="262"/>
      <c r="M4647" s="262"/>
      <c r="N4647" s="262"/>
    </row>
    <row r="4648" spans="1:14" s="263" customFormat="1" hidden="1" outlineLevel="1">
      <c r="A4648" s="1225"/>
      <c r="B4648" s="447"/>
      <c r="C4648" s="439" t="s">
        <v>2</v>
      </c>
      <c r="D4648" s="448">
        <v>1</v>
      </c>
      <c r="E4648" s="466">
        <v>1</v>
      </c>
      <c r="F4648" s="1350">
        <v>1.6</v>
      </c>
      <c r="G4648" s="1350">
        <v>3</v>
      </c>
      <c r="H4648" s="1350">
        <v>0.15</v>
      </c>
      <c r="I4648" s="1163">
        <f t="shared" si="160"/>
        <v>0.72</v>
      </c>
      <c r="J4648" s="261"/>
      <c r="K4648" s="1227"/>
      <c r="L4648" s="262"/>
      <c r="M4648" s="262"/>
      <c r="N4648" s="262"/>
    </row>
    <row r="4649" spans="1:14" s="263" customFormat="1" hidden="1" outlineLevel="1">
      <c r="A4649" s="1225"/>
      <c r="B4649" s="447"/>
      <c r="C4649" s="439" t="s">
        <v>2</v>
      </c>
      <c r="D4649" s="448">
        <v>1</v>
      </c>
      <c r="E4649" s="466">
        <v>1</v>
      </c>
      <c r="F4649" s="1350">
        <v>3.7349999999999999</v>
      </c>
      <c r="G4649" s="1350">
        <v>1.2</v>
      </c>
      <c r="H4649" s="1350">
        <v>0.15</v>
      </c>
      <c r="I4649" s="1163">
        <f t="shared" si="160"/>
        <v>0.67</v>
      </c>
      <c r="J4649" s="261"/>
      <c r="K4649" s="1227"/>
      <c r="L4649" s="262"/>
      <c r="M4649" s="262"/>
      <c r="N4649" s="262"/>
    </row>
    <row r="4650" spans="1:14" s="263" customFormat="1" hidden="1" outlineLevel="1">
      <c r="A4650" s="1225"/>
      <c r="B4650" s="447"/>
      <c r="C4650" s="439" t="s">
        <v>2</v>
      </c>
      <c r="D4650" s="448">
        <v>1</v>
      </c>
      <c r="E4650" s="466">
        <v>1</v>
      </c>
      <c r="F4650" s="1350">
        <v>3.43</v>
      </c>
      <c r="G4650" s="1350">
        <v>4.2350000000000003</v>
      </c>
      <c r="H4650" s="1350">
        <v>0.15</v>
      </c>
      <c r="I4650" s="1163">
        <f t="shared" si="160"/>
        <v>2.1800000000000002</v>
      </c>
      <c r="J4650" s="261"/>
      <c r="K4650" s="1227"/>
      <c r="L4650" s="262"/>
      <c r="M4650" s="262"/>
      <c r="N4650" s="262"/>
    </row>
    <row r="4651" spans="1:14" s="263" customFormat="1" hidden="1" outlineLevel="1">
      <c r="A4651" s="1225"/>
      <c r="B4651" s="447"/>
      <c r="C4651" s="439" t="s">
        <v>2</v>
      </c>
      <c r="D4651" s="448">
        <v>1</v>
      </c>
      <c r="E4651" s="466">
        <v>1</v>
      </c>
      <c r="F4651" s="1350">
        <v>1.6</v>
      </c>
      <c r="G4651" s="1350">
        <v>1.8</v>
      </c>
      <c r="H4651" s="1350">
        <v>0.15</v>
      </c>
      <c r="I4651" s="1163">
        <f t="shared" si="160"/>
        <v>0.43</v>
      </c>
      <c r="J4651" s="261"/>
      <c r="K4651" s="1227"/>
      <c r="L4651" s="262"/>
      <c r="M4651" s="262"/>
      <c r="N4651" s="262"/>
    </row>
    <row r="4652" spans="1:14" s="263" customFormat="1" hidden="1" outlineLevel="1">
      <c r="A4652" s="1225"/>
      <c r="B4652" s="447"/>
      <c r="C4652" s="439" t="s">
        <v>2</v>
      </c>
      <c r="D4652" s="448">
        <v>1</v>
      </c>
      <c r="E4652" s="466">
        <v>1</v>
      </c>
      <c r="F4652" s="1350">
        <v>1.6</v>
      </c>
      <c r="G4652" s="1350">
        <v>4.2</v>
      </c>
      <c r="H4652" s="1350">
        <v>0.15</v>
      </c>
      <c r="I4652" s="1163">
        <f t="shared" si="160"/>
        <v>1.01</v>
      </c>
      <c r="J4652" s="261"/>
      <c r="K4652" s="1227"/>
      <c r="L4652" s="262"/>
      <c r="M4652" s="262"/>
      <c r="N4652" s="262"/>
    </row>
    <row r="4653" spans="1:14" s="263" customFormat="1" hidden="1" outlineLevel="1">
      <c r="A4653" s="1225"/>
      <c r="B4653" s="447"/>
      <c r="C4653" s="439" t="s">
        <v>2</v>
      </c>
      <c r="D4653" s="448">
        <v>1</v>
      </c>
      <c r="E4653" s="466">
        <v>1</v>
      </c>
      <c r="F4653" s="1350">
        <v>1.6</v>
      </c>
      <c r="G4653" s="1350">
        <v>5</v>
      </c>
      <c r="H4653" s="1350">
        <v>0.15</v>
      </c>
      <c r="I4653" s="1163">
        <f t="shared" si="160"/>
        <v>1.2</v>
      </c>
      <c r="J4653" s="261"/>
      <c r="K4653" s="1227"/>
      <c r="L4653" s="262"/>
      <c r="M4653" s="262"/>
      <c r="N4653" s="262"/>
    </row>
    <row r="4654" spans="1:14" s="263" customFormat="1" hidden="1" outlineLevel="1">
      <c r="A4654" s="1225"/>
      <c r="B4654" s="447"/>
      <c r="C4654" s="439" t="s">
        <v>2</v>
      </c>
      <c r="D4654" s="448">
        <v>1</v>
      </c>
      <c r="E4654" s="466">
        <v>1</v>
      </c>
      <c r="F4654" s="1350">
        <v>2.1349999999999998</v>
      </c>
      <c r="G4654" s="1350">
        <v>3.2349999999999999</v>
      </c>
      <c r="H4654" s="1350">
        <v>0.15</v>
      </c>
      <c r="I4654" s="1163">
        <f t="shared" si="160"/>
        <v>1.04</v>
      </c>
      <c r="J4654" s="261"/>
      <c r="K4654" s="1227"/>
      <c r="L4654" s="262"/>
      <c r="M4654" s="262"/>
      <c r="N4654" s="262"/>
    </row>
    <row r="4655" spans="1:14" s="263" customFormat="1" hidden="1" outlineLevel="1">
      <c r="A4655" s="1225"/>
      <c r="B4655" s="447"/>
      <c r="C4655" s="439" t="s">
        <v>2</v>
      </c>
      <c r="D4655" s="448">
        <v>1</v>
      </c>
      <c r="E4655" s="466">
        <v>1</v>
      </c>
      <c r="F4655" s="1350">
        <v>3.7349999999999999</v>
      </c>
      <c r="G4655" s="1350">
        <v>3.2</v>
      </c>
      <c r="H4655" s="1350">
        <v>0.15</v>
      </c>
      <c r="I4655" s="1163">
        <f t="shared" si="160"/>
        <v>1.79</v>
      </c>
      <c r="J4655" s="261"/>
      <c r="K4655" s="1227"/>
      <c r="L4655" s="262"/>
      <c r="M4655" s="262"/>
      <c r="N4655" s="262"/>
    </row>
    <row r="4656" spans="1:14" s="263" customFormat="1" hidden="1" outlineLevel="1">
      <c r="A4656" s="1225"/>
      <c r="B4656" s="447"/>
      <c r="C4656" s="439" t="s">
        <v>2</v>
      </c>
      <c r="D4656" s="448">
        <v>1</v>
      </c>
      <c r="E4656" s="466">
        <v>1</v>
      </c>
      <c r="F4656" s="1350">
        <v>12.12</v>
      </c>
      <c r="G4656" s="1350">
        <v>1.5</v>
      </c>
      <c r="H4656" s="1350">
        <v>0.15</v>
      </c>
      <c r="I4656" s="1163">
        <f t="shared" si="160"/>
        <v>2.73</v>
      </c>
      <c r="J4656" s="261"/>
      <c r="K4656" s="1227"/>
      <c r="L4656" s="262"/>
      <c r="M4656" s="262"/>
      <c r="N4656" s="262"/>
    </row>
    <row r="4657" spans="1:14" s="263" customFormat="1" hidden="1" outlineLevel="1">
      <c r="A4657" s="1225"/>
      <c r="B4657" s="447"/>
      <c r="C4657" s="439" t="s">
        <v>2</v>
      </c>
      <c r="D4657" s="448">
        <v>1</v>
      </c>
      <c r="E4657" s="466">
        <v>1</v>
      </c>
      <c r="F4657" s="1350">
        <v>0.99</v>
      </c>
      <c r="G4657" s="1350">
        <v>4.13</v>
      </c>
      <c r="H4657" s="1350">
        <v>0.15</v>
      </c>
      <c r="I4657" s="1163">
        <f t="shared" si="160"/>
        <v>0.61</v>
      </c>
      <c r="J4657" s="261"/>
      <c r="K4657" s="1227"/>
      <c r="L4657" s="262"/>
      <c r="M4657" s="262"/>
      <c r="N4657" s="262"/>
    </row>
    <row r="4658" spans="1:14" s="263" customFormat="1" hidden="1" outlineLevel="1">
      <c r="A4658" s="1225"/>
      <c r="B4658" s="447"/>
      <c r="C4658" s="439" t="s">
        <v>2</v>
      </c>
      <c r="D4658" s="448">
        <v>1</v>
      </c>
      <c r="E4658" s="466">
        <v>1</v>
      </c>
      <c r="F4658" s="1350">
        <v>1.6</v>
      </c>
      <c r="G4658" s="1350">
        <v>4.5</v>
      </c>
      <c r="H4658" s="1350">
        <v>0.15</v>
      </c>
      <c r="I4658" s="1163">
        <f t="shared" si="160"/>
        <v>1.08</v>
      </c>
      <c r="J4658" s="261"/>
      <c r="K4658" s="1227"/>
      <c r="L4658" s="262"/>
      <c r="M4658" s="262"/>
      <c r="N4658" s="262"/>
    </row>
    <row r="4659" spans="1:14" s="263" customFormat="1" hidden="1" outlineLevel="1">
      <c r="A4659" s="1225"/>
      <c r="B4659" s="447"/>
      <c r="C4659" s="439" t="s">
        <v>2</v>
      </c>
      <c r="D4659" s="448">
        <v>1</v>
      </c>
      <c r="E4659" s="466">
        <v>1</v>
      </c>
      <c r="F4659" s="1350">
        <v>1.46</v>
      </c>
      <c r="G4659" s="1350">
        <v>2.7</v>
      </c>
      <c r="H4659" s="1350">
        <v>0.15</v>
      </c>
      <c r="I4659" s="1163">
        <f t="shared" si="160"/>
        <v>0.59</v>
      </c>
      <c r="J4659" s="261"/>
      <c r="K4659" s="1227"/>
      <c r="L4659" s="262"/>
      <c r="M4659" s="262"/>
      <c r="N4659" s="262"/>
    </row>
    <row r="4660" spans="1:14" s="263" customFormat="1" hidden="1" outlineLevel="1">
      <c r="A4660" s="1225"/>
      <c r="B4660" s="447"/>
      <c r="C4660" s="439" t="s">
        <v>2</v>
      </c>
      <c r="D4660" s="448">
        <v>1</v>
      </c>
      <c r="E4660" s="466">
        <v>1</v>
      </c>
      <c r="F4660" s="1350">
        <v>1.6</v>
      </c>
      <c r="G4660" s="1350">
        <v>6</v>
      </c>
      <c r="H4660" s="1350">
        <v>0.15</v>
      </c>
      <c r="I4660" s="1163">
        <f t="shared" si="160"/>
        <v>1.44</v>
      </c>
      <c r="J4660" s="261"/>
      <c r="K4660" s="1227"/>
      <c r="L4660" s="262"/>
      <c r="M4660" s="262"/>
      <c r="N4660" s="262"/>
    </row>
    <row r="4661" spans="1:14" s="263" customFormat="1" hidden="1" outlineLevel="1">
      <c r="A4661" s="1225"/>
      <c r="B4661" s="447"/>
      <c r="C4661" s="439"/>
      <c r="D4661" s="448"/>
      <c r="E4661" s="466"/>
      <c r="F4661" s="1350"/>
      <c r="G4661" s="1350"/>
      <c r="H4661" s="1350"/>
      <c r="I4661" s="1163" t="str">
        <f t="shared" si="160"/>
        <v/>
      </c>
      <c r="J4661" s="261"/>
      <c r="K4661" s="1227"/>
      <c r="L4661" s="262"/>
      <c r="M4661" s="262"/>
      <c r="N4661" s="262"/>
    </row>
    <row r="4662" spans="1:14" s="263" customFormat="1" hidden="1" outlineLevel="1">
      <c r="A4662" s="1225"/>
      <c r="B4662" s="447"/>
      <c r="C4662" s="439" t="s">
        <v>2</v>
      </c>
      <c r="D4662" s="448">
        <v>1</v>
      </c>
      <c r="E4662" s="466">
        <v>1</v>
      </c>
      <c r="F4662" s="1350">
        <v>20.97</v>
      </c>
      <c r="G4662" s="1350">
        <v>2</v>
      </c>
      <c r="H4662" s="1350">
        <v>0.15</v>
      </c>
      <c r="I4662" s="1163">
        <f t="shared" si="160"/>
        <v>6.29</v>
      </c>
      <c r="J4662" s="261"/>
      <c r="K4662" s="1227"/>
      <c r="L4662" s="262"/>
      <c r="M4662" s="262"/>
      <c r="N4662" s="262"/>
    </row>
    <row r="4663" spans="1:14" s="263" customFormat="1" hidden="1" outlineLevel="1">
      <c r="A4663" s="1225"/>
      <c r="B4663" s="447"/>
      <c r="C4663" s="439" t="s">
        <v>2</v>
      </c>
      <c r="D4663" s="448">
        <v>1</v>
      </c>
      <c r="E4663" s="466">
        <v>1</v>
      </c>
      <c r="F4663" s="1350">
        <v>1.905</v>
      </c>
      <c r="G4663" s="1350">
        <v>6.2350000000000003</v>
      </c>
      <c r="H4663" s="1350">
        <v>0.15</v>
      </c>
      <c r="I4663" s="1163">
        <f t="shared" si="160"/>
        <v>1.78</v>
      </c>
      <c r="J4663" s="261"/>
      <c r="K4663" s="1227"/>
      <c r="L4663" s="262"/>
      <c r="M4663" s="262"/>
      <c r="N4663" s="262"/>
    </row>
    <row r="4664" spans="1:14" s="263" customFormat="1" hidden="1" outlineLevel="1">
      <c r="A4664" s="1225"/>
      <c r="B4664" s="447"/>
      <c r="C4664" s="439" t="s">
        <v>2</v>
      </c>
      <c r="D4664" s="448">
        <v>1</v>
      </c>
      <c r="E4664" s="466">
        <v>1</v>
      </c>
      <c r="F4664" s="1350">
        <v>1.145</v>
      </c>
      <c r="G4664" s="1350">
        <v>2</v>
      </c>
      <c r="H4664" s="1350">
        <v>0.15</v>
      </c>
      <c r="I4664" s="1163">
        <f t="shared" si="160"/>
        <v>0.34</v>
      </c>
      <c r="J4664" s="261"/>
      <c r="K4664" s="1227"/>
      <c r="L4664" s="262"/>
      <c r="M4664" s="262"/>
      <c r="N4664" s="262"/>
    </row>
    <row r="4665" spans="1:14" s="263" customFormat="1" hidden="1" outlineLevel="1">
      <c r="A4665" s="1225"/>
      <c r="B4665" s="447"/>
      <c r="C4665" s="439"/>
      <c r="D4665" s="448"/>
      <c r="E4665" s="466"/>
      <c r="F4665" s="1350"/>
      <c r="G4665" s="1350"/>
      <c r="H4665" s="1350"/>
      <c r="I4665" s="1163" t="str">
        <f t="shared" si="160"/>
        <v/>
      </c>
      <c r="J4665" s="261"/>
      <c r="K4665" s="1227"/>
      <c r="L4665" s="262"/>
      <c r="M4665" s="262"/>
      <c r="N4665" s="262"/>
    </row>
    <row r="4666" spans="1:14" s="263" customFormat="1" hidden="1" outlineLevel="1">
      <c r="A4666" s="1225"/>
      <c r="B4666" s="447"/>
      <c r="C4666" s="439" t="s">
        <v>2</v>
      </c>
      <c r="D4666" s="448">
        <v>1</v>
      </c>
      <c r="E4666" s="466">
        <v>1</v>
      </c>
      <c r="F4666" s="1350">
        <v>4.3449999999999998</v>
      </c>
      <c r="G4666" s="1350">
        <v>1.2</v>
      </c>
      <c r="H4666" s="1350">
        <v>0.15</v>
      </c>
      <c r="I4666" s="1163">
        <f t="shared" si="160"/>
        <v>0.78</v>
      </c>
      <c r="J4666" s="261"/>
      <c r="K4666" s="1227"/>
      <c r="L4666" s="262"/>
      <c r="M4666" s="262"/>
      <c r="N4666" s="262"/>
    </row>
    <row r="4667" spans="1:14" s="263" customFormat="1" hidden="1" outlineLevel="1">
      <c r="A4667" s="1225"/>
      <c r="B4667" s="447"/>
      <c r="C4667" s="439" t="s">
        <v>2</v>
      </c>
      <c r="D4667" s="448">
        <v>1</v>
      </c>
      <c r="E4667" s="466">
        <v>1</v>
      </c>
      <c r="F4667" s="1350">
        <v>1.6</v>
      </c>
      <c r="G4667" s="1350">
        <v>1.8</v>
      </c>
      <c r="H4667" s="1350">
        <v>0.15</v>
      </c>
      <c r="I4667" s="1163">
        <f t="shared" si="160"/>
        <v>0.43</v>
      </c>
      <c r="J4667" s="261"/>
      <c r="K4667" s="1227"/>
      <c r="L4667" s="262"/>
      <c r="M4667" s="262"/>
      <c r="N4667" s="262"/>
    </row>
    <row r="4668" spans="1:14" s="263" customFormat="1" hidden="1" outlineLevel="1">
      <c r="A4668" s="1225"/>
      <c r="B4668" s="447"/>
      <c r="C4668" s="439" t="s">
        <v>2</v>
      </c>
      <c r="D4668" s="448">
        <v>1</v>
      </c>
      <c r="E4668" s="466">
        <v>1</v>
      </c>
      <c r="F4668" s="1350">
        <v>4.6500000000000004</v>
      </c>
      <c r="G4668" s="1350">
        <v>1</v>
      </c>
      <c r="H4668" s="1350">
        <v>0.15</v>
      </c>
      <c r="I4668" s="1163">
        <f t="shared" si="160"/>
        <v>0.7</v>
      </c>
      <c r="J4668" s="261"/>
      <c r="K4668" s="1227"/>
      <c r="L4668" s="262"/>
      <c r="M4668" s="262"/>
      <c r="N4668" s="262"/>
    </row>
    <row r="4669" spans="1:14" s="263" customFormat="1" hidden="1" outlineLevel="1">
      <c r="A4669" s="1225"/>
      <c r="B4669" s="447"/>
      <c r="C4669" s="439" t="s">
        <v>2</v>
      </c>
      <c r="D4669" s="448">
        <v>1</v>
      </c>
      <c r="E4669" s="466">
        <v>1</v>
      </c>
      <c r="F4669" s="1350">
        <v>1.905</v>
      </c>
      <c r="G4669" s="1350">
        <v>1.8</v>
      </c>
      <c r="H4669" s="1350">
        <v>0.15</v>
      </c>
      <c r="I4669" s="1163">
        <f t="shared" si="160"/>
        <v>0.51</v>
      </c>
      <c r="J4669" s="261"/>
      <c r="K4669" s="1227"/>
      <c r="L4669" s="262"/>
      <c r="M4669" s="262"/>
      <c r="N4669" s="262"/>
    </row>
    <row r="4670" spans="1:14" s="263" customFormat="1" ht="34.5" hidden="1" outlineLevel="1">
      <c r="A4670" s="1225"/>
      <c r="B4670" s="458" t="s">
        <v>322</v>
      </c>
      <c r="C4670" s="439"/>
      <c r="D4670" s="448"/>
      <c r="E4670" s="466"/>
      <c r="F4670" s="1350"/>
      <c r="G4670" s="1350"/>
      <c r="H4670" s="1350"/>
      <c r="I4670" s="1163" t="str">
        <f t="shared" si="160"/>
        <v/>
      </c>
      <c r="J4670" s="261"/>
      <c r="K4670" s="1227"/>
      <c r="L4670" s="262"/>
      <c r="M4670" s="262"/>
      <c r="N4670" s="262"/>
    </row>
    <row r="4671" spans="1:14" s="263" customFormat="1" hidden="1" outlineLevel="1">
      <c r="A4671" s="1225"/>
      <c r="B4671" s="447"/>
      <c r="C4671" s="439" t="s">
        <v>2</v>
      </c>
      <c r="D4671" s="448">
        <v>1</v>
      </c>
      <c r="E4671" s="466">
        <v>1</v>
      </c>
      <c r="F4671" s="1350">
        <v>24.135000000000002</v>
      </c>
      <c r="G4671" s="1350">
        <v>6.2</v>
      </c>
      <c r="H4671" s="1350">
        <v>0.15</v>
      </c>
      <c r="I4671" s="1163">
        <f t="shared" si="160"/>
        <v>22.45</v>
      </c>
      <c r="J4671" s="261"/>
      <c r="K4671" s="1227"/>
      <c r="L4671" s="262"/>
      <c r="M4671" s="262"/>
      <c r="N4671" s="262"/>
    </row>
    <row r="4672" spans="1:14" ht="51.75" hidden="1" outlineLevel="1" collapsed="1">
      <c r="A4672" s="1228"/>
      <c r="B4672" s="592" t="s">
        <v>682</v>
      </c>
      <c r="C4672" s="165"/>
      <c r="D4672" s="308"/>
      <c r="E4672" s="309"/>
      <c r="F4672" s="401" t="s">
        <v>624</v>
      </c>
      <c r="G4672" s="401"/>
      <c r="H4672" s="401"/>
      <c r="I4672" s="1163" t="str">
        <f t="shared" si="160"/>
        <v/>
      </c>
      <c r="J4672" s="162"/>
      <c r="K4672" s="1239"/>
    </row>
    <row r="4673" spans="1:11" hidden="1" outlineLevel="1">
      <c r="A4673" s="1228"/>
      <c r="B4673" s="307"/>
      <c r="C4673" s="165" t="s">
        <v>2</v>
      </c>
      <c r="D4673" s="308">
        <v>1</v>
      </c>
      <c r="E4673" s="309">
        <v>1</v>
      </c>
      <c r="F4673" s="401">
        <v>384.09610400000008</v>
      </c>
      <c r="G4673" s="401"/>
      <c r="H4673" s="401">
        <v>0.15</v>
      </c>
      <c r="I4673" s="1163">
        <f t="shared" si="160"/>
        <v>57.61</v>
      </c>
      <c r="J4673" s="162"/>
      <c r="K4673" s="1239"/>
    </row>
    <row r="4674" spans="1:11" hidden="1" outlineLevel="1">
      <c r="A4674" s="1228"/>
      <c r="B4674" s="588" t="s">
        <v>648</v>
      </c>
      <c r="C4674" s="165"/>
      <c r="D4674" s="308"/>
      <c r="E4674" s="309"/>
      <c r="F4674" s="401"/>
      <c r="G4674" s="401"/>
      <c r="H4674" s="401"/>
      <c r="I4674" s="1163" t="str">
        <f t="shared" si="160"/>
        <v/>
      </c>
      <c r="J4674" s="162"/>
      <c r="K4674" s="1239"/>
    </row>
    <row r="4675" spans="1:11" hidden="1" outlineLevel="1">
      <c r="A4675" s="1228"/>
      <c r="B4675" s="311" t="s">
        <v>626</v>
      </c>
      <c r="C4675" s="165" t="s">
        <v>2</v>
      </c>
      <c r="D4675" s="308">
        <v>1</v>
      </c>
      <c r="E4675" s="309">
        <v>1</v>
      </c>
      <c r="F4675" s="662">
        <v>514.70000000000005</v>
      </c>
      <c r="G4675" s="401"/>
      <c r="H4675" s="401">
        <v>0.125</v>
      </c>
      <c r="I4675" s="1163">
        <f t="shared" si="160"/>
        <v>64.34</v>
      </c>
      <c r="J4675" s="162"/>
      <c r="K4675" s="1239"/>
    </row>
    <row r="4676" spans="1:11" ht="34.5" hidden="1" outlineLevel="1">
      <c r="A4676" s="1228"/>
      <c r="B4676" s="311" t="s">
        <v>627</v>
      </c>
      <c r="C4676" s="165" t="s">
        <v>2</v>
      </c>
      <c r="D4676" s="308">
        <v>1</v>
      </c>
      <c r="E4676" s="309">
        <v>1</v>
      </c>
      <c r="F4676" s="662">
        <v>169.79</v>
      </c>
      <c r="G4676" s="401"/>
      <c r="H4676" s="401">
        <v>0.125</v>
      </c>
      <c r="I4676" s="1163">
        <f t="shared" si="160"/>
        <v>21.22</v>
      </c>
      <c r="J4676" s="162"/>
      <c r="K4676" s="1239"/>
    </row>
    <row r="4677" spans="1:11" hidden="1" outlineLevel="1">
      <c r="A4677" s="1228"/>
      <c r="B4677" s="311" t="s">
        <v>628</v>
      </c>
      <c r="C4677" s="165" t="s">
        <v>2</v>
      </c>
      <c r="D4677" s="308">
        <v>-1</v>
      </c>
      <c r="E4677" s="309">
        <v>1</v>
      </c>
      <c r="F4677" s="401">
        <v>6.5449999999999999</v>
      </c>
      <c r="G4677" s="401">
        <v>6</v>
      </c>
      <c r="H4677" s="401">
        <v>0.125</v>
      </c>
      <c r="I4677" s="1163">
        <f t="shared" si="160"/>
        <v>-4.91</v>
      </c>
      <c r="J4677" s="162"/>
      <c r="K4677" s="1239"/>
    </row>
    <row r="4678" spans="1:11" ht="34.5" hidden="1" outlineLevel="1">
      <c r="A4678" s="1228"/>
      <c r="B4678" s="311" t="s">
        <v>629</v>
      </c>
      <c r="C4678" s="165" t="s">
        <v>2</v>
      </c>
      <c r="D4678" s="308">
        <v>1</v>
      </c>
      <c r="E4678" s="309">
        <v>1</v>
      </c>
      <c r="F4678" s="662">
        <v>580.42999999999995</v>
      </c>
      <c r="G4678" s="401"/>
      <c r="H4678" s="401">
        <v>0.125</v>
      </c>
      <c r="I4678" s="1163">
        <f t="shared" si="160"/>
        <v>72.55</v>
      </c>
      <c r="J4678" s="162"/>
      <c r="K4678" s="1239"/>
    </row>
    <row r="4679" spans="1:11" hidden="1" outlineLevel="1">
      <c r="A4679" s="1228"/>
      <c r="B4679" s="311" t="s">
        <v>630</v>
      </c>
      <c r="C4679" s="165" t="s">
        <v>2</v>
      </c>
      <c r="D4679" s="308">
        <v>1</v>
      </c>
      <c r="E4679" s="309">
        <v>1</v>
      </c>
      <c r="F4679" s="401">
        <v>628.19000000000005</v>
      </c>
      <c r="G4679" s="401"/>
      <c r="H4679" s="401">
        <v>0.125</v>
      </c>
      <c r="I4679" s="1163">
        <f t="shared" si="160"/>
        <v>78.52</v>
      </c>
      <c r="J4679" s="162"/>
      <c r="K4679" s="1239"/>
    </row>
    <row r="4680" spans="1:11" ht="34.5" hidden="1" outlineLevel="1">
      <c r="A4680" s="1228"/>
      <c r="B4680" s="311" t="s">
        <v>631</v>
      </c>
      <c r="C4680" s="165" t="s">
        <v>2</v>
      </c>
      <c r="D4680" s="308">
        <v>1</v>
      </c>
      <c r="E4680" s="309">
        <v>1</v>
      </c>
      <c r="F4680" s="401">
        <v>303.47000000000003</v>
      </c>
      <c r="G4680" s="401"/>
      <c r="H4680" s="401">
        <v>0.125</v>
      </c>
      <c r="I4680" s="1163">
        <f t="shared" si="160"/>
        <v>37.93</v>
      </c>
      <c r="J4680" s="162"/>
      <c r="K4680" s="1239"/>
    </row>
    <row r="4681" spans="1:11" hidden="1" outlineLevel="1">
      <c r="A4681" s="1228"/>
      <c r="B4681" s="311" t="s">
        <v>632</v>
      </c>
      <c r="C4681" s="165" t="s">
        <v>2</v>
      </c>
      <c r="D4681" s="308">
        <v>1</v>
      </c>
      <c r="E4681" s="309">
        <v>1</v>
      </c>
      <c r="F4681" s="401">
        <v>165.9</v>
      </c>
      <c r="G4681" s="401"/>
      <c r="H4681" s="401">
        <v>0.125</v>
      </c>
      <c r="I4681" s="1163">
        <f t="shared" si="160"/>
        <v>20.74</v>
      </c>
      <c r="J4681" s="162"/>
      <c r="K4681" s="1239"/>
    </row>
    <row r="4682" spans="1:11" hidden="1" outlineLevel="1">
      <c r="A4682" s="1228"/>
      <c r="B4682" s="311"/>
      <c r="C4682" s="165"/>
      <c r="D4682" s="308"/>
      <c r="E4682" s="309"/>
      <c r="F4682" s="401" t="s">
        <v>48</v>
      </c>
      <c r="G4682" s="401" t="s">
        <v>33</v>
      </c>
      <c r="H4682" s="401" t="s">
        <v>633</v>
      </c>
      <c r="I4682" s="1163" t="str">
        <f t="shared" si="160"/>
        <v/>
      </c>
      <c r="J4682" s="162"/>
      <c r="K4682" s="1239"/>
    </row>
    <row r="4683" spans="1:11" hidden="1" outlineLevel="1">
      <c r="A4683" s="1228"/>
      <c r="B4683" s="311" t="s">
        <v>683</v>
      </c>
      <c r="C4683" s="165" t="s">
        <v>2</v>
      </c>
      <c r="D4683" s="308">
        <v>1</v>
      </c>
      <c r="E4683" s="309">
        <v>1</v>
      </c>
      <c r="F4683" s="401">
        <v>36.715000000000003</v>
      </c>
      <c r="G4683" s="401">
        <v>8.48</v>
      </c>
      <c r="H4683" s="401">
        <v>0.15</v>
      </c>
      <c r="I4683" s="1163">
        <f t="shared" si="160"/>
        <v>46.7</v>
      </c>
      <c r="J4683" s="162"/>
      <c r="K4683" s="1239"/>
    </row>
    <row r="4684" spans="1:11" hidden="1" outlineLevel="1">
      <c r="A4684" s="1228"/>
      <c r="B4684" s="311" t="s">
        <v>684</v>
      </c>
      <c r="C4684" s="165" t="s">
        <v>2</v>
      </c>
      <c r="D4684" s="308">
        <v>-1</v>
      </c>
      <c r="E4684" s="309">
        <v>17</v>
      </c>
      <c r="F4684" s="401">
        <v>1.2</v>
      </c>
      <c r="G4684" s="401">
        <v>0.375</v>
      </c>
      <c r="H4684" s="401">
        <v>0.15</v>
      </c>
      <c r="I4684" s="1163">
        <f t="shared" si="160"/>
        <v>-1.1499999999999999</v>
      </c>
      <c r="J4684" s="162"/>
      <c r="K4684" s="1239"/>
    </row>
    <row r="4685" spans="1:11" hidden="1" outlineLevel="1">
      <c r="A4685" s="1228"/>
      <c r="B4685" s="311" t="s">
        <v>685</v>
      </c>
      <c r="C4685" s="165" t="s">
        <v>2</v>
      </c>
      <c r="D4685" s="308">
        <v>1</v>
      </c>
      <c r="E4685" s="309">
        <v>1</v>
      </c>
      <c r="F4685" s="401">
        <v>18.100000000000001</v>
      </c>
      <c r="G4685" s="662">
        <v>33.615000000000002</v>
      </c>
      <c r="H4685" s="401">
        <v>0.15</v>
      </c>
      <c r="I4685" s="1163">
        <f t="shared" si="160"/>
        <v>91.26</v>
      </c>
      <c r="J4685" s="162"/>
      <c r="K4685" s="1239"/>
    </row>
    <row r="4686" spans="1:11" hidden="1" outlineLevel="1">
      <c r="A4686" s="1228"/>
      <c r="B4686" s="311"/>
      <c r="C4686" s="165"/>
      <c r="D4686" s="308"/>
      <c r="E4686" s="309"/>
      <c r="F4686" s="401" t="s">
        <v>624</v>
      </c>
      <c r="G4686" s="401"/>
      <c r="H4686" s="401"/>
      <c r="I4686" s="1163" t="str">
        <f t="shared" si="160"/>
        <v/>
      </c>
      <c r="J4686" s="162"/>
      <c r="K4686" s="1239"/>
    </row>
    <row r="4687" spans="1:11" ht="34.5" hidden="1" outlineLevel="1">
      <c r="A4687" s="1228"/>
      <c r="B4687" s="311" t="s">
        <v>636</v>
      </c>
      <c r="C4687" s="165" t="s">
        <v>2</v>
      </c>
      <c r="D4687" s="308">
        <v>1</v>
      </c>
      <c r="E4687" s="309">
        <v>1</v>
      </c>
      <c r="F4687" s="662">
        <v>40.53</v>
      </c>
      <c r="G4687" s="401"/>
      <c r="H4687" s="401">
        <v>0.15</v>
      </c>
      <c r="I4687" s="1163">
        <f t="shared" si="160"/>
        <v>6.08</v>
      </c>
      <c r="J4687" s="162"/>
      <c r="K4687" s="1239"/>
    </row>
    <row r="4688" spans="1:11" hidden="1" outlineLevel="1">
      <c r="A4688" s="1228"/>
      <c r="B4688" s="311" t="s">
        <v>637</v>
      </c>
      <c r="C4688" s="165" t="s">
        <v>2</v>
      </c>
      <c r="D4688" s="308">
        <v>-1</v>
      </c>
      <c r="E4688" s="309">
        <v>5</v>
      </c>
      <c r="F4688" s="401">
        <v>4.6399999999999997</v>
      </c>
      <c r="G4688" s="401"/>
      <c r="H4688" s="401">
        <v>0.15</v>
      </c>
      <c r="I4688" s="1163">
        <f t="shared" si="160"/>
        <v>-3.48</v>
      </c>
      <c r="J4688" s="162"/>
      <c r="K4688" s="1239"/>
    </row>
    <row r="4689" spans="1:11" hidden="1" outlineLevel="1">
      <c r="A4689" s="1228"/>
      <c r="B4689" s="311" t="s">
        <v>638</v>
      </c>
      <c r="C4689" s="165" t="s">
        <v>2</v>
      </c>
      <c r="D4689" s="308">
        <v>-1</v>
      </c>
      <c r="E4689" s="309">
        <v>6</v>
      </c>
      <c r="F4689" s="401">
        <v>4.49</v>
      </c>
      <c r="G4689" s="401"/>
      <c r="H4689" s="401">
        <v>0.15</v>
      </c>
      <c r="I4689" s="1163">
        <f t="shared" si="160"/>
        <v>-4.04</v>
      </c>
      <c r="J4689" s="162"/>
      <c r="K4689" s="1239"/>
    </row>
    <row r="4690" spans="1:11" hidden="1" outlineLevel="1">
      <c r="A4690" s="1228"/>
      <c r="B4690" s="311"/>
      <c r="C4690" s="165" t="s">
        <v>2</v>
      </c>
      <c r="D4690" s="308">
        <v>-1</v>
      </c>
      <c r="E4690" s="309">
        <v>3</v>
      </c>
      <c r="F4690" s="401">
        <v>4.5</v>
      </c>
      <c r="G4690" s="401"/>
      <c r="H4690" s="401">
        <v>0.15</v>
      </c>
      <c r="I4690" s="1163">
        <f t="shared" si="160"/>
        <v>-2.0299999999999998</v>
      </c>
      <c r="J4690" s="162"/>
      <c r="K4690" s="1239"/>
    </row>
    <row r="4691" spans="1:11" hidden="1" outlineLevel="1">
      <c r="A4691" s="1228"/>
      <c r="B4691" s="311" t="s">
        <v>639</v>
      </c>
      <c r="C4691" s="165" t="s">
        <v>2</v>
      </c>
      <c r="D4691" s="308">
        <v>-1</v>
      </c>
      <c r="E4691" s="309">
        <v>6</v>
      </c>
      <c r="F4691" s="401">
        <v>1.349</v>
      </c>
      <c r="G4691" s="401"/>
      <c r="H4691" s="401">
        <v>0.15</v>
      </c>
      <c r="I4691" s="1163">
        <f t="shared" si="160"/>
        <v>-1.21</v>
      </c>
      <c r="J4691" s="162"/>
      <c r="K4691" s="1239"/>
    </row>
    <row r="4692" spans="1:11" hidden="1" outlineLevel="1">
      <c r="A4692" s="1228"/>
      <c r="B4692" s="311" t="s">
        <v>640</v>
      </c>
      <c r="C4692" s="165" t="s">
        <v>2</v>
      </c>
      <c r="D4692" s="308">
        <v>-1</v>
      </c>
      <c r="E4692" s="309">
        <v>2</v>
      </c>
      <c r="F4692" s="401">
        <v>1.47</v>
      </c>
      <c r="G4692" s="401">
        <v>5.5549999999999997</v>
      </c>
      <c r="H4692" s="401">
        <v>0.15</v>
      </c>
      <c r="I4692" s="1163">
        <f t="shared" si="160"/>
        <v>-2.4500000000000002</v>
      </c>
      <c r="J4692" s="162"/>
      <c r="K4692" s="1239"/>
    </row>
    <row r="4693" spans="1:11" hidden="1" outlineLevel="1">
      <c r="A4693" s="1228"/>
      <c r="B4693" s="311" t="s">
        <v>802</v>
      </c>
      <c r="C4693" s="165"/>
      <c r="D4693" s="633">
        <v>-4</v>
      </c>
      <c r="E4693" s="309">
        <v>1</v>
      </c>
      <c r="F4693" s="662">
        <v>0.8</v>
      </c>
      <c r="G4693" s="662">
        <v>5.8</v>
      </c>
      <c r="H4693" s="662">
        <v>0.15</v>
      </c>
      <c r="I4693" s="1163">
        <f t="shared" si="160"/>
        <v>-2.78</v>
      </c>
      <c r="J4693" s="162"/>
      <c r="K4693" s="1239"/>
    </row>
    <row r="4694" spans="1:11" hidden="1" outlineLevel="1">
      <c r="A4694" s="1228"/>
      <c r="B4694" s="311"/>
      <c r="C4694" s="165"/>
      <c r="D4694" s="633">
        <v>-1</v>
      </c>
      <c r="E4694" s="309">
        <v>1</v>
      </c>
      <c r="F4694" s="662">
        <v>5.92</v>
      </c>
      <c r="G4694" s="662"/>
      <c r="H4694" s="662">
        <v>0.15</v>
      </c>
      <c r="I4694" s="1163">
        <f t="shared" si="160"/>
        <v>-0.89</v>
      </c>
      <c r="J4694" s="162"/>
      <c r="K4694" s="1239"/>
    </row>
    <row r="4695" spans="1:11" hidden="1" outlineLevel="1">
      <c r="A4695" s="1228"/>
      <c r="B4695" s="311" t="s">
        <v>686</v>
      </c>
      <c r="C4695" s="165" t="s">
        <v>2</v>
      </c>
      <c r="D4695" s="308">
        <v>1</v>
      </c>
      <c r="E4695" s="309">
        <v>1</v>
      </c>
      <c r="F4695" s="401">
        <v>364.85</v>
      </c>
      <c r="G4695" s="401"/>
      <c r="H4695" s="401">
        <v>0.15</v>
      </c>
      <c r="I4695" s="1163">
        <f t="shared" si="160"/>
        <v>54.73</v>
      </c>
      <c r="J4695" s="162"/>
      <c r="K4695" s="1239"/>
    </row>
    <row r="4696" spans="1:11" hidden="1" outlineLevel="1">
      <c r="A4696" s="1228"/>
      <c r="B4696" s="311" t="s">
        <v>642</v>
      </c>
      <c r="C4696" s="165" t="s">
        <v>2</v>
      </c>
      <c r="D4696" s="308">
        <v>-1</v>
      </c>
      <c r="E4696" s="309">
        <v>1</v>
      </c>
      <c r="F4696" s="401">
        <v>34.049999999999997</v>
      </c>
      <c r="G4696" s="401"/>
      <c r="H4696" s="401">
        <v>0.15</v>
      </c>
      <c r="I4696" s="1163">
        <f t="shared" si="160"/>
        <v>-5.1100000000000003</v>
      </c>
      <c r="J4696" s="162"/>
      <c r="K4696" s="1239"/>
    </row>
    <row r="4697" spans="1:11" hidden="1" outlineLevel="1">
      <c r="A4697" s="1228"/>
      <c r="B4697" s="311"/>
      <c r="C4697" s="165" t="s">
        <v>2</v>
      </c>
      <c r="D4697" s="308">
        <v>-1</v>
      </c>
      <c r="E4697" s="309">
        <v>1</v>
      </c>
      <c r="F4697" s="401">
        <v>70.8</v>
      </c>
      <c r="G4697" s="401"/>
      <c r="H4697" s="401">
        <v>0.15</v>
      </c>
      <c r="I4697" s="1163">
        <f t="shared" si="160"/>
        <v>-10.62</v>
      </c>
      <c r="J4697" s="162"/>
      <c r="K4697" s="1239"/>
    </row>
    <row r="4698" spans="1:11" hidden="1" outlineLevel="1">
      <c r="A4698" s="1228"/>
      <c r="B4698" s="311"/>
      <c r="C4698" s="165"/>
      <c r="D4698" s="308"/>
      <c r="E4698" s="309"/>
      <c r="F4698" s="401" t="s">
        <v>624</v>
      </c>
      <c r="G4698" s="401"/>
      <c r="H4698" s="401"/>
      <c r="I4698" s="1163" t="str">
        <f t="shared" si="160"/>
        <v/>
      </c>
      <c r="J4698" s="162"/>
      <c r="K4698" s="1239"/>
    </row>
    <row r="4699" spans="1:11" hidden="1" outlineLevel="1">
      <c r="A4699" s="1228"/>
      <c r="B4699" s="311" t="s">
        <v>687</v>
      </c>
      <c r="C4699" s="165" t="s">
        <v>2</v>
      </c>
      <c r="D4699" s="308">
        <v>1</v>
      </c>
      <c r="E4699" s="309">
        <v>1</v>
      </c>
      <c r="F4699" s="662">
        <v>478.10300000000001</v>
      </c>
      <c r="G4699" s="401"/>
      <c r="H4699" s="401">
        <v>0.15</v>
      </c>
      <c r="I4699" s="1163">
        <f t="shared" si="160"/>
        <v>71.72</v>
      </c>
      <c r="J4699" s="162"/>
      <c r="K4699" s="1239"/>
    </row>
    <row r="4700" spans="1:11" hidden="1" outlineLevel="1">
      <c r="A4700" s="1228"/>
      <c r="B4700" s="311" t="s">
        <v>644</v>
      </c>
      <c r="C4700" s="165" t="s">
        <v>2</v>
      </c>
      <c r="D4700" s="308">
        <v>-1</v>
      </c>
      <c r="E4700" s="309">
        <v>6</v>
      </c>
      <c r="F4700" s="401">
        <v>1.35</v>
      </c>
      <c r="G4700" s="401"/>
      <c r="H4700" s="401">
        <v>0.15</v>
      </c>
      <c r="I4700" s="1163">
        <f t="shared" si="160"/>
        <v>-1.22</v>
      </c>
      <c r="J4700" s="162"/>
      <c r="K4700" s="1239"/>
    </row>
    <row r="4701" spans="1:11" hidden="1" outlineLevel="1">
      <c r="A4701" s="1228"/>
      <c r="B4701" s="311"/>
      <c r="C4701" s="165"/>
      <c r="D4701" s="308"/>
      <c r="E4701" s="309"/>
      <c r="F4701" s="401" t="s">
        <v>48</v>
      </c>
      <c r="G4701" s="401" t="s">
        <v>33</v>
      </c>
      <c r="H4701" s="401" t="s">
        <v>633</v>
      </c>
      <c r="I4701" s="1163" t="str">
        <f t="shared" si="160"/>
        <v/>
      </c>
      <c r="J4701" s="162"/>
      <c r="K4701" s="1239"/>
    </row>
    <row r="4702" spans="1:11" hidden="1" outlineLevel="1">
      <c r="A4702" s="1228"/>
      <c r="B4702" s="311" t="s">
        <v>645</v>
      </c>
      <c r="C4702" s="165" t="s">
        <v>2</v>
      </c>
      <c r="D4702" s="308">
        <v>-1</v>
      </c>
      <c r="E4702" s="309">
        <v>1</v>
      </c>
      <c r="F4702" s="401">
        <v>2.625</v>
      </c>
      <c r="G4702" s="401">
        <v>1.2</v>
      </c>
      <c r="H4702" s="401">
        <v>0.15</v>
      </c>
      <c r="I4702" s="1163">
        <f t="shared" si="160"/>
        <v>-0.47</v>
      </c>
      <c r="J4702" s="162"/>
      <c r="K4702" s="1239"/>
    </row>
    <row r="4703" spans="1:11" hidden="1" outlineLevel="1">
      <c r="A4703" s="1228"/>
      <c r="B4703" s="311"/>
      <c r="C4703" s="165" t="s">
        <v>2</v>
      </c>
      <c r="D4703" s="308">
        <v>-1</v>
      </c>
      <c r="E4703" s="309">
        <v>1</v>
      </c>
      <c r="F4703" s="401">
        <v>5.85</v>
      </c>
      <c r="G4703" s="401">
        <v>1.2</v>
      </c>
      <c r="H4703" s="401">
        <v>0.15</v>
      </c>
      <c r="I4703" s="1163">
        <f t="shared" si="160"/>
        <v>-1.05</v>
      </c>
      <c r="J4703" s="162"/>
      <c r="K4703" s="1239"/>
    </row>
    <row r="4704" spans="1:11" hidden="1" outlineLevel="1">
      <c r="A4704" s="1228"/>
      <c r="B4704" s="311"/>
      <c r="C4704" s="165" t="s">
        <v>2</v>
      </c>
      <c r="D4704" s="308">
        <v>-1</v>
      </c>
      <c r="E4704" s="309">
        <v>1</v>
      </c>
      <c r="F4704" s="401">
        <v>5.0250000000000004</v>
      </c>
      <c r="G4704" s="401">
        <v>1.2</v>
      </c>
      <c r="H4704" s="401">
        <v>0.15</v>
      </c>
      <c r="I4704" s="1163">
        <f t="shared" si="160"/>
        <v>-0.9</v>
      </c>
      <c r="J4704" s="162"/>
      <c r="K4704" s="1239"/>
    </row>
    <row r="4705" spans="1:16" hidden="1" outlineLevel="1">
      <c r="A4705" s="1228"/>
      <c r="B4705" s="311"/>
      <c r="C4705" s="165" t="s">
        <v>2</v>
      </c>
      <c r="D4705" s="308">
        <v>-1</v>
      </c>
      <c r="E4705" s="309">
        <v>1</v>
      </c>
      <c r="F4705" s="401">
        <v>2.4</v>
      </c>
      <c r="G4705" s="401">
        <v>1.2</v>
      </c>
      <c r="H4705" s="401">
        <v>0.15</v>
      </c>
      <c r="I4705" s="1163">
        <f t="shared" si="160"/>
        <v>-0.43</v>
      </c>
      <c r="J4705" s="162"/>
      <c r="K4705" s="1239"/>
    </row>
    <row r="4706" spans="1:16" hidden="1" outlineLevel="1">
      <c r="A4706" s="1228"/>
      <c r="B4706" s="311" t="s">
        <v>802</v>
      </c>
      <c r="C4706" s="165"/>
      <c r="D4706" s="633">
        <v>-4</v>
      </c>
      <c r="E4706" s="309">
        <v>1</v>
      </c>
      <c r="F4706" s="662">
        <v>0.8</v>
      </c>
      <c r="G4706" s="662">
        <v>5.8</v>
      </c>
      <c r="H4706" s="662">
        <v>0.15</v>
      </c>
      <c r="I4706" s="1163">
        <f t="shared" si="160"/>
        <v>-2.78</v>
      </c>
      <c r="J4706" s="162"/>
      <c r="K4706" s="1239"/>
    </row>
    <row r="4707" spans="1:16" hidden="1" outlineLevel="1">
      <c r="A4707" s="1228"/>
      <c r="B4707" s="311"/>
      <c r="C4707" s="165"/>
      <c r="D4707" s="633">
        <v>-1</v>
      </c>
      <c r="E4707" s="309">
        <v>1</v>
      </c>
      <c r="F4707" s="662">
        <v>5.92</v>
      </c>
      <c r="G4707" s="662"/>
      <c r="H4707" s="662">
        <v>0.15</v>
      </c>
      <c r="I4707" s="1163">
        <f t="shared" si="160"/>
        <v>-0.89</v>
      </c>
      <c r="J4707" s="162"/>
      <c r="K4707" s="1239"/>
    </row>
    <row r="4708" spans="1:16" ht="34.5" hidden="1" outlineLevel="1">
      <c r="A4708" s="1228"/>
      <c r="B4708" s="311" t="s">
        <v>688</v>
      </c>
      <c r="C4708" s="165" t="s">
        <v>2</v>
      </c>
      <c r="D4708" s="308">
        <v>-1</v>
      </c>
      <c r="E4708" s="309">
        <v>1</v>
      </c>
      <c r="F4708" s="401">
        <v>204.16</v>
      </c>
      <c r="G4708" s="401"/>
      <c r="H4708" s="401"/>
      <c r="I4708" s="1163">
        <f t="shared" ref="I4708:I4771" si="161">IF(D4708&lt;&gt;0,ROUND(PRODUCT(E4708:H4708)*D4708,2),"")</f>
        <v>-204.16</v>
      </c>
      <c r="J4708" s="162"/>
      <c r="K4708" s="1239"/>
    </row>
    <row r="4709" spans="1:16" s="165" customFormat="1" hidden="1" outlineLevel="1">
      <c r="A4709" s="1256"/>
      <c r="B4709" s="597">
        <v>0.2</v>
      </c>
      <c r="C4709" s="329" t="s">
        <v>2</v>
      </c>
      <c r="D4709" s="330">
        <v>-1</v>
      </c>
      <c r="E4709" s="629"/>
      <c r="F4709" s="1361">
        <v>145.03000000000003</v>
      </c>
      <c r="G4709" s="1361"/>
      <c r="H4709" s="1361"/>
      <c r="I4709" s="1163">
        <f t="shared" si="161"/>
        <v>-145.03</v>
      </c>
      <c r="J4709" s="332"/>
      <c r="K4709" s="1224"/>
      <c r="L4709" s="164"/>
      <c r="M4709" s="164"/>
      <c r="N4709" s="164"/>
    </row>
    <row r="4710" spans="1:16" s="398" customFormat="1" hidden="1" outlineLevel="1">
      <c r="A4710" s="1248"/>
      <c r="B4710" s="592" t="s">
        <v>977</v>
      </c>
      <c r="C4710" s="388"/>
      <c r="D4710" s="437"/>
      <c r="E4710" s="437"/>
      <c r="F4710" s="1206"/>
      <c r="G4710" s="1206"/>
      <c r="H4710" s="1206"/>
      <c r="I4710" s="1163" t="str">
        <f t="shared" si="161"/>
        <v/>
      </c>
      <c r="J4710" s="394"/>
      <c r="K4710" s="1233"/>
      <c r="L4710" s="431"/>
      <c r="M4710" s="431"/>
      <c r="N4710" s="431"/>
    </row>
    <row r="4711" spans="1:16" s="398" customFormat="1" hidden="1" outlineLevel="1">
      <c r="A4711" s="1248"/>
      <c r="B4711" s="592"/>
      <c r="C4711" s="388"/>
      <c r="D4711" s="631"/>
      <c r="E4711" s="632"/>
      <c r="F4711" s="486"/>
      <c r="G4711" s="486"/>
      <c r="H4711" s="486"/>
      <c r="I4711" s="1163" t="str">
        <f t="shared" si="161"/>
        <v/>
      </c>
      <c r="J4711" s="403"/>
      <c r="K4711" s="1234"/>
      <c r="L4711" s="431"/>
      <c r="M4711" s="431"/>
      <c r="N4711" s="431"/>
      <c r="O4711" s="431"/>
      <c r="P4711" s="431"/>
    </row>
    <row r="4712" spans="1:16" s="398" customFormat="1" hidden="1" outlineLevel="1">
      <c r="A4712" s="1248"/>
      <c r="B4712" s="592"/>
      <c r="C4712" s="388"/>
      <c r="D4712" s="485"/>
      <c r="E4712" s="408"/>
      <c r="F4712" s="486"/>
      <c r="G4712" s="486"/>
      <c r="H4712" s="486"/>
      <c r="I4712" s="1163" t="str">
        <f t="shared" si="161"/>
        <v/>
      </c>
      <c r="J4712" s="404"/>
      <c r="K4712" s="1234"/>
      <c r="L4712" s="431"/>
      <c r="M4712" s="431"/>
      <c r="N4712" s="431"/>
    </row>
    <row r="4713" spans="1:16" s="398" customFormat="1" ht="51.75" hidden="1" outlineLevel="1">
      <c r="A4713" s="1248"/>
      <c r="B4713" s="592" t="s">
        <v>978</v>
      </c>
      <c r="C4713" s="165" t="s">
        <v>2</v>
      </c>
      <c r="D4713" s="485"/>
      <c r="E4713" s="408"/>
      <c r="F4713" s="1511"/>
      <c r="G4713" s="1511"/>
      <c r="H4713" s="1511"/>
      <c r="I4713" s="1163" t="str">
        <f t="shared" si="161"/>
        <v/>
      </c>
      <c r="J4713" s="404"/>
      <c r="K4713" s="1234"/>
      <c r="L4713" s="431"/>
      <c r="M4713" s="431"/>
      <c r="N4713" s="431"/>
    </row>
    <row r="4714" spans="1:16" s="398" customFormat="1" hidden="1" outlineLevel="1">
      <c r="A4714" s="1248"/>
      <c r="B4714" s="425"/>
      <c r="C4714" s="498" t="s">
        <v>2</v>
      </c>
      <c r="D4714" s="500">
        <v>1</v>
      </c>
      <c r="E4714" s="489">
        <v>1</v>
      </c>
      <c r="F4714" s="486">
        <v>6</v>
      </c>
      <c r="G4714" s="486">
        <f>2-0.46</f>
        <v>1.54</v>
      </c>
      <c r="H4714" s="486">
        <v>0.15</v>
      </c>
      <c r="I4714" s="1163">
        <f t="shared" si="161"/>
        <v>1.39</v>
      </c>
      <c r="J4714" s="404"/>
      <c r="K4714" s="1234"/>
      <c r="L4714" s="431"/>
      <c r="M4714" s="431"/>
      <c r="N4714" s="431"/>
    </row>
    <row r="4715" spans="1:16" s="398" customFormat="1" hidden="1" outlineLevel="1">
      <c r="A4715" s="1248"/>
      <c r="B4715" s="425"/>
      <c r="C4715" s="498" t="s">
        <v>2</v>
      </c>
      <c r="D4715" s="485">
        <v>1</v>
      </c>
      <c r="E4715" s="487">
        <v>1</v>
      </c>
      <c r="F4715" s="662">
        <v>2.9249999999999998</v>
      </c>
      <c r="G4715" s="662">
        <v>2.54</v>
      </c>
      <c r="H4715" s="486">
        <v>0.15</v>
      </c>
      <c r="I4715" s="1163">
        <f t="shared" si="161"/>
        <v>1.1100000000000001</v>
      </c>
      <c r="J4715" s="404"/>
      <c r="K4715" s="1234"/>
      <c r="L4715" s="431"/>
      <c r="M4715" s="431"/>
      <c r="N4715" s="431"/>
    </row>
    <row r="4716" spans="1:16" s="398" customFormat="1" hidden="1" outlineLevel="1">
      <c r="A4716" s="1248"/>
      <c r="B4716" s="425"/>
      <c r="C4716" s="498" t="s">
        <v>2</v>
      </c>
      <c r="D4716" s="485"/>
      <c r="E4716" s="408"/>
      <c r="F4716" s="486"/>
      <c r="G4716" s="486"/>
      <c r="H4716" s="486"/>
      <c r="I4716" s="1163" t="str">
        <f t="shared" si="161"/>
        <v/>
      </c>
      <c r="J4716" s="404"/>
      <c r="K4716" s="1234"/>
      <c r="L4716" s="431"/>
      <c r="M4716" s="431"/>
      <c r="N4716" s="431"/>
    </row>
    <row r="4717" spans="1:16" s="398" customFormat="1" hidden="1" outlineLevel="1">
      <c r="A4717" s="1248"/>
      <c r="B4717" s="425" t="s">
        <v>979</v>
      </c>
      <c r="C4717" s="498" t="s">
        <v>2</v>
      </c>
      <c r="D4717" s="485"/>
      <c r="E4717" s="408"/>
      <c r="F4717" s="486"/>
      <c r="G4717" s="486"/>
      <c r="H4717" s="486"/>
      <c r="I4717" s="1163" t="str">
        <f t="shared" si="161"/>
        <v/>
      </c>
      <c r="J4717" s="404"/>
      <c r="K4717" s="1234"/>
      <c r="L4717" s="431"/>
      <c r="M4717" s="431"/>
      <c r="N4717" s="431"/>
    </row>
    <row r="4718" spans="1:16" s="398" customFormat="1" hidden="1" outlineLevel="1">
      <c r="A4718" s="1248"/>
      <c r="B4718" s="425" t="s">
        <v>822</v>
      </c>
      <c r="C4718" s="498" t="s">
        <v>2</v>
      </c>
      <c r="D4718" s="485">
        <v>1</v>
      </c>
      <c r="E4718" s="408">
        <v>1</v>
      </c>
      <c r="F4718" s="486">
        <v>5.42</v>
      </c>
      <c r="G4718" s="486">
        <f>1.42*3</f>
        <v>4.26</v>
      </c>
      <c r="H4718" s="486">
        <v>0.15</v>
      </c>
      <c r="I4718" s="1163">
        <f t="shared" si="161"/>
        <v>3.46</v>
      </c>
      <c r="J4718" s="404"/>
      <c r="K4718" s="1234"/>
      <c r="L4718" s="431"/>
      <c r="M4718" s="431"/>
      <c r="N4718" s="431"/>
    </row>
    <row r="4719" spans="1:16" s="398" customFormat="1" hidden="1" outlineLevel="1">
      <c r="A4719" s="1248"/>
      <c r="B4719" s="425"/>
      <c r="C4719" s="498" t="s">
        <v>2</v>
      </c>
      <c r="D4719" s="485"/>
      <c r="E4719" s="408"/>
      <c r="F4719" s="486" t="s">
        <v>624</v>
      </c>
      <c r="G4719" s="486"/>
      <c r="H4719" s="486"/>
      <c r="I4719" s="1163" t="str">
        <f t="shared" si="161"/>
        <v/>
      </c>
      <c r="J4719" s="404"/>
      <c r="K4719" s="1234"/>
      <c r="L4719" s="431"/>
      <c r="M4719" s="431"/>
      <c r="N4719" s="431"/>
    </row>
    <row r="4720" spans="1:16" s="398" customFormat="1" hidden="1" outlineLevel="1">
      <c r="A4720" s="1248"/>
      <c r="B4720" s="425" t="s">
        <v>980</v>
      </c>
      <c r="C4720" s="498" t="s">
        <v>2</v>
      </c>
      <c r="D4720" s="485">
        <v>1</v>
      </c>
      <c r="E4720" s="408">
        <v>1</v>
      </c>
      <c r="F4720" s="486">
        <v>16</v>
      </c>
      <c r="G4720" s="486"/>
      <c r="H4720" s="486">
        <v>0.15</v>
      </c>
      <c r="I4720" s="1163">
        <f t="shared" si="161"/>
        <v>2.4</v>
      </c>
      <c r="J4720" s="404"/>
      <c r="K4720" s="1234" t="s">
        <v>624</v>
      </c>
      <c r="L4720" s="431"/>
      <c r="M4720" s="431"/>
      <c r="N4720" s="431"/>
    </row>
    <row r="4721" spans="1:14" s="398" customFormat="1" hidden="1" outlineLevel="1">
      <c r="A4721" s="1248"/>
      <c r="B4721" s="425"/>
      <c r="C4721" s="498" t="s">
        <v>2</v>
      </c>
      <c r="D4721" s="485"/>
      <c r="E4721" s="408"/>
      <c r="F4721" s="486"/>
      <c r="G4721" s="486"/>
      <c r="H4721" s="486"/>
      <c r="I4721" s="1163" t="str">
        <f t="shared" si="161"/>
        <v/>
      </c>
      <c r="J4721" s="404"/>
      <c r="K4721" s="1234"/>
      <c r="L4721" s="431"/>
      <c r="M4721" s="431"/>
      <c r="N4721" s="431"/>
    </row>
    <row r="4722" spans="1:14" s="398" customFormat="1" ht="34.5" hidden="1" outlineLevel="1">
      <c r="A4722" s="1248"/>
      <c r="B4722" s="592" t="s">
        <v>981</v>
      </c>
      <c r="C4722" s="165" t="s">
        <v>2</v>
      </c>
      <c r="D4722" s="485"/>
      <c r="E4722" s="408"/>
      <c r="F4722" s="486"/>
      <c r="G4722" s="486"/>
      <c r="H4722" s="486"/>
      <c r="I4722" s="1163" t="str">
        <f t="shared" si="161"/>
        <v/>
      </c>
      <c r="J4722" s="404"/>
      <c r="K4722" s="1234"/>
      <c r="L4722" s="431"/>
      <c r="M4722" s="431"/>
      <c r="N4722" s="431"/>
    </row>
    <row r="4723" spans="1:14" s="398" customFormat="1" hidden="1" outlineLevel="1">
      <c r="A4723" s="1248"/>
      <c r="B4723" s="425"/>
      <c r="C4723" s="498" t="s">
        <v>2</v>
      </c>
      <c r="D4723" s="500">
        <v>1</v>
      </c>
      <c r="E4723" s="489">
        <v>1</v>
      </c>
      <c r="F4723" s="486">
        <v>6</v>
      </c>
      <c r="G4723" s="486">
        <f>2-0.46</f>
        <v>1.54</v>
      </c>
      <c r="H4723" s="486">
        <v>0.15</v>
      </c>
      <c r="I4723" s="1163">
        <f t="shared" si="161"/>
        <v>1.39</v>
      </c>
      <c r="J4723" s="404"/>
      <c r="K4723" s="1234"/>
      <c r="L4723" s="431"/>
      <c r="M4723" s="431"/>
      <c r="N4723" s="431"/>
    </row>
    <row r="4724" spans="1:14" s="398" customFormat="1" hidden="1" outlineLevel="1">
      <c r="A4724" s="1248"/>
      <c r="B4724" s="425"/>
      <c r="C4724" s="498" t="s">
        <v>2</v>
      </c>
      <c r="D4724" s="485">
        <v>1</v>
      </c>
      <c r="E4724" s="487">
        <v>1</v>
      </c>
      <c r="F4724" s="662">
        <v>2.9249999999999998</v>
      </c>
      <c r="G4724" s="662">
        <v>2.54</v>
      </c>
      <c r="H4724" s="486">
        <v>0.15</v>
      </c>
      <c r="I4724" s="1163">
        <f t="shared" si="161"/>
        <v>1.1100000000000001</v>
      </c>
      <c r="J4724" s="404"/>
      <c r="K4724" s="1234"/>
      <c r="L4724" s="431"/>
      <c r="M4724" s="431"/>
      <c r="N4724" s="431"/>
    </row>
    <row r="4725" spans="1:14" s="398" customFormat="1" hidden="1" outlineLevel="1">
      <c r="A4725" s="1248"/>
      <c r="B4725" s="425"/>
      <c r="C4725" s="498" t="s">
        <v>2</v>
      </c>
      <c r="D4725" s="485"/>
      <c r="E4725" s="408"/>
      <c r="F4725" s="486"/>
      <c r="G4725" s="486"/>
      <c r="H4725" s="486"/>
      <c r="I4725" s="1163" t="str">
        <f t="shared" si="161"/>
        <v/>
      </c>
      <c r="J4725" s="404"/>
      <c r="K4725" s="1234"/>
      <c r="L4725" s="431"/>
      <c r="M4725" s="431"/>
      <c r="N4725" s="431"/>
    </row>
    <row r="4726" spans="1:14" s="398" customFormat="1" hidden="1" outlineLevel="1">
      <c r="A4726" s="1248"/>
      <c r="B4726" s="425" t="s">
        <v>982</v>
      </c>
      <c r="C4726" s="498" t="s">
        <v>2</v>
      </c>
      <c r="D4726" s="485"/>
      <c r="E4726" s="408"/>
      <c r="F4726" s="486"/>
      <c r="G4726" s="486"/>
      <c r="H4726" s="486"/>
      <c r="I4726" s="1163" t="str">
        <f t="shared" si="161"/>
        <v/>
      </c>
      <c r="J4726" s="404"/>
      <c r="K4726" s="1234"/>
      <c r="L4726" s="431"/>
      <c r="M4726" s="431"/>
      <c r="N4726" s="431"/>
    </row>
    <row r="4727" spans="1:14" s="398" customFormat="1" hidden="1" outlineLevel="1">
      <c r="A4727" s="1248"/>
      <c r="B4727" s="425" t="s">
        <v>822</v>
      </c>
      <c r="C4727" s="498" t="s">
        <v>2</v>
      </c>
      <c r="D4727" s="485">
        <v>1</v>
      </c>
      <c r="E4727" s="408">
        <v>1</v>
      </c>
      <c r="F4727" s="486">
        <v>5.42</v>
      </c>
      <c r="G4727" s="486">
        <f>1.42*3</f>
        <v>4.26</v>
      </c>
      <c r="H4727" s="486">
        <v>0.15</v>
      </c>
      <c r="I4727" s="1163">
        <f t="shared" si="161"/>
        <v>3.46</v>
      </c>
      <c r="J4727" s="404"/>
      <c r="K4727" s="1234"/>
      <c r="L4727" s="431"/>
      <c r="M4727" s="431"/>
      <c r="N4727" s="431"/>
    </row>
    <row r="4728" spans="1:14" s="398" customFormat="1" hidden="1" outlineLevel="1">
      <c r="A4728" s="1248"/>
      <c r="B4728" s="425"/>
      <c r="C4728" s="498" t="s">
        <v>2</v>
      </c>
      <c r="D4728" s="485"/>
      <c r="E4728" s="408"/>
      <c r="F4728" s="486" t="s">
        <v>624</v>
      </c>
      <c r="G4728" s="486"/>
      <c r="H4728" s="486"/>
      <c r="I4728" s="1163" t="str">
        <f t="shared" si="161"/>
        <v/>
      </c>
      <c r="J4728" s="404"/>
      <c r="K4728" s="1234"/>
      <c r="L4728" s="431"/>
      <c r="M4728" s="431"/>
      <c r="N4728" s="431"/>
    </row>
    <row r="4729" spans="1:14" s="398" customFormat="1" hidden="1" outlineLevel="1">
      <c r="A4729" s="1248"/>
      <c r="B4729" s="425" t="s">
        <v>980</v>
      </c>
      <c r="C4729" s="498" t="s">
        <v>2</v>
      </c>
      <c r="D4729" s="485">
        <v>1</v>
      </c>
      <c r="E4729" s="408">
        <v>1</v>
      </c>
      <c r="F4729" s="486">
        <v>16</v>
      </c>
      <c r="G4729" s="486"/>
      <c r="H4729" s="486">
        <v>0.15</v>
      </c>
      <c r="I4729" s="1163">
        <f t="shared" si="161"/>
        <v>2.4</v>
      </c>
      <c r="J4729" s="404"/>
      <c r="K4729" s="1234" t="s">
        <v>624</v>
      </c>
      <c r="L4729" s="431"/>
      <c r="M4729" s="431"/>
      <c r="N4729" s="431"/>
    </row>
    <row r="4730" spans="1:14" s="398" customFormat="1" hidden="1" outlineLevel="1">
      <c r="A4730" s="1248"/>
      <c r="B4730" s="425"/>
      <c r="C4730" s="498" t="s">
        <v>2</v>
      </c>
      <c r="D4730" s="485"/>
      <c r="E4730" s="408"/>
      <c r="F4730" s="486"/>
      <c r="G4730" s="486"/>
      <c r="H4730" s="486"/>
      <c r="I4730" s="1163" t="str">
        <f t="shared" si="161"/>
        <v/>
      </c>
      <c r="J4730" s="404"/>
      <c r="K4730" s="1234"/>
      <c r="L4730" s="431"/>
      <c r="M4730" s="431"/>
      <c r="N4730" s="431"/>
    </row>
    <row r="4731" spans="1:14" s="398" customFormat="1" ht="34.5" hidden="1" outlineLevel="1">
      <c r="A4731" s="1248"/>
      <c r="B4731" s="592" t="s">
        <v>983</v>
      </c>
      <c r="C4731" s="165" t="s">
        <v>2</v>
      </c>
      <c r="D4731" s="485"/>
      <c r="E4731" s="408"/>
      <c r="F4731" s="1511"/>
      <c r="G4731" s="1511"/>
      <c r="H4731" s="1511"/>
      <c r="I4731" s="1163" t="str">
        <f t="shared" si="161"/>
        <v/>
      </c>
      <c r="J4731" s="404"/>
      <c r="K4731" s="1234"/>
      <c r="L4731" s="431"/>
      <c r="M4731" s="431"/>
      <c r="N4731" s="431"/>
    </row>
    <row r="4732" spans="1:14" s="398" customFormat="1" hidden="1" outlineLevel="1">
      <c r="A4732" s="1248"/>
      <c r="B4732" s="425"/>
      <c r="C4732" s="498" t="s">
        <v>2</v>
      </c>
      <c r="D4732" s="500">
        <v>1</v>
      </c>
      <c r="E4732" s="489">
        <v>1</v>
      </c>
      <c r="F4732" s="486">
        <v>6</v>
      </c>
      <c r="G4732" s="486">
        <f>2-0.46</f>
        <v>1.54</v>
      </c>
      <c r="H4732" s="486">
        <v>0.15</v>
      </c>
      <c r="I4732" s="1163">
        <f t="shared" si="161"/>
        <v>1.39</v>
      </c>
      <c r="J4732" s="404"/>
      <c r="K4732" s="1234"/>
      <c r="L4732" s="431"/>
      <c r="M4732" s="431"/>
      <c r="N4732" s="431"/>
    </row>
    <row r="4733" spans="1:14" s="398" customFormat="1" hidden="1" outlineLevel="1">
      <c r="A4733" s="1248"/>
      <c r="B4733" s="425"/>
      <c r="C4733" s="498" t="s">
        <v>2</v>
      </c>
      <c r="D4733" s="485">
        <v>1</v>
      </c>
      <c r="E4733" s="487">
        <v>1</v>
      </c>
      <c r="F4733" s="662">
        <v>2.9249999999999998</v>
      </c>
      <c r="G4733" s="662">
        <v>2.54</v>
      </c>
      <c r="H4733" s="486">
        <v>0.15</v>
      </c>
      <c r="I4733" s="1163">
        <f t="shared" si="161"/>
        <v>1.1100000000000001</v>
      </c>
      <c r="J4733" s="404"/>
      <c r="K4733" s="1234"/>
      <c r="L4733" s="431"/>
      <c r="M4733" s="431"/>
      <c r="N4733" s="431"/>
    </row>
    <row r="4734" spans="1:14" s="398" customFormat="1" hidden="1" outlineLevel="1">
      <c r="A4734" s="1248"/>
      <c r="B4734" s="425"/>
      <c r="C4734" s="498" t="s">
        <v>2</v>
      </c>
      <c r="D4734" s="485"/>
      <c r="E4734" s="408"/>
      <c r="F4734" s="486"/>
      <c r="G4734" s="486"/>
      <c r="H4734" s="486"/>
      <c r="I4734" s="1163" t="str">
        <f t="shared" si="161"/>
        <v/>
      </c>
      <c r="J4734" s="404"/>
      <c r="K4734" s="1234"/>
      <c r="L4734" s="431"/>
      <c r="M4734" s="431"/>
      <c r="N4734" s="431"/>
    </row>
    <row r="4735" spans="1:14" s="398" customFormat="1" hidden="1" outlineLevel="1">
      <c r="A4735" s="1248"/>
      <c r="B4735" s="425" t="s">
        <v>984</v>
      </c>
      <c r="C4735" s="498" t="s">
        <v>2</v>
      </c>
      <c r="D4735" s="485"/>
      <c r="E4735" s="408"/>
      <c r="F4735" s="486"/>
      <c r="G4735" s="486"/>
      <c r="H4735" s="486"/>
      <c r="I4735" s="1163" t="str">
        <f t="shared" si="161"/>
        <v/>
      </c>
      <c r="J4735" s="404"/>
      <c r="K4735" s="1234"/>
      <c r="L4735" s="431"/>
      <c r="M4735" s="431"/>
      <c r="N4735" s="431"/>
    </row>
    <row r="4736" spans="1:14" s="398" customFormat="1" hidden="1" outlineLevel="1">
      <c r="A4736" s="1248"/>
      <c r="B4736" s="425" t="s">
        <v>822</v>
      </c>
      <c r="C4736" s="498" t="s">
        <v>2</v>
      </c>
      <c r="D4736" s="485">
        <v>1</v>
      </c>
      <c r="E4736" s="408">
        <v>1</v>
      </c>
      <c r="F4736" s="486">
        <v>5.42</v>
      </c>
      <c r="G4736" s="486">
        <f>1.42*3</f>
        <v>4.26</v>
      </c>
      <c r="H4736" s="486">
        <v>0.15</v>
      </c>
      <c r="I4736" s="1163">
        <f t="shared" si="161"/>
        <v>3.46</v>
      </c>
      <c r="J4736" s="404"/>
      <c r="K4736" s="1234"/>
      <c r="L4736" s="431"/>
      <c r="M4736" s="431"/>
      <c r="N4736" s="431"/>
    </row>
    <row r="4737" spans="1:14" s="398" customFormat="1" hidden="1" outlineLevel="1">
      <c r="A4737" s="1248"/>
      <c r="B4737" s="425"/>
      <c r="C4737" s="498" t="s">
        <v>2</v>
      </c>
      <c r="D4737" s="485"/>
      <c r="E4737" s="408"/>
      <c r="F4737" s="486" t="s">
        <v>624</v>
      </c>
      <c r="G4737" s="486"/>
      <c r="H4737" s="486"/>
      <c r="I4737" s="1163" t="str">
        <f t="shared" si="161"/>
        <v/>
      </c>
      <c r="J4737" s="404"/>
      <c r="K4737" s="1234"/>
      <c r="L4737" s="431"/>
      <c r="M4737" s="431"/>
      <c r="N4737" s="431"/>
    </row>
    <row r="4738" spans="1:14" s="398" customFormat="1" hidden="1" outlineLevel="1">
      <c r="A4738" s="1248"/>
      <c r="B4738" s="425" t="s">
        <v>980</v>
      </c>
      <c r="C4738" s="498" t="s">
        <v>2</v>
      </c>
      <c r="D4738" s="485">
        <v>1</v>
      </c>
      <c r="E4738" s="408">
        <v>1</v>
      </c>
      <c r="F4738" s="486">
        <v>16</v>
      </c>
      <c r="G4738" s="486"/>
      <c r="H4738" s="486">
        <v>0.15</v>
      </c>
      <c r="I4738" s="1163">
        <f t="shared" si="161"/>
        <v>2.4</v>
      </c>
      <c r="J4738" s="404"/>
      <c r="K4738" s="1234" t="s">
        <v>624</v>
      </c>
      <c r="L4738" s="431"/>
      <c r="M4738" s="431"/>
      <c r="N4738" s="431"/>
    </row>
    <row r="4739" spans="1:14" s="398" customFormat="1" hidden="1" outlineLevel="1">
      <c r="A4739" s="1248"/>
      <c r="B4739" s="425"/>
      <c r="C4739" s="498" t="s">
        <v>2</v>
      </c>
      <c r="D4739" s="485"/>
      <c r="E4739" s="408"/>
      <c r="F4739" s="486"/>
      <c r="G4739" s="486"/>
      <c r="H4739" s="486"/>
      <c r="I4739" s="1163" t="str">
        <f t="shared" si="161"/>
        <v/>
      </c>
      <c r="J4739" s="404"/>
      <c r="K4739" s="1234"/>
      <c r="L4739" s="431"/>
      <c r="M4739" s="431"/>
      <c r="N4739" s="431"/>
    </row>
    <row r="4740" spans="1:14" s="398" customFormat="1" hidden="1" outlineLevel="1">
      <c r="A4740" s="1248"/>
      <c r="B4740" s="425"/>
      <c r="C4740" s="498" t="s">
        <v>2</v>
      </c>
      <c r="D4740" s="485"/>
      <c r="E4740" s="408"/>
      <c r="F4740" s="486"/>
      <c r="G4740" s="486"/>
      <c r="H4740" s="486"/>
      <c r="I4740" s="1163" t="str">
        <f t="shared" si="161"/>
        <v/>
      </c>
      <c r="J4740" s="404"/>
      <c r="K4740" s="1234"/>
      <c r="L4740" s="431"/>
      <c r="M4740" s="431"/>
      <c r="N4740" s="431"/>
    </row>
    <row r="4741" spans="1:14" s="398" customFormat="1" ht="34.5" hidden="1" outlineLevel="1">
      <c r="A4741" s="1248"/>
      <c r="B4741" s="592" t="s">
        <v>985</v>
      </c>
      <c r="C4741" s="165" t="s">
        <v>2</v>
      </c>
      <c r="D4741" s="485"/>
      <c r="E4741" s="408"/>
      <c r="F4741" s="486"/>
      <c r="G4741" s="486"/>
      <c r="H4741" s="486"/>
      <c r="I4741" s="1163" t="str">
        <f t="shared" si="161"/>
        <v/>
      </c>
      <c r="J4741" s="404"/>
      <c r="K4741" s="1234"/>
      <c r="L4741" s="431"/>
      <c r="M4741" s="431"/>
      <c r="N4741" s="431"/>
    </row>
    <row r="4742" spans="1:14" s="398" customFormat="1" hidden="1" outlineLevel="1">
      <c r="A4742" s="1248"/>
      <c r="B4742" s="425"/>
      <c r="C4742" s="498" t="s">
        <v>2</v>
      </c>
      <c r="D4742" s="500">
        <v>1</v>
      </c>
      <c r="E4742" s="489">
        <v>1</v>
      </c>
      <c r="F4742" s="486">
        <v>6</v>
      </c>
      <c r="G4742" s="486">
        <f>2-0.46</f>
        <v>1.54</v>
      </c>
      <c r="H4742" s="486">
        <v>0.15</v>
      </c>
      <c r="I4742" s="1163">
        <f t="shared" si="161"/>
        <v>1.39</v>
      </c>
      <c r="J4742" s="404"/>
      <c r="K4742" s="1234"/>
      <c r="L4742" s="431"/>
      <c r="M4742" s="431"/>
      <c r="N4742" s="431"/>
    </row>
    <row r="4743" spans="1:14" s="398" customFormat="1" hidden="1" outlineLevel="1">
      <c r="A4743" s="1248"/>
      <c r="B4743" s="425"/>
      <c r="C4743" s="498" t="s">
        <v>2</v>
      </c>
      <c r="D4743" s="485">
        <v>1</v>
      </c>
      <c r="E4743" s="487">
        <v>1</v>
      </c>
      <c r="F4743" s="662">
        <v>2.9249999999999998</v>
      </c>
      <c r="G4743" s="662">
        <v>2.54</v>
      </c>
      <c r="H4743" s="486">
        <v>0.15</v>
      </c>
      <c r="I4743" s="1163">
        <f t="shared" si="161"/>
        <v>1.1100000000000001</v>
      </c>
      <c r="J4743" s="404"/>
      <c r="K4743" s="1234"/>
      <c r="L4743" s="431"/>
      <c r="M4743" s="431"/>
      <c r="N4743" s="431"/>
    </row>
    <row r="4744" spans="1:14" s="398" customFormat="1" hidden="1" outlineLevel="1">
      <c r="A4744" s="1248"/>
      <c r="B4744" s="425"/>
      <c r="C4744" s="498" t="s">
        <v>2</v>
      </c>
      <c r="D4744" s="485"/>
      <c r="E4744" s="408"/>
      <c r="F4744" s="486"/>
      <c r="G4744" s="486"/>
      <c r="H4744" s="486"/>
      <c r="I4744" s="1163" t="str">
        <f t="shared" si="161"/>
        <v/>
      </c>
      <c r="J4744" s="404"/>
      <c r="K4744" s="1234"/>
      <c r="L4744" s="431"/>
      <c r="M4744" s="431"/>
      <c r="N4744" s="431"/>
    </row>
    <row r="4745" spans="1:14" s="398" customFormat="1" hidden="1" outlineLevel="1">
      <c r="A4745" s="1248"/>
      <c r="B4745" s="425" t="s">
        <v>986</v>
      </c>
      <c r="C4745" s="498" t="s">
        <v>2</v>
      </c>
      <c r="D4745" s="485"/>
      <c r="E4745" s="408"/>
      <c r="F4745" s="486"/>
      <c r="G4745" s="486"/>
      <c r="H4745" s="486"/>
      <c r="I4745" s="1163" t="str">
        <f t="shared" si="161"/>
        <v/>
      </c>
      <c r="J4745" s="404"/>
      <c r="K4745" s="1234"/>
      <c r="L4745" s="431"/>
      <c r="M4745" s="431"/>
      <c r="N4745" s="431"/>
    </row>
    <row r="4746" spans="1:14" s="398" customFormat="1" hidden="1" outlineLevel="1">
      <c r="A4746" s="1248"/>
      <c r="B4746" s="425" t="s">
        <v>822</v>
      </c>
      <c r="C4746" s="498" t="s">
        <v>2</v>
      </c>
      <c r="D4746" s="485">
        <v>1</v>
      </c>
      <c r="E4746" s="408">
        <v>1</v>
      </c>
      <c r="F4746" s="486">
        <v>5.42</v>
      </c>
      <c r="G4746" s="486">
        <f>1.42*3</f>
        <v>4.26</v>
      </c>
      <c r="H4746" s="486">
        <v>0.15</v>
      </c>
      <c r="I4746" s="1163">
        <f t="shared" si="161"/>
        <v>3.46</v>
      </c>
      <c r="J4746" s="404"/>
      <c r="K4746" s="1234"/>
      <c r="L4746" s="431"/>
      <c r="M4746" s="431"/>
      <c r="N4746" s="431"/>
    </row>
    <row r="4747" spans="1:14" s="398" customFormat="1" hidden="1" outlineLevel="1">
      <c r="A4747" s="1248"/>
      <c r="B4747" s="425"/>
      <c r="C4747" s="498" t="s">
        <v>2</v>
      </c>
      <c r="D4747" s="485"/>
      <c r="E4747" s="408"/>
      <c r="F4747" s="486" t="s">
        <v>624</v>
      </c>
      <c r="G4747" s="486"/>
      <c r="H4747" s="486"/>
      <c r="I4747" s="1163" t="str">
        <f t="shared" si="161"/>
        <v/>
      </c>
      <c r="J4747" s="404"/>
      <c r="K4747" s="1234"/>
      <c r="L4747" s="431"/>
      <c r="M4747" s="431"/>
      <c r="N4747" s="431"/>
    </row>
    <row r="4748" spans="1:14" s="398" customFormat="1" hidden="1" outlineLevel="1">
      <c r="A4748" s="1248"/>
      <c r="B4748" s="425" t="s">
        <v>980</v>
      </c>
      <c r="C4748" s="498" t="s">
        <v>2</v>
      </c>
      <c r="D4748" s="485">
        <v>1</v>
      </c>
      <c r="E4748" s="408">
        <v>1</v>
      </c>
      <c r="F4748" s="486">
        <v>16</v>
      </c>
      <c r="G4748" s="486"/>
      <c r="H4748" s="486">
        <v>0.15</v>
      </c>
      <c r="I4748" s="1163">
        <f t="shared" si="161"/>
        <v>2.4</v>
      </c>
      <c r="J4748" s="404"/>
      <c r="K4748" s="1234" t="s">
        <v>624</v>
      </c>
      <c r="L4748" s="431"/>
      <c r="M4748" s="431"/>
      <c r="N4748" s="431"/>
    </row>
    <row r="4749" spans="1:14" s="398" customFormat="1" hidden="1" outlineLevel="1">
      <c r="A4749" s="1248"/>
      <c r="B4749" s="425"/>
      <c r="C4749" s="498" t="s">
        <v>2</v>
      </c>
      <c r="D4749" s="485"/>
      <c r="E4749" s="408"/>
      <c r="F4749" s="486"/>
      <c r="G4749" s="486"/>
      <c r="H4749" s="486"/>
      <c r="I4749" s="1163" t="str">
        <f t="shared" si="161"/>
        <v/>
      </c>
      <c r="J4749" s="404"/>
      <c r="K4749" s="1234"/>
      <c r="L4749" s="431"/>
      <c r="M4749" s="431"/>
      <c r="N4749" s="431"/>
    </row>
    <row r="4750" spans="1:14" s="398" customFormat="1" hidden="1" outlineLevel="1">
      <c r="A4750" s="1248"/>
      <c r="B4750" s="425"/>
      <c r="C4750" s="498" t="s">
        <v>2</v>
      </c>
      <c r="D4750" s="485"/>
      <c r="E4750" s="408"/>
      <c r="F4750" s="486"/>
      <c r="G4750" s="486"/>
      <c r="H4750" s="486"/>
      <c r="I4750" s="1163" t="str">
        <f t="shared" si="161"/>
        <v/>
      </c>
      <c r="J4750" s="404"/>
      <c r="K4750" s="1234"/>
      <c r="L4750" s="431"/>
      <c r="M4750" s="431"/>
      <c r="N4750" s="431"/>
    </row>
    <row r="4751" spans="1:14" s="398" customFormat="1" ht="34.5" hidden="1" outlineLevel="1">
      <c r="A4751" s="1248"/>
      <c r="B4751" s="592" t="s">
        <v>987</v>
      </c>
      <c r="C4751" s="498" t="s">
        <v>2</v>
      </c>
      <c r="D4751" s="485"/>
      <c r="E4751" s="408"/>
      <c r="F4751" s="486" t="s">
        <v>860</v>
      </c>
      <c r="G4751" s="486"/>
      <c r="H4751" s="486"/>
      <c r="I4751" s="1163" t="str">
        <f t="shared" si="161"/>
        <v/>
      </c>
      <c r="J4751" s="404"/>
      <c r="K4751" s="1234"/>
      <c r="L4751" s="431"/>
      <c r="M4751" s="431"/>
      <c r="N4751" s="431"/>
    </row>
    <row r="4752" spans="1:14" s="398" customFormat="1" ht="34.5" hidden="1" outlineLevel="1">
      <c r="A4752" s="1248"/>
      <c r="B4752" s="425" t="s">
        <v>895</v>
      </c>
      <c r="C4752" s="498" t="s">
        <v>2</v>
      </c>
      <c r="D4752" s="485">
        <v>1</v>
      </c>
      <c r="E4752" s="408">
        <v>1</v>
      </c>
      <c r="F4752" s="486">
        <f>300078641/1000000</f>
        <v>300.078641</v>
      </c>
      <c r="G4752" s="486"/>
      <c r="H4752" s="486">
        <v>0.15</v>
      </c>
      <c r="I4752" s="1163">
        <f t="shared" si="161"/>
        <v>45.01</v>
      </c>
      <c r="J4752" s="404"/>
      <c r="K4752" s="1234"/>
      <c r="L4752" s="431"/>
      <c r="M4752" s="431"/>
      <c r="N4752" s="431"/>
    </row>
    <row r="4753" spans="1:14" s="398" customFormat="1" hidden="1" outlineLevel="1">
      <c r="A4753" s="1248"/>
      <c r="B4753" s="425" t="s">
        <v>896</v>
      </c>
      <c r="C4753" s="498" t="s">
        <v>2</v>
      </c>
      <c r="D4753" s="485">
        <v>1</v>
      </c>
      <c r="E4753" s="408">
        <v>1</v>
      </c>
      <c r="F4753" s="486">
        <f>160086783/1000000</f>
        <v>160.086783</v>
      </c>
      <c r="G4753" s="486"/>
      <c r="H4753" s="486">
        <v>0.15</v>
      </c>
      <c r="I4753" s="1163">
        <f t="shared" si="161"/>
        <v>24.01</v>
      </c>
      <c r="J4753" s="404"/>
      <c r="K4753" s="1234"/>
      <c r="L4753" s="431"/>
      <c r="M4753" s="431"/>
      <c r="N4753" s="431"/>
    </row>
    <row r="4754" spans="1:14" s="398" customFormat="1" hidden="1" outlineLevel="1">
      <c r="A4754" s="1248"/>
      <c r="B4754" s="425" t="s">
        <v>861</v>
      </c>
      <c r="C4754" s="498" t="s">
        <v>2</v>
      </c>
      <c r="D4754" s="485">
        <v>-1</v>
      </c>
      <c r="E4754" s="408">
        <v>1</v>
      </c>
      <c r="F4754" s="486">
        <v>19.47</v>
      </c>
      <c r="G4754" s="486"/>
      <c r="H4754" s="486">
        <v>0.15</v>
      </c>
      <c r="I4754" s="1163">
        <f t="shared" si="161"/>
        <v>-2.92</v>
      </c>
      <c r="J4754" s="404"/>
      <c r="K4754" s="1234"/>
      <c r="L4754" s="431"/>
      <c r="M4754" s="431"/>
      <c r="N4754" s="431"/>
    </row>
    <row r="4755" spans="1:14" s="398" customFormat="1" hidden="1" outlineLevel="1">
      <c r="A4755" s="1248"/>
      <c r="B4755" s="425" t="s">
        <v>897</v>
      </c>
      <c r="C4755" s="498" t="s">
        <v>2</v>
      </c>
      <c r="D4755" s="485">
        <v>1</v>
      </c>
      <c r="E4755" s="408">
        <v>1</v>
      </c>
      <c r="F4755" s="486">
        <f>45521786.8/1000000</f>
        <v>45.521786799999994</v>
      </c>
      <c r="G4755" s="486"/>
      <c r="H4755" s="486">
        <v>0.15</v>
      </c>
      <c r="I4755" s="1163">
        <f t="shared" si="161"/>
        <v>6.83</v>
      </c>
      <c r="J4755" s="404"/>
      <c r="K4755" s="1234"/>
      <c r="L4755" s="431"/>
      <c r="M4755" s="431"/>
      <c r="N4755" s="431"/>
    </row>
    <row r="4756" spans="1:14" s="398" customFormat="1" hidden="1" outlineLevel="1">
      <c r="A4756" s="1248"/>
      <c r="B4756" s="425" t="s">
        <v>898</v>
      </c>
      <c r="C4756" s="498" t="s">
        <v>2</v>
      </c>
      <c r="D4756" s="485">
        <v>1</v>
      </c>
      <c r="E4756" s="408">
        <v>1</v>
      </c>
      <c r="F4756" s="486">
        <f>241898921/1000000</f>
        <v>241.898921</v>
      </c>
      <c r="G4756" s="486"/>
      <c r="H4756" s="486">
        <v>0.15</v>
      </c>
      <c r="I4756" s="1163">
        <f t="shared" si="161"/>
        <v>36.28</v>
      </c>
      <c r="J4756" s="404"/>
      <c r="K4756" s="1234"/>
      <c r="L4756" s="431"/>
      <c r="M4756" s="431"/>
      <c r="N4756" s="431"/>
    </row>
    <row r="4757" spans="1:14" s="398" customFormat="1" hidden="1" outlineLevel="1">
      <c r="A4757" s="1248"/>
      <c r="B4757" s="425" t="s">
        <v>861</v>
      </c>
      <c r="C4757" s="498" t="s">
        <v>2</v>
      </c>
      <c r="D4757" s="485">
        <v>-1</v>
      </c>
      <c r="E4757" s="408">
        <v>1</v>
      </c>
      <c r="F4757" s="486">
        <f>50760387.9/1000000</f>
        <v>50.760387899999998</v>
      </c>
      <c r="G4757" s="486"/>
      <c r="H4757" s="486">
        <v>0.15</v>
      </c>
      <c r="I4757" s="1163">
        <f t="shared" si="161"/>
        <v>-7.61</v>
      </c>
      <c r="J4757" s="404"/>
      <c r="K4757" s="1234"/>
      <c r="L4757" s="431"/>
      <c r="M4757" s="431"/>
      <c r="N4757" s="431"/>
    </row>
    <row r="4758" spans="1:14" s="398" customFormat="1" hidden="1" outlineLevel="1">
      <c r="A4758" s="1248"/>
      <c r="B4758" s="425" t="s">
        <v>861</v>
      </c>
      <c r="C4758" s="498" t="s">
        <v>2</v>
      </c>
      <c r="D4758" s="485">
        <v>-1</v>
      </c>
      <c r="E4758" s="408">
        <v>1</v>
      </c>
      <c r="F4758" s="486">
        <f>43291964.8/1000000</f>
        <v>43.291964799999995</v>
      </c>
      <c r="G4758" s="486"/>
      <c r="H4758" s="486">
        <v>0.15</v>
      </c>
      <c r="I4758" s="1163">
        <f t="shared" si="161"/>
        <v>-6.49</v>
      </c>
      <c r="J4758" s="404"/>
      <c r="K4758" s="1234"/>
      <c r="L4758" s="431"/>
      <c r="M4758" s="431"/>
      <c r="N4758" s="431"/>
    </row>
    <row r="4759" spans="1:14" s="398" customFormat="1" hidden="1" outlineLevel="1">
      <c r="A4759" s="1248"/>
      <c r="B4759" s="425" t="s">
        <v>899</v>
      </c>
      <c r="C4759" s="498" t="s">
        <v>2</v>
      </c>
      <c r="D4759" s="485">
        <v>1</v>
      </c>
      <c r="E4759" s="408">
        <v>1</v>
      </c>
      <c r="F4759" s="486">
        <f>61015457.1/1000000</f>
        <v>61.015457099999999</v>
      </c>
      <c r="G4759" s="486"/>
      <c r="H4759" s="486">
        <v>0.15</v>
      </c>
      <c r="I4759" s="1163">
        <f t="shared" si="161"/>
        <v>9.15</v>
      </c>
      <c r="J4759" s="404"/>
      <c r="K4759" s="1234"/>
      <c r="L4759" s="431"/>
      <c r="M4759" s="431"/>
      <c r="N4759" s="431"/>
    </row>
    <row r="4760" spans="1:14" s="398" customFormat="1" hidden="1" outlineLevel="1">
      <c r="A4760" s="1248"/>
      <c r="B4760" s="425" t="s">
        <v>861</v>
      </c>
      <c r="C4760" s="498" t="s">
        <v>2</v>
      </c>
      <c r="D4760" s="485">
        <v>-1</v>
      </c>
      <c r="E4760" s="408">
        <v>1</v>
      </c>
      <c r="F4760" s="486">
        <f>12275480.8/1000000</f>
        <v>12.2754808</v>
      </c>
      <c r="G4760" s="486"/>
      <c r="H4760" s="486">
        <v>0.15</v>
      </c>
      <c r="I4760" s="1163">
        <f t="shared" si="161"/>
        <v>-1.84</v>
      </c>
      <c r="J4760" s="404"/>
      <c r="K4760" s="1234"/>
      <c r="L4760" s="431"/>
      <c r="M4760" s="431"/>
      <c r="N4760" s="431"/>
    </row>
    <row r="4761" spans="1:14" s="398" customFormat="1" hidden="1" outlineLevel="1">
      <c r="A4761" s="1248"/>
      <c r="B4761" s="425"/>
      <c r="C4761" s="498" t="s">
        <v>2</v>
      </c>
      <c r="D4761" s="485"/>
      <c r="E4761" s="408"/>
      <c r="F4761" s="486"/>
      <c r="G4761" s="486"/>
      <c r="H4761" s="486"/>
      <c r="I4761" s="1163" t="str">
        <f t="shared" si="161"/>
        <v/>
      </c>
      <c r="J4761" s="404"/>
      <c r="K4761" s="1234"/>
      <c r="L4761" s="431"/>
      <c r="M4761" s="431"/>
      <c r="N4761" s="431"/>
    </row>
    <row r="4762" spans="1:14" s="398" customFormat="1" ht="34.5" hidden="1" outlineLevel="1">
      <c r="A4762" s="1248"/>
      <c r="B4762" s="425" t="s">
        <v>900</v>
      </c>
      <c r="C4762" s="498" t="s">
        <v>2</v>
      </c>
      <c r="D4762" s="485">
        <v>1</v>
      </c>
      <c r="E4762" s="408">
        <v>1</v>
      </c>
      <c r="F4762" s="486">
        <f>628524269/1000000</f>
        <v>628.524269</v>
      </c>
      <c r="G4762" s="486"/>
      <c r="H4762" s="486">
        <v>0.15</v>
      </c>
      <c r="I4762" s="1163">
        <f t="shared" si="161"/>
        <v>94.28</v>
      </c>
      <c r="J4762" s="404"/>
      <c r="K4762" s="1234"/>
      <c r="L4762" s="431"/>
      <c r="M4762" s="431"/>
      <c r="N4762" s="431"/>
    </row>
    <row r="4763" spans="1:14" s="398" customFormat="1" hidden="1" outlineLevel="1">
      <c r="A4763" s="1248"/>
      <c r="B4763" s="425" t="s">
        <v>862</v>
      </c>
      <c r="C4763" s="498" t="s">
        <v>2</v>
      </c>
      <c r="D4763" s="485">
        <v>-1</v>
      </c>
      <c r="E4763" s="408">
        <v>1</v>
      </c>
      <c r="F4763" s="486">
        <f>341757843/1000000</f>
        <v>341.75784299999998</v>
      </c>
      <c r="G4763" s="486"/>
      <c r="H4763" s="486">
        <v>0.15</v>
      </c>
      <c r="I4763" s="1163">
        <f t="shared" si="161"/>
        <v>-51.26</v>
      </c>
      <c r="J4763" s="404"/>
      <c r="K4763" s="1234"/>
      <c r="L4763" s="431"/>
      <c r="M4763" s="431"/>
      <c r="N4763" s="431"/>
    </row>
    <row r="4764" spans="1:14" s="398" customFormat="1" hidden="1" outlineLevel="1">
      <c r="A4764" s="1248"/>
      <c r="B4764" s="425" t="s">
        <v>863</v>
      </c>
      <c r="C4764" s="498" t="s">
        <v>2</v>
      </c>
      <c r="D4764" s="485">
        <v>-1</v>
      </c>
      <c r="E4764" s="408">
        <v>8</v>
      </c>
      <c r="F4764" s="486">
        <v>2.8359999999999999</v>
      </c>
      <c r="G4764" s="486">
        <v>0.28599999999999998</v>
      </c>
      <c r="H4764" s="486">
        <v>0.15</v>
      </c>
      <c r="I4764" s="1163">
        <f t="shared" si="161"/>
        <v>-0.97</v>
      </c>
      <c r="J4764" s="404"/>
      <c r="K4764" s="1234"/>
      <c r="L4764" s="431"/>
      <c r="M4764" s="431"/>
      <c r="N4764" s="431"/>
    </row>
    <row r="4765" spans="1:14" s="398" customFormat="1" hidden="1" outlineLevel="1">
      <c r="A4765" s="1248"/>
      <c r="B4765" s="425"/>
      <c r="C4765" s="498" t="s">
        <v>2</v>
      </c>
      <c r="D4765" s="485"/>
      <c r="E4765" s="408"/>
      <c r="F4765" s="486"/>
      <c r="G4765" s="486"/>
      <c r="H4765" s="486"/>
      <c r="I4765" s="1163" t="str">
        <f t="shared" si="161"/>
        <v/>
      </c>
      <c r="J4765" s="404"/>
      <c r="K4765" s="1234"/>
      <c r="L4765" s="431"/>
      <c r="M4765" s="431"/>
      <c r="N4765" s="431"/>
    </row>
    <row r="4766" spans="1:14" s="398" customFormat="1" ht="34.5" hidden="1" outlineLevel="1">
      <c r="A4766" s="1248"/>
      <c r="B4766" s="425" t="s">
        <v>901</v>
      </c>
      <c r="C4766" s="498" t="s">
        <v>2</v>
      </c>
      <c r="D4766" s="485">
        <v>1</v>
      </c>
      <c r="E4766" s="408">
        <v>1</v>
      </c>
      <c r="F4766" s="486">
        <f>615411972/1000000</f>
        <v>615.41197199999999</v>
      </c>
      <c r="G4766" s="486"/>
      <c r="H4766" s="486">
        <v>0.15</v>
      </c>
      <c r="I4766" s="1163">
        <f t="shared" si="161"/>
        <v>92.31</v>
      </c>
      <c r="J4766" s="404"/>
      <c r="K4766" s="1234"/>
      <c r="L4766" s="431"/>
      <c r="M4766" s="431"/>
      <c r="N4766" s="431"/>
    </row>
    <row r="4767" spans="1:14" s="398" customFormat="1" hidden="1" outlineLevel="1">
      <c r="A4767" s="1248"/>
      <c r="B4767" s="425" t="s">
        <v>864</v>
      </c>
      <c r="C4767" s="498" t="s">
        <v>2</v>
      </c>
      <c r="D4767" s="485">
        <v>-1</v>
      </c>
      <c r="E4767" s="408">
        <v>1</v>
      </c>
      <c r="F4767" s="486">
        <v>3.1549999999999998</v>
      </c>
      <c r="G4767" s="486">
        <v>1.7989999999999999</v>
      </c>
      <c r="H4767" s="486">
        <v>0.15</v>
      </c>
      <c r="I4767" s="1163">
        <f t="shared" si="161"/>
        <v>-0.85</v>
      </c>
      <c r="J4767" s="404"/>
      <c r="K4767" s="1234"/>
      <c r="L4767" s="431"/>
      <c r="M4767" s="431"/>
      <c r="N4767" s="431"/>
    </row>
    <row r="4768" spans="1:14" s="398" customFormat="1" hidden="1" outlineLevel="1">
      <c r="A4768" s="1248"/>
      <c r="B4768" s="425"/>
      <c r="C4768" s="498" t="s">
        <v>2</v>
      </c>
      <c r="D4768" s="485">
        <v>-1</v>
      </c>
      <c r="E4768" s="408">
        <v>1</v>
      </c>
      <c r="F4768" s="486">
        <v>5.85</v>
      </c>
      <c r="G4768" s="486">
        <v>1.7989999999999999</v>
      </c>
      <c r="H4768" s="486">
        <v>0.15</v>
      </c>
      <c r="I4768" s="1163">
        <f t="shared" si="161"/>
        <v>-1.58</v>
      </c>
      <c r="J4768" s="404"/>
      <c r="K4768" s="1234"/>
      <c r="L4768" s="431"/>
      <c r="M4768" s="431"/>
      <c r="N4768" s="431"/>
    </row>
    <row r="4769" spans="1:14" s="398" customFormat="1" hidden="1" outlineLevel="1">
      <c r="A4769" s="1248"/>
      <c r="B4769" s="425"/>
      <c r="C4769" s="498" t="s">
        <v>2</v>
      </c>
      <c r="D4769" s="485">
        <v>-1</v>
      </c>
      <c r="E4769" s="408">
        <v>1</v>
      </c>
      <c r="F4769" s="486">
        <v>5.0250000000000004</v>
      </c>
      <c r="G4769" s="486">
        <v>1.7989999999999999</v>
      </c>
      <c r="H4769" s="486">
        <v>0.15</v>
      </c>
      <c r="I4769" s="1163">
        <f t="shared" si="161"/>
        <v>-1.36</v>
      </c>
      <c r="J4769" s="404"/>
      <c r="K4769" s="1234"/>
      <c r="L4769" s="431"/>
      <c r="M4769" s="431"/>
      <c r="N4769" s="431"/>
    </row>
    <row r="4770" spans="1:14" s="398" customFormat="1" hidden="1" outlineLevel="1">
      <c r="A4770" s="1248"/>
      <c r="B4770" s="425" t="s">
        <v>865</v>
      </c>
      <c r="C4770" s="498" t="s">
        <v>2</v>
      </c>
      <c r="D4770" s="485">
        <v>-1</v>
      </c>
      <c r="E4770" s="408">
        <v>1</v>
      </c>
      <c r="F4770" s="486">
        <v>3.823</v>
      </c>
      <c r="G4770" s="486">
        <v>3</v>
      </c>
      <c r="H4770" s="486">
        <v>0.15</v>
      </c>
      <c r="I4770" s="1163">
        <f t="shared" si="161"/>
        <v>-1.72</v>
      </c>
      <c r="J4770" s="404"/>
      <c r="K4770" s="1234"/>
      <c r="L4770" s="431"/>
      <c r="M4770" s="431"/>
      <c r="N4770" s="431"/>
    </row>
    <row r="4771" spans="1:14" s="398" customFormat="1" hidden="1" outlineLevel="1">
      <c r="A4771" s="1248"/>
      <c r="B4771" s="425" t="s">
        <v>865</v>
      </c>
      <c r="C4771" s="498" t="s">
        <v>2</v>
      </c>
      <c r="D4771" s="485">
        <v>-1</v>
      </c>
      <c r="E4771" s="408">
        <v>1</v>
      </c>
      <c r="F4771" s="486">
        <v>6</v>
      </c>
      <c r="G4771" s="486">
        <v>2</v>
      </c>
      <c r="H4771" s="486">
        <v>0.15</v>
      </c>
      <c r="I4771" s="1163">
        <f t="shared" si="161"/>
        <v>-1.8</v>
      </c>
      <c r="J4771" s="404"/>
      <c r="K4771" s="1234"/>
      <c r="L4771" s="431"/>
      <c r="M4771" s="431"/>
      <c r="N4771" s="431"/>
    </row>
    <row r="4772" spans="1:14" s="398" customFormat="1" hidden="1" outlineLevel="1">
      <c r="A4772" s="1248"/>
      <c r="B4772" s="425" t="s">
        <v>866</v>
      </c>
      <c r="C4772" s="498" t="s">
        <v>2</v>
      </c>
      <c r="D4772" s="485">
        <v>-1</v>
      </c>
      <c r="E4772" s="408">
        <v>5</v>
      </c>
      <c r="F4772" s="486">
        <v>5.8</v>
      </c>
      <c r="G4772" s="486">
        <v>0.8</v>
      </c>
      <c r="H4772" s="486">
        <v>0.15</v>
      </c>
      <c r="I4772" s="1163">
        <f t="shared" ref="I4772:I4835" si="162">IF(D4772&lt;&gt;0,ROUND(PRODUCT(E4772:H4772)*D4772,2),"")</f>
        <v>-3.48</v>
      </c>
      <c r="J4772" s="404"/>
      <c r="K4772" s="1234"/>
      <c r="L4772" s="431"/>
      <c r="M4772" s="431"/>
      <c r="N4772" s="431"/>
    </row>
    <row r="4773" spans="1:14" s="398" customFormat="1" hidden="1" outlineLevel="1">
      <c r="A4773" s="1248"/>
      <c r="B4773" s="425"/>
      <c r="C4773" s="498" t="s">
        <v>2</v>
      </c>
      <c r="D4773" s="485">
        <v>-1</v>
      </c>
      <c r="E4773" s="408">
        <v>8</v>
      </c>
      <c r="F4773" s="486">
        <v>4.5</v>
      </c>
      <c r="G4773" s="486">
        <v>1</v>
      </c>
      <c r="H4773" s="486">
        <v>0.15</v>
      </c>
      <c r="I4773" s="1163">
        <f t="shared" si="162"/>
        <v>-5.4</v>
      </c>
      <c r="J4773" s="404"/>
      <c r="K4773" s="1234"/>
      <c r="L4773" s="431"/>
      <c r="M4773" s="431"/>
      <c r="N4773" s="431"/>
    </row>
    <row r="4774" spans="1:14" s="398" customFormat="1" hidden="1" outlineLevel="1">
      <c r="A4774" s="1248"/>
      <c r="B4774" s="425" t="s">
        <v>863</v>
      </c>
      <c r="C4774" s="498" t="s">
        <v>2</v>
      </c>
      <c r="D4774" s="485">
        <v>-1</v>
      </c>
      <c r="E4774" s="408">
        <v>7</v>
      </c>
      <c r="F4774" s="486">
        <v>2.8359999999999999</v>
      </c>
      <c r="G4774" s="486">
        <v>0.28599999999999998</v>
      </c>
      <c r="H4774" s="486">
        <v>0.15</v>
      </c>
      <c r="I4774" s="1163">
        <f t="shared" si="162"/>
        <v>-0.85</v>
      </c>
      <c r="J4774" s="404"/>
      <c r="K4774" s="1234"/>
      <c r="L4774" s="431"/>
      <c r="M4774" s="431"/>
      <c r="N4774" s="431"/>
    </row>
    <row r="4775" spans="1:14" s="398" customFormat="1" hidden="1" outlineLevel="1">
      <c r="A4775" s="1248"/>
      <c r="B4775" s="425"/>
      <c r="C4775" s="498" t="s">
        <v>2</v>
      </c>
      <c r="D4775" s="485"/>
      <c r="E4775" s="408"/>
      <c r="F4775" s="486" t="s">
        <v>624</v>
      </c>
      <c r="G4775" s="486"/>
      <c r="H4775" s="486"/>
      <c r="I4775" s="1163" t="str">
        <f t="shared" si="162"/>
        <v/>
      </c>
      <c r="J4775" s="404"/>
      <c r="K4775" s="1234"/>
      <c r="L4775" s="431"/>
      <c r="M4775" s="431"/>
      <c r="N4775" s="431"/>
    </row>
    <row r="4776" spans="1:14" s="398" customFormat="1" ht="34.5" hidden="1" outlineLevel="1">
      <c r="A4776" s="1248"/>
      <c r="B4776" s="425" t="s">
        <v>867</v>
      </c>
      <c r="C4776" s="498" t="s">
        <v>2</v>
      </c>
      <c r="D4776" s="485">
        <v>-1</v>
      </c>
      <c r="E4776" s="408">
        <v>1</v>
      </c>
      <c r="F4776" s="486">
        <f>40616728/1000000</f>
        <v>40.616728000000002</v>
      </c>
      <c r="G4776" s="486"/>
      <c r="H4776" s="486">
        <v>0.15</v>
      </c>
      <c r="I4776" s="1163">
        <f t="shared" si="162"/>
        <v>-6.09</v>
      </c>
      <c r="J4776" s="404"/>
      <c r="K4776" s="1234"/>
      <c r="L4776" s="431"/>
      <c r="M4776" s="431"/>
      <c r="N4776" s="431"/>
    </row>
    <row r="4777" spans="1:14" s="398" customFormat="1" ht="34.5" hidden="1" outlineLevel="1">
      <c r="A4777" s="1248"/>
      <c r="B4777" s="425" t="s">
        <v>902</v>
      </c>
      <c r="C4777" s="498" t="s">
        <v>2</v>
      </c>
      <c r="D4777" s="485">
        <v>1</v>
      </c>
      <c r="E4777" s="408">
        <v>1</v>
      </c>
      <c r="F4777" s="486">
        <f>23307550/1000000</f>
        <v>23.307549999999999</v>
      </c>
      <c r="G4777" s="486"/>
      <c r="H4777" s="486">
        <v>0.15</v>
      </c>
      <c r="I4777" s="1163">
        <f t="shared" si="162"/>
        <v>3.5</v>
      </c>
      <c r="J4777" s="404"/>
      <c r="K4777" s="1234"/>
      <c r="L4777" s="431"/>
      <c r="M4777" s="431"/>
      <c r="N4777" s="431"/>
    </row>
    <row r="4778" spans="1:14" s="398" customFormat="1" hidden="1" outlineLevel="1">
      <c r="A4778" s="1248"/>
      <c r="B4778" s="425" t="s">
        <v>903</v>
      </c>
      <c r="C4778" s="498" t="s">
        <v>2</v>
      </c>
      <c r="D4778" s="485">
        <v>1</v>
      </c>
      <c r="E4778" s="408">
        <v>1</v>
      </c>
      <c r="F4778" s="486">
        <f>68856294.6/1000000</f>
        <v>68.856294599999998</v>
      </c>
      <c r="G4778" s="486"/>
      <c r="H4778" s="486">
        <v>0.15</v>
      </c>
      <c r="I4778" s="1163">
        <f t="shared" si="162"/>
        <v>10.33</v>
      </c>
      <c r="J4778" s="404"/>
      <c r="K4778" s="1234"/>
      <c r="L4778" s="431"/>
      <c r="M4778" s="431"/>
      <c r="N4778" s="431"/>
    </row>
    <row r="4779" spans="1:14" s="398" customFormat="1" hidden="1" outlineLevel="1">
      <c r="A4779" s="1248"/>
      <c r="B4779" s="425" t="s">
        <v>864</v>
      </c>
      <c r="C4779" s="498" t="s">
        <v>2</v>
      </c>
      <c r="D4779" s="485">
        <v>-1</v>
      </c>
      <c r="E4779" s="408">
        <v>1</v>
      </c>
      <c r="F4779" s="486">
        <v>9.36</v>
      </c>
      <c r="G4779" s="486">
        <v>0.6</v>
      </c>
      <c r="H4779" s="486">
        <v>0.15</v>
      </c>
      <c r="I4779" s="1163">
        <f t="shared" si="162"/>
        <v>-0.84</v>
      </c>
      <c r="J4779" s="404"/>
      <c r="K4779" s="1234"/>
      <c r="L4779" s="431"/>
      <c r="M4779" s="431"/>
      <c r="N4779" s="431"/>
    </row>
    <row r="4780" spans="1:14" s="398" customFormat="1" hidden="1" outlineLevel="1">
      <c r="A4780" s="1248"/>
      <c r="B4780" s="425"/>
      <c r="C4780" s="498" t="s">
        <v>2</v>
      </c>
      <c r="D4780" s="485">
        <v>-1</v>
      </c>
      <c r="E4780" s="408">
        <v>1</v>
      </c>
      <c r="F4780" s="486">
        <v>8.14</v>
      </c>
      <c r="G4780" s="486">
        <v>0.6</v>
      </c>
      <c r="H4780" s="486">
        <v>0.15</v>
      </c>
      <c r="I4780" s="1163">
        <f t="shared" si="162"/>
        <v>-0.73</v>
      </c>
      <c r="J4780" s="404"/>
      <c r="K4780" s="1234"/>
      <c r="L4780" s="431"/>
      <c r="M4780" s="431"/>
      <c r="N4780" s="431"/>
    </row>
    <row r="4781" spans="1:14" s="398" customFormat="1" hidden="1" outlineLevel="1">
      <c r="A4781" s="1248"/>
      <c r="B4781" s="425"/>
      <c r="C4781" s="498" t="s">
        <v>2</v>
      </c>
      <c r="D4781" s="485">
        <v>-1</v>
      </c>
      <c r="E4781" s="408">
        <v>1</v>
      </c>
      <c r="F4781" s="486">
        <v>6.6159999999999997</v>
      </c>
      <c r="G4781" s="486">
        <v>0.6</v>
      </c>
      <c r="H4781" s="486">
        <v>0.15</v>
      </c>
      <c r="I4781" s="1163">
        <f t="shared" si="162"/>
        <v>-0.6</v>
      </c>
      <c r="J4781" s="404"/>
      <c r="K4781" s="1234"/>
      <c r="L4781" s="431"/>
      <c r="M4781" s="431"/>
      <c r="N4781" s="431"/>
    </row>
    <row r="4782" spans="1:14" s="398" customFormat="1" hidden="1" outlineLevel="1">
      <c r="A4782" s="1248"/>
      <c r="B4782" s="425"/>
      <c r="C4782" s="498" t="s">
        <v>2</v>
      </c>
      <c r="D4782" s="485">
        <v>-1</v>
      </c>
      <c r="E4782" s="408">
        <v>1</v>
      </c>
      <c r="F4782" s="486">
        <v>4.7850000000000001</v>
      </c>
      <c r="G4782" s="486">
        <v>0.6</v>
      </c>
      <c r="H4782" s="486">
        <v>0.15</v>
      </c>
      <c r="I4782" s="1163">
        <f t="shared" si="162"/>
        <v>-0.43</v>
      </c>
      <c r="J4782" s="404"/>
      <c r="K4782" s="1234"/>
      <c r="L4782" s="431"/>
      <c r="M4782" s="431"/>
      <c r="N4782" s="431"/>
    </row>
    <row r="4783" spans="1:14" s="398" customFormat="1" hidden="1" outlineLevel="1">
      <c r="A4783" s="1248"/>
      <c r="B4783" s="425"/>
      <c r="C4783" s="498" t="s">
        <v>2</v>
      </c>
      <c r="D4783" s="485">
        <v>-1</v>
      </c>
      <c r="E4783" s="408">
        <v>1</v>
      </c>
      <c r="F4783" s="486">
        <v>3.26</v>
      </c>
      <c r="G4783" s="486">
        <v>0.6</v>
      </c>
      <c r="H4783" s="486">
        <v>0.15</v>
      </c>
      <c r="I4783" s="1163">
        <f t="shared" si="162"/>
        <v>-0.28999999999999998</v>
      </c>
      <c r="J4783" s="404"/>
      <c r="K4783" s="1234"/>
      <c r="L4783" s="431"/>
      <c r="M4783" s="431"/>
      <c r="N4783" s="431"/>
    </row>
    <row r="4784" spans="1:14" s="398" customFormat="1" hidden="1" outlineLevel="1">
      <c r="A4784" s="1248"/>
      <c r="B4784" s="425"/>
      <c r="C4784" s="498" t="s">
        <v>2</v>
      </c>
      <c r="D4784" s="485"/>
      <c r="E4784" s="408"/>
      <c r="F4784" s="486"/>
      <c r="G4784" s="486"/>
      <c r="H4784" s="486"/>
      <c r="I4784" s="1163" t="str">
        <f t="shared" si="162"/>
        <v/>
      </c>
      <c r="J4784" s="404"/>
      <c r="K4784" s="1234"/>
      <c r="L4784" s="431"/>
      <c r="M4784" s="431"/>
      <c r="N4784" s="431"/>
    </row>
    <row r="4785" spans="1:14" s="398" customFormat="1" ht="34.5" hidden="1" outlineLevel="1">
      <c r="A4785" s="1248"/>
      <c r="B4785" s="425" t="s">
        <v>904</v>
      </c>
      <c r="C4785" s="498" t="s">
        <v>2</v>
      </c>
      <c r="D4785" s="485">
        <v>1</v>
      </c>
      <c r="E4785" s="408">
        <v>1</v>
      </c>
      <c r="F4785" s="486">
        <f>608431497/1000000</f>
        <v>608.43149700000004</v>
      </c>
      <c r="G4785" s="486"/>
      <c r="H4785" s="486">
        <v>0.15</v>
      </c>
      <c r="I4785" s="1163">
        <f t="shared" si="162"/>
        <v>91.26</v>
      </c>
      <c r="J4785" s="404"/>
      <c r="K4785" s="1234"/>
      <c r="L4785" s="431"/>
      <c r="M4785" s="431"/>
      <c r="N4785" s="431"/>
    </row>
    <row r="4786" spans="1:14" s="398" customFormat="1" hidden="1" outlineLevel="1">
      <c r="A4786" s="1248"/>
      <c r="B4786" s="425" t="s">
        <v>868</v>
      </c>
      <c r="C4786" s="498" t="s">
        <v>2</v>
      </c>
      <c r="D4786" s="485">
        <v>-1</v>
      </c>
      <c r="E4786" s="408">
        <v>1</v>
      </c>
      <c r="F4786" s="486">
        <v>5.0250000000000004</v>
      </c>
      <c r="G4786" s="486">
        <v>1.194</v>
      </c>
      <c r="H4786" s="486">
        <v>0.15</v>
      </c>
      <c r="I4786" s="1163">
        <f t="shared" si="162"/>
        <v>-0.9</v>
      </c>
      <c r="J4786" s="404"/>
      <c r="K4786" s="1234"/>
      <c r="L4786" s="431"/>
      <c r="M4786" s="431"/>
      <c r="N4786" s="431"/>
    </row>
    <row r="4787" spans="1:14" s="398" customFormat="1" hidden="1" outlineLevel="1">
      <c r="A4787" s="1248"/>
      <c r="B4787" s="425"/>
      <c r="C4787" s="498" t="s">
        <v>2</v>
      </c>
      <c r="D4787" s="485">
        <v>-1</v>
      </c>
      <c r="E4787" s="408">
        <v>1</v>
      </c>
      <c r="F4787" s="486">
        <v>5.85</v>
      </c>
      <c r="G4787" s="486">
        <v>1.1970000000000001</v>
      </c>
      <c r="H4787" s="486">
        <v>0.15</v>
      </c>
      <c r="I4787" s="1163">
        <f t="shared" si="162"/>
        <v>-1.05</v>
      </c>
      <c r="J4787" s="404"/>
      <c r="K4787" s="1234"/>
      <c r="L4787" s="431"/>
      <c r="M4787" s="431"/>
      <c r="N4787" s="431"/>
    </row>
    <row r="4788" spans="1:14" s="398" customFormat="1" ht="34.5" hidden="1" outlineLevel="1">
      <c r="A4788" s="1248"/>
      <c r="B4788" s="425" t="s">
        <v>869</v>
      </c>
      <c r="C4788" s="498" t="s">
        <v>2</v>
      </c>
      <c r="D4788" s="485">
        <v>-1</v>
      </c>
      <c r="E4788" s="408">
        <v>9</v>
      </c>
      <c r="F4788" s="486">
        <v>4.5</v>
      </c>
      <c r="G4788" s="486">
        <v>1</v>
      </c>
      <c r="H4788" s="486">
        <v>0.15</v>
      </c>
      <c r="I4788" s="1163">
        <f t="shared" si="162"/>
        <v>-6.08</v>
      </c>
      <c r="J4788" s="404"/>
      <c r="K4788" s="1234"/>
      <c r="L4788" s="431"/>
      <c r="M4788" s="431"/>
      <c r="N4788" s="431"/>
    </row>
    <row r="4789" spans="1:14" s="398" customFormat="1" hidden="1" outlineLevel="1">
      <c r="A4789" s="1248"/>
      <c r="B4789" s="425" t="s">
        <v>870</v>
      </c>
      <c r="C4789" s="498" t="s">
        <v>2</v>
      </c>
      <c r="D4789" s="485">
        <v>-1</v>
      </c>
      <c r="E4789" s="408">
        <v>5</v>
      </c>
      <c r="F4789" s="662">
        <v>5.8</v>
      </c>
      <c r="G4789" s="486">
        <v>0.8</v>
      </c>
      <c r="H4789" s="486">
        <v>0.15</v>
      </c>
      <c r="I4789" s="1163">
        <f t="shared" si="162"/>
        <v>-3.48</v>
      </c>
      <c r="J4789" s="404"/>
      <c r="K4789" s="1234"/>
      <c r="L4789" s="431"/>
      <c r="M4789" s="431"/>
      <c r="N4789" s="431"/>
    </row>
    <row r="4790" spans="1:14" s="398" customFormat="1" hidden="1" outlineLevel="1">
      <c r="A4790" s="1248"/>
      <c r="B4790" s="425" t="s">
        <v>863</v>
      </c>
      <c r="C4790" s="498" t="s">
        <v>2</v>
      </c>
      <c r="D4790" s="485">
        <v>-1</v>
      </c>
      <c r="E4790" s="408">
        <v>6</v>
      </c>
      <c r="F4790" s="486">
        <v>2.8359999999999999</v>
      </c>
      <c r="G4790" s="486">
        <v>0.28599999999999998</v>
      </c>
      <c r="H4790" s="486">
        <v>0.15</v>
      </c>
      <c r="I4790" s="1163">
        <f t="shared" si="162"/>
        <v>-0.73</v>
      </c>
      <c r="J4790" s="404"/>
      <c r="K4790" s="1234"/>
      <c r="L4790" s="431"/>
      <c r="M4790" s="431"/>
      <c r="N4790" s="431"/>
    </row>
    <row r="4791" spans="1:14" s="398" customFormat="1" hidden="1" outlineLevel="1">
      <c r="A4791" s="1248"/>
      <c r="B4791" s="425"/>
      <c r="C4791" s="498" t="s">
        <v>2</v>
      </c>
      <c r="D4791" s="485">
        <v>-1</v>
      </c>
      <c r="E4791" s="408">
        <v>3</v>
      </c>
      <c r="F4791" s="486">
        <v>1.2</v>
      </c>
      <c r="G4791" s="486">
        <v>0.375</v>
      </c>
      <c r="H4791" s="486">
        <v>0.15</v>
      </c>
      <c r="I4791" s="1163">
        <f t="shared" si="162"/>
        <v>-0.2</v>
      </c>
      <c r="J4791" s="404"/>
      <c r="K4791" s="1234"/>
      <c r="L4791" s="431"/>
      <c r="M4791" s="431"/>
      <c r="N4791" s="431"/>
    </row>
    <row r="4792" spans="1:14" s="398" customFormat="1" hidden="1" outlineLevel="1">
      <c r="A4792" s="1248"/>
      <c r="B4792" s="425" t="s">
        <v>865</v>
      </c>
      <c r="C4792" s="498" t="s">
        <v>2</v>
      </c>
      <c r="D4792" s="485">
        <v>-1</v>
      </c>
      <c r="E4792" s="408">
        <v>1</v>
      </c>
      <c r="F4792" s="486">
        <v>3.823</v>
      </c>
      <c r="G4792" s="486">
        <v>3</v>
      </c>
      <c r="H4792" s="486">
        <v>0.15</v>
      </c>
      <c r="I4792" s="1163">
        <f t="shared" si="162"/>
        <v>-1.72</v>
      </c>
      <c r="J4792" s="404"/>
      <c r="K4792" s="1234"/>
      <c r="L4792" s="431"/>
      <c r="M4792" s="431"/>
      <c r="N4792" s="431"/>
    </row>
    <row r="4793" spans="1:14" s="398" customFormat="1" hidden="1" outlineLevel="1">
      <c r="A4793" s="1248"/>
      <c r="B4793" s="425" t="s">
        <v>865</v>
      </c>
      <c r="C4793" s="498" t="s">
        <v>2</v>
      </c>
      <c r="D4793" s="485">
        <v>-1</v>
      </c>
      <c r="E4793" s="408">
        <v>1</v>
      </c>
      <c r="F4793" s="486">
        <v>6</v>
      </c>
      <c r="G4793" s="486">
        <v>2</v>
      </c>
      <c r="H4793" s="486">
        <v>0.15</v>
      </c>
      <c r="I4793" s="1163">
        <f t="shared" si="162"/>
        <v>-1.8</v>
      </c>
      <c r="J4793" s="404"/>
      <c r="K4793" s="1234"/>
      <c r="L4793" s="431"/>
      <c r="M4793" s="431"/>
      <c r="N4793" s="431"/>
    </row>
    <row r="4794" spans="1:14" s="398" customFormat="1" hidden="1" outlineLevel="1">
      <c r="A4794" s="1278"/>
      <c r="B4794" s="426" t="s">
        <v>1305</v>
      </c>
      <c r="C4794" s="659" t="s">
        <v>2</v>
      </c>
      <c r="D4794" s="660">
        <v>-1</v>
      </c>
      <c r="E4794" s="661">
        <v>3</v>
      </c>
      <c r="F4794" s="662">
        <v>1.2</v>
      </c>
      <c r="G4794" s="662">
        <v>0.375</v>
      </c>
      <c r="H4794" s="662">
        <v>0.15</v>
      </c>
      <c r="I4794" s="1163">
        <f t="shared" si="162"/>
        <v>-0.2</v>
      </c>
      <c r="J4794" s="663"/>
      <c r="K4794" s="1290"/>
      <c r="L4794" s="431"/>
      <c r="M4794" s="431"/>
      <c r="N4794" s="431"/>
    </row>
    <row r="4795" spans="1:14" s="398" customFormat="1" hidden="1" outlineLevel="1">
      <c r="A4795" s="1278"/>
      <c r="B4795" s="426" t="s">
        <v>1306</v>
      </c>
      <c r="C4795" s="659" t="s">
        <v>2</v>
      </c>
      <c r="D4795" s="660">
        <v>-1</v>
      </c>
      <c r="E4795" s="661">
        <v>1</v>
      </c>
      <c r="F4795" s="662">
        <f>3.425+7.625+5.875</f>
        <v>16.925000000000001</v>
      </c>
      <c r="G4795" s="662">
        <v>0.23</v>
      </c>
      <c r="H4795" s="662">
        <v>0.15</v>
      </c>
      <c r="I4795" s="1163">
        <f t="shared" si="162"/>
        <v>-0.57999999999999996</v>
      </c>
      <c r="J4795" s="663"/>
      <c r="K4795" s="1290"/>
      <c r="L4795" s="431"/>
      <c r="M4795" s="431"/>
      <c r="N4795" s="431"/>
    </row>
    <row r="4796" spans="1:14" s="398" customFormat="1" hidden="1" outlineLevel="1">
      <c r="A4796" s="1248"/>
      <c r="B4796" s="425"/>
      <c r="C4796" s="498" t="s">
        <v>2</v>
      </c>
      <c r="D4796" s="485"/>
      <c r="E4796" s="408"/>
      <c r="F4796" s="486" t="s">
        <v>624</v>
      </c>
      <c r="G4796" s="486"/>
      <c r="H4796" s="486"/>
      <c r="I4796" s="1163" t="str">
        <f t="shared" si="162"/>
        <v/>
      </c>
      <c r="J4796" s="404"/>
      <c r="K4796" s="1234"/>
      <c r="L4796" s="431"/>
      <c r="M4796" s="431"/>
      <c r="N4796" s="431"/>
    </row>
    <row r="4797" spans="1:14" s="398" customFormat="1" ht="34.5" hidden="1" outlineLevel="1">
      <c r="A4797" s="1248"/>
      <c r="B4797" s="425" t="s">
        <v>905</v>
      </c>
      <c r="C4797" s="498" t="s">
        <v>2</v>
      </c>
      <c r="D4797" s="485">
        <v>1</v>
      </c>
      <c r="E4797" s="408">
        <v>1</v>
      </c>
      <c r="F4797" s="486">
        <f>77167523.3/1000000</f>
        <v>77.167523299999999</v>
      </c>
      <c r="G4797" s="486"/>
      <c r="H4797" s="486">
        <v>0.15</v>
      </c>
      <c r="I4797" s="1163">
        <f t="shared" si="162"/>
        <v>11.58</v>
      </c>
      <c r="J4797" s="404"/>
      <c r="K4797" s="1234" t="s">
        <v>624</v>
      </c>
      <c r="L4797" s="431"/>
      <c r="M4797" s="431"/>
      <c r="N4797" s="431"/>
    </row>
    <row r="4798" spans="1:14" s="398" customFormat="1" hidden="1" outlineLevel="1">
      <c r="A4798" s="1248"/>
      <c r="B4798" s="425" t="s">
        <v>906</v>
      </c>
      <c r="C4798" s="498" t="s">
        <v>2</v>
      </c>
      <c r="D4798" s="485">
        <v>1</v>
      </c>
      <c r="E4798" s="408">
        <v>1</v>
      </c>
      <c r="F4798" s="486">
        <f>294171028/1000000</f>
        <v>294.17102799999998</v>
      </c>
      <c r="G4798" s="486"/>
      <c r="H4798" s="486">
        <v>0.15</v>
      </c>
      <c r="I4798" s="1163">
        <f t="shared" si="162"/>
        <v>44.13</v>
      </c>
      <c r="J4798" s="404"/>
      <c r="K4798" s="1234"/>
      <c r="L4798" s="431"/>
      <c r="M4798" s="431"/>
      <c r="N4798" s="431"/>
    </row>
    <row r="4799" spans="1:14" s="398" customFormat="1" hidden="1" outlineLevel="1">
      <c r="A4799" s="1248"/>
      <c r="B4799" s="425" t="s">
        <v>871</v>
      </c>
      <c r="C4799" s="498" t="s">
        <v>2</v>
      </c>
      <c r="D4799" s="485">
        <v>-1</v>
      </c>
      <c r="E4799" s="408">
        <v>1</v>
      </c>
      <c r="F4799" s="486">
        <f>28784981.6/1000000</f>
        <v>28.784981600000002</v>
      </c>
      <c r="G4799" s="486"/>
      <c r="H4799" s="486">
        <v>0.15</v>
      </c>
      <c r="I4799" s="1163">
        <f t="shared" si="162"/>
        <v>-4.32</v>
      </c>
      <c r="J4799" s="404"/>
      <c r="K4799" s="1234"/>
      <c r="L4799" s="431"/>
      <c r="M4799" s="431"/>
      <c r="N4799" s="431"/>
    </row>
    <row r="4800" spans="1:14" s="398" customFormat="1" hidden="1" outlineLevel="1">
      <c r="A4800" s="1248"/>
      <c r="B4800" s="425"/>
      <c r="C4800" s="498" t="s">
        <v>2</v>
      </c>
      <c r="D4800" s="485">
        <v>-1</v>
      </c>
      <c r="E4800" s="408">
        <v>1</v>
      </c>
      <c r="F4800" s="486">
        <f>23245155.7/1000000</f>
        <v>23.245155699999998</v>
      </c>
      <c r="G4800" s="486"/>
      <c r="H4800" s="486">
        <v>0.15</v>
      </c>
      <c r="I4800" s="1163">
        <f t="shared" si="162"/>
        <v>-3.49</v>
      </c>
      <c r="J4800" s="404"/>
      <c r="K4800" s="1234"/>
      <c r="L4800" s="431"/>
      <c r="M4800" s="431"/>
      <c r="N4800" s="431"/>
    </row>
    <row r="4801" spans="1:14" s="398" customFormat="1" hidden="1" outlineLevel="1">
      <c r="A4801" s="1248"/>
      <c r="B4801" s="425"/>
      <c r="C4801" s="498" t="s">
        <v>2</v>
      </c>
      <c r="D4801" s="660">
        <v>-1</v>
      </c>
      <c r="E4801" s="661">
        <v>3</v>
      </c>
      <c r="F4801" s="662">
        <v>1.2</v>
      </c>
      <c r="G4801" s="662">
        <v>0.375</v>
      </c>
      <c r="H4801" s="662">
        <v>0.15</v>
      </c>
      <c r="I4801" s="1163">
        <f t="shared" si="162"/>
        <v>-0.2</v>
      </c>
      <c r="J4801" s="404"/>
      <c r="K4801" s="1234"/>
      <c r="L4801" s="431"/>
      <c r="M4801" s="431"/>
      <c r="N4801" s="431"/>
    </row>
    <row r="4802" spans="1:14" s="398" customFormat="1" ht="34.5" hidden="1" outlineLevel="1">
      <c r="A4802" s="1248"/>
      <c r="B4802" s="425" t="s">
        <v>907</v>
      </c>
      <c r="C4802" s="498" t="s">
        <v>2</v>
      </c>
      <c r="D4802" s="485">
        <v>1</v>
      </c>
      <c r="E4802" s="408">
        <v>3</v>
      </c>
      <c r="F4802" s="486">
        <v>2.9870000000000001</v>
      </c>
      <c r="G4802" s="486">
        <v>1.55</v>
      </c>
      <c r="H4802" s="486">
        <v>0.15</v>
      </c>
      <c r="I4802" s="1163">
        <f t="shared" si="162"/>
        <v>2.08</v>
      </c>
      <c r="J4802" s="404"/>
      <c r="K4802" s="1234"/>
      <c r="L4802" s="431"/>
      <c r="M4802" s="431"/>
      <c r="N4802" s="431"/>
    </row>
    <row r="4803" spans="1:14" s="398" customFormat="1" hidden="1" outlineLevel="1">
      <c r="A4803" s="1248"/>
      <c r="B4803" s="425"/>
      <c r="C4803" s="498" t="s">
        <v>2</v>
      </c>
      <c r="D4803" s="485">
        <v>1</v>
      </c>
      <c r="E4803" s="408">
        <v>1</v>
      </c>
      <c r="F4803" s="486">
        <v>2.9870000000000001</v>
      </c>
      <c r="G4803" s="486">
        <v>2</v>
      </c>
      <c r="H4803" s="486">
        <v>0.15</v>
      </c>
      <c r="I4803" s="1163">
        <f t="shared" si="162"/>
        <v>0.9</v>
      </c>
      <c r="J4803" s="404"/>
      <c r="K4803" s="1234"/>
      <c r="L4803" s="431"/>
      <c r="M4803" s="431"/>
      <c r="N4803" s="431"/>
    </row>
    <row r="4804" spans="1:14" s="398" customFormat="1" hidden="1" outlineLevel="1">
      <c r="A4804" s="1248"/>
      <c r="B4804" s="425"/>
      <c r="C4804" s="498" t="s">
        <v>2</v>
      </c>
      <c r="D4804" s="485">
        <v>1</v>
      </c>
      <c r="E4804" s="408">
        <v>1</v>
      </c>
      <c r="F4804" s="486">
        <v>2.9870000000000001</v>
      </c>
      <c r="G4804" s="486">
        <v>1.3</v>
      </c>
      <c r="H4804" s="486">
        <v>0.15</v>
      </c>
      <c r="I4804" s="1163">
        <f t="shared" si="162"/>
        <v>0.57999999999999996</v>
      </c>
      <c r="J4804" s="404"/>
      <c r="K4804" s="1234"/>
      <c r="L4804" s="431"/>
      <c r="M4804" s="431"/>
      <c r="N4804" s="431"/>
    </row>
    <row r="4805" spans="1:14" s="398" customFormat="1" hidden="1" outlineLevel="1">
      <c r="A4805" s="1248"/>
      <c r="B4805" s="425"/>
      <c r="C4805" s="498" t="s">
        <v>2</v>
      </c>
      <c r="D4805" s="485">
        <v>1</v>
      </c>
      <c r="E4805" s="408">
        <v>1</v>
      </c>
      <c r="F4805" s="486">
        <v>2.9870000000000001</v>
      </c>
      <c r="G4805" s="486">
        <v>1.8</v>
      </c>
      <c r="H4805" s="486">
        <v>0.15</v>
      </c>
      <c r="I4805" s="1163">
        <f t="shared" si="162"/>
        <v>0.81</v>
      </c>
      <c r="J4805" s="404"/>
      <c r="K4805" s="1234"/>
      <c r="L4805" s="431"/>
      <c r="M4805" s="431"/>
      <c r="N4805" s="431"/>
    </row>
    <row r="4806" spans="1:14" s="398" customFormat="1" hidden="1" outlineLevel="1">
      <c r="A4806" s="1248"/>
      <c r="B4806" s="425"/>
      <c r="C4806" s="498" t="s">
        <v>2</v>
      </c>
      <c r="D4806" s="485">
        <v>1</v>
      </c>
      <c r="E4806" s="408">
        <v>1</v>
      </c>
      <c r="F4806" s="486">
        <f>5107722.79935517/1000000</f>
        <v>5.1077227993551695</v>
      </c>
      <c r="G4806" s="486"/>
      <c r="H4806" s="486">
        <v>0.15</v>
      </c>
      <c r="I4806" s="1163">
        <f t="shared" si="162"/>
        <v>0.77</v>
      </c>
      <c r="J4806" s="404"/>
      <c r="K4806" s="1240" t="s">
        <v>624</v>
      </c>
      <c r="L4806" s="431"/>
      <c r="M4806" s="431"/>
      <c r="N4806" s="431"/>
    </row>
    <row r="4807" spans="1:14" s="398" customFormat="1" hidden="1" outlineLevel="1">
      <c r="A4807" s="1248"/>
      <c r="B4807" s="425"/>
      <c r="C4807" s="498" t="s">
        <v>2</v>
      </c>
      <c r="D4807" s="485">
        <v>1</v>
      </c>
      <c r="E4807" s="408">
        <v>1</v>
      </c>
      <c r="F4807" s="486">
        <f>7194023.56218905/1000000</f>
        <v>7.1940235621890496</v>
      </c>
      <c r="G4807" s="486"/>
      <c r="H4807" s="486">
        <v>0.15</v>
      </c>
      <c r="I4807" s="1163">
        <f t="shared" si="162"/>
        <v>1.08</v>
      </c>
      <c r="J4807" s="404"/>
      <c r="K4807" s="1240" t="s">
        <v>624</v>
      </c>
      <c r="L4807" s="431"/>
      <c r="M4807" s="431"/>
      <c r="N4807" s="431"/>
    </row>
    <row r="4808" spans="1:14" s="398" customFormat="1" hidden="1" outlineLevel="1">
      <c r="A4808" s="1248"/>
      <c r="B4808" s="425"/>
      <c r="C4808" s="498" t="s">
        <v>2</v>
      </c>
      <c r="D4808" s="485">
        <v>1</v>
      </c>
      <c r="E4808" s="408">
        <v>1</v>
      </c>
      <c r="F4808" s="486">
        <f>10768058.3/1000000</f>
        <v>10.7680583</v>
      </c>
      <c r="G4808" s="486"/>
      <c r="H4808" s="486">
        <v>0.15</v>
      </c>
      <c r="I4808" s="1163">
        <f t="shared" si="162"/>
        <v>1.62</v>
      </c>
      <c r="J4808" s="404"/>
      <c r="K4808" s="1240" t="s">
        <v>624</v>
      </c>
      <c r="L4808" s="431"/>
      <c r="M4808" s="431"/>
      <c r="N4808" s="431"/>
    </row>
    <row r="4809" spans="1:14" s="398" customFormat="1" hidden="1" outlineLevel="1">
      <c r="A4809" s="1248"/>
      <c r="B4809" s="425"/>
      <c r="C4809" s="498" t="s">
        <v>2</v>
      </c>
      <c r="D4809" s="485">
        <v>1</v>
      </c>
      <c r="E4809" s="408">
        <v>1</v>
      </c>
      <c r="F4809" s="662">
        <v>10.941000000000001</v>
      </c>
      <c r="G4809" s="486"/>
      <c r="H4809" s="486">
        <v>0.15</v>
      </c>
      <c r="I4809" s="1163">
        <f t="shared" si="162"/>
        <v>1.64</v>
      </c>
      <c r="J4809" s="404"/>
      <c r="K4809" s="1240" t="s">
        <v>624</v>
      </c>
      <c r="L4809" s="431"/>
      <c r="M4809" s="431"/>
      <c r="N4809" s="431"/>
    </row>
    <row r="4810" spans="1:14" s="398" customFormat="1" hidden="1" outlineLevel="1">
      <c r="A4810" s="1248"/>
      <c r="B4810" s="425"/>
      <c r="C4810" s="498" t="s">
        <v>2</v>
      </c>
      <c r="D4810" s="485">
        <v>1</v>
      </c>
      <c r="E4810" s="408">
        <v>1</v>
      </c>
      <c r="F4810" s="486">
        <f>17500558.3/1000000</f>
        <v>17.500558300000002</v>
      </c>
      <c r="G4810" s="486"/>
      <c r="H4810" s="486">
        <v>0.15</v>
      </c>
      <c r="I4810" s="1163">
        <f t="shared" si="162"/>
        <v>2.63</v>
      </c>
      <c r="J4810" s="404"/>
      <c r="K4810" s="1240" t="s">
        <v>624</v>
      </c>
      <c r="L4810" s="431"/>
      <c r="M4810" s="431"/>
      <c r="N4810" s="431"/>
    </row>
    <row r="4811" spans="1:14" s="398" customFormat="1" ht="34.5" hidden="1" outlineLevel="1">
      <c r="A4811" s="1248"/>
      <c r="B4811" s="425" t="s">
        <v>908</v>
      </c>
      <c r="C4811" s="498" t="s">
        <v>2</v>
      </c>
      <c r="D4811" s="485">
        <v>1</v>
      </c>
      <c r="E4811" s="408">
        <v>1</v>
      </c>
      <c r="F4811" s="486">
        <f>67218918.5/1000000</f>
        <v>67.218918500000001</v>
      </c>
      <c r="G4811" s="486"/>
      <c r="H4811" s="486">
        <v>0.15</v>
      </c>
      <c r="I4811" s="1163">
        <f t="shared" si="162"/>
        <v>10.08</v>
      </c>
      <c r="J4811" s="404"/>
      <c r="K4811" s="1240" t="s">
        <v>624</v>
      </c>
      <c r="L4811" s="431"/>
      <c r="M4811" s="431"/>
      <c r="N4811" s="431"/>
    </row>
    <row r="4812" spans="1:14" s="398" customFormat="1" hidden="1" outlineLevel="1">
      <c r="A4812" s="1248"/>
      <c r="B4812" s="425" t="s">
        <v>864</v>
      </c>
      <c r="C4812" s="498" t="s">
        <v>2</v>
      </c>
      <c r="D4812" s="485">
        <v>-1</v>
      </c>
      <c r="E4812" s="408">
        <v>2</v>
      </c>
      <c r="F4812" s="486">
        <v>6.6390000000000002</v>
      </c>
      <c r="G4812" s="486">
        <v>0.6</v>
      </c>
      <c r="H4812" s="486">
        <v>0.15</v>
      </c>
      <c r="I4812" s="1163">
        <f t="shared" si="162"/>
        <v>-1.2</v>
      </c>
      <c r="J4812" s="404"/>
      <c r="K4812" s="1234"/>
      <c r="L4812" s="431"/>
      <c r="M4812" s="431"/>
      <c r="N4812" s="431"/>
    </row>
    <row r="4813" spans="1:14" s="398" customFormat="1" hidden="1" outlineLevel="1">
      <c r="A4813" s="1248"/>
      <c r="B4813" s="425"/>
      <c r="C4813" s="498" t="s">
        <v>2</v>
      </c>
      <c r="D4813" s="485">
        <v>-1</v>
      </c>
      <c r="E4813" s="408">
        <v>1</v>
      </c>
      <c r="F4813" s="486">
        <v>5.7249999999999996</v>
      </c>
      <c r="G4813" s="486">
        <v>0.6</v>
      </c>
      <c r="H4813" s="486">
        <v>0.15</v>
      </c>
      <c r="I4813" s="1163">
        <f t="shared" si="162"/>
        <v>-0.52</v>
      </c>
      <c r="J4813" s="404"/>
      <c r="K4813" s="1234"/>
      <c r="L4813" s="431"/>
      <c r="M4813" s="431"/>
      <c r="N4813" s="431"/>
    </row>
    <row r="4814" spans="1:14" s="398" customFormat="1" hidden="1" outlineLevel="1">
      <c r="A4814" s="1248"/>
      <c r="B4814" s="425"/>
      <c r="C4814" s="498" t="s">
        <v>2</v>
      </c>
      <c r="D4814" s="485">
        <v>-1</v>
      </c>
      <c r="E4814" s="408">
        <v>1</v>
      </c>
      <c r="F4814" s="486">
        <v>3.589</v>
      </c>
      <c r="G4814" s="486">
        <v>0.6</v>
      </c>
      <c r="H4814" s="486">
        <v>0.15</v>
      </c>
      <c r="I4814" s="1163">
        <f t="shared" si="162"/>
        <v>-0.32</v>
      </c>
      <c r="J4814" s="404"/>
      <c r="K4814" s="1234"/>
      <c r="L4814" s="431"/>
      <c r="M4814" s="431"/>
      <c r="N4814" s="431"/>
    </row>
    <row r="4815" spans="1:14" s="398" customFormat="1" ht="34.5" hidden="1" outlineLevel="1">
      <c r="A4815" s="1248"/>
      <c r="B4815" s="425" t="s">
        <v>909</v>
      </c>
      <c r="C4815" s="498" t="s">
        <v>2</v>
      </c>
      <c r="D4815" s="485">
        <v>1</v>
      </c>
      <c r="E4815" s="408">
        <v>1</v>
      </c>
      <c r="F4815" s="486">
        <f>135070283/1000000</f>
        <v>135.07028299999999</v>
      </c>
      <c r="G4815" s="486"/>
      <c r="H4815" s="486">
        <v>0.15</v>
      </c>
      <c r="I4815" s="1163">
        <f t="shared" si="162"/>
        <v>20.260000000000002</v>
      </c>
      <c r="J4815" s="404"/>
      <c r="K4815" s="1240" t="s">
        <v>624</v>
      </c>
      <c r="L4815" s="431"/>
      <c r="M4815" s="431"/>
      <c r="N4815" s="431"/>
    </row>
    <row r="4816" spans="1:14" s="398" customFormat="1" ht="34.5" hidden="1" outlineLevel="1">
      <c r="A4816" s="1248"/>
      <c r="B4816" s="425" t="s">
        <v>910</v>
      </c>
      <c r="C4816" s="498" t="s">
        <v>2</v>
      </c>
      <c r="D4816" s="485">
        <v>1</v>
      </c>
      <c r="E4816" s="408">
        <v>1</v>
      </c>
      <c r="F4816" s="486">
        <f>500229897/1000000</f>
        <v>500.22989699999999</v>
      </c>
      <c r="G4816" s="486"/>
      <c r="H4816" s="486">
        <v>0.15</v>
      </c>
      <c r="I4816" s="1163">
        <f t="shared" si="162"/>
        <v>75.03</v>
      </c>
      <c r="J4816" s="404"/>
      <c r="K4816" s="1240" t="s">
        <v>624</v>
      </c>
      <c r="L4816" s="431"/>
      <c r="M4816" s="431"/>
      <c r="N4816" s="431"/>
    </row>
    <row r="4817" spans="1:14" s="398" customFormat="1" hidden="1" outlineLevel="1">
      <c r="A4817" s="1248"/>
      <c r="B4817" s="425" t="s">
        <v>872</v>
      </c>
      <c r="C4817" s="498" t="s">
        <v>2</v>
      </c>
      <c r="D4817" s="485">
        <v>-1</v>
      </c>
      <c r="E4817" s="408">
        <v>1</v>
      </c>
      <c r="F4817" s="486">
        <v>0.999</v>
      </c>
      <c r="G4817" s="486">
        <v>1.2</v>
      </c>
      <c r="H4817" s="486">
        <v>0.15</v>
      </c>
      <c r="I4817" s="1163">
        <f t="shared" si="162"/>
        <v>-0.18</v>
      </c>
      <c r="J4817" s="404"/>
      <c r="K4817" s="1234"/>
      <c r="L4817" s="431"/>
      <c r="M4817" s="431"/>
      <c r="N4817" s="431"/>
    </row>
    <row r="4818" spans="1:14" s="398" customFormat="1" hidden="1" outlineLevel="1">
      <c r="A4818" s="1248"/>
      <c r="B4818" s="425"/>
      <c r="C4818" s="498" t="s">
        <v>2</v>
      </c>
      <c r="D4818" s="485">
        <v>-1</v>
      </c>
      <c r="E4818" s="408">
        <v>1</v>
      </c>
      <c r="F4818" s="486">
        <v>5.85</v>
      </c>
      <c r="G4818" s="486">
        <v>1.2</v>
      </c>
      <c r="H4818" s="486">
        <v>0.15</v>
      </c>
      <c r="I4818" s="1163">
        <f t="shared" si="162"/>
        <v>-1.05</v>
      </c>
      <c r="J4818" s="404"/>
      <c r="K4818" s="1234"/>
      <c r="L4818" s="431"/>
      <c r="M4818" s="431"/>
      <c r="N4818" s="431"/>
    </row>
    <row r="4819" spans="1:14" s="398" customFormat="1" hidden="1" outlineLevel="1">
      <c r="A4819" s="1248"/>
      <c r="B4819" s="425"/>
      <c r="C4819" s="498" t="s">
        <v>2</v>
      </c>
      <c r="D4819" s="485">
        <v>-1</v>
      </c>
      <c r="E4819" s="408">
        <v>1</v>
      </c>
      <c r="F4819" s="486">
        <v>5.024</v>
      </c>
      <c r="G4819" s="486">
        <v>1.2</v>
      </c>
      <c r="H4819" s="486">
        <v>0.15</v>
      </c>
      <c r="I4819" s="1163">
        <f t="shared" si="162"/>
        <v>-0.9</v>
      </c>
      <c r="J4819" s="404"/>
      <c r="K4819" s="1234"/>
      <c r="L4819" s="431"/>
      <c r="M4819" s="431"/>
      <c r="N4819" s="431"/>
    </row>
    <row r="4820" spans="1:14" s="398" customFormat="1" hidden="1" outlineLevel="1">
      <c r="A4820" s="1248"/>
      <c r="B4820" s="425"/>
      <c r="C4820" s="498" t="s">
        <v>2</v>
      </c>
      <c r="D4820" s="485">
        <v>-1</v>
      </c>
      <c r="E4820" s="408">
        <v>1</v>
      </c>
      <c r="F4820" s="486">
        <v>2.399</v>
      </c>
      <c r="G4820" s="486">
        <v>1.2</v>
      </c>
      <c r="H4820" s="486">
        <v>0.15</v>
      </c>
      <c r="I4820" s="1163">
        <f t="shared" si="162"/>
        <v>-0.43</v>
      </c>
      <c r="J4820" s="404"/>
      <c r="K4820" s="1234"/>
      <c r="L4820" s="431"/>
      <c r="M4820" s="431"/>
      <c r="N4820" s="431"/>
    </row>
    <row r="4821" spans="1:14" s="398" customFormat="1" hidden="1" outlineLevel="1">
      <c r="A4821" s="1248"/>
      <c r="B4821" s="425" t="s">
        <v>865</v>
      </c>
      <c r="C4821" s="498" t="s">
        <v>2</v>
      </c>
      <c r="D4821" s="485">
        <v>-1</v>
      </c>
      <c r="E4821" s="408">
        <v>1</v>
      </c>
      <c r="F4821" s="486">
        <v>3.823</v>
      </c>
      <c r="G4821" s="486">
        <v>3</v>
      </c>
      <c r="H4821" s="486">
        <v>0.15</v>
      </c>
      <c r="I4821" s="1163">
        <f t="shared" si="162"/>
        <v>-1.72</v>
      </c>
      <c r="J4821" s="404"/>
      <c r="K4821" s="1234"/>
      <c r="L4821" s="431"/>
      <c r="M4821" s="431"/>
      <c r="N4821" s="431"/>
    </row>
    <row r="4822" spans="1:14" s="398" customFormat="1" hidden="1" outlineLevel="1">
      <c r="A4822" s="1248"/>
      <c r="B4822" s="425" t="s">
        <v>865</v>
      </c>
      <c r="C4822" s="498" t="s">
        <v>2</v>
      </c>
      <c r="D4822" s="485">
        <v>-1</v>
      </c>
      <c r="E4822" s="408">
        <v>1</v>
      </c>
      <c r="F4822" s="486">
        <v>6</v>
      </c>
      <c r="G4822" s="486">
        <v>2</v>
      </c>
      <c r="H4822" s="486">
        <v>0.15</v>
      </c>
      <c r="I4822" s="1163">
        <f t="shared" si="162"/>
        <v>-1.8</v>
      </c>
      <c r="J4822" s="404"/>
      <c r="K4822" s="1234"/>
      <c r="L4822" s="431"/>
      <c r="M4822" s="431"/>
      <c r="N4822" s="431"/>
    </row>
    <row r="4823" spans="1:14" s="398" customFormat="1" hidden="1" outlineLevel="1">
      <c r="A4823" s="1248"/>
      <c r="B4823" s="425" t="s">
        <v>873</v>
      </c>
      <c r="C4823" s="498" t="s">
        <v>2</v>
      </c>
      <c r="D4823" s="485">
        <v>-1</v>
      </c>
      <c r="E4823" s="408">
        <v>5</v>
      </c>
      <c r="F4823" s="486">
        <v>5.8</v>
      </c>
      <c r="G4823" s="486">
        <v>0.8</v>
      </c>
      <c r="H4823" s="486">
        <v>0.15</v>
      </c>
      <c r="I4823" s="1163">
        <f t="shared" si="162"/>
        <v>-3.48</v>
      </c>
      <c r="J4823" s="404"/>
      <c r="K4823" s="1234"/>
      <c r="L4823" s="431"/>
      <c r="M4823" s="431"/>
      <c r="N4823" s="431"/>
    </row>
    <row r="4824" spans="1:14" s="398" customFormat="1" ht="34.5" hidden="1" outlineLevel="1">
      <c r="A4824" s="1248"/>
      <c r="B4824" s="425" t="s">
        <v>874</v>
      </c>
      <c r="C4824" s="498" t="s">
        <v>2</v>
      </c>
      <c r="D4824" s="485">
        <v>-1</v>
      </c>
      <c r="E4824" s="408">
        <v>8</v>
      </c>
      <c r="F4824" s="486">
        <v>4.5</v>
      </c>
      <c r="G4824" s="486">
        <v>1</v>
      </c>
      <c r="H4824" s="486">
        <v>0.15</v>
      </c>
      <c r="I4824" s="1163">
        <f t="shared" si="162"/>
        <v>-5.4</v>
      </c>
      <c r="J4824" s="404"/>
      <c r="K4824" s="1234"/>
      <c r="L4824" s="431"/>
      <c r="M4824" s="431"/>
      <c r="N4824" s="431"/>
    </row>
    <row r="4825" spans="1:14" s="398" customFormat="1" hidden="1" outlineLevel="1">
      <c r="A4825" s="1248"/>
      <c r="B4825" s="425" t="s">
        <v>863</v>
      </c>
      <c r="C4825" s="498" t="s">
        <v>2</v>
      </c>
      <c r="D4825" s="485">
        <v>-1</v>
      </c>
      <c r="E4825" s="408">
        <v>6</v>
      </c>
      <c r="F4825" s="486">
        <v>2.8359999999999999</v>
      </c>
      <c r="G4825" s="486">
        <v>0.28599999999999998</v>
      </c>
      <c r="H4825" s="486">
        <v>0.15</v>
      </c>
      <c r="I4825" s="1163">
        <f t="shared" si="162"/>
        <v>-0.73</v>
      </c>
      <c r="J4825" s="404"/>
      <c r="K4825" s="1234"/>
      <c r="L4825" s="431"/>
      <c r="M4825" s="431"/>
      <c r="N4825" s="431"/>
    </row>
    <row r="4826" spans="1:14" s="398" customFormat="1" hidden="1" outlineLevel="1">
      <c r="A4826" s="1248"/>
      <c r="B4826" s="425"/>
      <c r="C4826" s="498" t="s">
        <v>2</v>
      </c>
      <c r="D4826" s="660">
        <v>-1</v>
      </c>
      <c r="E4826" s="661">
        <v>4</v>
      </c>
      <c r="F4826" s="662">
        <v>7.625</v>
      </c>
      <c r="G4826" s="662">
        <v>0.23</v>
      </c>
      <c r="H4826" s="662">
        <v>0.15</v>
      </c>
      <c r="I4826" s="1163">
        <f t="shared" si="162"/>
        <v>-1.05</v>
      </c>
      <c r="J4826" s="404"/>
      <c r="K4826" s="1234"/>
      <c r="L4826" s="431"/>
      <c r="M4826" s="431"/>
      <c r="N4826" s="431"/>
    </row>
    <row r="4827" spans="1:14" s="398" customFormat="1" hidden="1" outlineLevel="1">
      <c r="A4827" s="1248"/>
      <c r="B4827" s="425" t="s">
        <v>911</v>
      </c>
      <c r="C4827" s="498" t="s">
        <v>2</v>
      </c>
      <c r="D4827" s="485">
        <v>1</v>
      </c>
      <c r="E4827" s="408">
        <v>1</v>
      </c>
      <c r="F4827" s="486">
        <f>293788887/1000000</f>
        <v>293.78888699999999</v>
      </c>
      <c r="G4827" s="486"/>
      <c r="H4827" s="486">
        <v>0.15</v>
      </c>
      <c r="I4827" s="1163">
        <f t="shared" si="162"/>
        <v>44.07</v>
      </c>
      <c r="J4827" s="404"/>
      <c r="K4827" s="1240" t="s">
        <v>624</v>
      </c>
      <c r="L4827" s="431"/>
      <c r="M4827" s="431"/>
      <c r="N4827" s="431"/>
    </row>
    <row r="4828" spans="1:14" s="398" customFormat="1" hidden="1" outlineLevel="1">
      <c r="A4828" s="1248"/>
      <c r="B4828" s="425" t="s">
        <v>875</v>
      </c>
      <c r="C4828" s="498" t="s">
        <v>2</v>
      </c>
      <c r="D4828" s="485">
        <v>-1</v>
      </c>
      <c r="E4828" s="408">
        <v>1</v>
      </c>
      <c r="F4828" s="486">
        <f>61388476.9/1000000</f>
        <v>61.388476900000001</v>
      </c>
      <c r="G4828" s="486"/>
      <c r="H4828" s="486">
        <v>0.15</v>
      </c>
      <c r="I4828" s="1163">
        <f t="shared" si="162"/>
        <v>-9.2100000000000009</v>
      </c>
      <c r="J4828" s="404"/>
      <c r="K4828" s="1240" t="s">
        <v>624</v>
      </c>
      <c r="L4828" s="431"/>
      <c r="M4828" s="431"/>
      <c r="N4828" s="431"/>
    </row>
    <row r="4829" spans="1:14" s="398" customFormat="1" hidden="1" outlineLevel="1">
      <c r="A4829" s="1248"/>
      <c r="B4829" s="425"/>
      <c r="C4829" s="498" t="s">
        <v>2</v>
      </c>
      <c r="D4829" s="485"/>
      <c r="E4829" s="408"/>
      <c r="F4829" s="486"/>
      <c r="G4829" s="486"/>
      <c r="H4829" s="486"/>
      <c r="I4829" s="1163" t="str">
        <f t="shared" si="162"/>
        <v/>
      </c>
      <c r="J4829" s="404"/>
      <c r="K4829" s="1234"/>
      <c r="L4829" s="431"/>
      <c r="M4829" s="431"/>
      <c r="N4829" s="431"/>
    </row>
    <row r="4830" spans="1:14" s="398" customFormat="1" ht="34.5" hidden="1" outlineLevel="1">
      <c r="A4830" s="1248"/>
      <c r="B4830" s="425" t="s">
        <v>912</v>
      </c>
      <c r="C4830" s="498" t="s">
        <v>2</v>
      </c>
      <c r="D4830" s="485">
        <v>1</v>
      </c>
      <c r="E4830" s="408">
        <v>1</v>
      </c>
      <c r="F4830" s="486">
        <v>31.5</v>
      </c>
      <c r="G4830" s="662">
        <v>1.9850000000000001</v>
      </c>
      <c r="H4830" s="486">
        <v>0.15</v>
      </c>
      <c r="I4830" s="1163">
        <f t="shared" si="162"/>
        <v>9.3800000000000008</v>
      </c>
      <c r="J4830" s="404"/>
      <c r="K4830" s="1234"/>
      <c r="L4830" s="431"/>
      <c r="M4830" s="431"/>
      <c r="N4830" s="431"/>
    </row>
    <row r="4831" spans="1:14" s="398" customFormat="1" hidden="1" outlineLevel="1">
      <c r="A4831" s="1248"/>
      <c r="B4831" s="425" t="s">
        <v>684</v>
      </c>
      <c r="C4831" s="498" t="s">
        <v>2</v>
      </c>
      <c r="D4831" s="485">
        <v>-1</v>
      </c>
      <c r="E4831" s="408">
        <v>4</v>
      </c>
      <c r="F4831" s="486">
        <v>1.2</v>
      </c>
      <c r="G4831" s="486">
        <v>0.375</v>
      </c>
      <c r="H4831" s="486">
        <v>0.15</v>
      </c>
      <c r="I4831" s="1163">
        <f t="shared" si="162"/>
        <v>-0.27</v>
      </c>
      <c r="J4831" s="404"/>
      <c r="K4831" s="1234"/>
      <c r="L4831" s="431"/>
      <c r="M4831" s="431"/>
      <c r="N4831" s="431"/>
    </row>
    <row r="4832" spans="1:14" s="398" customFormat="1" ht="34.5" hidden="1" outlineLevel="1">
      <c r="A4832" s="1248"/>
      <c r="B4832" s="425" t="s">
        <v>913</v>
      </c>
      <c r="C4832" s="498" t="s">
        <v>2</v>
      </c>
      <c r="D4832" s="485">
        <v>1</v>
      </c>
      <c r="E4832" s="408">
        <v>1</v>
      </c>
      <c r="F4832" s="486">
        <v>37.9</v>
      </c>
      <c r="G4832" s="486">
        <v>4.5049999999999999</v>
      </c>
      <c r="H4832" s="486">
        <v>0.15</v>
      </c>
      <c r="I4832" s="1163">
        <f t="shared" si="162"/>
        <v>25.61</v>
      </c>
      <c r="J4832" s="404"/>
      <c r="K4832" s="1234"/>
      <c r="L4832" s="431"/>
      <c r="M4832" s="431"/>
      <c r="N4832" s="431"/>
    </row>
    <row r="4833" spans="1:14" s="398" customFormat="1" hidden="1" outlineLevel="1">
      <c r="A4833" s="1248"/>
      <c r="B4833" s="425"/>
      <c r="C4833" s="498" t="s">
        <v>2</v>
      </c>
      <c r="D4833" s="660">
        <v>-1</v>
      </c>
      <c r="E4833" s="661">
        <v>5</v>
      </c>
      <c r="F4833" s="662">
        <v>7.625</v>
      </c>
      <c r="G4833" s="662">
        <v>0.23</v>
      </c>
      <c r="H4833" s="662">
        <v>0.15</v>
      </c>
      <c r="I4833" s="1163">
        <f t="shared" si="162"/>
        <v>-1.32</v>
      </c>
      <c r="J4833" s="404"/>
      <c r="K4833" s="1234"/>
      <c r="L4833" s="431"/>
      <c r="M4833" s="431"/>
      <c r="N4833" s="431"/>
    </row>
    <row r="4834" spans="1:14" s="398" customFormat="1" hidden="1" outlineLevel="1">
      <c r="A4834" s="1248"/>
      <c r="B4834" s="425" t="s">
        <v>684</v>
      </c>
      <c r="C4834" s="498" t="s">
        <v>2</v>
      </c>
      <c r="D4834" s="485">
        <v>-1</v>
      </c>
      <c r="E4834" s="408">
        <v>5</v>
      </c>
      <c r="F4834" s="486">
        <v>1.2</v>
      </c>
      <c r="G4834" s="486">
        <v>0.375</v>
      </c>
      <c r="H4834" s="486">
        <v>0.15</v>
      </c>
      <c r="I4834" s="1163">
        <f t="shared" si="162"/>
        <v>-0.34</v>
      </c>
      <c r="J4834" s="404"/>
      <c r="K4834" s="1234"/>
      <c r="L4834" s="431"/>
      <c r="M4834" s="431"/>
      <c r="N4834" s="431"/>
    </row>
    <row r="4835" spans="1:14" s="398" customFormat="1" ht="34.5" hidden="1" outlineLevel="1">
      <c r="A4835" s="1248"/>
      <c r="B4835" s="425" t="s">
        <v>914</v>
      </c>
      <c r="C4835" s="498" t="s">
        <v>2</v>
      </c>
      <c r="D4835" s="485">
        <v>1</v>
      </c>
      <c r="E4835" s="408">
        <v>1</v>
      </c>
      <c r="F4835" s="486">
        <f>(24.641+24.616)/2</f>
        <v>24.628499999999999</v>
      </c>
      <c r="G4835" s="486">
        <v>13.365</v>
      </c>
      <c r="H4835" s="486">
        <v>0.15</v>
      </c>
      <c r="I4835" s="1163">
        <f t="shared" si="162"/>
        <v>49.37</v>
      </c>
      <c r="J4835" s="404"/>
      <c r="K4835" s="1234"/>
      <c r="L4835" s="431"/>
      <c r="M4835" s="431"/>
      <c r="N4835" s="431"/>
    </row>
    <row r="4836" spans="1:14" s="398" customFormat="1" hidden="1" outlineLevel="1">
      <c r="A4836" s="1248"/>
      <c r="B4836" s="425" t="s">
        <v>684</v>
      </c>
      <c r="C4836" s="498" t="s">
        <v>2</v>
      </c>
      <c r="D4836" s="485">
        <v>-1</v>
      </c>
      <c r="E4836" s="408">
        <v>5</v>
      </c>
      <c r="F4836" s="486">
        <v>1.2</v>
      </c>
      <c r="G4836" s="486">
        <v>0.375</v>
      </c>
      <c r="H4836" s="486">
        <v>0.15</v>
      </c>
      <c r="I4836" s="1163">
        <f t="shared" ref="I4836:I4878" si="163">IF(D4836&lt;&gt;0,ROUND(PRODUCT(E4836:H4836)*D4836,2),"")</f>
        <v>-0.34</v>
      </c>
      <c r="J4836" s="404"/>
      <c r="K4836" s="1234"/>
      <c r="L4836" s="431"/>
      <c r="M4836" s="431"/>
      <c r="N4836" s="431"/>
    </row>
    <row r="4837" spans="1:14" s="398" customFormat="1" hidden="1" outlineLevel="1">
      <c r="A4837" s="1248"/>
      <c r="B4837" s="425" t="s">
        <v>872</v>
      </c>
      <c r="C4837" s="498" t="s">
        <v>2</v>
      </c>
      <c r="D4837" s="485">
        <v>-1</v>
      </c>
      <c r="E4837" s="408">
        <v>1</v>
      </c>
      <c r="F4837" s="486">
        <f>82662326.3/1000000</f>
        <v>82.662326300000004</v>
      </c>
      <c r="G4837" s="486"/>
      <c r="H4837" s="486">
        <v>0.15</v>
      </c>
      <c r="I4837" s="1163">
        <f t="shared" si="163"/>
        <v>-12.4</v>
      </c>
      <c r="J4837" s="404"/>
      <c r="K4837" s="1240" t="s">
        <v>624</v>
      </c>
      <c r="L4837" s="431"/>
      <c r="M4837" s="431"/>
      <c r="N4837" s="431"/>
    </row>
    <row r="4838" spans="1:14" s="398" customFormat="1" hidden="1" outlineLevel="1">
      <c r="A4838" s="1248"/>
      <c r="B4838" s="425" t="s">
        <v>915</v>
      </c>
      <c r="C4838" s="498" t="s">
        <v>2</v>
      </c>
      <c r="D4838" s="485">
        <v>1</v>
      </c>
      <c r="E4838" s="408">
        <v>1</v>
      </c>
      <c r="F4838" s="662">
        <v>93.578000000000003</v>
      </c>
      <c r="G4838" s="486"/>
      <c r="H4838" s="486">
        <v>0.15</v>
      </c>
      <c r="I4838" s="1163">
        <f t="shared" si="163"/>
        <v>14.04</v>
      </c>
      <c r="J4838" s="404"/>
      <c r="K4838" s="1240" t="s">
        <v>624</v>
      </c>
      <c r="L4838" s="431"/>
      <c r="M4838" s="431"/>
      <c r="N4838" s="431"/>
    </row>
    <row r="4839" spans="1:14" s="398" customFormat="1" ht="34.5" hidden="1" outlineLevel="1">
      <c r="A4839" s="1248"/>
      <c r="B4839" s="425" t="s">
        <v>916</v>
      </c>
      <c r="C4839" s="498" t="s">
        <v>2</v>
      </c>
      <c r="D4839" s="485">
        <v>1</v>
      </c>
      <c r="E4839" s="408">
        <v>1</v>
      </c>
      <c r="F4839" s="486">
        <f>508597119/1000000</f>
        <v>508.59711900000002</v>
      </c>
      <c r="G4839" s="486"/>
      <c r="H4839" s="486">
        <v>0.15</v>
      </c>
      <c r="I4839" s="1163">
        <f t="shared" si="163"/>
        <v>76.290000000000006</v>
      </c>
      <c r="J4839" s="404"/>
      <c r="K4839" s="1240" t="s">
        <v>624</v>
      </c>
      <c r="L4839" s="431"/>
      <c r="M4839" s="431"/>
      <c r="N4839" s="431"/>
    </row>
    <row r="4840" spans="1:14" s="398" customFormat="1" hidden="1" outlineLevel="1">
      <c r="A4840" s="1248"/>
      <c r="B4840" s="425" t="s">
        <v>876</v>
      </c>
      <c r="C4840" s="498" t="s">
        <v>2</v>
      </c>
      <c r="D4840" s="485">
        <v>1</v>
      </c>
      <c r="E4840" s="408">
        <v>1</v>
      </c>
      <c r="F4840" s="486">
        <f>47996548.6/1000000</f>
        <v>47.996548600000004</v>
      </c>
      <c r="G4840" s="486"/>
      <c r="H4840" s="486">
        <v>0.15</v>
      </c>
      <c r="I4840" s="1163">
        <f t="shared" si="163"/>
        <v>7.2</v>
      </c>
      <c r="J4840" s="404"/>
      <c r="K4840" s="1240" t="s">
        <v>624</v>
      </c>
      <c r="L4840" s="431"/>
      <c r="M4840" s="431"/>
      <c r="N4840" s="431"/>
    </row>
    <row r="4841" spans="1:14" s="398" customFormat="1" hidden="1" outlineLevel="1">
      <c r="A4841" s="1248"/>
      <c r="B4841" s="425" t="s">
        <v>872</v>
      </c>
      <c r="C4841" s="498" t="s">
        <v>2</v>
      </c>
      <c r="D4841" s="485">
        <v>-1</v>
      </c>
      <c r="E4841" s="408">
        <v>1</v>
      </c>
      <c r="F4841" s="486">
        <v>5.0250000000000004</v>
      </c>
      <c r="G4841" s="486">
        <v>1.2</v>
      </c>
      <c r="H4841" s="486">
        <v>0.15</v>
      </c>
      <c r="I4841" s="1163">
        <f t="shared" si="163"/>
        <v>-0.9</v>
      </c>
      <c r="J4841" s="404"/>
      <c r="K4841" s="1234"/>
      <c r="L4841" s="431"/>
      <c r="M4841" s="431"/>
      <c r="N4841" s="431"/>
    </row>
    <row r="4842" spans="1:14" s="398" customFormat="1" hidden="1" outlineLevel="1">
      <c r="A4842" s="1248"/>
      <c r="B4842" s="425"/>
      <c r="C4842" s="498" t="s">
        <v>2</v>
      </c>
      <c r="D4842" s="485">
        <v>-1</v>
      </c>
      <c r="E4842" s="408">
        <v>1</v>
      </c>
      <c r="F4842" s="486">
        <v>5.85</v>
      </c>
      <c r="G4842" s="486">
        <v>1.2</v>
      </c>
      <c r="H4842" s="486">
        <v>0.15</v>
      </c>
      <c r="I4842" s="1163">
        <f t="shared" si="163"/>
        <v>-1.05</v>
      </c>
      <c r="J4842" s="404"/>
      <c r="K4842" s="1234"/>
      <c r="L4842" s="431"/>
      <c r="M4842" s="431"/>
      <c r="N4842" s="431"/>
    </row>
    <row r="4843" spans="1:14" s="398" customFormat="1" hidden="1" outlineLevel="1">
      <c r="A4843" s="1248"/>
      <c r="B4843" s="425" t="s">
        <v>865</v>
      </c>
      <c r="C4843" s="498" t="s">
        <v>2</v>
      </c>
      <c r="D4843" s="485">
        <v>-1</v>
      </c>
      <c r="E4843" s="408">
        <v>1</v>
      </c>
      <c r="F4843" s="486">
        <v>3.823</v>
      </c>
      <c r="G4843" s="486">
        <v>3</v>
      </c>
      <c r="H4843" s="486">
        <v>0.15</v>
      </c>
      <c r="I4843" s="1163">
        <f t="shared" si="163"/>
        <v>-1.72</v>
      </c>
      <c r="J4843" s="404"/>
      <c r="K4843" s="1234"/>
      <c r="L4843" s="431"/>
      <c r="M4843" s="431"/>
      <c r="N4843" s="431"/>
    </row>
    <row r="4844" spans="1:14" s="398" customFormat="1" hidden="1" outlineLevel="1">
      <c r="A4844" s="1248"/>
      <c r="B4844" s="425" t="s">
        <v>865</v>
      </c>
      <c r="C4844" s="498" t="s">
        <v>2</v>
      </c>
      <c r="D4844" s="485">
        <v>-1</v>
      </c>
      <c r="E4844" s="408">
        <v>1</v>
      </c>
      <c r="F4844" s="486">
        <v>6</v>
      </c>
      <c r="G4844" s="486">
        <v>2</v>
      </c>
      <c r="H4844" s="486">
        <v>0.15</v>
      </c>
      <c r="I4844" s="1163">
        <f t="shared" si="163"/>
        <v>-1.8</v>
      </c>
      <c r="J4844" s="404"/>
      <c r="K4844" s="1234"/>
      <c r="L4844" s="431"/>
      <c r="M4844" s="431"/>
      <c r="N4844" s="431"/>
    </row>
    <row r="4845" spans="1:14" s="398" customFormat="1" hidden="1" outlineLevel="1">
      <c r="A4845" s="1248"/>
      <c r="B4845" s="425" t="s">
        <v>873</v>
      </c>
      <c r="C4845" s="498" t="s">
        <v>2</v>
      </c>
      <c r="D4845" s="485">
        <v>-1</v>
      </c>
      <c r="E4845" s="408">
        <v>5</v>
      </c>
      <c r="F4845" s="486">
        <v>5.8</v>
      </c>
      <c r="G4845" s="486">
        <v>0.8</v>
      </c>
      <c r="H4845" s="486">
        <v>0.15</v>
      </c>
      <c r="I4845" s="1163">
        <f t="shared" si="163"/>
        <v>-3.48</v>
      </c>
      <c r="J4845" s="404"/>
      <c r="K4845" s="1234"/>
      <c r="L4845" s="431"/>
      <c r="M4845" s="431"/>
      <c r="N4845" s="431"/>
    </row>
    <row r="4846" spans="1:14" s="398" customFormat="1" ht="34.5" hidden="1" outlineLevel="1">
      <c r="A4846" s="1248"/>
      <c r="B4846" s="425" t="s">
        <v>874</v>
      </c>
      <c r="C4846" s="498" t="s">
        <v>2</v>
      </c>
      <c r="D4846" s="485">
        <v>-1</v>
      </c>
      <c r="E4846" s="408">
        <v>8</v>
      </c>
      <c r="F4846" s="486">
        <v>4.5</v>
      </c>
      <c r="G4846" s="486">
        <v>1</v>
      </c>
      <c r="H4846" s="486">
        <v>0.15</v>
      </c>
      <c r="I4846" s="1163">
        <f t="shared" si="163"/>
        <v>-5.4</v>
      </c>
      <c r="J4846" s="404"/>
      <c r="K4846" s="1234"/>
      <c r="L4846" s="431"/>
      <c r="M4846" s="431"/>
      <c r="N4846" s="431"/>
    </row>
    <row r="4847" spans="1:14" s="398" customFormat="1" hidden="1" outlineLevel="1">
      <c r="A4847" s="1248"/>
      <c r="B4847" s="425" t="s">
        <v>863</v>
      </c>
      <c r="C4847" s="498" t="s">
        <v>2</v>
      </c>
      <c r="D4847" s="485">
        <v>-1</v>
      </c>
      <c r="E4847" s="408">
        <v>4</v>
      </c>
      <c r="F4847" s="486">
        <v>2.8359999999999999</v>
      </c>
      <c r="G4847" s="486">
        <v>0.28599999999999998</v>
      </c>
      <c r="H4847" s="486">
        <v>0.15</v>
      </c>
      <c r="I4847" s="1163">
        <f t="shared" si="163"/>
        <v>-0.49</v>
      </c>
      <c r="J4847" s="404"/>
      <c r="K4847" s="1234"/>
      <c r="L4847" s="431"/>
      <c r="M4847" s="431"/>
      <c r="N4847" s="431"/>
    </row>
    <row r="4848" spans="1:14" s="398" customFormat="1" hidden="1" outlineLevel="1">
      <c r="A4848" s="1248"/>
      <c r="B4848" s="425" t="s">
        <v>684</v>
      </c>
      <c r="C4848" s="498" t="s">
        <v>2</v>
      </c>
      <c r="D4848" s="485">
        <v>-1</v>
      </c>
      <c r="E4848" s="408">
        <v>2</v>
      </c>
      <c r="F4848" s="486">
        <v>1.2</v>
      </c>
      <c r="G4848" s="486">
        <v>0.375</v>
      </c>
      <c r="H4848" s="486">
        <v>0.15</v>
      </c>
      <c r="I4848" s="1163">
        <f t="shared" si="163"/>
        <v>-0.14000000000000001</v>
      </c>
      <c r="J4848" s="404"/>
      <c r="K4848" s="1234"/>
      <c r="L4848" s="431"/>
      <c r="M4848" s="431"/>
      <c r="N4848" s="431"/>
    </row>
    <row r="4849" spans="1:14" s="398" customFormat="1" hidden="1" outlineLevel="1">
      <c r="A4849" s="1248"/>
      <c r="B4849" s="425" t="s">
        <v>1304</v>
      </c>
      <c r="C4849" s="498" t="s">
        <v>2</v>
      </c>
      <c r="D4849" s="660">
        <v>-1</v>
      </c>
      <c r="E4849" s="661">
        <v>1</v>
      </c>
      <c r="F4849" s="662">
        <v>7.625</v>
      </c>
      <c r="G4849" s="662">
        <v>0.23</v>
      </c>
      <c r="H4849" s="662">
        <v>0.15</v>
      </c>
      <c r="I4849" s="1163">
        <f t="shared" si="163"/>
        <v>-0.26</v>
      </c>
      <c r="J4849" s="404"/>
      <c r="K4849" s="1234"/>
      <c r="L4849" s="431"/>
      <c r="M4849" s="431"/>
      <c r="N4849" s="431"/>
    </row>
    <row r="4850" spans="1:14" s="398" customFormat="1" hidden="1" outlineLevel="1">
      <c r="A4850" s="1248"/>
      <c r="B4850" s="425"/>
      <c r="C4850" s="498" t="s">
        <v>2</v>
      </c>
      <c r="D4850" s="660">
        <v>-1</v>
      </c>
      <c r="E4850" s="661">
        <v>1</v>
      </c>
      <c r="F4850" s="662">
        <v>7.125</v>
      </c>
      <c r="G4850" s="662">
        <v>0.23</v>
      </c>
      <c r="H4850" s="662">
        <v>0.15</v>
      </c>
      <c r="I4850" s="1163">
        <f t="shared" si="163"/>
        <v>-0.25</v>
      </c>
      <c r="J4850" s="404"/>
      <c r="K4850" s="1234"/>
      <c r="L4850" s="431"/>
      <c r="M4850" s="431"/>
      <c r="N4850" s="431"/>
    </row>
    <row r="4851" spans="1:14" s="398" customFormat="1" hidden="1" outlineLevel="1">
      <c r="A4851" s="1248"/>
      <c r="B4851" s="425"/>
      <c r="C4851" s="498" t="s">
        <v>2</v>
      </c>
      <c r="D4851" s="660">
        <v>-1</v>
      </c>
      <c r="E4851" s="661">
        <v>1</v>
      </c>
      <c r="F4851" s="662">
        <v>1.6140000000000001</v>
      </c>
      <c r="G4851" s="662">
        <v>0.23</v>
      </c>
      <c r="H4851" s="662">
        <v>0.15</v>
      </c>
      <c r="I4851" s="1163">
        <f t="shared" si="163"/>
        <v>-0.06</v>
      </c>
      <c r="J4851" s="404"/>
      <c r="K4851" s="1234"/>
      <c r="L4851" s="431"/>
      <c r="M4851" s="431"/>
      <c r="N4851" s="431"/>
    </row>
    <row r="4852" spans="1:14" s="398" customFormat="1" ht="34.5" hidden="1" outlineLevel="1">
      <c r="A4852" s="1248"/>
      <c r="B4852" s="425" t="s">
        <v>917</v>
      </c>
      <c r="C4852" s="498" t="s">
        <v>2</v>
      </c>
      <c r="D4852" s="485">
        <v>1</v>
      </c>
      <c r="E4852" s="408">
        <v>1</v>
      </c>
      <c r="F4852" s="486">
        <f>103532600/1000000</f>
        <v>103.5326</v>
      </c>
      <c r="G4852" s="486"/>
      <c r="H4852" s="486">
        <v>0.15</v>
      </c>
      <c r="I4852" s="1163">
        <f t="shared" si="163"/>
        <v>15.53</v>
      </c>
      <c r="J4852" s="404"/>
      <c r="K4852" s="1240" t="s">
        <v>624</v>
      </c>
      <c r="L4852" s="431"/>
      <c r="M4852" s="431"/>
      <c r="N4852" s="431"/>
    </row>
    <row r="4853" spans="1:14" s="398" customFormat="1" ht="34.5" hidden="1" outlineLevel="1">
      <c r="A4853" s="1248"/>
      <c r="B4853" s="425" t="s">
        <v>918</v>
      </c>
      <c r="C4853" s="498" t="s">
        <v>2</v>
      </c>
      <c r="D4853" s="485">
        <v>1</v>
      </c>
      <c r="E4853" s="408">
        <v>1</v>
      </c>
      <c r="F4853" s="486">
        <f>60369247.9/1000000</f>
        <v>60.369247899999998</v>
      </c>
      <c r="G4853" s="486"/>
      <c r="H4853" s="486">
        <v>0.15</v>
      </c>
      <c r="I4853" s="1163">
        <f t="shared" si="163"/>
        <v>9.06</v>
      </c>
      <c r="J4853" s="404"/>
      <c r="K4853" s="1240" t="s">
        <v>624</v>
      </c>
      <c r="L4853" s="431"/>
      <c r="M4853" s="431"/>
      <c r="N4853" s="431"/>
    </row>
    <row r="4854" spans="1:14" s="398" customFormat="1" ht="34.5" hidden="1" outlineLevel="1">
      <c r="A4854" s="1248"/>
      <c r="B4854" s="425" t="s">
        <v>877</v>
      </c>
      <c r="C4854" s="498" t="s">
        <v>2</v>
      </c>
      <c r="D4854" s="485">
        <v>1</v>
      </c>
      <c r="E4854" s="408">
        <v>1</v>
      </c>
      <c r="F4854" s="486">
        <f>17981775.2/1000000</f>
        <v>17.981775199999998</v>
      </c>
      <c r="G4854" s="486"/>
      <c r="H4854" s="486">
        <v>0.15</v>
      </c>
      <c r="I4854" s="1163">
        <f t="shared" si="163"/>
        <v>2.7</v>
      </c>
      <c r="J4854" s="404"/>
      <c r="K4854" s="1240" t="s">
        <v>624</v>
      </c>
      <c r="L4854" s="431"/>
      <c r="M4854" s="431"/>
      <c r="N4854" s="431"/>
    </row>
    <row r="4855" spans="1:14" s="398" customFormat="1" ht="34.5" hidden="1" outlineLevel="1">
      <c r="A4855" s="1248"/>
      <c r="B4855" s="425" t="s">
        <v>919</v>
      </c>
      <c r="C4855" s="498" t="s">
        <v>2</v>
      </c>
      <c r="D4855" s="485">
        <v>1</v>
      </c>
      <c r="E4855" s="408">
        <v>1</v>
      </c>
      <c r="F4855" s="662">
        <v>82.808999999999997</v>
      </c>
      <c r="G4855" s="486"/>
      <c r="H4855" s="486">
        <v>0.15</v>
      </c>
      <c r="I4855" s="1163">
        <f t="shared" si="163"/>
        <v>12.42</v>
      </c>
      <c r="J4855" s="404"/>
      <c r="K4855" s="1240" t="s">
        <v>624</v>
      </c>
      <c r="L4855" s="431"/>
      <c r="M4855" s="431"/>
      <c r="N4855" s="431"/>
    </row>
    <row r="4856" spans="1:14" s="398" customFormat="1" hidden="1" outlineLevel="1">
      <c r="A4856" s="1248"/>
      <c r="B4856" s="425"/>
      <c r="C4856" s="498" t="s">
        <v>2</v>
      </c>
      <c r="D4856" s="485"/>
      <c r="E4856" s="408"/>
      <c r="F4856" s="486"/>
      <c r="G4856" s="486"/>
      <c r="H4856" s="486"/>
      <c r="I4856" s="1163" t="str">
        <f t="shared" si="163"/>
        <v/>
      </c>
      <c r="J4856" s="404"/>
      <c r="K4856" s="1240"/>
      <c r="L4856" s="431"/>
      <c r="M4856" s="431"/>
      <c r="N4856" s="431"/>
    </row>
    <row r="4857" spans="1:14" s="398" customFormat="1" hidden="1" outlineLevel="1">
      <c r="A4857" s="1248"/>
      <c r="B4857" s="592" t="s">
        <v>929</v>
      </c>
      <c r="C4857" s="498" t="s">
        <v>2</v>
      </c>
      <c r="D4857" s="485"/>
      <c r="E4857" s="408"/>
      <c r="F4857" s="486"/>
      <c r="G4857" s="486"/>
      <c r="H4857" s="486"/>
      <c r="I4857" s="1163" t="str">
        <f t="shared" si="163"/>
        <v/>
      </c>
      <c r="J4857" s="404"/>
      <c r="K4857" s="1234"/>
      <c r="L4857" s="431"/>
      <c r="M4857" s="431"/>
      <c r="N4857" s="431"/>
    </row>
    <row r="4858" spans="1:14" s="398" customFormat="1" hidden="1" outlineLevel="1">
      <c r="A4858" s="1248"/>
      <c r="B4858" s="425"/>
      <c r="C4858" s="498" t="s">
        <v>2</v>
      </c>
      <c r="D4858" s="485"/>
      <c r="E4858" s="408"/>
      <c r="F4858" s="486"/>
      <c r="G4858" s="486"/>
      <c r="H4858" s="486"/>
      <c r="I4858" s="1163" t="str">
        <f t="shared" si="163"/>
        <v/>
      </c>
      <c r="J4858" s="404"/>
      <c r="K4858" s="1234"/>
      <c r="L4858" s="431"/>
      <c r="M4858" s="431"/>
      <c r="N4858" s="431"/>
    </row>
    <row r="4859" spans="1:14" s="398" customFormat="1" ht="34.5" hidden="1" outlineLevel="1">
      <c r="A4859" s="1248"/>
      <c r="B4859" s="425" t="s">
        <v>920</v>
      </c>
      <c r="C4859" s="498" t="s">
        <v>2</v>
      </c>
      <c r="D4859" s="485">
        <v>1</v>
      </c>
      <c r="E4859" s="408">
        <v>1</v>
      </c>
      <c r="F4859" s="662">
        <v>43.026000000000003</v>
      </c>
      <c r="G4859" s="486"/>
      <c r="H4859" s="486">
        <v>0.125</v>
      </c>
      <c r="I4859" s="1163">
        <f t="shared" si="163"/>
        <v>5.38</v>
      </c>
      <c r="J4859" s="404"/>
      <c r="K4859" s="1240" t="s">
        <v>624</v>
      </c>
      <c r="L4859" s="431"/>
      <c r="M4859" s="431"/>
      <c r="N4859" s="431"/>
    </row>
    <row r="4860" spans="1:14" s="398" customFormat="1" hidden="1" outlineLevel="1">
      <c r="A4860" s="1248"/>
      <c r="B4860" s="425" t="s">
        <v>921</v>
      </c>
      <c r="C4860" s="498" t="s">
        <v>2</v>
      </c>
      <c r="D4860" s="485">
        <v>1</v>
      </c>
      <c r="E4860" s="408">
        <v>1</v>
      </c>
      <c r="F4860" s="486">
        <f>235971026/1000000</f>
        <v>235.97102599999999</v>
      </c>
      <c r="G4860" s="486"/>
      <c r="H4860" s="486">
        <v>0.125</v>
      </c>
      <c r="I4860" s="1163">
        <f t="shared" si="163"/>
        <v>29.5</v>
      </c>
      <c r="J4860" s="404"/>
      <c r="K4860" s="1240" t="s">
        <v>624</v>
      </c>
      <c r="L4860" s="431"/>
      <c r="M4860" s="431"/>
      <c r="N4860" s="431"/>
    </row>
    <row r="4861" spans="1:14" s="398" customFormat="1" hidden="1" outlineLevel="1">
      <c r="A4861" s="1248"/>
      <c r="B4861" s="425" t="s">
        <v>922</v>
      </c>
      <c r="C4861" s="498" t="s">
        <v>2</v>
      </c>
      <c r="D4861" s="485">
        <v>1</v>
      </c>
      <c r="E4861" s="408">
        <v>1</v>
      </c>
      <c r="F4861" s="486">
        <f>229385941/1000000</f>
        <v>229.385941</v>
      </c>
      <c r="G4861" s="486"/>
      <c r="H4861" s="486">
        <v>0.125</v>
      </c>
      <c r="I4861" s="1163">
        <f t="shared" si="163"/>
        <v>28.67</v>
      </c>
      <c r="J4861" s="404"/>
      <c r="K4861" s="1240" t="s">
        <v>624</v>
      </c>
      <c r="L4861" s="431"/>
      <c r="M4861" s="431"/>
      <c r="N4861" s="431"/>
    </row>
    <row r="4862" spans="1:14" s="398" customFormat="1" hidden="1" outlineLevel="1">
      <c r="A4862" s="1248"/>
      <c r="B4862" s="425" t="s">
        <v>923</v>
      </c>
      <c r="C4862" s="498" t="s">
        <v>2</v>
      </c>
      <c r="D4862" s="485">
        <v>1</v>
      </c>
      <c r="E4862" s="408">
        <v>1</v>
      </c>
      <c r="F4862" s="486">
        <f>161301156/1000000</f>
        <v>161.30115599999999</v>
      </c>
      <c r="G4862" s="486"/>
      <c r="H4862" s="486">
        <v>0.125</v>
      </c>
      <c r="I4862" s="1163">
        <f t="shared" si="163"/>
        <v>20.16</v>
      </c>
      <c r="J4862" s="404"/>
      <c r="K4862" s="1240" t="s">
        <v>624</v>
      </c>
      <c r="L4862" s="431"/>
      <c r="M4862" s="431"/>
      <c r="N4862" s="431"/>
    </row>
    <row r="4863" spans="1:14" s="398" customFormat="1" hidden="1" outlineLevel="1">
      <c r="A4863" s="1248"/>
      <c r="B4863" s="425"/>
      <c r="C4863" s="498" t="s">
        <v>2</v>
      </c>
      <c r="D4863" s="485"/>
      <c r="E4863" s="408"/>
      <c r="F4863" s="486"/>
      <c r="G4863" s="486"/>
      <c r="H4863" s="486"/>
      <c r="I4863" s="1163" t="str">
        <f t="shared" si="163"/>
        <v/>
      </c>
      <c r="J4863" s="404"/>
      <c r="K4863" s="1234"/>
      <c r="L4863" s="431"/>
      <c r="M4863" s="431"/>
      <c r="N4863" s="431"/>
    </row>
    <row r="4864" spans="1:14" s="398" customFormat="1" ht="34.5" hidden="1" outlineLevel="1">
      <c r="A4864" s="1248"/>
      <c r="B4864" s="592" t="s">
        <v>892</v>
      </c>
      <c r="C4864" s="498" t="s">
        <v>2</v>
      </c>
      <c r="D4864" s="485"/>
      <c r="E4864" s="408"/>
      <c r="F4864" s="486"/>
      <c r="G4864" s="486"/>
      <c r="H4864" s="486"/>
      <c r="I4864" s="1163" t="str">
        <f t="shared" si="163"/>
        <v/>
      </c>
      <c r="J4864" s="404"/>
      <c r="K4864" s="1234"/>
      <c r="L4864" s="431"/>
      <c r="M4864" s="431"/>
      <c r="N4864" s="431"/>
    </row>
    <row r="4865" spans="1:16" ht="34.5" hidden="1" outlineLevel="1">
      <c r="A4865" s="1228"/>
      <c r="B4865" s="311" t="s">
        <v>627</v>
      </c>
      <c r="C4865" s="165" t="s">
        <v>2</v>
      </c>
      <c r="D4865" s="308"/>
      <c r="E4865" s="309"/>
      <c r="F4865" s="401"/>
      <c r="G4865" s="401"/>
      <c r="H4865" s="401"/>
      <c r="I4865" s="1163" t="str">
        <f t="shared" si="163"/>
        <v/>
      </c>
      <c r="J4865" s="162"/>
      <c r="K4865" s="1239"/>
    </row>
    <row r="4866" spans="1:16" hidden="1" outlineLevel="1">
      <c r="A4866" s="1228"/>
      <c r="B4866" s="311" t="s">
        <v>930</v>
      </c>
      <c r="C4866" s="165" t="s">
        <v>2</v>
      </c>
      <c r="D4866" s="308">
        <v>1</v>
      </c>
      <c r="E4866" s="309">
        <v>1</v>
      </c>
      <c r="F4866" s="401">
        <v>6.5449999999999999</v>
      </c>
      <c r="G4866" s="401">
        <v>6</v>
      </c>
      <c r="H4866" s="401">
        <v>0.125</v>
      </c>
      <c r="I4866" s="1163">
        <f t="shared" si="163"/>
        <v>4.91</v>
      </c>
      <c r="J4866" s="162"/>
      <c r="K4866" s="1239"/>
    </row>
    <row r="4867" spans="1:16" s="398" customFormat="1" ht="34.5" hidden="1" outlineLevel="1">
      <c r="A4867" s="1248"/>
      <c r="B4867" s="501" t="s">
        <v>931</v>
      </c>
      <c r="C4867" s="387" t="s">
        <v>2</v>
      </c>
      <c r="D4867" s="502">
        <v>-1</v>
      </c>
      <c r="E4867" s="387">
        <v>1</v>
      </c>
      <c r="F4867" s="486">
        <v>4.798</v>
      </c>
      <c r="G4867" s="486">
        <v>6</v>
      </c>
      <c r="H4867" s="1372">
        <v>7.4999999999999997E-2</v>
      </c>
      <c r="I4867" s="1163">
        <f t="shared" si="163"/>
        <v>-2.16</v>
      </c>
      <c r="J4867" s="404"/>
      <c r="K4867" s="1234"/>
      <c r="L4867" s="431"/>
      <c r="M4867" s="431"/>
      <c r="N4867" s="431"/>
    </row>
    <row r="4868" spans="1:16" s="398" customFormat="1" hidden="1" outlineLevel="1">
      <c r="A4868" s="1248"/>
      <c r="B4868" s="501"/>
      <c r="C4868" s="387" t="s">
        <v>2</v>
      </c>
      <c r="D4868" s="502"/>
      <c r="E4868" s="387"/>
      <c r="F4868" s="486"/>
      <c r="G4868" s="486"/>
      <c r="H4868" s="1372"/>
      <c r="I4868" s="1163" t="str">
        <f t="shared" si="163"/>
        <v/>
      </c>
      <c r="J4868" s="404"/>
      <c r="K4868" s="1234"/>
      <c r="L4868" s="431"/>
      <c r="M4868" s="431"/>
      <c r="N4868" s="431"/>
    </row>
    <row r="4869" spans="1:16" s="165" customFormat="1" ht="34.5" hidden="1" outlineLevel="1">
      <c r="A4869" s="1255"/>
      <c r="B4869" s="597" t="s">
        <v>988</v>
      </c>
      <c r="C4869" s="386" t="s">
        <v>2</v>
      </c>
      <c r="D4869" s="306">
        <v>1</v>
      </c>
      <c r="E4869" s="319">
        <v>1</v>
      </c>
      <c r="F4869" s="527">
        <v>145.03</v>
      </c>
      <c r="G4869" s="527"/>
      <c r="H4869" s="527"/>
      <c r="I4869" s="1163">
        <f t="shared" si="163"/>
        <v>145.03</v>
      </c>
      <c r="J4869" s="162"/>
      <c r="K4869" s="1286"/>
      <c r="L4869" s="164"/>
      <c r="M4869" s="164"/>
      <c r="N4869" s="164"/>
    </row>
    <row r="4870" spans="1:16" s="870" customFormat="1" ht="34.5" hidden="1" outlineLevel="1" collapsed="1">
      <c r="A4870" s="1287"/>
      <c r="B4870" s="855" t="s">
        <v>1344</v>
      </c>
      <c r="C4870" s="866"/>
      <c r="D4870" s="857"/>
      <c r="E4870" s="858"/>
      <c r="F4870" s="859"/>
      <c r="G4870" s="859"/>
      <c r="H4870" s="859"/>
      <c r="I4870" s="1163" t="str">
        <f t="shared" si="163"/>
        <v/>
      </c>
      <c r="J4870" s="860"/>
      <c r="K4870" s="1247"/>
      <c r="L4870" s="869"/>
      <c r="M4870" s="869"/>
      <c r="N4870" s="869"/>
    </row>
    <row r="4871" spans="1:16" s="870" customFormat="1" hidden="1" outlineLevel="1">
      <c r="A4871" s="1287"/>
      <c r="B4871" s="855"/>
      <c r="C4871" s="866" t="s">
        <v>2</v>
      </c>
      <c r="D4871" s="857">
        <v>1</v>
      </c>
      <c r="E4871" s="858">
        <v>1</v>
      </c>
      <c r="F4871" s="863">
        <v>14.65</v>
      </c>
      <c r="G4871" s="863">
        <v>0.97</v>
      </c>
      <c r="H4871" s="859">
        <v>0.15</v>
      </c>
      <c r="I4871" s="1163">
        <f t="shared" si="163"/>
        <v>2.13</v>
      </c>
      <c r="J4871" s="860"/>
      <c r="K4871" s="1247"/>
      <c r="L4871" s="869"/>
      <c r="M4871" s="869"/>
      <c r="N4871" s="869"/>
      <c r="O4871" s="869"/>
      <c r="P4871" s="869"/>
    </row>
    <row r="4872" spans="1:16" s="870" customFormat="1" hidden="1" outlineLevel="1">
      <c r="A4872" s="1287"/>
      <c r="B4872" s="855" t="s">
        <v>1315</v>
      </c>
      <c r="C4872" s="866" t="s">
        <v>2</v>
      </c>
      <c r="D4872" s="857">
        <v>-1</v>
      </c>
      <c r="E4872" s="858">
        <v>2</v>
      </c>
      <c r="F4872" s="863">
        <v>0.97</v>
      </c>
      <c r="G4872" s="859">
        <v>0.375</v>
      </c>
      <c r="H4872" s="859">
        <v>0.15</v>
      </c>
      <c r="I4872" s="1163">
        <f t="shared" si="163"/>
        <v>-0.11</v>
      </c>
      <c r="J4872" s="860"/>
      <c r="K4872" s="1247"/>
      <c r="L4872" s="869"/>
      <c r="M4872" s="869"/>
      <c r="N4872" s="869"/>
    </row>
    <row r="4873" spans="1:16" s="870" customFormat="1" hidden="1" outlineLevel="1">
      <c r="A4873" s="1287"/>
      <c r="B4873" s="855"/>
      <c r="C4873" s="866"/>
      <c r="D4873" s="857"/>
      <c r="E4873" s="858"/>
      <c r="F4873" s="859"/>
      <c r="G4873" s="859"/>
      <c r="H4873" s="859"/>
      <c r="I4873" s="1163" t="str">
        <f t="shared" si="163"/>
        <v/>
      </c>
      <c r="J4873" s="860"/>
      <c r="K4873" s="1247"/>
      <c r="L4873" s="869"/>
      <c r="M4873" s="869"/>
      <c r="N4873" s="869"/>
    </row>
    <row r="4874" spans="1:16" s="870" customFormat="1" ht="51.75" hidden="1" outlineLevel="1">
      <c r="A4874" s="1287"/>
      <c r="B4874" s="855" t="s">
        <v>1345</v>
      </c>
      <c r="C4874" s="866"/>
      <c r="D4874" s="857"/>
      <c r="E4874" s="858"/>
      <c r="F4874" s="859"/>
      <c r="G4874" s="859"/>
      <c r="H4874" s="859"/>
      <c r="I4874" s="1163" t="str">
        <f t="shared" si="163"/>
        <v/>
      </c>
      <c r="J4874" s="860"/>
      <c r="K4874" s="1247"/>
      <c r="L4874" s="869"/>
      <c r="M4874" s="869"/>
      <c r="N4874" s="869"/>
    </row>
    <row r="4875" spans="1:16" s="870" customFormat="1" hidden="1" outlineLevel="1">
      <c r="A4875" s="1287"/>
      <c r="B4875" s="855"/>
      <c r="C4875" s="866" t="s">
        <v>2</v>
      </c>
      <c r="D4875" s="857">
        <v>1</v>
      </c>
      <c r="E4875" s="858">
        <v>1</v>
      </c>
      <c r="F4875" s="859">
        <v>15</v>
      </c>
      <c r="G4875" s="859">
        <v>0.6</v>
      </c>
      <c r="H4875" s="859">
        <v>0.15</v>
      </c>
      <c r="I4875" s="1163">
        <f t="shared" si="163"/>
        <v>1.35</v>
      </c>
      <c r="J4875" s="860"/>
      <c r="K4875" s="1247"/>
      <c r="L4875" s="869"/>
      <c r="M4875" s="869"/>
      <c r="N4875" s="869"/>
    </row>
    <row r="4876" spans="1:16" s="870" customFormat="1" hidden="1" outlineLevel="1">
      <c r="A4876" s="1287"/>
      <c r="B4876" s="855"/>
      <c r="C4876" s="866"/>
      <c r="D4876" s="857"/>
      <c r="E4876" s="858"/>
      <c r="F4876" s="859"/>
      <c r="G4876" s="859"/>
      <c r="H4876" s="859"/>
      <c r="I4876" s="1163" t="str">
        <f t="shared" si="163"/>
        <v/>
      </c>
      <c r="J4876" s="860"/>
      <c r="K4876" s="1247"/>
      <c r="L4876" s="869"/>
      <c r="M4876" s="869"/>
      <c r="N4876" s="869"/>
    </row>
    <row r="4877" spans="1:16" s="870" customFormat="1" ht="51.75" hidden="1" outlineLevel="1">
      <c r="A4877" s="1287"/>
      <c r="B4877" s="855" t="s">
        <v>1346</v>
      </c>
      <c r="C4877" s="866"/>
      <c r="D4877" s="857"/>
      <c r="E4877" s="858"/>
      <c r="F4877" s="859"/>
      <c r="G4877" s="859"/>
      <c r="H4877" s="859"/>
      <c r="I4877" s="1163" t="str">
        <f t="shared" si="163"/>
        <v/>
      </c>
      <c r="J4877" s="860"/>
      <c r="K4877" s="1247"/>
      <c r="L4877" s="869"/>
      <c r="M4877" s="869"/>
      <c r="N4877" s="869"/>
    </row>
    <row r="4878" spans="1:16" s="870" customFormat="1" hidden="1" outlineLevel="1">
      <c r="A4878" s="1287"/>
      <c r="B4878" s="855"/>
      <c r="C4878" s="866" t="s">
        <v>2</v>
      </c>
      <c r="D4878" s="857">
        <v>1</v>
      </c>
      <c r="E4878" s="858">
        <v>1</v>
      </c>
      <c r="F4878" s="859">
        <v>15</v>
      </c>
      <c r="G4878" s="859">
        <v>0.6</v>
      </c>
      <c r="H4878" s="859">
        <v>0.15</v>
      </c>
      <c r="I4878" s="1163">
        <f t="shared" si="163"/>
        <v>1.35</v>
      </c>
      <c r="J4878" s="860"/>
      <c r="K4878" s="1247"/>
      <c r="L4878" s="869"/>
      <c r="M4878" s="869"/>
      <c r="N4878" s="869"/>
    </row>
    <row r="4879" spans="1:16" s="464" customFormat="1" collapsed="1">
      <c r="A4879" s="1264"/>
      <c r="B4879" s="669" t="s">
        <v>85</v>
      </c>
      <c r="C4879" s="465" t="s">
        <v>2</v>
      </c>
      <c r="D4879" s="444"/>
      <c r="E4879" s="345"/>
      <c r="F4879" s="1356"/>
      <c r="G4879" s="1356"/>
      <c r="H4879" s="1356"/>
      <c r="I4879" s="1170" t="str">
        <f t="shared" ref="I4879:I4882" si="164">IF(D4879&lt;&gt;0,ROUND(PRODUCT(E4879:H4879)*D4879,2),"")</f>
        <v/>
      </c>
      <c r="J4879" s="467">
        <f>SUM(I4578:I4879)</f>
        <v>1521.5199999999998</v>
      </c>
      <c r="K4879" s="1258"/>
      <c r="L4879" s="463"/>
      <c r="M4879" s="463"/>
      <c r="N4879" s="463"/>
    </row>
    <row r="4880" spans="1:16" s="398" customFormat="1">
      <c r="A4880" s="1248"/>
      <c r="B4880" s="311"/>
      <c r="C4880" s="530"/>
      <c r="D4880" s="400"/>
      <c r="E4880" s="170"/>
      <c r="F4880" s="401"/>
      <c r="G4880" s="401"/>
      <c r="H4880" s="401"/>
      <c r="I4880" s="1176" t="str">
        <f>IF(D4880&lt;&gt;0,ROUND(PRODUCT(E4880:H4880)*D4880,2),"")</f>
        <v/>
      </c>
      <c r="J4880" s="404"/>
      <c r="K4880" s="1234"/>
      <c r="L4880" s="431"/>
      <c r="M4880" s="431"/>
      <c r="N4880" s="431"/>
    </row>
    <row r="4881" spans="1:14" s="398" customFormat="1">
      <c r="A4881" s="1248"/>
      <c r="B4881" s="311"/>
      <c r="C4881" s="530"/>
      <c r="D4881" s="400"/>
      <c r="E4881" s="170"/>
      <c r="F4881" s="401"/>
      <c r="G4881" s="401"/>
      <c r="H4881" s="401"/>
      <c r="I4881" s="1176" t="str">
        <f t="shared" si="164"/>
        <v/>
      </c>
      <c r="J4881" s="404"/>
      <c r="K4881" s="1234"/>
      <c r="L4881" s="431"/>
      <c r="M4881" s="431"/>
      <c r="N4881" s="431"/>
    </row>
    <row r="4882" spans="1:14" s="398" customFormat="1">
      <c r="A4882" s="1248"/>
      <c r="B4882" s="161" t="s">
        <v>928</v>
      </c>
      <c r="C4882" s="388" t="s">
        <v>2</v>
      </c>
      <c r="D4882" s="392"/>
      <c r="E4882" s="165"/>
      <c r="F4882" s="401"/>
      <c r="G4882" s="401"/>
      <c r="H4882" s="401"/>
      <c r="I4882" s="1176" t="str">
        <f t="shared" si="164"/>
        <v/>
      </c>
      <c r="J4882" s="403">
        <f>SUM(I4880:I4881)</f>
        <v>0</v>
      </c>
      <c r="K4882" s="1222" t="s">
        <v>1690</v>
      </c>
      <c r="L4882" s="431"/>
      <c r="M4882" s="431"/>
      <c r="N4882" s="431"/>
    </row>
    <row r="4883" spans="1:14">
      <c r="A4883" s="1248"/>
      <c r="B4883" s="311"/>
      <c r="C4883" s="165"/>
      <c r="D4883" s="392"/>
      <c r="E4883" s="165"/>
      <c r="F4883" s="401"/>
      <c r="G4883" s="401"/>
      <c r="H4883" s="401"/>
      <c r="I4883" s="938" t="str">
        <f t="shared" ref="I4883:I4884" si="165">IF(D4883&lt;&gt;0,ROUND(PRODUCT(E4883:H4883)*D4883,2),"")</f>
        <v/>
      </c>
      <c r="J4883" s="432">
        <f>SUM(J4879:J4882)</f>
        <v>1521.5199999999998</v>
      </c>
      <c r="K4883" s="1289"/>
    </row>
    <row r="4884" spans="1:14" s="165" customFormat="1">
      <c r="A4884" s="1251"/>
      <c r="B4884" s="673" t="s">
        <v>1827</v>
      </c>
      <c r="C4884" s="417"/>
      <c r="D4884" s="446"/>
      <c r="E4884" s="446"/>
      <c r="F4884" s="1370"/>
      <c r="G4884" s="1370"/>
      <c r="H4884" s="1370"/>
      <c r="I4884" s="1175" t="str">
        <f t="shared" si="165"/>
        <v/>
      </c>
      <c r="J4884" s="418"/>
      <c r="K4884" s="1252"/>
      <c r="L4884" s="164"/>
      <c r="M4884" s="164"/>
      <c r="N4884" s="164"/>
    </row>
    <row r="4885" spans="1:14">
      <c r="A4885" s="1219">
        <v>7</v>
      </c>
      <c r="B4885" s="768" t="s">
        <v>1826</v>
      </c>
      <c r="C4885" s="422"/>
      <c r="D4885" s="436"/>
      <c r="E4885" s="436"/>
      <c r="F4885" s="1359"/>
      <c r="G4885" s="1359"/>
      <c r="H4885" s="1359"/>
      <c r="I4885" s="1172"/>
      <c r="J4885" s="423"/>
      <c r="K4885" s="1220"/>
    </row>
    <row r="4886" spans="1:14" s="464" customFormat="1">
      <c r="A4886" s="1264"/>
      <c r="B4886" s="669" t="s">
        <v>85</v>
      </c>
      <c r="C4886" s="465" t="s">
        <v>1</v>
      </c>
      <c r="D4886" s="444"/>
      <c r="E4886" s="345"/>
      <c r="F4886" s="1356"/>
      <c r="G4886" s="1356"/>
      <c r="H4886" s="1356"/>
      <c r="I4886" s="1170" t="str">
        <f t="shared" ref="I4886" si="166">IF(D4886&lt;&gt;0,ROUND(PRODUCT(E4886:H4886)*D4886,2),"")</f>
        <v/>
      </c>
      <c r="J4886" s="467">
        <f>SUM(I4885:I4886)</f>
        <v>0</v>
      </c>
      <c r="K4886" s="1258"/>
      <c r="L4886" s="463"/>
      <c r="M4886" s="463"/>
      <c r="N4886" s="463"/>
    </row>
    <row r="4887" spans="1:14" s="398" customFormat="1">
      <c r="A4887" s="1248"/>
      <c r="B4887" s="311"/>
      <c r="C4887" s="530"/>
      <c r="D4887" s="400"/>
      <c r="E4887" s="170"/>
      <c r="F4887" s="401"/>
      <c r="G4887" s="401"/>
      <c r="H4887" s="401"/>
      <c r="I4887" s="1176" t="str">
        <f>IF(D4887&lt;&gt;0,ROUND(PRODUCT(E4887:H4887)*D4887,2),"")</f>
        <v/>
      </c>
      <c r="J4887" s="404"/>
      <c r="K4887" s="1234"/>
      <c r="L4887" s="431"/>
      <c r="M4887" s="431"/>
      <c r="N4887" s="431"/>
    </row>
    <row r="4888" spans="1:14" s="398" customFormat="1">
      <c r="A4888" s="1248" t="s">
        <v>30</v>
      </c>
      <c r="B4888" s="161" t="s">
        <v>1828</v>
      </c>
      <c r="C4888" s="950"/>
      <c r="D4888" s="400"/>
      <c r="E4888" s="170"/>
      <c r="F4888" s="401"/>
      <c r="G4888" s="401"/>
      <c r="H4888" s="401"/>
      <c r="I4888" s="1177" t="str">
        <f t="shared" ref="I4888:I4910" si="167">IF(D4888&lt;&gt;0,ROUND(PRODUCT(E4888:H4888)*D4888,2),"")</f>
        <v/>
      </c>
      <c r="J4888" s="404"/>
      <c r="K4888" s="1234"/>
      <c r="L4888" s="431"/>
      <c r="M4888" s="431"/>
      <c r="N4888" s="431"/>
    </row>
    <row r="4889" spans="1:14" s="398" customFormat="1" ht="34.5">
      <c r="A4889" s="1248"/>
      <c r="B4889" s="311" t="s">
        <v>1829</v>
      </c>
      <c r="C4889" s="530" t="s">
        <v>1</v>
      </c>
      <c r="D4889" s="400">
        <v>1</v>
      </c>
      <c r="E4889" s="170">
        <v>6</v>
      </c>
      <c r="F4889" s="401">
        <v>4.0999999999999996</v>
      </c>
      <c r="G4889" s="401">
        <v>0.8</v>
      </c>
      <c r="H4889" s="401"/>
      <c r="I4889" s="1187">
        <f t="shared" si="167"/>
        <v>19.68</v>
      </c>
      <c r="J4889" s="404"/>
      <c r="K4889" s="1234"/>
      <c r="L4889" s="431"/>
      <c r="M4889" s="431"/>
      <c r="N4889" s="431"/>
    </row>
    <row r="4890" spans="1:14" s="398" customFormat="1">
      <c r="A4890" s="1248"/>
      <c r="B4890" s="311"/>
      <c r="C4890" s="530" t="s">
        <v>1</v>
      </c>
      <c r="D4890" s="400">
        <v>1</v>
      </c>
      <c r="E4890" s="170">
        <v>3</v>
      </c>
      <c r="F4890" s="401">
        <v>4.0999999999999996</v>
      </c>
      <c r="G4890" s="401">
        <v>0.6</v>
      </c>
      <c r="H4890" s="401"/>
      <c r="I4890" s="1187">
        <f t="shared" si="167"/>
        <v>7.38</v>
      </c>
      <c r="J4890" s="404"/>
      <c r="K4890" s="1234"/>
      <c r="L4890" s="431"/>
      <c r="M4890" s="431"/>
      <c r="N4890" s="431"/>
    </row>
    <row r="4891" spans="1:14" s="398" customFormat="1" ht="34.5">
      <c r="A4891" s="1248"/>
      <c r="B4891" s="311" t="s">
        <v>1830</v>
      </c>
      <c r="C4891" s="530" t="s">
        <v>1</v>
      </c>
      <c r="D4891" s="400">
        <v>1</v>
      </c>
      <c r="E4891" s="170">
        <v>6</v>
      </c>
      <c r="F4891" s="401">
        <v>4.0999999999999996</v>
      </c>
      <c r="G4891" s="401">
        <v>0.8</v>
      </c>
      <c r="H4891" s="401"/>
      <c r="I4891" s="1187">
        <f t="shared" si="167"/>
        <v>19.68</v>
      </c>
      <c r="J4891" s="404"/>
      <c r="K4891" s="1234"/>
      <c r="L4891" s="431"/>
      <c r="M4891" s="431"/>
      <c r="N4891" s="431"/>
    </row>
    <row r="4892" spans="1:14" s="398" customFormat="1">
      <c r="A4892" s="1248"/>
      <c r="B4892" s="311"/>
      <c r="C4892" s="530" t="s">
        <v>1</v>
      </c>
      <c r="D4892" s="400">
        <v>1</v>
      </c>
      <c r="E4892" s="170">
        <v>2</v>
      </c>
      <c r="F4892" s="401">
        <v>4.0999999999999996</v>
      </c>
      <c r="G4892" s="401">
        <v>0.6</v>
      </c>
      <c r="H4892" s="401"/>
      <c r="I4892" s="1187">
        <f t="shared" si="167"/>
        <v>4.92</v>
      </c>
      <c r="J4892" s="404"/>
      <c r="K4892" s="1234"/>
      <c r="L4892" s="431"/>
      <c r="M4892" s="431"/>
      <c r="N4892" s="431"/>
    </row>
    <row r="4893" spans="1:14" s="398" customFormat="1" ht="34.5">
      <c r="A4893" s="1248"/>
      <c r="B4893" s="311" t="s">
        <v>1831</v>
      </c>
      <c r="C4893" s="530" t="s">
        <v>1</v>
      </c>
      <c r="D4893" s="400">
        <v>1</v>
      </c>
      <c r="E4893" s="170">
        <v>6</v>
      </c>
      <c r="F4893" s="401">
        <v>4.0999999999999996</v>
      </c>
      <c r="G4893" s="401">
        <v>0.8</v>
      </c>
      <c r="H4893" s="401"/>
      <c r="I4893" s="1187">
        <f t="shared" si="167"/>
        <v>19.68</v>
      </c>
      <c r="J4893" s="404"/>
      <c r="K4893" s="1234"/>
      <c r="L4893" s="431"/>
      <c r="M4893" s="431"/>
      <c r="N4893" s="431"/>
    </row>
    <row r="4894" spans="1:14" s="398" customFormat="1">
      <c r="A4894" s="1248"/>
      <c r="B4894" s="311"/>
      <c r="C4894" s="530" t="s">
        <v>1</v>
      </c>
      <c r="D4894" s="400">
        <v>1</v>
      </c>
      <c r="E4894" s="170">
        <v>2</v>
      </c>
      <c r="F4894" s="401">
        <v>4.0999999999999996</v>
      </c>
      <c r="G4894" s="401">
        <v>0.6</v>
      </c>
      <c r="H4894" s="401"/>
      <c r="I4894" s="1187">
        <f t="shared" si="167"/>
        <v>4.92</v>
      </c>
      <c r="J4894" s="404"/>
      <c r="K4894" s="1234"/>
      <c r="L4894" s="431"/>
      <c r="M4894" s="431"/>
      <c r="N4894" s="431"/>
    </row>
    <row r="4895" spans="1:14" s="398" customFormat="1" ht="34.5">
      <c r="A4895" s="1248"/>
      <c r="B4895" s="311" t="s">
        <v>1832</v>
      </c>
      <c r="C4895" s="530" t="s">
        <v>1</v>
      </c>
      <c r="D4895" s="400">
        <v>1</v>
      </c>
      <c r="E4895" s="170">
        <v>6</v>
      </c>
      <c r="F4895" s="401">
        <v>4.0999999999999996</v>
      </c>
      <c r="G4895" s="401">
        <v>0.8</v>
      </c>
      <c r="H4895" s="401"/>
      <c r="I4895" s="1187">
        <f t="shared" si="167"/>
        <v>19.68</v>
      </c>
      <c r="J4895" s="404"/>
      <c r="K4895" s="1234"/>
      <c r="L4895" s="431"/>
      <c r="M4895" s="431"/>
      <c r="N4895" s="431"/>
    </row>
    <row r="4896" spans="1:14" s="398" customFormat="1">
      <c r="A4896" s="1248"/>
      <c r="B4896" s="311"/>
      <c r="C4896" s="530" t="s">
        <v>1</v>
      </c>
      <c r="D4896" s="400">
        <v>1</v>
      </c>
      <c r="E4896" s="170">
        <v>2</v>
      </c>
      <c r="F4896" s="401">
        <v>4.0999999999999996</v>
      </c>
      <c r="G4896" s="401">
        <v>0.6</v>
      </c>
      <c r="H4896" s="401"/>
      <c r="I4896" s="1187">
        <f t="shared" si="167"/>
        <v>4.92</v>
      </c>
      <c r="J4896" s="404"/>
      <c r="K4896" s="1234"/>
      <c r="L4896" s="431"/>
      <c r="M4896" s="431"/>
      <c r="N4896" s="431"/>
    </row>
    <row r="4897" spans="1:14" s="398" customFormat="1">
      <c r="A4897" s="1248"/>
      <c r="B4897" s="311"/>
      <c r="C4897" s="530"/>
      <c r="D4897" s="400"/>
      <c r="E4897" s="170"/>
      <c r="F4897" s="401"/>
      <c r="G4897" s="401"/>
      <c r="H4897" s="401"/>
      <c r="I4897" s="1187" t="str">
        <f t="shared" si="167"/>
        <v/>
      </c>
      <c r="J4897" s="404"/>
      <c r="K4897" s="1234"/>
      <c r="L4897" s="431"/>
      <c r="M4897" s="431"/>
      <c r="N4897" s="431"/>
    </row>
    <row r="4898" spans="1:14" s="398" customFormat="1">
      <c r="A4898" s="1248" t="s">
        <v>33</v>
      </c>
      <c r="B4898" s="161" t="s">
        <v>1833</v>
      </c>
      <c r="C4898" s="950"/>
      <c r="D4898" s="400"/>
      <c r="E4898" s="170"/>
      <c r="F4898" s="401"/>
      <c r="G4898" s="401"/>
      <c r="H4898" s="401"/>
      <c r="I4898" s="1187" t="str">
        <f t="shared" si="167"/>
        <v/>
      </c>
      <c r="J4898" s="404"/>
      <c r="K4898" s="1234"/>
      <c r="L4898" s="431"/>
      <c r="M4898" s="431"/>
      <c r="N4898" s="431"/>
    </row>
    <row r="4899" spans="1:14" s="398" customFormat="1">
      <c r="A4899" s="1248"/>
      <c r="B4899" s="311" t="s">
        <v>1834</v>
      </c>
      <c r="C4899" s="530"/>
      <c r="D4899" s="400"/>
      <c r="E4899" s="170"/>
      <c r="F4899" s="401"/>
      <c r="G4899" s="401"/>
      <c r="H4899" s="401"/>
      <c r="I4899" s="1187" t="str">
        <f t="shared" si="167"/>
        <v/>
      </c>
      <c r="J4899" s="404"/>
      <c r="K4899" s="1234"/>
      <c r="L4899" s="431"/>
      <c r="M4899" s="431"/>
      <c r="N4899" s="431"/>
    </row>
    <row r="4900" spans="1:14" s="398" customFormat="1">
      <c r="A4900" s="1248"/>
      <c r="B4900" s="311" t="s">
        <v>1835</v>
      </c>
      <c r="C4900" s="530" t="s">
        <v>1</v>
      </c>
      <c r="D4900" s="400">
        <v>1</v>
      </c>
      <c r="E4900" s="170">
        <v>1</v>
      </c>
      <c r="F4900" s="401">
        <v>21.4</v>
      </c>
      <c r="G4900" s="401">
        <v>2.4</v>
      </c>
      <c r="H4900" s="401"/>
      <c r="I4900" s="1187">
        <f t="shared" si="167"/>
        <v>51.36</v>
      </c>
      <c r="J4900" s="404"/>
      <c r="K4900" s="1234"/>
      <c r="L4900" s="431"/>
      <c r="M4900" s="431"/>
      <c r="N4900" s="431"/>
    </row>
    <row r="4901" spans="1:14" s="398" customFormat="1">
      <c r="A4901" s="1248"/>
      <c r="B4901" s="311"/>
      <c r="C4901" s="530" t="s">
        <v>1</v>
      </c>
      <c r="D4901" s="400">
        <v>1</v>
      </c>
      <c r="E4901" s="170">
        <v>5</v>
      </c>
      <c r="F4901" s="401">
        <v>4.4000000000000004</v>
      </c>
      <c r="G4901" s="401">
        <v>1.4</v>
      </c>
      <c r="H4901" s="401"/>
      <c r="I4901" s="1187">
        <f t="shared" si="167"/>
        <v>30.8</v>
      </c>
      <c r="J4901" s="404"/>
      <c r="K4901" s="1234"/>
      <c r="L4901" s="431"/>
      <c r="M4901" s="431"/>
      <c r="N4901" s="431"/>
    </row>
    <row r="4902" spans="1:14" s="398" customFormat="1" ht="34.5">
      <c r="A4902" s="1248"/>
      <c r="B4902" s="311" t="s">
        <v>1836</v>
      </c>
      <c r="C4902" s="530" t="s">
        <v>1</v>
      </c>
      <c r="D4902" s="400">
        <v>1</v>
      </c>
      <c r="E4902" s="170">
        <v>4</v>
      </c>
      <c r="F4902" s="401">
        <v>3</v>
      </c>
      <c r="G4902" s="401">
        <v>2.4</v>
      </c>
      <c r="H4902" s="401"/>
      <c r="I4902" s="1187">
        <f t="shared" si="167"/>
        <v>28.8</v>
      </c>
      <c r="J4902" s="404"/>
      <c r="K4902" s="1234"/>
      <c r="L4902" s="431"/>
      <c r="M4902" s="431"/>
      <c r="N4902" s="431"/>
    </row>
    <row r="4903" spans="1:14" s="398" customFormat="1">
      <c r="A4903" s="1248"/>
      <c r="B4903" s="311"/>
      <c r="C4903" s="530" t="s">
        <v>1</v>
      </c>
      <c r="D4903" s="400">
        <v>1</v>
      </c>
      <c r="E4903" s="170">
        <v>5</v>
      </c>
      <c r="F4903" s="401">
        <v>4.4000000000000004</v>
      </c>
      <c r="G4903" s="401">
        <v>1.4</v>
      </c>
      <c r="H4903" s="401"/>
      <c r="I4903" s="1187">
        <f t="shared" si="167"/>
        <v>30.8</v>
      </c>
      <c r="J4903" s="404"/>
      <c r="K4903" s="1234"/>
      <c r="L4903" s="431"/>
      <c r="M4903" s="431"/>
      <c r="N4903" s="431"/>
    </row>
    <row r="4904" spans="1:14" s="398" customFormat="1">
      <c r="A4904" s="1248"/>
      <c r="B4904" s="311"/>
      <c r="C4904" s="530"/>
      <c r="D4904" s="400"/>
      <c r="E4904" s="170"/>
      <c r="F4904" s="401"/>
      <c r="G4904" s="401"/>
      <c r="H4904" s="401"/>
      <c r="I4904" s="1187" t="str">
        <f t="shared" si="167"/>
        <v/>
      </c>
      <c r="J4904" s="404"/>
      <c r="K4904" s="1234"/>
      <c r="L4904" s="431"/>
      <c r="M4904" s="431"/>
      <c r="N4904" s="431"/>
    </row>
    <row r="4905" spans="1:14" s="398" customFormat="1">
      <c r="A4905" s="1248"/>
      <c r="B4905" s="311" t="s">
        <v>1837</v>
      </c>
      <c r="C4905" s="530"/>
      <c r="D4905" s="400"/>
      <c r="E4905" s="170"/>
      <c r="F4905" s="401"/>
      <c r="G4905" s="401"/>
      <c r="H4905" s="401"/>
      <c r="I4905" s="1187" t="str">
        <f t="shared" si="167"/>
        <v/>
      </c>
      <c r="J4905" s="404"/>
      <c r="K4905" s="1234"/>
      <c r="L4905" s="431"/>
      <c r="M4905" s="431"/>
      <c r="N4905" s="431"/>
    </row>
    <row r="4906" spans="1:14" s="398" customFormat="1">
      <c r="A4906" s="1248"/>
      <c r="B4906" s="311" t="s">
        <v>1838</v>
      </c>
      <c r="C4906" s="530" t="s">
        <v>1</v>
      </c>
      <c r="D4906" s="400">
        <v>1</v>
      </c>
      <c r="E4906" s="170">
        <v>1</v>
      </c>
      <c r="F4906" s="401">
        <v>28.434999999999999</v>
      </c>
      <c r="G4906" s="401">
        <v>2.4</v>
      </c>
      <c r="H4906" s="401"/>
      <c r="I4906" s="1187">
        <f t="shared" si="167"/>
        <v>68.239999999999995</v>
      </c>
      <c r="J4906" s="404"/>
      <c r="K4906" s="1234"/>
      <c r="L4906" s="431"/>
      <c r="M4906" s="431"/>
      <c r="N4906" s="431"/>
    </row>
    <row r="4907" spans="1:14" s="398" customFormat="1">
      <c r="A4907" s="1248"/>
      <c r="B4907" s="311" t="s">
        <v>1839</v>
      </c>
      <c r="C4907" s="530" t="s">
        <v>1</v>
      </c>
      <c r="D4907" s="400">
        <v>-1</v>
      </c>
      <c r="E4907" s="170">
        <v>5</v>
      </c>
      <c r="F4907" s="401">
        <v>1.7649999999999999</v>
      </c>
      <c r="G4907" s="401">
        <v>2</v>
      </c>
      <c r="H4907" s="401"/>
      <c r="I4907" s="1187">
        <f t="shared" si="167"/>
        <v>-17.649999999999999</v>
      </c>
      <c r="J4907" s="404"/>
      <c r="K4907" s="1234"/>
      <c r="L4907" s="431"/>
      <c r="M4907" s="431"/>
      <c r="N4907" s="431"/>
    </row>
    <row r="4908" spans="1:14" s="398" customFormat="1">
      <c r="A4908" s="1248"/>
      <c r="B4908" s="311" t="s">
        <v>1840</v>
      </c>
      <c r="C4908" s="530" t="s">
        <v>1</v>
      </c>
      <c r="D4908" s="400">
        <v>1</v>
      </c>
      <c r="E4908" s="170">
        <v>5</v>
      </c>
      <c r="F4908" s="401">
        <v>4.4000000000000004</v>
      </c>
      <c r="G4908" s="401">
        <v>1.4</v>
      </c>
      <c r="H4908" s="401"/>
      <c r="I4908" s="1187">
        <f t="shared" si="167"/>
        <v>30.8</v>
      </c>
      <c r="J4908" s="404"/>
      <c r="K4908" s="1234"/>
      <c r="L4908" s="431"/>
      <c r="M4908" s="431"/>
      <c r="N4908" s="431"/>
    </row>
    <row r="4909" spans="1:14" s="398" customFormat="1">
      <c r="A4909" s="1248"/>
      <c r="B4909" s="311" t="s">
        <v>1840</v>
      </c>
      <c r="C4909" s="530" t="s">
        <v>1</v>
      </c>
      <c r="D4909" s="400">
        <v>1</v>
      </c>
      <c r="E4909" s="170">
        <v>3</v>
      </c>
      <c r="F4909" s="401">
        <v>2.085</v>
      </c>
      <c r="G4909" s="401">
        <v>1.6</v>
      </c>
      <c r="H4909" s="401"/>
      <c r="I4909" s="1187">
        <f t="shared" si="167"/>
        <v>10.01</v>
      </c>
      <c r="J4909" s="404"/>
      <c r="K4909" s="1234"/>
      <c r="L4909" s="431"/>
      <c r="M4909" s="431"/>
      <c r="N4909" s="431"/>
    </row>
    <row r="4910" spans="1:14" s="398" customFormat="1">
      <c r="A4910" s="1248"/>
      <c r="B4910" s="311" t="s">
        <v>1840</v>
      </c>
      <c r="C4910" s="530" t="s">
        <v>1</v>
      </c>
      <c r="D4910" s="400">
        <v>1</v>
      </c>
      <c r="E4910" s="170">
        <v>5</v>
      </c>
      <c r="F4910" s="401">
        <v>2.0299999999999998</v>
      </c>
      <c r="G4910" s="401">
        <v>1.4</v>
      </c>
      <c r="H4910" s="401"/>
      <c r="I4910" s="1187">
        <f t="shared" si="167"/>
        <v>14.21</v>
      </c>
      <c r="J4910" s="404"/>
      <c r="K4910" s="1234"/>
      <c r="L4910" s="431"/>
      <c r="M4910" s="431"/>
      <c r="N4910" s="431"/>
    </row>
    <row r="4911" spans="1:14" s="398" customFormat="1">
      <c r="A4911" s="1248"/>
      <c r="B4911" s="311"/>
      <c r="C4911" s="530"/>
      <c r="D4911" s="400"/>
      <c r="E4911" s="170"/>
      <c r="F4911" s="401"/>
      <c r="G4911" s="401"/>
      <c r="H4911" s="401"/>
      <c r="I4911" s="1176" t="str">
        <f t="shared" ref="I4911" si="168">IF(D4911&lt;&gt;0,ROUND(PRODUCT(E4911:H4911)*D4911,2),"")</f>
        <v/>
      </c>
      <c r="J4911" s="404"/>
      <c r="K4911" s="1234"/>
      <c r="L4911" s="431"/>
      <c r="M4911" s="431"/>
      <c r="N4911" s="431"/>
    </row>
    <row r="4912" spans="1:14" s="398" customFormat="1">
      <c r="A4912" s="1248"/>
      <c r="B4912" s="311"/>
      <c r="C4912" s="530"/>
      <c r="D4912" s="400"/>
      <c r="E4912" s="170"/>
      <c r="F4912" s="401"/>
      <c r="G4912" s="401"/>
      <c r="H4912" s="401"/>
      <c r="I4912" s="1176" t="str">
        <f t="shared" ref="I4912:I4914" si="169">IF(D4912&lt;&gt;0,ROUND(PRODUCT(E4912:H4912)*D4912,2),"")</f>
        <v/>
      </c>
      <c r="J4912" s="404"/>
      <c r="K4912" s="1234"/>
      <c r="L4912" s="431"/>
      <c r="M4912" s="431"/>
      <c r="N4912" s="431"/>
    </row>
    <row r="4913" spans="1:14" s="398" customFormat="1">
      <c r="A4913" s="1248"/>
      <c r="B4913" s="161" t="s">
        <v>928</v>
      </c>
      <c r="C4913" s="388" t="s">
        <v>1</v>
      </c>
      <c r="D4913" s="392"/>
      <c r="E4913" s="165"/>
      <c r="F4913" s="401"/>
      <c r="G4913" s="401"/>
      <c r="H4913" s="401"/>
      <c r="I4913" s="1176" t="str">
        <f t="shared" si="169"/>
        <v/>
      </c>
      <c r="J4913" s="403">
        <f>SUM(I4887:I4912)</f>
        <v>348.23</v>
      </c>
      <c r="K4913" s="1222" t="s">
        <v>1690</v>
      </c>
      <c r="L4913" s="431"/>
      <c r="M4913" s="431"/>
      <c r="N4913" s="431"/>
    </row>
    <row r="4914" spans="1:14">
      <c r="A4914" s="1248"/>
      <c r="B4914" s="311"/>
      <c r="C4914" s="165"/>
      <c r="D4914" s="392"/>
      <c r="E4914" s="165"/>
      <c r="F4914" s="401"/>
      <c r="G4914" s="401"/>
      <c r="H4914" s="401"/>
      <c r="I4914" s="938" t="str">
        <f t="shared" si="169"/>
        <v/>
      </c>
      <c r="J4914" s="432">
        <f>SUM(J4886:J4913)</f>
        <v>348.23</v>
      </c>
      <c r="K4914" s="1289"/>
    </row>
    <row r="4915" spans="1:14" s="165" customFormat="1">
      <c r="A4915" s="1251"/>
      <c r="B4915" s="673" t="s">
        <v>1000</v>
      </c>
      <c r="C4915" s="417"/>
      <c r="D4915" s="446"/>
      <c r="E4915" s="446"/>
      <c r="F4915" s="1370"/>
      <c r="G4915" s="1370"/>
      <c r="H4915" s="1370"/>
      <c r="I4915" s="1175" t="str">
        <f>IF(D4915&lt;&gt;0,ROUND(PRODUCT(E4915:H4915)*D4915,2),"")</f>
        <v/>
      </c>
      <c r="J4915" s="418"/>
      <c r="K4915" s="1252"/>
      <c r="L4915" s="164"/>
      <c r="M4915" s="164"/>
      <c r="N4915" s="164"/>
    </row>
    <row r="4916" spans="1:14">
      <c r="A4916" s="1219">
        <v>4</v>
      </c>
      <c r="B4916" s="768" t="s">
        <v>989</v>
      </c>
      <c r="C4916" s="422"/>
      <c r="D4916" s="436"/>
      <c r="E4916" s="436"/>
      <c r="F4916" s="1359"/>
      <c r="G4916" s="1359"/>
      <c r="H4916" s="1359"/>
      <c r="I4916" s="1172"/>
      <c r="J4916" s="423"/>
      <c r="K4916" s="1220"/>
    </row>
    <row r="4917" spans="1:14" s="398" customFormat="1" ht="51.75" hidden="1" outlineLevel="1">
      <c r="A4917" s="1221"/>
      <c r="B4917" s="425" t="s">
        <v>990</v>
      </c>
      <c r="C4917" s="165"/>
      <c r="D4917" s="437"/>
      <c r="E4917" s="437"/>
      <c r="F4917" s="1206"/>
      <c r="G4917" s="1206"/>
      <c r="H4917" s="1206"/>
      <c r="I4917" s="938"/>
      <c r="J4917" s="394"/>
      <c r="K4917" s="1233"/>
      <c r="L4917" s="431"/>
      <c r="M4917" s="431"/>
      <c r="N4917" s="431"/>
    </row>
    <row r="4918" spans="1:14" s="398" customFormat="1" hidden="1" outlineLevel="1">
      <c r="A4918" s="1221"/>
      <c r="B4918" s="425" t="s">
        <v>991</v>
      </c>
      <c r="C4918" s="165" t="s">
        <v>1</v>
      </c>
      <c r="D4918" s="437">
        <v>6</v>
      </c>
      <c r="E4918" s="437">
        <v>1</v>
      </c>
      <c r="F4918" s="1206">
        <v>4.0999999999999996</v>
      </c>
      <c r="G4918" s="1206">
        <v>0.8</v>
      </c>
      <c r="H4918" s="1206"/>
      <c r="I4918" s="1187">
        <f t="shared" ref="I4918:I4941" si="170">IF(D4918&lt;&gt;0,ROUND(PRODUCT(E4918:H4918)*D4918,2),"")</f>
        <v>19.68</v>
      </c>
      <c r="J4918" s="394"/>
      <c r="K4918" s="1233"/>
      <c r="L4918" s="431"/>
      <c r="M4918" s="431"/>
      <c r="N4918" s="431"/>
    </row>
    <row r="4919" spans="1:14" s="398" customFormat="1" hidden="1" outlineLevel="1">
      <c r="A4919" s="1221"/>
      <c r="B4919" s="425"/>
      <c r="C4919" s="165" t="s">
        <v>1</v>
      </c>
      <c r="D4919" s="437">
        <v>2</v>
      </c>
      <c r="E4919" s="437">
        <v>1</v>
      </c>
      <c r="F4919" s="1206">
        <v>4.0999999999999996</v>
      </c>
      <c r="G4919" s="1206">
        <v>0.6</v>
      </c>
      <c r="H4919" s="1206"/>
      <c r="I4919" s="1187">
        <f t="shared" si="170"/>
        <v>4.92</v>
      </c>
      <c r="J4919" s="394"/>
      <c r="K4919" s="1233"/>
      <c r="L4919" s="431"/>
      <c r="M4919" s="431"/>
      <c r="N4919" s="431"/>
    </row>
    <row r="4920" spans="1:14" s="398" customFormat="1" hidden="1" outlineLevel="1">
      <c r="A4920" s="1221"/>
      <c r="B4920" s="425" t="s">
        <v>975</v>
      </c>
      <c r="C4920" s="165" t="s">
        <v>1</v>
      </c>
      <c r="D4920" s="437">
        <v>8</v>
      </c>
      <c r="E4920" s="437">
        <v>2</v>
      </c>
      <c r="F4920" s="1206">
        <v>0.8</v>
      </c>
      <c r="G4920" s="1206"/>
      <c r="H4920" s="1206">
        <f>0.5+0.3</f>
        <v>0.8</v>
      </c>
      <c r="I4920" s="1187">
        <f t="shared" si="170"/>
        <v>10.24</v>
      </c>
      <c r="J4920" s="394"/>
      <c r="K4920" s="1233"/>
      <c r="L4920" s="431"/>
      <c r="M4920" s="431"/>
      <c r="N4920" s="431"/>
    </row>
    <row r="4921" spans="1:14" s="398" customFormat="1" hidden="1" outlineLevel="1">
      <c r="A4921" s="1221"/>
      <c r="B4921" s="425" t="s">
        <v>975</v>
      </c>
      <c r="C4921" s="165" t="s">
        <v>1</v>
      </c>
      <c r="D4921" s="437">
        <v>8</v>
      </c>
      <c r="E4921" s="437">
        <v>2</v>
      </c>
      <c r="F4921" s="1206">
        <v>4.0999999999999996</v>
      </c>
      <c r="G4921" s="1206"/>
      <c r="H4921" s="1206">
        <f>(0.8+1.25)/2</f>
        <v>1.0249999999999999</v>
      </c>
      <c r="I4921" s="1187">
        <f t="shared" si="170"/>
        <v>67.239999999999995</v>
      </c>
      <c r="J4921" s="394"/>
      <c r="K4921" s="1233"/>
      <c r="L4921" s="431"/>
      <c r="M4921" s="431"/>
      <c r="N4921" s="431"/>
    </row>
    <row r="4922" spans="1:14" s="398" customFormat="1" hidden="1" outlineLevel="1">
      <c r="A4922" s="1221"/>
      <c r="B4922" s="425"/>
      <c r="C4922" s="165"/>
      <c r="D4922" s="437"/>
      <c r="E4922" s="437"/>
      <c r="F4922" s="1206"/>
      <c r="G4922" s="1206"/>
      <c r="H4922" s="1206"/>
      <c r="I4922" s="1187" t="str">
        <f t="shared" si="170"/>
        <v/>
      </c>
      <c r="J4922" s="394"/>
      <c r="K4922" s="1233"/>
      <c r="L4922" s="431"/>
      <c r="M4922" s="431"/>
      <c r="N4922" s="431"/>
    </row>
    <row r="4923" spans="1:14" s="398" customFormat="1" ht="51.75" hidden="1" outlineLevel="1">
      <c r="A4923" s="1221"/>
      <c r="B4923" s="425" t="s">
        <v>992</v>
      </c>
      <c r="C4923" s="165"/>
      <c r="D4923" s="437"/>
      <c r="E4923" s="437"/>
      <c r="F4923" s="1206"/>
      <c r="G4923" s="1206"/>
      <c r="H4923" s="1206"/>
      <c r="I4923" s="1187" t="str">
        <f t="shared" si="170"/>
        <v/>
      </c>
      <c r="J4923" s="394"/>
      <c r="K4923" s="1233"/>
      <c r="L4923" s="431"/>
      <c r="M4923" s="431"/>
      <c r="N4923" s="431"/>
    </row>
    <row r="4924" spans="1:14" s="398" customFormat="1" hidden="1" outlineLevel="1">
      <c r="A4924" s="1221"/>
      <c r="B4924" s="425" t="s">
        <v>991</v>
      </c>
      <c r="C4924" s="165" t="s">
        <v>1</v>
      </c>
      <c r="D4924" s="437">
        <v>6</v>
      </c>
      <c r="E4924" s="437">
        <v>1</v>
      </c>
      <c r="F4924" s="1206">
        <v>4.0999999999999996</v>
      </c>
      <c r="G4924" s="1206">
        <v>0.8</v>
      </c>
      <c r="H4924" s="1206"/>
      <c r="I4924" s="1187">
        <f t="shared" si="170"/>
        <v>19.68</v>
      </c>
      <c r="J4924" s="394"/>
      <c r="K4924" s="1233"/>
      <c r="L4924" s="431"/>
      <c r="M4924" s="431"/>
      <c r="N4924" s="431"/>
    </row>
    <row r="4925" spans="1:14" s="398" customFormat="1" hidden="1" outlineLevel="1">
      <c r="A4925" s="1221"/>
      <c r="B4925" s="425"/>
      <c r="C4925" s="165" t="s">
        <v>1</v>
      </c>
      <c r="D4925" s="437">
        <v>2</v>
      </c>
      <c r="E4925" s="437">
        <v>1</v>
      </c>
      <c r="F4925" s="1206">
        <v>4.0999999999999996</v>
      </c>
      <c r="G4925" s="1206">
        <v>0.6</v>
      </c>
      <c r="H4925" s="1206"/>
      <c r="I4925" s="1187">
        <f t="shared" si="170"/>
        <v>4.92</v>
      </c>
      <c r="J4925" s="394"/>
      <c r="K4925" s="1233"/>
      <c r="L4925" s="431"/>
      <c r="M4925" s="431"/>
      <c r="N4925" s="431"/>
    </row>
    <row r="4926" spans="1:14" s="398" customFormat="1" hidden="1" outlineLevel="1">
      <c r="A4926" s="1221"/>
      <c r="B4926" s="425" t="s">
        <v>975</v>
      </c>
      <c r="C4926" s="165" t="s">
        <v>1</v>
      </c>
      <c r="D4926" s="437">
        <v>8</v>
      </c>
      <c r="E4926" s="437">
        <v>2</v>
      </c>
      <c r="F4926" s="1206">
        <v>0.8</v>
      </c>
      <c r="G4926" s="1206"/>
      <c r="H4926" s="1206">
        <f>0.5+0.3</f>
        <v>0.8</v>
      </c>
      <c r="I4926" s="1187">
        <f t="shared" si="170"/>
        <v>10.24</v>
      </c>
      <c r="J4926" s="394"/>
      <c r="K4926" s="1233"/>
      <c r="L4926" s="431"/>
      <c r="M4926" s="431"/>
      <c r="N4926" s="431"/>
    </row>
    <row r="4927" spans="1:14" s="398" customFormat="1" hidden="1" outlineLevel="1">
      <c r="A4927" s="1221"/>
      <c r="B4927" s="425" t="s">
        <v>975</v>
      </c>
      <c r="C4927" s="165" t="s">
        <v>1</v>
      </c>
      <c r="D4927" s="437">
        <v>8</v>
      </c>
      <c r="E4927" s="437">
        <v>2</v>
      </c>
      <c r="F4927" s="1206">
        <v>4.0999999999999996</v>
      </c>
      <c r="G4927" s="1206"/>
      <c r="H4927" s="1206">
        <f>(0.8+1.25)/2</f>
        <v>1.0249999999999999</v>
      </c>
      <c r="I4927" s="1187">
        <f t="shared" si="170"/>
        <v>67.239999999999995</v>
      </c>
      <c r="J4927" s="394"/>
      <c r="K4927" s="1233"/>
      <c r="L4927" s="431"/>
      <c r="M4927" s="431"/>
      <c r="N4927" s="431"/>
    </row>
    <row r="4928" spans="1:14" s="398" customFormat="1" hidden="1" outlineLevel="1">
      <c r="A4928" s="1221"/>
      <c r="B4928" s="425"/>
      <c r="C4928" s="165"/>
      <c r="D4928" s="437"/>
      <c r="E4928" s="437"/>
      <c r="F4928" s="1206"/>
      <c r="G4928" s="1206"/>
      <c r="H4928" s="1206"/>
      <c r="I4928" s="1187" t="str">
        <f t="shared" si="170"/>
        <v/>
      </c>
      <c r="J4928" s="394"/>
      <c r="K4928" s="1233"/>
      <c r="L4928" s="431"/>
      <c r="M4928" s="431"/>
      <c r="N4928" s="431"/>
    </row>
    <row r="4929" spans="1:14" s="398" customFormat="1" ht="51.75" hidden="1" outlineLevel="1">
      <c r="A4929" s="1221"/>
      <c r="B4929" s="425" t="s">
        <v>993</v>
      </c>
      <c r="C4929" s="165"/>
      <c r="D4929" s="437"/>
      <c r="E4929" s="437"/>
      <c r="F4929" s="1206"/>
      <c r="G4929" s="1206"/>
      <c r="H4929" s="1206"/>
      <c r="I4929" s="1187" t="str">
        <f t="shared" si="170"/>
        <v/>
      </c>
      <c r="J4929" s="394"/>
      <c r="K4929" s="1233"/>
      <c r="L4929" s="431"/>
      <c r="M4929" s="431"/>
      <c r="N4929" s="431"/>
    </row>
    <row r="4930" spans="1:14" s="398" customFormat="1" hidden="1" outlineLevel="1">
      <c r="A4930" s="1221"/>
      <c r="B4930" s="425" t="s">
        <v>991</v>
      </c>
      <c r="C4930" s="165" t="s">
        <v>1</v>
      </c>
      <c r="D4930" s="437">
        <v>6</v>
      </c>
      <c r="E4930" s="437">
        <v>1</v>
      </c>
      <c r="F4930" s="1206">
        <v>4.0999999999999996</v>
      </c>
      <c r="G4930" s="1206">
        <v>0.8</v>
      </c>
      <c r="H4930" s="1206"/>
      <c r="I4930" s="1187">
        <f t="shared" si="170"/>
        <v>19.68</v>
      </c>
      <c r="J4930" s="394"/>
      <c r="K4930" s="1233"/>
      <c r="L4930" s="431"/>
      <c r="M4930" s="431"/>
      <c r="N4930" s="431"/>
    </row>
    <row r="4931" spans="1:14" s="398" customFormat="1" hidden="1" outlineLevel="1">
      <c r="A4931" s="1221"/>
      <c r="B4931" s="425"/>
      <c r="C4931" s="165" t="s">
        <v>1</v>
      </c>
      <c r="D4931" s="437">
        <v>3</v>
      </c>
      <c r="E4931" s="437">
        <v>1</v>
      </c>
      <c r="F4931" s="1206">
        <v>4.0999999999999996</v>
      </c>
      <c r="G4931" s="1206">
        <v>0.6</v>
      </c>
      <c r="H4931" s="1206"/>
      <c r="I4931" s="1187">
        <f t="shared" si="170"/>
        <v>7.38</v>
      </c>
      <c r="J4931" s="394"/>
      <c r="K4931" s="1233"/>
      <c r="L4931" s="431"/>
      <c r="M4931" s="431"/>
      <c r="N4931" s="431"/>
    </row>
    <row r="4932" spans="1:14" s="398" customFormat="1" hidden="1" outlineLevel="1">
      <c r="A4932" s="1221"/>
      <c r="B4932" s="425" t="s">
        <v>975</v>
      </c>
      <c r="C4932" s="165" t="s">
        <v>1</v>
      </c>
      <c r="D4932" s="437">
        <v>9</v>
      </c>
      <c r="E4932" s="437">
        <v>2</v>
      </c>
      <c r="F4932" s="1206">
        <v>0.8</v>
      </c>
      <c r="G4932" s="1206"/>
      <c r="H4932" s="1206">
        <f>0.5+0.3</f>
        <v>0.8</v>
      </c>
      <c r="I4932" s="1187">
        <f t="shared" si="170"/>
        <v>11.52</v>
      </c>
      <c r="J4932" s="394"/>
      <c r="K4932" s="1233"/>
      <c r="L4932" s="431"/>
      <c r="M4932" s="431"/>
      <c r="N4932" s="431"/>
    </row>
    <row r="4933" spans="1:14" s="398" customFormat="1" hidden="1" outlineLevel="1">
      <c r="A4933" s="1221"/>
      <c r="B4933" s="425" t="s">
        <v>975</v>
      </c>
      <c r="C4933" s="165" t="s">
        <v>1</v>
      </c>
      <c r="D4933" s="437">
        <v>9</v>
      </c>
      <c r="E4933" s="437">
        <v>2</v>
      </c>
      <c r="F4933" s="1206">
        <v>4.0999999999999996</v>
      </c>
      <c r="G4933" s="1206"/>
      <c r="H4933" s="1206">
        <f>(0.8+1.25)/2</f>
        <v>1.0249999999999999</v>
      </c>
      <c r="I4933" s="1187">
        <f t="shared" si="170"/>
        <v>75.650000000000006</v>
      </c>
      <c r="J4933" s="394"/>
      <c r="K4933" s="1233"/>
      <c r="L4933" s="431"/>
      <c r="M4933" s="431"/>
      <c r="N4933" s="431"/>
    </row>
    <row r="4934" spans="1:14" s="398" customFormat="1" hidden="1" outlineLevel="1">
      <c r="A4934" s="1221"/>
      <c r="B4934" s="425"/>
      <c r="C4934" s="165"/>
      <c r="D4934" s="437"/>
      <c r="E4934" s="437"/>
      <c r="F4934" s="1206"/>
      <c r="G4934" s="1206"/>
      <c r="H4934" s="1206"/>
      <c r="I4934" s="1187" t="str">
        <f t="shared" si="170"/>
        <v/>
      </c>
      <c r="J4934" s="394"/>
      <c r="K4934" s="1233"/>
      <c r="L4934" s="431"/>
      <c r="M4934" s="431"/>
      <c r="N4934" s="431"/>
    </row>
    <row r="4935" spans="1:14" s="398" customFormat="1" ht="51.75" hidden="1" outlineLevel="1">
      <c r="A4935" s="1221"/>
      <c r="B4935" s="425" t="s">
        <v>994</v>
      </c>
      <c r="C4935" s="165"/>
      <c r="D4935" s="437"/>
      <c r="E4935" s="437"/>
      <c r="F4935" s="1206"/>
      <c r="G4935" s="1206"/>
      <c r="H4935" s="1206"/>
      <c r="I4935" s="1187" t="str">
        <f t="shared" si="170"/>
        <v/>
      </c>
      <c r="J4935" s="394"/>
      <c r="K4935" s="1233"/>
      <c r="L4935" s="431"/>
      <c r="M4935" s="431"/>
      <c r="N4935" s="431"/>
    </row>
    <row r="4936" spans="1:14" s="398" customFormat="1" hidden="1" outlineLevel="1">
      <c r="A4936" s="1221"/>
      <c r="B4936" s="425" t="s">
        <v>991</v>
      </c>
      <c r="C4936" s="165" t="s">
        <v>1</v>
      </c>
      <c r="D4936" s="437">
        <v>6</v>
      </c>
      <c r="E4936" s="437">
        <v>1</v>
      </c>
      <c r="F4936" s="1206">
        <v>4.0999999999999996</v>
      </c>
      <c r="G4936" s="1206">
        <v>0.8</v>
      </c>
      <c r="H4936" s="1206"/>
      <c r="I4936" s="1187">
        <f t="shared" si="170"/>
        <v>19.68</v>
      </c>
      <c r="J4936" s="394"/>
      <c r="K4936" s="1233"/>
      <c r="L4936" s="431"/>
      <c r="M4936" s="431"/>
      <c r="N4936" s="431"/>
    </row>
    <row r="4937" spans="1:14" s="398" customFormat="1" hidden="1" outlineLevel="1">
      <c r="A4937" s="1221"/>
      <c r="B4937" s="425"/>
      <c r="C4937" s="165" t="s">
        <v>1</v>
      </c>
      <c r="D4937" s="437">
        <v>2</v>
      </c>
      <c r="E4937" s="437">
        <v>1</v>
      </c>
      <c r="F4937" s="1206">
        <v>4.0999999999999996</v>
      </c>
      <c r="G4937" s="1206">
        <v>0.6</v>
      </c>
      <c r="H4937" s="1206"/>
      <c r="I4937" s="1187">
        <f t="shared" si="170"/>
        <v>4.92</v>
      </c>
      <c r="J4937" s="394"/>
      <c r="K4937" s="1233"/>
      <c r="L4937" s="431"/>
      <c r="M4937" s="431"/>
      <c r="N4937" s="431"/>
    </row>
    <row r="4938" spans="1:14" s="398" customFormat="1" hidden="1" outlineLevel="1">
      <c r="A4938" s="1221"/>
      <c r="B4938" s="425" t="s">
        <v>975</v>
      </c>
      <c r="C4938" s="165" t="s">
        <v>1</v>
      </c>
      <c r="D4938" s="437">
        <v>8</v>
      </c>
      <c r="E4938" s="437">
        <v>2</v>
      </c>
      <c r="F4938" s="1206">
        <v>0.8</v>
      </c>
      <c r="G4938" s="1206"/>
      <c r="H4938" s="1206">
        <f>0.5+0.3</f>
        <v>0.8</v>
      </c>
      <c r="I4938" s="1187">
        <f t="shared" si="170"/>
        <v>10.24</v>
      </c>
      <c r="J4938" s="394"/>
      <c r="K4938" s="1233"/>
      <c r="L4938" s="431"/>
      <c r="M4938" s="431"/>
      <c r="N4938" s="431"/>
    </row>
    <row r="4939" spans="1:14" s="398" customFormat="1" hidden="1" outlineLevel="1">
      <c r="A4939" s="1221"/>
      <c r="B4939" s="425" t="s">
        <v>975</v>
      </c>
      <c r="C4939" s="165" t="s">
        <v>1</v>
      </c>
      <c r="D4939" s="437">
        <v>8</v>
      </c>
      <c r="E4939" s="437">
        <v>2</v>
      </c>
      <c r="F4939" s="1206">
        <v>4.0999999999999996</v>
      </c>
      <c r="G4939" s="1206"/>
      <c r="H4939" s="1206">
        <f>(0.8+1.25)/2</f>
        <v>1.0249999999999999</v>
      </c>
      <c r="I4939" s="1187">
        <f t="shared" si="170"/>
        <v>67.239999999999995</v>
      </c>
      <c r="J4939" s="394"/>
      <c r="K4939" s="1233"/>
      <c r="L4939" s="431"/>
      <c r="M4939" s="431"/>
      <c r="N4939" s="431"/>
    </row>
    <row r="4940" spans="1:14" s="398" customFormat="1" hidden="1" outlineLevel="1">
      <c r="A4940" s="1221"/>
      <c r="B4940" s="425" t="s">
        <v>1294</v>
      </c>
      <c r="C4940" s="165" t="s">
        <v>1</v>
      </c>
      <c r="D4940" s="437">
        <v>1</v>
      </c>
      <c r="E4940" s="437"/>
      <c r="F4940" s="1206">
        <v>177.14</v>
      </c>
      <c r="G4940" s="1206"/>
      <c r="H4940" s="1206"/>
      <c r="I4940" s="1187">
        <f t="shared" si="170"/>
        <v>177.14</v>
      </c>
      <c r="J4940" s="394"/>
      <c r="K4940" s="1233" t="s">
        <v>1295</v>
      </c>
      <c r="L4940" s="431"/>
      <c r="M4940" s="431"/>
      <c r="N4940" s="431"/>
    </row>
    <row r="4941" spans="1:14" s="398" customFormat="1" hidden="1" outlineLevel="1">
      <c r="A4941" s="1221"/>
      <c r="B4941" s="425" t="s">
        <v>1294</v>
      </c>
      <c r="C4941" s="165" t="s">
        <v>1</v>
      </c>
      <c r="D4941" s="437">
        <v>1</v>
      </c>
      <c r="E4941" s="437"/>
      <c r="F4941" s="1206">
        <v>32.4</v>
      </c>
      <c r="G4941" s="1206"/>
      <c r="H4941" s="1206"/>
      <c r="I4941" s="1187">
        <f t="shared" si="170"/>
        <v>32.4</v>
      </c>
      <c r="J4941" s="394"/>
      <c r="K4941" s="1233" t="s">
        <v>1295</v>
      </c>
      <c r="L4941" s="431"/>
      <c r="M4941" s="431"/>
      <c r="N4941" s="431"/>
    </row>
    <row r="4942" spans="1:14" s="464" customFormat="1" collapsed="1">
      <c r="A4942" s="1264"/>
      <c r="B4942" s="669" t="s">
        <v>85</v>
      </c>
      <c r="C4942" s="465" t="s">
        <v>1</v>
      </c>
      <c r="D4942" s="444"/>
      <c r="E4942" s="345"/>
      <c r="F4942" s="1356"/>
      <c r="G4942" s="1356"/>
      <c r="H4942" s="1356"/>
      <c r="I4942" s="1170"/>
      <c r="J4942" s="467">
        <f>SUM(I4916:I4942)</f>
        <v>630.01</v>
      </c>
      <c r="K4942" s="1258"/>
      <c r="L4942" s="463"/>
      <c r="M4942" s="463"/>
      <c r="N4942" s="463"/>
    </row>
    <row r="4943" spans="1:14" s="398" customFormat="1">
      <c r="A4943" s="1221"/>
      <c r="B4943" s="425"/>
      <c r="C4943" s="165"/>
      <c r="D4943" s="437"/>
      <c r="E4943" s="437"/>
      <c r="F4943" s="1206"/>
      <c r="G4943" s="1206"/>
      <c r="H4943" s="1206"/>
      <c r="I4943" s="1176"/>
      <c r="J4943" s="394"/>
      <c r="K4943" s="1233"/>
      <c r="L4943" s="431"/>
      <c r="M4943" s="431"/>
      <c r="N4943" s="431"/>
    </row>
    <row r="4944" spans="1:14" s="398" customFormat="1">
      <c r="A4944" s="1221"/>
      <c r="B4944" s="425"/>
      <c r="C4944" s="165"/>
      <c r="D4944" s="437"/>
      <c r="E4944" s="437"/>
      <c r="F4944" s="1206"/>
      <c r="G4944" s="1206"/>
      <c r="H4944" s="1206"/>
      <c r="I4944" s="1176"/>
      <c r="J4944" s="394"/>
      <c r="K4944" s="1233"/>
      <c r="L4944" s="431"/>
      <c r="M4944" s="431"/>
      <c r="N4944" s="431"/>
    </row>
    <row r="4945" spans="1:14" s="398" customFormat="1">
      <c r="A4945" s="1248"/>
      <c r="B4945" s="161" t="s">
        <v>928</v>
      </c>
      <c r="C4945" s="388" t="s">
        <v>1</v>
      </c>
      <c r="D4945" s="392"/>
      <c r="E4945" s="165"/>
      <c r="F4945" s="401"/>
      <c r="G4945" s="401"/>
      <c r="H4945" s="401"/>
      <c r="I4945" s="938"/>
      <c r="J4945" s="403">
        <f>SUM(I4943:I4945)</f>
        <v>0</v>
      </c>
      <c r="K4945" s="1222" t="s">
        <v>1690</v>
      </c>
      <c r="L4945" s="431"/>
      <c r="M4945" s="431"/>
      <c r="N4945" s="431"/>
    </row>
    <row r="4946" spans="1:14">
      <c r="A4946" s="1248"/>
      <c r="B4946" s="311"/>
      <c r="C4946" s="165"/>
      <c r="D4946" s="392"/>
      <c r="E4946" s="165"/>
      <c r="F4946" s="401"/>
      <c r="G4946" s="401"/>
      <c r="H4946" s="401"/>
      <c r="I4946" s="938"/>
      <c r="J4946" s="432">
        <f>SUM(J4942:J4945)</f>
        <v>630.01</v>
      </c>
      <c r="K4946" s="1289"/>
    </row>
    <row r="4947" spans="1:14" s="165" customFormat="1">
      <c r="A4947" s="1251"/>
      <c r="B4947" s="673" t="s">
        <v>1058</v>
      </c>
      <c r="C4947" s="417"/>
      <c r="D4947" s="446"/>
      <c r="E4947" s="446"/>
      <c r="F4947" s="1370"/>
      <c r="G4947" s="1370"/>
      <c r="H4947" s="1370"/>
      <c r="I4947" s="1175" t="str">
        <f>IF(D4947&lt;&gt;0,ROUND(PRODUCT(E4947:H4947)*D4947,2),"")</f>
        <v/>
      </c>
      <c r="J4947" s="418"/>
      <c r="K4947" s="1252"/>
      <c r="L4947" s="164"/>
      <c r="M4947" s="164"/>
      <c r="N4947" s="164"/>
    </row>
    <row r="4948" spans="1:14">
      <c r="A4948" s="1219">
        <v>1.1000000000000001</v>
      </c>
      <c r="B4948" s="768" t="s">
        <v>1055</v>
      </c>
      <c r="C4948" s="422"/>
      <c r="D4948" s="436"/>
      <c r="E4948" s="436"/>
      <c r="F4948" s="1359"/>
      <c r="G4948" s="1359"/>
      <c r="H4948" s="1359"/>
      <c r="I4948" s="1172"/>
      <c r="J4948" s="423"/>
      <c r="K4948" s="1220"/>
    </row>
    <row r="4949" spans="1:14" s="398" customFormat="1" hidden="1" outlineLevel="1">
      <c r="A4949" s="1221"/>
      <c r="B4949" s="425"/>
      <c r="C4949" s="165"/>
      <c r="D4949" s="437"/>
      <c r="E4949" s="437"/>
      <c r="F4949" s="1206"/>
      <c r="G4949" s="1206"/>
      <c r="H4949" s="1206"/>
      <c r="I4949" s="938"/>
      <c r="J4949" s="394"/>
      <c r="K4949" s="1233"/>
      <c r="L4949" s="431"/>
      <c r="M4949" s="431"/>
      <c r="N4949" s="431"/>
    </row>
    <row r="4950" spans="1:14" s="398" customFormat="1" ht="34.5" hidden="1" outlineLevel="1">
      <c r="A4950" s="1221"/>
      <c r="B4950" s="425" t="s">
        <v>1046</v>
      </c>
      <c r="C4950" s="165"/>
      <c r="D4950" s="437"/>
      <c r="E4950" s="437"/>
      <c r="F4950" s="1206"/>
      <c r="G4950" s="1206"/>
      <c r="H4950" s="1206"/>
      <c r="I4950" s="938"/>
      <c r="J4950" s="394"/>
      <c r="K4950" s="1233"/>
      <c r="L4950" s="431"/>
      <c r="M4950" s="431"/>
      <c r="N4950" s="431"/>
    </row>
    <row r="4951" spans="1:14" s="398" customFormat="1" hidden="1" outlineLevel="1">
      <c r="A4951" s="1221"/>
      <c r="B4951" s="425" t="s">
        <v>1047</v>
      </c>
      <c r="C4951" s="165" t="s">
        <v>1</v>
      </c>
      <c r="D4951" s="437">
        <v>1</v>
      </c>
      <c r="E4951" s="437">
        <v>1</v>
      </c>
      <c r="F4951" s="1206">
        <v>31.93</v>
      </c>
      <c r="G4951" s="1206">
        <v>3.0350000000000001</v>
      </c>
      <c r="H4951" s="1206"/>
      <c r="I4951" s="1187">
        <f t="shared" ref="I4951:I5014" si="171">IF(D4951&lt;&gt;0,ROUND(PRODUCT(E4951:H4951)*D4951,2),"")</f>
        <v>96.91</v>
      </c>
      <c r="J4951" s="394"/>
      <c r="K4951" s="1233"/>
      <c r="L4951" s="431"/>
      <c r="M4951" s="431"/>
      <c r="N4951" s="431"/>
    </row>
    <row r="4952" spans="1:14" s="398" customFormat="1" ht="34.5" hidden="1" outlineLevel="1">
      <c r="A4952" s="1221"/>
      <c r="B4952" s="425" t="s">
        <v>1048</v>
      </c>
      <c r="C4952" s="165" t="s">
        <v>1</v>
      </c>
      <c r="D4952" s="437">
        <v>1</v>
      </c>
      <c r="E4952" s="437">
        <v>1</v>
      </c>
      <c r="F4952" s="1206">
        <v>25.035</v>
      </c>
      <c r="G4952" s="1206">
        <v>3.7949999999999999</v>
      </c>
      <c r="H4952" s="1206"/>
      <c r="I4952" s="1187">
        <f t="shared" si="171"/>
        <v>95.01</v>
      </c>
      <c r="J4952" s="394"/>
      <c r="K4952" s="1233"/>
      <c r="L4952" s="431"/>
      <c r="M4952" s="431"/>
      <c r="N4952" s="431"/>
    </row>
    <row r="4953" spans="1:14" s="398" customFormat="1" hidden="1" outlineLevel="1">
      <c r="A4953" s="1221"/>
      <c r="B4953" s="425" t="s">
        <v>1049</v>
      </c>
      <c r="C4953" s="165" t="s">
        <v>1</v>
      </c>
      <c r="D4953" s="437">
        <v>1</v>
      </c>
      <c r="E4953" s="437">
        <v>1</v>
      </c>
      <c r="F4953" s="1206">
        <v>6.2</v>
      </c>
      <c r="G4953" s="1206">
        <v>4.0350000000000001</v>
      </c>
      <c r="H4953" s="1206"/>
      <c r="I4953" s="1187">
        <f t="shared" si="171"/>
        <v>25.02</v>
      </c>
      <c r="J4953" s="394"/>
      <c r="K4953" s="1233"/>
      <c r="L4953" s="431"/>
      <c r="M4953" s="431"/>
      <c r="N4953" s="431"/>
    </row>
    <row r="4954" spans="1:14" s="398" customFormat="1" hidden="1" outlineLevel="1">
      <c r="A4954" s="1221"/>
      <c r="B4954" s="425"/>
      <c r="C4954" s="165" t="s">
        <v>1</v>
      </c>
      <c r="D4954" s="437">
        <v>1</v>
      </c>
      <c r="E4954" s="437">
        <v>8</v>
      </c>
      <c r="F4954" s="1206">
        <v>5</v>
      </c>
      <c r="G4954" s="1206">
        <v>2</v>
      </c>
      <c r="H4954" s="1206"/>
      <c r="I4954" s="1187">
        <f t="shared" si="171"/>
        <v>80</v>
      </c>
      <c r="J4954" s="394"/>
      <c r="K4954" s="1233"/>
      <c r="L4954" s="431"/>
      <c r="M4954" s="431"/>
      <c r="N4954" s="431"/>
    </row>
    <row r="4955" spans="1:14" s="398" customFormat="1" hidden="1" outlineLevel="1">
      <c r="A4955" s="1221"/>
      <c r="B4955" s="425" t="s">
        <v>872</v>
      </c>
      <c r="C4955" s="165" t="s">
        <v>1</v>
      </c>
      <c r="D4955" s="437">
        <v>-1</v>
      </c>
      <c r="E4955" s="437">
        <f>8*3</f>
        <v>24</v>
      </c>
      <c r="F4955" s="1206">
        <v>1</v>
      </c>
      <c r="G4955" s="1206">
        <v>1</v>
      </c>
      <c r="H4955" s="1206"/>
      <c r="I4955" s="1187">
        <f t="shared" si="171"/>
        <v>-24</v>
      </c>
      <c r="J4955" s="394"/>
      <c r="K4955" s="1233"/>
      <c r="L4955" s="431"/>
      <c r="M4955" s="431"/>
      <c r="N4955" s="431"/>
    </row>
    <row r="4956" spans="1:14" s="398" customFormat="1" ht="34.5" hidden="1" outlineLevel="1">
      <c r="A4956" s="1221"/>
      <c r="B4956" s="425" t="s">
        <v>1050</v>
      </c>
      <c r="C4956" s="165" t="s">
        <v>1</v>
      </c>
      <c r="D4956" s="437">
        <v>1</v>
      </c>
      <c r="E4956" s="437">
        <v>1</v>
      </c>
      <c r="F4956" s="1206">
        <v>37.414000000000001</v>
      </c>
      <c r="G4956" s="1206">
        <v>1.2</v>
      </c>
      <c r="H4956" s="1206"/>
      <c r="I4956" s="1187">
        <f t="shared" si="171"/>
        <v>44.9</v>
      </c>
      <c r="J4956" s="394"/>
      <c r="K4956" s="1233"/>
      <c r="L4956" s="431"/>
      <c r="M4956" s="431"/>
      <c r="N4956" s="431"/>
    </row>
    <row r="4957" spans="1:14" s="398" customFormat="1" ht="34.5" hidden="1" outlineLevel="1">
      <c r="A4957" s="1221"/>
      <c r="B4957" s="425" t="s">
        <v>1050</v>
      </c>
      <c r="C4957" s="165" t="s">
        <v>1</v>
      </c>
      <c r="D4957" s="437">
        <v>1</v>
      </c>
      <c r="E4957" s="437">
        <v>1</v>
      </c>
      <c r="F4957" s="1206">
        <v>18.956</v>
      </c>
      <c r="G4957" s="1206">
        <v>1.2</v>
      </c>
      <c r="H4957" s="1206"/>
      <c r="I4957" s="1187">
        <f t="shared" si="171"/>
        <v>22.75</v>
      </c>
      <c r="J4957" s="394"/>
      <c r="K4957" s="1233"/>
      <c r="L4957" s="431"/>
      <c r="M4957" s="431"/>
      <c r="N4957" s="431"/>
    </row>
    <row r="4958" spans="1:14" s="398" customFormat="1" ht="34.5" hidden="1" outlineLevel="1">
      <c r="A4958" s="1221"/>
      <c r="B4958" s="425" t="s">
        <v>1051</v>
      </c>
      <c r="C4958" s="165" t="s">
        <v>1</v>
      </c>
      <c r="D4958" s="437">
        <v>1</v>
      </c>
      <c r="E4958" s="437">
        <v>1</v>
      </c>
      <c r="F4958" s="1377">
        <v>46.728999999999999</v>
      </c>
      <c r="G4958" s="1206">
        <v>1.24</v>
      </c>
      <c r="H4958" s="1206"/>
      <c r="I4958" s="1187">
        <f t="shared" si="171"/>
        <v>57.94</v>
      </c>
      <c r="J4958" s="394"/>
      <c r="K4958" s="1233"/>
      <c r="L4958" s="431"/>
      <c r="M4958" s="431"/>
      <c r="N4958" s="431"/>
    </row>
    <row r="4959" spans="1:14" s="398" customFormat="1" hidden="1" outlineLevel="1">
      <c r="A4959" s="1221"/>
      <c r="B4959" s="425"/>
      <c r="C4959" s="165" t="s">
        <v>1</v>
      </c>
      <c r="D4959" s="437">
        <v>1</v>
      </c>
      <c r="E4959" s="437">
        <v>1</v>
      </c>
      <c r="F4959" s="1206">
        <v>6.0979999999999999</v>
      </c>
      <c r="G4959" s="1206">
        <v>3.05</v>
      </c>
      <c r="H4959" s="1206"/>
      <c r="I4959" s="1187">
        <f t="shared" si="171"/>
        <v>18.600000000000001</v>
      </c>
      <c r="J4959" s="394"/>
      <c r="K4959" s="1233"/>
      <c r="L4959" s="431"/>
      <c r="M4959" s="431"/>
      <c r="N4959" s="431"/>
    </row>
    <row r="4960" spans="1:14" s="398" customFormat="1" hidden="1" outlineLevel="1">
      <c r="A4960" s="1221"/>
      <c r="B4960" s="425"/>
      <c r="C4960" s="165" t="s">
        <v>1</v>
      </c>
      <c r="D4960" s="437">
        <v>1</v>
      </c>
      <c r="E4960" s="437">
        <v>1</v>
      </c>
      <c r="F4960" s="1206">
        <v>12</v>
      </c>
      <c r="G4960" s="1206">
        <v>3.3</v>
      </c>
      <c r="H4960" s="1206"/>
      <c r="I4960" s="1187">
        <f t="shared" si="171"/>
        <v>39.6</v>
      </c>
      <c r="J4960" s="394"/>
      <c r="K4960" s="1233"/>
      <c r="L4960" s="431"/>
      <c r="M4960" s="431"/>
      <c r="N4960" s="431"/>
    </row>
    <row r="4961" spans="1:14" s="398" customFormat="1" hidden="1" outlineLevel="1">
      <c r="A4961" s="1221"/>
      <c r="B4961" s="425" t="s">
        <v>1052</v>
      </c>
      <c r="C4961" s="165" t="s">
        <v>1</v>
      </c>
      <c r="D4961" s="437">
        <v>1</v>
      </c>
      <c r="E4961" s="437">
        <v>1</v>
      </c>
      <c r="F4961" s="1377">
        <v>182.4</v>
      </c>
      <c r="G4961" s="1206"/>
      <c r="H4961" s="1206"/>
      <c r="I4961" s="1187">
        <f t="shared" si="171"/>
        <v>182.4</v>
      </c>
      <c r="J4961" s="394"/>
      <c r="K4961" s="1233" t="s">
        <v>860</v>
      </c>
      <c r="L4961" s="431"/>
      <c r="M4961" s="431"/>
      <c r="N4961" s="431"/>
    </row>
    <row r="4962" spans="1:14" s="398" customFormat="1" hidden="1" outlineLevel="1">
      <c r="A4962" s="1221"/>
      <c r="B4962" s="425"/>
      <c r="C4962" s="165"/>
      <c r="D4962" s="437"/>
      <c r="E4962" s="437"/>
      <c r="F4962" s="1206"/>
      <c r="G4962" s="1206"/>
      <c r="H4962" s="1206"/>
      <c r="I4962" s="1187" t="str">
        <f t="shared" si="171"/>
        <v/>
      </c>
      <c r="J4962" s="394"/>
      <c r="K4962" s="1233"/>
      <c r="L4962" s="431"/>
      <c r="M4962" s="431"/>
      <c r="N4962" s="431"/>
    </row>
    <row r="4963" spans="1:14" s="398" customFormat="1" hidden="1" outlineLevel="1">
      <c r="A4963" s="1221"/>
      <c r="B4963" s="425" t="s">
        <v>1053</v>
      </c>
      <c r="C4963" s="165" t="s">
        <v>1</v>
      </c>
      <c r="D4963" s="437">
        <v>1</v>
      </c>
      <c r="E4963" s="437">
        <v>1</v>
      </c>
      <c r="F4963" s="1206">
        <v>20.265000000000001</v>
      </c>
      <c r="G4963" s="1206">
        <v>4.6849999999999996</v>
      </c>
      <c r="H4963" s="1206"/>
      <c r="I4963" s="1187">
        <f t="shared" si="171"/>
        <v>94.94</v>
      </c>
      <c r="J4963" s="394"/>
      <c r="K4963" s="1233"/>
      <c r="L4963" s="431"/>
      <c r="M4963" s="431"/>
      <c r="N4963" s="431"/>
    </row>
    <row r="4964" spans="1:14" s="398" customFormat="1" hidden="1" outlineLevel="1">
      <c r="A4964" s="1221"/>
      <c r="B4964" s="425" t="s">
        <v>1054</v>
      </c>
      <c r="C4964" s="165" t="s">
        <v>1</v>
      </c>
      <c r="D4964" s="437">
        <v>-1</v>
      </c>
      <c r="E4964" s="437">
        <v>1</v>
      </c>
      <c r="F4964" s="1206">
        <v>2.6850000000000001</v>
      </c>
      <c r="G4964" s="1206">
        <v>2.6</v>
      </c>
      <c r="H4964" s="1206"/>
      <c r="I4964" s="1187">
        <f t="shared" si="171"/>
        <v>-6.98</v>
      </c>
      <c r="J4964" s="394"/>
      <c r="K4964" s="1233"/>
      <c r="L4964" s="431"/>
      <c r="M4964" s="431"/>
      <c r="N4964" s="431"/>
    </row>
    <row r="4965" spans="1:14" s="398" customFormat="1" hidden="1" outlineLevel="1">
      <c r="A4965" s="1221"/>
      <c r="B4965" s="425"/>
      <c r="C4965" s="165" t="s">
        <v>1</v>
      </c>
      <c r="D4965" s="437">
        <v>-1</v>
      </c>
      <c r="E4965" s="437">
        <v>1</v>
      </c>
      <c r="F4965" s="1206">
        <v>2.6850000000000001</v>
      </c>
      <c r="G4965" s="1206">
        <v>2.2000000000000002</v>
      </c>
      <c r="H4965" s="1206"/>
      <c r="I4965" s="1187">
        <f t="shared" si="171"/>
        <v>-5.91</v>
      </c>
      <c r="J4965" s="394"/>
      <c r="K4965" s="1233"/>
      <c r="L4965" s="431"/>
      <c r="M4965" s="431"/>
      <c r="N4965" s="431"/>
    </row>
    <row r="4966" spans="1:14" s="398" customFormat="1" hidden="1" outlineLevel="1">
      <c r="A4966" s="1221"/>
      <c r="B4966" s="425"/>
      <c r="C4966" s="165" t="s">
        <v>1</v>
      </c>
      <c r="D4966" s="437">
        <v>-1</v>
      </c>
      <c r="E4966" s="437">
        <v>1</v>
      </c>
      <c r="F4966" s="1206">
        <v>2.6850000000000001</v>
      </c>
      <c r="G4966" s="1206">
        <v>2.2999999999999998</v>
      </c>
      <c r="H4966" s="1206"/>
      <c r="I4966" s="1187">
        <f t="shared" si="171"/>
        <v>-6.18</v>
      </c>
      <c r="J4966" s="394"/>
      <c r="K4966" s="1233"/>
      <c r="L4966" s="431"/>
      <c r="M4966" s="431"/>
      <c r="N4966" s="431"/>
    </row>
    <row r="4967" spans="1:14" s="398" customFormat="1" hidden="1" outlineLevel="1">
      <c r="A4967" s="1221"/>
      <c r="B4967" s="425"/>
      <c r="C4967" s="165" t="s">
        <v>1</v>
      </c>
      <c r="D4967" s="437">
        <v>-1</v>
      </c>
      <c r="E4967" s="437">
        <v>1</v>
      </c>
      <c r="F4967" s="1206">
        <v>2.6850000000000001</v>
      </c>
      <c r="G4967" s="1206">
        <v>3</v>
      </c>
      <c r="H4967" s="1206"/>
      <c r="I4967" s="1187">
        <f t="shared" si="171"/>
        <v>-8.06</v>
      </c>
      <c r="J4967" s="394"/>
      <c r="K4967" s="1233"/>
      <c r="L4967" s="431"/>
      <c r="M4967" s="431"/>
      <c r="N4967" s="431"/>
    </row>
    <row r="4968" spans="1:14" s="870" customFormat="1" hidden="1" outlineLevel="1" collapsed="1">
      <c r="A4968" s="1291"/>
      <c r="B4968" s="886" t="s">
        <v>1362</v>
      </c>
      <c r="C4968" s="854"/>
      <c r="D4968" s="887"/>
      <c r="E4968" s="878"/>
      <c r="F4968" s="1378"/>
      <c r="G4968" s="1378"/>
      <c r="H4968" s="1379"/>
      <c r="I4968" s="1187" t="str">
        <f t="shared" si="171"/>
        <v/>
      </c>
      <c r="J4968" s="882"/>
      <c r="K4968" s="1292"/>
      <c r="L4968" s="869"/>
      <c r="M4968" s="869"/>
      <c r="N4968" s="869"/>
    </row>
    <row r="4969" spans="1:14" s="870" customFormat="1" ht="32.25" hidden="1" outlineLevel="1">
      <c r="A4969" s="1291"/>
      <c r="B4969" s="886" t="s">
        <v>1692</v>
      </c>
      <c r="C4969" s="854" t="s">
        <v>1</v>
      </c>
      <c r="D4969" s="887">
        <v>1</v>
      </c>
      <c r="E4969" s="878">
        <v>1</v>
      </c>
      <c r="F4969" s="1378">
        <v>17.506</v>
      </c>
      <c r="G4969" s="1380">
        <v>1.2</v>
      </c>
      <c r="H4969" s="1379"/>
      <c r="I4969" s="1187">
        <f t="shared" si="171"/>
        <v>21.01</v>
      </c>
      <c r="J4969" s="882"/>
      <c r="K4969" s="1292"/>
      <c r="L4969" s="869"/>
      <c r="M4969" s="869"/>
      <c r="N4969" s="869"/>
    </row>
    <row r="4970" spans="1:14" s="870" customFormat="1" ht="32.25" hidden="1" outlineLevel="1">
      <c r="A4970" s="1291"/>
      <c r="B4970" s="886" t="s">
        <v>1693</v>
      </c>
      <c r="C4970" s="854" t="s">
        <v>1</v>
      </c>
      <c r="D4970" s="887">
        <v>1</v>
      </c>
      <c r="E4970" s="878">
        <v>1</v>
      </c>
      <c r="F4970" s="1378">
        <v>48.075000000000003</v>
      </c>
      <c r="G4970" s="1380">
        <v>2</v>
      </c>
      <c r="H4970" s="1379"/>
      <c r="I4970" s="1187">
        <f t="shared" si="171"/>
        <v>96.15</v>
      </c>
      <c r="J4970" s="882"/>
      <c r="K4970" s="1292"/>
      <c r="L4970" s="869"/>
      <c r="M4970" s="869"/>
      <c r="N4970" s="869"/>
    </row>
    <row r="4971" spans="1:14" s="870" customFormat="1" ht="32.25" hidden="1" outlineLevel="1">
      <c r="A4971" s="1291"/>
      <c r="B4971" s="886" t="s">
        <v>1694</v>
      </c>
      <c r="C4971" s="854" t="s">
        <v>1</v>
      </c>
      <c r="D4971" s="887">
        <v>1</v>
      </c>
      <c r="E4971" s="878">
        <v>1</v>
      </c>
      <c r="F4971" s="1378">
        <f>118602508.2/1000000</f>
        <v>118.6025082</v>
      </c>
      <c r="G4971" s="1378"/>
      <c r="H4971" s="1379"/>
      <c r="I4971" s="1187">
        <f t="shared" si="171"/>
        <v>118.6</v>
      </c>
      <c r="J4971" s="882"/>
      <c r="K4971" s="1292"/>
      <c r="L4971" s="869"/>
      <c r="M4971" s="869"/>
      <c r="N4971" s="869"/>
    </row>
    <row r="4972" spans="1:14" s="870" customFormat="1" ht="32.25" hidden="1" outlineLevel="1">
      <c r="A4972" s="1291"/>
      <c r="B4972" s="886" t="s">
        <v>1695</v>
      </c>
      <c r="C4972" s="854" t="s">
        <v>1</v>
      </c>
      <c r="D4972" s="887">
        <v>1</v>
      </c>
      <c r="E4972" s="878">
        <v>1</v>
      </c>
      <c r="F4972" s="1380">
        <v>47.843000000000004</v>
      </c>
      <c r="G4972" s="1380">
        <v>2.88</v>
      </c>
      <c r="H4972" s="1379"/>
      <c r="I4972" s="1187">
        <f t="shared" si="171"/>
        <v>137.79</v>
      </c>
      <c r="J4972" s="882"/>
      <c r="K4972" s="1292"/>
      <c r="L4972" s="869"/>
      <c r="M4972" s="869"/>
      <c r="N4972" s="869"/>
    </row>
    <row r="4973" spans="1:14" s="870" customFormat="1" ht="32.25" hidden="1" outlineLevel="1">
      <c r="A4973" s="1291"/>
      <c r="B4973" s="886" t="s">
        <v>1696</v>
      </c>
      <c r="C4973" s="854" t="s">
        <v>1</v>
      </c>
      <c r="D4973" s="887">
        <v>1</v>
      </c>
      <c r="E4973" s="878">
        <v>1</v>
      </c>
      <c r="F4973" s="1380">
        <v>198.27699999999999</v>
      </c>
      <c r="G4973" s="1378"/>
      <c r="H4973" s="1379"/>
      <c r="I4973" s="1187">
        <f t="shared" si="171"/>
        <v>198.28</v>
      </c>
      <c r="J4973" s="882"/>
      <c r="K4973" s="1292"/>
      <c r="L4973" s="869"/>
      <c r="M4973" s="869"/>
      <c r="N4973" s="869"/>
    </row>
    <row r="4974" spans="1:14" s="870" customFormat="1" ht="32.25" hidden="1" outlineLevel="1">
      <c r="A4974" s="1291"/>
      <c r="B4974" s="886" t="s">
        <v>1697</v>
      </c>
      <c r="C4974" s="854" t="s">
        <v>1</v>
      </c>
      <c r="D4974" s="887">
        <v>1</v>
      </c>
      <c r="E4974" s="878">
        <v>1</v>
      </c>
      <c r="F4974" s="1380">
        <v>72.872</v>
      </c>
      <c r="G4974" s="1378"/>
      <c r="H4974" s="1379"/>
      <c r="I4974" s="1187">
        <f t="shared" si="171"/>
        <v>72.87</v>
      </c>
      <c r="J4974" s="882"/>
      <c r="K4974" s="1292"/>
      <c r="L4974" s="869"/>
      <c r="M4974" s="869"/>
      <c r="N4974" s="869"/>
    </row>
    <row r="4975" spans="1:14" s="870" customFormat="1" hidden="1" outlineLevel="1">
      <c r="A4975" s="1291"/>
      <c r="B4975" s="886" t="s">
        <v>1698</v>
      </c>
      <c r="C4975" s="854" t="s">
        <v>1</v>
      </c>
      <c r="D4975" s="887">
        <v>1</v>
      </c>
      <c r="E4975" s="878">
        <v>1</v>
      </c>
      <c r="F4975" s="1378">
        <f>72453650.7/1000000</f>
        <v>72.453650699999997</v>
      </c>
      <c r="G4975" s="1378"/>
      <c r="H4975" s="1379"/>
      <c r="I4975" s="1187">
        <f t="shared" si="171"/>
        <v>72.45</v>
      </c>
      <c r="J4975" s="882"/>
      <c r="K4975" s="1292"/>
      <c r="L4975" s="869"/>
      <c r="M4975" s="869"/>
      <c r="N4975" s="869"/>
    </row>
    <row r="4976" spans="1:14" s="870" customFormat="1" hidden="1" outlineLevel="1">
      <c r="A4976" s="1291"/>
      <c r="B4976" s="886" t="s">
        <v>1363</v>
      </c>
      <c r="C4976" s="854" t="s">
        <v>1</v>
      </c>
      <c r="D4976" s="887">
        <v>1</v>
      </c>
      <c r="E4976" s="878">
        <v>1</v>
      </c>
      <c r="F4976" s="1378">
        <v>3</v>
      </c>
      <c r="G4976" s="1380">
        <v>2</v>
      </c>
      <c r="H4976" s="1379"/>
      <c r="I4976" s="1187">
        <f t="shared" si="171"/>
        <v>6</v>
      </c>
      <c r="J4976" s="882"/>
      <c r="K4976" s="1292"/>
      <c r="L4976" s="869"/>
      <c r="M4976" s="869"/>
      <c r="N4976" s="869"/>
    </row>
    <row r="4977" spans="1:14" s="870" customFormat="1" hidden="1" outlineLevel="1">
      <c r="A4977" s="1291"/>
      <c r="B4977" s="886" t="s">
        <v>872</v>
      </c>
      <c r="C4977" s="854" t="s">
        <v>1</v>
      </c>
      <c r="D4977" s="887">
        <v>-1</v>
      </c>
      <c r="E4977" s="889">
        <f t="shared" ref="E4977:E4978" si="172">1*0</f>
        <v>0</v>
      </c>
      <c r="F4977" s="1378">
        <v>2.6850000000000001</v>
      </c>
      <c r="G4977" s="1378">
        <v>2.6</v>
      </c>
      <c r="H4977" s="1379"/>
      <c r="I4977" s="1187">
        <f t="shared" si="171"/>
        <v>0</v>
      </c>
      <c r="J4977" s="882"/>
      <c r="K4977" s="1292"/>
      <c r="L4977" s="869"/>
      <c r="M4977" s="869"/>
      <c r="N4977" s="869"/>
    </row>
    <row r="4978" spans="1:14" s="870" customFormat="1" hidden="1" outlineLevel="1">
      <c r="A4978" s="1291"/>
      <c r="B4978" s="886" t="s">
        <v>1364</v>
      </c>
      <c r="C4978" s="854" t="s">
        <v>1</v>
      </c>
      <c r="D4978" s="887">
        <v>-1</v>
      </c>
      <c r="E4978" s="889">
        <f t="shared" si="172"/>
        <v>0</v>
      </c>
      <c r="F4978" s="1378">
        <v>2.677</v>
      </c>
      <c r="G4978" s="1378">
        <v>0.3</v>
      </c>
      <c r="H4978" s="1379"/>
      <c r="I4978" s="1187">
        <f t="shared" si="171"/>
        <v>0</v>
      </c>
      <c r="J4978" s="882"/>
      <c r="K4978" s="1292"/>
      <c r="L4978" s="869"/>
      <c r="M4978" s="869"/>
      <c r="N4978" s="869"/>
    </row>
    <row r="4979" spans="1:14" s="870" customFormat="1" hidden="1" outlineLevel="1">
      <c r="A4979" s="1291"/>
      <c r="B4979" s="890" t="s">
        <v>1674</v>
      </c>
      <c r="C4979" s="854" t="s">
        <v>1</v>
      </c>
      <c r="D4979" s="889">
        <v>-1</v>
      </c>
      <c r="E4979" s="889">
        <v>1</v>
      </c>
      <c r="F4979" s="1380">
        <v>0.76300000000000001</v>
      </c>
      <c r="G4979" s="1380"/>
      <c r="H4979" s="1380"/>
      <c r="I4979" s="1187">
        <f t="shared" si="171"/>
        <v>-0.76</v>
      </c>
      <c r="J4979" s="882"/>
      <c r="K4979" s="1292"/>
      <c r="L4979" s="869"/>
      <c r="M4979" s="869"/>
      <c r="N4979" s="869"/>
    </row>
    <row r="4980" spans="1:14" s="870" customFormat="1" hidden="1" outlineLevel="1">
      <c r="A4980" s="1291"/>
      <c r="B4980" s="890" t="s">
        <v>1675</v>
      </c>
      <c r="C4980" s="854" t="s">
        <v>1</v>
      </c>
      <c r="D4980" s="889">
        <v>-1</v>
      </c>
      <c r="E4980" s="889">
        <v>1</v>
      </c>
      <c r="F4980" s="1380">
        <v>2.6850000000000001</v>
      </c>
      <c r="G4980" s="1380">
        <v>2.6</v>
      </c>
      <c r="H4980" s="1380"/>
      <c r="I4980" s="1187">
        <f t="shared" si="171"/>
        <v>-6.98</v>
      </c>
      <c r="J4980" s="882"/>
      <c r="K4980" s="1292"/>
      <c r="L4980" s="869"/>
      <c r="M4980" s="869"/>
      <c r="N4980" s="869"/>
    </row>
    <row r="4981" spans="1:14" s="870" customFormat="1" hidden="1" outlineLevel="1">
      <c r="A4981" s="1291"/>
      <c r="B4981" s="890"/>
      <c r="C4981" s="854" t="s">
        <v>1</v>
      </c>
      <c r="D4981" s="889">
        <v>-1</v>
      </c>
      <c r="E4981" s="889">
        <v>1</v>
      </c>
      <c r="F4981" s="1380">
        <v>2.6850000000000001</v>
      </c>
      <c r="G4981" s="1380">
        <v>2.2000000000000002</v>
      </c>
      <c r="H4981" s="1380"/>
      <c r="I4981" s="1187">
        <f t="shared" si="171"/>
        <v>-5.91</v>
      </c>
      <c r="J4981" s="882"/>
      <c r="K4981" s="1292"/>
      <c r="L4981" s="869"/>
      <c r="M4981" s="869"/>
      <c r="N4981" s="869"/>
    </row>
    <row r="4982" spans="1:14" s="870" customFormat="1" hidden="1" outlineLevel="1">
      <c r="A4982" s="1291"/>
      <c r="B4982" s="890"/>
      <c r="C4982" s="854" t="s">
        <v>1</v>
      </c>
      <c r="D4982" s="889">
        <v>-1</v>
      </c>
      <c r="E4982" s="889">
        <v>1</v>
      </c>
      <c r="F4982" s="1380">
        <v>2.6850000000000001</v>
      </c>
      <c r="G4982" s="1380">
        <v>2.2999999999999998</v>
      </c>
      <c r="H4982" s="1380"/>
      <c r="I4982" s="1187">
        <f t="shared" si="171"/>
        <v>-6.18</v>
      </c>
      <c r="J4982" s="882"/>
      <c r="K4982" s="1292"/>
      <c r="L4982" s="869"/>
      <c r="M4982" s="869"/>
      <c r="N4982" s="869"/>
    </row>
    <row r="4983" spans="1:14" s="870" customFormat="1" ht="32.25" hidden="1" outlineLevel="1">
      <c r="A4983" s="1291"/>
      <c r="B4983" s="886" t="s">
        <v>1699</v>
      </c>
      <c r="C4983" s="854" t="s">
        <v>1</v>
      </c>
      <c r="D4983" s="887">
        <v>1</v>
      </c>
      <c r="E4983" s="878">
        <v>1</v>
      </c>
      <c r="F4983" s="1378">
        <f>47436556.2/1000000</f>
        <v>47.436556200000005</v>
      </c>
      <c r="G4983" s="1378"/>
      <c r="H4983" s="1379"/>
      <c r="I4983" s="1187">
        <f t="shared" si="171"/>
        <v>47.44</v>
      </c>
      <c r="J4983" s="882"/>
      <c r="K4983" s="1292"/>
      <c r="L4983" s="869"/>
      <c r="M4983" s="869"/>
      <c r="N4983" s="869"/>
    </row>
    <row r="4984" spans="1:14" s="870" customFormat="1" ht="48" hidden="1" outlineLevel="1">
      <c r="A4984" s="1291"/>
      <c r="B4984" s="886" t="s">
        <v>1700</v>
      </c>
      <c r="C4984" s="854" t="s">
        <v>1</v>
      </c>
      <c r="D4984" s="887">
        <v>1</v>
      </c>
      <c r="E4984" s="878">
        <v>1</v>
      </c>
      <c r="F4984" s="1380">
        <v>180.19399999999999</v>
      </c>
      <c r="G4984" s="1378"/>
      <c r="H4984" s="1379"/>
      <c r="I4984" s="1187">
        <f t="shared" si="171"/>
        <v>180.19</v>
      </c>
      <c r="J4984" s="882"/>
      <c r="K4984" s="1292"/>
      <c r="L4984" s="869"/>
      <c r="M4984" s="869"/>
      <c r="N4984" s="869"/>
    </row>
    <row r="4985" spans="1:14" s="870" customFormat="1" ht="48" hidden="1" outlineLevel="1">
      <c r="A4985" s="1291"/>
      <c r="B4985" s="886" t="s">
        <v>1701</v>
      </c>
      <c r="C4985" s="854" t="s">
        <v>1</v>
      </c>
      <c r="D4985" s="887">
        <v>1</v>
      </c>
      <c r="E4985" s="878">
        <v>1</v>
      </c>
      <c r="F4985" s="1378">
        <f>92783310.2/1000000</f>
        <v>92.783310200000003</v>
      </c>
      <c r="G4985" s="1378"/>
      <c r="H4985" s="1379"/>
      <c r="I4985" s="1187">
        <f t="shared" si="171"/>
        <v>92.78</v>
      </c>
      <c r="J4985" s="882"/>
      <c r="K4985" s="1292"/>
      <c r="L4985" s="869"/>
      <c r="M4985" s="869"/>
      <c r="N4985" s="869"/>
    </row>
    <row r="4986" spans="1:14" s="870" customFormat="1" ht="32.25" hidden="1" outlineLevel="1">
      <c r="A4986" s="1291"/>
      <c r="B4986" s="886" t="s">
        <v>1702</v>
      </c>
      <c r="C4986" s="854" t="s">
        <v>1</v>
      </c>
      <c r="D4986" s="887">
        <v>1</v>
      </c>
      <c r="E4986" s="878">
        <v>1</v>
      </c>
      <c r="F4986" s="1378">
        <f>68910736.1/1000000</f>
        <v>68.910736099999994</v>
      </c>
      <c r="G4986" s="1378"/>
      <c r="H4986" s="1379"/>
      <c r="I4986" s="1187">
        <f t="shared" si="171"/>
        <v>68.91</v>
      </c>
      <c r="J4986" s="882"/>
      <c r="K4986" s="1292"/>
      <c r="L4986" s="869"/>
      <c r="M4986" s="869"/>
      <c r="N4986" s="869"/>
    </row>
    <row r="4987" spans="1:14" s="870" customFormat="1" ht="32.25" hidden="1" outlineLevel="1">
      <c r="A4987" s="1291"/>
      <c r="B4987" s="886" t="s">
        <v>1703</v>
      </c>
      <c r="C4987" s="854" t="s">
        <v>1</v>
      </c>
      <c r="D4987" s="887">
        <v>1</v>
      </c>
      <c r="E4987" s="878">
        <v>1</v>
      </c>
      <c r="F4987" s="1378">
        <f>12219873.5/1000000</f>
        <v>12.2198735</v>
      </c>
      <c r="G4987" s="1378"/>
      <c r="H4987" s="1379"/>
      <c r="I4987" s="1187">
        <f t="shared" si="171"/>
        <v>12.22</v>
      </c>
      <c r="J4987" s="882"/>
      <c r="K4987" s="1292"/>
      <c r="L4987" s="869"/>
      <c r="M4987" s="869"/>
      <c r="N4987" s="869"/>
    </row>
    <row r="4988" spans="1:14" s="870" customFormat="1" hidden="1" outlineLevel="1">
      <c r="A4988" s="1291"/>
      <c r="B4988" s="886"/>
      <c r="C4988" s="854"/>
      <c r="D4988" s="887"/>
      <c r="E4988" s="878"/>
      <c r="F4988" s="1378"/>
      <c r="G4988" s="1378"/>
      <c r="H4988" s="1379"/>
      <c r="I4988" s="1187" t="str">
        <f t="shared" si="171"/>
        <v/>
      </c>
      <c r="J4988" s="882"/>
      <c r="K4988" s="1292"/>
      <c r="L4988" s="869"/>
      <c r="M4988" s="869"/>
      <c r="N4988" s="869"/>
    </row>
    <row r="4989" spans="1:14" s="870" customFormat="1" ht="32.25" hidden="1" outlineLevel="1">
      <c r="A4989" s="1291"/>
      <c r="B4989" s="886" t="s">
        <v>1704</v>
      </c>
      <c r="C4989" s="854" t="s">
        <v>1</v>
      </c>
      <c r="D4989" s="887">
        <v>1</v>
      </c>
      <c r="E4989" s="878">
        <v>1</v>
      </c>
      <c r="F4989" s="1378">
        <f>73278607.2/1000000</f>
        <v>73.278607199999996</v>
      </c>
      <c r="G4989" s="1378"/>
      <c r="H4989" s="1379"/>
      <c r="I4989" s="1187">
        <f t="shared" si="171"/>
        <v>73.28</v>
      </c>
      <c r="J4989" s="882"/>
      <c r="K4989" s="1292"/>
      <c r="L4989" s="869"/>
      <c r="M4989" s="869"/>
      <c r="N4989" s="869"/>
    </row>
    <row r="4990" spans="1:14" s="870" customFormat="1" ht="48" hidden="1" outlineLevel="1">
      <c r="A4990" s="1291"/>
      <c r="B4990" s="886" t="s">
        <v>1705</v>
      </c>
      <c r="C4990" s="854" t="s">
        <v>1</v>
      </c>
      <c r="D4990" s="887">
        <v>1</v>
      </c>
      <c r="E4990" s="878">
        <v>1</v>
      </c>
      <c r="F4990" s="1378">
        <f>74249166.9/1000000</f>
        <v>74.249166900000006</v>
      </c>
      <c r="G4990" s="1378"/>
      <c r="H4990" s="1379"/>
      <c r="I4990" s="1187">
        <f t="shared" si="171"/>
        <v>74.25</v>
      </c>
      <c r="J4990" s="882"/>
      <c r="K4990" s="1292"/>
      <c r="L4990" s="869"/>
      <c r="M4990" s="869"/>
      <c r="N4990" s="869"/>
    </row>
    <row r="4991" spans="1:14" s="870" customFormat="1" hidden="1" outlineLevel="1">
      <c r="A4991" s="1291"/>
      <c r="B4991" s="890" t="s">
        <v>1674</v>
      </c>
      <c r="C4991" s="854" t="s">
        <v>1</v>
      </c>
      <c r="D4991" s="889">
        <v>-1</v>
      </c>
      <c r="E4991" s="889">
        <v>1</v>
      </c>
      <c r="F4991" s="1380">
        <v>56.37</v>
      </c>
      <c r="G4991" s="1380">
        <v>0.05</v>
      </c>
      <c r="H4991" s="1379"/>
      <c r="I4991" s="1187">
        <f t="shared" si="171"/>
        <v>-2.82</v>
      </c>
      <c r="J4991" s="882"/>
      <c r="K4991" s="1292"/>
      <c r="L4991" s="869"/>
      <c r="M4991" s="869"/>
      <c r="N4991" s="869"/>
    </row>
    <row r="4992" spans="1:14" s="870" customFormat="1" hidden="1" outlineLevel="1">
      <c r="A4992" s="1291"/>
      <c r="B4992" s="886"/>
      <c r="C4992" s="854" t="s">
        <v>1</v>
      </c>
      <c r="D4992" s="889">
        <v>-1</v>
      </c>
      <c r="E4992" s="889">
        <v>1</v>
      </c>
      <c r="F4992" s="1380">
        <v>50.459000000000003</v>
      </c>
      <c r="G4992" s="1380">
        <v>0.05</v>
      </c>
      <c r="H4992" s="1379"/>
      <c r="I4992" s="1187">
        <f t="shared" si="171"/>
        <v>-2.52</v>
      </c>
      <c r="J4992" s="882"/>
      <c r="K4992" s="1292"/>
      <c r="L4992" s="869"/>
      <c r="M4992" s="869"/>
      <c r="N4992" s="869"/>
    </row>
    <row r="4993" spans="1:14" s="870" customFormat="1" hidden="1" outlineLevel="1">
      <c r="A4993" s="1291"/>
      <c r="B4993" s="886"/>
      <c r="C4993" s="854" t="s">
        <v>1</v>
      </c>
      <c r="D4993" s="889">
        <v>-1</v>
      </c>
      <c r="E4993" s="889">
        <v>1</v>
      </c>
      <c r="F4993" s="1380">
        <v>33.133000000000003</v>
      </c>
      <c r="G4993" s="1380">
        <v>0.05</v>
      </c>
      <c r="H4993" s="1379"/>
      <c r="I4993" s="1187">
        <f t="shared" si="171"/>
        <v>-1.66</v>
      </c>
      <c r="J4993" s="882"/>
      <c r="K4993" s="1292"/>
      <c r="L4993" s="869"/>
      <c r="M4993" s="869"/>
      <c r="N4993" s="869"/>
    </row>
    <row r="4994" spans="1:14" s="870" customFormat="1" ht="34.5" hidden="1" outlineLevel="1">
      <c r="A4994" s="1291"/>
      <c r="B4994" s="886" t="s">
        <v>1365</v>
      </c>
      <c r="C4994" s="854"/>
      <c r="D4994" s="887"/>
      <c r="E4994" s="878"/>
      <c r="F4994" s="1378"/>
      <c r="G4994" s="1378"/>
      <c r="H4994" s="1379"/>
      <c r="I4994" s="1187" t="str">
        <f t="shared" si="171"/>
        <v/>
      </c>
      <c r="J4994" s="882"/>
      <c r="K4994" s="1292"/>
      <c r="L4994" s="869"/>
      <c r="M4994" s="869"/>
      <c r="N4994" s="869"/>
    </row>
    <row r="4995" spans="1:14" s="870" customFormat="1" ht="51.75" hidden="1" outlineLevel="1">
      <c r="A4995" s="1291"/>
      <c r="B4995" s="886" t="s">
        <v>1366</v>
      </c>
      <c r="C4995" s="854"/>
      <c r="D4995" s="887"/>
      <c r="E4995" s="878"/>
      <c r="F4995" s="1378"/>
      <c r="G4995" s="1378"/>
      <c r="H4995" s="1379"/>
      <c r="I4995" s="1187" t="str">
        <f t="shared" si="171"/>
        <v/>
      </c>
      <c r="J4995" s="882"/>
      <c r="K4995" s="1292"/>
      <c r="L4995" s="869"/>
      <c r="M4995" s="869"/>
      <c r="N4995" s="869"/>
    </row>
    <row r="4996" spans="1:14" s="870" customFormat="1" hidden="1" outlineLevel="1">
      <c r="A4996" s="1291"/>
      <c r="B4996" s="886"/>
      <c r="C4996" s="854"/>
      <c r="D4996" s="887"/>
      <c r="E4996" s="878"/>
      <c r="F4996" s="1378"/>
      <c r="G4996" s="1378"/>
      <c r="H4996" s="1379"/>
      <c r="I4996" s="1187" t="str">
        <f t="shared" si="171"/>
        <v/>
      </c>
      <c r="J4996" s="882"/>
      <c r="K4996" s="1292"/>
      <c r="L4996" s="869"/>
      <c r="M4996" s="869"/>
      <c r="N4996" s="869"/>
    </row>
    <row r="4997" spans="1:14" s="870" customFormat="1" ht="34.5" hidden="1" outlineLevel="1">
      <c r="A4997" s="1291"/>
      <c r="B4997" s="886" t="s">
        <v>1367</v>
      </c>
      <c r="C4997" s="854"/>
      <c r="D4997" s="887"/>
      <c r="E4997" s="878"/>
      <c r="F4997" s="1378"/>
      <c r="G4997" s="1378"/>
      <c r="H4997" s="1379"/>
      <c r="I4997" s="1187" t="str">
        <f t="shared" si="171"/>
        <v/>
      </c>
      <c r="J4997" s="882"/>
      <c r="K4997" s="1292"/>
      <c r="L4997" s="869"/>
      <c r="M4997" s="869"/>
      <c r="N4997" s="869"/>
    </row>
    <row r="4998" spans="1:14" s="870" customFormat="1" hidden="1" outlineLevel="1">
      <c r="A4998" s="1291"/>
      <c r="B4998" s="886" t="s">
        <v>1368</v>
      </c>
      <c r="C4998" s="854" t="s">
        <v>1</v>
      </c>
      <c r="D4998" s="887">
        <v>1</v>
      </c>
      <c r="E4998" s="878">
        <v>3</v>
      </c>
      <c r="F4998" s="1378">
        <v>3.8220000000000001</v>
      </c>
      <c r="G4998" s="1380">
        <v>0.21</v>
      </c>
      <c r="H4998" s="1379"/>
      <c r="I4998" s="1187">
        <f t="shared" si="171"/>
        <v>2.41</v>
      </c>
      <c r="J4998" s="882"/>
      <c r="K4998" s="1292"/>
      <c r="L4998" s="869"/>
      <c r="M4998" s="869"/>
      <c r="N4998" s="869"/>
    </row>
    <row r="4999" spans="1:14" s="870" customFormat="1" hidden="1" outlineLevel="1">
      <c r="A4999" s="1291"/>
      <c r="B4999" s="886" t="s">
        <v>1369</v>
      </c>
      <c r="C4999" s="854" t="s">
        <v>1</v>
      </c>
      <c r="D4999" s="887">
        <v>1</v>
      </c>
      <c r="E4999" s="878">
        <v>1</v>
      </c>
      <c r="F4999" s="1378">
        <v>3.4710000000000001</v>
      </c>
      <c r="G4999" s="1380">
        <v>0.21</v>
      </c>
      <c r="H4999" s="1379"/>
      <c r="I4999" s="1187">
        <f t="shared" si="171"/>
        <v>0.73</v>
      </c>
      <c r="J4999" s="882"/>
      <c r="K4999" s="1292"/>
      <c r="L4999" s="869"/>
      <c r="M4999" s="869"/>
      <c r="N4999" s="869"/>
    </row>
    <row r="5000" spans="1:14" s="870" customFormat="1" hidden="1" outlineLevel="1">
      <c r="A5000" s="1291"/>
      <c r="B5000" s="886" t="s">
        <v>1370</v>
      </c>
      <c r="C5000" s="854" t="s">
        <v>1</v>
      </c>
      <c r="D5000" s="887">
        <v>1</v>
      </c>
      <c r="E5000" s="878">
        <v>3</v>
      </c>
      <c r="F5000" s="1378">
        <v>2.794</v>
      </c>
      <c r="G5000" s="1380">
        <v>0.21</v>
      </c>
      <c r="H5000" s="1379"/>
      <c r="I5000" s="1187">
        <f t="shared" si="171"/>
        <v>1.76</v>
      </c>
      <c r="J5000" s="882"/>
      <c r="K5000" s="1292"/>
      <c r="L5000" s="869"/>
      <c r="M5000" s="869"/>
      <c r="N5000" s="869"/>
    </row>
    <row r="5001" spans="1:14" s="870" customFormat="1" ht="34.5" hidden="1" outlineLevel="1">
      <c r="A5001" s="1291"/>
      <c r="B5001" s="886" t="s">
        <v>1371</v>
      </c>
      <c r="C5001" s="854"/>
      <c r="D5001" s="887"/>
      <c r="E5001" s="878"/>
      <c r="F5001" s="1378"/>
      <c r="G5001" s="1378"/>
      <c r="H5001" s="1379"/>
      <c r="I5001" s="1187" t="str">
        <f t="shared" si="171"/>
        <v/>
      </c>
      <c r="J5001" s="882"/>
      <c r="K5001" s="1292"/>
      <c r="L5001" s="869"/>
      <c r="M5001" s="869"/>
      <c r="N5001" s="869"/>
    </row>
    <row r="5002" spans="1:14" s="870" customFormat="1" hidden="1" outlineLevel="1">
      <c r="A5002" s="1291"/>
      <c r="B5002" s="886" t="s">
        <v>1368</v>
      </c>
      <c r="C5002" s="854" t="s">
        <v>1</v>
      </c>
      <c r="D5002" s="887">
        <v>1</v>
      </c>
      <c r="E5002" s="878">
        <v>3</v>
      </c>
      <c r="F5002" s="1378">
        <v>3.8220000000000001</v>
      </c>
      <c r="G5002" s="1378">
        <v>0.08</v>
      </c>
      <c r="H5002" s="1379"/>
      <c r="I5002" s="1187">
        <f t="shared" si="171"/>
        <v>0.92</v>
      </c>
      <c r="J5002" s="882"/>
      <c r="K5002" s="1293"/>
      <c r="L5002" s="869"/>
      <c r="M5002" s="869"/>
      <c r="N5002" s="869"/>
    </row>
    <row r="5003" spans="1:14" s="870" customFormat="1" hidden="1" outlineLevel="1">
      <c r="A5003" s="1291"/>
      <c r="B5003" s="886" t="s">
        <v>1369</v>
      </c>
      <c r="C5003" s="854" t="s">
        <v>1</v>
      </c>
      <c r="D5003" s="887">
        <v>1</v>
      </c>
      <c r="E5003" s="878">
        <v>1</v>
      </c>
      <c r="F5003" s="1378">
        <v>3.4710000000000001</v>
      </c>
      <c r="G5003" s="1378">
        <v>0.08</v>
      </c>
      <c r="H5003" s="1379"/>
      <c r="I5003" s="1187">
        <f t="shared" si="171"/>
        <v>0.28000000000000003</v>
      </c>
      <c r="J5003" s="882"/>
      <c r="K5003" s="1292"/>
      <c r="L5003" s="869"/>
      <c r="M5003" s="869"/>
      <c r="N5003" s="869"/>
    </row>
    <row r="5004" spans="1:14" s="870" customFormat="1" hidden="1" outlineLevel="1">
      <c r="A5004" s="1291"/>
      <c r="B5004" s="886" t="s">
        <v>1370</v>
      </c>
      <c r="C5004" s="854" t="s">
        <v>1</v>
      </c>
      <c r="D5004" s="887">
        <v>1</v>
      </c>
      <c r="E5004" s="878">
        <v>3</v>
      </c>
      <c r="F5004" s="1378">
        <v>2.794</v>
      </c>
      <c r="G5004" s="1378">
        <v>0.08</v>
      </c>
      <c r="H5004" s="1379"/>
      <c r="I5004" s="1187">
        <f t="shared" si="171"/>
        <v>0.67</v>
      </c>
      <c r="J5004" s="882"/>
      <c r="K5004" s="1292"/>
      <c r="L5004" s="869"/>
      <c r="M5004" s="869"/>
      <c r="N5004" s="869"/>
    </row>
    <row r="5005" spans="1:14" s="870" customFormat="1" hidden="1" outlineLevel="1">
      <c r="A5005" s="1291"/>
      <c r="B5005" s="886" t="s">
        <v>1372</v>
      </c>
      <c r="C5005" s="854" t="s">
        <v>1</v>
      </c>
      <c r="D5005" s="887">
        <v>1</v>
      </c>
      <c r="E5005" s="878">
        <v>2</v>
      </c>
      <c r="F5005" s="1378">
        <v>0.3</v>
      </c>
      <c r="G5005" s="1378"/>
      <c r="H5005" s="1379">
        <v>0.9</v>
      </c>
      <c r="I5005" s="1187">
        <f t="shared" si="171"/>
        <v>0.54</v>
      </c>
      <c r="J5005" s="882"/>
      <c r="K5005" s="1292"/>
      <c r="L5005" s="869"/>
      <c r="M5005" s="869"/>
      <c r="N5005" s="869"/>
    </row>
    <row r="5006" spans="1:14" s="464" customFormat="1" collapsed="1">
      <c r="A5006" s="1264"/>
      <c r="B5006" s="669" t="s">
        <v>85</v>
      </c>
      <c r="C5006" s="465" t="s">
        <v>1</v>
      </c>
      <c r="D5006" s="444"/>
      <c r="E5006" s="345"/>
      <c r="F5006" s="1356"/>
      <c r="G5006" s="1356"/>
      <c r="H5006" s="1356"/>
      <c r="I5006" s="1187" t="str">
        <f t="shared" si="171"/>
        <v/>
      </c>
      <c r="J5006" s="467">
        <f>SUM(I4948:I5006)</f>
        <v>1959.6400000000006</v>
      </c>
      <c r="K5006" s="1258"/>
      <c r="L5006" s="463"/>
      <c r="M5006" s="463"/>
      <c r="N5006" s="463"/>
    </row>
    <row r="5007" spans="1:14" s="398" customFormat="1">
      <c r="A5007" s="1221"/>
      <c r="B5007" s="425"/>
      <c r="C5007" s="165"/>
      <c r="D5007" s="437"/>
      <c r="E5007" s="392"/>
      <c r="F5007" s="1352"/>
      <c r="G5007" s="1352"/>
      <c r="H5007" s="1206"/>
      <c r="I5007" s="1187" t="str">
        <f t="shared" si="171"/>
        <v/>
      </c>
      <c r="J5007" s="394"/>
      <c r="K5007" s="1233"/>
      <c r="L5007" s="431"/>
      <c r="M5007" s="431"/>
      <c r="N5007" s="431"/>
    </row>
    <row r="5008" spans="1:14" s="398" customFormat="1" ht="34.5">
      <c r="A5008" s="1221" t="s">
        <v>457</v>
      </c>
      <c r="B5008" s="425" t="s">
        <v>1747</v>
      </c>
      <c r="C5008" s="165" t="s">
        <v>1</v>
      </c>
      <c r="D5008" s="437">
        <v>1</v>
      </c>
      <c r="E5008" s="437">
        <v>1</v>
      </c>
      <c r="F5008" s="1206">
        <v>92.806052400000013</v>
      </c>
      <c r="G5008" s="1206"/>
      <c r="H5008" s="1206"/>
      <c r="I5008" s="1187">
        <f t="shared" si="171"/>
        <v>92.81</v>
      </c>
      <c r="J5008" s="394"/>
      <c r="K5008" s="1233" t="s">
        <v>860</v>
      </c>
      <c r="L5008" s="431"/>
      <c r="M5008" s="431"/>
      <c r="N5008" s="431"/>
    </row>
    <row r="5009" spans="1:14" s="398" customFormat="1" ht="34.5">
      <c r="A5009" s="1221"/>
      <c r="B5009" s="425" t="s">
        <v>1748</v>
      </c>
      <c r="C5009" s="165" t="s">
        <v>1</v>
      </c>
      <c r="D5009" s="437">
        <v>1</v>
      </c>
      <c r="E5009" s="437">
        <v>1</v>
      </c>
      <c r="F5009" s="1206">
        <v>60.959383500000001</v>
      </c>
      <c r="G5009" s="1206"/>
      <c r="H5009" s="1206"/>
      <c r="I5009" s="1187">
        <f t="shared" si="171"/>
        <v>60.96</v>
      </c>
      <c r="J5009" s="394"/>
      <c r="K5009" s="1233" t="s">
        <v>860</v>
      </c>
      <c r="L5009" s="431"/>
      <c r="M5009" s="431"/>
      <c r="N5009" s="431"/>
    </row>
    <row r="5010" spans="1:14" s="398" customFormat="1" ht="34.5">
      <c r="A5010" s="1221"/>
      <c r="B5010" s="425" t="s">
        <v>1749</v>
      </c>
      <c r="C5010" s="165" t="s">
        <v>1</v>
      </c>
      <c r="D5010" s="437">
        <v>1</v>
      </c>
      <c r="E5010" s="437">
        <v>1</v>
      </c>
      <c r="F5010" s="1206">
        <v>2.25</v>
      </c>
      <c r="G5010" s="1206">
        <v>2.0499999999999998</v>
      </c>
      <c r="H5010" s="1206"/>
      <c r="I5010" s="1187">
        <f t="shared" si="171"/>
        <v>4.6100000000000003</v>
      </c>
      <c r="J5010" s="394"/>
      <c r="K5010" s="1233"/>
      <c r="L5010" s="431"/>
      <c r="M5010" s="431"/>
      <c r="N5010" s="431"/>
    </row>
    <row r="5011" spans="1:14" s="398" customFormat="1" ht="34.5">
      <c r="A5011" s="1221"/>
      <c r="B5011" s="425" t="s">
        <v>1750</v>
      </c>
      <c r="C5011" s="165" t="s">
        <v>1</v>
      </c>
      <c r="D5011" s="437">
        <v>1</v>
      </c>
      <c r="E5011" s="437">
        <v>1</v>
      </c>
      <c r="F5011" s="1206">
        <v>90.632994299999993</v>
      </c>
      <c r="G5011" s="1206"/>
      <c r="H5011" s="1206"/>
      <c r="I5011" s="1187">
        <f t="shared" si="171"/>
        <v>90.63</v>
      </c>
      <c r="J5011" s="394"/>
      <c r="K5011" s="1233" t="s">
        <v>860</v>
      </c>
      <c r="L5011" s="431"/>
      <c r="M5011" s="431"/>
      <c r="N5011" s="431"/>
    </row>
    <row r="5012" spans="1:14" s="398" customFormat="1" ht="34.5">
      <c r="A5012" s="1221"/>
      <c r="B5012" s="425" t="s">
        <v>1751</v>
      </c>
      <c r="C5012" s="165" t="s">
        <v>1</v>
      </c>
      <c r="D5012" s="437">
        <v>1</v>
      </c>
      <c r="E5012" s="437">
        <v>1</v>
      </c>
      <c r="F5012" s="1206">
        <v>83.332558800000001</v>
      </c>
      <c r="G5012" s="1206"/>
      <c r="H5012" s="1206"/>
      <c r="I5012" s="1187">
        <f t="shared" si="171"/>
        <v>83.33</v>
      </c>
      <c r="J5012" s="394"/>
      <c r="K5012" s="1233" t="s">
        <v>860</v>
      </c>
      <c r="L5012" s="431"/>
      <c r="M5012" s="431"/>
      <c r="N5012" s="431"/>
    </row>
    <row r="5013" spans="1:14" s="398" customFormat="1">
      <c r="A5013" s="1221"/>
      <c r="B5013" s="425"/>
      <c r="C5013" s="165"/>
      <c r="D5013" s="437"/>
      <c r="E5013" s="437"/>
      <c r="F5013" s="1206"/>
      <c r="G5013" s="1206"/>
      <c r="H5013" s="1206"/>
      <c r="I5013" s="1187" t="str">
        <f t="shared" si="171"/>
        <v/>
      </c>
      <c r="J5013" s="394"/>
      <c r="K5013" s="1233"/>
      <c r="L5013" s="431"/>
      <c r="M5013" s="431"/>
      <c r="N5013" s="431"/>
    </row>
    <row r="5014" spans="1:14" s="398" customFormat="1" ht="69">
      <c r="A5014" s="1221" t="s">
        <v>459</v>
      </c>
      <c r="B5014" s="425" t="s">
        <v>1752</v>
      </c>
      <c r="C5014" s="165"/>
      <c r="D5014" s="437"/>
      <c r="E5014" s="437"/>
      <c r="F5014" s="1206"/>
      <c r="G5014" s="1206"/>
      <c r="H5014" s="1206"/>
      <c r="I5014" s="1187" t="str">
        <f t="shared" si="171"/>
        <v/>
      </c>
      <c r="J5014" s="394"/>
      <c r="K5014" s="1233"/>
      <c r="L5014" s="431"/>
      <c r="M5014" s="431"/>
      <c r="N5014" s="431"/>
    </row>
    <row r="5015" spans="1:14" s="464" customFormat="1" ht="34.5">
      <c r="A5015" s="1282"/>
      <c r="B5015" s="605" t="s">
        <v>1753</v>
      </c>
      <c r="C5015" s="345" t="s">
        <v>1</v>
      </c>
      <c r="D5015" s="444">
        <v>1</v>
      </c>
      <c r="E5015" s="444">
        <v>1</v>
      </c>
      <c r="F5015" s="1381">
        <v>12.538</v>
      </c>
      <c r="G5015" s="1381">
        <v>0.3</v>
      </c>
      <c r="H5015" s="1381"/>
      <c r="I5015" s="1187">
        <f t="shared" ref="I5015:I5078" si="173">IF(D5015&lt;&gt;0,ROUND(PRODUCT(E5015:H5015)*D5015,2),"")</f>
        <v>3.76</v>
      </c>
      <c r="J5015" s="445"/>
      <c r="K5015" s="1294"/>
      <c r="L5015" s="463"/>
      <c r="M5015" s="463"/>
      <c r="N5015" s="463"/>
    </row>
    <row r="5016" spans="1:14" s="464" customFormat="1">
      <c r="A5016" s="1282"/>
      <c r="B5016" s="605" t="s">
        <v>1754</v>
      </c>
      <c r="C5016" s="345" t="s">
        <v>1</v>
      </c>
      <c r="D5016" s="444">
        <v>1</v>
      </c>
      <c r="E5016" s="444">
        <v>1</v>
      </c>
      <c r="F5016" s="1381">
        <v>4.16</v>
      </c>
      <c r="G5016" s="1381">
        <v>0.3</v>
      </c>
      <c r="H5016" s="1381"/>
      <c r="I5016" s="1187">
        <f t="shared" si="173"/>
        <v>1.25</v>
      </c>
      <c r="J5016" s="445"/>
      <c r="K5016" s="1294"/>
      <c r="L5016" s="463"/>
      <c r="M5016" s="463"/>
      <c r="N5016" s="463"/>
    </row>
    <row r="5017" spans="1:14" s="464" customFormat="1">
      <c r="A5017" s="1282"/>
      <c r="B5017" s="605"/>
      <c r="C5017" s="345" t="s">
        <v>1</v>
      </c>
      <c r="D5017" s="444">
        <v>1</v>
      </c>
      <c r="E5017" s="444">
        <v>1</v>
      </c>
      <c r="F5017" s="1381">
        <v>15.844000000000001</v>
      </c>
      <c r="G5017" s="1381">
        <v>0.3</v>
      </c>
      <c r="H5017" s="1381"/>
      <c r="I5017" s="1187">
        <f t="shared" si="173"/>
        <v>4.75</v>
      </c>
      <c r="J5017" s="445"/>
      <c r="K5017" s="1294"/>
      <c r="L5017" s="463"/>
      <c r="M5017" s="463"/>
      <c r="N5017" s="463"/>
    </row>
    <row r="5018" spans="1:14" s="464" customFormat="1" ht="34.5">
      <c r="A5018" s="1282"/>
      <c r="B5018" s="605" t="s">
        <v>1755</v>
      </c>
      <c r="C5018" s="345" t="s">
        <v>1</v>
      </c>
      <c r="D5018" s="444">
        <v>1</v>
      </c>
      <c r="E5018" s="444">
        <v>1</v>
      </c>
      <c r="F5018" s="1381">
        <v>31.93</v>
      </c>
      <c r="G5018" s="1381">
        <v>0.3</v>
      </c>
      <c r="H5018" s="1381"/>
      <c r="I5018" s="1187">
        <f t="shared" si="173"/>
        <v>9.58</v>
      </c>
      <c r="J5018" s="445"/>
      <c r="K5018" s="1294"/>
      <c r="L5018" s="463"/>
      <c r="M5018" s="463"/>
      <c r="N5018" s="463"/>
    </row>
    <row r="5019" spans="1:14" s="464" customFormat="1" ht="34.5">
      <c r="A5019" s="1282"/>
      <c r="B5019" s="605" t="s">
        <v>1756</v>
      </c>
      <c r="C5019" s="345" t="s">
        <v>1</v>
      </c>
      <c r="D5019" s="444">
        <v>1</v>
      </c>
      <c r="E5019" s="444">
        <v>1</v>
      </c>
      <c r="F5019" s="1381">
        <v>24.785</v>
      </c>
      <c r="G5019" s="1381">
        <v>0.3</v>
      </c>
      <c r="H5019" s="1381"/>
      <c r="I5019" s="1187">
        <f t="shared" si="173"/>
        <v>7.44</v>
      </c>
      <c r="J5019" s="445"/>
      <c r="K5019" s="1294"/>
      <c r="L5019" s="463"/>
      <c r="M5019" s="463"/>
      <c r="N5019" s="463"/>
    </row>
    <row r="5020" spans="1:14" s="464" customFormat="1">
      <c r="A5020" s="1282"/>
      <c r="B5020" s="605" t="s">
        <v>1757</v>
      </c>
      <c r="C5020" s="345" t="s">
        <v>1</v>
      </c>
      <c r="D5020" s="444">
        <v>1</v>
      </c>
      <c r="E5020" s="444">
        <v>1</v>
      </c>
      <c r="F5020" s="1381">
        <v>8</v>
      </c>
      <c r="G5020" s="1381">
        <v>0.3</v>
      </c>
      <c r="H5020" s="1381"/>
      <c r="I5020" s="1187">
        <f t="shared" si="173"/>
        <v>2.4</v>
      </c>
      <c r="J5020" s="445"/>
      <c r="K5020" s="1294"/>
      <c r="L5020" s="463"/>
      <c r="M5020" s="463"/>
      <c r="N5020" s="463"/>
    </row>
    <row r="5021" spans="1:14" s="398" customFormat="1">
      <c r="A5021" s="1295"/>
      <c r="B5021" s="1071"/>
      <c r="C5021" s="1066"/>
      <c r="D5021" s="1073">
        <v>-1</v>
      </c>
      <c r="E5021" s="1073"/>
      <c r="F5021" s="1382">
        <f>SUM(I5015:I5020)</f>
        <v>29.18</v>
      </c>
      <c r="G5021" s="1382"/>
      <c r="H5021" s="1382"/>
      <c r="I5021" s="1187">
        <f t="shared" si="173"/>
        <v>-29.18</v>
      </c>
      <c r="J5021" s="1097"/>
      <c r="K5021" s="1296"/>
      <c r="L5021" s="431"/>
      <c r="M5021" s="431"/>
      <c r="N5021" s="431"/>
    </row>
    <row r="5022" spans="1:14" s="398" customFormat="1">
      <c r="A5022" s="1221"/>
      <c r="B5022" s="425" t="s">
        <v>1758</v>
      </c>
      <c r="C5022" s="165"/>
      <c r="D5022" s="437"/>
      <c r="E5022" s="437"/>
      <c r="F5022" s="1206"/>
      <c r="G5022" s="1206"/>
      <c r="H5022" s="1206"/>
      <c r="I5022" s="1187" t="str">
        <f t="shared" si="173"/>
        <v/>
      </c>
      <c r="J5022" s="394"/>
      <c r="K5022" s="1233"/>
      <c r="L5022" s="431"/>
      <c r="M5022" s="431"/>
      <c r="N5022" s="431"/>
    </row>
    <row r="5023" spans="1:14" s="398" customFormat="1">
      <c r="A5023" s="1221"/>
      <c r="B5023" s="425"/>
      <c r="C5023" s="165"/>
      <c r="D5023" s="437"/>
      <c r="E5023" s="437"/>
      <c r="F5023" s="1206"/>
      <c r="G5023" s="1206"/>
      <c r="H5023" s="1206"/>
      <c r="I5023" s="1187" t="str">
        <f t="shared" si="173"/>
        <v/>
      </c>
      <c r="J5023" s="394"/>
      <c r="K5023" s="1233"/>
      <c r="L5023" s="431"/>
      <c r="M5023" s="431"/>
      <c r="N5023" s="431"/>
    </row>
    <row r="5024" spans="1:14" s="398" customFormat="1">
      <c r="A5024" s="1221"/>
      <c r="B5024" s="425" t="s">
        <v>1362</v>
      </c>
      <c r="C5024" s="165"/>
      <c r="D5024" s="437"/>
      <c r="E5024" s="437"/>
      <c r="F5024" s="1206"/>
      <c r="G5024" s="1206"/>
      <c r="H5024" s="1206"/>
      <c r="I5024" s="1187" t="str">
        <f t="shared" si="173"/>
        <v/>
      </c>
      <c r="J5024" s="394"/>
      <c r="K5024" s="1233"/>
      <c r="L5024" s="431"/>
      <c r="M5024" s="431"/>
      <c r="N5024" s="431"/>
    </row>
    <row r="5025" spans="1:14" s="398" customFormat="1" ht="34.5">
      <c r="A5025" s="1221"/>
      <c r="B5025" s="425" t="s">
        <v>1759</v>
      </c>
      <c r="C5025" s="165" t="s">
        <v>1</v>
      </c>
      <c r="D5025" s="437">
        <v>-1</v>
      </c>
      <c r="E5025" s="437">
        <v>1</v>
      </c>
      <c r="F5025" s="1206">
        <v>17.506</v>
      </c>
      <c r="G5025" s="1206">
        <v>1.2</v>
      </c>
      <c r="H5025" s="1206"/>
      <c r="I5025" s="1187">
        <f t="shared" si="173"/>
        <v>-21.01</v>
      </c>
      <c r="J5025" s="394"/>
      <c r="K5025" s="1233"/>
      <c r="L5025" s="431"/>
      <c r="M5025" s="431"/>
      <c r="N5025" s="431"/>
    </row>
    <row r="5026" spans="1:14" s="398" customFormat="1" ht="51.75">
      <c r="A5026" s="1221"/>
      <c r="B5026" s="425" t="s">
        <v>1760</v>
      </c>
      <c r="C5026" s="165" t="s">
        <v>1</v>
      </c>
      <c r="D5026" s="437">
        <v>-1</v>
      </c>
      <c r="E5026" s="437">
        <v>1</v>
      </c>
      <c r="F5026" s="1206">
        <v>48.075000000000003</v>
      </c>
      <c r="G5026" s="1206">
        <v>2</v>
      </c>
      <c r="H5026" s="1206"/>
      <c r="I5026" s="1187">
        <f t="shared" si="173"/>
        <v>-96.15</v>
      </c>
      <c r="J5026" s="394"/>
      <c r="K5026" s="1233"/>
      <c r="L5026" s="431"/>
      <c r="M5026" s="431"/>
      <c r="N5026" s="431"/>
    </row>
    <row r="5027" spans="1:14" s="398" customFormat="1" ht="34.5">
      <c r="A5027" s="1221"/>
      <c r="B5027" s="425" t="s">
        <v>1761</v>
      </c>
      <c r="C5027" s="165" t="s">
        <v>1</v>
      </c>
      <c r="D5027" s="437">
        <v>-1</v>
      </c>
      <c r="E5027" s="437">
        <v>1</v>
      </c>
      <c r="F5027" s="1206">
        <v>118.6025082</v>
      </c>
      <c r="G5027" s="1206"/>
      <c r="H5027" s="1206"/>
      <c r="I5027" s="1187">
        <f t="shared" si="173"/>
        <v>-118.6</v>
      </c>
      <c r="J5027" s="394"/>
      <c r="K5027" s="1233"/>
      <c r="L5027" s="431"/>
      <c r="M5027" s="431"/>
      <c r="N5027" s="431"/>
    </row>
    <row r="5028" spans="1:14" s="398" customFormat="1" ht="34.5">
      <c r="A5028" s="1221"/>
      <c r="B5028" s="425" t="s">
        <v>1762</v>
      </c>
      <c r="C5028" s="165" t="s">
        <v>1</v>
      </c>
      <c r="D5028" s="437">
        <v>-1</v>
      </c>
      <c r="E5028" s="437">
        <v>1</v>
      </c>
      <c r="F5028" s="1206">
        <v>47.843000000000004</v>
      </c>
      <c r="G5028" s="1206">
        <v>2.88</v>
      </c>
      <c r="H5028" s="1206"/>
      <c r="I5028" s="1187">
        <f t="shared" si="173"/>
        <v>-137.79</v>
      </c>
      <c r="J5028" s="394"/>
      <c r="K5028" s="1233"/>
      <c r="L5028" s="431"/>
      <c r="M5028" s="431"/>
      <c r="N5028" s="431"/>
    </row>
    <row r="5029" spans="1:14" s="398" customFormat="1" ht="34.5">
      <c r="A5029" s="1221"/>
      <c r="B5029" s="425" t="s">
        <v>1763</v>
      </c>
      <c r="C5029" s="165" t="s">
        <v>1</v>
      </c>
      <c r="D5029" s="437">
        <v>-1</v>
      </c>
      <c r="E5029" s="437">
        <v>1</v>
      </c>
      <c r="F5029" s="1206">
        <v>198.27699999999999</v>
      </c>
      <c r="G5029" s="1206"/>
      <c r="H5029" s="1206"/>
      <c r="I5029" s="1187">
        <f t="shared" si="173"/>
        <v>-198.28</v>
      </c>
      <c r="J5029" s="394"/>
      <c r="K5029" s="1233"/>
      <c r="L5029" s="431"/>
      <c r="M5029" s="431"/>
      <c r="N5029" s="431"/>
    </row>
    <row r="5030" spans="1:14" s="398" customFormat="1" ht="34.5">
      <c r="A5030" s="1221"/>
      <c r="B5030" s="425" t="s">
        <v>1764</v>
      </c>
      <c r="C5030" s="165" t="s">
        <v>1</v>
      </c>
      <c r="D5030" s="437">
        <v>-1</v>
      </c>
      <c r="E5030" s="437">
        <v>1</v>
      </c>
      <c r="F5030" s="1206">
        <v>72.872</v>
      </c>
      <c r="G5030" s="1206"/>
      <c r="H5030" s="1206"/>
      <c r="I5030" s="1187">
        <f t="shared" si="173"/>
        <v>-72.87</v>
      </c>
      <c r="J5030" s="394"/>
      <c r="K5030" s="1233"/>
      <c r="L5030" s="431"/>
      <c r="M5030" s="431"/>
      <c r="N5030" s="431"/>
    </row>
    <row r="5031" spans="1:14" s="398" customFormat="1">
      <c r="A5031" s="1221"/>
      <c r="B5031" s="425" t="s">
        <v>1765</v>
      </c>
      <c r="C5031" s="165" t="s">
        <v>1</v>
      </c>
      <c r="D5031" s="437">
        <v>-1</v>
      </c>
      <c r="E5031" s="437">
        <v>1</v>
      </c>
      <c r="F5031" s="1206">
        <v>72.453650699999997</v>
      </c>
      <c r="G5031" s="1206"/>
      <c r="H5031" s="1206"/>
      <c r="I5031" s="1187">
        <f t="shared" si="173"/>
        <v>-72.45</v>
      </c>
      <c r="J5031" s="394"/>
      <c r="K5031" s="1233"/>
      <c r="L5031" s="431"/>
      <c r="M5031" s="431"/>
      <c r="N5031" s="431"/>
    </row>
    <row r="5032" spans="1:14" s="398" customFormat="1">
      <c r="A5032" s="1221"/>
      <c r="B5032" s="425" t="s">
        <v>1363</v>
      </c>
      <c r="C5032" s="165" t="s">
        <v>1</v>
      </c>
      <c r="D5032" s="437">
        <v>-1</v>
      </c>
      <c r="E5032" s="437">
        <v>1</v>
      </c>
      <c r="F5032" s="1206">
        <v>3</v>
      </c>
      <c r="G5032" s="1206">
        <v>2</v>
      </c>
      <c r="H5032" s="1206"/>
      <c r="I5032" s="1187">
        <f t="shared" si="173"/>
        <v>-6</v>
      </c>
      <c r="J5032" s="394"/>
      <c r="K5032" s="1233"/>
      <c r="L5032" s="431"/>
      <c r="M5032" s="431"/>
      <c r="N5032" s="431"/>
    </row>
    <row r="5033" spans="1:14" s="398" customFormat="1">
      <c r="A5033" s="1221"/>
      <c r="B5033" s="425" t="s">
        <v>872</v>
      </c>
      <c r="C5033" s="165" t="s">
        <v>1</v>
      </c>
      <c r="D5033" s="437">
        <v>-1</v>
      </c>
      <c r="E5033" s="437">
        <v>0</v>
      </c>
      <c r="F5033" s="1206">
        <v>2.6850000000000001</v>
      </c>
      <c r="G5033" s="1206">
        <v>2.6</v>
      </c>
      <c r="H5033" s="1206"/>
      <c r="I5033" s="1187">
        <f t="shared" si="173"/>
        <v>0</v>
      </c>
      <c r="J5033" s="394"/>
      <c r="K5033" s="1233"/>
      <c r="L5033" s="431"/>
      <c r="M5033" s="431"/>
      <c r="N5033" s="431"/>
    </row>
    <row r="5034" spans="1:14" s="398" customFormat="1">
      <c r="A5034" s="1221"/>
      <c r="B5034" s="425" t="s">
        <v>1364</v>
      </c>
      <c r="C5034" s="165" t="s">
        <v>1</v>
      </c>
      <c r="D5034" s="437">
        <v>-1</v>
      </c>
      <c r="E5034" s="437">
        <v>0</v>
      </c>
      <c r="F5034" s="1206">
        <v>2.677</v>
      </c>
      <c r="G5034" s="1206">
        <v>0.3</v>
      </c>
      <c r="H5034" s="1206"/>
      <c r="I5034" s="1187">
        <f t="shared" si="173"/>
        <v>0</v>
      </c>
      <c r="J5034" s="394"/>
      <c r="K5034" s="1233"/>
      <c r="L5034" s="431"/>
      <c r="M5034" s="431"/>
      <c r="N5034" s="431"/>
    </row>
    <row r="5035" spans="1:14" s="398" customFormat="1">
      <c r="A5035" s="1221"/>
      <c r="B5035" s="425" t="s">
        <v>1674</v>
      </c>
      <c r="C5035" s="165" t="s">
        <v>1</v>
      </c>
      <c r="D5035" s="437">
        <v>1</v>
      </c>
      <c r="E5035" s="437">
        <v>1</v>
      </c>
      <c r="F5035" s="1206">
        <v>0.76300000000000001</v>
      </c>
      <c r="G5035" s="1206"/>
      <c r="H5035" s="1206"/>
      <c r="I5035" s="1187">
        <f t="shared" si="173"/>
        <v>0.76</v>
      </c>
      <c r="J5035" s="394"/>
      <c r="K5035" s="1233"/>
      <c r="L5035" s="431"/>
      <c r="M5035" s="431"/>
      <c r="N5035" s="431"/>
    </row>
    <row r="5036" spans="1:14" s="398" customFormat="1">
      <c r="A5036" s="1221"/>
      <c r="B5036" s="425" t="s">
        <v>1675</v>
      </c>
      <c r="C5036" s="165" t="s">
        <v>1</v>
      </c>
      <c r="D5036" s="437">
        <v>1</v>
      </c>
      <c r="E5036" s="437">
        <v>1</v>
      </c>
      <c r="F5036" s="1206">
        <v>2.6850000000000001</v>
      </c>
      <c r="G5036" s="1206">
        <v>2.6</v>
      </c>
      <c r="H5036" s="1206"/>
      <c r="I5036" s="1187">
        <f t="shared" si="173"/>
        <v>6.98</v>
      </c>
      <c r="J5036" s="394"/>
      <c r="K5036" s="1233"/>
      <c r="L5036" s="431"/>
      <c r="M5036" s="431"/>
      <c r="N5036" s="431"/>
    </row>
    <row r="5037" spans="1:14" s="398" customFormat="1">
      <c r="A5037" s="1221"/>
      <c r="B5037" s="425"/>
      <c r="C5037" s="165" t="s">
        <v>1</v>
      </c>
      <c r="D5037" s="437">
        <v>1</v>
      </c>
      <c r="E5037" s="437">
        <v>1</v>
      </c>
      <c r="F5037" s="1206">
        <v>2.6850000000000001</v>
      </c>
      <c r="G5037" s="1206">
        <v>2.2000000000000002</v>
      </c>
      <c r="H5037" s="1206"/>
      <c r="I5037" s="1187">
        <f t="shared" si="173"/>
        <v>5.91</v>
      </c>
      <c r="J5037" s="394"/>
      <c r="K5037" s="1233"/>
      <c r="L5037" s="431"/>
      <c r="M5037" s="431"/>
      <c r="N5037" s="431"/>
    </row>
    <row r="5038" spans="1:14" s="398" customFormat="1">
      <c r="A5038" s="1221"/>
      <c r="B5038" s="425"/>
      <c r="C5038" s="165" t="s">
        <v>1</v>
      </c>
      <c r="D5038" s="437">
        <v>1</v>
      </c>
      <c r="E5038" s="437">
        <v>1</v>
      </c>
      <c r="F5038" s="1206">
        <v>2.6850000000000001</v>
      </c>
      <c r="G5038" s="1206">
        <v>2.2999999999999998</v>
      </c>
      <c r="H5038" s="1206"/>
      <c r="I5038" s="1187">
        <f t="shared" si="173"/>
        <v>6.18</v>
      </c>
      <c r="J5038" s="394"/>
      <c r="K5038" s="1233"/>
      <c r="L5038" s="431"/>
      <c r="M5038" s="431"/>
      <c r="N5038" s="431"/>
    </row>
    <row r="5039" spans="1:14" s="398" customFormat="1" ht="34.5">
      <c r="A5039" s="1221"/>
      <c r="B5039" s="425" t="s">
        <v>1766</v>
      </c>
      <c r="C5039" s="165" t="s">
        <v>1</v>
      </c>
      <c r="D5039" s="437">
        <v>-1</v>
      </c>
      <c r="E5039" s="437">
        <v>1</v>
      </c>
      <c r="F5039" s="1206">
        <v>47.436556200000005</v>
      </c>
      <c r="G5039" s="1206"/>
      <c r="H5039" s="1206"/>
      <c r="I5039" s="1187">
        <f t="shared" si="173"/>
        <v>-47.44</v>
      </c>
      <c r="J5039" s="394"/>
      <c r="K5039" s="1233"/>
      <c r="L5039" s="431"/>
      <c r="M5039" s="431"/>
      <c r="N5039" s="431"/>
    </row>
    <row r="5040" spans="1:14" s="398" customFormat="1" ht="51.75">
      <c r="A5040" s="1221"/>
      <c r="B5040" s="425" t="s">
        <v>1767</v>
      </c>
      <c r="C5040" s="165" t="s">
        <v>1</v>
      </c>
      <c r="D5040" s="437">
        <v>-1</v>
      </c>
      <c r="E5040" s="437">
        <v>1</v>
      </c>
      <c r="F5040" s="1206">
        <v>180.19399999999999</v>
      </c>
      <c r="G5040" s="1206"/>
      <c r="H5040" s="1206"/>
      <c r="I5040" s="1187">
        <f t="shared" si="173"/>
        <v>-180.19</v>
      </c>
      <c r="J5040" s="394"/>
      <c r="K5040" s="1233"/>
      <c r="L5040" s="431"/>
      <c r="M5040" s="431"/>
      <c r="N5040" s="431"/>
    </row>
    <row r="5041" spans="1:14" s="398" customFormat="1" ht="51.75">
      <c r="A5041" s="1221"/>
      <c r="B5041" s="425" t="s">
        <v>1768</v>
      </c>
      <c r="C5041" s="165" t="s">
        <v>1</v>
      </c>
      <c r="D5041" s="437">
        <v>-1</v>
      </c>
      <c r="E5041" s="437">
        <v>1</v>
      </c>
      <c r="F5041" s="1206">
        <v>92.783310200000003</v>
      </c>
      <c r="G5041" s="1206"/>
      <c r="H5041" s="1206"/>
      <c r="I5041" s="1187">
        <f t="shared" si="173"/>
        <v>-92.78</v>
      </c>
      <c r="J5041" s="394"/>
      <c r="K5041" s="1233"/>
      <c r="L5041" s="431"/>
      <c r="M5041" s="431"/>
      <c r="N5041" s="431"/>
    </row>
    <row r="5042" spans="1:14" s="398" customFormat="1" ht="34.5">
      <c r="A5042" s="1221"/>
      <c r="B5042" s="425" t="s">
        <v>1769</v>
      </c>
      <c r="C5042" s="165" t="s">
        <v>1</v>
      </c>
      <c r="D5042" s="437">
        <v>-1</v>
      </c>
      <c r="E5042" s="437">
        <v>1</v>
      </c>
      <c r="F5042" s="1206">
        <v>68.910736099999994</v>
      </c>
      <c r="G5042" s="1206"/>
      <c r="H5042" s="1206"/>
      <c r="I5042" s="1187">
        <f t="shared" si="173"/>
        <v>-68.91</v>
      </c>
      <c r="J5042" s="394"/>
      <c r="K5042" s="1233"/>
      <c r="L5042" s="431"/>
      <c r="M5042" s="431"/>
      <c r="N5042" s="431"/>
    </row>
    <row r="5043" spans="1:14" s="398" customFormat="1" ht="34.5">
      <c r="A5043" s="1221"/>
      <c r="B5043" s="425" t="s">
        <v>1770</v>
      </c>
      <c r="C5043" s="165" t="s">
        <v>1</v>
      </c>
      <c r="D5043" s="437">
        <v>-1</v>
      </c>
      <c r="E5043" s="437">
        <v>1</v>
      </c>
      <c r="F5043" s="1206">
        <v>12.2198735</v>
      </c>
      <c r="G5043" s="1206"/>
      <c r="H5043" s="1206"/>
      <c r="I5043" s="1187">
        <f t="shared" si="173"/>
        <v>-12.22</v>
      </c>
      <c r="J5043" s="394"/>
      <c r="K5043" s="1233"/>
      <c r="L5043" s="431"/>
      <c r="M5043" s="431"/>
      <c r="N5043" s="431"/>
    </row>
    <row r="5044" spans="1:14" s="398" customFormat="1">
      <c r="A5044" s="1221"/>
      <c r="B5044" s="425"/>
      <c r="C5044" s="165"/>
      <c r="D5044" s="437"/>
      <c r="E5044" s="437"/>
      <c r="F5044" s="1206"/>
      <c r="G5044" s="1206"/>
      <c r="H5044" s="1206"/>
      <c r="I5044" s="1187" t="str">
        <f t="shared" si="173"/>
        <v/>
      </c>
      <c r="J5044" s="394"/>
      <c r="K5044" s="1233"/>
      <c r="L5044" s="431"/>
      <c r="M5044" s="431"/>
      <c r="N5044" s="431"/>
    </row>
    <row r="5045" spans="1:14" s="398" customFormat="1" ht="34.5">
      <c r="A5045" s="1221"/>
      <c r="B5045" s="425" t="s">
        <v>1771</v>
      </c>
      <c r="C5045" s="165" t="s">
        <v>1</v>
      </c>
      <c r="D5045" s="437">
        <v>-1</v>
      </c>
      <c r="E5045" s="437">
        <v>1</v>
      </c>
      <c r="F5045" s="1206">
        <v>73.278607199999996</v>
      </c>
      <c r="G5045" s="1206"/>
      <c r="H5045" s="1206"/>
      <c r="I5045" s="1187">
        <f t="shared" si="173"/>
        <v>-73.28</v>
      </c>
      <c r="J5045" s="394"/>
      <c r="K5045" s="1233"/>
      <c r="L5045" s="431"/>
      <c r="M5045" s="431"/>
      <c r="N5045" s="431"/>
    </row>
    <row r="5046" spans="1:14" s="398" customFormat="1" ht="51.75">
      <c r="A5046" s="1221"/>
      <c r="B5046" s="425" t="s">
        <v>1772</v>
      </c>
      <c r="C5046" s="165" t="s">
        <v>1</v>
      </c>
      <c r="D5046" s="437">
        <v>-1</v>
      </c>
      <c r="E5046" s="437">
        <v>1</v>
      </c>
      <c r="F5046" s="1206">
        <v>74.249166900000006</v>
      </c>
      <c r="G5046" s="1206"/>
      <c r="H5046" s="1206"/>
      <c r="I5046" s="1187">
        <f t="shared" si="173"/>
        <v>-74.25</v>
      </c>
      <c r="J5046" s="394"/>
      <c r="K5046" s="1233"/>
      <c r="L5046" s="431"/>
      <c r="M5046" s="431"/>
      <c r="N5046" s="431"/>
    </row>
    <row r="5047" spans="1:14" s="398" customFormat="1">
      <c r="A5047" s="1221"/>
      <c r="B5047" s="425" t="s">
        <v>1674</v>
      </c>
      <c r="C5047" s="165" t="s">
        <v>1</v>
      </c>
      <c r="D5047" s="437">
        <v>1</v>
      </c>
      <c r="E5047" s="437">
        <v>1</v>
      </c>
      <c r="F5047" s="1206">
        <v>56.37</v>
      </c>
      <c r="G5047" s="1206">
        <v>0.05</v>
      </c>
      <c r="H5047" s="1206"/>
      <c r="I5047" s="1187">
        <f t="shared" si="173"/>
        <v>2.82</v>
      </c>
      <c r="J5047" s="394"/>
      <c r="K5047" s="1233"/>
      <c r="L5047" s="431"/>
      <c r="M5047" s="431"/>
      <c r="N5047" s="431"/>
    </row>
    <row r="5048" spans="1:14" s="398" customFormat="1">
      <c r="A5048" s="1221"/>
      <c r="B5048" s="425"/>
      <c r="C5048" s="165" t="s">
        <v>1</v>
      </c>
      <c r="D5048" s="437">
        <v>1</v>
      </c>
      <c r="E5048" s="437">
        <v>1</v>
      </c>
      <c r="F5048" s="1206">
        <v>50.459000000000003</v>
      </c>
      <c r="G5048" s="1206">
        <v>0.05</v>
      </c>
      <c r="H5048" s="1206"/>
      <c r="I5048" s="1187">
        <f t="shared" si="173"/>
        <v>2.52</v>
      </c>
      <c r="J5048" s="394"/>
      <c r="K5048" s="1233"/>
      <c r="L5048" s="431"/>
      <c r="M5048" s="431"/>
      <c r="N5048" s="431"/>
    </row>
    <row r="5049" spans="1:14" s="398" customFormat="1">
      <c r="A5049" s="1221"/>
      <c r="B5049" s="425"/>
      <c r="C5049" s="165" t="s">
        <v>1</v>
      </c>
      <c r="D5049" s="437">
        <v>1</v>
      </c>
      <c r="E5049" s="437">
        <v>1</v>
      </c>
      <c r="F5049" s="1206">
        <v>33.133000000000003</v>
      </c>
      <c r="G5049" s="1206">
        <v>0.05</v>
      </c>
      <c r="H5049" s="1206"/>
      <c r="I5049" s="1187">
        <f t="shared" si="173"/>
        <v>1.66</v>
      </c>
      <c r="J5049" s="394"/>
      <c r="K5049" s="1233"/>
      <c r="L5049" s="431"/>
      <c r="M5049" s="431"/>
      <c r="N5049" s="431"/>
    </row>
    <row r="5050" spans="1:14" s="398" customFormat="1" ht="34.5">
      <c r="A5050" s="1221"/>
      <c r="B5050" s="425" t="s">
        <v>1365</v>
      </c>
      <c r="C5050" s="165"/>
      <c r="D5050" s="437"/>
      <c r="E5050" s="437"/>
      <c r="F5050" s="1206"/>
      <c r="G5050" s="1206"/>
      <c r="H5050" s="1206"/>
      <c r="I5050" s="1187" t="str">
        <f t="shared" si="173"/>
        <v/>
      </c>
      <c r="J5050" s="394"/>
      <c r="K5050" s="1233"/>
      <c r="L5050" s="431"/>
      <c r="M5050" s="431"/>
      <c r="N5050" s="431"/>
    </row>
    <row r="5051" spans="1:14" s="398" customFormat="1" ht="51.75">
      <c r="A5051" s="1221"/>
      <c r="B5051" s="425" t="s">
        <v>1366</v>
      </c>
      <c r="C5051" s="165"/>
      <c r="D5051" s="437"/>
      <c r="E5051" s="437"/>
      <c r="F5051" s="1206"/>
      <c r="G5051" s="1206"/>
      <c r="H5051" s="1206"/>
      <c r="I5051" s="1187" t="str">
        <f t="shared" si="173"/>
        <v/>
      </c>
      <c r="J5051" s="394"/>
      <c r="K5051" s="1233"/>
      <c r="L5051" s="431"/>
      <c r="M5051" s="431"/>
      <c r="N5051" s="431"/>
    </row>
    <row r="5052" spans="1:14" s="398" customFormat="1">
      <c r="A5052" s="1221"/>
      <c r="B5052" s="425"/>
      <c r="C5052" s="165"/>
      <c r="D5052" s="437"/>
      <c r="E5052" s="437"/>
      <c r="F5052" s="1206"/>
      <c r="G5052" s="1206"/>
      <c r="H5052" s="1206"/>
      <c r="I5052" s="1187" t="str">
        <f t="shared" si="173"/>
        <v/>
      </c>
      <c r="J5052" s="394"/>
      <c r="K5052" s="1233"/>
      <c r="L5052" s="431"/>
      <c r="M5052" s="431"/>
      <c r="N5052" s="431"/>
    </row>
    <row r="5053" spans="1:14" s="398" customFormat="1" ht="34.5">
      <c r="A5053" s="1221"/>
      <c r="B5053" s="425" t="s">
        <v>1367</v>
      </c>
      <c r="C5053" s="165"/>
      <c r="D5053" s="437"/>
      <c r="E5053" s="437"/>
      <c r="F5053" s="1206"/>
      <c r="G5053" s="1206"/>
      <c r="H5053" s="1206"/>
      <c r="I5053" s="1187" t="str">
        <f t="shared" si="173"/>
        <v/>
      </c>
      <c r="J5053" s="394"/>
      <c r="K5053" s="1233"/>
      <c r="L5053" s="431"/>
      <c r="M5053" s="431"/>
      <c r="N5053" s="431"/>
    </row>
    <row r="5054" spans="1:14" s="398" customFormat="1">
      <c r="A5054" s="1221"/>
      <c r="B5054" s="425" t="s">
        <v>1368</v>
      </c>
      <c r="C5054" s="165" t="s">
        <v>1</v>
      </c>
      <c r="D5054" s="437">
        <v>-1</v>
      </c>
      <c r="E5054" s="437">
        <v>3</v>
      </c>
      <c r="F5054" s="1206">
        <v>3.8220000000000001</v>
      </c>
      <c r="G5054" s="1206">
        <v>0.21</v>
      </c>
      <c r="H5054" s="1206"/>
      <c r="I5054" s="1187">
        <f t="shared" si="173"/>
        <v>-2.41</v>
      </c>
      <c r="J5054" s="394"/>
      <c r="K5054" s="1233"/>
      <c r="L5054" s="431"/>
      <c r="M5054" s="431"/>
      <c r="N5054" s="431"/>
    </row>
    <row r="5055" spans="1:14" s="398" customFormat="1">
      <c r="A5055" s="1221"/>
      <c r="B5055" s="425" t="s">
        <v>1369</v>
      </c>
      <c r="C5055" s="165" t="s">
        <v>1</v>
      </c>
      <c r="D5055" s="437">
        <v>-1</v>
      </c>
      <c r="E5055" s="437">
        <v>1</v>
      </c>
      <c r="F5055" s="1206">
        <v>3.4710000000000001</v>
      </c>
      <c r="G5055" s="1206">
        <v>0.21</v>
      </c>
      <c r="H5055" s="1206"/>
      <c r="I5055" s="1187">
        <f t="shared" si="173"/>
        <v>-0.73</v>
      </c>
      <c r="J5055" s="394"/>
      <c r="K5055" s="1233"/>
      <c r="L5055" s="431"/>
      <c r="M5055" s="431"/>
      <c r="N5055" s="431"/>
    </row>
    <row r="5056" spans="1:14" s="398" customFormat="1">
      <c r="A5056" s="1221"/>
      <c r="B5056" s="425" t="s">
        <v>1370</v>
      </c>
      <c r="C5056" s="165" t="s">
        <v>1</v>
      </c>
      <c r="D5056" s="437">
        <v>-1</v>
      </c>
      <c r="E5056" s="437">
        <v>3</v>
      </c>
      <c r="F5056" s="1206">
        <v>2.794</v>
      </c>
      <c r="G5056" s="1206">
        <v>0.21</v>
      </c>
      <c r="H5056" s="1206"/>
      <c r="I5056" s="1187">
        <f t="shared" si="173"/>
        <v>-1.76</v>
      </c>
      <c r="J5056" s="394"/>
      <c r="K5056" s="1233"/>
      <c r="L5056" s="431"/>
      <c r="M5056" s="431"/>
      <c r="N5056" s="431"/>
    </row>
    <row r="5057" spans="1:14" s="398" customFormat="1">
      <c r="A5057" s="1221"/>
      <c r="B5057" s="425" t="s">
        <v>872</v>
      </c>
      <c r="C5057" s="165" t="s">
        <v>1</v>
      </c>
      <c r="D5057" s="437">
        <v>1</v>
      </c>
      <c r="E5057" s="437">
        <v>24</v>
      </c>
      <c r="F5057" s="1206">
        <v>1</v>
      </c>
      <c r="G5057" s="1206">
        <v>1</v>
      </c>
      <c r="H5057" s="1206"/>
      <c r="I5057" s="1187">
        <f t="shared" si="173"/>
        <v>24</v>
      </c>
      <c r="J5057" s="394"/>
      <c r="K5057" s="1233"/>
      <c r="L5057" s="431"/>
      <c r="M5057" s="431"/>
      <c r="N5057" s="431"/>
    </row>
    <row r="5058" spans="1:14" s="398" customFormat="1">
      <c r="A5058" s="1221"/>
      <c r="B5058" s="425"/>
      <c r="C5058" s="165"/>
      <c r="D5058" s="437"/>
      <c r="E5058" s="437"/>
      <c r="F5058" s="1206"/>
      <c r="G5058" s="1206"/>
      <c r="H5058" s="1206"/>
      <c r="I5058" s="1187" t="str">
        <f t="shared" si="173"/>
        <v/>
      </c>
      <c r="J5058" s="394"/>
      <c r="K5058" s="1233"/>
      <c r="L5058" s="431"/>
      <c r="M5058" s="431"/>
      <c r="N5058" s="431"/>
    </row>
    <row r="5059" spans="1:14" s="398" customFormat="1" ht="34.5">
      <c r="A5059" s="1221" t="s">
        <v>457</v>
      </c>
      <c r="B5059" s="425" t="s">
        <v>1773</v>
      </c>
      <c r="C5059" s="165"/>
      <c r="D5059" s="437"/>
      <c r="E5059" s="437"/>
      <c r="F5059" s="1206"/>
      <c r="G5059" s="1206"/>
      <c r="H5059" s="1206"/>
      <c r="I5059" s="1187" t="str">
        <f t="shared" si="173"/>
        <v/>
      </c>
      <c r="J5059" s="394"/>
      <c r="K5059" s="1233"/>
      <c r="L5059" s="431"/>
      <c r="M5059" s="431"/>
      <c r="N5059" s="431"/>
    </row>
    <row r="5060" spans="1:14" s="398" customFormat="1" ht="34.5">
      <c r="A5060" s="1221"/>
      <c r="B5060" s="425" t="s">
        <v>1759</v>
      </c>
      <c r="C5060" s="165" t="s">
        <v>1</v>
      </c>
      <c r="D5060" s="437">
        <v>1</v>
      </c>
      <c r="E5060" s="437">
        <v>1</v>
      </c>
      <c r="F5060" s="1206">
        <v>17.506</v>
      </c>
      <c r="G5060" s="1206">
        <v>1.24</v>
      </c>
      <c r="H5060" s="1206"/>
      <c r="I5060" s="1187">
        <f t="shared" si="173"/>
        <v>21.71</v>
      </c>
      <c r="J5060" s="394"/>
      <c r="K5060" s="1233"/>
      <c r="L5060" s="431"/>
      <c r="M5060" s="431"/>
      <c r="N5060" s="431"/>
    </row>
    <row r="5061" spans="1:14" s="398" customFormat="1" ht="51.75">
      <c r="A5061" s="1221"/>
      <c r="B5061" s="425" t="s">
        <v>1760</v>
      </c>
      <c r="C5061" s="165" t="s">
        <v>1</v>
      </c>
      <c r="D5061" s="437">
        <v>1</v>
      </c>
      <c r="E5061" s="437">
        <v>1</v>
      </c>
      <c r="F5061" s="1206">
        <v>48.075000000000003</v>
      </c>
      <c r="G5061" s="1383">
        <v>2.0499999999999998</v>
      </c>
      <c r="H5061" s="1206"/>
      <c r="I5061" s="1187">
        <f t="shared" si="173"/>
        <v>98.55</v>
      </c>
      <c r="J5061" s="394"/>
      <c r="K5061" s="1233"/>
      <c r="L5061" s="431"/>
      <c r="M5061" s="431"/>
      <c r="N5061" s="431"/>
    </row>
    <row r="5062" spans="1:14" s="398" customFormat="1" ht="34.5">
      <c r="A5062" s="1221"/>
      <c r="B5062" s="425" t="s">
        <v>1761</v>
      </c>
      <c r="C5062" s="165" t="s">
        <v>1</v>
      </c>
      <c r="D5062" s="437">
        <v>1</v>
      </c>
      <c r="E5062" s="437">
        <v>1</v>
      </c>
      <c r="F5062" s="1206">
        <v>118.6025082</v>
      </c>
      <c r="G5062" s="1206"/>
      <c r="H5062" s="1206"/>
      <c r="I5062" s="1187">
        <f t="shared" si="173"/>
        <v>118.6</v>
      </c>
      <c r="J5062" s="394"/>
      <c r="K5062" s="1233" t="s">
        <v>1817</v>
      </c>
      <c r="L5062" s="431"/>
      <c r="M5062" s="431"/>
      <c r="N5062" s="431"/>
    </row>
    <row r="5063" spans="1:14" s="398" customFormat="1" ht="34.5">
      <c r="A5063" s="1221"/>
      <c r="B5063" s="425" t="s">
        <v>1762</v>
      </c>
      <c r="C5063" s="165" t="s">
        <v>1</v>
      </c>
      <c r="D5063" s="437">
        <v>1</v>
      </c>
      <c r="E5063" s="437">
        <v>1</v>
      </c>
      <c r="F5063" s="1206">
        <v>47.945</v>
      </c>
      <c r="G5063" s="1383">
        <v>2.88</v>
      </c>
      <c r="H5063" s="1206"/>
      <c r="I5063" s="1187">
        <f t="shared" si="173"/>
        <v>138.08000000000001</v>
      </c>
      <c r="J5063" s="394"/>
      <c r="K5063" s="1233"/>
      <c r="L5063" s="431"/>
      <c r="M5063" s="431"/>
      <c r="N5063" s="431"/>
    </row>
    <row r="5064" spans="1:14" s="398" customFormat="1" ht="34.5">
      <c r="A5064" s="1221"/>
      <c r="B5064" s="425" t="s">
        <v>1763</v>
      </c>
      <c r="C5064" s="165" t="s">
        <v>1</v>
      </c>
      <c r="D5064" s="437">
        <v>1</v>
      </c>
      <c r="E5064" s="437">
        <v>1</v>
      </c>
      <c r="F5064" s="1383">
        <v>198.28</v>
      </c>
      <c r="G5064" s="1206"/>
      <c r="H5064" s="1206"/>
      <c r="I5064" s="1187">
        <f t="shared" si="173"/>
        <v>198.28</v>
      </c>
      <c r="J5064" s="394"/>
      <c r="K5064" s="1233"/>
      <c r="L5064" s="431"/>
      <c r="M5064" s="431"/>
      <c r="N5064" s="431"/>
    </row>
    <row r="5065" spans="1:14" s="398" customFormat="1" ht="34.5">
      <c r="A5065" s="1221"/>
      <c r="B5065" s="425" t="s">
        <v>1764</v>
      </c>
      <c r="C5065" s="165" t="s">
        <v>1</v>
      </c>
      <c r="D5065" s="437">
        <v>1</v>
      </c>
      <c r="E5065" s="437">
        <v>1</v>
      </c>
      <c r="F5065" s="1206">
        <v>75.525161799999992</v>
      </c>
      <c r="G5065" s="1206"/>
      <c r="H5065" s="1206"/>
      <c r="I5065" s="1187">
        <f t="shared" si="173"/>
        <v>75.53</v>
      </c>
      <c r="J5065" s="394"/>
      <c r="K5065" s="1233" t="s">
        <v>1817</v>
      </c>
      <c r="L5065" s="431"/>
      <c r="M5065" s="431"/>
      <c r="N5065" s="431"/>
    </row>
    <row r="5066" spans="1:14" s="398" customFormat="1">
      <c r="A5066" s="1221"/>
      <c r="B5066" s="425" t="s">
        <v>1765</v>
      </c>
      <c r="C5066" s="165" t="s">
        <v>1</v>
      </c>
      <c r="D5066" s="437">
        <v>1</v>
      </c>
      <c r="E5066" s="437">
        <v>1</v>
      </c>
      <c r="F5066" s="1206">
        <v>72.453650699999997</v>
      </c>
      <c r="G5066" s="1206"/>
      <c r="H5066" s="1206"/>
      <c r="I5066" s="1187">
        <f t="shared" si="173"/>
        <v>72.45</v>
      </c>
      <c r="J5066" s="394"/>
      <c r="K5066" s="1233" t="s">
        <v>1817</v>
      </c>
      <c r="L5066" s="431"/>
      <c r="M5066" s="431"/>
      <c r="N5066" s="431"/>
    </row>
    <row r="5067" spans="1:14" s="398" customFormat="1">
      <c r="A5067" s="1221"/>
      <c r="B5067" s="425" t="s">
        <v>1363</v>
      </c>
      <c r="C5067" s="165" t="s">
        <v>1</v>
      </c>
      <c r="D5067" s="437">
        <v>1</v>
      </c>
      <c r="E5067" s="437">
        <v>1</v>
      </c>
      <c r="F5067" s="1206">
        <v>3</v>
      </c>
      <c r="G5067" s="1206">
        <v>2.0499999999999998</v>
      </c>
      <c r="H5067" s="1206"/>
      <c r="I5067" s="1187">
        <f t="shared" si="173"/>
        <v>6.15</v>
      </c>
      <c r="J5067" s="394"/>
      <c r="K5067" s="1233"/>
      <c r="L5067" s="431"/>
      <c r="M5067" s="431"/>
      <c r="N5067" s="431"/>
    </row>
    <row r="5068" spans="1:14" s="398" customFormat="1">
      <c r="A5068" s="1221"/>
      <c r="B5068" s="425" t="s">
        <v>872</v>
      </c>
      <c r="C5068" s="165" t="s">
        <v>1</v>
      </c>
      <c r="D5068" s="437">
        <v>-1</v>
      </c>
      <c r="E5068" s="437">
        <v>1</v>
      </c>
      <c r="F5068" s="1206">
        <v>2.6850000000000001</v>
      </c>
      <c r="G5068" s="1206">
        <v>2.6</v>
      </c>
      <c r="H5068" s="1206"/>
      <c r="I5068" s="1187">
        <f t="shared" si="173"/>
        <v>-6.98</v>
      </c>
      <c r="J5068" s="394"/>
      <c r="K5068" s="1233"/>
      <c r="L5068" s="431"/>
      <c r="M5068" s="431"/>
      <c r="N5068" s="431"/>
    </row>
    <row r="5069" spans="1:14" s="398" customFormat="1">
      <c r="A5069" s="1221"/>
      <c r="B5069" s="425" t="s">
        <v>1364</v>
      </c>
      <c r="C5069" s="165" t="s">
        <v>1</v>
      </c>
      <c r="D5069" s="437">
        <v>-1</v>
      </c>
      <c r="E5069" s="437">
        <v>1</v>
      </c>
      <c r="F5069" s="1206">
        <v>2.677</v>
      </c>
      <c r="G5069" s="1206">
        <v>0.3</v>
      </c>
      <c r="H5069" s="1206"/>
      <c r="I5069" s="1187">
        <f t="shared" si="173"/>
        <v>-0.8</v>
      </c>
      <c r="J5069" s="394"/>
      <c r="K5069" s="1233"/>
      <c r="L5069" s="431"/>
      <c r="M5069" s="431"/>
      <c r="N5069" s="431"/>
    </row>
    <row r="5070" spans="1:14" s="398" customFormat="1" ht="34.5">
      <c r="A5070" s="1221"/>
      <c r="B5070" s="425" t="s">
        <v>1766</v>
      </c>
      <c r="C5070" s="165" t="s">
        <v>1</v>
      </c>
      <c r="D5070" s="437">
        <v>1</v>
      </c>
      <c r="E5070" s="437">
        <v>1</v>
      </c>
      <c r="F5070" s="1206">
        <v>47.436556200000005</v>
      </c>
      <c r="G5070" s="1206"/>
      <c r="H5070" s="1206"/>
      <c r="I5070" s="1187">
        <f t="shared" si="173"/>
        <v>47.44</v>
      </c>
      <c r="J5070" s="394"/>
      <c r="K5070" s="1233" t="s">
        <v>860</v>
      </c>
      <c r="L5070" s="431"/>
      <c r="M5070" s="431"/>
      <c r="N5070" s="431"/>
    </row>
    <row r="5071" spans="1:14" s="398" customFormat="1" ht="51.75">
      <c r="A5071" s="1221"/>
      <c r="B5071" s="425" t="s">
        <v>1767</v>
      </c>
      <c r="C5071" s="165" t="s">
        <v>1</v>
      </c>
      <c r="D5071" s="437">
        <v>1</v>
      </c>
      <c r="E5071" s="437">
        <v>1</v>
      </c>
      <c r="F5071" s="1206">
        <v>180.19399999999999</v>
      </c>
      <c r="G5071" s="1206"/>
      <c r="H5071" s="1206"/>
      <c r="I5071" s="1187">
        <f t="shared" si="173"/>
        <v>180.19</v>
      </c>
      <c r="J5071" s="394"/>
      <c r="K5071" s="1233" t="s">
        <v>860</v>
      </c>
      <c r="L5071" s="431"/>
      <c r="M5071" s="431"/>
      <c r="N5071" s="431"/>
    </row>
    <row r="5072" spans="1:14" s="398" customFormat="1" ht="51.75">
      <c r="A5072" s="1221"/>
      <c r="B5072" s="425" t="s">
        <v>1768</v>
      </c>
      <c r="C5072" s="165" t="s">
        <v>1</v>
      </c>
      <c r="D5072" s="437">
        <v>1</v>
      </c>
      <c r="E5072" s="437">
        <v>1</v>
      </c>
      <c r="F5072" s="1206">
        <v>92.783310200000003</v>
      </c>
      <c r="G5072" s="1206"/>
      <c r="H5072" s="1206"/>
      <c r="I5072" s="1187">
        <f t="shared" si="173"/>
        <v>92.78</v>
      </c>
      <c r="J5072" s="394"/>
      <c r="K5072" s="1233" t="s">
        <v>860</v>
      </c>
      <c r="L5072" s="431"/>
      <c r="M5072" s="431"/>
      <c r="N5072" s="431"/>
    </row>
    <row r="5073" spans="1:14" s="398" customFormat="1" ht="34.5">
      <c r="A5073" s="1221"/>
      <c r="B5073" s="425" t="s">
        <v>1769</v>
      </c>
      <c r="C5073" s="165" t="s">
        <v>1</v>
      </c>
      <c r="D5073" s="437">
        <v>1</v>
      </c>
      <c r="E5073" s="437">
        <v>1</v>
      </c>
      <c r="F5073" s="1206">
        <v>68.910736099999994</v>
      </c>
      <c r="G5073" s="1206"/>
      <c r="H5073" s="1206"/>
      <c r="I5073" s="1187">
        <f t="shared" si="173"/>
        <v>68.91</v>
      </c>
      <c r="J5073" s="394"/>
      <c r="K5073" s="1233" t="s">
        <v>860</v>
      </c>
      <c r="L5073" s="431"/>
      <c r="M5073" s="431"/>
      <c r="N5073" s="431"/>
    </row>
    <row r="5074" spans="1:14" s="398" customFormat="1" ht="34.5">
      <c r="A5074" s="1221"/>
      <c r="B5074" s="425" t="s">
        <v>1770</v>
      </c>
      <c r="C5074" s="165" t="s">
        <v>1</v>
      </c>
      <c r="D5074" s="437">
        <v>1</v>
      </c>
      <c r="E5074" s="437">
        <v>1</v>
      </c>
      <c r="F5074" s="1206">
        <v>12.2198735</v>
      </c>
      <c r="G5074" s="1206"/>
      <c r="H5074" s="1206"/>
      <c r="I5074" s="1187">
        <f t="shared" si="173"/>
        <v>12.22</v>
      </c>
      <c r="J5074" s="394"/>
      <c r="K5074" s="1233" t="s">
        <v>860</v>
      </c>
      <c r="L5074" s="431"/>
      <c r="M5074" s="431"/>
      <c r="N5074" s="431"/>
    </row>
    <row r="5075" spans="1:14" s="398" customFormat="1">
      <c r="A5075" s="1221"/>
      <c r="B5075" s="425"/>
      <c r="C5075" s="165"/>
      <c r="D5075" s="437"/>
      <c r="E5075" s="437"/>
      <c r="F5075" s="1206"/>
      <c r="G5075" s="1206"/>
      <c r="H5075" s="1206"/>
      <c r="I5075" s="1187" t="str">
        <f t="shared" si="173"/>
        <v/>
      </c>
      <c r="J5075" s="394"/>
      <c r="K5075" s="1233"/>
      <c r="L5075" s="431"/>
      <c r="M5075" s="431"/>
      <c r="N5075" s="431"/>
    </row>
    <row r="5076" spans="1:14" s="398" customFormat="1" ht="34.5">
      <c r="A5076" s="1221"/>
      <c r="B5076" s="425" t="s">
        <v>1771</v>
      </c>
      <c r="C5076" s="165" t="s">
        <v>1</v>
      </c>
      <c r="D5076" s="437">
        <v>1</v>
      </c>
      <c r="E5076" s="437">
        <v>1</v>
      </c>
      <c r="F5076" s="1206">
        <v>73.278607199999996</v>
      </c>
      <c r="G5076" s="1206"/>
      <c r="H5076" s="1206"/>
      <c r="I5076" s="1187">
        <f t="shared" si="173"/>
        <v>73.28</v>
      </c>
      <c r="J5076" s="394"/>
      <c r="K5076" s="1233" t="s">
        <v>860</v>
      </c>
      <c r="L5076" s="431"/>
      <c r="M5076" s="431"/>
      <c r="N5076" s="431"/>
    </row>
    <row r="5077" spans="1:14" s="398" customFormat="1" ht="51.75">
      <c r="A5077" s="1221"/>
      <c r="B5077" s="425" t="s">
        <v>1772</v>
      </c>
      <c r="C5077" s="165" t="s">
        <v>1</v>
      </c>
      <c r="D5077" s="437">
        <v>1</v>
      </c>
      <c r="E5077" s="437">
        <v>1</v>
      </c>
      <c r="F5077" s="1206">
        <v>74.249166900000006</v>
      </c>
      <c r="G5077" s="1206"/>
      <c r="H5077" s="1206"/>
      <c r="I5077" s="1187">
        <f t="shared" si="173"/>
        <v>74.25</v>
      </c>
      <c r="J5077" s="394"/>
      <c r="K5077" s="1233" t="s">
        <v>860</v>
      </c>
      <c r="L5077" s="431"/>
      <c r="M5077" s="431"/>
      <c r="N5077" s="431"/>
    </row>
    <row r="5078" spans="1:14" s="398" customFormat="1">
      <c r="A5078" s="1221"/>
      <c r="B5078" s="425"/>
      <c r="C5078" s="165"/>
      <c r="D5078" s="437"/>
      <c r="E5078" s="437"/>
      <c r="F5078" s="1206"/>
      <c r="G5078" s="1206"/>
      <c r="H5078" s="1206"/>
      <c r="I5078" s="1187" t="str">
        <f t="shared" si="173"/>
        <v/>
      </c>
      <c r="J5078" s="394"/>
      <c r="K5078" s="1233"/>
      <c r="L5078" s="431"/>
      <c r="M5078" s="431"/>
      <c r="N5078" s="431"/>
    </row>
    <row r="5079" spans="1:14" s="398" customFormat="1" ht="34.5">
      <c r="A5079" s="1221" t="s">
        <v>459</v>
      </c>
      <c r="B5079" s="425" t="s">
        <v>1365</v>
      </c>
      <c r="C5079" s="165"/>
      <c r="D5079" s="437"/>
      <c r="E5079" s="437"/>
      <c r="F5079" s="1206"/>
      <c r="G5079" s="1206"/>
      <c r="H5079" s="1206"/>
      <c r="I5079" s="1187" t="str">
        <f t="shared" ref="I5079:I5087" si="174">IF(D5079&lt;&gt;0,ROUND(PRODUCT(E5079:H5079)*D5079,2),"")</f>
        <v/>
      </c>
      <c r="J5079" s="394"/>
      <c r="K5079" s="1233"/>
      <c r="L5079" s="431"/>
      <c r="M5079" s="431"/>
      <c r="N5079" s="431"/>
    </row>
    <row r="5080" spans="1:14" s="398" customFormat="1" ht="51.75">
      <c r="A5080" s="1221"/>
      <c r="B5080" s="425" t="s">
        <v>1366</v>
      </c>
      <c r="C5080" s="165"/>
      <c r="D5080" s="437"/>
      <c r="E5080" s="437"/>
      <c r="F5080" s="1206"/>
      <c r="G5080" s="1206"/>
      <c r="H5080" s="1206"/>
      <c r="I5080" s="1187" t="str">
        <f t="shared" si="174"/>
        <v/>
      </c>
      <c r="J5080" s="394"/>
      <c r="K5080" s="1233"/>
      <c r="L5080" s="431"/>
      <c r="M5080" s="431"/>
      <c r="N5080" s="431"/>
    </row>
    <row r="5081" spans="1:14" s="398" customFormat="1">
      <c r="A5081" s="1221"/>
      <c r="B5081" s="425"/>
      <c r="C5081" s="165"/>
      <c r="D5081" s="437"/>
      <c r="E5081" s="437"/>
      <c r="F5081" s="1206"/>
      <c r="G5081" s="1206"/>
      <c r="H5081" s="1206"/>
      <c r="I5081" s="1187" t="str">
        <f t="shared" si="174"/>
        <v/>
      </c>
      <c r="J5081" s="394"/>
      <c r="K5081" s="1233"/>
      <c r="L5081" s="431"/>
      <c r="M5081" s="431"/>
      <c r="N5081" s="431"/>
    </row>
    <row r="5082" spans="1:14" s="398" customFormat="1" ht="34.5">
      <c r="A5082" s="1221"/>
      <c r="B5082" s="425" t="s">
        <v>1367</v>
      </c>
      <c r="C5082" s="165"/>
      <c r="D5082" s="437"/>
      <c r="E5082" s="437"/>
      <c r="F5082" s="1206"/>
      <c r="G5082" s="1206"/>
      <c r="H5082" s="1206"/>
      <c r="I5082" s="1187" t="str">
        <f t="shared" si="174"/>
        <v/>
      </c>
      <c r="J5082" s="394"/>
      <c r="K5082" s="1233"/>
      <c r="L5082" s="431"/>
      <c r="M5082" s="431"/>
      <c r="N5082" s="431"/>
    </row>
    <row r="5083" spans="1:14" s="398" customFormat="1">
      <c r="A5083" s="1221"/>
      <c r="B5083" s="425" t="s">
        <v>1368</v>
      </c>
      <c r="C5083" s="165" t="s">
        <v>1</v>
      </c>
      <c r="D5083" s="437">
        <v>1</v>
      </c>
      <c r="E5083" s="437">
        <v>3</v>
      </c>
      <c r="F5083" s="1206">
        <v>3.8220000000000001</v>
      </c>
      <c r="G5083" s="1206">
        <v>0.28999999999999998</v>
      </c>
      <c r="H5083" s="1206"/>
      <c r="I5083" s="1187">
        <f t="shared" si="174"/>
        <v>3.33</v>
      </c>
      <c r="J5083" s="394"/>
      <c r="K5083" s="1233"/>
      <c r="L5083" s="431"/>
      <c r="M5083" s="431"/>
      <c r="N5083" s="431"/>
    </row>
    <row r="5084" spans="1:14" s="398" customFormat="1">
      <c r="A5084" s="1221"/>
      <c r="B5084" s="425" t="s">
        <v>1369</v>
      </c>
      <c r="C5084" s="165" t="s">
        <v>1</v>
      </c>
      <c r="D5084" s="437">
        <v>1</v>
      </c>
      <c r="E5084" s="437">
        <v>1</v>
      </c>
      <c r="F5084" s="1206">
        <v>3.4710000000000001</v>
      </c>
      <c r="G5084" s="1206">
        <v>0.28999999999999998</v>
      </c>
      <c r="H5084" s="1206"/>
      <c r="I5084" s="1187">
        <f t="shared" si="174"/>
        <v>1.01</v>
      </c>
      <c r="J5084" s="394"/>
      <c r="K5084" s="1233"/>
      <c r="L5084" s="431"/>
      <c r="M5084" s="431"/>
      <c r="N5084" s="431"/>
    </row>
    <row r="5085" spans="1:14" s="398" customFormat="1">
      <c r="A5085" s="1221"/>
      <c r="B5085" s="425" t="s">
        <v>1370</v>
      </c>
      <c r="C5085" s="165" t="s">
        <v>1</v>
      </c>
      <c r="D5085" s="437">
        <v>1</v>
      </c>
      <c r="E5085" s="437">
        <v>3</v>
      </c>
      <c r="F5085" s="1206">
        <v>2.794</v>
      </c>
      <c r="G5085" s="1206">
        <v>0.28999999999999998</v>
      </c>
      <c r="H5085" s="1206"/>
      <c r="I5085" s="1187">
        <f t="shared" si="174"/>
        <v>2.4300000000000002</v>
      </c>
      <c r="J5085" s="394"/>
      <c r="K5085" s="1233"/>
      <c r="L5085" s="431"/>
      <c r="M5085" s="431"/>
      <c r="N5085" s="431"/>
    </row>
    <row r="5086" spans="1:14" s="398" customFormat="1">
      <c r="A5086" s="1221"/>
      <c r="B5086" s="425"/>
      <c r="C5086" s="165"/>
      <c r="D5086" s="437"/>
      <c r="E5086" s="437"/>
      <c r="F5086" s="1206"/>
      <c r="G5086" s="1206"/>
      <c r="H5086" s="1206"/>
      <c r="I5086" s="1187" t="str">
        <f t="shared" si="174"/>
        <v/>
      </c>
      <c r="J5086" s="394"/>
      <c r="K5086" s="1233"/>
      <c r="L5086" s="431"/>
      <c r="M5086" s="431"/>
      <c r="N5086" s="431"/>
    </row>
    <row r="5087" spans="1:14" s="398" customFormat="1">
      <c r="A5087" s="1221"/>
      <c r="B5087" s="425" t="s">
        <v>872</v>
      </c>
      <c r="C5087" s="165" t="s">
        <v>1</v>
      </c>
      <c r="D5087" s="437">
        <v>-1</v>
      </c>
      <c r="E5087" s="437">
        <v>24</v>
      </c>
      <c r="F5087" s="1206">
        <v>0.83</v>
      </c>
      <c r="G5087" s="1206">
        <v>0.83</v>
      </c>
      <c r="H5087" s="1206"/>
      <c r="I5087" s="1187">
        <f t="shared" si="174"/>
        <v>-16.53</v>
      </c>
      <c r="J5087" s="394"/>
      <c r="K5087" s="1233"/>
      <c r="L5087" s="431"/>
      <c r="M5087" s="431"/>
      <c r="N5087" s="431"/>
    </row>
    <row r="5088" spans="1:14" s="398" customFormat="1">
      <c r="A5088" s="1221"/>
      <c r="B5088" s="425"/>
      <c r="C5088" s="165"/>
      <c r="D5088" s="437"/>
      <c r="E5088" s="392"/>
      <c r="F5088" s="1352"/>
      <c r="G5088" s="1352"/>
      <c r="H5088" s="1206"/>
      <c r="I5088" s="938" t="str">
        <f t="shared" ref="I5088:I5089" si="175">IF(D5088&lt;&gt;0,ROUND(PRODUCT(E5088:H5088)*D5088,2),"")</f>
        <v/>
      </c>
      <c r="J5088" s="394"/>
      <c r="K5088" s="1233"/>
      <c r="L5088" s="431"/>
      <c r="M5088" s="431"/>
      <c r="N5088" s="431"/>
    </row>
    <row r="5089" spans="1:14" s="398" customFormat="1">
      <c r="A5089" s="1248"/>
      <c r="B5089" s="819"/>
      <c r="C5089" s="388"/>
      <c r="D5089" s="392"/>
      <c r="E5089" s="392"/>
      <c r="F5089" s="1352"/>
      <c r="G5089" s="1352"/>
      <c r="H5089" s="1352"/>
      <c r="I5089" s="938" t="str">
        <f t="shared" si="175"/>
        <v/>
      </c>
      <c r="J5089" s="374"/>
      <c r="K5089" s="1297"/>
      <c r="L5089" s="431"/>
      <c r="M5089" s="431"/>
      <c r="N5089" s="431"/>
    </row>
    <row r="5090" spans="1:14" s="398" customFormat="1">
      <c r="A5090" s="1248"/>
      <c r="B5090" s="161" t="s">
        <v>928</v>
      </c>
      <c r="C5090" s="388" t="s">
        <v>1</v>
      </c>
      <c r="D5090" s="392"/>
      <c r="E5090" s="165"/>
      <c r="F5090" s="401"/>
      <c r="G5090" s="401"/>
      <c r="H5090" s="401"/>
      <c r="I5090" s="938" t="str">
        <f t="shared" ref="I5090:I5091" si="176">IF(D5090&lt;&gt;0,ROUND(PRODUCT(E5090:H5090)*D5090,2),"")</f>
        <v/>
      </c>
      <c r="J5090" s="403">
        <f>SUM(I5007:I5089)</f>
        <v>366.93000000000018</v>
      </c>
      <c r="K5090" s="1277" t="s">
        <v>1690</v>
      </c>
      <c r="L5090" s="431"/>
      <c r="M5090" s="431"/>
      <c r="N5090" s="431"/>
    </row>
    <row r="5091" spans="1:14">
      <c r="A5091" s="1248"/>
      <c r="B5091" s="311"/>
      <c r="C5091" s="165"/>
      <c r="D5091" s="392"/>
      <c r="E5091" s="165"/>
      <c r="F5091" s="401"/>
      <c r="G5091" s="401"/>
      <c r="H5091" s="401"/>
      <c r="I5091" s="938" t="str">
        <f t="shared" si="176"/>
        <v/>
      </c>
      <c r="J5091" s="432">
        <f>SUM(J5006:J5090)</f>
        <v>2326.5700000000006</v>
      </c>
      <c r="K5091" s="1289"/>
    </row>
    <row r="5092" spans="1:14" s="165" customFormat="1">
      <c r="A5092" s="1251"/>
      <c r="B5092" s="673" t="s">
        <v>1074</v>
      </c>
      <c r="C5092" s="417"/>
      <c r="D5092" s="446"/>
      <c r="E5092" s="446"/>
      <c r="F5092" s="1370"/>
      <c r="G5092" s="1370"/>
      <c r="H5092" s="1370"/>
      <c r="I5092" s="1175"/>
      <c r="J5092" s="418"/>
      <c r="K5092" s="1252"/>
      <c r="L5092" s="164"/>
      <c r="M5092" s="164"/>
      <c r="N5092" s="164"/>
    </row>
    <row r="5093" spans="1:14">
      <c r="A5093" s="1219">
        <v>1.2</v>
      </c>
      <c r="B5093" s="768" t="s">
        <v>1059</v>
      </c>
      <c r="C5093" s="422"/>
      <c r="D5093" s="436"/>
      <c r="E5093" s="436"/>
      <c r="F5093" s="1359"/>
      <c r="G5093" s="1359"/>
      <c r="H5093" s="1359"/>
      <c r="I5093" s="1172"/>
      <c r="J5093" s="423"/>
      <c r="K5093" s="1220"/>
    </row>
    <row r="5094" spans="1:14" s="398" customFormat="1" hidden="1" outlineLevel="1">
      <c r="A5094" s="1221"/>
      <c r="B5094" s="425"/>
      <c r="C5094" s="165"/>
      <c r="D5094" s="437"/>
      <c r="E5094" s="437"/>
      <c r="F5094" s="1206"/>
      <c r="G5094" s="1206"/>
      <c r="H5094" s="1206"/>
      <c r="I5094" s="938"/>
      <c r="J5094" s="394"/>
      <c r="K5094" s="1233"/>
      <c r="L5094" s="431"/>
      <c r="M5094" s="431"/>
      <c r="N5094" s="431"/>
    </row>
    <row r="5095" spans="1:14" s="398" customFormat="1" hidden="1" outlineLevel="1">
      <c r="A5095" s="1221"/>
      <c r="B5095" s="592" t="s">
        <v>1060</v>
      </c>
      <c r="C5095" s="165"/>
      <c r="D5095" s="437"/>
      <c r="E5095" s="437"/>
      <c r="F5095" s="1206"/>
      <c r="G5095" s="1206"/>
      <c r="H5095" s="1206"/>
      <c r="I5095" s="938"/>
      <c r="J5095" s="394"/>
      <c r="K5095" s="1233"/>
      <c r="L5095" s="431"/>
      <c r="M5095" s="431"/>
      <c r="N5095" s="431"/>
    </row>
    <row r="5096" spans="1:14" s="398" customFormat="1" hidden="1" outlineLevel="1">
      <c r="A5096" s="1221"/>
      <c r="B5096" s="425" t="s">
        <v>1061</v>
      </c>
      <c r="C5096" s="165" t="s">
        <v>1</v>
      </c>
      <c r="D5096" s="437">
        <v>1</v>
      </c>
      <c r="E5096" s="437">
        <v>8</v>
      </c>
      <c r="F5096" s="1206">
        <v>24.1</v>
      </c>
      <c r="G5096" s="1206">
        <v>1.35</v>
      </c>
      <c r="H5096" s="1206"/>
      <c r="I5096" s="1187">
        <f t="shared" ref="I5096:I5108" si="177">IF(D5096&lt;&gt;0,ROUND(PRODUCT(E5096:H5096)*D5096,2),"")</f>
        <v>260.27999999999997</v>
      </c>
      <c r="J5096" s="394"/>
      <c r="K5096" s="1233"/>
      <c r="L5096" s="431"/>
      <c r="M5096" s="431"/>
      <c r="N5096" s="431"/>
    </row>
    <row r="5097" spans="1:14" s="398" customFormat="1" hidden="1" outlineLevel="1">
      <c r="A5097" s="1221"/>
      <c r="B5097" s="425"/>
      <c r="C5097" s="165" t="s">
        <v>1</v>
      </c>
      <c r="D5097" s="437">
        <v>1</v>
      </c>
      <c r="E5097" s="437">
        <v>1</v>
      </c>
      <c r="F5097" s="1206">
        <v>40.094999999999999</v>
      </c>
      <c r="G5097" s="1206">
        <v>1.35</v>
      </c>
      <c r="H5097" s="1206"/>
      <c r="I5097" s="1187">
        <f t="shared" si="177"/>
        <v>54.13</v>
      </c>
      <c r="J5097" s="394"/>
      <c r="K5097" s="1233"/>
      <c r="L5097" s="431"/>
      <c r="M5097" s="431"/>
      <c r="N5097" s="431"/>
    </row>
    <row r="5098" spans="1:14" s="398" customFormat="1" hidden="1" outlineLevel="1">
      <c r="A5098" s="1221"/>
      <c r="B5098" s="425"/>
      <c r="C5098" s="165" t="s">
        <v>1</v>
      </c>
      <c r="D5098" s="437">
        <v>1</v>
      </c>
      <c r="E5098" s="437">
        <v>1</v>
      </c>
      <c r="F5098" s="1206">
        <v>47.844999999999999</v>
      </c>
      <c r="G5098" s="1206">
        <v>1.35</v>
      </c>
      <c r="H5098" s="1206"/>
      <c r="I5098" s="1187">
        <f t="shared" si="177"/>
        <v>64.59</v>
      </c>
      <c r="J5098" s="394"/>
      <c r="K5098" s="1233"/>
      <c r="L5098" s="431"/>
      <c r="M5098" s="431"/>
      <c r="N5098" s="431"/>
    </row>
    <row r="5099" spans="1:14" s="870" customFormat="1" hidden="1" outlineLevel="1" collapsed="1">
      <c r="A5099" s="1269"/>
      <c r="B5099" s="864" t="s">
        <v>1373</v>
      </c>
      <c r="C5099" s="866" t="s">
        <v>1</v>
      </c>
      <c r="D5099" s="864">
        <v>1</v>
      </c>
      <c r="E5099" s="864">
        <v>2</v>
      </c>
      <c r="F5099" s="1367">
        <v>47.847000000000001</v>
      </c>
      <c r="G5099" s="1366">
        <v>1.35</v>
      </c>
      <c r="H5099" s="1366"/>
      <c r="I5099" s="1187">
        <f t="shared" si="177"/>
        <v>129.19</v>
      </c>
      <c r="J5099" s="864"/>
      <c r="K5099" s="1298"/>
      <c r="L5099" s="869"/>
      <c r="M5099" s="869"/>
      <c r="N5099" s="869"/>
    </row>
    <row r="5100" spans="1:14" s="870" customFormat="1" hidden="1" outlineLevel="1">
      <c r="A5100" s="1269"/>
      <c r="B5100" s="864" t="s">
        <v>1374</v>
      </c>
      <c r="C5100" s="866"/>
      <c r="D5100" s="864"/>
      <c r="E5100" s="864"/>
      <c r="F5100" s="1366"/>
      <c r="G5100" s="1366"/>
      <c r="H5100" s="1366"/>
      <c r="I5100" s="1187" t="str">
        <f t="shared" si="177"/>
        <v/>
      </c>
      <c r="J5100" s="864"/>
      <c r="K5100" s="1298"/>
      <c r="L5100" s="869"/>
      <c r="M5100" s="869"/>
      <c r="N5100" s="869"/>
    </row>
    <row r="5101" spans="1:14" s="870" customFormat="1" hidden="1" outlineLevel="1">
      <c r="A5101" s="1269"/>
      <c r="B5101" s="864"/>
      <c r="C5101" s="866" t="s">
        <v>1</v>
      </c>
      <c r="D5101" s="864">
        <v>1</v>
      </c>
      <c r="E5101" s="864">
        <v>1</v>
      </c>
      <c r="F5101" s="1367">
        <v>15.265000000000001</v>
      </c>
      <c r="G5101" s="1366">
        <v>1.35</v>
      </c>
      <c r="H5101" s="1366"/>
      <c r="I5101" s="1187">
        <f t="shared" si="177"/>
        <v>20.61</v>
      </c>
      <c r="J5101" s="864"/>
      <c r="K5101" s="1298"/>
      <c r="L5101" s="869"/>
      <c r="M5101" s="869"/>
      <c r="N5101" s="869"/>
    </row>
    <row r="5102" spans="1:14" s="870" customFormat="1" hidden="1" outlineLevel="1">
      <c r="A5102" s="1269"/>
      <c r="B5102" s="864"/>
      <c r="C5102" s="866" t="s">
        <v>1</v>
      </c>
      <c r="D5102" s="864">
        <v>1</v>
      </c>
      <c r="E5102" s="864">
        <v>5</v>
      </c>
      <c r="F5102" s="1367">
        <v>15.265000000000001</v>
      </c>
      <c r="G5102" s="1366">
        <v>3</v>
      </c>
      <c r="H5102" s="1366"/>
      <c r="I5102" s="1187">
        <f t="shared" si="177"/>
        <v>228.98</v>
      </c>
      <c r="J5102" s="864"/>
      <c r="K5102" s="1298"/>
      <c r="L5102" s="869"/>
      <c r="M5102" s="869"/>
      <c r="N5102" s="869"/>
    </row>
    <row r="5103" spans="1:14" s="870" customFormat="1" hidden="1" outlineLevel="1">
      <c r="A5103" s="1269"/>
      <c r="B5103" s="864" t="s">
        <v>1375</v>
      </c>
      <c r="C5103" s="866" t="s">
        <v>1</v>
      </c>
      <c r="D5103" s="864">
        <v>-1</v>
      </c>
      <c r="E5103" s="864">
        <f>5*2</f>
        <v>10</v>
      </c>
      <c r="F5103" s="1366">
        <v>0.84</v>
      </c>
      <c r="G5103" s="1366">
        <v>0.84</v>
      </c>
      <c r="H5103" s="1366"/>
      <c r="I5103" s="1187">
        <f t="shared" si="177"/>
        <v>-7.06</v>
      </c>
      <c r="J5103" s="864"/>
      <c r="K5103" s="1298"/>
      <c r="L5103" s="869"/>
      <c r="M5103" s="869"/>
      <c r="N5103" s="869"/>
    </row>
    <row r="5104" spans="1:14" s="870" customFormat="1" hidden="1" outlineLevel="1">
      <c r="A5104" s="1269"/>
      <c r="B5104" s="864" t="s">
        <v>863</v>
      </c>
      <c r="C5104" s="866" t="s">
        <v>1</v>
      </c>
      <c r="D5104" s="864">
        <v>-1</v>
      </c>
      <c r="E5104" s="864">
        <f>8*5</f>
        <v>40</v>
      </c>
      <c r="F5104" s="1366">
        <v>0.34499999999999997</v>
      </c>
      <c r="G5104" s="1366">
        <v>0.34499999999999997</v>
      </c>
      <c r="H5104" s="1366"/>
      <c r="I5104" s="1187">
        <f t="shared" si="177"/>
        <v>-4.76</v>
      </c>
      <c r="J5104" s="864"/>
      <c r="K5104" s="1298"/>
      <c r="L5104" s="869"/>
      <c r="M5104" s="869"/>
      <c r="N5104" s="869"/>
    </row>
    <row r="5105" spans="1:14" s="870" customFormat="1" hidden="1" outlineLevel="1">
      <c r="A5105" s="1269"/>
      <c r="B5105" s="864" t="s">
        <v>1376</v>
      </c>
      <c r="C5105" s="866" t="s">
        <v>1</v>
      </c>
      <c r="D5105" s="864">
        <v>-1</v>
      </c>
      <c r="E5105" s="864">
        <v>5</v>
      </c>
      <c r="F5105" s="1367">
        <v>2.6320000000000001</v>
      </c>
      <c r="G5105" s="1366">
        <v>0.3</v>
      </c>
      <c r="H5105" s="1366"/>
      <c r="I5105" s="1187">
        <f t="shared" si="177"/>
        <v>-3.95</v>
      </c>
      <c r="J5105" s="864"/>
      <c r="K5105" s="1298"/>
      <c r="L5105" s="869"/>
      <c r="M5105" s="869"/>
      <c r="N5105" s="869"/>
    </row>
    <row r="5106" spans="1:14" s="870" customFormat="1" hidden="1" outlineLevel="1">
      <c r="A5106" s="1269"/>
      <c r="B5106" s="864"/>
      <c r="C5106" s="866" t="s">
        <v>1</v>
      </c>
      <c r="D5106" s="864">
        <v>-1</v>
      </c>
      <c r="E5106" s="864">
        <f>5*4</f>
        <v>20</v>
      </c>
      <c r="F5106" s="1366">
        <f>0.25+0.3</f>
        <v>0.55000000000000004</v>
      </c>
      <c r="G5106" s="1366">
        <v>0.3</v>
      </c>
      <c r="H5106" s="1366"/>
      <c r="I5106" s="1187">
        <f t="shared" si="177"/>
        <v>-3.3</v>
      </c>
      <c r="J5106" s="864"/>
      <c r="K5106" s="1298"/>
      <c r="L5106" s="869"/>
      <c r="M5106" s="869"/>
      <c r="N5106" s="869"/>
    </row>
    <row r="5107" spans="1:14" s="870" customFormat="1" hidden="1" outlineLevel="1">
      <c r="A5107" s="1269"/>
      <c r="B5107" s="864"/>
      <c r="C5107" s="866" t="s">
        <v>1</v>
      </c>
      <c r="D5107" s="864">
        <v>-1</v>
      </c>
      <c r="E5107" s="864">
        <v>5</v>
      </c>
      <c r="F5107" s="1366">
        <v>2</v>
      </c>
      <c r="G5107" s="1366">
        <v>0.3</v>
      </c>
      <c r="H5107" s="1366"/>
      <c r="I5107" s="1187">
        <f t="shared" si="177"/>
        <v>-3</v>
      </c>
      <c r="J5107" s="864"/>
      <c r="K5107" s="1298"/>
      <c r="L5107" s="869"/>
      <c r="M5107" s="869"/>
      <c r="N5107" s="869"/>
    </row>
    <row r="5108" spans="1:14" s="870" customFormat="1" hidden="1" outlineLevel="1">
      <c r="A5108" s="1269"/>
      <c r="B5108" s="864"/>
      <c r="C5108" s="866" t="s">
        <v>1</v>
      </c>
      <c r="D5108" s="864">
        <v>-1</v>
      </c>
      <c r="E5108" s="864">
        <v>5</v>
      </c>
      <c r="F5108" s="1366">
        <v>4.633</v>
      </c>
      <c r="G5108" s="1366">
        <v>0.3</v>
      </c>
      <c r="H5108" s="1366"/>
      <c r="I5108" s="1187">
        <f t="shared" si="177"/>
        <v>-6.95</v>
      </c>
      <c r="J5108" s="864"/>
      <c r="K5108" s="1298"/>
      <c r="L5108" s="869"/>
      <c r="M5108" s="869"/>
      <c r="N5108" s="869"/>
    </row>
    <row r="5109" spans="1:14" s="464" customFormat="1" collapsed="1">
      <c r="A5109" s="1264"/>
      <c r="B5109" s="669" t="s">
        <v>85</v>
      </c>
      <c r="C5109" s="465" t="s">
        <v>1</v>
      </c>
      <c r="D5109" s="444"/>
      <c r="E5109" s="345"/>
      <c r="F5109" s="1356"/>
      <c r="G5109" s="1356"/>
      <c r="H5109" s="1356"/>
      <c r="I5109" s="1170" t="str">
        <f t="shared" ref="I5109:I5112" si="178">IF(D5109&lt;&gt;0,ROUND(PRODUCT(E5109:H5109)*D5109,2),"")</f>
        <v/>
      </c>
      <c r="J5109" s="467">
        <f>SUM(I5093:I5109)</f>
        <v>728.76</v>
      </c>
      <c r="K5109" s="1258"/>
      <c r="L5109" s="463"/>
      <c r="M5109" s="463"/>
      <c r="N5109" s="463"/>
    </row>
    <row r="5110" spans="1:14" s="398" customFormat="1">
      <c r="A5110" s="1265"/>
      <c r="B5110" s="322"/>
      <c r="C5110" s="325" t="s">
        <v>1</v>
      </c>
      <c r="D5110" s="322"/>
      <c r="E5110" s="322"/>
      <c r="F5110" s="1369"/>
      <c r="G5110" s="1369"/>
      <c r="H5110" s="1369"/>
      <c r="I5110" s="1178" t="str">
        <f t="shared" si="178"/>
        <v/>
      </c>
      <c r="J5110" s="322"/>
      <c r="K5110" s="1299"/>
      <c r="L5110" s="431"/>
      <c r="M5110" s="431"/>
      <c r="N5110" s="431"/>
    </row>
    <row r="5111" spans="1:14" s="398" customFormat="1">
      <c r="A5111" s="1265"/>
      <c r="B5111" s="322"/>
      <c r="C5111" s="325" t="s">
        <v>1</v>
      </c>
      <c r="D5111" s="322"/>
      <c r="E5111" s="322"/>
      <c r="F5111" s="1369"/>
      <c r="G5111" s="1369"/>
      <c r="H5111" s="1369"/>
      <c r="I5111" s="1178" t="str">
        <f t="shared" si="178"/>
        <v/>
      </c>
      <c r="J5111" s="322"/>
      <c r="K5111" s="1299"/>
      <c r="L5111" s="431"/>
      <c r="M5111" s="431"/>
      <c r="N5111" s="431"/>
    </row>
    <row r="5112" spans="1:14" s="398" customFormat="1">
      <c r="A5112" s="1265"/>
      <c r="B5112" s="322"/>
      <c r="C5112" s="325" t="s">
        <v>1</v>
      </c>
      <c r="D5112" s="322"/>
      <c r="E5112" s="322"/>
      <c r="F5112" s="1369"/>
      <c r="G5112" s="1369"/>
      <c r="H5112" s="1369"/>
      <c r="I5112" s="1178" t="str">
        <f t="shared" si="178"/>
        <v/>
      </c>
      <c r="J5112" s="322"/>
      <c r="K5112" s="1299"/>
      <c r="L5112" s="431"/>
      <c r="M5112" s="431"/>
      <c r="N5112" s="431"/>
    </row>
    <row r="5113" spans="1:14" s="398" customFormat="1">
      <c r="A5113" s="1248"/>
      <c r="B5113" s="161" t="s">
        <v>928</v>
      </c>
      <c r="C5113" s="388" t="s">
        <v>1</v>
      </c>
      <c r="D5113" s="392"/>
      <c r="E5113" s="165"/>
      <c r="F5113" s="401"/>
      <c r="G5113" s="401"/>
      <c r="H5113" s="401"/>
      <c r="I5113" s="938" t="str">
        <f t="shared" ref="I5113:I5114" si="179">IF(D5113&lt;&gt;0,ROUND(PRODUCT(E5113:H5113)*D5113,2),"")</f>
        <v/>
      </c>
      <c r="J5113" s="403">
        <f>SUM(I5110:I5112)</f>
        <v>0</v>
      </c>
      <c r="K5113" s="1249" t="s">
        <v>1690</v>
      </c>
      <c r="L5113" s="431"/>
      <c r="M5113" s="431"/>
      <c r="N5113" s="431"/>
    </row>
    <row r="5114" spans="1:14">
      <c r="A5114" s="1248"/>
      <c r="B5114" s="311"/>
      <c r="C5114" s="165"/>
      <c r="D5114" s="392"/>
      <c r="E5114" s="165"/>
      <c r="F5114" s="401"/>
      <c r="G5114" s="401"/>
      <c r="H5114" s="401"/>
      <c r="I5114" s="938" t="str">
        <f t="shared" si="179"/>
        <v/>
      </c>
      <c r="J5114" s="432">
        <f>SUM(J5109:J5113)</f>
        <v>728.76</v>
      </c>
      <c r="K5114" s="1289"/>
    </row>
    <row r="5115" spans="1:14" s="165" customFormat="1">
      <c r="A5115" s="1251"/>
      <c r="B5115" s="673" t="s">
        <v>1075</v>
      </c>
      <c r="C5115" s="417"/>
      <c r="D5115" s="446"/>
      <c r="E5115" s="446"/>
      <c r="F5115" s="1370"/>
      <c r="G5115" s="1370"/>
      <c r="H5115" s="1370"/>
      <c r="I5115" s="1175"/>
      <c r="J5115" s="418"/>
      <c r="K5115" s="1252"/>
      <c r="L5115" s="164"/>
      <c r="M5115" s="164"/>
      <c r="N5115" s="164"/>
    </row>
    <row r="5116" spans="1:14">
      <c r="A5116" s="1219">
        <v>1.3</v>
      </c>
      <c r="B5116" s="768" t="s">
        <v>1063</v>
      </c>
      <c r="C5116" s="422"/>
      <c r="D5116" s="436"/>
      <c r="E5116" s="436"/>
      <c r="F5116" s="1359"/>
      <c r="G5116" s="1359"/>
      <c r="H5116" s="1359"/>
      <c r="I5116" s="1172"/>
      <c r="J5116" s="423"/>
      <c r="K5116" s="1220"/>
    </row>
    <row r="5117" spans="1:14" s="526" customFormat="1" ht="34.5" hidden="1" outlineLevel="1">
      <c r="A5117" s="1280"/>
      <c r="B5117" s="601" t="s">
        <v>1064</v>
      </c>
      <c r="C5117" s="304"/>
      <c r="D5117" s="295"/>
      <c r="E5117" s="295"/>
      <c r="F5117" s="1205"/>
      <c r="G5117" s="1205"/>
      <c r="H5117" s="1205"/>
      <c r="I5117" s="1179"/>
      <c r="J5117" s="295"/>
      <c r="K5117" s="1266"/>
    </row>
    <row r="5118" spans="1:14" s="526" customFormat="1" hidden="1" outlineLevel="1">
      <c r="A5118" s="1280"/>
      <c r="B5118" s="295"/>
      <c r="C5118" s="304"/>
      <c r="D5118" s="295"/>
      <c r="E5118" s="295"/>
      <c r="F5118" s="1205"/>
      <c r="G5118" s="1205"/>
      <c r="H5118" s="1205"/>
      <c r="I5118" s="1179"/>
      <c r="J5118" s="295"/>
      <c r="K5118" s="1300"/>
    </row>
    <row r="5119" spans="1:14" s="526" customFormat="1" hidden="1" outlineLevel="1">
      <c r="A5119" s="1280"/>
      <c r="B5119" s="295" t="s">
        <v>1023</v>
      </c>
      <c r="C5119" s="304" t="s">
        <v>1</v>
      </c>
      <c r="D5119" s="295">
        <v>1</v>
      </c>
      <c r="E5119" s="295">
        <f>33+10</f>
        <v>43</v>
      </c>
      <c r="F5119" s="1204">
        <v>5.9</v>
      </c>
      <c r="G5119" s="1205">
        <v>0.32500000000000001</v>
      </c>
      <c r="H5119" s="1205"/>
      <c r="I5119" s="1187">
        <f t="shared" ref="I5119:I5182" si="180">IF(D5119&lt;&gt;0,ROUND(PRODUCT(E5119:H5119)*D5119,2),"")</f>
        <v>82.45</v>
      </c>
      <c r="J5119" s="295"/>
      <c r="K5119" s="1266"/>
    </row>
    <row r="5120" spans="1:14" s="526" customFormat="1" hidden="1" outlineLevel="1">
      <c r="A5120" s="1280"/>
      <c r="B5120" s="295" t="s">
        <v>1024</v>
      </c>
      <c r="C5120" s="304" t="s">
        <v>1</v>
      </c>
      <c r="D5120" s="295">
        <v>1</v>
      </c>
      <c r="E5120" s="295">
        <v>44</v>
      </c>
      <c r="F5120" s="1204">
        <v>5.9</v>
      </c>
      <c r="G5120" s="1205"/>
      <c r="H5120" s="1205">
        <v>0.15</v>
      </c>
      <c r="I5120" s="1187">
        <f t="shared" si="180"/>
        <v>38.94</v>
      </c>
      <c r="J5120" s="295"/>
      <c r="K5120" s="1266"/>
    </row>
    <row r="5121" spans="1:14" s="526" customFormat="1" hidden="1" outlineLevel="1">
      <c r="A5121" s="1280"/>
      <c r="B5121" s="295" t="s">
        <v>1065</v>
      </c>
      <c r="C5121" s="304" t="s">
        <v>1</v>
      </c>
      <c r="D5121" s="295">
        <v>1</v>
      </c>
      <c r="E5121" s="295">
        <v>3</v>
      </c>
      <c r="F5121" s="1204">
        <v>5.9</v>
      </c>
      <c r="G5121" s="1369">
        <v>2.72</v>
      </c>
      <c r="H5121" s="1205"/>
      <c r="I5121" s="1187">
        <f t="shared" si="180"/>
        <v>48.14</v>
      </c>
      <c r="J5121" s="295"/>
      <c r="K5121" s="1266"/>
    </row>
    <row r="5122" spans="1:14" s="398" customFormat="1" hidden="1" outlineLevel="1">
      <c r="A5122" s="1223"/>
      <c r="B5122" s="606"/>
      <c r="C5122" s="333"/>
      <c r="D5122" s="438"/>
      <c r="E5122" s="438"/>
      <c r="F5122" s="1377">
        <f>SUM(I5119:I5121)*B5122</f>
        <v>0</v>
      </c>
      <c r="G5122" s="1377"/>
      <c r="H5122" s="1377"/>
      <c r="I5122" s="1187" t="str">
        <f t="shared" si="180"/>
        <v/>
      </c>
      <c r="J5122" s="427"/>
      <c r="K5122" s="1301"/>
      <c r="L5122" s="431"/>
      <c r="M5122" s="431"/>
      <c r="N5122" s="431"/>
    </row>
    <row r="5123" spans="1:14" s="891" customFormat="1" ht="51.75" hidden="1" outlineLevel="1" collapsed="1">
      <c r="A5123" s="1269"/>
      <c r="B5123" s="865" t="s">
        <v>1379</v>
      </c>
      <c r="C5123" s="866"/>
      <c r="D5123" s="864"/>
      <c r="E5123" s="864"/>
      <c r="F5123" s="1366"/>
      <c r="G5123" s="1366"/>
      <c r="H5123" s="1366"/>
      <c r="I5123" s="1187" t="str">
        <f t="shared" si="180"/>
        <v/>
      </c>
      <c r="J5123" s="864"/>
      <c r="K5123" s="1270"/>
    </row>
    <row r="5124" spans="1:14" s="891" customFormat="1" hidden="1" outlineLevel="1">
      <c r="A5124" s="1269"/>
      <c r="B5124" s="865" t="s">
        <v>1380</v>
      </c>
      <c r="C5124" s="866"/>
      <c r="D5124" s="864"/>
      <c r="E5124" s="864"/>
      <c r="F5124" s="1366"/>
      <c r="G5124" s="1366"/>
      <c r="H5124" s="1366"/>
      <c r="I5124" s="1187" t="str">
        <f t="shared" si="180"/>
        <v/>
      </c>
      <c r="J5124" s="864"/>
      <c r="K5124" s="1270"/>
    </row>
    <row r="5125" spans="1:14" s="891" customFormat="1" hidden="1" outlineLevel="1">
      <c r="A5125" s="1269"/>
      <c r="B5125" s="865" t="s">
        <v>1368</v>
      </c>
      <c r="C5125" s="866" t="s">
        <v>1</v>
      </c>
      <c r="D5125" s="864">
        <v>2</v>
      </c>
      <c r="E5125" s="864">
        <v>3</v>
      </c>
      <c r="F5125" s="1366">
        <v>3.8220000000000001</v>
      </c>
      <c r="G5125" s="1366"/>
      <c r="H5125" s="1366">
        <f>(0.08+0.8)/2</f>
        <v>0.44</v>
      </c>
      <c r="I5125" s="1187">
        <f t="shared" si="180"/>
        <v>10.09</v>
      </c>
      <c r="J5125" s="864"/>
      <c r="K5125" s="1270"/>
    </row>
    <row r="5126" spans="1:14" s="891" customFormat="1" hidden="1" outlineLevel="1">
      <c r="A5126" s="1269"/>
      <c r="B5126" s="865" t="s">
        <v>1369</v>
      </c>
      <c r="C5126" s="866" t="s">
        <v>1</v>
      </c>
      <c r="D5126" s="864">
        <v>2</v>
      </c>
      <c r="E5126" s="864">
        <v>1</v>
      </c>
      <c r="F5126" s="1366">
        <v>3.4710000000000001</v>
      </c>
      <c r="G5126" s="1366"/>
      <c r="H5126" s="1366">
        <f>(0.08+0.8)/2</f>
        <v>0.44</v>
      </c>
      <c r="I5126" s="1187">
        <f t="shared" si="180"/>
        <v>3.05</v>
      </c>
      <c r="J5126" s="864"/>
      <c r="K5126" s="1270"/>
    </row>
    <row r="5127" spans="1:14" s="891" customFormat="1" hidden="1" outlineLevel="1">
      <c r="A5127" s="1269"/>
      <c r="B5127" s="865" t="s">
        <v>1370</v>
      </c>
      <c r="C5127" s="866" t="s">
        <v>1</v>
      </c>
      <c r="D5127" s="864">
        <v>2</v>
      </c>
      <c r="E5127" s="864">
        <v>3</v>
      </c>
      <c r="F5127" s="1366">
        <v>2.794</v>
      </c>
      <c r="G5127" s="1366"/>
      <c r="H5127" s="1366">
        <f>(0.08+0.8)/2</f>
        <v>0.44</v>
      </c>
      <c r="I5127" s="1187">
        <f t="shared" si="180"/>
        <v>7.38</v>
      </c>
      <c r="J5127" s="864"/>
      <c r="K5127" s="1270"/>
    </row>
    <row r="5128" spans="1:14" s="891" customFormat="1" hidden="1" outlineLevel="1">
      <c r="A5128" s="1269"/>
      <c r="B5128" s="892"/>
      <c r="C5128" s="1408"/>
      <c r="D5128" s="893"/>
      <c r="E5128" s="893"/>
      <c r="F5128" s="1384"/>
      <c r="G5128" s="1366"/>
      <c r="H5128" s="1366"/>
      <c r="I5128" s="1187" t="str">
        <f t="shared" si="180"/>
        <v/>
      </c>
      <c r="J5128" s="864"/>
      <c r="K5128" s="1270"/>
    </row>
    <row r="5129" spans="1:14" s="891" customFormat="1" ht="34.5" hidden="1" outlineLevel="1">
      <c r="A5129" s="1269"/>
      <c r="B5129" s="865" t="s">
        <v>1401</v>
      </c>
      <c r="C5129" s="866" t="s">
        <v>1</v>
      </c>
      <c r="D5129" s="864">
        <v>1</v>
      </c>
      <c r="E5129" s="864">
        <v>1</v>
      </c>
      <c r="F5129" s="1367">
        <v>22.08</v>
      </c>
      <c r="G5129" s="1366"/>
      <c r="H5129" s="1366">
        <f>0.7-0.2</f>
        <v>0.49999999999999994</v>
      </c>
      <c r="I5129" s="1187">
        <f t="shared" si="180"/>
        <v>11.04</v>
      </c>
      <c r="J5129" s="864"/>
      <c r="K5129" s="1270"/>
    </row>
    <row r="5130" spans="1:14" s="891" customFormat="1" hidden="1" outlineLevel="1">
      <c r="A5130" s="1269"/>
      <c r="B5130" s="865"/>
      <c r="C5130" s="866" t="s">
        <v>1</v>
      </c>
      <c r="D5130" s="864">
        <v>1</v>
      </c>
      <c r="E5130" s="864">
        <v>2</v>
      </c>
      <c r="F5130" s="1367">
        <v>2.7</v>
      </c>
      <c r="G5130" s="1366"/>
      <c r="H5130" s="1366">
        <f>0.7-0.2</f>
        <v>0.49999999999999994</v>
      </c>
      <c r="I5130" s="1187">
        <f t="shared" si="180"/>
        <v>2.7</v>
      </c>
      <c r="J5130" s="864"/>
      <c r="K5130" s="1270"/>
    </row>
    <row r="5131" spans="1:14" s="891" customFormat="1" hidden="1" outlineLevel="1">
      <c r="A5131" s="1269"/>
      <c r="B5131" s="865" t="s">
        <v>1402</v>
      </c>
      <c r="C5131" s="866" t="s">
        <v>1</v>
      </c>
      <c r="D5131" s="864">
        <v>1</v>
      </c>
      <c r="E5131" s="864">
        <v>2</v>
      </c>
      <c r="F5131" s="1366">
        <v>8</v>
      </c>
      <c r="G5131" s="1366"/>
      <c r="H5131" s="1366">
        <f>0.7-0.2</f>
        <v>0.49999999999999994</v>
      </c>
      <c r="I5131" s="1187">
        <f t="shared" si="180"/>
        <v>8</v>
      </c>
      <c r="J5131" s="864"/>
      <c r="K5131" s="1270"/>
    </row>
    <row r="5132" spans="1:14" s="891" customFormat="1" ht="34.5" hidden="1" outlineLevel="1">
      <c r="A5132" s="1269"/>
      <c r="B5132" s="865" t="s">
        <v>1403</v>
      </c>
      <c r="C5132" s="866" t="s">
        <v>1</v>
      </c>
      <c r="D5132" s="864">
        <v>3</v>
      </c>
      <c r="E5132" s="864">
        <v>2</v>
      </c>
      <c r="F5132" s="1367">
        <v>5</v>
      </c>
      <c r="G5132" s="1366"/>
      <c r="H5132" s="1366">
        <f>0.85-0.2</f>
        <v>0.64999999999999991</v>
      </c>
      <c r="I5132" s="1187">
        <f t="shared" si="180"/>
        <v>19.5</v>
      </c>
      <c r="J5132" s="864"/>
      <c r="K5132" s="1270"/>
    </row>
    <row r="5133" spans="1:14" s="891" customFormat="1" hidden="1" outlineLevel="1">
      <c r="A5133" s="1269"/>
      <c r="B5133" s="865"/>
      <c r="C5133" s="866" t="s">
        <v>1</v>
      </c>
      <c r="D5133" s="864">
        <v>3</v>
      </c>
      <c r="E5133" s="864">
        <v>1</v>
      </c>
      <c r="F5133" s="1367">
        <v>2</v>
      </c>
      <c r="G5133" s="1366"/>
      <c r="H5133" s="1366">
        <f>0.85-0.2</f>
        <v>0.64999999999999991</v>
      </c>
      <c r="I5133" s="1187">
        <f t="shared" si="180"/>
        <v>3.9</v>
      </c>
      <c r="J5133" s="864"/>
      <c r="K5133" s="1270"/>
    </row>
    <row r="5134" spans="1:14" s="891" customFormat="1" ht="34.5" hidden="1" outlineLevel="1">
      <c r="A5134" s="1269"/>
      <c r="B5134" s="865" t="s">
        <v>1404</v>
      </c>
      <c r="C5134" s="866" t="s">
        <v>1</v>
      </c>
      <c r="D5134" s="864">
        <v>2</v>
      </c>
      <c r="E5134" s="864">
        <v>2</v>
      </c>
      <c r="F5134" s="1367">
        <v>5</v>
      </c>
      <c r="G5134" s="1366"/>
      <c r="H5134" s="1366">
        <f>0.85-0.2</f>
        <v>0.64999999999999991</v>
      </c>
      <c r="I5134" s="1187">
        <f t="shared" si="180"/>
        <v>13</v>
      </c>
      <c r="J5134" s="864"/>
      <c r="K5134" s="1270"/>
    </row>
    <row r="5135" spans="1:14" s="891" customFormat="1" hidden="1" outlineLevel="1">
      <c r="A5135" s="1269"/>
      <c r="B5135" s="865"/>
      <c r="C5135" s="866" t="s">
        <v>1</v>
      </c>
      <c r="D5135" s="864">
        <v>2</v>
      </c>
      <c r="E5135" s="864">
        <v>2</v>
      </c>
      <c r="F5135" s="1367">
        <v>2</v>
      </c>
      <c r="G5135" s="1366"/>
      <c r="H5135" s="1366">
        <f>0.85-0.2</f>
        <v>0.64999999999999991</v>
      </c>
      <c r="I5135" s="1187">
        <f t="shared" si="180"/>
        <v>5.2</v>
      </c>
      <c r="J5135" s="864"/>
      <c r="K5135" s="1270"/>
    </row>
    <row r="5136" spans="1:14" s="891" customFormat="1" ht="34.5" hidden="1" outlineLevel="1">
      <c r="A5136" s="1269"/>
      <c r="B5136" s="865" t="s">
        <v>1405</v>
      </c>
      <c r="C5136" s="866" t="s">
        <v>1</v>
      </c>
      <c r="D5136" s="864">
        <v>4</v>
      </c>
      <c r="E5136" s="864">
        <v>2</v>
      </c>
      <c r="F5136" s="1366">
        <f>3</f>
        <v>3</v>
      </c>
      <c r="G5136" s="1366"/>
      <c r="H5136" s="1366">
        <f>0.7-0.2</f>
        <v>0.49999999999999994</v>
      </c>
      <c r="I5136" s="1187">
        <f t="shared" si="180"/>
        <v>12</v>
      </c>
      <c r="J5136" s="864"/>
      <c r="K5136" s="1270"/>
    </row>
    <row r="5137" spans="1:11" s="891" customFormat="1" hidden="1" outlineLevel="1">
      <c r="A5137" s="1269"/>
      <c r="B5137" s="865" t="s">
        <v>1406</v>
      </c>
      <c r="C5137" s="866" t="s">
        <v>1</v>
      </c>
      <c r="D5137" s="864">
        <v>5</v>
      </c>
      <c r="E5137" s="864">
        <v>2</v>
      </c>
      <c r="F5137" s="1367">
        <v>2</v>
      </c>
      <c r="G5137" s="1366"/>
      <c r="H5137" s="1366">
        <f>0.85-0.2</f>
        <v>0.64999999999999991</v>
      </c>
      <c r="I5137" s="1187">
        <f t="shared" si="180"/>
        <v>13</v>
      </c>
      <c r="J5137" s="864"/>
      <c r="K5137" s="1270"/>
    </row>
    <row r="5138" spans="1:11" s="891" customFormat="1" hidden="1" outlineLevel="1">
      <c r="A5138" s="1269"/>
      <c r="B5138" s="865"/>
      <c r="C5138" s="866" t="s">
        <v>1</v>
      </c>
      <c r="D5138" s="864">
        <v>2</v>
      </c>
      <c r="E5138" s="864">
        <v>1</v>
      </c>
      <c r="F5138" s="1367">
        <v>5</v>
      </c>
      <c r="G5138" s="1366"/>
      <c r="H5138" s="1366">
        <f>0.85-0.2</f>
        <v>0.64999999999999991</v>
      </c>
      <c r="I5138" s="1187">
        <f t="shared" si="180"/>
        <v>6.5</v>
      </c>
      <c r="J5138" s="864"/>
      <c r="K5138" s="1270"/>
    </row>
    <row r="5139" spans="1:11" s="891" customFormat="1" hidden="1" outlineLevel="1">
      <c r="A5139" s="1269"/>
      <c r="B5139" s="865"/>
      <c r="C5139" s="866" t="s">
        <v>1</v>
      </c>
      <c r="D5139" s="864">
        <v>8</v>
      </c>
      <c r="E5139" s="864">
        <v>1</v>
      </c>
      <c r="F5139" s="1367">
        <v>2</v>
      </c>
      <c r="G5139" s="1366"/>
      <c r="H5139" s="1366">
        <f>0.85-0.2</f>
        <v>0.64999999999999991</v>
      </c>
      <c r="I5139" s="1187">
        <f t="shared" si="180"/>
        <v>10.4</v>
      </c>
      <c r="J5139" s="864"/>
      <c r="K5139" s="1270"/>
    </row>
    <row r="5140" spans="1:11" s="891" customFormat="1" hidden="1" outlineLevel="1">
      <c r="A5140" s="1269"/>
      <c r="B5140" s="865" t="s">
        <v>1407</v>
      </c>
      <c r="C5140" s="866"/>
      <c r="D5140" s="864"/>
      <c r="E5140" s="864"/>
      <c r="F5140" s="1366"/>
      <c r="G5140" s="1366"/>
      <c r="H5140" s="1366"/>
      <c r="I5140" s="1187" t="str">
        <f t="shared" si="180"/>
        <v/>
      </c>
      <c r="J5140" s="864"/>
      <c r="K5140" s="1270"/>
    </row>
    <row r="5141" spans="1:11" s="891" customFormat="1" ht="34.5" hidden="1" outlineLevel="1">
      <c r="A5141" s="1269"/>
      <c r="B5141" s="865" t="s">
        <v>1408</v>
      </c>
      <c r="C5141" s="866" t="s">
        <v>1</v>
      </c>
      <c r="D5141" s="864">
        <v>1</v>
      </c>
      <c r="E5141" s="864">
        <v>2</v>
      </c>
      <c r="F5141" s="1367">
        <v>21.4</v>
      </c>
      <c r="G5141" s="1366"/>
      <c r="H5141" s="1366">
        <f t="shared" ref="H5141:H5148" si="181">0.15-0.04</f>
        <v>0.10999999999999999</v>
      </c>
      <c r="I5141" s="1187">
        <f t="shared" si="180"/>
        <v>4.71</v>
      </c>
      <c r="J5141" s="864"/>
      <c r="K5141" s="1270"/>
    </row>
    <row r="5142" spans="1:11" s="891" customFormat="1" hidden="1" outlineLevel="1">
      <c r="A5142" s="1269"/>
      <c r="B5142" s="865"/>
      <c r="C5142" s="866" t="s">
        <v>1</v>
      </c>
      <c r="D5142" s="864">
        <v>1</v>
      </c>
      <c r="E5142" s="864">
        <v>2</v>
      </c>
      <c r="F5142" s="1366">
        <f>2.7-0.23*2</f>
        <v>2.2400000000000002</v>
      </c>
      <c r="G5142" s="1366"/>
      <c r="H5142" s="1366">
        <f t="shared" si="181"/>
        <v>0.10999999999999999</v>
      </c>
      <c r="I5142" s="1187">
        <f t="shared" si="180"/>
        <v>0.49</v>
      </c>
      <c r="J5142" s="864"/>
      <c r="K5142" s="1270"/>
    </row>
    <row r="5143" spans="1:11" s="891" customFormat="1" hidden="1" outlineLevel="1">
      <c r="A5143" s="1269"/>
      <c r="B5143" s="865" t="s">
        <v>1409</v>
      </c>
      <c r="C5143" s="866" t="s">
        <v>1</v>
      </c>
      <c r="D5143" s="864">
        <v>5</v>
      </c>
      <c r="E5143" s="864">
        <v>2</v>
      </c>
      <c r="F5143" s="1367">
        <v>4.4000000000000004</v>
      </c>
      <c r="G5143" s="1366"/>
      <c r="H5143" s="1366">
        <f t="shared" si="181"/>
        <v>0.10999999999999999</v>
      </c>
      <c r="I5143" s="1187">
        <f t="shared" si="180"/>
        <v>4.84</v>
      </c>
      <c r="J5143" s="864"/>
      <c r="K5143" s="1270"/>
    </row>
    <row r="5144" spans="1:11" s="891" customFormat="1" hidden="1" outlineLevel="1">
      <c r="A5144" s="1269"/>
      <c r="B5144" s="865"/>
      <c r="C5144" s="866" t="s">
        <v>1</v>
      </c>
      <c r="D5144" s="864">
        <v>5</v>
      </c>
      <c r="E5144" s="864">
        <v>2</v>
      </c>
      <c r="F5144" s="1367">
        <v>1.4</v>
      </c>
      <c r="G5144" s="1366"/>
      <c r="H5144" s="1366">
        <f t="shared" si="181"/>
        <v>0.10999999999999999</v>
      </c>
      <c r="I5144" s="1187">
        <f t="shared" si="180"/>
        <v>1.54</v>
      </c>
      <c r="J5144" s="864"/>
      <c r="K5144" s="1270"/>
    </row>
    <row r="5145" spans="1:11" s="891" customFormat="1" ht="34.5" hidden="1" outlineLevel="1">
      <c r="A5145" s="1269"/>
      <c r="B5145" s="865" t="s">
        <v>1410</v>
      </c>
      <c r="C5145" s="866" t="s">
        <v>1</v>
      </c>
      <c r="D5145" s="864">
        <v>4</v>
      </c>
      <c r="E5145" s="864">
        <v>2</v>
      </c>
      <c r="F5145" s="1366">
        <v>3</v>
      </c>
      <c r="G5145" s="1366"/>
      <c r="H5145" s="1366">
        <f t="shared" si="181"/>
        <v>0.10999999999999999</v>
      </c>
      <c r="I5145" s="1187">
        <f t="shared" si="180"/>
        <v>2.64</v>
      </c>
      <c r="J5145" s="864"/>
      <c r="K5145" s="1270"/>
    </row>
    <row r="5146" spans="1:11" s="891" customFormat="1" hidden="1" outlineLevel="1">
      <c r="A5146" s="1269"/>
      <c r="B5146" s="865"/>
      <c r="C5146" s="866" t="s">
        <v>1</v>
      </c>
      <c r="D5146" s="864">
        <v>4</v>
      </c>
      <c r="E5146" s="864">
        <v>2</v>
      </c>
      <c r="F5146" s="1366">
        <v>2.4</v>
      </c>
      <c r="G5146" s="1366"/>
      <c r="H5146" s="1366">
        <f t="shared" si="181"/>
        <v>0.10999999999999999</v>
      </c>
      <c r="I5146" s="1187">
        <f t="shared" si="180"/>
        <v>2.11</v>
      </c>
      <c r="J5146" s="864"/>
      <c r="K5146" s="1270"/>
    </row>
    <row r="5147" spans="1:11" s="891" customFormat="1" hidden="1" outlineLevel="1">
      <c r="A5147" s="1269"/>
      <c r="B5147" s="865" t="s">
        <v>1409</v>
      </c>
      <c r="C5147" s="866" t="s">
        <v>1</v>
      </c>
      <c r="D5147" s="864">
        <v>5</v>
      </c>
      <c r="E5147" s="864">
        <v>2</v>
      </c>
      <c r="F5147" s="1367">
        <v>4.4000000000000004</v>
      </c>
      <c r="G5147" s="1366"/>
      <c r="H5147" s="1366">
        <f t="shared" si="181"/>
        <v>0.10999999999999999</v>
      </c>
      <c r="I5147" s="1187">
        <f t="shared" si="180"/>
        <v>4.84</v>
      </c>
      <c r="J5147" s="864"/>
      <c r="K5147" s="1270"/>
    </row>
    <row r="5148" spans="1:11" s="891" customFormat="1" hidden="1" outlineLevel="1">
      <c r="A5148" s="1269"/>
      <c r="B5148" s="865"/>
      <c r="C5148" s="866" t="s">
        <v>1</v>
      </c>
      <c r="D5148" s="864">
        <v>5</v>
      </c>
      <c r="E5148" s="864">
        <v>2</v>
      </c>
      <c r="F5148" s="1367">
        <v>1.4</v>
      </c>
      <c r="G5148" s="1366"/>
      <c r="H5148" s="1366">
        <f t="shared" si="181"/>
        <v>0.10999999999999999</v>
      </c>
      <c r="I5148" s="1187">
        <f t="shared" si="180"/>
        <v>1.54</v>
      </c>
      <c r="J5148" s="864"/>
      <c r="K5148" s="1270"/>
    </row>
    <row r="5149" spans="1:11" s="891" customFormat="1" ht="34.5" hidden="1" outlineLevel="1">
      <c r="A5149" s="1269"/>
      <c r="B5149" s="865" t="s">
        <v>1411</v>
      </c>
      <c r="C5149" s="866"/>
      <c r="D5149" s="864"/>
      <c r="E5149" s="864"/>
      <c r="F5149" s="1366"/>
      <c r="G5149" s="1366"/>
      <c r="H5149" s="1366"/>
      <c r="I5149" s="1187" t="str">
        <f t="shared" si="180"/>
        <v/>
      </c>
      <c r="J5149" s="864"/>
      <c r="K5149" s="1270"/>
    </row>
    <row r="5150" spans="1:11" s="891" customFormat="1" hidden="1" outlineLevel="1">
      <c r="A5150" s="1269"/>
      <c r="B5150" s="865" t="s">
        <v>1412</v>
      </c>
      <c r="C5150" s="866" t="s">
        <v>1</v>
      </c>
      <c r="D5150" s="864">
        <v>24</v>
      </c>
      <c r="E5150" s="864">
        <v>4</v>
      </c>
      <c r="F5150" s="1366">
        <v>0.89</v>
      </c>
      <c r="G5150" s="1366"/>
      <c r="H5150" s="1366">
        <v>0.1</v>
      </c>
      <c r="I5150" s="1187">
        <f t="shared" si="180"/>
        <v>8.5399999999999991</v>
      </c>
      <c r="J5150" s="864"/>
      <c r="K5150" s="1270"/>
    </row>
    <row r="5151" spans="1:11" s="891" customFormat="1" hidden="1" outlineLevel="1">
      <c r="A5151" s="1269"/>
      <c r="B5151" s="865"/>
      <c r="C5151" s="866" t="s">
        <v>1</v>
      </c>
      <c r="D5151" s="864">
        <v>24</v>
      </c>
      <c r="E5151" s="864">
        <v>4</v>
      </c>
      <c r="F5151" s="1367">
        <v>0.99</v>
      </c>
      <c r="G5151" s="1366"/>
      <c r="H5151" s="1366">
        <f>0.375-0.04</f>
        <v>0.33500000000000002</v>
      </c>
      <c r="I5151" s="1187">
        <f t="shared" si="180"/>
        <v>31.84</v>
      </c>
      <c r="J5151" s="864"/>
      <c r="K5151" s="1270"/>
    </row>
    <row r="5152" spans="1:11" s="891" customFormat="1" hidden="1" outlineLevel="1">
      <c r="A5152" s="1269"/>
      <c r="B5152" s="865" t="s">
        <v>1413</v>
      </c>
      <c r="C5152" s="866"/>
      <c r="D5152" s="864"/>
      <c r="E5152" s="864"/>
      <c r="F5152" s="1366"/>
      <c r="G5152" s="1366"/>
      <c r="H5152" s="1366"/>
      <c r="I5152" s="1187" t="str">
        <f t="shared" si="180"/>
        <v/>
      </c>
      <c r="J5152" s="864"/>
      <c r="K5152" s="1270"/>
    </row>
    <row r="5153" spans="1:11" s="891" customFormat="1" ht="34.5" hidden="1" outlineLevel="1">
      <c r="A5153" s="1269"/>
      <c r="B5153" s="865" t="s">
        <v>1414</v>
      </c>
      <c r="C5153" s="866" t="s">
        <v>1</v>
      </c>
      <c r="D5153" s="864">
        <v>1</v>
      </c>
      <c r="E5153" s="864">
        <v>1</v>
      </c>
      <c r="F5153" s="1367">
        <v>29.035</v>
      </c>
      <c r="G5153" s="1366"/>
      <c r="H5153" s="1366">
        <f>0.7-0.2</f>
        <v>0.49999999999999994</v>
      </c>
      <c r="I5153" s="1187">
        <f t="shared" si="180"/>
        <v>14.52</v>
      </c>
      <c r="J5153" s="864"/>
      <c r="K5153" s="1270"/>
    </row>
    <row r="5154" spans="1:11" s="891" customFormat="1" hidden="1" outlineLevel="1">
      <c r="A5154" s="1269"/>
      <c r="B5154" s="865"/>
      <c r="C5154" s="866" t="s">
        <v>1</v>
      </c>
      <c r="D5154" s="864">
        <v>1</v>
      </c>
      <c r="E5154" s="864">
        <v>3</v>
      </c>
      <c r="F5154" s="1367">
        <v>3</v>
      </c>
      <c r="G5154" s="1366"/>
      <c r="H5154" s="1366">
        <f>0.7-0.2</f>
        <v>0.49999999999999994</v>
      </c>
      <c r="I5154" s="1187">
        <f t="shared" si="180"/>
        <v>4.5</v>
      </c>
      <c r="J5154" s="864"/>
      <c r="K5154" s="1270"/>
    </row>
    <row r="5155" spans="1:11" s="891" customFormat="1" hidden="1" outlineLevel="1">
      <c r="A5155" s="1269"/>
      <c r="B5155" s="865"/>
      <c r="C5155" s="866" t="s">
        <v>1</v>
      </c>
      <c r="D5155" s="864">
        <v>1</v>
      </c>
      <c r="E5155" s="864">
        <v>4</v>
      </c>
      <c r="F5155" s="1366">
        <v>3</v>
      </c>
      <c r="G5155" s="1366"/>
      <c r="H5155" s="1366">
        <f>0.7-0.2</f>
        <v>0.49999999999999994</v>
      </c>
      <c r="I5155" s="1187">
        <f t="shared" si="180"/>
        <v>6</v>
      </c>
      <c r="J5155" s="864"/>
      <c r="K5155" s="1270"/>
    </row>
    <row r="5156" spans="1:11" s="891" customFormat="1" hidden="1" outlineLevel="1">
      <c r="A5156" s="1269"/>
      <c r="B5156" s="865"/>
      <c r="C5156" s="866" t="s">
        <v>1</v>
      </c>
      <c r="D5156" s="864">
        <v>1</v>
      </c>
      <c r="E5156" s="864">
        <v>1</v>
      </c>
      <c r="F5156" s="1367">
        <v>4.0350000000000001</v>
      </c>
      <c r="G5156" s="1366"/>
      <c r="H5156" s="1366">
        <f>0.7-0.2</f>
        <v>0.49999999999999994</v>
      </c>
      <c r="I5156" s="1187">
        <f t="shared" si="180"/>
        <v>2.02</v>
      </c>
      <c r="J5156" s="864"/>
      <c r="K5156" s="1270"/>
    </row>
    <row r="5157" spans="1:11" s="891" customFormat="1" hidden="1" outlineLevel="1">
      <c r="A5157" s="1269"/>
      <c r="B5157" s="865" t="s">
        <v>1415</v>
      </c>
      <c r="C5157" s="866"/>
      <c r="D5157" s="864"/>
      <c r="E5157" s="864"/>
      <c r="F5157" s="1366"/>
      <c r="G5157" s="1366"/>
      <c r="H5157" s="1366"/>
      <c r="I5157" s="1187" t="str">
        <f t="shared" si="180"/>
        <v/>
      </c>
      <c r="J5157" s="864"/>
      <c r="K5157" s="1270"/>
    </row>
    <row r="5158" spans="1:11" s="891" customFormat="1" hidden="1" outlineLevel="1">
      <c r="A5158" s="1269"/>
      <c r="B5158" s="865" t="s">
        <v>1416</v>
      </c>
      <c r="C5158" s="866" t="s">
        <v>1</v>
      </c>
      <c r="D5158" s="864">
        <v>5</v>
      </c>
      <c r="E5158" s="864">
        <v>2</v>
      </c>
      <c r="F5158" s="1367">
        <v>2.633</v>
      </c>
      <c r="G5158" s="1366"/>
      <c r="H5158" s="1366">
        <f>0.85-0.2</f>
        <v>0.64999999999999991</v>
      </c>
      <c r="I5158" s="1187">
        <f t="shared" si="180"/>
        <v>17.11</v>
      </c>
      <c r="J5158" s="864"/>
      <c r="K5158" s="1270"/>
    </row>
    <row r="5159" spans="1:11" s="891" customFormat="1" hidden="1" outlineLevel="1">
      <c r="A5159" s="1269"/>
      <c r="B5159" s="865" t="s">
        <v>1402</v>
      </c>
      <c r="C5159" s="866" t="s">
        <v>1</v>
      </c>
      <c r="D5159" s="864">
        <v>5</v>
      </c>
      <c r="E5159" s="864">
        <v>1</v>
      </c>
      <c r="F5159" s="1367">
        <v>2</v>
      </c>
      <c r="G5159" s="1366"/>
      <c r="H5159" s="1366">
        <f>0.85-0.2</f>
        <v>0.64999999999999991</v>
      </c>
      <c r="I5159" s="1187">
        <f t="shared" si="180"/>
        <v>6.5</v>
      </c>
      <c r="J5159" s="864"/>
      <c r="K5159" s="1270"/>
    </row>
    <row r="5160" spans="1:11" s="891" customFormat="1" hidden="1" outlineLevel="1">
      <c r="A5160" s="1269"/>
      <c r="B5160" s="865" t="s">
        <v>1417</v>
      </c>
      <c r="C5160" s="866" t="s">
        <v>1</v>
      </c>
      <c r="D5160" s="864">
        <v>1</v>
      </c>
      <c r="E5160" s="864">
        <v>2</v>
      </c>
      <c r="F5160" s="1367">
        <v>2.6850000000000001</v>
      </c>
      <c r="G5160" s="1366"/>
      <c r="H5160" s="1366">
        <f t="shared" ref="H5160:H5167" si="182">0.7-0.2</f>
        <v>0.49999999999999994</v>
      </c>
      <c r="I5160" s="1187">
        <f t="shared" si="180"/>
        <v>2.69</v>
      </c>
      <c r="J5160" s="864"/>
      <c r="K5160" s="1270"/>
    </row>
    <row r="5161" spans="1:11" s="891" customFormat="1" hidden="1" outlineLevel="1">
      <c r="A5161" s="1269"/>
      <c r="B5161" s="865"/>
      <c r="C5161" s="866" t="s">
        <v>1</v>
      </c>
      <c r="D5161" s="864">
        <v>1</v>
      </c>
      <c r="E5161" s="864">
        <v>2</v>
      </c>
      <c r="F5161" s="1367">
        <v>2.2999999999999998</v>
      </c>
      <c r="G5161" s="1366"/>
      <c r="H5161" s="1366">
        <f t="shared" si="182"/>
        <v>0.49999999999999994</v>
      </c>
      <c r="I5161" s="1187">
        <f t="shared" si="180"/>
        <v>2.2999999999999998</v>
      </c>
      <c r="J5161" s="864"/>
      <c r="K5161" s="1270"/>
    </row>
    <row r="5162" spans="1:11" s="891" customFormat="1" hidden="1" outlineLevel="1">
      <c r="A5162" s="1269"/>
      <c r="B5162" s="865" t="s">
        <v>1418</v>
      </c>
      <c r="C5162" s="866" t="s">
        <v>1</v>
      </c>
      <c r="D5162" s="864">
        <v>1</v>
      </c>
      <c r="E5162" s="864">
        <v>2</v>
      </c>
      <c r="F5162" s="1367">
        <v>2.6850000000000001</v>
      </c>
      <c r="G5162" s="1366"/>
      <c r="H5162" s="1366">
        <f t="shared" si="182"/>
        <v>0.49999999999999994</v>
      </c>
      <c r="I5162" s="1187">
        <f t="shared" si="180"/>
        <v>2.69</v>
      </c>
      <c r="J5162" s="864"/>
      <c r="K5162" s="1270"/>
    </row>
    <row r="5163" spans="1:11" s="891" customFormat="1" hidden="1" outlineLevel="1">
      <c r="A5163" s="1269"/>
      <c r="B5163" s="865"/>
      <c r="C5163" s="866" t="s">
        <v>1</v>
      </c>
      <c r="D5163" s="864">
        <v>1</v>
      </c>
      <c r="E5163" s="864">
        <v>2</v>
      </c>
      <c r="F5163" s="1367">
        <v>2.2000000000000002</v>
      </c>
      <c r="G5163" s="1366"/>
      <c r="H5163" s="1366">
        <f t="shared" si="182"/>
        <v>0.49999999999999994</v>
      </c>
      <c r="I5163" s="1187">
        <f t="shared" si="180"/>
        <v>2.2000000000000002</v>
      </c>
      <c r="J5163" s="864"/>
      <c r="K5163" s="1270"/>
    </row>
    <row r="5164" spans="1:11" s="891" customFormat="1" hidden="1" outlineLevel="1">
      <c r="A5164" s="1269"/>
      <c r="B5164" s="865" t="s">
        <v>1419</v>
      </c>
      <c r="C5164" s="866" t="s">
        <v>1</v>
      </c>
      <c r="D5164" s="864">
        <v>1</v>
      </c>
      <c r="E5164" s="864">
        <v>2</v>
      </c>
      <c r="F5164" s="1367">
        <v>2.6850000000000001</v>
      </c>
      <c r="G5164" s="1366"/>
      <c r="H5164" s="1366">
        <f t="shared" si="182"/>
        <v>0.49999999999999994</v>
      </c>
      <c r="I5164" s="1187">
        <f t="shared" si="180"/>
        <v>2.69</v>
      </c>
      <c r="J5164" s="864"/>
      <c r="K5164" s="1270"/>
    </row>
    <row r="5165" spans="1:11" s="891" customFormat="1" hidden="1" outlineLevel="1">
      <c r="A5165" s="1269"/>
      <c r="B5165" s="865"/>
      <c r="C5165" s="866" t="s">
        <v>1</v>
      </c>
      <c r="D5165" s="864">
        <v>1</v>
      </c>
      <c r="E5165" s="864">
        <v>2</v>
      </c>
      <c r="F5165" s="1367">
        <v>2.6</v>
      </c>
      <c r="G5165" s="1366"/>
      <c r="H5165" s="1366">
        <f t="shared" si="182"/>
        <v>0.49999999999999994</v>
      </c>
      <c r="I5165" s="1187">
        <f t="shared" si="180"/>
        <v>2.6</v>
      </c>
      <c r="J5165" s="864"/>
      <c r="K5165" s="1270"/>
    </row>
    <row r="5166" spans="1:11" s="891" customFormat="1" hidden="1" outlineLevel="1">
      <c r="A5166" s="1269"/>
      <c r="B5166" s="865" t="s">
        <v>1420</v>
      </c>
      <c r="C5166" s="866" t="s">
        <v>1</v>
      </c>
      <c r="D5166" s="864">
        <v>5</v>
      </c>
      <c r="E5166" s="864">
        <v>2</v>
      </c>
      <c r="F5166" s="1367">
        <v>2.6320000000000001</v>
      </c>
      <c r="G5166" s="1366"/>
      <c r="H5166" s="1366">
        <f t="shared" si="182"/>
        <v>0.49999999999999994</v>
      </c>
      <c r="I5166" s="1187">
        <f t="shared" si="180"/>
        <v>13.16</v>
      </c>
      <c r="J5166" s="864"/>
      <c r="K5166" s="1270"/>
    </row>
    <row r="5167" spans="1:11" s="891" customFormat="1" hidden="1" outlineLevel="1">
      <c r="A5167" s="1269"/>
      <c r="B5167" s="865"/>
      <c r="C5167" s="866" t="s">
        <v>1</v>
      </c>
      <c r="D5167" s="864">
        <v>5</v>
      </c>
      <c r="E5167" s="864">
        <v>2</v>
      </c>
      <c r="F5167" s="1367">
        <v>2</v>
      </c>
      <c r="G5167" s="1366"/>
      <c r="H5167" s="1366">
        <f t="shared" si="182"/>
        <v>0.49999999999999994</v>
      </c>
      <c r="I5167" s="1187">
        <f t="shared" si="180"/>
        <v>10</v>
      </c>
      <c r="J5167" s="864"/>
      <c r="K5167" s="1270"/>
    </row>
    <row r="5168" spans="1:11" s="891" customFormat="1" hidden="1" outlineLevel="1">
      <c r="A5168" s="1269"/>
      <c r="B5168" s="865" t="s">
        <v>1421</v>
      </c>
      <c r="C5168" s="866"/>
      <c r="D5168" s="864"/>
      <c r="E5168" s="864"/>
      <c r="F5168" s="1366"/>
      <c r="G5168" s="1366"/>
      <c r="H5168" s="1366"/>
      <c r="I5168" s="1187" t="str">
        <f t="shared" si="180"/>
        <v/>
      </c>
      <c r="J5168" s="864"/>
      <c r="K5168" s="1270"/>
    </row>
    <row r="5169" spans="1:11" s="891" customFormat="1" hidden="1" outlineLevel="1">
      <c r="A5169" s="1269"/>
      <c r="B5169" s="865" t="s">
        <v>1422</v>
      </c>
      <c r="C5169" s="866" t="s">
        <v>1</v>
      </c>
      <c r="D5169" s="864">
        <v>10</v>
      </c>
      <c r="E5169" s="864">
        <v>4</v>
      </c>
      <c r="F5169" s="1366">
        <v>0.9</v>
      </c>
      <c r="G5169" s="1366"/>
      <c r="H5169" s="1366">
        <v>0.6</v>
      </c>
      <c r="I5169" s="1187">
        <f t="shared" si="180"/>
        <v>21.6</v>
      </c>
      <c r="J5169" s="864"/>
      <c r="K5169" s="1270"/>
    </row>
    <row r="5170" spans="1:11" s="891" customFormat="1" hidden="1" outlineLevel="1">
      <c r="A5170" s="1269"/>
      <c r="B5170" s="865" t="s">
        <v>1423</v>
      </c>
      <c r="C5170" s="866" t="s">
        <v>1</v>
      </c>
      <c r="D5170" s="864">
        <v>10</v>
      </c>
      <c r="E5170" s="864">
        <v>4</v>
      </c>
      <c r="F5170" s="1366">
        <v>1.5</v>
      </c>
      <c r="G5170" s="1366"/>
      <c r="H5170" s="1366">
        <f>0.2-0.04</f>
        <v>0.16</v>
      </c>
      <c r="I5170" s="1187">
        <f t="shared" si="180"/>
        <v>9.6</v>
      </c>
      <c r="J5170" s="864"/>
      <c r="K5170" s="1270"/>
    </row>
    <row r="5171" spans="1:11" s="891" customFormat="1" hidden="1" outlineLevel="1">
      <c r="A5171" s="1269"/>
      <c r="B5171" s="865" t="s">
        <v>1424</v>
      </c>
      <c r="C5171" s="866"/>
      <c r="D5171" s="864"/>
      <c r="E5171" s="864"/>
      <c r="F5171" s="1366"/>
      <c r="G5171" s="1366"/>
      <c r="H5171" s="1366"/>
      <c r="I5171" s="1187" t="str">
        <f t="shared" si="180"/>
        <v/>
      </c>
      <c r="J5171" s="864"/>
      <c r="K5171" s="1270"/>
    </row>
    <row r="5172" spans="1:11" s="891" customFormat="1" hidden="1" outlineLevel="1">
      <c r="A5172" s="1269"/>
      <c r="B5172" s="865" t="s">
        <v>1425</v>
      </c>
      <c r="C5172" s="866" t="s">
        <v>1</v>
      </c>
      <c r="D5172" s="864">
        <v>40</v>
      </c>
      <c r="E5172" s="864">
        <v>4</v>
      </c>
      <c r="F5172" s="1366">
        <v>0.5</v>
      </c>
      <c r="G5172" s="1366"/>
      <c r="H5172" s="1366">
        <f>0.375-0.04</f>
        <v>0.33500000000000002</v>
      </c>
      <c r="I5172" s="1187">
        <f t="shared" si="180"/>
        <v>26.8</v>
      </c>
      <c r="J5172" s="864"/>
      <c r="K5172" s="1270"/>
    </row>
    <row r="5173" spans="1:11" s="891" customFormat="1" hidden="1" outlineLevel="1">
      <c r="A5173" s="1269"/>
      <c r="B5173" s="865"/>
      <c r="C5173" s="866" t="s">
        <v>1</v>
      </c>
      <c r="D5173" s="864">
        <v>40</v>
      </c>
      <c r="E5173" s="864">
        <v>4</v>
      </c>
      <c r="F5173" s="1366">
        <v>0.40500000000000003</v>
      </c>
      <c r="G5173" s="1366"/>
      <c r="H5173" s="1366">
        <v>0.1</v>
      </c>
      <c r="I5173" s="1187">
        <f t="shared" si="180"/>
        <v>6.48</v>
      </c>
      <c r="J5173" s="864"/>
      <c r="K5173" s="1270"/>
    </row>
    <row r="5174" spans="1:11" s="891" customFormat="1" hidden="1" outlineLevel="1">
      <c r="A5174" s="1269"/>
      <c r="B5174" s="865"/>
      <c r="C5174" s="866"/>
      <c r="D5174" s="864"/>
      <c r="E5174" s="864"/>
      <c r="F5174" s="1366"/>
      <c r="G5174" s="1366"/>
      <c r="H5174" s="1366"/>
      <c r="I5174" s="1187" t="str">
        <f t="shared" si="180"/>
        <v/>
      </c>
      <c r="J5174" s="864"/>
      <c r="K5174" s="1270"/>
    </row>
    <row r="5175" spans="1:11" s="891" customFormat="1" ht="34.5" hidden="1" outlineLevel="1">
      <c r="A5175" s="1269"/>
      <c r="B5175" s="865" t="s">
        <v>1426</v>
      </c>
      <c r="C5175" s="866" t="s">
        <v>1</v>
      </c>
      <c r="D5175" s="864">
        <v>1</v>
      </c>
      <c r="E5175" s="864">
        <v>1</v>
      </c>
      <c r="F5175" s="1367">
        <v>28.434999999999999</v>
      </c>
      <c r="G5175" s="1366"/>
      <c r="H5175" s="1366">
        <f>0.15-0.04</f>
        <v>0.10999999999999999</v>
      </c>
      <c r="I5175" s="1187">
        <f t="shared" si="180"/>
        <v>3.13</v>
      </c>
      <c r="J5175" s="864"/>
      <c r="K5175" s="1270"/>
    </row>
    <row r="5176" spans="1:11" s="891" customFormat="1" hidden="1" outlineLevel="1">
      <c r="A5176" s="1269"/>
      <c r="B5176" s="865"/>
      <c r="C5176" s="866" t="s">
        <v>1</v>
      </c>
      <c r="D5176" s="864">
        <v>1</v>
      </c>
      <c r="E5176" s="864">
        <v>2</v>
      </c>
      <c r="F5176" s="1367">
        <v>2.4</v>
      </c>
      <c r="G5176" s="1366"/>
      <c r="H5176" s="1366">
        <f t="shared" ref="H5176:H5186" si="183">0.15-0.04</f>
        <v>0.10999999999999999</v>
      </c>
      <c r="I5176" s="1187">
        <f t="shared" si="180"/>
        <v>0.53</v>
      </c>
      <c r="J5176" s="864"/>
      <c r="K5176" s="1270"/>
    </row>
    <row r="5177" spans="1:11" s="891" customFormat="1" hidden="1" outlineLevel="1">
      <c r="A5177" s="1269"/>
      <c r="B5177" s="865"/>
      <c r="C5177" s="866" t="s">
        <v>1</v>
      </c>
      <c r="D5177" s="864">
        <v>1</v>
      </c>
      <c r="E5177" s="864">
        <v>1</v>
      </c>
      <c r="F5177" s="1367">
        <v>2.7</v>
      </c>
      <c r="G5177" s="1366"/>
      <c r="H5177" s="1366">
        <f t="shared" si="183"/>
        <v>0.10999999999999999</v>
      </c>
      <c r="I5177" s="1187">
        <f t="shared" si="180"/>
        <v>0.3</v>
      </c>
      <c r="J5177" s="864"/>
      <c r="K5177" s="1270"/>
    </row>
    <row r="5178" spans="1:11" s="891" customFormat="1" hidden="1" outlineLevel="1">
      <c r="A5178" s="1269"/>
      <c r="B5178" s="865"/>
      <c r="C5178" s="866" t="s">
        <v>1</v>
      </c>
      <c r="D5178" s="864">
        <v>1</v>
      </c>
      <c r="E5178" s="864">
        <v>4</v>
      </c>
      <c r="F5178" s="1366">
        <v>3</v>
      </c>
      <c r="G5178" s="1366"/>
      <c r="H5178" s="1366">
        <f t="shared" si="183"/>
        <v>0.10999999999999999</v>
      </c>
      <c r="I5178" s="1187">
        <f t="shared" si="180"/>
        <v>1.32</v>
      </c>
      <c r="J5178" s="864"/>
      <c r="K5178" s="1270"/>
    </row>
    <row r="5179" spans="1:11" s="891" customFormat="1" hidden="1" outlineLevel="1">
      <c r="A5179" s="1269"/>
      <c r="B5179" s="865" t="s">
        <v>1417</v>
      </c>
      <c r="C5179" s="866" t="s">
        <v>1</v>
      </c>
      <c r="D5179" s="864">
        <v>1</v>
      </c>
      <c r="E5179" s="864">
        <v>2</v>
      </c>
      <c r="F5179" s="1367">
        <v>2.0830000000000002</v>
      </c>
      <c r="G5179" s="1366"/>
      <c r="H5179" s="1366">
        <f t="shared" si="183"/>
        <v>0.10999999999999999</v>
      </c>
      <c r="I5179" s="1187">
        <f t="shared" si="180"/>
        <v>0.46</v>
      </c>
      <c r="J5179" s="864"/>
      <c r="K5179" s="1270"/>
    </row>
    <row r="5180" spans="1:11" s="891" customFormat="1" hidden="1" outlineLevel="1">
      <c r="A5180" s="1269"/>
      <c r="B5180" s="865"/>
      <c r="C5180" s="866" t="s">
        <v>1</v>
      </c>
      <c r="D5180" s="864">
        <v>1</v>
      </c>
      <c r="E5180" s="864">
        <v>2</v>
      </c>
      <c r="F5180" s="1367">
        <v>1.7</v>
      </c>
      <c r="G5180" s="1366"/>
      <c r="H5180" s="1366">
        <f t="shared" si="183"/>
        <v>0.10999999999999999</v>
      </c>
      <c r="I5180" s="1187">
        <f t="shared" si="180"/>
        <v>0.37</v>
      </c>
      <c r="J5180" s="864"/>
      <c r="K5180" s="1270"/>
    </row>
    <row r="5181" spans="1:11" s="891" customFormat="1" hidden="1" outlineLevel="1">
      <c r="A5181" s="1269"/>
      <c r="B5181" s="865" t="s">
        <v>1418</v>
      </c>
      <c r="C5181" s="866" t="s">
        <v>1</v>
      </c>
      <c r="D5181" s="864">
        <v>1</v>
      </c>
      <c r="E5181" s="864">
        <v>2</v>
      </c>
      <c r="F5181" s="1367">
        <v>2.0830000000000002</v>
      </c>
      <c r="G5181" s="1366"/>
      <c r="H5181" s="1366">
        <f t="shared" si="183"/>
        <v>0.10999999999999999</v>
      </c>
      <c r="I5181" s="1187">
        <f t="shared" si="180"/>
        <v>0.46</v>
      </c>
      <c r="J5181" s="864"/>
      <c r="K5181" s="1270"/>
    </row>
    <row r="5182" spans="1:11" s="891" customFormat="1" hidden="1" outlineLevel="1">
      <c r="A5182" s="1269"/>
      <c r="B5182" s="865"/>
      <c r="C5182" s="866" t="s">
        <v>1</v>
      </c>
      <c r="D5182" s="864">
        <v>1</v>
      </c>
      <c r="E5182" s="864">
        <v>2</v>
      </c>
      <c r="F5182" s="1367">
        <v>1.6</v>
      </c>
      <c r="G5182" s="1366"/>
      <c r="H5182" s="1366">
        <f t="shared" si="183"/>
        <v>0.10999999999999999</v>
      </c>
      <c r="I5182" s="1187">
        <f t="shared" si="180"/>
        <v>0.35</v>
      </c>
      <c r="J5182" s="864"/>
      <c r="K5182" s="1270"/>
    </row>
    <row r="5183" spans="1:11" s="891" customFormat="1" hidden="1" outlineLevel="1">
      <c r="A5183" s="1269"/>
      <c r="B5183" s="865" t="s">
        <v>1419</v>
      </c>
      <c r="C5183" s="866" t="s">
        <v>1</v>
      </c>
      <c r="D5183" s="864">
        <v>1</v>
      </c>
      <c r="E5183" s="864">
        <v>2</v>
      </c>
      <c r="F5183" s="1367">
        <v>2.0830000000000002</v>
      </c>
      <c r="G5183" s="1366"/>
      <c r="H5183" s="1366">
        <f t="shared" si="183"/>
        <v>0.10999999999999999</v>
      </c>
      <c r="I5183" s="1187">
        <f t="shared" ref="I5183:I5246" si="184">IF(D5183&lt;&gt;0,ROUND(PRODUCT(E5183:H5183)*D5183,2),"")</f>
        <v>0.46</v>
      </c>
      <c r="J5183" s="864"/>
      <c r="K5183" s="1270"/>
    </row>
    <row r="5184" spans="1:11" s="891" customFormat="1" hidden="1" outlineLevel="1">
      <c r="A5184" s="1269"/>
      <c r="B5184" s="865"/>
      <c r="C5184" s="866" t="s">
        <v>1</v>
      </c>
      <c r="D5184" s="864">
        <v>1</v>
      </c>
      <c r="E5184" s="864">
        <v>2</v>
      </c>
      <c r="F5184" s="1367">
        <v>2</v>
      </c>
      <c r="G5184" s="1366"/>
      <c r="H5184" s="1366">
        <f t="shared" si="183"/>
        <v>0.10999999999999999</v>
      </c>
      <c r="I5184" s="1187">
        <f t="shared" si="184"/>
        <v>0.44</v>
      </c>
      <c r="J5184" s="864"/>
      <c r="K5184" s="1270"/>
    </row>
    <row r="5185" spans="1:14" s="891" customFormat="1" hidden="1" outlineLevel="1">
      <c r="A5185" s="1269"/>
      <c r="B5185" s="865" t="s">
        <v>1420</v>
      </c>
      <c r="C5185" s="866" t="s">
        <v>1</v>
      </c>
      <c r="D5185" s="864">
        <v>5</v>
      </c>
      <c r="E5185" s="864">
        <v>2</v>
      </c>
      <c r="F5185" s="1367">
        <v>2.032</v>
      </c>
      <c r="G5185" s="1366"/>
      <c r="H5185" s="1366">
        <f t="shared" si="183"/>
        <v>0.10999999999999999</v>
      </c>
      <c r="I5185" s="1187">
        <f t="shared" si="184"/>
        <v>2.2400000000000002</v>
      </c>
      <c r="J5185" s="864"/>
      <c r="K5185" s="1270"/>
    </row>
    <row r="5186" spans="1:14" s="891" customFormat="1" hidden="1" outlineLevel="1">
      <c r="A5186" s="1269"/>
      <c r="B5186" s="865"/>
      <c r="C5186" s="866" t="s">
        <v>1</v>
      </c>
      <c r="D5186" s="864">
        <v>5</v>
      </c>
      <c r="E5186" s="864">
        <v>2</v>
      </c>
      <c r="F5186" s="1367">
        <v>1.4</v>
      </c>
      <c r="G5186" s="1366"/>
      <c r="H5186" s="1366">
        <f t="shared" si="183"/>
        <v>0.10999999999999999</v>
      </c>
      <c r="I5186" s="1187">
        <f t="shared" si="184"/>
        <v>1.54</v>
      </c>
      <c r="J5186" s="864"/>
      <c r="K5186" s="1270"/>
    </row>
    <row r="5187" spans="1:14" s="464" customFormat="1" collapsed="1">
      <c r="A5187" s="1264"/>
      <c r="B5187" s="669" t="s">
        <v>85</v>
      </c>
      <c r="C5187" s="465" t="s">
        <v>1</v>
      </c>
      <c r="D5187" s="444"/>
      <c r="E5187" s="345"/>
      <c r="F5187" s="1356"/>
      <c r="G5187" s="1356"/>
      <c r="H5187" s="1356"/>
      <c r="I5187" s="1187" t="str">
        <f t="shared" si="184"/>
        <v/>
      </c>
      <c r="J5187" s="467">
        <f>SUM(I5116:I5187)</f>
        <v>523.44000000000017</v>
      </c>
      <c r="K5187" s="1258"/>
      <c r="L5187" s="463"/>
      <c r="M5187" s="463"/>
      <c r="N5187" s="463"/>
    </row>
    <row r="5188" spans="1:14" s="526" customFormat="1">
      <c r="A5188" s="1265"/>
      <c r="B5188" s="324" t="s">
        <v>1774</v>
      </c>
      <c r="C5188" s="325" t="s">
        <v>1</v>
      </c>
      <c r="D5188" s="322">
        <v>1</v>
      </c>
      <c r="E5188" s="322">
        <v>3</v>
      </c>
      <c r="F5188" s="1369">
        <v>5.9</v>
      </c>
      <c r="G5188" s="1369"/>
      <c r="H5188" s="1369">
        <v>0.15</v>
      </c>
      <c r="I5188" s="1187">
        <f t="shared" si="184"/>
        <v>2.66</v>
      </c>
      <c r="J5188" s="322"/>
      <c r="K5188" s="1271"/>
    </row>
    <row r="5189" spans="1:14" s="526" customFormat="1">
      <c r="A5189" s="1265"/>
      <c r="B5189" s="324"/>
      <c r="C5189" s="325"/>
      <c r="D5189" s="322"/>
      <c r="E5189" s="322"/>
      <c r="F5189" s="1369"/>
      <c r="G5189" s="1369"/>
      <c r="H5189" s="1369"/>
      <c r="I5189" s="1187" t="str">
        <f t="shared" si="184"/>
        <v/>
      </c>
      <c r="J5189" s="322"/>
      <c r="K5189" s="1271"/>
    </row>
    <row r="5190" spans="1:14" s="526" customFormat="1">
      <c r="A5190" s="1302"/>
      <c r="B5190" s="942" t="s">
        <v>1758</v>
      </c>
      <c r="C5190" s="1409"/>
      <c r="D5190" s="941"/>
      <c r="E5190" s="941"/>
      <c r="F5190" s="1385"/>
      <c r="G5190" s="1385"/>
      <c r="H5190" s="1385"/>
      <c r="I5190" s="1187" t="str">
        <f t="shared" si="184"/>
        <v/>
      </c>
      <c r="J5190" s="941"/>
      <c r="K5190" s="1303"/>
    </row>
    <row r="5191" spans="1:14" s="526" customFormat="1" ht="34.5">
      <c r="A5191" s="1302"/>
      <c r="B5191" s="942" t="s">
        <v>1401</v>
      </c>
      <c r="C5191" s="1409" t="s">
        <v>1</v>
      </c>
      <c r="D5191" s="941">
        <v>-1</v>
      </c>
      <c r="E5191" s="941">
        <v>1</v>
      </c>
      <c r="F5191" s="1385">
        <v>22.08</v>
      </c>
      <c r="G5191" s="1385"/>
      <c r="H5191" s="1385">
        <v>0.49999999999999994</v>
      </c>
      <c r="I5191" s="1187">
        <f t="shared" si="184"/>
        <v>-11.04</v>
      </c>
      <c r="J5191" s="941"/>
      <c r="K5191" s="1303"/>
    </row>
    <row r="5192" spans="1:14" s="526" customFormat="1">
      <c r="A5192" s="1302"/>
      <c r="B5192" s="942"/>
      <c r="C5192" s="1409" t="s">
        <v>1</v>
      </c>
      <c r="D5192" s="941">
        <v>-1</v>
      </c>
      <c r="E5192" s="941">
        <v>2</v>
      </c>
      <c r="F5192" s="1385">
        <v>2.7</v>
      </c>
      <c r="G5192" s="1385"/>
      <c r="H5192" s="1385">
        <v>0.49999999999999994</v>
      </c>
      <c r="I5192" s="1187">
        <f t="shared" si="184"/>
        <v>-2.7</v>
      </c>
      <c r="J5192" s="941"/>
      <c r="K5192" s="1303"/>
    </row>
    <row r="5193" spans="1:14" s="526" customFormat="1">
      <c r="A5193" s="1302"/>
      <c r="B5193" s="942" t="s">
        <v>1402</v>
      </c>
      <c r="C5193" s="1409" t="s">
        <v>1</v>
      </c>
      <c r="D5193" s="941">
        <v>-1</v>
      </c>
      <c r="E5193" s="941">
        <v>2</v>
      </c>
      <c r="F5193" s="1385">
        <v>8</v>
      </c>
      <c r="G5193" s="1385"/>
      <c r="H5193" s="1385">
        <v>0.49999999999999994</v>
      </c>
      <c r="I5193" s="1187">
        <f t="shared" si="184"/>
        <v>-8</v>
      </c>
      <c r="J5193" s="941"/>
      <c r="K5193" s="1303"/>
    </row>
    <row r="5194" spans="1:14" s="526" customFormat="1" ht="34.5">
      <c r="A5194" s="1302"/>
      <c r="B5194" s="942" t="s">
        <v>1403</v>
      </c>
      <c r="C5194" s="1409" t="s">
        <v>1</v>
      </c>
      <c r="D5194" s="941">
        <v>-3</v>
      </c>
      <c r="E5194" s="941">
        <v>2</v>
      </c>
      <c r="F5194" s="1385">
        <v>5</v>
      </c>
      <c r="G5194" s="1385"/>
      <c r="H5194" s="1385">
        <v>0.64999999999999991</v>
      </c>
      <c r="I5194" s="1187">
        <f t="shared" si="184"/>
        <v>-19.5</v>
      </c>
      <c r="J5194" s="941"/>
      <c r="K5194" s="1303"/>
    </row>
    <row r="5195" spans="1:14" s="526" customFormat="1">
      <c r="A5195" s="1302"/>
      <c r="B5195" s="942"/>
      <c r="C5195" s="1409" t="s">
        <v>1</v>
      </c>
      <c r="D5195" s="941">
        <v>-3</v>
      </c>
      <c r="E5195" s="941">
        <v>1</v>
      </c>
      <c r="F5195" s="1385">
        <v>2</v>
      </c>
      <c r="G5195" s="1385"/>
      <c r="H5195" s="1385">
        <v>0.64999999999999991</v>
      </c>
      <c r="I5195" s="1187">
        <f t="shared" si="184"/>
        <v>-3.9</v>
      </c>
      <c r="J5195" s="941"/>
      <c r="K5195" s="1303"/>
    </row>
    <row r="5196" spans="1:14" s="526" customFormat="1" ht="34.5">
      <c r="A5196" s="1302"/>
      <c r="B5196" s="942" t="s">
        <v>1404</v>
      </c>
      <c r="C5196" s="1409" t="s">
        <v>1</v>
      </c>
      <c r="D5196" s="941">
        <v>-2</v>
      </c>
      <c r="E5196" s="941">
        <v>2</v>
      </c>
      <c r="F5196" s="1385">
        <v>5</v>
      </c>
      <c r="G5196" s="1385"/>
      <c r="H5196" s="1385">
        <v>0.64999999999999991</v>
      </c>
      <c r="I5196" s="1187">
        <f t="shared" si="184"/>
        <v>-13</v>
      </c>
      <c r="J5196" s="941"/>
      <c r="K5196" s="1303"/>
    </row>
    <row r="5197" spans="1:14" s="526" customFormat="1">
      <c r="A5197" s="1302"/>
      <c r="B5197" s="942"/>
      <c r="C5197" s="1409" t="s">
        <v>1</v>
      </c>
      <c r="D5197" s="941">
        <v>-2</v>
      </c>
      <c r="E5197" s="941">
        <v>2</v>
      </c>
      <c r="F5197" s="1385">
        <v>2</v>
      </c>
      <c r="G5197" s="1385"/>
      <c r="H5197" s="1385">
        <v>0.64999999999999991</v>
      </c>
      <c r="I5197" s="1187">
        <f t="shared" si="184"/>
        <v>-5.2</v>
      </c>
      <c r="J5197" s="941"/>
      <c r="K5197" s="1303"/>
    </row>
    <row r="5198" spans="1:14" s="526" customFormat="1" ht="34.5">
      <c r="A5198" s="1302"/>
      <c r="B5198" s="942" t="s">
        <v>1405</v>
      </c>
      <c r="C5198" s="1409" t="s">
        <v>1</v>
      </c>
      <c r="D5198" s="941">
        <v>-4</v>
      </c>
      <c r="E5198" s="941">
        <v>2</v>
      </c>
      <c r="F5198" s="1385">
        <v>3</v>
      </c>
      <c r="G5198" s="1385"/>
      <c r="H5198" s="1385">
        <v>0.49999999999999994</v>
      </c>
      <c r="I5198" s="1187">
        <f t="shared" si="184"/>
        <v>-12</v>
      </c>
      <c r="J5198" s="941"/>
      <c r="K5198" s="1303"/>
    </row>
    <row r="5199" spans="1:14" s="526" customFormat="1">
      <c r="A5199" s="1302"/>
      <c r="B5199" s="942" t="s">
        <v>1406</v>
      </c>
      <c r="C5199" s="1409" t="s">
        <v>1</v>
      </c>
      <c r="D5199" s="941">
        <v>-5</v>
      </c>
      <c r="E5199" s="941">
        <v>2</v>
      </c>
      <c r="F5199" s="1385">
        <v>2</v>
      </c>
      <c r="G5199" s="1385"/>
      <c r="H5199" s="1385">
        <v>0.64999999999999991</v>
      </c>
      <c r="I5199" s="1187">
        <f t="shared" si="184"/>
        <v>-13</v>
      </c>
      <c r="J5199" s="941"/>
      <c r="K5199" s="1303"/>
    </row>
    <row r="5200" spans="1:14" s="526" customFormat="1">
      <c r="A5200" s="1302"/>
      <c r="B5200" s="942"/>
      <c r="C5200" s="1409" t="s">
        <v>1</v>
      </c>
      <c r="D5200" s="941">
        <v>-2</v>
      </c>
      <c r="E5200" s="941">
        <v>1</v>
      </c>
      <c r="F5200" s="1385">
        <v>5</v>
      </c>
      <c r="G5200" s="1385"/>
      <c r="H5200" s="1385">
        <v>0.64999999999999991</v>
      </c>
      <c r="I5200" s="1187">
        <f t="shared" si="184"/>
        <v>-6.5</v>
      </c>
      <c r="J5200" s="941"/>
      <c r="K5200" s="1303"/>
    </row>
    <row r="5201" spans="1:11" s="526" customFormat="1">
      <c r="A5201" s="1302"/>
      <c r="B5201" s="942"/>
      <c r="C5201" s="1409" t="s">
        <v>1</v>
      </c>
      <c r="D5201" s="941">
        <v>-8</v>
      </c>
      <c r="E5201" s="941">
        <v>1</v>
      </c>
      <c r="F5201" s="1385">
        <v>2</v>
      </c>
      <c r="G5201" s="1385"/>
      <c r="H5201" s="1385">
        <v>0.64999999999999991</v>
      </c>
      <c r="I5201" s="1187">
        <f t="shared" si="184"/>
        <v>-10.4</v>
      </c>
      <c r="J5201" s="941"/>
      <c r="K5201" s="1303"/>
    </row>
    <row r="5202" spans="1:11" s="526" customFormat="1">
      <c r="A5202" s="1302"/>
      <c r="B5202" s="942" t="s">
        <v>1407</v>
      </c>
      <c r="C5202" s="1409"/>
      <c r="D5202" s="941"/>
      <c r="E5202" s="941"/>
      <c r="F5202" s="1385"/>
      <c r="G5202" s="1385"/>
      <c r="H5202" s="1385"/>
      <c r="I5202" s="1187" t="str">
        <f t="shared" si="184"/>
        <v/>
      </c>
      <c r="J5202" s="941"/>
      <c r="K5202" s="1303"/>
    </row>
    <row r="5203" spans="1:11" s="526" customFormat="1" ht="34.5">
      <c r="A5203" s="1302"/>
      <c r="B5203" s="942" t="s">
        <v>1408</v>
      </c>
      <c r="C5203" s="1409" t="s">
        <v>1</v>
      </c>
      <c r="D5203" s="941">
        <v>-1</v>
      </c>
      <c r="E5203" s="941">
        <v>2</v>
      </c>
      <c r="F5203" s="1385">
        <v>21.4</v>
      </c>
      <c r="G5203" s="1385"/>
      <c r="H5203" s="1385">
        <v>0.10999999999999999</v>
      </c>
      <c r="I5203" s="1187">
        <f t="shared" si="184"/>
        <v>-4.71</v>
      </c>
      <c r="J5203" s="941"/>
      <c r="K5203" s="1303"/>
    </row>
    <row r="5204" spans="1:11" s="526" customFormat="1">
      <c r="A5204" s="1302"/>
      <c r="B5204" s="942"/>
      <c r="C5204" s="1409" t="s">
        <v>1</v>
      </c>
      <c r="D5204" s="941">
        <v>-1</v>
      </c>
      <c r="E5204" s="941">
        <v>2</v>
      </c>
      <c r="F5204" s="1385">
        <v>2.2400000000000002</v>
      </c>
      <c r="G5204" s="1385"/>
      <c r="H5204" s="1385">
        <v>0.10999999999999999</v>
      </c>
      <c r="I5204" s="1187">
        <f t="shared" si="184"/>
        <v>-0.49</v>
      </c>
      <c r="J5204" s="941"/>
      <c r="K5204" s="1303"/>
    </row>
    <row r="5205" spans="1:11" s="526" customFormat="1">
      <c r="A5205" s="1302"/>
      <c r="B5205" s="942" t="s">
        <v>1409</v>
      </c>
      <c r="C5205" s="1409" t="s">
        <v>1</v>
      </c>
      <c r="D5205" s="941">
        <v>-5</v>
      </c>
      <c r="E5205" s="941">
        <v>2</v>
      </c>
      <c r="F5205" s="1385">
        <v>4.4000000000000004</v>
      </c>
      <c r="G5205" s="1385"/>
      <c r="H5205" s="1385">
        <v>0.10999999999999999</v>
      </c>
      <c r="I5205" s="1187">
        <f t="shared" si="184"/>
        <v>-4.84</v>
      </c>
      <c r="J5205" s="941"/>
      <c r="K5205" s="1303"/>
    </row>
    <row r="5206" spans="1:11" s="526" customFormat="1">
      <c r="A5206" s="1302"/>
      <c r="B5206" s="942"/>
      <c r="C5206" s="1409" t="s">
        <v>1</v>
      </c>
      <c r="D5206" s="941">
        <v>-5</v>
      </c>
      <c r="E5206" s="941">
        <v>2</v>
      </c>
      <c r="F5206" s="1385">
        <v>1.4</v>
      </c>
      <c r="G5206" s="1385"/>
      <c r="H5206" s="1385">
        <v>0.10999999999999999</v>
      </c>
      <c r="I5206" s="1187">
        <f t="shared" si="184"/>
        <v>-1.54</v>
      </c>
      <c r="J5206" s="941"/>
      <c r="K5206" s="1303"/>
    </row>
    <row r="5207" spans="1:11" s="526" customFormat="1" ht="34.5">
      <c r="A5207" s="1302"/>
      <c r="B5207" s="942" t="s">
        <v>1410</v>
      </c>
      <c r="C5207" s="1409" t="s">
        <v>1</v>
      </c>
      <c r="D5207" s="941">
        <v>-4</v>
      </c>
      <c r="E5207" s="941">
        <v>2</v>
      </c>
      <c r="F5207" s="1385">
        <v>3</v>
      </c>
      <c r="G5207" s="1385"/>
      <c r="H5207" s="1385">
        <v>0.10999999999999999</v>
      </c>
      <c r="I5207" s="1187">
        <f t="shared" si="184"/>
        <v>-2.64</v>
      </c>
      <c r="J5207" s="941"/>
      <c r="K5207" s="1303"/>
    </row>
    <row r="5208" spans="1:11" s="526" customFormat="1">
      <c r="A5208" s="1302"/>
      <c r="B5208" s="942"/>
      <c r="C5208" s="1409" t="s">
        <v>1</v>
      </c>
      <c r="D5208" s="941">
        <v>-4</v>
      </c>
      <c r="E5208" s="941">
        <v>2</v>
      </c>
      <c r="F5208" s="1385">
        <v>2.4</v>
      </c>
      <c r="G5208" s="1385"/>
      <c r="H5208" s="1385">
        <v>0.10999999999999999</v>
      </c>
      <c r="I5208" s="1187">
        <f t="shared" si="184"/>
        <v>-2.11</v>
      </c>
      <c r="J5208" s="941"/>
      <c r="K5208" s="1303"/>
    </row>
    <row r="5209" spans="1:11" s="526" customFormat="1">
      <c r="A5209" s="1302"/>
      <c r="B5209" s="942" t="s">
        <v>1409</v>
      </c>
      <c r="C5209" s="1409" t="s">
        <v>1</v>
      </c>
      <c r="D5209" s="941">
        <v>-5</v>
      </c>
      <c r="E5209" s="941">
        <v>2</v>
      </c>
      <c r="F5209" s="1385">
        <v>4.4000000000000004</v>
      </c>
      <c r="G5209" s="1385"/>
      <c r="H5209" s="1385">
        <v>0.10999999999999999</v>
      </c>
      <c r="I5209" s="1187">
        <f t="shared" si="184"/>
        <v>-4.84</v>
      </c>
      <c r="J5209" s="941"/>
      <c r="K5209" s="1303"/>
    </row>
    <row r="5210" spans="1:11" s="526" customFormat="1">
      <c r="A5210" s="1302"/>
      <c r="B5210" s="942"/>
      <c r="C5210" s="1409" t="s">
        <v>1</v>
      </c>
      <c r="D5210" s="941">
        <v>-5</v>
      </c>
      <c r="E5210" s="941">
        <v>2</v>
      </c>
      <c r="F5210" s="1385">
        <v>1.4</v>
      </c>
      <c r="G5210" s="1385"/>
      <c r="H5210" s="1385">
        <v>0.10999999999999999</v>
      </c>
      <c r="I5210" s="1187">
        <f t="shared" si="184"/>
        <v>-1.54</v>
      </c>
      <c r="J5210" s="941"/>
      <c r="K5210" s="1303"/>
    </row>
    <row r="5211" spans="1:11" s="526" customFormat="1" ht="34.5">
      <c r="A5211" s="1302"/>
      <c r="B5211" s="942" t="s">
        <v>1411</v>
      </c>
      <c r="C5211" s="1409"/>
      <c r="D5211" s="941"/>
      <c r="E5211" s="941"/>
      <c r="F5211" s="1385"/>
      <c r="G5211" s="1385"/>
      <c r="H5211" s="1385"/>
      <c r="I5211" s="1187" t="str">
        <f t="shared" si="184"/>
        <v/>
      </c>
      <c r="J5211" s="941"/>
      <c r="K5211" s="1303"/>
    </row>
    <row r="5212" spans="1:11" s="526" customFormat="1">
      <c r="A5212" s="1302"/>
      <c r="B5212" s="942" t="s">
        <v>1412</v>
      </c>
      <c r="C5212" s="1409" t="s">
        <v>1</v>
      </c>
      <c r="D5212" s="941">
        <v>-24</v>
      </c>
      <c r="E5212" s="941">
        <v>4</v>
      </c>
      <c r="F5212" s="1385">
        <v>0.89</v>
      </c>
      <c r="G5212" s="1385"/>
      <c r="H5212" s="1385">
        <v>0.1</v>
      </c>
      <c r="I5212" s="1187">
        <f t="shared" si="184"/>
        <v>-8.5399999999999991</v>
      </c>
      <c r="J5212" s="941"/>
      <c r="K5212" s="1303"/>
    </row>
    <row r="5213" spans="1:11" s="526" customFormat="1">
      <c r="A5213" s="1302"/>
      <c r="B5213" s="942"/>
      <c r="C5213" s="1409" t="s">
        <v>1</v>
      </c>
      <c r="D5213" s="941">
        <v>-24</v>
      </c>
      <c r="E5213" s="941">
        <v>4</v>
      </c>
      <c r="F5213" s="1385">
        <v>0.99</v>
      </c>
      <c r="G5213" s="1385"/>
      <c r="H5213" s="1385">
        <v>0.33500000000000002</v>
      </c>
      <c r="I5213" s="1187">
        <f t="shared" si="184"/>
        <v>-31.84</v>
      </c>
      <c r="J5213" s="941"/>
      <c r="K5213" s="1303"/>
    </row>
    <row r="5214" spans="1:11" s="526" customFormat="1">
      <c r="A5214" s="1302"/>
      <c r="B5214" s="942" t="s">
        <v>1413</v>
      </c>
      <c r="C5214" s="1409"/>
      <c r="D5214" s="941"/>
      <c r="E5214" s="941"/>
      <c r="F5214" s="1385"/>
      <c r="G5214" s="1385"/>
      <c r="H5214" s="1385"/>
      <c r="I5214" s="1187" t="str">
        <f t="shared" si="184"/>
        <v/>
      </c>
      <c r="J5214" s="941"/>
      <c r="K5214" s="1303"/>
    </row>
    <row r="5215" spans="1:11" s="526" customFormat="1" ht="34.5">
      <c r="A5215" s="1302"/>
      <c r="B5215" s="942" t="s">
        <v>1414</v>
      </c>
      <c r="C5215" s="1409" t="s">
        <v>1</v>
      </c>
      <c r="D5215" s="941">
        <v>-1</v>
      </c>
      <c r="E5215" s="941">
        <v>1</v>
      </c>
      <c r="F5215" s="1385">
        <v>29.035</v>
      </c>
      <c r="G5215" s="1385"/>
      <c r="H5215" s="1385">
        <v>0.49999999999999994</v>
      </c>
      <c r="I5215" s="1187">
        <f t="shared" si="184"/>
        <v>-14.52</v>
      </c>
      <c r="J5215" s="941"/>
      <c r="K5215" s="1303"/>
    </row>
    <row r="5216" spans="1:11" s="526" customFormat="1">
      <c r="A5216" s="1302"/>
      <c r="B5216" s="942"/>
      <c r="C5216" s="1409" t="s">
        <v>1</v>
      </c>
      <c r="D5216" s="941">
        <v>-1</v>
      </c>
      <c r="E5216" s="941">
        <v>3</v>
      </c>
      <c r="F5216" s="1385">
        <v>3</v>
      </c>
      <c r="G5216" s="1385"/>
      <c r="H5216" s="1385">
        <v>0.49999999999999994</v>
      </c>
      <c r="I5216" s="1187">
        <f t="shared" si="184"/>
        <v>-4.5</v>
      </c>
      <c r="J5216" s="941"/>
      <c r="K5216" s="1303"/>
    </row>
    <row r="5217" spans="1:11" s="526" customFormat="1">
      <c r="A5217" s="1302"/>
      <c r="B5217" s="942"/>
      <c r="C5217" s="1409" t="s">
        <v>1</v>
      </c>
      <c r="D5217" s="941">
        <v>-1</v>
      </c>
      <c r="E5217" s="941">
        <v>4</v>
      </c>
      <c r="F5217" s="1385">
        <v>3</v>
      </c>
      <c r="G5217" s="1385"/>
      <c r="H5217" s="1385">
        <v>0.49999999999999994</v>
      </c>
      <c r="I5217" s="1187">
        <f t="shared" si="184"/>
        <v>-6</v>
      </c>
      <c r="J5217" s="941"/>
      <c r="K5217" s="1303"/>
    </row>
    <row r="5218" spans="1:11" s="526" customFormat="1">
      <c r="A5218" s="1302"/>
      <c r="B5218" s="942"/>
      <c r="C5218" s="1409" t="s">
        <v>1</v>
      </c>
      <c r="D5218" s="941">
        <v>-1</v>
      </c>
      <c r="E5218" s="941">
        <v>1</v>
      </c>
      <c r="F5218" s="1385">
        <v>4.0350000000000001</v>
      </c>
      <c r="G5218" s="1385"/>
      <c r="H5218" s="1385">
        <v>0.49999999999999994</v>
      </c>
      <c r="I5218" s="1187">
        <f t="shared" si="184"/>
        <v>-2.02</v>
      </c>
      <c r="J5218" s="941"/>
      <c r="K5218" s="1303"/>
    </row>
    <row r="5219" spans="1:11" s="526" customFormat="1">
      <c r="A5219" s="1302"/>
      <c r="B5219" s="942" t="s">
        <v>1415</v>
      </c>
      <c r="C5219" s="1409"/>
      <c r="D5219" s="941"/>
      <c r="E5219" s="941"/>
      <c r="F5219" s="1385"/>
      <c r="G5219" s="1385"/>
      <c r="H5219" s="1385"/>
      <c r="I5219" s="1187" t="str">
        <f t="shared" si="184"/>
        <v/>
      </c>
      <c r="J5219" s="941"/>
      <c r="K5219" s="1303"/>
    </row>
    <row r="5220" spans="1:11" s="526" customFormat="1">
      <c r="A5220" s="1302"/>
      <c r="B5220" s="942" t="s">
        <v>1416</v>
      </c>
      <c r="C5220" s="1409" t="s">
        <v>1</v>
      </c>
      <c r="D5220" s="941">
        <v>-5</v>
      </c>
      <c r="E5220" s="941">
        <v>2</v>
      </c>
      <c r="F5220" s="1385">
        <v>2.633</v>
      </c>
      <c r="G5220" s="1385"/>
      <c r="H5220" s="1385">
        <v>0.64999999999999991</v>
      </c>
      <c r="I5220" s="1187">
        <f t="shared" si="184"/>
        <v>-17.11</v>
      </c>
      <c r="J5220" s="941"/>
      <c r="K5220" s="1303"/>
    </row>
    <row r="5221" spans="1:11" s="526" customFormat="1">
      <c r="A5221" s="1302"/>
      <c r="B5221" s="942" t="s">
        <v>1402</v>
      </c>
      <c r="C5221" s="1409" t="s">
        <v>1</v>
      </c>
      <c r="D5221" s="941">
        <v>-5</v>
      </c>
      <c r="E5221" s="941">
        <v>1</v>
      </c>
      <c r="F5221" s="1385">
        <v>2</v>
      </c>
      <c r="G5221" s="1385"/>
      <c r="H5221" s="1385">
        <v>0.64999999999999991</v>
      </c>
      <c r="I5221" s="1187">
        <f t="shared" si="184"/>
        <v>-6.5</v>
      </c>
      <c r="J5221" s="941"/>
      <c r="K5221" s="1303"/>
    </row>
    <row r="5222" spans="1:11" s="526" customFormat="1">
      <c r="A5222" s="1302"/>
      <c r="B5222" s="942" t="s">
        <v>1417</v>
      </c>
      <c r="C5222" s="1409" t="s">
        <v>1</v>
      </c>
      <c r="D5222" s="941">
        <v>-1</v>
      </c>
      <c r="E5222" s="941">
        <v>2</v>
      </c>
      <c r="F5222" s="1385">
        <v>2.6850000000000001</v>
      </c>
      <c r="G5222" s="1385"/>
      <c r="H5222" s="1385">
        <v>0.49999999999999994</v>
      </c>
      <c r="I5222" s="1187">
        <f t="shared" si="184"/>
        <v>-2.69</v>
      </c>
      <c r="J5222" s="941"/>
      <c r="K5222" s="1303"/>
    </row>
    <row r="5223" spans="1:11" s="526" customFormat="1">
      <c r="A5223" s="1302"/>
      <c r="B5223" s="942"/>
      <c r="C5223" s="1409" t="s">
        <v>1</v>
      </c>
      <c r="D5223" s="941">
        <v>-1</v>
      </c>
      <c r="E5223" s="941">
        <v>2</v>
      </c>
      <c r="F5223" s="1385">
        <v>2.2999999999999998</v>
      </c>
      <c r="G5223" s="1385"/>
      <c r="H5223" s="1385">
        <v>0.49999999999999994</v>
      </c>
      <c r="I5223" s="1187">
        <f t="shared" si="184"/>
        <v>-2.2999999999999998</v>
      </c>
      <c r="J5223" s="941"/>
      <c r="K5223" s="1303"/>
    </row>
    <row r="5224" spans="1:11" s="526" customFormat="1">
      <c r="A5224" s="1302"/>
      <c r="B5224" s="942" t="s">
        <v>1418</v>
      </c>
      <c r="C5224" s="1409" t="s">
        <v>1</v>
      </c>
      <c r="D5224" s="941">
        <v>-1</v>
      </c>
      <c r="E5224" s="941">
        <v>2</v>
      </c>
      <c r="F5224" s="1385">
        <v>2.6850000000000001</v>
      </c>
      <c r="G5224" s="1385"/>
      <c r="H5224" s="1385">
        <v>0.49999999999999994</v>
      </c>
      <c r="I5224" s="1187">
        <f t="shared" si="184"/>
        <v>-2.69</v>
      </c>
      <c r="J5224" s="941"/>
      <c r="K5224" s="1303"/>
    </row>
    <row r="5225" spans="1:11" s="526" customFormat="1">
      <c r="A5225" s="1302"/>
      <c r="B5225" s="942"/>
      <c r="C5225" s="1409" t="s">
        <v>1</v>
      </c>
      <c r="D5225" s="941">
        <v>-1</v>
      </c>
      <c r="E5225" s="941">
        <v>2</v>
      </c>
      <c r="F5225" s="1385">
        <v>2.2000000000000002</v>
      </c>
      <c r="G5225" s="1385"/>
      <c r="H5225" s="1385">
        <v>0.49999999999999994</v>
      </c>
      <c r="I5225" s="1187">
        <f t="shared" si="184"/>
        <v>-2.2000000000000002</v>
      </c>
      <c r="J5225" s="941"/>
      <c r="K5225" s="1303"/>
    </row>
    <row r="5226" spans="1:11" s="526" customFormat="1">
      <c r="A5226" s="1302"/>
      <c r="B5226" s="942" t="s">
        <v>1419</v>
      </c>
      <c r="C5226" s="1409" t="s">
        <v>1</v>
      </c>
      <c r="D5226" s="941">
        <v>-1</v>
      </c>
      <c r="E5226" s="941">
        <v>2</v>
      </c>
      <c r="F5226" s="1385">
        <v>2.6850000000000001</v>
      </c>
      <c r="G5226" s="1385"/>
      <c r="H5226" s="1385">
        <v>0.49999999999999994</v>
      </c>
      <c r="I5226" s="1187">
        <f t="shared" si="184"/>
        <v>-2.69</v>
      </c>
      <c r="J5226" s="941"/>
      <c r="K5226" s="1303"/>
    </row>
    <row r="5227" spans="1:11" s="526" customFormat="1">
      <c r="A5227" s="1302"/>
      <c r="B5227" s="942"/>
      <c r="C5227" s="1409" t="s">
        <v>1</v>
      </c>
      <c r="D5227" s="941">
        <v>-1</v>
      </c>
      <c r="E5227" s="941">
        <v>2</v>
      </c>
      <c r="F5227" s="1385">
        <v>2.6</v>
      </c>
      <c r="G5227" s="1385"/>
      <c r="H5227" s="1385">
        <v>0.49999999999999994</v>
      </c>
      <c r="I5227" s="1187">
        <f t="shared" si="184"/>
        <v>-2.6</v>
      </c>
      <c r="J5227" s="941"/>
      <c r="K5227" s="1303"/>
    </row>
    <row r="5228" spans="1:11" s="526" customFormat="1">
      <c r="A5228" s="1302"/>
      <c r="B5228" s="942" t="s">
        <v>1420</v>
      </c>
      <c r="C5228" s="1409" t="s">
        <v>1</v>
      </c>
      <c r="D5228" s="941">
        <v>-5</v>
      </c>
      <c r="E5228" s="941">
        <v>2</v>
      </c>
      <c r="F5228" s="1385">
        <v>2.6320000000000001</v>
      </c>
      <c r="G5228" s="1385"/>
      <c r="H5228" s="1385">
        <v>0.49999999999999994</v>
      </c>
      <c r="I5228" s="1187">
        <f t="shared" si="184"/>
        <v>-13.16</v>
      </c>
      <c r="J5228" s="941"/>
      <c r="K5228" s="1303"/>
    </row>
    <row r="5229" spans="1:11" s="526" customFormat="1">
      <c r="A5229" s="1302"/>
      <c r="B5229" s="942"/>
      <c r="C5229" s="1409" t="s">
        <v>1</v>
      </c>
      <c r="D5229" s="941">
        <v>-5</v>
      </c>
      <c r="E5229" s="941">
        <v>2</v>
      </c>
      <c r="F5229" s="1385">
        <v>2</v>
      </c>
      <c r="G5229" s="1385"/>
      <c r="H5229" s="1385">
        <v>0.49999999999999994</v>
      </c>
      <c r="I5229" s="1187">
        <f t="shared" si="184"/>
        <v>-10</v>
      </c>
      <c r="J5229" s="941"/>
      <c r="K5229" s="1303"/>
    </row>
    <row r="5230" spans="1:11" s="526" customFormat="1">
      <c r="A5230" s="1302"/>
      <c r="B5230" s="942"/>
      <c r="C5230" s="1409"/>
      <c r="D5230" s="941"/>
      <c r="E5230" s="941"/>
      <c r="F5230" s="1385"/>
      <c r="G5230" s="1385"/>
      <c r="H5230" s="1385"/>
      <c r="I5230" s="1187" t="str">
        <f t="shared" si="184"/>
        <v/>
      </c>
      <c r="J5230" s="941"/>
      <c r="K5230" s="1303"/>
    </row>
    <row r="5231" spans="1:11" s="526" customFormat="1" ht="34.5">
      <c r="A5231" s="1302"/>
      <c r="B5231" s="942" t="s">
        <v>1426</v>
      </c>
      <c r="C5231" s="1409" t="s">
        <v>1</v>
      </c>
      <c r="D5231" s="941">
        <v>-1</v>
      </c>
      <c r="E5231" s="941">
        <v>1</v>
      </c>
      <c r="F5231" s="1385">
        <v>28.434999999999999</v>
      </c>
      <c r="G5231" s="1385"/>
      <c r="H5231" s="1385">
        <v>0.10999999999999999</v>
      </c>
      <c r="I5231" s="1187">
        <f t="shared" si="184"/>
        <v>-3.13</v>
      </c>
      <c r="J5231" s="941"/>
      <c r="K5231" s="1303"/>
    </row>
    <row r="5232" spans="1:11" s="526" customFormat="1">
      <c r="A5232" s="1302"/>
      <c r="B5232" s="942"/>
      <c r="C5232" s="1409" t="s">
        <v>1</v>
      </c>
      <c r="D5232" s="941">
        <v>-1</v>
      </c>
      <c r="E5232" s="941">
        <v>2</v>
      </c>
      <c r="F5232" s="1385">
        <v>2.4</v>
      </c>
      <c r="G5232" s="1385"/>
      <c r="H5232" s="1385">
        <v>0.10999999999999999</v>
      </c>
      <c r="I5232" s="1187">
        <f t="shared" si="184"/>
        <v>-0.53</v>
      </c>
      <c r="J5232" s="941"/>
      <c r="K5232" s="1303"/>
    </row>
    <row r="5233" spans="1:11" s="526" customFormat="1">
      <c r="A5233" s="1302"/>
      <c r="B5233" s="942"/>
      <c r="C5233" s="1409" t="s">
        <v>1</v>
      </c>
      <c r="D5233" s="941">
        <v>-1</v>
      </c>
      <c r="E5233" s="941">
        <v>1</v>
      </c>
      <c r="F5233" s="1385">
        <v>2.7</v>
      </c>
      <c r="G5233" s="1385"/>
      <c r="H5233" s="1385">
        <v>0.10999999999999999</v>
      </c>
      <c r="I5233" s="1187">
        <f t="shared" si="184"/>
        <v>-0.3</v>
      </c>
      <c r="J5233" s="941"/>
      <c r="K5233" s="1303"/>
    </row>
    <row r="5234" spans="1:11" s="526" customFormat="1">
      <c r="A5234" s="1302"/>
      <c r="B5234" s="942"/>
      <c r="C5234" s="1409" t="s">
        <v>1</v>
      </c>
      <c r="D5234" s="941">
        <v>-1</v>
      </c>
      <c r="E5234" s="941">
        <v>4</v>
      </c>
      <c r="F5234" s="1385">
        <v>3</v>
      </c>
      <c r="G5234" s="1385"/>
      <c r="H5234" s="1385">
        <v>0.10999999999999999</v>
      </c>
      <c r="I5234" s="1187">
        <f t="shared" si="184"/>
        <v>-1.32</v>
      </c>
      <c r="J5234" s="941"/>
      <c r="K5234" s="1303"/>
    </row>
    <row r="5235" spans="1:11" s="526" customFormat="1">
      <c r="A5235" s="1302"/>
      <c r="B5235" s="942" t="s">
        <v>1417</v>
      </c>
      <c r="C5235" s="1409" t="s">
        <v>1</v>
      </c>
      <c r="D5235" s="941">
        <v>-1</v>
      </c>
      <c r="E5235" s="941">
        <v>2</v>
      </c>
      <c r="F5235" s="1385">
        <v>2.0830000000000002</v>
      </c>
      <c r="G5235" s="1385"/>
      <c r="H5235" s="1385">
        <v>0.10999999999999999</v>
      </c>
      <c r="I5235" s="1187">
        <f t="shared" si="184"/>
        <v>-0.46</v>
      </c>
      <c r="J5235" s="941"/>
      <c r="K5235" s="1303"/>
    </row>
    <row r="5236" spans="1:11" s="526" customFormat="1">
      <c r="A5236" s="1302"/>
      <c r="B5236" s="942"/>
      <c r="C5236" s="1409" t="s">
        <v>1</v>
      </c>
      <c r="D5236" s="941">
        <v>-1</v>
      </c>
      <c r="E5236" s="941">
        <v>2</v>
      </c>
      <c r="F5236" s="1385">
        <v>1.7</v>
      </c>
      <c r="G5236" s="1385"/>
      <c r="H5236" s="1385">
        <v>0.10999999999999999</v>
      </c>
      <c r="I5236" s="1187">
        <f t="shared" si="184"/>
        <v>-0.37</v>
      </c>
      <c r="J5236" s="941"/>
      <c r="K5236" s="1303"/>
    </row>
    <row r="5237" spans="1:11" s="526" customFormat="1">
      <c r="A5237" s="1302"/>
      <c r="B5237" s="942" t="s">
        <v>1418</v>
      </c>
      <c r="C5237" s="1409" t="s">
        <v>1</v>
      </c>
      <c r="D5237" s="941">
        <v>-1</v>
      </c>
      <c r="E5237" s="941">
        <v>2</v>
      </c>
      <c r="F5237" s="1385">
        <v>2.0830000000000002</v>
      </c>
      <c r="G5237" s="1385"/>
      <c r="H5237" s="1385">
        <v>0.10999999999999999</v>
      </c>
      <c r="I5237" s="1187">
        <f t="shared" si="184"/>
        <v>-0.46</v>
      </c>
      <c r="J5237" s="941"/>
      <c r="K5237" s="1303"/>
    </row>
    <row r="5238" spans="1:11" s="526" customFormat="1">
      <c r="A5238" s="1302"/>
      <c r="B5238" s="942"/>
      <c r="C5238" s="1409" t="s">
        <v>1</v>
      </c>
      <c r="D5238" s="941">
        <v>-1</v>
      </c>
      <c r="E5238" s="941">
        <v>2</v>
      </c>
      <c r="F5238" s="1385">
        <v>1.6</v>
      </c>
      <c r="G5238" s="1385"/>
      <c r="H5238" s="1385">
        <v>0.10999999999999999</v>
      </c>
      <c r="I5238" s="1187">
        <f t="shared" si="184"/>
        <v>-0.35</v>
      </c>
      <c r="J5238" s="941"/>
      <c r="K5238" s="1303"/>
    </row>
    <row r="5239" spans="1:11" s="526" customFormat="1">
      <c r="A5239" s="1302"/>
      <c r="B5239" s="942" t="s">
        <v>1419</v>
      </c>
      <c r="C5239" s="1409" t="s">
        <v>1</v>
      </c>
      <c r="D5239" s="941">
        <v>-1</v>
      </c>
      <c r="E5239" s="941">
        <v>2</v>
      </c>
      <c r="F5239" s="1385">
        <v>2.0830000000000002</v>
      </c>
      <c r="G5239" s="1385"/>
      <c r="H5239" s="1385">
        <v>0.10999999999999999</v>
      </c>
      <c r="I5239" s="1187">
        <f t="shared" si="184"/>
        <v>-0.46</v>
      </c>
      <c r="J5239" s="941"/>
      <c r="K5239" s="1303"/>
    </row>
    <row r="5240" spans="1:11" s="526" customFormat="1">
      <c r="A5240" s="1302"/>
      <c r="B5240" s="942"/>
      <c r="C5240" s="1409" t="s">
        <v>1</v>
      </c>
      <c r="D5240" s="941">
        <v>-1</v>
      </c>
      <c r="E5240" s="941">
        <v>2</v>
      </c>
      <c r="F5240" s="1385">
        <v>2</v>
      </c>
      <c r="G5240" s="1385"/>
      <c r="H5240" s="1385">
        <v>0.10999999999999999</v>
      </c>
      <c r="I5240" s="1187">
        <f t="shared" si="184"/>
        <v>-0.44</v>
      </c>
      <c r="J5240" s="941"/>
      <c r="K5240" s="1303"/>
    </row>
    <row r="5241" spans="1:11" s="526" customFormat="1">
      <c r="A5241" s="1302"/>
      <c r="B5241" s="942" t="s">
        <v>1420</v>
      </c>
      <c r="C5241" s="1409" t="s">
        <v>1</v>
      </c>
      <c r="D5241" s="941">
        <v>-5</v>
      </c>
      <c r="E5241" s="941">
        <v>2</v>
      </c>
      <c r="F5241" s="1385">
        <v>2.032</v>
      </c>
      <c r="G5241" s="1385"/>
      <c r="H5241" s="1385">
        <v>0.10999999999999999</v>
      </c>
      <c r="I5241" s="1187">
        <f t="shared" si="184"/>
        <v>-2.2400000000000002</v>
      </c>
      <c r="J5241" s="941"/>
      <c r="K5241" s="1303"/>
    </row>
    <row r="5242" spans="1:11" s="526" customFormat="1">
      <c r="A5242" s="1302"/>
      <c r="B5242" s="942"/>
      <c r="C5242" s="1409" t="s">
        <v>1</v>
      </c>
      <c r="D5242" s="941">
        <v>-5</v>
      </c>
      <c r="E5242" s="941">
        <v>2</v>
      </c>
      <c r="F5242" s="1385">
        <v>1.4</v>
      </c>
      <c r="G5242" s="1385"/>
      <c r="H5242" s="1385">
        <v>0.10999999999999999</v>
      </c>
      <c r="I5242" s="1187">
        <f t="shared" si="184"/>
        <v>-1.54</v>
      </c>
      <c r="J5242" s="941"/>
      <c r="K5242" s="1303"/>
    </row>
    <row r="5243" spans="1:11" s="526" customFormat="1">
      <c r="A5243" s="1265"/>
      <c r="B5243" s="324"/>
      <c r="C5243" s="325"/>
      <c r="D5243" s="322"/>
      <c r="E5243" s="322"/>
      <c r="F5243" s="1369"/>
      <c r="G5243" s="1369"/>
      <c r="H5243" s="1369"/>
      <c r="I5243" s="1187" t="str">
        <f t="shared" si="184"/>
        <v/>
      </c>
      <c r="J5243" s="322"/>
      <c r="K5243" s="1271"/>
    </row>
    <row r="5244" spans="1:11" s="526" customFormat="1" ht="34.5">
      <c r="A5244" s="1265"/>
      <c r="B5244" s="324" t="s">
        <v>1401</v>
      </c>
      <c r="C5244" s="325" t="s">
        <v>1</v>
      </c>
      <c r="D5244" s="322">
        <v>1</v>
      </c>
      <c r="E5244" s="322">
        <v>1</v>
      </c>
      <c r="F5244" s="1369">
        <v>22.08</v>
      </c>
      <c r="G5244" s="1369"/>
      <c r="H5244" s="1369">
        <v>0.49999999999999994</v>
      </c>
      <c r="I5244" s="1187">
        <f t="shared" si="184"/>
        <v>11.04</v>
      </c>
      <c r="J5244" s="322"/>
      <c r="K5244" s="1271"/>
    </row>
    <row r="5245" spans="1:11" s="526" customFormat="1">
      <c r="A5245" s="1265"/>
      <c r="B5245" s="324"/>
      <c r="C5245" s="325" t="s">
        <v>1</v>
      </c>
      <c r="D5245" s="322">
        <v>1</v>
      </c>
      <c r="E5245" s="322">
        <v>2</v>
      </c>
      <c r="F5245" s="1369">
        <v>2.74</v>
      </c>
      <c r="G5245" s="1369"/>
      <c r="H5245" s="1369">
        <v>0.49999999999999994</v>
      </c>
      <c r="I5245" s="1187">
        <f t="shared" si="184"/>
        <v>2.74</v>
      </c>
      <c r="J5245" s="322"/>
      <c r="K5245" s="1271"/>
    </row>
    <row r="5246" spans="1:11" s="526" customFormat="1">
      <c r="A5246" s="1265"/>
      <c r="B5246" s="324" t="s">
        <v>1402</v>
      </c>
      <c r="C5246" s="325" t="s">
        <v>1</v>
      </c>
      <c r="D5246" s="322">
        <v>1</v>
      </c>
      <c r="E5246" s="322">
        <v>2</v>
      </c>
      <c r="F5246" s="1369">
        <v>8</v>
      </c>
      <c r="G5246" s="1369"/>
      <c r="H5246" s="1369">
        <v>0.49999999999999994</v>
      </c>
      <c r="I5246" s="1187">
        <f t="shared" si="184"/>
        <v>8</v>
      </c>
      <c r="J5246" s="322"/>
      <c r="K5246" s="1271"/>
    </row>
    <row r="5247" spans="1:11" s="526" customFormat="1" ht="34.5">
      <c r="A5247" s="1265"/>
      <c r="B5247" s="324" t="s">
        <v>1403</v>
      </c>
      <c r="C5247" s="325" t="s">
        <v>1</v>
      </c>
      <c r="D5247" s="322">
        <v>3</v>
      </c>
      <c r="E5247" s="322">
        <v>2</v>
      </c>
      <c r="F5247" s="1369">
        <v>5.08</v>
      </c>
      <c r="G5247" s="1369"/>
      <c r="H5247" s="1369">
        <v>0.64999999999999991</v>
      </c>
      <c r="I5247" s="1187">
        <f t="shared" ref="I5247:I5306" si="185">IF(D5247&lt;&gt;0,ROUND(PRODUCT(E5247:H5247)*D5247,2),"")</f>
        <v>19.809999999999999</v>
      </c>
      <c r="J5247" s="322"/>
      <c r="K5247" s="1271"/>
    </row>
    <row r="5248" spans="1:11" s="526" customFormat="1">
      <c r="A5248" s="1265"/>
      <c r="B5248" s="324"/>
      <c r="C5248" s="325" t="s">
        <v>1</v>
      </c>
      <c r="D5248" s="322">
        <v>3</v>
      </c>
      <c r="E5248" s="322">
        <v>1</v>
      </c>
      <c r="F5248" s="1369">
        <v>2.08</v>
      </c>
      <c r="G5248" s="1369"/>
      <c r="H5248" s="1369">
        <v>0.64999999999999991</v>
      </c>
      <c r="I5248" s="1187">
        <f t="shared" si="185"/>
        <v>4.0599999999999996</v>
      </c>
      <c r="J5248" s="322"/>
      <c r="K5248" s="1271"/>
    </row>
    <row r="5249" spans="1:11" s="526" customFormat="1" ht="34.5">
      <c r="A5249" s="1265"/>
      <c r="B5249" s="324" t="s">
        <v>1404</v>
      </c>
      <c r="C5249" s="325" t="s">
        <v>1</v>
      </c>
      <c r="D5249" s="322">
        <v>2</v>
      </c>
      <c r="E5249" s="322">
        <v>2</v>
      </c>
      <c r="F5249" s="1369">
        <v>5.08</v>
      </c>
      <c r="G5249" s="1369"/>
      <c r="H5249" s="1369">
        <v>0.64999999999999991</v>
      </c>
      <c r="I5249" s="1187">
        <f t="shared" si="185"/>
        <v>13.21</v>
      </c>
      <c r="J5249" s="322"/>
      <c r="K5249" s="1271"/>
    </row>
    <row r="5250" spans="1:11" s="526" customFormat="1">
      <c r="A5250" s="1265"/>
      <c r="B5250" s="324"/>
      <c r="C5250" s="325" t="s">
        <v>1</v>
      </c>
      <c r="D5250" s="322">
        <v>2</v>
      </c>
      <c r="E5250" s="322">
        <v>2</v>
      </c>
      <c r="F5250" s="1369">
        <v>2.08</v>
      </c>
      <c r="G5250" s="1369"/>
      <c r="H5250" s="1369">
        <v>0.64999999999999991</v>
      </c>
      <c r="I5250" s="1187">
        <f t="shared" si="185"/>
        <v>5.41</v>
      </c>
      <c r="J5250" s="322"/>
      <c r="K5250" s="1271"/>
    </row>
    <row r="5251" spans="1:11" s="526" customFormat="1">
      <c r="A5251" s="1265"/>
      <c r="B5251" s="324"/>
      <c r="C5251" s="325"/>
      <c r="D5251" s="322"/>
      <c r="E5251" s="322"/>
      <c r="F5251" s="1369"/>
      <c r="G5251" s="1369"/>
      <c r="H5251" s="1369"/>
      <c r="I5251" s="1187" t="str">
        <f t="shared" si="185"/>
        <v/>
      </c>
      <c r="J5251" s="322"/>
      <c r="K5251" s="1271"/>
    </row>
    <row r="5252" spans="1:11" s="526" customFormat="1" ht="34.5">
      <c r="A5252" s="1265"/>
      <c r="B5252" s="324" t="s">
        <v>1405</v>
      </c>
      <c r="C5252" s="325" t="s">
        <v>1</v>
      </c>
      <c r="D5252" s="322">
        <v>4</v>
      </c>
      <c r="E5252" s="322">
        <v>2</v>
      </c>
      <c r="F5252" s="1369">
        <v>3</v>
      </c>
      <c r="G5252" s="1369"/>
      <c r="H5252" s="1369">
        <v>0.49999999999999994</v>
      </c>
      <c r="I5252" s="1187">
        <f t="shared" si="185"/>
        <v>12</v>
      </c>
      <c r="J5252" s="322"/>
      <c r="K5252" s="1271"/>
    </row>
    <row r="5253" spans="1:11" s="526" customFormat="1">
      <c r="A5253" s="1265"/>
      <c r="B5253" s="324" t="s">
        <v>1406</v>
      </c>
      <c r="C5253" s="325" t="s">
        <v>1</v>
      </c>
      <c r="D5253" s="322">
        <v>5</v>
      </c>
      <c r="E5253" s="322">
        <v>2</v>
      </c>
      <c r="F5253" s="1369">
        <v>2.08</v>
      </c>
      <c r="G5253" s="1369"/>
      <c r="H5253" s="1369">
        <v>0.64999999999999991</v>
      </c>
      <c r="I5253" s="1187">
        <f t="shared" si="185"/>
        <v>13.52</v>
      </c>
      <c r="J5253" s="322"/>
      <c r="K5253" s="1271"/>
    </row>
    <row r="5254" spans="1:11" s="526" customFormat="1">
      <c r="A5254" s="1265"/>
      <c r="B5254" s="324"/>
      <c r="C5254" s="325" t="s">
        <v>1</v>
      </c>
      <c r="D5254" s="322">
        <v>2</v>
      </c>
      <c r="E5254" s="322">
        <v>1</v>
      </c>
      <c r="F5254" s="1369">
        <v>5.08</v>
      </c>
      <c r="G5254" s="1369"/>
      <c r="H5254" s="1369">
        <v>0.64999999999999991</v>
      </c>
      <c r="I5254" s="1187">
        <f t="shared" si="185"/>
        <v>6.6</v>
      </c>
      <c r="J5254" s="322"/>
      <c r="K5254" s="1271"/>
    </row>
    <row r="5255" spans="1:11" s="526" customFormat="1">
      <c r="A5255" s="1265"/>
      <c r="B5255" s="324"/>
      <c r="C5255" s="325" t="s">
        <v>1</v>
      </c>
      <c r="D5255" s="322">
        <v>8</v>
      </c>
      <c r="E5255" s="322">
        <v>1</v>
      </c>
      <c r="F5255" s="1386">
        <v>2</v>
      </c>
      <c r="G5255" s="1369"/>
      <c r="H5255" s="1369">
        <v>0.64999999999999991</v>
      </c>
      <c r="I5255" s="1187">
        <f t="shared" si="185"/>
        <v>10.4</v>
      </c>
      <c r="J5255" s="322"/>
      <c r="K5255" s="1271"/>
    </row>
    <row r="5256" spans="1:11" s="526" customFormat="1">
      <c r="A5256" s="1265"/>
      <c r="B5256" s="324" t="s">
        <v>1407</v>
      </c>
      <c r="C5256" s="325"/>
      <c r="D5256" s="322"/>
      <c r="E5256" s="322"/>
      <c r="F5256" s="1369"/>
      <c r="G5256" s="1369"/>
      <c r="H5256" s="1369"/>
      <c r="I5256" s="1187" t="str">
        <f t="shared" si="185"/>
        <v/>
      </c>
      <c r="J5256" s="322"/>
      <c r="K5256" s="1271"/>
    </row>
    <row r="5257" spans="1:11" s="526" customFormat="1" ht="34.5">
      <c r="A5257" s="1265"/>
      <c r="B5257" s="324" t="s">
        <v>1408</v>
      </c>
      <c r="C5257" s="325" t="s">
        <v>1</v>
      </c>
      <c r="D5257" s="322">
        <v>1</v>
      </c>
      <c r="E5257" s="322">
        <v>2</v>
      </c>
      <c r="F5257" s="1369">
        <v>21.54</v>
      </c>
      <c r="G5257" s="1369"/>
      <c r="H5257" s="1369">
        <v>0.10999999999999999</v>
      </c>
      <c r="I5257" s="1187">
        <f t="shared" si="185"/>
        <v>4.74</v>
      </c>
      <c r="J5257" s="322"/>
      <c r="K5257" s="1271"/>
    </row>
    <row r="5258" spans="1:11" s="526" customFormat="1">
      <c r="A5258" s="1265"/>
      <c r="B5258" s="324"/>
      <c r="C5258" s="325" t="s">
        <v>1</v>
      </c>
      <c r="D5258" s="322">
        <v>1</v>
      </c>
      <c r="E5258" s="322">
        <v>2</v>
      </c>
      <c r="F5258" s="1369">
        <v>2.2400000000000002</v>
      </c>
      <c r="G5258" s="1369"/>
      <c r="H5258" s="1369">
        <v>0.10999999999999999</v>
      </c>
      <c r="I5258" s="1187">
        <f t="shared" si="185"/>
        <v>0.49</v>
      </c>
      <c r="J5258" s="322"/>
      <c r="K5258" s="1271"/>
    </row>
    <row r="5259" spans="1:11" s="526" customFormat="1">
      <c r="A5259" s="1265"/>
      <c r="B5259" s="324" t="s">
        <v>1409</v>
      </c>
      <c r="C5259" s="325" t="s">
        <v>1</v>
      </c>
      <c r="D5259" s="322">
        <v>5</v>
      </c>
      <c r="E5259" s="322">
        <v>2</v>
      </c>
      <c r="F5259" s="1369">
        <v>4.54</v>
      </c>
      <c r="G5259" s="1369"/>
      <c r="H5259" s="1369">
        <v>0.10999999999999999</v>
      </c>
      <c r="I5259" s="1187">
        <f t="shared" si="185"/>
        <v>4.99</v>
      </c>
      <c r="J5259" s="322"/>
      <c r="K5259" s="1271"/>
    </row>
    <row r="5260" spans="1:11" s="526" customFormat="1">
      <c r="A5260" s="1265"/>
      <c r="B5260" s="324"/>
      <c r="C5260" s="325" t="s">
        <v>1</v>
      </c>
      <c r="D5260" s="322">
        <v>5</v>
      </c>
      <c r="E5260" s="322">
        <v>2</v>
      </c>
      <c r="F5260" s="1369">
        <v>1.54</v>
      </c>
      <c r="G5260" s="1369"/>
      <c r="H5260" s="1369">
        <v>0.10999999999999999</v>
      </c>
      <c r="I5260" s="1187">
        <f t="shared" si="185"/>
        <v>1.69</v>
      </c>
      <c r="J5260" s="322"/>
      <c r="K5260" s="1271"/>
    </row>
    <row r="5261" spans="1:11" s="526" customFormat="1">
      <c r="A5261" s="1265"/>
      <c r="B5261" s="324"/>
      <c r="C5261" s="325"/>
      <c r="D5261" s="322"/>
      <c r="E5261" s="322"/>
      <c r="F5261" s="1369"/>
      <c r="G5261" s="1369"/>
      <c r="H5261" s="1369"/>
      <c r="I5261" s="1187" t="str">
        <f t="shared" si="185"/>
        <v/>
      </c>
      <c r="J5261" s="322"/>
      <c r="K5261" s="1271"/>
    </row>
    <row r="5262" spans="1:11" s="526" customFormat="1" ht="34.5">
      <c r="A5262" s="1265"/>
      <c r="B5262" s="324" t="s">
        <v>1410</v>
      </c>
      <c r="C5262" s="325" t="s">
        <v>1</v>
      </c>
      <c r="D5262" s="322">
        <v>4</v>
      </c>
      <c r="E5262" s="322">
        <v>2</v>
      </c>
      <c r="F5262" s="1369">
        <v>3</v>
      </c>
      <c r="G5262" s="1369"/>
      <c r="H5262" s="1369">
        <v>0.10999999999999999</v>
      </c>
      <c r="I5262" s="1187">
        <f t="shared" si="185"/>
        <v>2.64</v>
      </c>
      <c r="J5262" s="322"/>
      <c r="K5262" s="1271"/>
    </row>
    <row r="5263" spans="1:11" s="526" customFormat="1">
      <c r="A5263" s="1265"/>
      <c r="B5263" s="324"/>
      <c r="C5263" s="325" t="s">
        <v>1</v>
      </c>
      <c r="D5263" s="322">
        <v>4</v>
      </c>
      <c r="E5263" s="322">
        <v>2</v>
      </c>
      <c r="F5263" s="1369">
        <v>2.4</v>
      </c>
      <c r="G5263" s="1369"/>
      <c r="H5263" s="1369">
        <v>0.10999999999999999</v>
      </c>
      <c r="I5263" s="1187">
        <f t="shared" si="185"/>
        <v>2.11</v>
      </c>
      <c r="J5263" s="322"/>
      <c r="K5263" s="1271"/>
    </row>
    <row r="5264" spans="1:11" s="526" customFormat="1">
      <c r="A5264" s="1265"/>
      <c r="B5264" s="324" t="s">
        <v>1409</v>
      </c>
      <c r="C5264" s="325" t="s">
        <v>1</v>
      </c>
      <c r="D5264" s="322">
        <v>5</v>
      </c>
      <c r="E5264" s="322">
        <v>2</v>
      </c>
      <c r="F5264" s="1369">
        <v>4.54</v>
      </c>
      <c r="G5264" s="1369"/>
      <c r="H5264" s="1369">
        <v>0.10999999999999999</v>
      </c>
      <c r="I5264" s="1187">
        <f t="shared" si="185"/>
        <v>4.99</v>
      </c>
      <c r="J5264" s="322"/>
      <c r="K5264" s="1271"/>
    </row>
    <row r="5265" spans="1:11" s="526" customFormat="1">
      <c r="A5265" s="1265"/>
      <c r="B5265" s="324"/>
      <c r="C5265" s="325" t="s">
        <v>1</v>
      </c>
      <c r="D5265" s="322">
        <v>5</v>
      </c>
      <c r="E5265" s="322">
        <v>2</v>
      </c>
      <c r="F5265" s="1369">
        <v>1.54</v>
      </c>
      <c r="G5265" s="1369"/>
      <c r="H5265" s="1369">
        <v>0.10999999999999999</v>
      </c>
      <c r="I5265" s="1187">
        <f t="shared" si="185"/>
        <v>1.69</v>
      </c>
      <c r="J5265" s="322"/>
      <c r="K5265" s="1271"/>
    </row>
    <row r="5266" spans="1:11" s="526" customFormat="1">
      <c r="A5266" s="1265"/>
      <c r="B5266" s="324"/>
      <c r="C5266" s="325"/>
      <c r="D5266" s="322"/>
      <c r="E5266" s="322"/>
      <c r="F5266" s="1369"/>
      <c r="G5266" s="1369"/>
      <c r="H5266" s="1369"/>
      <c r="I5266" s="1187" t="str">
        <f t="shared" si="185"/>
        <v/>
      </c>
      <c r="J5266" s="322"/>
      <c r="K5266" s="1271"/>
    </row>
    <row r="5267" spans="1:11" s="526" customFormat="1" ht="34.5">
      <c r="A5267" s="1265" t="s">
        <v>1775</v>
      </c>
      <c r="B5267" s="324" t="s">
        <v>1411</v>
      </c>
      <c r="C5267" s="325"/>
      <c r="D5267" s="322"/>
      <c r="E5267" s="322"/>
      <c r="F5267" s="1369"/>
      <c r="G5267" s="1369"/>
      <c r="H5267" s="1369"/>
      <c r="I5267" s="1187" t="str">
        <f t="shared" si="185"/>
        <v/>
      </c>
      <c r="J5267" s="322"/>
      <c r="K5267" s="1271"/>
    </row>
    <row r="5268" spans="1:11" s="526" customFormat="1">
      <c r="A5268" s="1265"/>
      <c r="B5268" s="324" t="s">
        <v>1412</v>
      </c>
      <c r="C5268" s="325" t="s">
        <v>1</v>
      </c>
      <c r="D5268" s="322">
        <v>24</v>
      </c>
      <c r="E5268" s="322">
        <v>4</v>
      </c>
      <c r="F5268" s="1369">
        <v>0.89</v>
      </c>
      <c r="G5268" s="1369"/>
      <c r="H5268" s="1369">
        <v>0.1</v>
      </c>
      <c r="I5268" s="1187">
        <f t="shared" si="185"/>
        <v>8.5399999999999991</v>
      </c>
      <c r="J5268" s="322"/>
      <c r="K5268" s="1271"/>
    </row>
    <row r="5269" spans="1:11" s="526" customFormat="1">
      <c r="A5269" s="1265"/>
      <c r="B5269" s="324"/>
      <c r="C5269" s="325" t="s">
        <v>1</v>
      </c>
      <c r="D5269" s="322">
        <v>24</v>
      </c>
      <c r="E5269" s="322">
        <v>4</v>
      </c>
      <c r="F5269" s="1369">
        <v>1</v>
      </c>
      <c r="G5269" s="1369"/>
      <c r="H5269" s="1369">
        <v>0.33500000000000002</v>
      </c>
      <c r="I5269" s="1187">
        <f t="shared" si="185"/>
        <v>32.159999999999997</v>
      </c>
      <c r="J5269" s="322"/>
      <c r="K5269" s="1271"/>
    </row>
    <row r="5270" spans="1:11" s="526" customFormat="1">
      <c r="A5270" s="1265"/>
      <c r="B5270" s="324"/>
      <c r="C5270" s="325"/>
      <c r="D5270" s="322"/>
      <c r="E5270" s="322"/>
      <c r="F5270" s="1369"/>
      <c r="G5270" s="1369"/>
      <c r="H5270" s="1369"/>
      <c r="I5270" s="1187" t="str">
        <f t="shared" si="185"/>
        <v/>
      </c>
      <c r="J5270" s="322"/>
      <c r="K5270" s="1271"/>
    </row>
    <row r="5271" spans="1:11" s="526" customFormat="1">
      <c r="A5271" s="1265" t="s">
        <v>459</v>
      </c>
      <c r="B5271" s="324" t="s">
        <v>1413</v>
      </c>
      <c r="C5271" s="325"/>
      <c r="D5271" s="322"/>
      <c r="E5271" s="322"/>
      <c r="F5271" s="1369"/>
      <c r="G5271" s="1369"/>
      <c r="H5271" s="1369"/>
      <c r="I5271" s="1187" t="str">
        <f t="shared" si="185"/>
        <v/>
      </c>
      <c r="J5271" s="322"/>
      <c r="K5271" s="1271"/>
    </row>
    <row r="5272" spans="1:11" s="526" customFormat="1" ht="34.5">
      <c r="A5272" s="1265"/>
      <c r="B5272" s="324" t="s">
        <v>1414</v>
      </c>
      <c r="C5272" s="325" t="s">
        <v>1</v>
      </c>
      <c r="D5272" s="322">
        <v>1</v>
      </c>
      <c r="E5272" s="322">
        <v>1</v>
      </c>
      <c r="F5272" s="1369">
        <v>29.114999999999998</v>
      </c>
      <c r="G5272" s="1369"/>
      <c r="H5272" s="1369">
        <v>0.49999999999999994</v>
      </c>
      <c r="I5272" s="1187">
        <f t="shared" si="185"/>
        <v>14.56</v>
      </c>
      <c r="J5272" s="322"/>
      <c r="K5272" s="1271"/>
    </row>
    <row r="5273" spans="1:11" s="526" customFormat="1">
      <c r="A5273" s="1265"/>
      <c r="B5273" s="324"/>
      <c r="C5273" s="325" t="s">
        <v>1</v>
      </c>
      <c r="D5273" s="322">
        <v>1</v>
      </c>
      <c r="E5273" s="322">
        <v>3</v>
      </c>
      <c r="F5273" s="1369">
        <v>3.08</v>
      </c>
      <c r="G5273" s="1369"/>
      <c r="H5273" s="1369">
        <v>0.49999999999999994</v>
      </c>
      <c r="I5273" s="1187">
        <f t="shared" si="185"/>
        <v>4.62</v>
      </c>
      <c r="J5273" s="322"/>
      <c r="K5273" s="1271"/>
    </row>
    <row r="5274" spans="1:11" s="526" customFormat="1">
      <c r="A5274" s="1265"/>
      <c r="B5274" s="324"/>
      <c r="C5274" s="325" t="s">
        <v>1</v>
      </c>
      <c r="D5274" s="322">
        <v>1</v>
      </c>
      <c r="E5274" s="322">
        <v>4</v>
      </c>
      <c r="F5274" s="1369">
        <v>3</v>
      </c>
      <c r="G5274" s="1369"/>
      <c r="H5274" s="1369">
        <v>0.49999999999999994</v>
      </c>
      <c r="I5274" s="1187">
        <f t="shared" si="185"/>
        <v>6</v>
      </c>
      <c r="J5274" s="322"/>
      <c r="K5274" s="1271"/>
    </row>
    <row r="5275" spans="1:11" s="526" customFormat="1">
      <c r="A5275" s="1265"/>
      <c r="B5275" s="324"/>
      <c r="C5275" s="325" t="s">
        <v>1</v>
      </c>
      <c r="D5275" s="322">
        <v>1</v>
      </c>
      <c r="E5275" s="322">
        <v>1</v>
      </c>
      <c r="F5275" s="1369">
        <v>4.1150000000000002</v>
      </c>
      <c r="G5275" s="1369"/>
      <c r="H5275" s="1369">
        <v>0.49999999999999994</v>
      </c>
      <c r="I5275" s="1187">
        <f t="shared" si="185"/>
        <v>2.06</v>
      </c>
      <c r="J5275" s="322"/>
      <c r="K5275" s="1271"/>
    </row>
    <row r="5276" spans="1:11" s="526" customFormat="1">
      <c r="A5276" s="1265"/>
      <c r="B5276" s="324" t="s">
        <v>1415</v>
      </c>
      <c r="C5276" s="325"/>
      <c r="D5276" s="322"/>
      <c r="E5276" s="322"/>
      <c r="F5276" s="1369"/>
      <c r="G5276" s="1369"/>
      <c r="H5276" s="1369"/>
      <c r="I5276" s="1187" t="str">
        <f t="shared" si="185"/>
        <v/>
      </c>
      <c r="J5276" s="322"/>
      <c r="K5276" s="1271"/>
    </row>
    <row r="5277" spans="1:11" s="526" customFormat="1">
      <c r="A5277" s="1265"/>
      <c r="B5277" s="324" t="s">
        <v>1416</v>
      </c>
      <c r="C5277" s="325" t="s">
        <v>1</v>
      </c>
      <c r="D5277" s="322">
        <v>5</v>
      </c>
      <c r="E5277" s="322">
        <v>2</v>
      </c>
      <c r="F5277" s="1369">
        <v>3.0129999999999999</v>
      </c>
      <c r="G5277" s="1369"/>
      <c r="H5277" s="1369">
        <v>0.64999999999999991</v>
      </c>
      <c r="I5277" s="1187">
        <f t="shared" si="185"/>
        <v>19.579999999999998</v>
      </c>
      <c r="J5277" s="322"/>
      <c r="K5277" s="1271"/>
    </row>
    <row r="5278" spans="1:11" s="526" customFormat="1">
      <c r="A5278" s="1265"/>
      <c r="B5278" s="324" t="s">
        <v>1402</v>
      </c>
      <c r="C5278" s="325" t="s">
        <v>1</v>
      </c>
      <c r="D5278" s="322">
        <v>5</v>
      </c>
      <c r="E5278" s="322">
        <v>1</v>
      </c>
      <c r="F5278" s="1369">
        <v>2.08</v>
      </c>
      <c r="G5278" s="1369"/>
      <c r="H5278" s="1369">
        <v>0.64999999999999991</v>
      </c>
      <c r="I5278" s="1187">
        <f t="shared" si="185"/>
        <v>6.76</v>
      </c>
      <c r="J5278" s="322"/>
      <c r="K5278" s="1271"/>
    </row>
    <row r="5279" spans="1:11" s="526" customFormat="1">
      <c r="A5279" s="1265"/>
      <c r="B5279" s="324"/>
      <c r="C5279" s="325"/>
      <c r="D5279" s="322"/>
      <c r="E5279" s="322"/>
      <c r="F5279" s="1369"/>
      <c r="G5279" s="1369"/>
      <c r="H5279" s="1369"/>
      <c r="I5279" s="1187" t="str">
        <f t="shared" si="185"/>
        <v/>
      </c>
      <c r="J5279" s="322"/>
      <c r="K5279" s="1271"/>
    </row>
    <row r="5280" spans="1:11" s="526" customFormat="1">
      <c r="A5280" s="1265"/>
      <c r="B5280" s="324" t="s">
        <v>1417</v>
      </c>
      <c r="C5280" s="325" t="s">
        <v>1</v>
      </c>
      <c r="D5280" s="322">
        <v>1</v>
      </c>
      <c r="E5280" s="322">
        <v>2</v>
      </c>
      <c r="F5280" s="1369">
        <v>2.7650000000000001</v>
      </c>
      <c r="G5280" s="1369"/>
      <c r="H5280" s="1369">
        <v>0.49999999999999994</v>
      </c>
      <c r="I5280" s="1187">
        <f t="shared" si="185"/>
        <v>2.77</v>
      </c>
      <c r="J5280" s="322"/>
      <c r="K5280" s="1271"/>
    </row>
    <row r="5281" spans="1:11" s="526" customFormat="1">
      <c r="A5281" s="1265"/>
      <c r="B5281" s="324"/>
      <c r="C5281" s="325" t="s">
        <v>1</v>
      </c>
      <c r="D5281" s="322">
        <v>1</v>
      </c>
      <c r="E5281" s="322">
        <v>2</v>
      </c>
      <c r="F5281" s="1369">
        <v>2.38</v>
      </c>
      <c r="G5281" s="1369"/>
      <c r="H5281" s="1369">
        <v>0.49999999999999994</v>
      </c>
      <c r="I5281" s="1187">
        <f t="shared" si="185"/>
        <v>2.38</v>
      </c>
      <c r="J5281" s="322"/>
      <c r="K5281" s="1271"/>
    </row>
    <row r="5282" spans="1:11" s="526" customFormat="1">
      <c r="A5282" s="1265"/>
      <c r="B5282" s="324" t="s">
        <v>1418</v>
      </c>
      <c r="C5282" s="325" t="s">
        <v>1</v>
      </c>
      <c r="D5282" s="322">
        <v>1</v>
      </c>
      <c r="E5282" s="322">
        <v>2</v>
      </c>
      <c r="F5282" s="1369">
        <v>2.7650000000000001</v>
      </c>
      <c r="G5282" s="1369"/>
      <c r="H5282" s="1369">
        <v>0.49999999999999994</v>
      </c>
      <c r="I5282" s="1187">
        <f t="shared" si="185"/>
        <v>2.77</v>
      </c>
      <c r="J5282" s="322"/>
      <c r="K5282" s="1271"/>
    </row>
    <row r="5283" spans="1:11" s="526" customFormat="1">
      <c r="A5283" s="1265"/>
      <c r="B5283" s="324"/>
      <c r="C5283" s="325" t="s">
        <v>1</v>
      </c>
      <c r="D5283" s="322">
        <v>1</v>
      </c>
      <c r="E5283" s="322">
        <v>2</v>
      </c>
      <c r="F5283" s="1369">
        <v>2.2800000000000002</v>
      </c>
      <c r="G5283" s="1369"/>
      <c r="H5283" s="1369">
        <v>0.49999999999999994</v>
      </c>
      <c r="I5283" s="1187">
        <f t="shared" si="185"/>
        <v>2.2799999999999998</v>
      </c>
      <c r="J5283" s="322"/>
      <c r="K5283" s="1271"/>
    </row>
    <row r="5284" spans="1:11" s="526" customFormat="1">
      <c r="A5284" s="1265"/>
      <c r="B5284" s="324" t="s">
        <v>1419</v>
      </c>
      <c r="C5284" s="325" t="s">
        <v>1</v>
      </c>
      <c r="D5284" s="322">
        <v>1</v>
      </c>
      <c r="E5284" s="322">
        <v>2</v>
      </c>
      <c r="F5284" s="1369">
        <v>2.7650000000000001</v>
      </c>
      <c r="G5284" s="1369"/>
      <c r="H5284" s="1369">
        <v>0.49999999999999994</v>
      </c>
      <c r="I5284" s="1187">
        <f t="shared" si="185"/>
        <v>2.77</v>
      </c>
      <c r="J5284" s="322"/>
      <c r="K5284" s="1271"/>
    </row>
    <row r="5285" spans="1:11" s="526" customFormat="1">
      <c r="A5285" s="1265"/>
      <c r="B5285" s="324"/>
      <c r="C5285" s="325" t="s">
        <v>1</v>
      </c>
      <c r="D5285" s="322">
        <v>1</v>
      </c>
      <c r="E5285" s="322">
        <v>2</v>
      </c>
      <c r="F5285" s="1369">
        <v>2.68</v>
      </c>
      <c r="G5285" s="1369"/>
      <c r="H5285" s="1369">
        <v>0.49999999999999994</v>
      </c>
      <c r="I5285" s="1187">
        <f t="shared" si="185"/>
        <v>2.68</v>
      </c>
      <c r="J5285" s="322"/>
      <c r="K5285" s="1271"/>
    </row>
    <row r="5286" spans="1:11" s="526" customFormat="1">
      <c r="A5286" s="1265"/>
      <c r="B5286" s="324" t="s">
        <v>1420</v>
      </c>
      <c r="C5286" s="325" t="s">
        <v>1</v>
      </c>
      <c r="D5286" s="322">
        <v>5</v>
      </c>
      <c r="E5286" s="322">
        <v>2</v>
      </c>
      <c r="F5286" s="1369">
        <v>2.7120000000000002</v>
      </c>
      <c r="G5286" s="1369"/>
      <c r="H5286" s="1369">
        <v>0.49999999999999994</v>
      </c>
      <c r="I5286" s="1187">
        <f t="shared" si="185"/>
        <v>13.56</v>
      </c>
      <c r="J5286" s="322"/>
      <c r="K5286" s="1271"/>
    </row>
    <row r="5287" spans="1:11" s="526" customFormat="1">
      <c r="A5287" s="1265"/>
      <c r="B5287" s="324"/>
      <c r="C5287" s="325" t="s">
        <v>1</v>
      </c>
      <c r="D5287" s="322">
        <v>5</v>
      </c>
      <c r="E5287" s="322">
        <v>2</v>
      </c>
      <c r="F5287" s="1369">
        <v>2.08</v>
      </c>
      <c r="G5287" s="1369"/>
      <c r="H5287" s="1369">
        <v>0.49999999999999994</v>
      </c>
      <c r="I5287" s="1187">
        <f t="shared" si="185"/>
        <v>10.4</v>
      </c>
      <c r="J5287" s="322"/>
      <c r="K5287" s="1271"/>
    </row>
    <row r="5288" spans="1:11" s="526" customFormat="1">
      <c r="A5288" s="1265"/>
      <c r="B5288" s="324" t="s">
        <v>1421</v>
      </c>
      <c r="C5288" s="325"/>
      <c r="D5288" s="322"/>
      <c r="E5288" s="322"/>
      <c r="F5288" s="1369"/>
      <c r="G5288" s="1369"/>
      <c r="H5288" s="1369"/>
      <c r="I5288" s="1187" t="str">
        <f t="shared" si="185"/>
        <v/>
      </c>
      <c r="J5288" s="322"/>
      <c r="K5288" s="1271"/>
    </row>
    <row r="5289" spans="1:11" s="526" customFormat="1">
      <c r="A5289" s="1265"/>
      <c r="B5289" s="324" t="s">
        <v>1422</v>
      </c>
      <c r="C5289" s="325" t="s">
        <v>1</v>
      </c>
      <c r="D5289" s="322">
        <v>10</v>
      </c>
      <c r="E5289" s="322">
        <v>4</v>
      </c>
      <c r="F5289" s="1369">
        <v>0.9</v>
      </c>
      <c r="G5289" s="1369"/>
      <c r="H5289" s="1369">
        <v>0.6</v>
      </c>
      <c r="I5289" s="1187">
        <f t="shared" si="185"/>
        <v>21.6</v>
      </c>
      <c r="J5289" s="322"/>
      <c r="K5289" s="1271"/>
    </row>
    <row r="5290" spans="1:11" s="526" customFormat="1">
      <c r="A5290" s="1265"/>
      <c r="B5290" s="324" t="s">
        <v>1423</v>
      </c>
      <c r="C5290" s="325" t="s">
        <v>1</v>
      </c>
      <c r="D5290" s="322">
        <v>10</v>
      </c>
      <c r="E5290" s="322">
        <v>4</v>
      </c>
      <c r="F5290" s="1369">
        <v>1.5</v>
      </c>
      <c r="G5290" s="1369"/>
      <c r="H5290" s="1386">
        <v>0.15</v>
      </c>
      <c r="I5290" s="1187">
        <f t="shared" si="185"/>
        <v>9</v>
      </c>
      <c r="J5290" s="322"/>
      <c r="K5290" s="1271"/>
    </row>
    <row r="5291" spans="1:11" s="526" customFormat="1">
      <c r="A5291" s="1265"/>
      <c r="B5291" s="324" t="s">
        <v>1424</v>
      </c>
      <c r="C5291" s="325"/>
      <c r="D5291" s="322"/>
      <c r="E5291" s="322"/>
      <c r="F5291" s="1369"/>
      <c r="G5291" s="1369"/>
      <c r="H5291" s="1369"/>
      <c r="I5291" s="1187" t="str">
        <f t="shared" si="185"/>
        <v/>
      </c>
      <c r="J5291" s="322"/>
      <c r="K5291" s="1271"/>
    </row>
    <row r="5292" spans="1:11" s="526" customFormat="1">
      <c r="A5292" s="1265"/>
      <c r="B5292" s="324" t="s">
        <v>1425</v>
      </c>
      <c r="C5292" s="325" t="s">
        <v>1</v>
      </c>
      <c r="D5292" s="322">
        <v>40</v>
      </c>
      <c r="E5292" s="322">
        <v>4</v>
      </c>
      <c r="F5292" s="1369">
        <v>0.5</v>
      </c>
      <c r="G5292" s="1369"/>
      <c r="H5292" s="1369">
        <v>0.33500000000000002</v>
      </c>
      <c r="I5292" s="1187">
        <f t="shared" si="185"/>
        <v>26.8</v>
      </c>
      <c r="J5292" s="322"/>
      <c r="K5292" s="1271"/>
    </row>
    <row r="5293" spans="1:11" s="526" customFormat="1">
      <c r="A5293" s="1265"/>
      <c r="B5293" s="324"/>
      <c r="C5293" s="325" t="s">
        <v>1</v>
      </c>
      <c r="D5293" s="322">
        <v>40</v>
      </c>
      <c r="E5293" s="322">
        <v>4</v>
      </c>
      <c r="F5293" s="1369">
        <v>0.40500000000000003</v>
      </c>
      <c r="G5293" s="1369"/>
      <c r="H5293" s="1369">
        <v>0.1</v>
      </c>
      <c r="I5293" s="1187">
        <f t="shared" si="185"/>
        <v>6.48</v>
      </c>
      <c r="J5293" s="322"/>
      <c r="K5293" s="1271"/>
    </row>
    <row r="5294" spans="1:11" s="526" customFormat="1">
      <c r="A5294" s="1265"/>
      <c r="B5294" s="324"/>
      <c r="C5294" s="325"/>
      <c r="D5294" s="322"/>
      <c r="E5294" s="322"/>
      <c r="F5294" s="1369"/>
      <c r="G5294" s="1369"/>
      <c r="H5294" s="1369"/>
      <c r="I5294" s="1187" t="str">
        <f t="shared" si="185"/>
        <v/>
      </c>
      <c r="J5294" s="322"/>
      <c r="K5294" s="1271"/>
    </row>
    <row r="5295" spans="1:11" s="526" customFormat="1" ht="34.5">
      <c r="A5295" s="1265"/>
      <c r="B5295" s="324" t="s">
        <v>1426</v>
      </c>
      <c r="C5295" s="325" t="s">
        <v>1</v>
      </c>
      <c r="D5295" s="322">
        <v>1</v>
      </c>
      <c r="E5295" s="322">
        <v>1</v>
      </c>
      <c r="F5295" s="1369">
        <v>28.574999999999999</v>
      </c>
      <c r="G5295" s="1369"/>
      <c r="H5295" s="1369">
        <v>0.10999999999999999</v>
      </c>
      <c r="I5295" s="1187">
        <f t="shared" si="185"/>
        <v>3.14</v>
      </c>
      <c r="J5295" s="322"/>
      <c r="K5295" s="1271"/>
    </row>
    <row r="5296" spans="1:11" s="526" customFormat="1">
      <c r="A5296" s="1265"/>
      <c r="B5296" s="324"/>
      <c r="C5296" s="325" t="s">
        <v>1</v>
      </c>
      <c r="D5296" s="322">
        <v>1</v>
      </c>
      <c r="E5296" s="322">
        <v>2</v>
      </c>
      <c r="F5296" s="1369">
        <v>2.54</v>
      </c>
      <c r="G5296" s="1369"/>
      <c r="H5296" s="1369">
        <v>0.10999999999999999</v>
      </c>
      <c r="I5296" s="1187">
        <f t="shared" si="185"/>
        <v>0.56000000000000005</v>
      </c>
      <c r="J5296" s="322"/>
      <c r="K5296" s="1271"/>
    </row>
    <row r="5297" spans="1:14" s="526" customFormat="1">
      <c r="A5297" s="1265"/>
      <c r="B5297" s="324"/>
      <c r="C5297" s="325" t="s">
        <v>1</v>
      </c>
      <c r="D5297" s="322">
        <v>1</v>
      </c>
      <c r="E5297" s="322">
        <v>1</v>
      </c>
      <c r="F5297" s="1369">
        <v>2.77</v>
      </c>
      <c r="G5297" s="1369"/>
      <c r="H5297" s="1369">
        <v>0.10999999999999999</v>
      </c>
      <c r="I5297" s="1187">
        <f t="shared" si="185"/>
        <v>0.3</v>
      </c>
      <c r="J5297" s="322"/>
      <c r="K5297" s="1271"/>
    </row>
    <row r="5298" spans="1:14" s="526" customFormat="1">
      <c r="A5298" s="1265"/>
      <c r="B5298" s="324"/>
      <c r="C5298" s="325" t="s">
        <v>1</v>
      </c>
      <c r="D5298" s="322">
        <v>1</v>
      </c>
      <c r="E5298" s="322">
        <v>4</v>
      </c>
      <c r="F5298" s="1369">
        <v>3</v>
      </c>
      <c r="G5298" s="1369"/>
      <c r="H5298" s="1369">
        <v>0.10999999999999999</v>
      </c>
      <c r="I5298" s="1187">
        <f t="shared" si="185"/>
        <v>1.32</v>
      </c>
      <c r="J5298" s="322"/>
      <c r="K5298" s="1271"/>
    </row>
    <row r="5299" spans="1:14" s="526" customFormat="1">
      <c r="A5299" s="1265"/>
      <c r="B5299" s="324" t="s">
        <v>1417</v>
      </c>
      <c r="C5299" s="325" t="s">
        <v>1</v>
      </c>
      <c r="D5299" s="322">
        <v>1</v>
      </c>
      <c r="E5299" s="322">
        <v>2</v>
      </c>
      <c r="F5299" s="1369">
        <v>2.2250000000000001</v>
      </c>
      <c r="G5299" s="1369"/>
      <c r="H5299" s="1369">
        <v>0.10999999999999999</v>
      </c>
      <c r="I5299" s="1187">
        <f t="shared" si="185"/>
        <v>0.49</v>
      </c>
      <c r="J5299" s="322"/>
      <c r="K5299" s="1271"/>
    </row>
    <row r="5300" spans="1:14" s="526" customFormat="1">
      <c r="A5300" s="1265"/>
      <c r="B5300" s="324"/>
      <c r="C5300" s="325" t="s">
        <v>1</v>
      </c>
      <c r="D5300" s="322">
        <v>1</v>
      </c>
      <c r="E5300" s="322">
        <v>2</v>
      </c>
      <c r="F5300" s="1369">
        <v>1.8399999999999999</v>
      </c>
      <c r="G5300" s="1369"/>
      <c r="H5300" s="1369">
        <v>0.10999999999999999</v>
      </c>
      <c r="I5300" s="1187">
        <f t="shared" si="185"/>
        <v>0.4</v>
      </c>
      <c r="J5300" s="322"/>
      <c r="K5300" s="1271"/>
    </row>
    <row r="5301" spans="1:14" s="526" customFormat="1">
      <c r="A5301" s="1265"/>
      <c r="B5301" s="324" t="s">
        <v>1418</v>
      </c>
      <c r="C5301" s="325" t="s">
        <v>1</v>
      </c>
      <c r="D5301" s="322">
        <v>1</v>
      </c>
      <c r="E5301" s="322">
        <v>2</v>
      </c>
      <c r="F5301" s="1369">
        <v>2.2250000000000001</v>
      </c>
      <c r="G5301" s="1369"/>
      <c r="H5301" s="1369">
        <v>0.10999999999999999</v>
      </c>
      <c r="I5301" s="1187">
        <f t="shared" si="185"/>
        <v>0.49</v>
      </c>
      <c r="J5301" s="322"/>
      <c r="K5301" s="1271"/>
    </row>
    <row r="5302" spans="1:14" s="526" customFormat="1">
      <c r="A5302" s="1265"/>
      <c r="B5302" s="324"/>
      <c r="C5302" s="325" t="s">
        <v>1</v>
      </c>
      <c r="D5302" s="322">
        <v>1</v>
      </c>
      <c r="E5302" s="322">
        <v>2</v>
      </c>
      <c r="F5302" s="1369">
        <v>1.7400000000000002</v>
      </c>
      <c r="G5302" s="1369"/>
      <c r="H5302" s="1369">
        <v>0.10999999999999999</v>
      </c>
      <c r="I5302" s="1187">
        <f t="shared" si="185"/>
        <v>0.38</v>
      </c>
      <c r="J5302" s="322"/>
      <c r="K5302" s="1271"/>
    </row>
    <row r="5303" spans="1:14" s="526" customFormat="1">
      <c r="A5303" s="1265"/>
      <c r="B5303" s="324" t="s">
        <v>1419</v>
      </c>
      <c r="C5303" s="325" t="s">
        <v>1</v>
      </c>
      <c r="D5303" s="322">
        <v>1</v>
      </c>
      <c r="E5303" s="322">
        <v>2</v>
      </c>
      <c r="F5303" s="1369">
        <v>2.2250000000000001</v>
      </c>
      <c r="G5303" s="1369"/>
      <c r="H5303" s="1369">
        <v>0.10999999999999999</v>
      </c>
      <c r="I5303" s="1187">
        <f t="shared" si="185"/>
        <v>0.49</v>
      </c>
      <c r="J5303" s="322"/>
      <c r="K5303" s="1271"/>
    </row>
    <row r="5304" spans="1:14" s="526" customFormat="1">
      <c r="A5304" s="1265"/>
      <c r="B5304" s="324"/>
      <c r="C5304" s="325" t="s">
        <v>1</v>
      </c>
      <c r="D5304" s="322">
        <v>1</v>
      </c>
      <c r="E5304" s="322">
        <v>2</v>
      </c>
      <c r="F5304" s="1369">
        <v>2.14</v>
      </c>
      <c r="G5304" s="1369"/>
      <c r="H5304" s="1369">
        <v>0.10999999999999999</v>
      </c>
      <c r="I5304" s="1187">
        <f t="shared" si="185"/>
        <v>0.47</v>
      </c>
      <c r="J5304" s="322"/>
      <c r="K5304" s="1271"/>
    </row>
    <row r="5305" spans="1:14" s="526" customFormat="1">
      <c r="A5305" s="1265"/>
      <c r="B5305" s="324" t="s">
        <v>1420</v>
      </c>
      <c r="C5305" s="325" t="s">
        <v>1</v>
      </c>
      <c r="D5305" s="322">
        <v>5</v>
      </c>
      <c r="E5305" s="322">
        <v>2</v>
      </c>
      <c r="F5305" s="1369">
        <v>2.1720000000000002</v>
      </c>
      <c r="G5305" s="1369"/>
      <c r="H5305" s="1369">
        <v>0.10999999999999999</v>
      </c>
      <c r="I5305" s="1187">
        <f t="shared" si="185"/>
        <v>2.39</v>
      </c>
      <c r="J5305" s="322"/>
      <c r="K5305" s="1271"/>
    </row>
    <row r="5306" spans="1:14" s="526" customFormat="1">
      <c r="A5306" s="1265"/>
      <c r="B5306" s="324"/>
      <c r="C5306" s="325" t="s">
        <v>1</v>
      </c>
      <c r="D5306" s="322">
        <v>5</v>
      </c>
      <c r="E5306" s="322">
        <v>2</v>
      </c>
      <c r="F5306" s="1369">
        <v>1.54</v>
      </c>
      <c r="G5306" s="1369"/>
      <c r="H5306" s="1369">
        <v>0.10999999999999999</v>
      </c>
      <c r="I5306" s="1187">
        <f t="shared" si="185"/>
        <v>1.69</v>
      </c>
      <c r="J5306" s="322"/>
      <c r="K5306" s="1271"/>
    </row>
    <row r="5307" spans="1:14" s="526" customFormat="1">
      <c r="A5307" s="1265"/>
      <c r="B5307" s="324"/>
      <c r="C5307" s="325" t="s">
        <v>1</v>
      </c>
      <c r="D5307" s="322"/>
      <c r="E5307" s="322"/>
      <c r="F5307" s="1369"/>
      <c r="G5307" s="1369"/>
      <c r="H5307" s="1369"/>
      <c r="I5307" s="1174" t="str">
        <f t="shared" ref="I5307:I5308" si="186">IF(D5307&lt;&gt;0,ROUND(PRODUCT(E5307:H5307)*D5307,2),"")</f>
        <v/>
      </c>
      <c r="J5307" s="322"/>
      <c r="K5307" s="1271"/>
    </row>
    <row r="5308" spans="1:14" s="526" customFormat="1">
      <c r="A5308" s="1265"/>
      <c r="B5308" s="324"/>
      <c r="C5308" s="325" t="s">
        <v>1</v>
      </c>
      <c r="D5308" s="322"/>
      <c r="E5308" s="322"/>
      <c r="F5308" s="1369"/>
      <c r="G5308" s="1369"/>
      <c r="H5308" s="1369"/>
      <c r="I5308" s="1174" t="str">
        <f t="shared" si="186"/>
        <v/>
      </c>
      <c r="J5308" s="322"/>
      <c r="K5308" s="1271"/>
    </row>
    <row r="5309" spans="1:14" s="398" customFormat="1">
      <c r="A5309" s="1248"/>
      <c r="B5309" s="161" t="s">
        <v>928</v>
      </c>
      <c r="C5309" s="388" t="s">
        <v>1</v>
      </c>
      <c r="D5309" s="392"/>
      <c r="E5309" s="165"/>
      <c r="F5309" s="401"/>
      <c r="G5309" s="401"/>
      <c r="H5309" s="401"/>
      <c r="I5309" s="938" t="str">
        <f t="shared" ref="I5309:I5310" si="187">IF(D5309&lt;&gt;0,ROUND(PRODUCT(E5309:H5309)*D5309,2),"")</f>
        <v/>
      </c>
      <c r="J5309" s="403">
        <f>SUM(I5188:I5308)</f>
        <v>73.770000000000039</v>
      </c>
      <c r="K5309" s="1249" t="s">
        <v>1690</v>
      </c>
      <c r="L5309" s="431"/>
      <c r="M5309" s="431"/>
      <c r="N5309" s="431"/>
    </row>
    <row r="5310" spans="1:14">
      <c r="A5310" s="1248"/>
      <c r="B5310" s="311"/>
      <c r="C5310" s="165"/>
      <c r="D5310" s="392"/>
      <c r="E5310" s="165"/>
      <c r="F5310" s="401"/>
      <c r="G5310" s="401"/>
      <c r="H5310" s="401"/>
      <c r="I5310" s="938" t="str">
        <f t="shared" si="187"/>
        <v/>
      </c>
      <c r="J5310" s="432">
        <f>SUM(J5187:J5309)</f>
        <v>597.21000000000026</v>
      </c>
      <c r="K5310" s="1289"/>
    </row>
    <row r="5311" spans="1:14">
      <c r="A5311" s="1219">
        <v>1.3</v>
      </c>
      <c r="B5311" s="768" t="s">
        <v>1383</v>
      </c>
      <c r="C5311" s="422"/>
      <c r="D5311" s="436"/>
      <c r="E5311" s="436"/>
      <c r="F5311" s="1359"/>
      <c r="G5311" s="1359"/>
      <c r="H5311" s="1359"/>
      <c r="I5311" s="1172"/>
      <c r="J5311" s="423"/>
      <c r="K5311" s="1220"/>
    </row>
    <row r="5312" spans="1:14" s="858" customFormat="1" ht="34.5" hidden="1" outlineLevel="1">
      <c r="A5312" s="1287"/>
      <c r="B5312" s="855" t="s">
        <v>1384</v>
      </c>
      <c r="C5312" s="854"/>
      <c r="D5312" s="878"/>
      <c r="E5312" s="854"/>
      <c r="F5312" s="859"/>
      <c r="G5312" s="859"/>
      <c r="H5312" s="859"/>
      <c r="I5312" s="1152" t="str">
        <f t="shared" ref="I5312:I5355" si="188">IF(D5312&lt;&gt;0,ROUND(PRODUCT(E5312:H5312)*D5312,2),"")</f>
        <v/>
      </c>
      <c r="J5312" s="894"/>
      <c r="K5312" s="1304"/>
      <c r="L5312" s="875"/>
      <c r="M5312" s="875"/>
      <c r="N5312" s="875"/>
    </row>
    <row r="5313" spans="1:14" s="858" customFormat="1" ht="34.5" hidden="1" outlineLevel="1">
      <c r="A5313" s="1287"/>
      <c r="B5313" s="855" t="s">
        <v>1384</v>
      </c>
      <c r="C5313" s="854"/>
      <c r="D5313" s="878"/>
      <c r="E5313" s="854"/>
      <c r="F5313" s="859"/>
      <c r="G5313" s="859"/>
      <c r="H5313" s="859"/>
      <c r="I5313" s="1152" t="str">
        <f t="shared" si="188"/>
        <v/>
      </c>
      <c r="J5313" s="894"/>
      <c r="K5313" s="1304"/>
      <c r="L5313" s="875"/>
      <c r="M5313" s="875"/>
      <c r="N5313" s="875"/>
    </row>
    <row r="5314" spans="1:14" s="858" customFormat="1" hidden="1" outlineLevel="1">
      <c r="A5314" s="1287"/>
      <c r="B5314" s="855" t="s">
        <v>1385</v>
      </c>
      <c r="C5314" s="854" t="s">
        <v>1</v>
      </c>
      <c r="D5314" s="878">
        <v>1</v>
      </c>
      <c r="E5314" s="854">
        <v>4</v>
      </c>
      <c r="F5314" s="859">
        <v>24.1</v>
      </c>
      <c r="G5314" s="859">
        <v>0.3</v>
      </c>
      <c r="H5314" s="859"/>
      <c r="I5314" s="1187">
        <f t="shared" si="188"/>
        <v>28.92</v>
      </c>
      <c r="J5314" s="894"/>
      <c r="K5314" s="1304"/>
      <c r="L5314" s="875"/>
      <c r="M5314" s="875"/>
      <c r="N5314" s="875"/>
    </row>
    <row r="5315" spans="1:14" s="858" customFormat="1" hidden="1" outlineLevel="1">
      <c r="A5315" s="1287"/>
      <c r="B5315" s="855"/>
      <c r="C5315" s="854" t="s">
        <v>1</v>
      </c>
      <c r="D5315" s="878">
        <v>1</v>
      </c>
      <c r="E5315" s="854">
        <v>2</v>
      </c>
      <c r="F5315" s="863">
        <v>47.844999999999999</v>
      </c>
      <c r="G5315" s="859">
        <v>0.3</v>
      </c>
      <c r="H5315" s="859"/>
      <c r="I5315" s="1187">
        <f t="shared" si="188"/>
        <v>28.71</v>
      </c>
      <c r="J5315" s="894"/>
      <c r="K5315" s="1304"/>
      <c r="L5315" s="875"/>
      <c r="M5315" s="875"/>
      <c r="N5315" s="875"/>
    </row>
    <row r="5316" spans="1:14" s="858" customFormat="1" hidden="1" outlineLevel="1">
      <c r="A5316" s="1287"/>
      <c r="B5316" s="855"/>
      <c r="C5316" s="854"/>
      <c r="D5316" s="878"/>
      <c r="E5316" s="854"/>
      <c r="F5316" s="859"/>
      <c r="G5316" s="859"/>
      <c r="H5316" s="859"/>
      <c r="I5316" s="1187" t="str">
        <f t="shared" si="188"/>
        <v/>
      </c>
      <c r="J5316" s="894"/>
      <c r="K5316" s="1304"/>
      <c r="L5316" s="875"/>
      <c r="M5316" s="875"/>
      <c r="N5316" s="875"/>
    </row>
    <row r="5317" spans="1:14" s="858" customFormat="1" hidden="1" outlineLevel="1">
      <c r="A5317" s="1287"/>
      <c r="B5317" s="855" t="s">
        <v>1386</v>
      </c>
      <c r="C5317" s="854" t="s">
        <v>1</v>
      </c>
      <c r="D5317" s="889">
        <f t="shared" ref="D5317:D5320" si="189">5*0</f>
        <v>0</v>
      </c>
      <c r="E5317" s="854">
        <v>1</v>
      </c>
      <c r="F5317" s="859">
        <f>2.682+0.077</f>
        <v>2.7589999999999999</v>
      </c>
      <c r="G5317" s="859">
        <v>0.3</v>
      </c>
      <c r="H5317" s="859"/>
      <c r="I5317" s="1187" t="str">
        <f t="shared" si="188"/>
        <v/>
      </c>
      <c r="J5317" s="894"/>
      <c r="K5317" s="1304"/>
      <c r="L5317" s="875"/>
      <c r="M5317" s="875"/>
      <c r="N5317" s="875"/>
    </row>
    <row r="5318" spans="1:14" s="858" customFormat="1" hidden="1" outlineLevel="1">
      <c r="A5318" s="1287"/>
      <c r="B5318" s="855"/>
      <c r="C5318" s="854" t="s">
        <v>1</v>
      </c>
      <c r="D5318" s="889">
        <f t="shared" si="189"/>
        <v>0</v>
      </c>
      <c r="E5318" s="854">
        <v>3</v>
      </c>
      <c r="F5318" s="859">
        <f>0.25+0.077+0.33</f>
        <v>0.65700000000000003</v>
      </c>
      <c r="G5318" s="859">
        <v>0.3</v>
      </c>
      <c r="H5318" s="859"/>
      <c r="I5318" s="1187" t="str">
        <f t="shared" si="188"/>
        <v/>
      </c>
      <c r="J5318" s="894"/>
      <c r="K5318" s="1304"/>
      <c r="L5318" s="875"/>
      <c r="M5318" s="875"/>
      <c r="N5318" s="875"/>
    </row>
    <row r="5319" spans="1:14" s="858" customFormat="1" hidden="1" outlineLevel="1">
      <c r="A5319" s="1287"/>
      <c r="B5319" s="855"/>
      <c r="C5319" s="854" t="s">
        <v>1</v>
      </c>
      <c r="D5319" s="889">
        <f t="shared" si="189"/>
        <v>0</v>
      </c>
      <c r="E5319" s="854">
        <v>1</v>
      </c>
      <c r="F5319" s="859">
        <f>2+0.077+0.077</f>
        <v>2.1539999999999999</v>
      </c>
      <c r="G5319" s="859">
        <v>0.3</v>
      </c>
      <c r="H5319" s="859"/>
      <c r="I5319" s="1187" t="str">
        <f t="shared" si="188"/>
        <v/>
      </c>
      <c r="J5319" s="894"/>
      <c r="K5319" s="1304"/>
      <c r="L5319" s="875"/>
      <c r="M5319" s="875"/>
      <c r="N5319" s="875"/>
    </row>
    <row r="5320" spans="1:14" s="858" customFormat="1" hidden="1" outlineLevel="1">
      <c r="A5320" s="1287"/>
      <c r="B5320" s="855"/>
      <c r="C5320" s="854" t="s">
        <v>1</v>
      </c>
      <c r="D5320" s="889">
        <f t="shared" si="189"/>
        <v>0</v>
      </c>
      <c r="E5320" s="854">
        <v>1</v>
      </c>
      <c r="F5320" s="859">
        <f>4.633+0.077</f>
        <v>4.71</v>
      </c>
      <c r="G5320" s="859">
        <v>0.3</v>
      </c>
      <c r="H5320" s="859"/>
      <c r="I5320" s="1187" t="str">
        <f t="shared" si="188"/>
        <v/>
      </c>
      <c r="J5320" s="894"/>
      <c r="K5320" s="1304"/>
      <c r="L5320" s="875"/>
      <c r="M5320" s="875"/>
      <c r="N5320" s="875"/>
    </row>
    <row r="5321" spans="1:14" s="858" customFormat="1" hidden="1" outlineLevel="1">
      <c r="A5321" s="1287"/>
      <c r="B5321" s="855"/>
      <c r="C5321" s="854" t="s">
        <v>1</v>
      </c>
      <c r="D5321" s="889">
        <v>5</v>
      </c>
      <c r="E5321" s="895">
        <v>1</v>
      </c>
      <c r="F5321" s="863">
        <v>15.26</v>
      </c>
      <c r="G5321" s="863">
        <v>0.3</v>
      </c>
      <c r="H5321" s="859"/>
      <c r="I5321" s="1187">
        <f t="shared" si="188"/>
        <v>22.89</v>
      </c>
      <c r="J5321" s="894"/>
      <c r="K5321" s="1304"/>
      <c r="L5321" s="875"/>
      <c r="M5321" s="875"/>
      <c r="N5321" s="875"/>
    </row>
    <row r="5322" spans="1:14" s="858" customFormat="1" hidden="1" outlineLevel="1">
      <c r="A5322" s="1287"/>
      <c r="B5322" s="855" t="s">
        <v>1676</v>
      </c>
      <c r="C5322" s="854" t="s">
        <v>1</v>
      </c>
      <c r="D5322" s="889">
        <v>10</v>
      </c>
      <c r="E5322" s="895">
        <v>-1</v>
      </c>
      <c r="F5322" s="863">
        <f>(0.345+0.345+0.84)</f>
        <v>1.5299999999999998</v>
      </c>
      <c r="G5322" s="863">
        <v>0.3</v>
      </c>
      <c r="H5322" s="859"/>
      <c r="I5322" s="1187">
        <f t="shared" si="188"/>
        <v>-4.59</v>
      </c>
      <c r="J5322" s="894"/>
      <c r="K5322" s="1304"/>
      <c r="L5322" s="875"/>
      <c r="M5322" s="875"/>
      <c r="N5322" s="875"/>
    </row>
    <row r="5323" spans="1:14" s="858" customFormat="1" hidden="1" outlineLevel="1">
      <c r="A5323" s="1287"/>
      <c r="B5323" s="855"/>
      <c r="C5323" s="854"/>
      <c r="D5323" s="878"/>
      <c r="E5323" s="854"/>
      <c r="F5323" s="859"/>
      <c r="G5323" s="859"/>
      <c r="H5323" s="859"/>
      <c r="I5323" s="1187" t="str">
        <f t="shared" si="188"/>
        <v/>
      </c>
      <c r="J5323" s="894"/>
      <c r="K5323" s="1304"/>
      <c r="L5323" s="875"/>
      <c r="M5323" s="875"/>
      <c r="N5323" s="875"/>
    </row>
    <row r="5324" spans="1:14" s="858" customFormat="1" ht="34.5" hidden="1" outlineLevel="1">
      <c r="A5324" s="1287"/>
      <c r="B5324" s="855" t="s">
        <v>1387</v>
      </c>
      <c r="C5324" s="854"/>
      <c r="D5324" s="878"/>
      <c r="E5324" s="854"/>
      <c r="F5324" s="859"/>
      <c r="G5324" s="859"/>
      <c r="H5324" s="859"/>
      <c r="I5324" s="1187" t="str">
        <f t="shared" si="188"/>
        <v/>
      </c>
      <c r="J5324" s="894"/>
      <c r="K5324" s="1304"/>
      <c r="L5324" s="875"/>
      <c r="M5324" s="875"/>
      <c r="N5324" s="875"/>
    </row>
    <row r="5325" spans="1:14" s="858" customFormat="1" hidden="1" outlineLevel="1">
      <c r="A5325" s="1287"/>
      <c r="B5325" s="855"/>
      <c r="C5325" s="854"/>
      <c r="D5325" s="878"/>
      <c r="E5325" s="854"/>
      <c r="F5325" s="859"/>
      <c r="G5325" s="859"/>
      <c r="H5325" s="859"/>
      <c r="I5325" s="1187" t="str">
        <f t="shared" si="188"/>
        <v/>
      </c>
      <c r="J5325" s="894"/>
      <c r="K5325" s="1304"/>
      <c r="L5325" s="875"/>
      <c r="M5325" s="875"/>
      <c r="N5325" s="875"/>
    </row>
    <row r="5326" spans="1:14" s="858" customFormat="1" ht="34.5" hidden="1" outlineLevel="1">
      <c r="A5326" s="1287"/>
      <c r="B5326" s="855" t="s">
        <v>1388</v>
      </c>
      <c r="C5326" s="854"/>
      <c r="D5326" s="878"/>
      <c r="E5326" s="854"/>
      <c r="F5326" s="859"/>
      <c r="G5326" s="859"/>
      <c r="H5326" s="859"/>
      <c r="I5326" s="1187" t="str">
        <f t="shared" si="188"/>
        <v/>
      </c>
      <c r="J5326" s="894"/>
      <c r="K5326" s="1304"/>
      <c r="L5326" s="875"/>
      <c r="M5326" s="875"/>
      <c r="N5326" s="875"/>
    </row>
    <row r="5327" spans="1:14" s="858" customFormat="1" hidden="1" outlineLevel="1">
      <c r="A5327" s="1287"/>
      <c r="B5327" s="855" t="s">
        <v>1389</v>
      </c>
      <c r="C5327" s="854" t="s">
        <v>1</v>
      </c>
      <c r="D5327" s="878">
        <v>1</v>
      </c>
      <c r="E5327" s="854">
        <v>1</v>
      </c>
      <c r="F5327" s="863">
        <v>22</v>
      </c>
      <c r="G5327" s="859">
        <f t="shared" ref="G5327:G5334" si="190">0.23+0.02*3+0.02*2</f>
        <v>0.33</v>
      </c>
      <c r="H5327" s="859"/>
      <c r="I5327" s="1187">
        <f t="shared" si="188"/>
        <v>7.26</v>
      </c>
      <c r="J5327" s="894"/>
      <c r="K5327" s="1304"/>
      <c r="L5327" s="875"/>
      <c r="M5327" s="875"/>
      <c r="N5327" s="875"/>
    </row>
    <row r="5328" spans="1:14" s="858" customFormat="1" hidden="1" outlineLevel="1">
      <c r="A5328" s="1287"/>
      <c r="B5328" s="855"/>
      <c r="C5328" s="854" t="s">
        <v>1</v>
      </c>
      <c r="D5328" s="878">
        <v>1</v>
      </c>
      <c r="E5328" s="854">
        <v>2</v>
      </c>
      <c r="F5328" s="863">
        <v>2.4</v>
      </c>
      <c r="G5328" s="859">
        <f t="shared" si="190"/>
        <v>0.33</v>
      </c>
      <c r="H5328" s="859"/>
      <c r="I5328" s="1187">
        <f t="shared" si="188"/>
        <v>1.58</v>
      </c>
      <c r="J5328" s="894"/>
      <c r="K5328" s="1304"/>
      <c r="L5328" s="875"/>
      <c r="M5328" s="875"/>
      <c r="N5328" s="875"/>
    </row>
    <row r="5329" spans="1:14" s="858" customFormat="1" hidden="1" outlineLevel="1">
      <c r="A5329" s="1287"/>
      <c r="B5329" s="855"/>
      <c r="C5329" s="854" t="s">
        <v>1</v>
      </c>
      <c r="D5329" s="878">
        <v>1</v>
      </c>
      <c r="E5329" s="854">
        <v>2</v>
      </c>
      <c r="F5329" s="859">
        <v>8</v>
      </c>
      <c r="G5329" s="859">
        <f t="shared" si="190"/>
        <v>0.33</v>
      </c>
      <c r="H5329" s="859"/>
      <c r="I5329" s="1187">
        <f t="shared" si="188"/>
        <v>5.28</v>
      </c>
      <c r="J5329" s="894"/>
      <c r="K5329" s="1304"/>
      <c r="L5329" s="875"/>
      <c r="M5329" s="875"/>
      <c r="N5329" s="875"/>
    </row>
    <row r="5330" spans="1:14" s="858" customFormat="1" ht="34.5" hidden="1" outlineLevel="1">
      <c r="A5330" s="1287"/>
      <c r="B5330" s="855" t="s">
        <v>1390</v>
      </c>
      <c r="C5330" s="854" t="s">
        <v>1</v>
      </c>
      <c r="D5330" s="878">
        <v>5</v>
      </c>
      <c r="E5330" s="854">
        <v>2</v>
      </c>
      <c r="F5330" s="863">
        <v>5</v>
      </c>
      <c r="G5330" s="859">
        <f t="shared" si="190"/>
        <v>0.33</v>
      </c>
      <c r="H5330" s="859"/>
      <c r="I5330" s="1187">
        <f t="shared" si="188"/>
        <v>16.5</v>
      </c>
      <c r="J5330" s="894"/>
      <c r="K5330" s="1304"/>
      <c r="L5330" s="875"/>
      <c r="M5330" s="875"/>
      <c r="N5330" s="875"/>
    </row>
    <row r="5331" spans="1:14" s="858" customFormat="1" hidden="1" outlineLevel="1">
      <c r="A5331" s="1287"/>
      <c r="B5331" s="855"/>
      <c r="C5331" s="854" t="s">
        <v>1</v>
      </c>
      <c r="D5331" s="878">
        <v>5</v>
      </c>
      <c r="E5331" s="854">
        <v>2</v>
      </c>
      <c r="F5331" s="863">
        <v>2</v>
      </c>
      <c r="G5331" s="859">
        <f t="shared" si="190"/>
        <v>0.33</v>
      </c>
      <c r="H5331" s="859"/>
      <c r="I5331" s="1187">
        <f t="shared" si="188"/>
        <v>6.6</v>
      </c>
      <c r="J5331" s="894"/>
      <c r="K5331" s="1304"/>
      <c r="L5331" s="875"/>
      <c r="M5331" s="875"/>
      <c r="N5331" s="875"/>
    </row>
    <row r="5332" spans="1:14" s="858" customFormat="1" hidden="1" outlineLevel="1">
      <c r="A5332" s="1287"/>
      <c r="B5332" s="855" t="s">
        <v>1391</v>
      </c>
      <c r="C5332" s="854" t="s">
        <v>1</v>
      </c>
      <c r="D5332" s="878">
        <v>4</v>
      </c>
      <c r="E5332" s="854">
        <v>2</v>
      </c>
      <c r="F5332" s="859">
        <v>3</v>
      </c>
      <c r="G5332" s="859">
        <f t="shared" si="190"/>
        <v>0.33</v>
      </c>
      <c r="H5332" s="859"/>
      <c r="I5332" s="1187">
        <f t="shared" si="188"/>
        <v>7.92</v>
      </c>
      <c r="J5332" s="894"/>
      <c r="K5332" s="1304"/>
      <c r="L5332" s="875"/>
      <c r="M5332" s="875"/>
      <c r="N5332" s="875"/>
    </row>
    <row r="5333" spans="1:14" s="858" customFormat="1" ht="34.5" hidden="1" outlineLevel="1">
      <c r="A5333" s="1287"/>
      <c r="B5333" s="855" t="s">
        <v>1390</v>
      </c>
      <c r="C5333" s="854" t="s">
        <v>1</v>
      </c>
      <c r="D5333" s="878">
        <v>5</v>
      </c>
      <c r="E5333" s="854">
        <v>2</v>
      </c>
      <c r="F5333" s="863">
        <v>5</v>
      </c>
      <c r="G5333" s="859">
        <f t="shared" si="190"/>
        <v>0.33</v>
      </c>
      <c r="H5333" s="859"/>
      <c r="I5333" s="1187">
        <f t="shared" si="188"/>
        <v>16.5</v>
      </c>
      <c r="J5333" s="894"/>
      <c r="K5333" s="1304"/>
      <c r="L5333" s="875"/>
      <c r="M5333" s="875"/>
      <c r="N5333" s="875"/>
    </row>
    <row r="5334" spans="1:14" s="858" customFormat="1" hidden="1" outlineLevel="1">
      <c r="A5334" s="1287"/>
      <c r="B5334" s="855"/>
      <c r="C5334" s="854" t="s">
        <v>1</v>
      </c>
      <c r="D5334" s="878">
        <v>5</v>
      </c>
      <c r="E5334" s="854">
        <v>2</v>
      </c>
      <c r="F5334" s="863">
        <v>2</v>
      </c>
      <c r="G5334" s="859">
        <f t="shared" si="190"/>
        <v>0.33</v>
      </c>
      <c r="H5334" s="859"/>
      <c r="I5334" s="1187">
        <f t="shared" si="188"/>
        <v>6.6</v>
      </c>
      <c r="J5334" s="894"/>
      <c r="K5334" s="1304"/>
      <c r="L5334" s="875"/>
      <c r="M5334" s="875"/>
      <c r="N5334" s="875"/>
    </row>
    <row r="5335" spans="1:14" s="858" customFormat="1" hidden="1" outlineLevel="1">
      <c r="A5335" s="1287"/>
      <c r="B5335" s="855" t="s">
        <v>1392</v>
      </c>
      <c r="C5335" s="854" t="s">
        <v>1</v>
      </c>
      <c r="D5335" s="878">
        <v>24</v>
      </c>
      <c r="E5335" s="854">
        <v>1</v>
      </c>
      <c r="F5335" s="859">
        <v>1</v>
      </c>
      <c r="G5335" s="859">
        <v>1</v>
      </c>
      <c r="H5335" s="859"/>
      <c r="I5335" s="1187">
        <f t="shared" si="188"/>
        <v>24</v>
      </c>
      <c r="J5335" s="894"/>
      <c r="K5335" s="1304"/>
      <c r="L5335" s="875"/>
      <c r="M5335" s="875"/>
      <c r="N5335" s="875"/>
    </row>
    <row r="5336" spans="1:14" s="858" customFormat="1" hidden="1" outlineLevel="1">
      <c r="A5336" s="1287"/>
      <c r="B5336" s="855"/>
      <c r="C5336" s="854"/>
      <c r="D5336" s="878"/>
      <c r="E5336" s="854"/>
      <c r="F5336" s="859"/>
      <c r="G5336" s="859"/>
      <c r="H5336" s="859"/>
      <c r="I5336" s="1187" t="str">
        <f t="shared" si="188"/>
        <v/>
      </c>
      <c r="J5336" s="894"/>
      <c r="K5336" s="1304"/>
      <c r="L5336" s="875"/>
      <c r="M5336" s="875"/>
      <c r="N5336" s="875"/>
    </row>
    <row r="5337" spans="1:14" s="858" customFormat="1" hidden="1" outlineLevel="1">
      <c r="A5337" s="1287"/>
      <c r="B5337" s="855" t="s">
        <v>1393</v>
      </c>
      <c r="C5337" s="854"/>
      <c r="D5337" s="878"/>
      <c r="E5337" s="854"/>
      <c r="F5337" s="859"/>
      <c r="G5337" s="859"/>
      <c r="H5337" s="859"/>
      <c r="I5337" s="1187" t="str">
        <f t="shared" si="188"/>
        <v/>
      </c>
      <c r="J5337" s="894"/>
      <c r="K5337" s="1304"/>
      <c r="L5337" s="875"/>
      <c r="M5337" s="875"/>
      <c r="N5337" s="875"/>
    </row>
    <row r="5338" spans="1:14" s="858" customFormat="1" hidden="1" outlineLevel="1">
      <c r="A5338" s="1287"/>
      <c r="B5338" s="855" t="s">
        <v>1394</v>
      </c>
      <c r="C5338" s="854" t="s">
        <v>1</v>
      </c>
      <c r="D5338" s="878">
        <v>1</v>
      </c>
      <c r="E5338" s="854">
        <v>1</v>
      </c>
      <c r="F5338" s="863">
        <v>29.035</v>
      </c>
      <c r="G5338" s="859">
        <f t="shared" ref="G5338:G5352" si="191">0.23+0.02*3+0.02*2</f>
        <v>0.33</v>
      </c>
      <c r="H5338" s="859"/>
      <c r="I5338" s="1187">
        <f t="shared" si="188"/>
        <v>9.58</v>
      </c>
      <c r="J5338" s="894"/>
      <c r="K5338" s="1304"/>
      <c r="L5338" s="875"/>
      <c r="M5338" s="875"/>
      <c r="N5338" s="875"/>
    </row>
    <row r="5339" spans="1:14" s="858" customFormat="1" hidden="1" outlineLevel="1">
      <c r="A5339" s="1287"/>
      <c r="B5339" s="855"/>
      <c r="C5339" s="854" t="s">
        <v>1</v>
      </c>
      <c r="D5339" s="878">
        <v>1</v>
      </c>
      <c r="E5339" s="854">
        <v>2</v>
      </c>
      <c r="F5339" s="863">
        <v>2.4</v>
      </c>
      <c r="G5339" s="859">
        <f t="shared" si="191"/>
        <v>0.33</v>
      </c>
      <c r="H5339" s="859"/>
      <c r="I5339" s="1187">
        <f t="shared" si="188"/>
        <v>1.58</v>
      </c>
      <c r="J5339" s="894"/>
      <c r="K5339" s="1304"/>
      <c r="L5339" s="875"/>
      <c r="M5339" s="875"/>
      <c r="N5339" s="875"/>
    </row>
    <row r="5340" spans="1:14" s="858" customFormat="1" hidden="1" outlineLevel="1">
      <c r="A5340" s="1287"/>
      <c r="B5340" s="855"/>
      <c r="C5340" s="854" t="s">
        <v>1</v>
      </c>
      <c r="D5340" s="878">
        <v>1</v>
      </c>
      <c r="E5340" s="854">
        <v>1</v>
      </c>
      <c r="F5340" s="863">
        <v>3</v>
      </c>
      <c r="G5340" s="859">
        <f t="shared" si="191"/>
        <v>0.33</v>
      </c>
      <c r="H5340" s="859"/>
      <c r="I5340" s="1187">
        <f t="shared" si="188"/>
        <v>0.99</v>
      </c>
      <c r="J5340" s="894"/>
      <c r="K5340" s="1304"/>
      <c r="L5340" s="875"/>
      <c r="M5340" s="875"/>
      <c r="N5340" s="875"/>
    </row>
    <row r="5341" spans="1:14" s="858" customFormat="1" hidden="1" outlineLevel="1">
      <c r="A5341" s="1287"/>
      <c r="B5341" s="855"/>
      <c r="C5341" s="854" t="s">
        <v>1</v>
      </c>
      <c r="D5341" s="878">
        <v>1</v>
      </c>
      <c r="E5341" s="854">
        <v>4</v>
      </c>
      <c r="F5341" s="859">
        <v>3</v>
      </c>
      <c r="G5341" s="859">
        <f t="shared" si="191"/>
        <v>0.33</v>
      </c>
      <c r="H5341" s="859"/>
      <c r="I5341" s="1187">
        <f t="shared" si="188"/>
        <v>3.96</v>
      </c>
      <c r="J5341" s="894"/>
      <c r="K5341" s="1304"/>
      <c r="L5341" s="875"/>
      <c r="M5341" s="875"/>
      <c r="N5341" s="875"/>
    </row>
    <row r="5342" spans="1:14" s="858" customFormat="1" hidden="1" outlineLevel="1">
      <c r="A5342" s="1287"/>
      <c r="B5342" s="855"/>
      <c r="C5342" s="854" t="s">
        <v>1</v>
      </c>
      <c r="D5342" s="878">
        <v>1</v>
      </c>
      <c r="E5342" s="854">
        <v>1</v>
      </c>
      <c r="F5342" s="863">
        <v>4.0350000000000001</v>
      </c>
      <c r="G5342" s="859">
        <f t="shared" si="191"/>
        <v>0.33</v>
      </c>
      <c r="H5342" s="859"/>
      <c r="I5342" s="1187">
        <f t="shared" si="188"/>
        <v>1.33</v>
      </c>
      <c r="J5342" s="894"/>
      <c r="K5342" s="1304"/>
      <c r="L5342" s="875"/>
      <c r="M5342" s="875"/>
      <c r="N5342" s="875"/>
    </row>
    <row r="5343" spans="1:14" s="858" customFormat="1" ht="34.5" hidden="1" outlineLevel="1">
      <c r="A5343" s="1287"/>
      <c r="B5343" s="855" t="s">
        <v>1390</v>
      </c>
      <c r="C5343" s="854" t="s">
        <v>1</v>
      </c>
      <c r="D5343" s="878">
        <v>5</v>
      </c>
      <c r="E5343" s="854">
        <v>2</v>
      </c>
      <c r="F5343" s="863">
        <v>5</v>
      </c>
      <c r="G5343" s="859">
        <f t="shared" si="191"/>
        <v>0.33</v>
      </c>
      <c r="H5343" s="859"/>
      <c r="I5343" s="1187">
        <f t="shared" si="188"/>
        <v>16.5</v>
      </c>
      <c r="J5343" s="894"/>
      <c r="K5343" s="1304"/>
      <c r="L5343" s="875"/>
      <c r="M5343" s="875"/>
      <c r="N5343" s="875"/>
    </row>
    <row r="5344" spans="1:14" s="858" customFormat="1" hidden="1" outlineLevel="1">
      <c r="A5344" s="1287"/>
      <c r="B5344" s="855"/>
      <c r="C5344" s="854" t="s">
        <v>1</v>
      </c>
      <c r="D5344" s="878">
        <v>5</v>
      </c>
      <c r="E5344" s="854">
        <v>2</v>
      </c>
      <c r="F5344" s="863">
        <v>1.4</v>
      </c>
      <c r="G5344" s="859">
        <f t="shared" si="191"/>
        <v>0.33</v>
      </c>
      <c r="H5344" s="859"/>
      <c r="I5344" s="1187">
        <f t="shared" si="188"/>
        <v>4.62</v>
      </c>
      <c r="J5344" s="894"/>
      <c r="K5344" s="1304"/>
      <c r="L5344" s="875"/>
      <c r="M5344" s="875"/>
      <c r="N5344" s="875"/>
    </row>
    <row r="5345" spans="1:14" s="858" customFormat="1" hidden="1" outlineLevel="1">
      <c r="A5345" s="1287"/>
      <c r="B5345" s="855" t="s">
        <v>1395</v>
      </c>
      <c r="C5345" s="854" t="s">
        <v>1</v>
      </c>
      <c r="D5345" s="878">
        <v>1</v>
      </c>
      <c r="E5345" s="854">
        <v>2</v>
      </c>
      <c r="F5345" s="863">
        <v>2.6850000000000001</v>
      </c>
      <c r="G5345" s="859">
        <f t="shared" si="191"/>
        <v>0.33</v>
      </c>
      <c r="H5345" s="859"/>
      <c r="I5345" s="1187">
        <f t="shared" si="188"/>
        <v>1.77</v>
      </c>
      <c r="J5345" s="894"/>
      <c r="K5345" s="1304"/>
      <c r="L5345" s="875"/>
      <c r="M5345" s="875"/>
      <c r="N5345" s="875"/>
    </row>
    <row r="5346" spans="1:14" s="858" customFormat="1" hidden="1" outlineLevel="1">
      <c r="A5346" s="1287"/>
      <c r="B5346" s="855"/>
      <c r="C5346" s="854" t="s">
        <v>1</v>
      </c>
      <c r="D5346" s="878">
        <v>1</v>
      </c>
      <c r="E5346" s="854">
        <v>2</v>
      </c>
      <c r="F5346" s="863">
        <v>1.7</v>
      </c>
      <c r="G5346" s="859">
        <f t="shared" si="191"/>
        <v>0.33</v>
      </c>
      <c r="H5346" s="859"/>
      <c r="I5346" s="1187">
        <f t="shared" si="188"/>
        <v>1.1200000000000001</v>
      </c>
      <c r="J5346" s="894"/>
      <c r="K5346" s="1304"/>
      <c r="L5346" s="875"/>
      <c r="M5346" s="875"/>
      <c r="N5346" s="875"/>
    </row>
    <row r="5347" spans="1:14" s="858" customFormat="1" hidden="1" outlineLevel="1">
      <c r="A5347" s="1287"/>
      <c r="B5347" s="855" t="s">
        <v>1396</v>
      </c>
      <c r="C5347" s="854" t="s">
        <v>1</v>
      </c>
      <c r="D5347" s="878">
        <v>1</v>
      </c>
      <c r="E5347" s="854">
        <v>2</v>
      </c>
      <c r="F5347" s="863">
        <v>2.6850000000000001</v>
      </c>
      <c r="G5347" s="859">
        <f t="shared" si="191"/>
        <v>0.33</v>
      </c>
      <c r="H5347" s="859"/>
      <c r="I5347" s="1187">
        <f t="shared" si="188"/>
        <v>1.77</v>
      </c>
      <c r="J5347" s="894"/>
      <c r="K5347" s="1304"/>
      <c r="L5347" s="875"/>
      <c r="M5347" s="875"/>
      <c r="N5347" s="875"/>
    </row>
    <row r="5348" spans="1:14" s="858" customFormat="1" hidden="1" outlineLevel="1">
      <c r="A5348" s="1287"/>
      <c r="B5348" s="855"/>
      <c r="C5348" s="854" t="s">
        <v>1</v>
      </c>
      <c r="D5348" s="878">
        <v>1</v>
      </c>
      <c r="E5348" s="854">
        <v>2</v>
      </c>
      <c r="F5348" s="863">
        <v>1.6</v>
      </c>
      <c r="G5348" s="859">
        <f t="shared" si="191"/>
        <v>0.33</v>
      </c>
      <c r="H5348" s="859"/>
      <c r="I5348" s="1187">
        <f t="shared" si="188"/>
        <v>1.06</v>
      </c>
      <c r="J5348" s="894"/>
      <c r="K5348" s="1304"/>
      <c r="L5348" s="875"/>
      <c r="M5348" s="875"/>
      <c r="N5348" s="875"/>
    </row>
    <row r="5349" spans="1:14" s="858" customFormat="1" hidden="1" outlineLevel="1">
      <c r="A5349" s="1287"/>
      <c r="B5349" s="855" t="s">
        <v>1397</v>
      </c>
      <c r="C5349" s="854" t="s">
        <v>1</v>
      </c>
      <c r="D5349" s="878">
        <v>1</v>
      </c>
      <c r="E5349" s="854">
        <v>2</v>
      </c>
      <c r="F5349" s="863">
        <v>2.6850000000000001</v>
      </c>
      <c r="G5349" s="859">
        <f t="shared" si="191"/>
        <v>0.33</v>
      </c>
      <c r="H5349" s="859"/>
      <c r="I5349" s="1187">
        <f t="shared" si="188"/>
        <v>1.77</v>
      </c>
      <c r="J5349" s="894"/>
      <c r="K5349" s="1304"/>
      <c r="L5349" s="875"/>
      <c r="M5349" s="875"/>
      <c r="N5349" s="875"/>
    </row>
    <row r="5350" spans="1:14" s="858" customFormat="1" hidden="1" outlineLevel="1">
      <c r="A5350" s="1287"/>
      <c r="B5350" s="855"/>
      <c r="C5350" s="854" t="s">
        <v>1</v>
      </c>
      <c r="D5350" s="878">
        <v>1</v>
      </c>
      <c r="E5350" s="854">
        <v>2</v>
      </c>
      <c r="F5350" s="863">
        <v>2</v>
      </c>
      <c r="G5350" s="859">
        <f t="shared" si="191"/>
        <v>0.33</v>
      </c>
      <c r="H5350" s="859"/>
      <c r="I5350" s="1187">
        <f t="shared" si="188"/>
        <v>1.32</v>
      </c>
      <c r="J5350" s="894"/>
      <c r="K5350" s="1304"/>
      <c r="L5350" s="875"/>
      <c r="M5350" s="875"/>
      <c r="N5350" s="875"/>
    </row>
    <row r="5351" spans="1:14" s="858" customFormat="1" hidden="1" outlineLevel="1">
      <c r="A5351" s="1287"/>
      <c r="B5351" s="855" t="s">
        <v>1398</v>
      </c>
      <c r="C5351" s="854" t="s">
        <v>1</v>
      </c>
      <c r="D5351" s="878">
        <v>5</v>
      </c>
      <c r="E5351" s="854">
        <v>2</v>
      </c>
      <c r="F5351" s="863">
        <v>2.6320000000000001</v>
      </c>
      <c r="G5351" s="859">
        <f t="shared" si="191"/>
        <v>0.33</v>
      </c>
      <c r="H5351" s="859"/>
      <c r="I5351" s="1187">
        <f t="shared" si="188"/>
        <v>8.69</v>
      </c>
      <c r="J5351" s="894"/>
      <c r="K5351" s="1304"/>
      <c r="L5351" s="875"/>
      <c r="M5351" s="875"/>
      <c r="N5351" s="875"/>
    </row>
    <row r="5352" spans="1:14" s="858" customFormat="1" hidden="1" outlineLevel="1">
      <c r="A5352" s="1287"/>
      <c r="B5352" s="855"/>
      <c r="C5352" s="854" t="s">
        <v>1</v>
      </c>
      <c r="D5352" s="878">
        <v>5</v>
      </c>
      <c r="E5352" s="854">
        <v>2</v>
      </c>
      <c r="F5352" s="863">
        <v>1.4</v>
      </c>
      <c r="G5352" s="859">
        <f t="shared" si="191"/>
        <v>0.33</v>
      </c>
      <c r="H5352" s="859"/>
      <c r="I5352" s="1187">
        <f t="shared" si="188"/>
        <v>4.62</v>
      </c>
      <c r="J5352" s="894"/>
      <c r="K5352" s="1304"/>
      <c r="L5352" s="875"/>
      <c r="M5352" s="875"/>
      <c r="N5352" s="875"/>
    </row>
    <row r="5353" spans="1:14" s="858" customFormat="1" hidden="1" outlineLevel="1">
      <c r="A5353" s="1287"/>
      <c r="B5353" s="855"/>
      <c r="C5353" s="854"/>
      <c r="D5353" s="878"/>
      <c r="E5353" s="854"/>
      <c r="F5353" s="859"/>
      <c r="G5353" s="859"/>
      <c r="H5353" s="859"/>
      <c r="I5353" s="1187" t="str">
        <f t="shared" si="188"/>
        <v/>
      </c>
      <c r="J5353" s="894"/>
      <c r="K5353" s="1304"/>
      <c r="L5353" s="875"/>
      <c r="M5353" s="875"/>
      <c r="N5353" s="875"/>
    </row>
    <row r="5354" spans="1:14" s="858" customFormat="1" hidden="1" outlineLevel="1">
      <c r="A5354" s="1287"/>
      <c r="B5354" s="855" t="s">
        <v>1399</v>
      </c>
      <c r="C5354" s="854" t="s">
        <v>1</v>
      </c>
      <c r="D5354" s="878">
        <v>10</v>
      </c>
      <c r="E5354" s="854">
        <v>1</v>
      </c>
      <c r="F5354" s="859">
        <v>1.5</v>
      </c>
      <c r="G5354" s="859">
        <v>1.5</v>
      </c>
      <c r="H5354" s="859"/>
      <c r="I5354" s="1187">
        <f t="shared" si="188"/>
        <v>22.5</v>
      </c>
      <c r="J5354" s="894"/>
      <c r="K5354" s="1304"/>
      <c r="L5354" s="875"/>
      <c r="M5354" s="875"/>
      <c r="N5354" s="875"/>
    </row>
    <row r="5355" spans="1:14" s="858" customFormat="1" hidden="1" outlineLevel="1">
      <c r="A5355" s="1287"/>
      <c r="B5355" s="855" t="s">
        <v>1400</v>
      </c>
      <c r="C5355" s="854" t="s">
        <v>1</v>
      </c>
      <c r="D5355" s="878">
        <v>10</v>
      </c>
      <c r="E5355" s="854">
        <v>4</v>
      </c>
      <c r="F5355" s="859">
        <v>0.5</v>
      </c>
      <c r="G5355" s="859">
        <v>0.5</v>
      </c>
      <c r="H5355" s="859"/>
      <c r="I5355" s="1187">
        <f t="shared" si="188"/>
        <v>10</v>
      </c>
      <c r="J5355" s="894"/>
      <c r="K5355" s="1304"/>
      <c r="L5355" s="875"/>
      <c r="M5355" s="875"/>
      <c r="N5355" s="875"/>
    </row>
    <row r="5356" spans="1:14" collapsed="1">
      <c r="A5356" s="1248"/>
      <c r="B5356" s="669" t="s">
        <v>85</v>
      </c>
      <c r="C5356" s="465" t="s">
        <v>1</v>
      </c>
      <c r="D5356" s="392"/>
      <c r="E5356" s="165"/>
      <c r="F5356" s="401"/>
      <c r="G5356" s="401"/>
      <c r="H5356" s="401"/>
      <c r="I5356" s="938"/>
      <c r="J5356" s="467">
        <f>SUM(I5311:I5356)</f>
        <v>261.35000000000008</v>
      </c>
      <c r="K5356" s="1289"/>
    </row>
    <row r="5357" spans="1:14">
      <c r="A5357" s="1248"/>
      <c r="B5357" s="311"/>
      <c r="C5357" s="165"/>
      <c r="D5357" s="392"/>
      <c r="E5357" s="165"/>
      <c r="F5357" s="401"/>
      <c r="G5357" s="401"/>
      <c r="H5357" s="401"/>
      <c r="I5357" s="938" t="str">
        <f t="shared" ref="I5357:I5359" si="192">IF(D5357&lt;&gt;0,ROUND(PRODUCT(E5357:H5357)*D5357,2),"")</f>
        <v/>
      </c>
      <c r="J5357" s="162"/>
      <c r="K5357" s="1289"/>
    </row>
    <row r="5358" spans="1:14">
      <c r="A5358" s="1248"/>
      <c r="B5358" s="311"/>
      <c r="C5358" s="165" t="s">
        <v>1</v>
      </c>
      <c r="D5358" s="392"/>
      <c r="E5358" s="165"/>
      <c r="F5358" s="401"/>
      <c r="G5358" s="401"/>
      <c r="H5358" s="401"/>
      <c r="I5358" s="938" t="str">
        <f t="shared" si="192"/>
        <v/>
      </c>
      <c r="J5358" s="162"/>
      <c r="K5358" s="1289"/>
    </row>
    <row r="5359" spans="1:14">
      <c r="A5359" s="1248"/>
      <c r="B5359" s="311"/>
      <c r="C5359" s="165" t="s">
        <v>1</v>
      </c>
      <c r="D5359" s="392"/>
      <c r="E5359" s="165"/>
      <c r="F5359" s="401"/>
      <c r="G5359" s="401"/>
      <c r="H5359" s="401"/>
      <c r="I5359" s="938" t="str">
        <f t="shared" si="192"/>
        <v/>
      </c>
      <c r="J5359" s="162"/>
      <c r="K5359" s="1289"/>
    </row>
    <row r="5360" spans="1:14">
      <c r="A5360" s="1248"/>
      <c r="B5360" s="161" t="s">
        <v>928</v>
      </c>
      <c r="C5360" s="388" t="s">
        <v>1</v>
      </c>
      <c r="D5360" s="392"/>
      <c r="E5360" s="165"/>
      <c r="F5360" s="401"/>
      <c r="G5360" s="401"/>
      <c r="H5360" s="401"/>
      <c r="I5360" s="938" t="str">
        <f t="shared" ref="I5360:I5361" si="193">IF(D5360&lt;&gt;0,ROUND(PRODUCT(E5360:H5360)*D5360,2),"")</f>
        <v/>
      </c>
      <c r="J5360" s="403">
        <f>SUM(I5357:I5359)</f>
        <v>0</v>
      </c>
      <c r="K5360" s="1249" t="s">
        <v>1690</v>
      </c>
    </row>
    <row r="5361" spans="1:14">
      <c r="A5361" s="1248"/>
      <c r="B5361" s="311"/>
      <c r="C5361" s="165"/>
      <c r="D5361" s="392"/>
      <c r="E5361" s="165"/>
      <c r="F5361" s="401"/>
      <c r="G5361" s="401"/>
      <c r="H5361" s="401"/>
      <c r="I5361" s="938" t="str">
        <f t="shared" si="193"/>
        <v/>
      </c>
      <c r="J5361" s="432">
        <f>SUM(J5356:J5360)</f>
        <v>261.35000000000008</v>
      </c>
      <c r="K5361" s="1289"/>
    </row>
    <row r="5362" spans="1:14" s="165" customFormat="1">
      <c r="A5362" s="1251"/>
      <c r="B5362" s="770" t="s">
        <v>1077</v>
      </c>
      <c r="C5362" s="1410"/>
      <c r="D5362" s="446"/>
      <c r="E5362" s="446"/>
      <c r="F5362" s="1370"/>
      <c r="G5362" s="1370"/>
      <c r="H5362" s="1370"/>
      <c r="I5362" s="1175"/>
      <c r="J5362" s="418"/>
      <c r="K5362" s="1252"/>
      <c r="L5362" s="164"/>
      <c r="M5362" s="164"/>
      <c r="N5362" s="164"/>
    </row>
    <row r="5363" spans="1:14">
      <c r="A5363" s="1219">
        <v>1.4</v>
      </c>
      <c r="B5363" s="768" t="s">
        <v>1062</v>
      </c>
      <c r="C5363" s="422"/>
      <c r="D5363" s="436"/>
      <c r="E5363" s="436"/>
      <c r="F5363" s="1359"/>
      <c r="G5363" s="1359"/>
      <c r="H5363" s="1359"/>
      <c r="I5363" s="1172"/>
      <c r="J5363" s="423"/>
      <c r="K5363" s="1220"/>
    </row>
    <row r="5364" spans="1:14" s="398" customFormat="1" hidden="1" outlineLevel="1">
      <c r="A5364" s="1221"/>
      <c r="B5364" s="425"/>
      <c r="C5364" s="165" t="s">
        <v>1</v>
      </c>
      <c r="D5364" s="437">
        <v>1</v>
      </c>
      <c r="E5364" s="437">
        <v>5</v>
      </c>
      <c r="F5364" s="1206">
        <v>7.4</v>
      </c>
      <c r="G5364" s="1206">
        <v>2</v>
      </c>
      <c r="H5364" s="1206"/>
      <c r="I5364" s="1187">
        <f t="shared" ref="I5364:I5370" si="194">IF(D5364&lt;&gt;0,ROUND(PRODUCT(E5364:H5364)*D5364,2),"")</f>
        <v>74</v>
      </c>
      <c r="J5364" s="394"/>
      <c r="K5364" s="1233"/>
      <c r="L5364" s="431"/>
      <c r="M5364" s="431"/>
      <c r="N5364" s="431"/>
    </row>
    <row r="5365" spans="1:14" s="398" customFormat="1" hidden="1" outlineLevel="1">
      <c r="A5365" s="1221"/>
      <c r="B5365" s="425"/>
      <c r="C5365" s="165" t="s">
        <v>1</v>
      </c>
      <c r="D5365" s="437">
        <v>1</v>
      </c>
      <c r="E5365" s="437">
        <v>2</v>
      </c>
      <c r="F5365" s="1206">
        <v>4.7</v>
      </c>
      <c r="G5365" s="1206">
        <v>2</v>
      </c>
      <c r="H5365" s="1206"/>
      <c r="I5365" s="1187">
        <f t="shared" si="194"/>
        <v>18.8</v>
      </c>
      <c r="J5365" s="394"/>
      <c r="K5365" s="1233"/>
      <c r="L5365" s="431"/>
      <c r="M5365" s="431"/>
      <c r="N5365" s="431"/>
    </row>
    <row r="5366" spans="1:14" s="398" customFormat="1" hidden="1" outlineLevel="1">
      <c r="A5366" s="1221"/>
      <c r="B5366" s="425"/>
      <c r="C5366" s="165" t="s">
        <v>1</v>
      </c>
      <c r="D5366" s="437">
        <v>1</v>
      </c>
      <c r="E5366" s="437">
        <v>1</v>
      </c>
      <c r="F5366" s="1206">
        <v>47.844999999999999</v>
      </c>
      <c r="G5366" s="1206">
        <v>2</v>
      </c>
      <c r="H5366" s="1206"/>
      <c r="I5366" s="1187">
        <f t="shared" si="194"/>
        <v>95.69</v>
      </c>
      <c r="J5366" s="394"/>
      <c r="K5366" s="1233"/>
      <c r="L5366" s="431"/>
      <c r="M5366" s="431"/>
      <c r="N5366" s="431"/>
    </row>
    <row r="5367" spans="1:14" s="870" customFormat="1" hidden="1" outlineLevel="1" collapsed="1">
      <c r="A5367" s="1246"/>
      <c r="B5367" s="855" t="s">
        <v>1377</v>
      </c>
      <c r="C5367" s="854" t="s">
        <v>1</v>
      </c>
      <c r="D5367" s="878">
        <v>1</v>
      </c>
      <c r="E5367" s="878">
        <v>1</v>
      </c>
      <c r="F5367" s="1380">
        <v>47.844999999999999</v>
      </c>
      <c r="G5367" s="1378">
        <v>2</v>
      </c>
      <c r="H5367" s="1378"/>
      <c r="I5367" s="1187">
        <f t="shared" si="194"/>
        <v>95.69</v>
      </c>
      <c r="J5367" s="882"/>
      <c r="K5367" s="1292"/>
      <c r="L5367" s="869"/>
      <c r="M5367" s="869"/>
      <c r="N5367" s="869"/>
    </row>
    <row r="5368" spans="1:14" s="870" customFormat="1" hidden="1" outlineLevel="1">
      <c r="A5368" s="1246"/>
      <c r="B5368" s="855"/>
      <c r="C5368" s="854"/>
      <c r="D5368" s="878"/>
      <c r="E5368" s="878"/>
      <c r="F5368" s="1378"/>
      <c r="G5368" s="1378"/>
      <c r="H5368" s="1378"/>
      <c r="I5368" s="1187" t="str">
        <f t="shared" si="194"/>
        <v/>
      </c>
      <c r="J5368" s="882"/>
      <c r="K5368" s="1292"/>
      <c r="L5368" s="869"/>
      <c r="M5368" s="869"/>
      <c r="N5368" s="869"/>
    </row>
    <row r="5369" spans="1:14" s="870" customFormat="1" hidden="1" outlineLevel="1">
      <c r="A5369" s="1246"/>
      <c r="B5369" s="855" t="s">
        <v>1378</v>
      </c>
      <c r="C5369" s="854"/>
      <c r="D5369" s="878"/>
      <c r="E5369" s="878"/>
      <c r="F5369" s="1378"/>
      <c r="G5369" s="1378"/>
      <c r="H5369" s="1378"/>
      <c r="I5369" s="1187" t="str">
        <f t="shared" si="194"/>
        <v/>
      </c>
      <c r="J5369" s="882"/>
      <c r="K5369" s="1292"/>
      <c r="L5369" s="869"/>
      <c r="M5369" s="869"/>
      <c r="N5369" s="869"/>
    </row>
    <row r="5370" spans="1:14" s="870" customFormat="1" hidden="1" outlineLevel="1">
      <c r="A5370" s="1246"/>
      <c r="B5370" s="855">
        <v>0</v>
      </c>
      <c r="C5370" s="854" t="s">
        <v>1</v>
      </c>
      <c r="D5370" s="878">
        <v>1</v>
      </c>
      <c r="E5370" s="878">
        <v>5</v>
      </c>
      <c r="F5370" s="1378">
        <v>10.005000000000001</v>
      </c>
      <c r="G5370" s="1378">
        <v>2</v>
      </c>
      <c r="H5370" s="1378"/>
      <c r="I5370" s="1187">
        <f t="shared" si="194"/>
        <v>100.05</v>
      </c>
      <c r="J5370" s="882"/>
      <c r="K5370" s="1292"/>
      <c r="L5370" s="869"/>
      <c r="M5370" s="869"/>
      <c r="N5370" s="869"/>
    </row>
    <row r="5371" spans="1:14" s="464" customFormat="1" collapsed="1">
      <c r="A5371" s="1264"/>
      <c r="B5371" s="669" t="s">
        <v>85</v>
      </c>
      <c r="C5371" s="465" t="s">
        <v>1</v>
      </c>
      <c r="D5371" s="444"/>
      <c r="E5371" s="345"/>
      <c r="F5371" s="1356"/>
      <c r="G5371" s="1356"/>
      <c r="H5371" s="1356"/>
      <c r="I5371" s="1170" t="str">
        <f t="shared" ref="I5371:I5372" si="195">IF(D5371&lt;&gt;0,ROUND(PRODUCT(E5371:H5371)*D5371,2),"")</f>
        <v/>
      </c>
      <c r="J5371" s="467">
        <f>SUM(I5363:I5371)</f>
        <v>384.23</v>
      </c>
      <c r="K5371" s="1258"/>
      <c r="L5371" s="463"/>
      <c r="M5371" s="463"/>
      <c r="N5371" s="463"/>
    </row>
    <row r="5372" spans="1:14" s="398" customFormat="1">
      <c r="A5372" s="1232"/>
      <c r="B5372" s="311">
        <v>0</v>
      </c>
      <c r="C5372" s="165" t="s">
        <v>1</v>
      </c>
      <c r="D5372" s="392"/>
      <c r="E5372" s="392"/>
      <c r="F5372" s="1352"/>
      <c r="G5372" s="1352"/>
      <c r="H5372" s="1352"/>
      <c r="I5372" s="938" t="str">
        <f t="shared" si="195"/>
        <v/>
      </c>
      <c r="J5372" s="394"/>
      <c r="K5372" s="1233"/>
      <c r="L5372" s="431"/>
      <c r="M5372" s="431"/>
      <c r="N5372" s="431"/>
    </row>
    <row r="5373" spans="1:14" s="398" customFormat="1">
      <c r="A5373" s="1248"/>
      <c r="B5373" s="161" t="s">
        <v>928</v>
      </c>
      <c r="C5373" s="388" t="s">
        <v>1</v>
      </c>
      <c r="D5373" s="392"/>
      <c r="E5373" s="165"/>
      <c r="F5373" s="401"/>
      <c r="G5373" s="401"/>
      <c r="H5373" s="401"/>
      <c r="I5373" s="938" t="str">
        <f t="shared" ref="I5373:I5374" si="196">IF(D5373&lt;&gt;0,ROUND(PRODUCT(E5373:H5373)*D5373,2),"")</f>
        <v/>
      </c>
      <c r="J5373" s="403">
        <f>SUM(I5372:I5372)</f>
        <v>0</v>
      </c>
      <c r="K5373" s="1222" t="s">
        <v>1690</v>
      </c>
      <c r="L5373" s="431"/>
      <c r="M5373" s="431"/>
      <c r="N5373" s="431"/>
    </row>
    <row r="5374" spans="1:14">
      <c r="A5374" s="1248"/>
      <c r="B5374" s="311"/>
      <c r="C5374" s="165"/>
      <c r="D5374" s="392"/>
      <c r="E5374" s="165"/>
      <c r="F5374" s="401"/>
      <c r="G5374" s="401"/>
      <c r="H5374" s="401"/>
      <c r="I5374" s="938" t="str">
        <f t="shared" si="196"/>
        <v/>
      </c>
      <c r="J5374" s="432">
        <f>SUM(J5371:J5373)</f>
        <v>384.23</v>
      </c>
      <c r="K5374" s="1289"/>
    </row>
    <row r="5375" spans="1:14" s="165" customFormat="1">
      <c r="A5375" s="1251"/>
      <c r="B5375" s="770" t="s">
        <v>1056</v>
      </c>
      <c r="C5375" s="1410"/>
      <c r="D5375" s="446"/>
      <c r="E5375" s="446"/>
      <c r="F5375" s="1370"/>
      <c r="G5375" s="1370"/>
      <c r="H5375" s="1370"/>
      <c r="I5375" s="1175"/>
      <c r="J5375" s="418"/>
      <c r="K5375" s="1252"/>
      <c r="L5375" s="164"/>
      <c r="M5375" s="164"/>
      <c r="N5375" s="164"/>
    </row>
    <row r="5376" spans="1:14">
      <c r="A5376" s="1219">
        <v>2.1</v>
      </c>
      <c r="B5376" s="768" t="s">
        <v>1001</v>
      </c>
      <c r="C5376" s="422"/>
      <c r="D5376" s="436"/>
      <c r="E5376" s="436"/>
      <c r="F5376" s="1359"/>
      <c r="G5376" s="1359"/>
      <c r="H5376" s="1359"/>
      <c r="I5376" s="1172"/>
      <c r="J5376" s="423"/>
      <c r="K5376" s="1220"/>
    </row>
    <row r="5377" spans="1:14" s="398" customFormat="1" ht="34.5" hidden="1" outlineLevel="1">
      <c r="A5377" s="1221"/>
      <c r="B5377" s="592" t="s">
        <v>1003</v>
      </c>
      <c r="C5377" s="165"/>
      <c r="D5377" s="437"/>
      <c r="E5377" s="437"/>
      <c r="F5377" s="1206" t="s">
        <v>860</v>
      </c>
      <c r="G5377" s="1206"/>
      <c r="H5377" s="1206"/>
      <c r="I5377" s="938"/>
      <c r="J5377" s="394"/>
      <c r="K5377" s="1233"/>
      <c r="L5377" s="431"/>
      <c r="M5377" s="431"/>
      <c r="N5377" s="431"/>
    </row>
    <row r="5378" spans="1:14" s="398" customFormat="1" ht="34.5" hidden="1" outlineLevel="1">
      <c r="A5378" s="1221"/>
      <c r="B5378" s="425" t="s">
        <v>1029</v>
      </c>
      <c r="C5378" s="165" t="s">
        <v>1</v>
      </c>
      <c r="D5378" s="437">
        <v>1</v>
      </c>
      <c r="E5378" s="437">
        <v>1</v>
      </c>
      <c r="F5378" s="1206">
        <f>1384151173/1000000</f>
        <v>1384.151173</v>
      </c>
      <c r="G5378" s="1206"/>
      <c r="H5378" s="1206"/>
      <c r="I5378" s="1187">
        <f t="shared" ref="I5378:I5441" si="197">IF(D5378&lt;&gt;0,ROUND(PRODUCT(E5378:H5378)*D5378,2),"")</f>
        <v>1384.15</v>
      </c>
      <c r="J5378" s="394"/>
      <c r="K5378" s="1233" t="s">
        <v>860</v>
      </c>
      <c r="L5378" s="431"/>
      <c r="M5378" s="431"/>
      <c r="N5378" s="431"/>
    </row>
    <row r="5379" spans="1:14" s="398" customFormat="1" hidden="1" outlineLevel="1">
      <c r="A5379" s="1221"/>
      <c r="B5379" s="425" t="s">
        <v>1004</v>
      </c>
      <c r="C5379" s="165" t="s">
        <v>1</v>
      </c>
      <c r="D5379" s="437">
        <v>-1</v>
      </c>
      <c r="E5379" s="437">
        <v>3</v>
      </c>
      <c r="F5379" s="1206">
        <v>1.2</v>
      </c>
      <c r="G5379" s="1206">
        <v>0.375</v>
      </c>
      <c r="H5379" s="1206"/>
      <c r="I5379" s="1187">
        <f t="shared" si="197"/>
        <v>-1.35</v>
      </c>
      <c r="J5379" s="394"/>
      <c r="K5379" s="1233"/>
      <c r="L5379" s="431"/>
      <c r="M5379" s="431"/>
      <c r="N5379" s="431"/>
    </row>
    <row r="5380" spans="1:14" s="398" customFormat="1" hidden="1" outlineLevel="1">
      <c r="A5380" s="1221"/>
      <c r="B5380" s="425" t="s">
        <v>1005</v>
      </c>
      <c r="C5380" s="165" t="s">
        <v>1</v>
      </c>
      <c r="D5380" s="437">
        <v>-1</v>
      </c>
      <c r="E5380" s="437">
        <v>13</v>
      </c>
      <c r="F5380" s="1206">
        <f>282743/1000000</f>
        <v>0.28274300000000002</v>
      </c>
      <c r="G5380" s="1206"/>
      <c r="H5380" s="1206"/>
      <c r="I5380" s="1187">
        <f t="shared" si="197"/>
        <v>-3.68</v>
      </c>
      <c r="J5380" s="394"/>
      <c r="K5380" s="1233" t="s">
        <v>860</v>
      </c>
      <c r="L5380" s="431"/>
      <c r="M5380" s="431"/>
      <c r="N5380" s="431"/>
    </row>
    <row r="5381" spans="1:14" s="398" customFormat="1" ht="34.5" hidden="1" outlineLevel="1">
      <c r="A5381" s="1221"/>
      <c r="B5381" s="425" t="s">
        <v>1006</v>
      </c>
      <c r="C5381" s="165" t="s">
        <v>1</v>
      </c>
      <c r="D5381" s="437">
        <v>-1</v>
      </c>
      <c r="E5381" s="437">
        <v>1</v>
      </c>
      <c r="F5381" s="1206">
        <f>20828582/1000000</f>
        <v>20.828582000000001</v>
      </c>
      <c r="G5381" s="1206"/>
      <c r="H5381" s="1206"/>
      <c r="I5381" s="1187">
        <f t="shared" si="197"/>
        <v>-20.83</v>
      </c>
      <c r="J5381" s="394"/>
      <c r="K5381" s="1233" t="s">
        <v>860</v>
      </c>
      <c r="L5381" s="431"/>
      <c r="M5381" s="431"/>
      <c r="N5381" s="431"/>
    </row>
    <row r="5382" spans="1:14" s="398" customFormat="1" hidden="1" outlineLevel="1">
      <c r="A5382" s="1221"/>
      <c r="B5382" s="425" t="s">
        <v>1007</v>
      </c>
      <c r="C5382" s="165" t="s">
        <v>1</v>
      </c>
      <c r="D5382" s="437">
        <v>-1</v>
      </c>
      <c r="E5382" s="437">
        <v>1</v>
      </c>
      <c r="F5382" s="1206">
        <f>51519400/1000000</f>
        <v>51.519399999999997</v>
      </c>
      <c r="G5382" s="1206"/>
      <c r="H5382" s="1206"/>
      <c r="I5382" s="1187">
        <f t="shared" si="197"/>
        <v>-51.52</v>
      </c>
      <c r="J5382" s="394"/>
      <c r="K5382" s="1233" t="s">
        <v>860</v>
      </c>
      <c r="L5382" s="431"/>
      <c r="M5382" s="431"/>
      <c r="N5382" s="431"/>
    </row>
    <row r="5383" spans="1:14" s="398" customFormat="1" hidden="1" outlineLevel="1">
      <c r="A5383" s="1221"/>
      <c r="B5383" s="425"/>
      <c r="C5383" s="165" t="s">
        <v>1</v>
      </c>
      <c r="D5383" s="437">
        <v>-1</v>
      </c>
      <c r="E5383" s="437">
        <v>1</v>
      </c>
      <c r="F5383" s="1206">
        <f>49017661/1000000</f>
        <v>49.017660999999997</v>
      </c>
      <c r="G5383" s="1206"/>
      <c r="H5383" s="1206"/>
      <c r="I5383" s="1187">
        <f t="shared" si="197"/>
        <v>-49.02</v>
      </c>
      <c r="J5383" s="394"/>
      <c r="K5383" s="1233" t="s">
        <v>860</v>
      </c>
      <c r="L5383" s="431"/>
      <c r="M5383" s="431"/>
      <c r="N5383" s="431"/>
    </row>
    <row r="5384" spans="1:14" s="398" customFormat="1" ht="34.5" hidden="1" outlineLevel="1">
      <c r="A5384" s="1221"/>
      <c r="B5384" s="425" t="s">
        <v>1030</v>
      </c>
      <c r="C5384" s="165" t="s">
        <v>1</v>
      </c>
      <c r="D5384" s="437">
        <v>1</v>
      </c>
      <c r="E5384" s="437">
        <v>1</v>
      </c>
      <c r="F5384" s="1206">
        <f>293837007/1000000</f>
        <v>293.83700700000003</v>
      </c>
      <c r="G5384" s="1206"/>
      <c r="H5384" s="1206"/>
      <c r="I5384" s="1187">
        <f t="shared" si="197"/>
        <v>293.83999999999997</v>
      </c>
      <c r="J5384" s="394"/>
      <c r="K5384" s="1233" t="s">
        <v>860</v>
      </c>
      <c r="L5384" s="431"/>
      <c r="M5384" s="431"/>
      <c r="N5384" s="431"/>
    </row>
    <row r="5385" spans="1:14" s="398" customFormat="1" hidden="1" outlineLevel="1">
      <c r="A5385" s="1221"/>
      <c r="B5385" s="425" t="s">
        <v>872</v>
      </c>
      <c r="C5385" s="165" t="s">
        <v>1</v>
      </c>
      <c r="D5385" s="437">
        <v>-1</v>
      </c>
      <c r="E5385" s="437">
        <v>1</v>
      </c>
      <c r="F5385" s="1206">
        <f>28709977/1000000</f>
        <v>28.709976999999999</v>
      </c>
      <c r="G5385" s="1206"/>
      <c r="H5385" s="1206"/>
      <c r="I5385" s="1187">
        <f t="shared" si="197"/>
        <v>-28.71</v>
      </c>
      <c r="J5385" s="394"/>
      <c r="K5385" s="1233" t="s">
        <v>860</v>
      </c>
      <c r="L5385" s="431"/>
      <c r="M5385" s="431"/>
      <c r="N5385" s="431"/>
    </row>
    <row r="5386" spans="1:14" s="398" customFormat="1" hidden="1" outlineLevel="1">
      <c r="A5386" s="1221"/>
      <c r="B5386" s="425"/>
      <c r="C5386" s="165" t="s">
        <v>1</v>
      </c>
      <c r="D5386" s="437">
        <v>-1</v>
      </c>
      <c r="E5386" s="437">
        <v>1</v>
      </c>
      <c r="F5386" s="1206">
        <f>23245156/1000000</f>
        <v>23.245156000000001</v>
      </c>
      <c r="G5386" s="1206"/>
      <c r="H5386" s="1206"/>
      <c r="I5386" s="1187">
        <f t="shared" si="197"/>
        <v>-23.25</v>
      </c>
      <c r="J5386" s="394"/>
      <c r="K5386" s="1233" t="s">
        <v>860</v>
      </c>
      <c r="L5386" s="431"/>
      <c r="M5386" s="431"/>
      <c r="N5386" s="431"/>
    </row>
    <row r="5387" spans="1:14" s="398" customFormat="1" ht="34.5" hidden="1" outlineLevel="1">
      <c r="A5387" s="1221"/>
      <c r="B5387" s="425" t="s">
        <v>1031</v>
      </c>
      <c r="C5387" s="165" t="s">
        <v>1</v>
      </c>
      <c r="D5387" s="437">
        <v>1</v>
      </c>
      <c r="E5387" s="437">
        <v>1</v>
      </c>
      <c r="F5387" s="1206">
        <v>36.715000000000003</v>
      </c>
      <c r="G5387" s="1206">
        <v>8.48</v>
      </c>
      <c r="H5387" s="1206"/>
      <c r="I5387" s="1187">
        <f t="shared" si="197"/>
        <v>311.33999999999997</v>
      </c>
      <c r="J5387" s="394"/>
      <c r="K5387" s="1233"/>
      <c r="L5387" s="431"/>
      <c r="M5387" s="431"/>
      <c r="N5387" s="431"/>
    </row>
    <row r="5388" spans="1:14" s="398" customFormat="1" hidden="1" outlineLevel="1">
      <c r="A5388" s="1221"/>
      <c r="B5388" s="425" t="s">
        <v>1004</v>
      </c>
      <c r="C5388" s="165" t="s">
        <v>1</v>
      </c>
      <c r="D5388" s="437">
        <v>-1</v>
      </c>
      <c r="E5388" s="437">
        <v>10</v>
      </c>
      <c r="F5388" s="1206">
        <v>1.2</v>
      </c>
      <c r="G5388" s="1206">
        <v>0.375</v>
      </c>
      <c r="H5388" s="1206"/>
      <c r="I5388" s="1187">
        <f t="shared" si="197"/>
        <v>-4.5</v>
      </c>
      <c r="J5388" s="394"/>
      <c r="K5388" s="1233"/>
      <c r="L5388" s="431"/>
      <c r="M5388" s="431"/>
      <c r="N5388" s="431"/>
    </row>
    <row r="5389" spans="1:14" s="398" customFormat="1" hidden="1" outlineLevel="1">
      <c r="A5389" s="1221"/>
      <c r="B5389" s="425" t="s">
        <v>1032</v>
      </c>
      <c r="C5389" s="165" t="s">
        <v>1</v>
      </c>
      <c r="D5389" s="437">
        <v>1</v>
      </c>
      <c r="E5389" s="437">
        <v>1</v>
      </c>
      <c r="F5389" s="1206">
        <v>48.075000000000003</v>
      </c>
      <c r="G5389" s="1206">
        <v>6</v>
      </c>
      <c r="H5389" s="1206"/>
      <c r="I5389" s="1187">
        <f t="shared" si="197"/>
        <v>288.45</v>
      </c>
      <c r="J5389" s="394"/>
      <c r="K5389" s="1233"/>
      <c r="L5389" s="431"/>
      <c r="M5389" s="431"/>
      <c r="N5389" s="431"/>
    </row>
    <row r="5390" spans="1:14" s="398" customFormat="1" hidden="1" outlineLevel="1">
      <c r="A5390" s="1221"/>
      <c r="B5390" s="425" t="s">
        <v>1033</v>
      </c>
      <c r="C5390" s="165" t="s">
        <v>1</v>
      </c>
      <c r="D5390" s="437">
        <v>1</v>
      </c>
      <c r="E5390" s="437">
        <v>1</v>
      </c>
      <c r="F5390" s="1206">
        <v>36.715000000000003</v>
      </c>
      <c r="G5390" s="1206">
        <v>8.1649999999999991</v>
      </c>
      <c r="H5390" s="1206"/>
      <c r="I5390" s="1187">
        <f t="shared" si="197"/>
        <v>299.77999999999997</v>
      </c>
      <c r="J5390" s="394"/>
      <c r="K5390" s="1233"/>
      <c r="L5390" s="431">
        <f>288599110/1000000</f>
        <v>288.59911</v>
      </c>
      <c r="M5390" s="431"/>
      <c r="N5390" s="431"/>
    </row>
    <row r="5391" spans="1:14" s="398" customFormat="1" ht="34.5" hidden="1" outlineLevel="1">
      <c r="A5391" s="1221"/>
      <c r="B5391" s="425" t="s">
        <v>1034</v>
      </c>
      <c r="C5391" s="165" t="s">
        <v>1</v>
      </c>
      <c r="D5391" s="437">
        <v>1</v>
      </c>
      <c r="E5391" s="437">
        <v>1</v>
      </c>
      <c r="F5391" s="1206">
        <f>91475204/1000000</f>
        <v>91.475204000000005</v>
      </c>
      <c r="G5391" s="1206"/>
      <c r="H5391" s="1206"/>
      <c r="I5391" s="1187">
        <f t="shared" si="197"/>
        <v>91.48</v>
      </c>
      <c r="J5391" s="394"/>
      <c r="K5391" s="1233" t="s">
        <v>860</v>
      </c>
      <c r="L5391" s="431"/>
      <c r="M5391" s="431"/>
      <c r="N5391" s="431"/>
    </row>
    <row r="5392" spans="1:14" s="398" customFormat="1" ht="34.5" hidden="1" outlineLevel="1">
      <c r="A5392" s="1221"/>
      <c r="B5392" s="425" t="s">
        <v>1035</v>
      </c>
      <c r="C5392" s="165" t="s">
        <v>1</v>
      </c>
      <c r="D5392" s="437">
        <v>1</v>
      </c>
      <c r="E5392" s="437">
        <v>1</v>
      </c>
      <c r="F5392" s="1206">
        <f>281577101/1000000</f>
        <v>281.57710100000003</v>
      </c>
      <c r="G5392" s="1206"/>
      <c r="H5392" s="1206"/>
      <c r="I5392" s="1187">
        <f t="shared" si="197"/>
        <v>281.58</v>
      </c>
      <c r="J5392" s="394"/>
      <c r="K5392" s="1233" t="s">
        <v>860</v>
      </c>
      <c r="L5392" s="431"/>
      <c r="M5392" s="431"/>
      <c r="N5392" s="431"/>
    </row>
    <row r="5393" spans="1:14" s="398" customFormat="1" hidden="1" outlineLevel="1">
      <c r="A5393" s="1221"/>
      <c r="B5393" s="425" t="s">
        <v>1008</v>
      </c>
      <c r="C5393" s="165" t="s">
        <v>1</v>
      </c>
      <c r="D5393" s="437">
        <v>-1</v>
      </c>
      <c r="E5393" s="437">
        <v>6</v>
      </c>
      <c r="F5393" s="1206">
        <v>3.2149999999999999</v>
      </c>
      <c r="G5393" s="1206">
        <v>0.6</v>
      </c>
      <c r="H5393" s="1206"/>
      <c r="I5393" s="1187">
        <f t="shared" si="197"/>
        <v>-11.57</v>
      </c>
      <c r="J5393" s="394"/>
      <c r="K5393" s="1233"/>
      <c r="L5393" s="431"/>
      <c r="M5393" s="431"/>
      <c r="N5393" s="431"/>
    </row>
    <row r="5394" spans="1:14" s="398" customFormat="1" hidden="1" outlineLevel="1">
      <c r="A5394" s="1221"/>
      <c r="B5394" s="425"/>
      <c r="C5394" s="165" t="s">
        <v>1</v>
      </c>
      <c r="D5394" s="437">
        <v>-1</v>
      </c>
      <c r="E5394" s="437">
        <v>1</v>
      </c>
      <c r="F5394" s="1206">
        <v>3.52</v>
      </c>
      <c r="G5394" s="1206">
        <v>0.6</v>
      </c>
      <c r="H5394" s="1206"/>
      <c r="I5394" s="1187">
        <f t="shared" si="197"/>
        <v>-2.11</v>
      </c>
      <c r="J5394" s="394"/>
      <c r="K5394" s="1233"/>
      <c r="L5394" s="431"/>
      <c r="M5394" s="431"/>
      <c r="N5394" s="431"/>
    </row>
    <row r="5395" spans="1:14" s="398" customFormat="1" hidden="1" outlineLevel="1">
      <c r="A5395" s="1221"/>
      <c r="B5395" s="425"/>
      <c r="C5395" s="165" t="s">
        <v>1</v>
      </c>
      <c r="D5395" s="437">
        <v>-1</v>
      </c>
      <c r="E5395" s="437">
        <v>1</v>
      </c>
      <c r="F5395" s="1206">
        <v>4.74</v>
      </c>
      <c r="G5395" s="1206">
        <v>0.6</v>
      </c>
      <c r="H5395" s="1206"/>
      <c r="I5395" s="1187">
        <f t="shared" si="197"/>
        <v>-2.84</v>
      </c>
      <c r="J5395" s="394"/>
      <c r="K5395" s="1233"/>
      <c r="L5395" s="431"/>
      <c r="M5395" s="431"/>
      <c r="N5395" s="431"/>
    </row>
    <row r="5396" spans="1:14" s="398" customFormat="1" hidden="1" outlineLevel="1">
      <c r="A5396" s="1221"/>
      <c r="B5396" s="425"/>
      <c r="C5396" s="165" t="s">
        <v>1</v>
      </c>
      <c r="D5396" s="437">
        <v>-1</v>
      </c>
      <c r="E5396" s="437">
        <v>1</v>
      </c>
      <c r="F5396" s="1206">
        <v>6.2649999999999997</v>
      </c>
      <c r="G5396" s="1206">
        <v>0.6</v>
      </c>
      <c r="H5396" s="1206"/>
      <c r="I5396" s="1187">
        <f t="shared" si="197"/>
        <v>-3.76</v>
      </c>
      <c r="J5396" s="394"/>
      <c r="K5396" s="1233"/>
      <c r="L5396" s="431"/>
      <c r="M5396" s="431"/>
      <c r="N5396" s="431"/>
    </row>
    <row r="5397" spans="1:14" s="398" customFormat="1" hidden="1" outlineLevel="1">
      <c r="A5397" s="1221"/>
      <c r="B5397" s="425"/>
      <c r="C5397" s="165" t="s">
        <v>1</v>
      </c>
      <c r="D5397" s="437">
        <v>-1</v>
      </c>
      <c r="E5397" s="437">
        <v>1</v>
      </c>
      <c r="F5397" s="1206">
        <v>7.79</v>
      </c>
      <c r="G5397" s="1206">
        <v>0.6</v>
      </c>
      <c r="H5397" s="1206"/>
      <c r="I5397" s="1187">
        <f t="shared" si="197"/>
        <v>-4.67</v>
      </c>
      <c r="J5397" s="394"/>
      <c r="K5397" s="1233"/>
      <c r="L5397" s="431"/>
      <c r="M5397" s="431"/>
      <c r="N5397" s="431"/>
    </row>
    <row r="5398" spans="1:14" s="398" customFormat="1" hidden="1" outlineLevel="1">
      <c r="A5398" s="1221"/>
      <c r="B5398" s="425"/>
      <c r="C5398" s="165" t="s">
        <v>1</v>
      </c>
      <c r="D5398" s="437">
        <v>-1</v>
      </c>
      <c r="E5398" s="437">
        <v>1</v>
      </c>
      <c r="F5398" s="1206">
        <v>9.3149999999999995</v>
      </c>
      <c r="G5398" s="1206">
        <v>0.6</v>
      </c>
      <c r="H5398" s="1206"/>
      <c r="I5398" s="1187">
        <f t="shared" si="197"/>
        <v>-5.59</v>
      </c>
      <c r="J5398" s="394"/>
      <c r="K5398" s="1233"/>
      <c r="L5398" s="431"/>
      <c r="M5398" s="431"/>
      <c r="N5398" s="431"/>
    </row>
    <row r="5399" spans="1:14" s="398" customFormat="1" hidden="1" outlineLevel="1">
      <c r="A5399" s="1221"/>
      <c r="B5399" s="425" t="s">
        <v>1036</v>
      </c>
      <c r="C5399" s="165" t="s">
        <v>1</v>
      </c>
      <c r="D5399" s="437">
        <v>1</v>
      </c>
      <c r="E5399" s="437">
        <v>1</v>
      </c>
      <c r="F5399" s="1377">
        <v>26.42</v>
      </c>
      <c r="G5399" s="1206">
        <v>27.98</v>
      </c>
      <c r="H5399" s="1206"/>
      <c r="I5399" s="1187">
        <f t="shared" si="197"/>
        <v>739.23</v>
      </c>
      <c r="J5399" s="394"/>
      <c r="K5399" s="1233"/>
      <c r="L5399" s="431"/>
      <c r="M5399" s="431"/>
      <c r="N5399" s="431"/>
    </row>
    <row r="5400" spans="1:14" s="398" customFormat="1" hidden="1" outlineLevel="1">
      <c r="A5400" s="1221"/>
      <c r="B5400" s="425" t="s">
        <v>1009</v>
      </c>
      <c r="C5400" s="165" t="s">
        <v>1</v>
      </c>
      <c r="D5400" s="437">
        <v>-1</v>
      </c>
      <c r="E5400" s="437">
        <v>1</v>
      </c>
      <c r="F5400" s="1377">
        <v>346.36</v>
      </c>
      <c r="G5400" s="1206"/>
      <c r="H5400" s="1206"/>
      <c r="I5400" s="1187">
        <f t="shared" si="197"/>
        <v>-346.36</v>
      </c>
      <c r="J5400" s="394"/>
      <c r="K5400" s="1233" t="s">
        <v>860</v>
      </c>
      <c r="L5400" s="431"/>
      <c r="M5400" s="431"/>
      <c r="N5400" s="431"/>
    </row>
    <row r="5401" spans="1:14" s="398" customFormat="1" hidden="1" outlineLevel="1">
      <c r="A5401" s="1221"/>
      <c r="B5401" s="425" t="s">
        <v>863</v>
      </c>
      <c r="C5401" s="165" t="s">
        <v>1</v>
      </c>
      <c r="D5401" s="437">
        <v>-1</v>
      </c>
      <c r="E5401" s="437">
        <v>8</v>
      </c>
      <c r="F5401" s="486">
        <v>2.8359999999999999</v>
      </c>
      <c r="G5401" s="486">
        <v>0.28599999999999998</v>
      </c>
      <c r="H5401" s="1206"/>
      <c r="I5401" s="1187">
        <f t="shared" si="197"/>
        <v>-6.49</v>
      </c>
      <c r="J5401" s="394"/>
      <c r="K5401" s="1233"/>
      <c r="L5401" s="431"/>
      <c r="M5401" s="431"/>
      <c r="N5401" s="431"/>
    </row>
    <row r="5402" spans="1:14" s="398" customFormat="1" hidden="1" outlineLevel="1">
      <c r="A5402" s="1221"/>
      <c r="B5402" s="425" t="s">
        <v>1010</v>
      </c>
      <c r="C5402" s="165" t="s">
        <v>1</v>
      </c>
      <c r="D5402" s="437">
        <v>-1</v>
      </c>
      <c r="E5402" s="437">
        <v>2</v>
      </c>
      <c r="F5402" s="1206">
        <v>2.0049999999999999</v>
      </c>
      <c r="G5402" s="1206">
        <v>0.61499999999999999</v>
      </c>
      <c r="H5402" s="1206"/>
      <c r="I5402" s="1187">
        <f t="shared" si="197"/>
        <v>-2.4700000000000002</v>
      </c>
      <c r="J5402" s="394"/>
      <c r="K5402" s="1233"/>
      <c r="L5402" s="431"/>
      <c r="M5402" s="431"/>
      <c r="N5402" s="431"/>
    </row>
    <row r="5403" spans="1:14" s="398" customFormat="1" ht="34.5" hidden="1" outlineLevel="1">
      <c r="A5403" s="1221"/>
      <c r="B5403" s="425" t="s">
        <v>1037</v>
      </c>
      <c r="C5403" s="165" t="s">
        <v>1</v>
      </c>
      <c r="D5403" s="437">
        <v>1</v>
      </c>
      <c r="E5403" s="437">
        <v>1</v>
      </c>
      <c r="F5403" s="1206">
        <f>463338675/1000000</f>
        <v>463.33867500000002</v>
      </c>
      <c r="G5403" s="1206"/>
      <c r="H5403" s="1206"/>
      <c r="I5403" s="1187">
        <f t="shared" si="197"/>
        <v>463.34</v>
      </c>
      <c r="J5403" s="394"/>
      <c r="K5403" s="1233" t="s">
        <v>860</v>
      </c>
      <c r="L5403" s="431"/>
      <c r="M5403" s="431"/>
      <c r="N5403" s="431"/>
    </row>
    <row r="5404" spans="1:14" s="398" customFormat="1" hidden="1" outlineLevel="1">
      <c r="A5404" s="1221"/>
      <c r="B5404" s="425" t="s">
        <v>1011</v>
      </c>
      <c r="C5404" s="165" t="s">
        <v>1</v>
      </c>
      <c r="D5404" s="437">
        <v>-1</v>
      </c>
      <c r="E5404" s="437">
        <v>1</v>
      </c>
      <c r="F5404" s="1206">
        <v>1.8</v>
      </c>
      <c r="G5404" s="1206">
        <v>0.95499999999999996</v>
      </c>
      <c r="H5404" s="1206"/>
      <c r="I5404" s="1187">
        <f t="shared" si="197"/>
        <v>-1.72</v>
      </c>
      <c r="J5404" s="394"/>
      <c r="K5404" s="1233"/>
      <c r="L5404" s="431"/>
      <c r="M5404" s="431"/>
      <c r="N5404" s="431"/>
    </row>
    <row r="5405" spans="1:14" s="398" customFormat="1" hidden="1" outlineLevel="1">
      <c r="A5405" s="1221"/>
      <c r="B5405" s="425"/>
      <c r="C5405" s="165" t="s">
        <v>1</v>
      </c>
      <c r="D5405" s="437">
        <v>-1</v>
      </c>
      <c r="E5405" s="437">
        <v>1</v>
      </c>
      <c r="F5405" s="1206">
        <v>5.85</v>
      </c>
      <c r="G5405" s="1206">
        <v>1.8</v>
      </c>
      <c r="H5405" s="1206"/>
      <c r="I5405" s="1187">
        <f t="shared" si="197"/>
        <v>-10.53</v>
      </c>
      <c r="J5405" s="394"/>
      <c r="K5405" s="1233"/>
      <c r="L5405" s="431"/>
      <c r="M5405" s="431"/>
      <c r="N5405" s="431"/>
    </row>
    <row r="5406" spans="1:14" s="398" customFormat="1" hidden="1" outlineLevel="1">
      <c r="A5406" s="1221"/>
      <c r="B5406" s="425"/>
      <c r="C5406" s="165" t="s">
        <v>1</v>
      </c>
      <c r="D5406" s="437">
        <v>-1</v>
      </c>
      <c r="E5406" s="437">
        <v>1</v>
      </c>
      <c r="F5406" s="1206">
        <v>5.0250000000000004</v>
      </c>
      <c r="G5406" s="1206">
        <v>1.8</v>
      </c>
      <c r="H5406" s="1206"/>
      <c r="I5406" s="1187">
        <f t="shared" si="197"/>
        <v>-9.0500000000000007</v>
      </c>
      <c r="J5406" s="394"/>
      <c r="K5406" s="1233"/>
      <c r="L5406" s="431"/>
      <c r="M5406" s="431"/>
      <c r="N5406" s="431"/>
    </row>
    <row r="5407" spans="1:14" s="398" customFormat="1" hidden="1" outlineLevel="1">
      <c r="A5407" s="1221"/>
      <c r="B5407" s="425" t="s">
        <v>1012</v>
      </c>
      <c r="C5407" s="165" t="s">
        <v>1</v>
      </c>
      <c r="D5407" s="437">
        <v>-1</v>
      </c>
      <c r="E5407" s="437">
        <v>1</v>
      </c>
      <c r="F5407" s="1206">
        <v>3</v>
      </c>
      <c r="G5407" s="1206">
        <v>3.77</v>
      </c>
      <c r="H5407" s="1206"/>
      <c r="I5407" s="1187">
        <f t="shared" si="197"/>
        <v>-11.31</v>
      </c>
      <c r="J5407" s="394"/>
      <c r="K5407" s="1233"/>
      <c r="L5407" s="431"/>
      <c r="M5407" s="431"/>
      <c r="N5407" s="431"/>
    </row>
    <row r="5408" spans="1:14" s="398" customFormat="1" hidden="1" outlineLevel="1">
      <c r="A5408" s="1221"/>
      <c r="B5408" s="425"/>
      <c r="C5408" s="165" t="s">
        <v>1</v>
      </c>
      <c r="D5408" s="437">
        <v>-1</v>
      </c>
      <c r="E5408" s="437">
        <v>1</v>
      </c>
      <c r="F5408" s="1206">
        <v>6</v>
      </c>
      <c r="G5408" s="1206">
        <v>2</v>
      </c>
      <c r="H5408" s="1206"/>
      <c r="I5408" s="1187">
        <f t="shared" si="197"/>
        <v>-12</v>
      </c>
      <c r="J5408" s="394"/>
      <c r="K5408" s="1233"/>
      <c r="L5408" s="431"/>
      <c r="M5408" s="431"/>
      <c r="N5408" s="431"/>
    </row>
    <row r="5409" spans="1:14" s="398" customFormat="1" hidden="1" outlineLevel="1">
      <c r="A5409" s="1221"/>
      <c r="B5409" s="425" t="s">
        <v>866</v>
      </c>
      <c r="C5409" s="165" t="s">
        <v>1</v>
      </c>
      <c r="D5409" s="437">
        <v>-1</v>
      </c>
      <c r="E5409" s="437">
        <v>5</v>
      </c>
      <c r="F5409" s="1206">
        <v>5.8</v>
      </c>
      <c r="G5409" s="1206">
        <v>0.8</v>
      </c>
      <c r="H5409" s="1206"/>
      <c r="I5409" s="1187">
        <f t="shared" si="197"/>
        <v>-23.2</v>
      </c>
      <c r="J5409" s="394"/>
      <c r="K5409" s="1233"/>
      <c r="L5409" s="431"/>
      <c r="M5409" s="431"/>
      <c r="N5409" s="431"/>
    </row>
    <row r="5410" spans="1:14" s="398" customFormat="1" hidden="1" outlineLevel="1">
      <c r="A5410" s="1221"/>
      <c r="B5410" s="425" t="s">
        <v>1013</v>
      </c>
      <c r="C5410" s="165" t="s">
        <v>1</v>
      </c>
      <c r="D5410" s="437">
        <v>-1</v>
      </c>
      <c r="E5410" s="437">
        <v>8</v>
      </c>
      <c r="F5410" s="1206">
        <v>4.5</v>
      </c>
      <c r="G5410" s="1206">
        <v>1</v>
      </c>
      <c r="H5410" s="1206"/>
      <c r="I5410" s="1187">
        <f t="shared" si="197"/>
        <v>-36</v>
      </c>
      <c r="J5410" s="394"/>
      <c r="K5410" s="1233"/>
      <c r="L5410" s="431"/>
      <c r="M5410" s="431"/>
      <c r="N5410" s="431"/>
    </row>
    <row r="5411" spans="1:14" s="398" customFormat="1" hidden="1" outlineLevel="1">
      <c r="A5411" s="1221"/>
      <c r="B5411" s="425" t="s">
        <v>1014</v>
      </c>
      <c r="C5411" s="165" t="s">
        <v>1</v>
      </c>
      <c r="D5411" s="437">
        <v>-1</v>
      </c>
      <c r="E5411" s="437">
        <v>5</v>
      </c>
      <c r="F5411" s="1206">
        <v>11.3</v>
      </c>
      <c r="G5411" s="1206">
        <v>0.8</v>
      </c>
      <c r="H5411" s="1206"/>
      <c r="I5411" s="1187">
        <f t="shared" si="197"/>
        <v>-45.2</v>
      </c>
      <c r="J5411" s="394"/>
      <c r="K5411" s="1233"/>
      <c r="L5411" s="431"/>
      <c r="M5411" s="431"/>
      <c r="N5411" s="431"/>
    </row>
    <row r="5412" spans="1:14" s="398" customFormat="1" hidden="1" outlineLevel="1">
      <c r="A5412" s="1221"/>
      <c r="B5412" s="425" t="s">
        <v>863</v>
      </c>
      <c r="C5412" s="165" t="s">
        <v>1</v>
      </c>
      <c r="D5412" s="437">
        <v>-1</v>
      </c>
      <c r="E5412" s="437">
        <v>7</v>
      </c>
      <c r="F5412" s="486">
        <v>2.8359999999999999</v>
      </c>
      <c r="G5412" s="486">
        <v>0.28599999999999998</v>
      </c>
      <c r="H5412" s="1206"/>
      <c r="I5412" s="1187">
        <f t="shared" si="197"/>
        <v>-5.68</v>
      </c>
      <c r="J5412" s="394"/>
      <c r="K5412" s="1233"/>
      <c r="L5412" s="431"/>
      <c r="M5412" s="431"/>
      <c r="N5412" s="431"/>
    </row>
    <row r="5413" spans="1:14" s="398" customFormat="1" ht="34.5" hidden="1" outlineLevel="1">
      <c r="A5413" s="1221"/>
      <c r="B5413" s="425" t="s">
        <v>1038</v>
      </c>
      <c r="C5413" s="165" t="s">
        <v>1</v>
      </c>
      <c r="D5413" s="437">
        <v>1</v>
      </c>
      <c r="E5413" s="437">
        <v>1</v>
      </c>
      <c r="F5413" s="1206">
        <f>233890855/1000000</f>
        <v>233.89085499999999</v>
      </c>
      <c r="G5413" s="1206"/>
      <c r="H5413" s="1206"/>
      <c r="I5413" s="1187">
        <f t="shared" si="197"/>
        <v>233.89</v>
      </c>
      <c r="J5413" s="394"/>
      <c r="K5413" s="1233" t="s">
        <v>860</v>
      </c>
      <c r="L5413" s="431"/>
      <c r="M5413" s="431"/>
      <c r="N5413" s="431"/>
    </row>
    <row r="5414" spans="1:14" s="398" customFormat="1" ht="34.5" hidden="1" outlineLevel="1">
      <c r="A5414" s="1221"/>
      <c r="B5414" s="425" t="s">
        <v>1039</v>
      </c>
      <c r="C5414" s="165" t="s">
        <v>1</v>
      </c>
      <c r="D5414" s="437">
        <v>1</v>
      </c>
      <c r="E5414" s="437">
        <v>1</v>
      </c>
      <c r="F5414" s="1377">
        <v>822.07</v>
      </c>
      <c r="G5414" s="1206"/>
      <c r="H5414" s="1206"/>
      <c r="I5414" s="1187">
        <f t="shared" si="197"/>
        <v>822.07</v>
      </c>
      <c r="J5414" s="394"/>
      <c r="K5414" s="1233" t="s">
        <v>860</v>
      </c>
      <c r="L5414" s="431"/>
      <c r="M5414" s="431"/>
      <c r="N5414" s="431"/>
    </row>
    <row r="5415" spans="1:14" s="398" customFormat="1" ht="34.5" hidden="1" outlineLevel="1">
      <c r="A5415" s="1221"/>
      <c r="B5415" s="425" t="s">
        <v>1015</v>
      </c>
      <c r="C5415" s="165" t="s">
        <v>1</v>
      </c>
      <c r="D5415" s="437">
        <v>-1</v>
      </c>
      <c r="E5415" s="437">
        <v>1</v>
      </c>
      <c r="F5415" s="1206">
        <f>66365354/1000000</f>
        <v>66.365353999999996</v>
      </c>
      <c r="G5415" s="1206"/>
      <c r="H5415" s="1206"/>
      <c r="I5415" s="1187">
        <f t="shared" si="197"/>
        <v>-66.37</v>
      </c>
      <c r="J5415" s="394"/>
      <c r="K5415" s="1233" t="s">
        <v>860</v>
      </c>
      <c r="L5415" s="431"/>
      <c r="M5415" s="431"/>
      <c r="N5415" s="431"/>
    </row>
    <row r="5416" spans="1:14" s="398" customFormat="1" hidden="1" outlineLevel="1">
      <c r="A5416" s="1221"/>
      <c r="B5416" s="425" t="s">
        <v>1016</v>
      </c>
      <c r="C5416" s="165" t="s">
        <v>1</v>
      </c>
      <c r="D5416" s="437">
        <v>-1</v>
      </c>
      <c r="E5416" s="437">
        <v>1</v>
      </c>
      <c r="F5416" s="1206">
        <v>6.14</v>
      </c>
      <c r="G5416" s="1206">
        <v>0.61</v>
      </c>
      <c r="H5416" s="1206"/>
      <c r="I5416" s="1187">
        <f t="shared" si="197"/>
        <v>-3.75</v>
      </c>
      <c r="J5416" s="394"/>
      <c r="K5416" s="1233"/>
      <c r="L5416" s="431"/>
      <c r="M5416" s="431"/>
      <c r="N5416" s="431"/>
    </row>
    <row r="5417" spans="1:14" s="398" customFormat="1" hidden="1" outlineLevel="1">
      <c r="A5417" s="1221"/>
      <c r="B5417" s="425"/>
      <c r="C5417" s="165" t="s">
        <v>1</v>
      </c>
      <c r="D5417" s="437">
        <v>-1</v>
      </c>
      <c r="E5417" s="437">
        <v>1</v>
      </c>
      <c r="F5417" s="1206">
        <v>4.1050000000000004</v>
      </c>
      <c r="G5417" s="1206">
        <v>0.61</v>
      </c>
      <c r="H5417" s="1206"/>
      <c r="I5417" s="1187">
        <f t="shared" si="197"/>
        <v>-2.5</v>
      </c>
      <c r="J5417" s="394"/>
      <c r="K5417" s="1233"/>
      <c r="L5417" s="431"/>
      <c r="M5417" s="431"/>
      <c r="N5417" s="431"/>
    </row>
    <row r="5418" spans="1:14" s="398" customFormat="1" ht="34.5" hidden="1" outlineLevel="1">
      <c r="A5418" s="1305">
        <v>12</v>
      </c>
      <c r="B5418" s="425" t="s">
        <v>1040</v>
      </c>
      <c r="C5418" s="165" t="s">
        <v>1</v>
      </c>
      <c r="D5418" s="437">
        <v>1</v>
      </c>
      <c r="E5418" s="437">
        <v>1</v>
      </c>
      <c r="F5418" s="1377">
        <v>49.23</v>
      </c>
      <c r="G5418" s="1206"/>
      <c r="H5418" s="1206"/>
      <c r="I5418" s="1187">
        <f t="shared" si="197"/>
        <v>49.23</v>
      </c>
      <c r="J5418" s="394"/>
      <c r="K5418" s="1233" t="s">
        <v>860</v>
      </c>
      <c r="L5418" s="431"/>
      <c r="M5418" s="431"/>
      <c r="N5418" s="431"/>
    </row>
    <row r="5419" spans="1:14" s="398" customFormat="1" hidden="1" outlineLevel="1">
      <c r="A5419" s="1221"/>
      <c r="B5419" s="425" t="s">
        <v>863</v>
      </c>
      <c r="C5419" s="165" t="s">
        <v>1</v>
      </c>
      <c r="D5419" s="437">
        <v>-1</v>
      </c>
      <c r="E5419" s="437">
        <v>2</v>
      </c>
      <c r="F5419" s="486">
        <v>2.8359999999999999</v>
      </c>
      <c r="G5419" s="486">
        <v>0.28599999999999998</v>
      </c>
      <c r="H5419" s="1206"/>
      <c r="I5419" s="1187">
        <f t="shared" si="197"/>
        <v>-1.62</v>
      </c>
      <c r="J5419" s="394"/>
      <c r="K5419" s="1233"/>
      <c r="L5419" s="431"/>
      <c r="M5419" s="431"/>
      <c r="N5419" s="431"/>
    </row>
    <row r="5420" spans="1:14" s="398" customFormat="1" hidden="1" outlineLevel="1">
      <c r="A5420" s="1221"/>
      <c r="B5420" s="425" t="s">
        <v>1041</v>
      </c>
      <c r="C5420" s="165" t="s">
        <v>1</v>
      </c>
      <c r="D5420" s="437">
        <v>1</v>
      </c>
      <c r="E5420" s="437">
        <v>1</v>
      </c>
      <c r="F5420" s="1206">
        <v>20</v>
      </c>
      <c r="G5420" s="1206">
        <v>4.5049999999999999</v>
      </c>
      <c r="H5420" s="1206"/>
      <c r="I5420" s="1187">
        <f t="shared" si="197"/>
        <v>90.1</v>
      </c>
      <c r="J5420" s="394"/>
      <c r="K5420" s="1233"/>
      <c r="L5420" s="431"/>
      <c r="M5420" s="431"/>
      <c r="N5420" s="431"/>
    </row>
    <row r="5421" spans="1:14" s="398" customFormat="1" hidden="1" outlineLevel="1">
      <c r="A5421" s="1221"/>
      <c r="B5421" s="425" t="s">
        <v>1004</v>
      </c>
      <c r="C5421" s="165" t="s">
        <v>1</v>
      </c>
      <c r="D5421" s="437">
        <v>-1</v>
      </c>
      <c r="E5421" s="437">
        <v>2</v>
      </c>
      <c r="F5421" s="1206">
        <v>1.2</v>
      </c>
      <c r="G5421" s="1206">
        <v>0.375</v>
      </c>
      <c r="H5421" s="1206"/>
      <c r="I5421" s="1187">
        <f t="shared" si="197"/>
        <v>-0.9</v>
      </c>
      <c r="J5421" s="394"/>
      <c r="K5421" s="1233"/>
      <c r="L5421" s="431"/>
      <c r="M5421" s="431"/>
      <c r="N5421" s="431"/>
    </row>
    <row r="5422" spans="1:14" s="464" customFormat="1" ht="34.5" hidden="1" outlineLevel="1">
      <c r="A5422" s="1282"/>
      <c r="B5422" s="605" t="s">
        <v>1297</v>
      </c>
      <c r="C5422" s="345" t="s">
        <v>1</v>
      </c>
      <c r="D5422" s="444">
        <f>1*0</f>
        <v>0</v>
      </c>
      <c r="E5422" s="444">
        <v>1</v>
      </c>
      <c r="F5422" s="1381">
        <f>216604619/1000000</f>
        <v>216.60461900000001</v>
      </c>
      <c r="G5422" s="1381"/>
      <c r="H5422" s="1381"/>
      <c r="I5422" s="1187" t="str">
        <f t="shared" si="197"/>
        <v/>
      </c>
      <c r="J5422" s="445"/>
      <c r="K5422" s="1294" t="s">
        <v>860</v>
      </c>
      <c r="L5422" s="431"/>
      <c r="M5422" s="463"/>
      <c r="N5422" s="463"/>
    </row>
    <row r="5423" spans="1:14" s="398" customFormat="1" ht="34.5" hidden="1" outlineLevel="1">
      <c r="A5423" s="1221"/>
      <c r="B5423" s="425" t="s">
        <v>1042</v>
      </c>
      <c r="C5423" s="165" t="s">
        <v>1</v>
      </c>
      <c r="D5423" s="437">
        <v>1</v>
      </c>
      <c r="E5423" s="437">
        <v>1</v>
      </c>
      <c r="F5423" s="1206">
        <f>323717427/1000000</f>
        <v>323.71742699999999</v>
      </c>
      <c r="G5423" s="1206"/>
      <c r="H5423" s="1206"/>
      <c r="I5423" s="1187">
        <f t="shared" si="197"/>
        <v>323.72000000000003</v>
      </c>
      <c r="J5423" s="394"/>
      <c r="K5423" s="1233" t="s">
        <v>860</v>
      </c>
      <c r="L5423" s="431"/>
      <c r="M5423" s="431"/>
      <c r="N5423" s="431"/>
    </row>
    <row r="5424" spans="1:14" s="398" customFormat="1" ht="34.5" hidden="1" outlineLevel="1">
      <c r="A5424" s="1221"/>
      <c r="B5424" s="425" t="s">
        <v>1017</v>
      </c>
      <c r="C5424" s="165" t="s">
        <v>1</v>
      </c>
      <c r="D5424" s="437">
        <v>-1</v>
      </c>
      <c r="E5424" s="437">
        <v>1</v>
      </c>
      <c r="F5424" s="1206">
        <f>40609641/1000000</f>
        <v>40.609641000000003</v>
      </c>
      <c r="G5424" s="1206"/>
      <c r="H5424" s="1206"/>
      <c r="I5424" s="1187">
        <f t="shared" si="197"/>
        <v>-40.61</v>
      </c>
      <c r="J5424" s="394"/>
      <c r="K5424" s="1233" t="s">
        <v>860</v>
      </c>
      <c r="L5424" s="431"/>
      <c r="M5424" s="431"/>
      <c r="N5424" s="431"/>
    </row>
    <row r="5425" spans="1:14" s="398" customFormat="1" hidden="1" outlineLevel="1">
      <c r="A5425" s="1221"/>
      <c r="B5425" s="425" t="s">
        <v>1018</v>
      </c>
      <c r="C5425" s="165" t="s">
        <v>1</v>
      </c>
      <c r="D5425" s="437">
        <v>-1</v>
      </c>
      <c r="E5425" s="437">
        <v>1</v>
      </c>
      <c r="F5425" s="1206">
        <v>7.13</v>
      </c>
      <c r="G5425" s="1206">
        <v>0.61</v>
      </c>
      <c r="H5425" s="1206"/>
      <c r="I5425" s="1187">
        <f t="shared" si="197"/>
        <v>-4.3499999999999996</v>
      </c>
      <c r="J5425" s="394"/>
      <c r="K5425" s="1233"/>
      <c r="L5425" s="431"/>
      <c r="M5425" s="431"/>
      <c r="N5425" s="431"/>
    </row>
    <row r="5426" spans="1:14" s="398" customFormat="1" hidden="1" outlineLevel="1">
      <c r="A5426" s="1221"/>
      <c r="B5426" s="425"/>
      <c r="C5426" s="165" t="s">
        <v>1</v>
      </c>
      <c r="D5426" s="437">
        <v>-1</v>
      </c>
      <c r="E5426" s="437">
        <v>1</v>
      </c>
      <c r="F5426" s="1206">
        <v>6.3</v>
      </c>
      <c r="G5426" s="1206">
        <v>0.61499999999999999</v>
      </c>
      <c r="H5426" s="1206"/>
      <c r="I5426" s="1187">
        <f t="shared" si="197"/>
        <v>-3.87</v>
      </c>
      <c r="J5426" s="394"/>
      <c r="K5426" s="1233"/>
      <c r="L5426" s="431"/>
      <c r="M5426" s="431"/>
      <c r="N5426" s="431"/>
    </row>
    <row r="5427" spans="1:14" s="398" customFormat="1" hidden="1" outlineLevel="1">
      <c r="A5427" s="1221"/>
      <c r="B5427" s="425"/>
      <c r="C5427" s="165" t="s">
        <v>1</v>
      </c>
      <c r="D5427" s="437">
        <v>-1</v>
      </c>
      <c r="E5427" s="437">
        <v>1</v>
      </c>
      <c r="F5427" s="1206">
        <v>4.8949999999999996</v>
      </c>
      <c r="G5427" s="1206">
        <v>0.61499999999999999</v>
      </c>
      <c r="H5427" s="1206"/>
      <c r="I5427" s="1187">
        <f t="shared" si="197"/>
        <v>-3.01</v>
      </c>
      <c r="J5427" s="394"/>
      <c r="K5427" s="1233"/>
      <c r="L5427" s="431"/>
      <c r="M5427" s="431"/>
      <c r="N5427" s="431"/>
    </row>
    <row r="5428" spans="1:14" s="398" customFormat="1" hidden="1" outlineLevel="1">
      <c r="A5428" s="1221"/>
      <c r="B5428" s="425"/>
      <c r="C5428" s="165" t="s">
        <v>1</v>
      </c>
      <c r="D5428" s="437">
        <v>-1</v>
      </c>
      <c r="E5428" s="437">
        <v>1</v>
      </c>
      <c r="F5428" s="1206">
        <v>3.4950000000000001</v>
      </c>
      <c r="G5428" s="1206">
        <v>0.61499999999999999</v>
      </c>
      <c r="H5428" s="1206"/>
      <c r="I5428" s="1187">
        <f t="shared" si="197"/>
        <v>-2.15</v>
      </c>
      <c r="J5428" s="394"/>
      <c r="K5428" s="1233"/>
      <c r="L5428" s="431"/>
      <c r="M5428" s="431"/>
      <c r="N5428" s="431"/>
    </row>
    <row r="5429" spans="1:14" s="398" customFormat="1" ht="34.5" hidden="1" outlineLevel="1">
      <c r="A5429" s="1221"/>
      <c r="B5429" s="425" t="s">
        <v>1043</v>
      </c>
      <c r="C5429" s="165" t="s">
        <v>1</v>
      </c>
      <c r="D5429" s="437">
        <v>1</v>
      </c>
      <c r="E5429" s="437">
        <v>1</v>
      </c>
      <c r="F5429" s="1206">
        <f>166168406/1000000</f>
        <v>166.168406</v>
      </c>
      <c r="G5429" s="1206"/>
      <c r="H5429" s="1206"/>
      <c r="I5429" s="1187">
        <f t="shared" si="197"/>
        <v>166.17</v>
      </c>
      <c r="J5429" s="394"/>
      <c r="K5429" s="1233" t="s">
        <v>860</v>
      </c>
      <c r="L5429" s="431"/>
      <c r="M5429" s="431"/>
      <c r="N5429" s="431"/>
    </row>
    <row r="5430" spans="1:14" s="398" customFormat="1" ht="34.5" hidden="1" outlineLevel="1">
      <c r="A5430" s="1221"/>
      <c r="B5430" s="425" t="s">
        <v>1019</v>
      </c>
      <c r="C5430" s="165" t="s">
        <v>1</v>
      </c>
      <c r="D5430" s="437">
        <v>-1</v>
      </c>
      <c r="E5430" s="437">
        <v>1</v>
      </c>
      <c r="F5430" s="1206">
        <v>9.36</v>
      </c>
      <c r="G5430" s="1206">
        <v>0.6</v>
      </c>
      <c r="H5430" s="1206"/>
      <c r="I5430" s="1187">
        <f t="shared" si="197"/>
        <v>-5.62</v>
      </c>
      <c r="J5430" s="394"/>
      <c r="K5430" s="1233" t="s">
        <v>860</v>
      </c>
      <c r="L5430" s="431"/>
      <c r="M5430" s="431"/>
      <c r="N5430" s="431"/>
    </row>
    <row r="5431" spans="1:14" s="398" customFormat="1" hidden="1" outlineLevel="1">
      <c r="A5431" s="1221"/>
      <c r="B5431" s="425"/>
      <c r="C5431" s="165" t="s">
        <v>1</v>
      </c>
      <c r="D5431" s="437">
        <v>-1</v>
      </c>
      <c r="E5431" s="437">
        <v>1</v>
      </c>
      <c r="F5431" s="1206">
        <v>8.14</v>
      </c>
      <c r="G5431" s="1206">
        <v>0.6</v>
      </c>
      <c r="H5431" s="1206"/>
      <c r="I5431" s="1187">
        <f t="shared" si="197"/>
        <v>-4.88</v>
      </c>
      <c r="J5431" s="394"/>
      <c r="K5431" s="1233"/>
      <c r="L5431" s="431"/>
      <c r="M5431" s="431"/>
      <c r="N5431" s="431"/>
    </row>
    <row r="5432" spans="1:14" s="398" customFormat="1" hidden="1" outlineLevel="1">
      <c r="A5432" s="1221"/>
      <c r="B5432" s="425"/>
      <c r="C5432" s="165" t="s">
        <v>1</v>
      </c>
      <c r="D5432" s="437">
        <v>-1</v>
      </c>
      <c r="E5432" s="437">
        <v>1</v>
      </c>
      <c r="F5432" s="1206">
        <v>6.6150000000000002</v>
      </c>
      <c r="G5432" s="1206">
        <v>0.6</v>
      </c>
      <c r="H5432" s="1206"/>
      <c r="I5432" s="1187">
        <f t="shared" si="197"/>
        <v>-3.97</v>
      </c>
      <c r="J5432" s="394"/>
      <c r="K5432" s="1233"/>
      <c r="L5432" s="431"/>
      <c r="M5432" s="431"/>
      <c r="N5432" s="431"/>
    </row>
    <row r="5433" spans="1:14" s="398" customFormat="1" hidden="1" outlineLevel="1">
      <c r="A5433" s="1221"/>
      <c r="B5433" s="425"/>
      <c r="C5433" s="165" t="s">
        <v>1</v>
      </c>
      <c r="D5433" s="437">
        <v>-1</v>
      </c>
      <c r="E5433" s="437">
        <v>1</v>
      </c>
      <c r="F5433" s="1206">
        <v>4.7850000000000001</v>
      </c>
      <c r="G5433" s="1206">
        <v>0.6</v>
      </c>
      <c r="H5433" s="1206"/>
      <c r="I5433" s="1187">
        <f t="shared" si="197"/>
        <v>-2.87</v>
      </c>
      <c r="J5433" s="394"/>
      <c r="K5433" s="1233"/>
      <c r="L5433" s="431"/>
      <c r="M5433" s="431"/>
      <c r="N5433" s="431"/>
    </row>
    <row r="5434" spans="1:14" s="398" customFormat="1" hidden="1" outlineLevel="1">
      <c r="A5434" s="1221"/>
      <c r="B5434" s="425"/>
      <c r="C5434" s="165" t="s">
        <v>1</v>
      </c>
      <c r="D5434" s="437">
        <v>-1</v>
      </c>
      <c r="E5434" s="437">
        <v>1</v>
      </c>
      <c r="F5434" s="1206">
        <v>3.26</v>
      </c>
      <c r="G5434" s="1206">
        <v>0.6</v>
      </c>
      <c r="H5434" s="1206"/>
      <c r="I5434" s="1187">
        <f t="shared" si="197"/>
        <v>-1.96</v>
      </c>
      <c r="J5434" s="394"/>
      <c r="K5434" s="1233"/>
      <c r="L5434" s="431"/>
      <c r="M5434" s="431"/>
      <c r="N5434" s="431"/>
    </row>
    <row r="5435" spans="1:14" s="398" customFormat="1" hidden="1" outlineLevel="1">
      <c r="A5435" s="1221"/>
      <c r="B5435" s="425" t="s">
        <v>1020</v>
      </c>
      <c r="C5435" s="165" t="s">
        <v>1</v>
      </c>
      <c r="D5435" s="437">
        <v>-1</v>
      </c>
      <c r="E5435" s="437">
        <v>1</v>
      </c>
      <c r="F5435" s="1206">
        <v>6.03</v>
      </c>
      <c r="G5435" s="1206">
        <v>0.6</v>
      </c>
      <c r="H5435" s="1206"/>
      <c r="I5435" s="1187">
        <f t="shared" si="197"/>
        <v>-3.62</v>
      </c>
      <c r="J5435" s="394"/>
      <c r="K5435" s="1233"/>
      <c r="L5435" s="431"/>
      <c r="M5435" s="431"/>
      <c r="N5435" s="431"/>
    </row>
    <row r="5436" spans="1:14" s="398" customFormat="1" ht="51.75" hidden="1" outlineLevel="1">
      <c r="A5436" s="1221"/>
      <c r="B5436" s="425" t="s">
        <v>1044</v>
      </c>
      <c r="C5436" s="165" t="s">
        <v>1</v>
      </c>
      <c r="D5436" s="437">
        <v>1</v>
      </c>
      <c r="E5436" s="437">
        <v>1</v>
      </c>
      <c r="F5436" s="1206">
        <f>215402334/1000000</f>
        <v>215.402334</v>
      </c>
      <c r="G5436" s="1206"/>
      <c r="H5436" s="1206"/>
      <c r="I5436" s="1187">
        <f t="shared" si="197"/>
        <v>215.4</v>
      </c>
      <c r="J5436" s="394"/>
      <c r="K5436" s="1233" t="s">
        <v>860</v>
      </c>
      <c r="L5436" s="431"/>
      <c r="M5436" s="431"/>
      <c r="N5436" s="431"/>
    </row>
    <row r="5437" spans="1:14" s="398" customFormat="1" hidden="1" outlineLevel="1">
      <c r="A5437" s="1221"/>
      <c r="B5437" s="425" t="s">
        <v>1021</v>
      </c>
      <c r="C5437" s="165" t="s">
        <v>1</v>
      </c>
      <c r="D5437" s="437">
        <v>-1</v>
      </c>
      <c r="E5437" s="437">
        <v>2</v>
      </c>
      <c r="F5437" s="1206">
        <v>6.64</v>
      </c>
      <c r="G5437" s="1206">
        <v>0.6</v>
      </c>
      <c r="H5437" s="1206"/>
      <c r="I5437" s="1187">
        <f t="shared" si="197"/>
        <v>-7.97</v>
      </c>
      <c r="J5437" s="394"/>
      <c r="K5437" s="1233"/>
      <c r="L5437" s="431"/>
      <c r="M5437" s="431"/>
      <c r="N5437" s="431"/>
    </row>
    <row r="5438" spans="1:14" s="398" customFormat="1" hidden="1" outlineLevel="1">
      <c r="A5438" s="1221"/>
      <c r="B5438" s="425"/>
      <c r="C5438" s="165" t="s">
        <v>1</v>
      </c>
      <c r="D5438" s="437">
        <v>-1</v>
      </c>
      <c r="E5438" s="437">
        <v>1</v>
      </c>
      <c r="F5438" s="1206">
        <v>5.7249999999999996</v>
      </c>
      <c r="G5438" s="1206">
        <v>0.6</v>
      </c>
      <c r="H5438" s="1206"/>
      <c r="I5438" s="1187">
        <f t="shared" si="197"/>
        <v>-3.44</v>
      </c>
      <c r="J5438" s="394"/>
      <c r="K5438" s="1233"/>
      <c r="L5438" s="431"/>
      <c r="M5438" s="431"/>
      <c r="N5438" s="431"/>
    </row>
    <row r="5439" spans="1:14" s="398" customFormat="1" hidden="1" outlineLevel="1">
      <c r="A5439" s="1221"/>
      <c r="B5439" s="425"/>
      <c r="C5439" s="165"/>
      <c r="D5439" s="437"/>
      <c r="E5439" s="437"/>
      <c r="F5439" s="1206"/>
      <c r="G5439" s="1206"/>
      <c r="H5439" s="1206"/>
      <c r="I5439" s="1187" t="str">
        <f t="shared" si="197"/>
        <v/>
      </c>
      <c r="J5439" s="394"/>
      <c r="K5439" s="1233"/>
      <c r="L5439" s="431"/>
      <c r="M5439" s="431"/>
      <c r="N5439" s="431"/>
    </row>
    <row r="5440" spans="1:14" s="398" customFormat="1" ht="34.5" hidden="1" outlineLevel="1">
      <c r="A5440" s="1221"/>
      <c r="B5440" s="425" t="s">
        <v>1045</v>
      </c>
      <c r="C5440" s="165"/>
      <c r="D5440" s="437"/>
      <c r="E5440" s="437"/>
      <c r="F5440" s="1206"/>
      <c r="G5440" s="1206"/>
      <c r="H5440" s="1206"/>
      <c r="I5440" s="1187" t="str">
        <f t="shared" si="197"/>
        <v/>
      </c>
      <c r="J5440" s="394"/>
      <c r="K5440" s="1233"/>
      <c r="L5440" s="431"/>
      <c r="M5440" s="431"/>
      <c r="N5440" s="431"/>
    </row>
    <row r="5441" spans="1:14" s="398" customFormat="1" hidden="1" outlineLevel="1">
      <c r="A5441" s="1221"/>
      <c r="B5441" s="592" t="s">
        <v>1022</v>
      </c>
      <c r="C5441" s="165"/>
      <c r="D5441" s="437"/>
      <c r="E5441" s="437"/>
      <c r="F5441" s="1206"/>
      <c r="G5441" s="1206"/>
      <c r="H5441" s="1206"/>
      <c r="I5441" s="1187" t="str">
        <f t="shared" si="197"/>
        <v/>
      </c>
      <c r="J5441" s="394"/>
      <c r="K5441" s="1233"/>
      <c r="L5441" s="431"/>
      <c r="M5441" s="431"/>
      <c r="N5441" s="431"/>
    </row>
    <row r="5442" spans="1:14" s="398" customFormat="1" hidden="1" outlineLevel="1">
      <c r="A5442" s="1221"/>
      <c r="B5442" s="425" t="s">
        <v>1023</v>
      </c>
      <c r="C5442" s="165" t="s">
        <v>1</v>
      </c>
      <c r="D5442" s="437">
        <v>1</v>
      </c>
      <c r="E5442" s="437">
        <v>3</v>
      </c>
      <c r="F5442" s="1206">
        <v>5.42</v>
      </c>
      <c r="G5442" s="1206">
        <v>1.42</v>
      </c>
      <c r="H5442" s="1206"/>
      <c r="I5442" s="1187">
        <f t="shared" ref="I5442:I5505" si="198">IF(D5442&lt;&gt;0,ROUND(PRODUCT(E5442:H5442)*D5442,2),"")</f>
        <v>23.09</v>
      </c>
      <c r="J5442" s="394"/>
      <c r="K5442" s="1233"/>
      <c r="L5442" s="431"/>
      <c r="M5442" s="431"/>
      <c r="N5442" s="431"/>
    </row>
    <row r="5443" spans="1:14" s="398" customFormat="1" hidden="1" outlineLevel="1">
      <c r="A5443" s="1221"/>
      <c r="B5443" s="425" t="s">
        <v>1024</v>
      </c>
      <c r="C5443" s="165" t="s">
        <v>1</v>
      </c>
      <c r="D5443" s="437">
        <v>1</v>
      </c>
      <c r="E5443" s="438">
        <v>3</v>
      </c>
      <c r="F5443" s="1206">
        <v>5.42</v>
      </c>
      <c r="G5443" s="1206"/>
      <c r="H5443" s="1206">
        <v>0.15</v>
      </c>
      <c r="I5443" s="1187">
        <f t="shared" si="198"/>
        <v>2.44</v>
      </c>
      <c r="J5443" s="394"/>
      <c r="K5443" s="1233"/>
      <c r="L5443" s="431"/>
      <c r="M5443" s="431"/>
      <c r="N5443" s="431"/>
    </row>
    <row r="5444" spans="1:14" s="398" customFormat="1" hidden="1" outlineLevel="1">
      <c r="A5444" s="1221"/>
      <c r="B5444" s="425" t="s">
        <v>1025</v>
      </c>
      <c r="C5444" s="165" t="s">
        <v>1</v>
      </c>
      <c r="D5444" s="437">
        <v>1</v>
      </c>
      <c r="E5444" s="437">
        <v>1</v>
      </c>
      <c r="F5444" s="1206">
        <f>16008890/1000000</f>
        <v>16.008890000000001</v>
      </c>
      <c r="G5444" s="1206"/>
      <c r="H5444" s="1206"/>
      <c r="I5444" s="1187">
        <f t="shared" si="198"/>
        <v>16.010000000000002</v>
      </c>
      <c r="J5444" s="394"/>
      <c r="K5444" s="1233" t="s">
        <v>860</v>
      </c>
      <c r="L5444" s="431"/>
      <c r="M5444" s="431"/>
      <c r="N5444" s="431"/>
    </row>
    <row r="5445" spans="1:14" s="398" customFormat="1" hidden="1" outlineLevel="1">
      <c r="A5445" s="1221"/>
      <c r="B5445" s="425"/>
      <c r="C5445" s="165"/>
      <c r="D5445" s="437"/>
      <c r="E5445" s="437"/>
      <c r="F5445" s="1206"/>
      <c r="G5445" s="1206"/>
      <c r="H5445" s="1206"/>
      <c r="I5445" s="1187" t="str">
        <f t="shared" si="198"/>
        <v/>
      </c>
      <c r="J5445" s="394"/>
      <c r="K5445" s="1233"/>
      <c r="L5445" s="431"/>
      <c r="M5445" s="431"/>
      <c r="N5445" s="431"/>
    </row>
    <row r="5446" spans="1:14" s="398" customFormat="1" hidden="1" outlineLevel="1">
      <c r="A5446" s="1221"/>
      <c r="B5446" s="592" t="s">
        <v>1026</v>
      </c>
      <c r="C5446" s="165"/>
      <c r="D5446" s="437"/>
      <c r="E5446" s="437"/>
      <c r="F5446" s="1206"/>
      <c r="G5446" s="1206"/>
      <c r="H5446" s="1206"/>
      <c r="I5446" s="1187" t="str">
        <f t="shared" si="198"/>
        <v/>
      </c>
      <c r="J5446" s="394"/>
      <c r="K5446" s="1233"/>
      <c r="L5446" s="431"/>
      <c r="M5446" s="431"/>
      <c r="N5446" s="431"/>
    </row>
    <row r="5447" spans="1:14" s="398" customFormat="1" hidden="1" outlineLevel="1">
      <c r="A5447" s="1221"/>
      <c r="B5447" s="425" t="s">
        <v>1023</v>
      </c>
      <c r="C5447" s="165" t="s">
        <v>1</v>
      </c>
      <c r="D5447" s="437">
        <v>1</v>
      </c>
      <c r="E5447" s="437">
        <v>3</v>
      </c>
      <c r="F5447" s="1206">
        <v>5.42</v>
      </c>
      <c r="G5447" s="1206">
        <v>1.42</v>
      </c>
      <c r="H5447" s="1206"/>
      <c r="I5447" s="1187">
        <f t="shared" si="198"/>
        <v>23.09</v>
      </c>
      <c r="J5447" s="394"/>
      <c r="K5447" s="1233"/>
      <c r="L5447" s="431"/>
      <c r="M5447" s="431"/>
      <c r="N5447" s="431"/>
    </row>
    <row r="5448" spans="1:14" s="398" customFormat="1" hidden="1" outlineLevel="1">
      <c r="A5448" s="1221"/>
      <c r="B5448" s="425" t="s">
        <v>1024</v>
      </c>
      <c r="C5448" s="165" t="s">
        <v>1</v>
      </c>
      <c r="D5448" s="437">
        <v>1</v>
      </c>
      <c r="E5448" s="438">
        <v>3</v>
      </c>
      <c r="F5448" s="1206">
        <v>5.42</v>
      </c>
      <c r="G5448" s="1206"/>
      <c r="H5448" s="1206">
        <v>0.15</v>
      </c>
      <c r="I5448" s="1187">
        <f t="shared" si="198"/>
        <v>2.44</v>
      </c>
      <c r="J5448" s="394"/>
      <c r="K5448" s="1233"/>
      <c r="L5448" s="431"/>
      <c r="M5448" s="431"/>
      <c r="N5448" s="431"/>
    </row>
    <row r="5449" spans="1:14" s="398" customFormat="1" hidden="1" outlineLevel="1">
      <c r="A5449" s="1221"/>
      <c r="B5449" s="425" t="s">
        <v>1025</v>
      </c>
      <c r="C5449" s="165" t="s">
        <v>1</v>
      </c>
      <c r="D5449" s="437">
        <v>1</v>
      </c>
      <c r="E5449" s="437">
        <v>1</v>
      </c>
      <c r="F5449" s="1206">
        <f>16008890/1000000</f>
        <v>16.008890000000001</v>
      </c>
      <c r="G5449" s="1206"/>
      <c r="H5449" s="1206"/>
      <c r="I5449" s="1187">
        <f t="shared" si="198"/>
        <v>16.010000000000002</v>
      </c>
      <c r="J5449" s="394"/>
      <c r="K5449" s="1233" t="s">
        <v>860</v>
      </c>
      <c r="L5449" s="431"/>
      <c r="M5449" s="431"/>
      <c r="N5449" s="431"/>
    </row>
    <row r="5450" spans="1:14" s="398" customFormat="1" hidden="1" outlineLevel="1">
      <c r="A5450" s="1221"/>
      <c r="B5450" s="425"/>
      <c r="C5450" s="165"/>
      <c r="D5450" s="437"/>
      <c r="E5450" s="437"/>
      <c r="F5450" s="1206"/>
      <c r="G5450" s="1206"/>
      <c r="H5450" s="1206"/>
      <c r="I5450" s="1187" t="str">
        <f t="shared" si="198"/>
        <v/>
      </c>
      <c r="J5450" s="394"/>
      <c r="K5450" s="1233"/>
      <c r="L5450" s="431"/>
      <c r="M5450" s="431"/>
      <c r="N5450" s="431"/>
    </row>
    <row r="5451" spans="1:14" s="398" customFormat="1" hidden="1" outlineLevel="1">
      <c r="A5451" s="1221"/>
      <c r="B5451" s="592" t="s">
        <v>1027</v>
      </c>
      <c r="C5451" s="165"/>
      <c r="D5451" s="437"/>
      <c r="E5451" s="437"/>
      <c r="F5451" s="1206"/>
      <c r="G5451" s="1206"/>
      <c r="H5451" s="1206"/>
      <c r="I5451" s="1187" t="str">
        <f t="shared" si="198"/>
        <v/>
      </c>
      <c r="J5451" s="394"/>
      <c r="K5451" s="1233"/>
      <c r="L5451" s="431"/>
      <c r="M5451" s="431"/>
      <c r="N5451" s="431"/>
    </row>
    <row r="5452" spans="1:14" s="398" customFormat="1" hidden="1" outlineLevel="1">
      <c r="A5452" s="1221"/>
      <c r="B5452" s="425" t="s">
        <v>1023</v>
      </c>
      <c r="C5452" s="165" t="s">
        <v>1</v>
      </c>
      <c r="D5452" s="437">
        <v>1</v>
      </c>
      <c r="E5452" s="437">
        <v>3</v>
      </c>
      <c r="F5452" s="1206">
        <v>5.42</v>
      </c>
      <c r="G5452" s="1206">
        <v>1.42</v>
      </c>
      <c r="H5452" s="1206"/>
      <c r="I5452" s="1187">
        <f t="shared" si="198"/>
        <v>23.09</v>
      </c>
      <c r="J5452" s="394"/>
      <c r="K5452" s="1233"/>
      <c r="L5452" s="431"/>
      <c r="M5452" s="431"/>
      <c r="N5452" s="431"/>
    </row>
    <row r="5453" spans="1:14" s="398" customFormat="1" hidden="1" outlineLevel="1">
      <c r="A5453" s="1221"/>
      <c r="B5453" s="425" t="s">
        <v>1024</v>
      </c>
      <c r="C5453" s="165" t="s">
        <v>1</v>
      </c>
      <c r="D5453" s="437">
        <v>1</v>
      </c>
      <c r="E5453" s="438">
        <v>3</v>
      </c>
      <c r="F5453" s="1206">
        <v>5.42</v>
      </c>
      <c r="G5453" s="1206"/>
      <c r="H5453" s="1206">
        <v>0.15</v>
      </c>
      <c r="I5453" s="1187">
        <f t="shared" si="198"/>
        <v>2.44</v>
      </c>
      <c r="J5453" s="394"/>
      <c r="K5453" s="1233"/>
      <c r="L5453" s="431"/>
      <c r="M5453" s="431"/>
      <c r="N5453" s="431"/>
    </row>
    <row r="5454" spans="1:14" s="398" customFormat="1" hidden="1" outlineLevel="1">
      <c r="A5454" s="1221"/>
      <c r="B5454" s="425" t="s">
        <v>1025</v>
      </c>
      <c r="C5454" s="165" t="s">
        <v>1</v>
      </c>
      <c r="D5454" s="437">
        <v>1</v>
      </c>
      <c r="E5454" s="437">
        <v>1</v>
      </c>
      <c r="F5454" s="1206">
        <f>16008890/1000000</f>
        <v>16.008890000000001</v>
      </c>
      <c r="G5454" s="1206"/>
      <c r="H5454" s="1206"/>
      <c r="I5454" s="1187">
        <f t="shared" si="198"/>
        <v>16.010000000000002</v>
      </c>
      <c r="J5454" s="394"/>
      <c r="K5454" s="1233" t="s">
        <v>860</v>
      </c>
      <c r="L5454" s="431"/>
      <c r="M5454" s="431"/>
      <c r="N5454" s="431"/>
    </row>
    <row r="5455" spans="1:14" s="398" customFormat="1" hidden="1" outlineLevel="1">
      <c r="A5455" s="1221"/>
      <c r="B5455" s="425"/>
      <c r="C5455" s="165"/>
      <c r="D5455" s="437"/>
      <c r="E5455" s="437"/>
      <c r="F5455" s="1206"/>
      <c r="G5455" s="1206"/>
      <c r="H5455" s="1206"/>
      <c r="I5455" s="1187" t="str">
        <f t="shared" si="198"/>
        <v/>
      </c>
      <c r="J5455" s="394"/>
      <c r="K5455" s="1233"/>
      <c r="L5455" s="431"/>
      <c r="M5455" s="431"/>
      <c r="N5455" s="431"/>
    </row>
    <row r="5456" spans="1:14" s="398" customFormat="1" hidden="1" outlineLevel="1">
      <c r="A5456" s="1221"/>
      <c r="B5456" s="592" t="s">
        <v>1028</v>
      </c>
      <c r="C5456" s="165"/>
      <c r="D5456" s="437"/>
      <c r="E5456" s="437"/>
      <c r="F5456" s="1206"/>
      <c r="G5456" s="1206"/>
      <c r="H5456" s="1206"/>
      <c r="I5456" s="1187" t="str">
        <f t="shared" si="198"/>
        <v/>
      </c>
      <c r="J5456" s="394"/>
      <c r="K5456" s="1233"/>
      <c r="L5456" s="431"/>
      <c r="M5456" s="431"/>
      <c r="N5456" s="431"/>
    </row>
    <row r="5457" spans="1:14" s="398" customFormat="1" hidden="1" outlineLevel="1">
      <c r="A5457" s="1221"/>
      <c r="B5457" s="425" t="s">
        <v>1023</v>
      </c>
      <c r="C5457" s="165" t="s">
        <v>1</v>
      </c>
      <c r="D5457" s="437">
        <v>1</v>
      </c>
      <c r="E5457" s="437">
        <v>3</v>
      </c>
      <c r="F5457" s="1206">
        <v>5.42</v>
      </c>
      <c r="G5457" s="1206">
        <v>1.42</v>
      </c>
      <c r="H5457" s="1206"/>
      <c r="I5457" s="1187">
        <f t="shared" si="198"/>
        <v>23.09</v>
      </c>
      <c r="J5457" s="394"/>
      <c r="K5457" s="1233"/>
      <c r="L5457" s="431"/>
      <c r="M5457" s="431"/>
      <c r="N5457" s="431"/>
    </row>
    <row r="5458" spans="1:14" s="398" customFormat="1" hidden="1" outlineLevel="1">
      <c r="A5458" s="1221"/>
      <c r="B5458" s="425" t="s">
        <v>1024</v>
      </c>
      <c r="C5458" s="165" t="s">
        <v>1</v>
      </c>
      <c r="D5458" s="437">
        <v>1</v>
      </c>
      <c r="E5458" s="437">
        <v>3</v>
      </c>
      <c r="F5458" s="1206">
        <v>5.42</v>
      </c>
      <c r="G5458" s="1206"/>
      <c r="H5458" s="1206">
        <v>0.15</v>
      </c>
      <c r="I5458" s="1187">
        <f t="shared" si="198"/>
        <v>2.44</v>
      </c>
      <c r="J5458" s="394"/>
      <c r="K5458" s="1233"/>
      <c r="L5458" s="431"/>
      <c r="M5458" s="1208"/>
      <c r="N5458" s="431"/>
    </row>
    <row r="5459" spans="1:14" s="398" customFormat="1" hidden="1" outlineLevel="1">
      <c r="A5459" s="1221"/>
      <c r="B5459" s="425" t="s">
        <v>1025</v>
      </c>
      <c r="C5459" s="165" t="s">
        <v>1</v>
      </c>
      <c r="D5459" s="437">
        <v>1</v>
      </c>
      <c r="E5459" s="437">
        <v>1</v>
      </c>
      <c r="F5459" s="1206">
        <f>16008890/1000000</f>
        <v>16.008890000000001</v>
      </c>
      <c r="G5459" s="1206"/>
      <c r="H5459" s="1206"/>
      <c r="I5459" s="1187">
        <f t="shared" si="198"/>
        <v>16.010000000000002</v>
      </c>
      <c r="J5459" s="394"/>
      <c r="K5459" s="1233" t="s">
        <v>860</v>
      </c>
      <c r="L5459" s="431"/>
      <c r="M5459" s="431"/>
      <c r="N5459" s="431"/>
    </row>
    <row r="5460" spans="1:14" s="870" customFormat="1" hidden="1" outlineLevel="1" collapsed="1">
      <c r="A5460" s="1246"/>
      <c r="B5460" s="855" t="s">
        <v>1706</v>
      </c>
      <c r="C5460" s="854" t="s">
        <v>1</v>
      </c>
      <c r="D5460" s="878">
        <v>1</v>
      </c>
      <c r="E5460" s="878">
        <v>1</v>
      </c>
      <c r="F5460" s="1378">
        <f>641898890/1000000</f>
        <v>641.89889000000005</v>
      </c>
      <c r="G5460" s="1378"/>
      <c r="H5460" s="1378"/>
      <c r="I5460" s="1187">
        <f t="shared" si="198"/>
        <v>641.9</v>
      </c>
      <c r="J5460" s="882"/>
      <c r="K5460" s="1292" t="s">
        <v>860</v>
      </c>
      <c r="L5460" s="869"/>
      <c r="M5460" s="869"/>
      <c r="N5460" s="869"/>
    </row>
    <row r="5461" spans="1:14" s="870" customFormat="1" hidden="1" outlineLevel="1">
      <c r="A5461" s="1246"/>
      <c r="B5461" s="855" t="s">
        <v>1347</v>
      </c>
      <c r="C5461" s="854" t="s">
        <v>1</v>
      </c>
      <c r="D5461" s="878">
        <v>-1</v>
      </c>
      <c r="E5461" s="878">
        <v>9</v>
      </c>
      <c r="F5461" s="1378">
        <v>4.5</v>
      </c>
      <c r="G5461" s="1378">
        <v>1</v>
      </c>
      <c r="H5461" s="1378"/>
      <c r="I5461" s="1187">
        <f t="shared" si="198"/>
        <v>-40.5</v>
      </c>
      <c r="J5461" s="882"/>
      <c r="K5461" s="1292"/>
      <c r="L5461" s="869"/>
      <c r="M5461" s="869"/>
      <c r="N5461" s="869"/>
    </row>
    <row r="5462" spans="1:14" s="870" customFormat="1" hidden="1" outlineLevel="1">
      <c r="A5462" s="1246"/>
      <c r="B5462" s="855" t="s">
        <v>872</v>
      </c>
      <c r="C5462" s="854" t="s">
        <v>1</v>
      </c>
      <c r="D5462" s="878">
        <v>-1</v>
      </c>
      <c r="E5462" s="878">
        <v>1</v>
      </c>
      <c r="F5462" s="1378">
        <v>5.0250000000000004</v>
      </c>
      <c r="G5462" s="1378">
        <v>1.2</v>
      </c>
      <c r="H5462" s="1378"/>
      <c r="I5462" s="1187">
        <f t="shared" si="198"/>
        <v>-6.03</v>
      </c>
      <c r="J5462" s="882"/>
      <c r="K5462" s="1292"/>
      <c r="L5462" s="869"/>
      <c r="M5462" s="869"/>
      <c r="N5462" s="869"/>
    </row>
    <row r="5463" spans="1:14" s="870" customFormat="1" hidden="1" outlineLevel="1">
      <c r="A5463" s="1246"/>
      <c r="B5463" s="855"/>
      <c r="C5463" s="854" t="s">
        <v>1</v>
      </c>
      <c r="D5463" s="878">
        <v>-1</v>
      </c>
      <c r="E5463" s="878">
        <v>1</v>
      </c>
      <c r="F5463" s="1378">
        <v>5.8449999999999998</v>
      </c>
      <c r="G5463" s="1378">
        <v>1.2</v>
      </c>
      <c r="H5463" s="1378"/>
      <c r="I5463" s="1187">
        <f t="shared" si="198"/>
        <v>-7.01</v>
      </c>
      <c r="J5463" s="882"/>
      <c r="K5463" s="1292"/>
      <c r="L5463" s="869"/>
      <c r="M5463" s="869"/>
      <c r="N5463" s="869"/>
    </row>
    <row r="5464" spans="1:14" s="870" customFormat="1" hidden="1" outlineLevel="1">
      <c r="A5464" s="1306"/>
      <c r="B5464" s="890" t="s">
        <v>802</v>
      </c>
      <c r="C5464" s="897" t="s">
        <v>1</v>
      </c>
      <c r="D5464" s="889">
        <v>-1</v>
      </c>
      <c r="E5464" s="889">
        <v>5</v>
      </c>
      <c r="F5464" s="1380">
        <v>5.8</v>
      </c>
      <c r="G5464" s="1380">
        <v>0.8</v>
      </c>
      <c r="H5464" s="1380"/>
      <c r="I5464" s="1187">
        <f t="shared" si="198"/>
        <v>-23.2</v>
      </c>
      <c r="J5464" s="899"/>
      <c r="K5464" s="1307"/>
      <c r="L5464" s="869"/>
      <c r="M5464" s="869"/>
      <c r="N5464" s="869"/>
    </row>
    <row r="5465" spans="1:14" s="870" customFormat="1" hidden="1" outlineLevel="1">
      <c r="A5465" s="1246"/>
      <c r="B5465" s="855" t="s">
        <v>1707</v>
      </c>
      <c r="C5465" s="854" t="s">
        <v>1</v>
      </c>
      <c r="D5465" s="878">
        <v>1</v>
      </c>
      <c r="E5465" s="878">
        <v>1</v>
      </c>
      <c r="F5465" s="1378">
        <v>31.5</v>
      </c>
      <c r="G5465" s="1378">
        <v>2.2149999999999999</v>
      </c>
      <c r="H5465" s="1378"/>
      <c r="I5465" s="1187">
        <f t="shared" si="198"/>
        <v>69.77</v>
      </c>
      <c r="J5465" s="882"/>
      <c r="K5465" s="1292"/>
      <c r="L5465" s="869"/>
      <c r="M5465" s="869"/>
      <c r="N5465" s="869"/>
    </row>
    <row r="5466" spans="1:14" s="870" customFormat="1" hidden="1" outlineLevel="1">
      <c r="A5466" s="1306"/>
      <c r="B5466" s="890" t="s">
        <v>1681</v>
      </c>
      <c r="C5466" s="897" t="s">
        <v>1</v>
      </c>
      <c r="D5466" s="889">
        <v>-1</v>
      </c>
      <c r="E5466" s="889">
        <v>4</v>
      </c>
      <c r="F5466" s="1380">
        <v>1.2</v>
      </c>
      <c r="G5466" s="1380">
        <v>0.375</v>
      </c>
      <c r="H5466" s="1380"/>
      <c r="I5466" s="1187">
        <f t="shared" si="198"/>
        <v>-1.8</v>
      </c>
      <c r="J5466" s="899"/>
      <c r="K5466" s="1307"/>
      <c r="L5466" s="869"/>
      <c r="M5466" s="869"/>
      <c r="N5466" s="869"/>
    </row>
    <row r="5467" spans="1:14" s="870" customFormat="1" hidden="1" outlineLevel="1">
      <c r="A5467" s="1246"/>
      <c r="B5467" s="855" t="s">
        <v>1708</v>
      </c>
      <c r="C5467" s="854" t="s">
        <v>1</v>
      </c>
      <c r="D5467" s="878">
        <v>1</v>
      </c>
      <c r="E5467" s="878">
        <v>1</v>
      </c>
      <c r="F5467" s="1378">
        <f>294068888/1000000</f>
        <v>294.06888800000002</v>
      </c>
      <c r="G5467" s="1378"/>
      <c r="H5467" s="1378"/>
      <c r="I5467" s="1187">
        <f t="shared" si="198"/>
        <v>294.07</v>
      </c>
      <c r="J5467" s="882"/>
      <c r="K5467" s="1292" t="s">
        <v>860</v>
      </c>
      <c r="L5467" s="869"/>
      <c r="M5467" s="869"/>
      <c r="N5467" s="869"/>
    </row>
    <row r="5468" spans="1:14" s="870" customFormat="1" hidden="1" outlineLevel="1">
      <c r="A5468" s="1306"/>
      <c r="B5468" s="890" t="s">
        <v>1682</v>
      </c>
      <c r="C5468" s="897" t="s">
        <v>1</v>
      </c>
      <c r="D5468" s="889">
        <v>-1</v>
      </c>
      <c r="E5468" s="889">
        <v>1</v>
      </c>
      <c r="F5468" s="1380">
        <v>61.387</v>
      </c>
      <c r="G5468" s="1380"/>
      <c r="H5468" s="1380"/>
      <c r="I5468" s="1187">
        <f t="shared" si="198"/>
        <v>-61.39</v>
      </c>
      <c r="J5468" s="899"/>
      <c r="K5468" s="1307"/>
      <c r="L5468" s="869"/>
      <c r="M5468" s="869"/>
      <c r="N5468" s="869"/>
    </row>
    <row r="5469" spans="1:14" s="870" customFormat="1" hidden="1" outlineLevel="1">
      <c r="A5469" s="1306"/>
      <c r="B5469" s="890" t="s">
        <v>1683</v>
      </c>
      <c r="C5469" s="897" t="s">
        <v>1</v>
      </c>
      <c r="D5469" s="889">
        <v>-1</v>
      </c>
      <c r="E5469" s="889">
        <v>3</v>
      </c>
      <c r="F5469" s="1380">
        <v>1.2</v>
      </c>
      <c r="G5469" s="1380">
        <v>0.375</v>
      </c>
      <c r="H5469" s="1380"/>
      <c r="I5469" s="1187">
        <f t="shared" si="198"/>
        <v>-1.35</v>
      </c>
      <c r="J5469" s="899"/>
      <c r="K5469" s="1307"/>
      <c r="L5469" s="869"/>
      <c r="M5469" s="869"/>
      <c r="N5469" s="869"/>
    </row>
    <row r="5470" spans="1:14" s="870" customFormat="1" hidden="1" outlineLevel="1">
      <c r="A5470" s="1306"/>
      <c r="B5470" s="890" t="s">
        <v>1684</v>
      </c>
      <c r="C5470" s="897" t="s">
        <v>1</v>
      </c>
      <c r="D5470" s="889">
        <v>-1</v>
      </c>
      <c r="E5470" s="889">
        <v>4</v>
      </c>
      <c r="F5470" s="1380">
        <v>0.28299999999999997</v>
      </c>
      <c r="G5470" s="1380"/>
      <c r="H5470" s="1380"/>
      <c r="I5470" s="1187">
        <f t="shared" si="198"/>
        <v>-1.1299999999999999</v>
      </c>
      <c r="J5470" s="899"/>
      <c r="K5470" s="1307"/>
      <c r="L5470" s="869"/>
      <c r="M5470" s="869"/>
      <c r="N5470" s="869"/>
    </row>
    <row r="5471" spans="1:14" s="870" customFormat="1" ht="32.25" hidden="1" outlineLevel="1">
      <c r="A5471" s="1246"/>
      <c r="B5471" s="855" t="s">
        <v>1709</v>
      </c>
      <c r="C5471" s="854" t="s">
        <v>1</v>
      </c>
      <c r="D5471" s="878">
        <v>1</v>
      </c>
      <c r="E5471" s="878">
        <v>1</v>
      </c>
      <c r="F5471" s="1378">
        <f>348722093/1000000</f>
        <v>348.72209299999997</v>
      </c>
      <c r="G5471" s="1378"/>
      <c r="H5471" s="1378"/>
      <c r="I5471" s="1187">
        <f t="shared" si="198"/>
        <v>348.72</v>
      </c>
      <c r="J5471" s="882"/>
      <c r="K5471" s="1292" t="s">
        <v>860</v>
      </c>
      <c r="L5471" s="869"/>
      <c r="M5471" s="869"/>
      <c r="N5471" s="869"/>
    </row>
    <row r="5472" spans="1:14" s="870" customFormat="1" hidden="1" outlineLevel="1">
      <c r="A5472" s="1246"/>
      <c r="B5472" s="855" t="s">
        <v>872</v>
      </c>
      <c r="C5472" s="854" t="s">
        <v>1</v>
      </c>
      <c r="D5472" s="878">
        <v>-1</v>
      </c>
      <c r="E5472" s="878">
        <v>1</v>
      </c>
      <c r="F5472" s="1378">
        <f>45369407/1000000</f>
        <v>45.369407000000002</v>
      </c>
      <c r="G5472" s="1378"/>
      <c r="H5472" s="1378"/>
      <c r="I5472" s="1187">
        <f t="shared" si="198"/>
        <v>-45.37</v>
      </c>
      <c r="J5472" s="882"/>
      <c r="K5472" s="1292" t="s">
        <v>860</v>
      </c>
      <c r="L5472" s="869"/>
      <c r="M5472" s="869"/>
      <c r="N5472" s="869"/>
    </row>
    <row r="5473" spans="1:14" s="870" customFormat="1" hidden="1" outlineLevel="1">
      <c r="A5473" s="1246"/>
      <c r="B5473" s="855"/>
      <c r="C5473" s="854" t="s">
        <v>1</v>
      </c>
      <c r="D5473" s="878">
        <v>-1</v>
      </c>
      <c r="E5473" s="878">
        <v>1</v>
      </c>
      <c r="F5473" s="1378">
        <f>36931619/1000000</f>
        <v>36.931618999999998</v>
      </c>
      <c r="G5473" s="1378"/>
      <c r="H5473" s="1378"/>
      <c r="I5473" s="1187">
        <f t="shared" si="198"/>
        <v>-36.93</v>
      </c>
      <c r="J5473" s="882"/>
      <c r="K5473" s="1292" t="s">
        <v>860</v>
      </c>
      <c r="L5473" s="869"/>
      <c r="M5473" s="869"/>
      <c r="N5473" s="869"/>
    </row>
    <row r="5474" spans="1:14" s="870" customFormat="1" hidden="1" outlineLevel="1">
      <c r="A5474" s="1306"/>
      <c r="B5474" s="890" t="s">
        <v>1684</v>
      </c>
      <c r="C5474" s="897" t="s">
        <v>1</v>
      </c>
      <c r="D5474" s="889">
        <v>-1</v>
      </c>
      <c r="E5474" s="889">
        <v>5</v>
      </c>
      <c r="F5474" s="1380">
        <v>0.28299999999999997</v>
      </c>
      <c r="G5474" s="1380"/>
      <c r="H5474" s="1380"/>
      <c r="I5474" s="1187">
        <f t="shared" si="198"/>
        <v>-1.42</v>
      </c>
      <c r="J5474" s="899"/>
      <c r="K5474" s="1307"/>
      <c r="L5474" s="869"/>
      <c r="M5474" s="869"/>
      <c r="N5474" s="869"/>
    </row>
    <row r="5475" spans="1:14" s="870" customFormat="1" hidden="1" outlineLevel="1">
      <c r="A5475" s="1306"/>
      <c r="B5475" s="890" t="s">
        <v>1685</v>
      </c>
      <c r="C5475" s="897" t="s">
        <v>1</v>
      </c>
      <c r="D5475" s="889">
        <v>-1</v>
      </c>
      <c r="E5475" s="889">
        <v>1</v>
      </c>
      <c r="F5475" s="1380">
        <v>128.26300000000001</v>
      </c>
      <c r="G5475" s="1380"/>
      <c r="H5475" s="1380"/>
      <c r="I5475" s="1187">
        <f t="shared" si="198"/>
        <v>-128.26</v>
      </c>
      <c r="J5475" s="899"/>
      <c r="K5475" s="1307"/>
      <c r="L5475" s="869"/>
      <c r="M5475" s="869"/>
      <c r="N5475" s="869"/>
    </row>
    <row r="5476" spans="1:14" s="870" customFormat="1" ht="32.25" hidden="1" outlineLevel="1">
      <c r="A5476" s="1246"/>
      <c r="B5476" s="855" t="s">
        <v>1710</v>
      </c>
      <c r="C5476" s="854" t="s">
        <v>1</v>
      </c>
      <c r="D5476" s="878">
        <v>1</v>
      </c>
      <c r="E5476" s="878">
        <v>1</v>
      </c>
      <c r="F5476" s="1378">
        <f>119231803/1000000</f>
        <v>119.231803</v>
      </c>
      <c r="G5476" s="1378"/>
      <c r="H5476" s="1378"/>
      <c r="I5476" s="1187">
        <f t="shared" si="198"/>
        <v>119.23</v>
      </c>
      <c r="J5476" s="882"/>
      <c r="K5476" s="1292" t="s">
        <v>860</v>
      </c>
      <c r="L5476" s="869"/>
      <c r="M5476" s="869"/>
      <c r="N5476" s="869"/>
    </row>
    <row r="5477" spans="1:14" s="870" customFormat="1" ht="32.25" hidden="1" outlineLevel="1">
      <c r="A5477" s="1246"/>
      <c r="B5477" s="855" t="s">
        <v>1711</v>
      </c>
      <c r="C5477" s="854" t="s">
        <v>1</v>
      </c>
      <c r="D5477" s="878">
        <v>1</v>
      </c>
      <c r="E5477" s="878">
        <v>1</v>
      </c>
      <c r="F5477" s="1378">
        <f>583160003/1000000</f>
        <v>583.16000299999996</v>
      </c>
      <c r="G5477" s="1378"/>
      <c r="H5477" s="1378"/>
      <c r="I5477" s="1187">
        <f t="shared" si="198"/>
        <v>583.16</v>
      </c>
      <c r="J5477" s="882"/>
      <c r="K5477" s="1292" t="s">
        <v>860</v>
      </c>
      <c r="L5477" s="869"/>
      <c r="M5477" s="869"/>
      <c r="N5477" s="869"/>
    </row>
    <row r="5478" spans="1:14" s="870" customFormat="1" hidden="1" outlineLevel="1">
      <c r="A5478" s="1246"/>
      <c r="B5478" s="855" t="s">
        <v>872</v>
      </c>
      <c r="C5478" s="854" t="s">
        <v>1</v>
      </c>
      <c r="D5478" s="878">
        <v>-1</v>
      </c>
      <c r="E5478" s="878">
        <v>1</v>
      </c>
      <c r="F5478" s="1378">
        <v>2.2549999999999999</v>
      </c>
      <c r="G5478" s="1378">
        <v>1.2</v>
      </c>
      <c r="H5478" s="1378"/>
      <c r="I5478" s="1187">
        <f t="shared" si="198"/>
        <v>-2.71</v>
      </c>
      <c r="J5478" s="882"/>
      <c r="K5478" s="1292"/>
      <c r="L5478" s="869"/>
      <c r="M5478" s="869"/>
      <c r="N5478" s="869"/>
    </row>
    <row r="5479" spans="1:14" s="870" customFormat="1" hidden="1" outlineLevel="1">
      <c r="A5479" s="1246"/>
      <c r="B5479" s="855"/>
      <c r="C5479" s="854" t="s">
        <v>1</v>
      </c>
      <c r="D5479" s="878">
        <v>-1</v>
      </c>
      <c r="E5479" s="878">
        <v>1</v>
      </c>
      <c r="F5479" s="1378">
        <v>5.85</v>
      </c>
      <c r="G5479" s="1378">
        <v>1.2</v>
      </c>
      <c r="H5479" s="1378"/>
      <c r="I5479" s="1187">
        <f t="shared" si="198"/>
        <v>-7.02</v>
      </c>
      <c r="J5479" s="882"/>
      <c r="K5479" s="1292"/>
      <c r="L5479" s="869"/>
      <c r="M5479" s="869"/>
      <c r="N5479" s="869"/>
    </row>
    <row r="5480" spans="1:14" s="870" customFormat="1" hidden="1" outlineLevel="1">
      <c r="A5480" s="1246"/>
      <c r="B5480" s="855"/>
      <c r="C5480" s="854" t="s">
        <v>1</v>
      </c>
      <c r="D5480" s="878">
        <v>-1</v>
      </c>
      <c r="E5480" s="878">
        <v>1</v>
      </c>
      <c r="F5480" s="1378">
        <v>5.0250000000000004</v>
      </c>
      <c r="G5480" s="1378">
        <v>1.2</v>
      </c>
      <c r="H5480" s="1378"/>
      <c r="I5480" s="1187">
        <f t="shared" si="198"/>
        <v>-6.03</v>
      </c>
      <c r="J5480" s="882"/>
      <c r="K5480" s="1292"/>
      <c r="L5480" s="869">
        <f>288599110/1000000</f>
        <v>288.59911</v>
      </c>
      <c r="M5480" s="869"/>
      <c r="N5480" s="869"/>
    </row>
    <row r="5481" spans="1:14" s="870" customFormat="1" hidden="1" outlineLevel="1">
      <c r="A5481" s="1246"/>
      <c r="B5481" s="855"/>
      <c r="C5481" s="854" t="s">
        <v>1</v>
      </c>
      <c r="D5481" s="878">
        <v>-1</v>
      </c>
      <c r="E5481" s="878">
        <v>1</v>
      </c>
      <c r="F5481" s="1378">
        <v>2.4</v>
      </c>
      <c r="G5481" s="1378">
        <v>1.2</v>
      </c>
      <c r="H5481" s="1378"/>
      <c r="I5481" s="1187">
        <f t="shared" si="198"/>
        <v>-2.88</v>
      </c>
      <c r="J5481" s="882"/>
      <c r="K5481" s="1292"/>
      <c r="L5481" s="869"/>
      <c r="M5481" s="869"/>
      <c r="N5481" s="869"/>
    </row>
    <row r="5482" spans="1:14" s="870" customFormat="1" hidden="1" outlineLevel="1">
      <c r="A5482" s="1246"/>
      <c r="B5482" s="855" t="s">
        <v>1347</v>
      </c>
      <c r="C5482" s="854" t="s">
        <v>1</v>
      </c>
      <c r="D5482" s="878">
        <v>-1</v>
      </c>
      <c r="E5482" s="878">
        <v>8</v>
      </c>
      <c r="F5482" s="1378">
        <v>4.5</v>
      </c>
      <c r="G5482" s="1378">
        <v>1</v>
      </c>
      <c r="H5482" s="1378"/>
      <c r="I5482" s="1187">
        <f t="shared" si="198"/>
        <v>-36</v>
      </c>
      <c r="J5482" s="882"/>
      <c r="K5482" s="1292"/>
      <c r="L5482" s="869"/>
      <c r="M5482" s="869"/>
      <c r="N5482" s="869"/>
    </row>
    <row r="5483" spans="1:14" s="870" customFormat="1" hidden="1" outlineLevel="1">
      <c r="A5483" s="1306"/>
      <c r="B5483" s="890" t="s">
        <v>802</v>
      </c>
      <c r="C5483" s="897" t="s">
        <v>1</v>
      </c>
      <c r="D5483" s="889">
        <v>-1</v>
      </c>
      <c r="E5483" s="889">
        <v>5</v>
      </c>
      <c r="F5483" s="1380">
        <v>5.8</v>
      </c>
      <c r="G5483" s="1380">
        <v>0.8</v>
      </c>
      <c r="H5483" s="1380"/>
      <c r="I5483" s="1187">
        <f t="shared" si="198"/>
        <v>-23.2</v>
      </c>
      <c r="J5483" s="899"/>
      <c r="K5483" s="1307"/>
      <c r="L5483" s="869"/>
      <c r="M5483" s="869"/>
      <c r="N5483" s="869"/>
    </row>
    <row r="5484" spans="1:14" s="870" customFormat="1" hidden="1" outlineLevel="1">
      <c r="A5484" s="1306"/>
      <c r="B5484" s="890" t="s">
        <v>1686</v>
      </c>
      <c r="C5484" s="897" t="s">
        <v>1</v>
      </c>
      <c r="D5484" s="889">
        <v>-1</v>
      </c>
      <c r="E5484" s="889">
        <v>6</v>
      </c>
      <c r="F5484" s="1380">
        <v>3</v>
      </c>
      <c r="G5484" s="1380">
        <v>0.45</v>
      </c>
      <c r="H5484" s="1380"/>
      <c r="I5484" s="1187">
        <f t="shared" si="198"/>
        <v>-8.1</v>
      </c>
      <c r="J5484" s="899"/>
      <c r="K5484" s="1307"/>
      <c r="L5484" s="869"/>
      <c r="M5484" s="869"/>
      <c r="N5484" s="869"/>
    </row>
    <row r="5485" spans="1:14" s="870" customFormat="1" ht="32.25" hidden="1" outlineLevel="1">
      <c r="A5485" s="1246"/>
      <c r="B5485" s="855" t="s">
        <v>1712</v>
      </c>
      <c r="C5485" s="854" t="s">
        <v>1</v>
      </c>
      <c r="D5485" s="878">
        <v>1</v>
      </c>
      <c r="E5485" s="878">
        <v>1</v>
      </c>
      <c r="F5485" s="1378">
        <f>208570916/1000000</f>
        <v>208.57091600000001</v>
      </c>
      <c r="G5485" s="1378"/>
      <c r="H5485" s="1378"/>
      <c r="I5485" s="1187">
        <f t="shared" si="198"/>
        <v>208.57</v>
      </c>
      <c r="J5485" s="882"/>
      <c r="K5485" s="1292" t="s">
        <v>860</v>
      </c>
      <c r="L5485" s="869"/>
      <c r="M5485" s="869"/>
      <c r="N5485" s="869"/>
    </row>
    <row r="5486" spans="1:14" s="870" customFormat="1" ht="32.25" hidden="1" outlineLevel="1">
      <c r="A5486" s="1246"/>
      <c r="B5486" s="855" t="s">
        <v>1713</v>
      </c>
      <c r="C5486" s="854" t="s">
        <v>1</v>
      </c>
      <c r="D5486" s="878">
        <v>1</v>
      </c>
      <c r="E5486" s="878">
        <v>1</v>
      </c>
      <c r="F5486" s="1378">
        <f>381483976/1000000</f>
        <v>381.48397599999998</v>
      </c>
      <c r="G5486" s="1378"/>
      <c r="H5486" s="1378"/>
      <c r="I5486" s="1187">
        <f t="shared" si="198"/>
        <v>381.48</v>
      </c>
      <c r="J5486" s="882"/>
      <c r="K5486" s="1292" t="s">
        <v>860</v>
      </c>
      <c r="L5486" s="869"/>
      <c r="M5486" s="869"/>
      <c r="N5486" s="869"/>
    </row>
    <row r="5487" spans="1:14" s="870" customFormat="1" ht="32.25" hidden="1" outlineLevel="1">
      <c r="A5487" s="1246"/>
      <c r="B5487" s="855" t="s">
        <v>1714</v>
      </c>
      <c r="C5487" s="854" t="s">
        <v>1</v>
      </c>
      <c r="D5487" s="878">
        <v>1</v>
      </c>
      <c r="E5487" s="878">
        <v>1</v>
      </c>
      <c r="F5487" s="1378">
        <f>327510520/1000000</f>
        <v>327.51051999999999</v>
      </c>
      <c r="G5487" s="1378"/>
      <c r="H5487" s="1378"/>
      <c r="I5487" s="1187">
        <f t="shared" si="198"/>
        <v>327.51</v>
      </c>
      <c r="J5487" s="882"/>
      <c r="K5487" s="1292" t="s">
        <v>860</v>
      </c>
      <c r="L5487" s="869"/>
      <c r="M5487" s="869"/>
      <c r="N5487" s="869"/>
    </row>
    <row r="5488" spans="1:14" s="870" customFormat="1" hidden="1" outlineLevel="1">
      <c r="A5488" s="1246"/>
      <c r="B5488" s="855" t="s">
        <v>872</v>
      </c>
      <c r="C5488" s="854" t="s">
        <v>1</v>
      </c>
      <c r="D5488" s="878">
        <v>-1</v>
      </c>
      <c r="E5488" s="878">
        <v>1</v>
      </c>
      <c r="F5488" s="1380">
        <v>84.391000000000005</v>
      </c>
      <c r="G5488" s="1378"/>
      <c r="H5488" s="1378"/>
      <c r="I5488" s="1187">
        <f t="shared" si="198"/>
        <v>-84.39</v>
      </c>
      <c r="J5488" s="882"/>
      <c r="K5488" s="1292" t="s">
        <v>860</v>
      </c>
      <c r="L5488" s="869"/>
      <c r="M5488" s="869"/>
      <c r="N5488" s="869"/>
    </row>
    <row r="5489" spans="1:14" s="870" customFormat="1" hidden="1" outlineLevel="1">
      <c r="A5489" s="1306"/>
      <c r="B5489" s="890" t="s">
        <v>1687</v>
      </c>
      <c r="C5489" s="897" t="s">
        <v>1</v>
      </c>
      <c r="D5489" s="889">
        <v>-1</v>
      </c>
      <c r="E5489" s="889">
        <v>3</v>
      </c>
      <c r="F5489" s="1380">
        <v>0.28299999999999997</v>
      </c>
      <c r="G5489" s="1380"/>
      <c r="H5489" s="1380"/>
      <c r="I5489" s="1187">
        <f t="shared" si="198"/>
        <v>-0.85</v>
      </c>
      <c r="J5489" s="899"/>
      <c r="K5489" s="1307"/>
      <c r="L5489" s="869"/>
      <c r="M5489" s="869"/>
      <c r="N5489" s="869"/>
    </row>
    <row r="5490" spans="1:14" s="870" customFormat="1" hidden="1" outlineLevel="1">
      <c r="A5490" s="1306"/>
      <c r="B5490" s="890" t="s">
        <v>1683</v>
      </c>
      <c r="C5490" s="897" t="s">
        <v>1</v>
      </c>
      <c r="D5490" s="889">
        <v>-1</v>
      </c>
      <c r="E5490" s="889">
        <v>5</v>
      </c>
      <c r="F5490" s="1380">
        <v>1.2</v>
      </c>
      <c r="G5490" s="1380">
        <v>0.375</v>
      </c>
      <c r="H5490" s="1380"/>
      <c r="I5490" s="1187">
        <f t="shared" si="198"/>
        <v>-2.25</v>
      </c>
      <c r="J5490" s="899"/>
      <c r="K5490" s="1307"/>
      <c r="L5490" s="869"/>
      <c r="M5490" s="869"/>
      <c r="N5490" s="869"/>
    </row>
    <row r="5491" spans="1:14" s="870" customFormat="1" ht="32.25" hidden="1" outlineLevel="1">
      <c r="A5491" s="1246"/>
      <c r="B5491" s="855" t="s">
        <v>1715</v>
      </c>
      <c r="C5491" s="854" t="s">
        <v>1</v>
      </c>
      <c r="D5491" s="878">
        <v>1</v>
      </c>
      <c r="E5491" s="878">
        <v>1</v>
      </c>
      <c r="F5491" s="1380">
        <v>495.09</v>
      </c>
      <c r="G5491" s="1378"/>
      <c r="H5491" s="1378"/>
      <c r="I5491" s="1187">
        <f t="shared" si="198"/>
        <v>495.09</v>
      </c>
      <c r="J5491" s="882"/>
      <c r="K5491" s="1292" t="s">
        <v>860</v>
      </c>
      <c r="L5491" s="869"/>
      <c r="M5491" s="869"/>
      <c r="N5491" s="869"/>
    </row>
    <row r="5492" spans="1:14" s="870" customFormat="1" hidden="1" outlineLevel="1">
      <c r="A5492" s="1246"/>
      <c r="B5492" s="855" t="s">
        <v>872</v>
      </c>
      <c r="C5492" s="854" t="s">
        <v>1</v>
      </c>
      <c r="D5492" s="878">
        <v>-1</v>
      </c>
      <c r="E5492" s="878">
        <v>1</v>
      </c>
      <c r="F5492" s="1378">
        <v>5.85</v>
      </c>
      <c r="G5492" s="1378">
        <v>1.2</v>
      </c>
      <c r="H5492" s="1378"/>
      <c r="I5492" s="1187">
        <f t="shared" si="198"/>
        <v>-7.02</v>
      </c>
      <c r="J5492" s="882"/>
      <c r="K5492" s="1292"/>
      <c r="L5492" s="869"/>
      <c r="M5492" s="869"/>
      <c r="N5492" s="869"/>
    </row>
    <row r="5493" spans="1:14" s="870" customFormat="1" hidden="1" outlineLevel="1">
      <c r="A5493" s="1246"/>
      <c r="B5493" s="855"/>
      <c r="C5493" s="854" t="s">
        <v>1</v>
      </c>
      <c r="D5493" s="878">
        <v>-1</v>
      </c>
      <c r="E5493" s="878">
        <v>1</v>
      </c>
      <c r="F5493" s="1378">
        <v>5.0250000000000004</v>
      </c>
      <c r="G5493" s="1378">
        <v>1.2</v>
      </c>
      <c r="H5493" s="1378"/>
      <c r="I5493" s="1187">
        <f t="shared" si="198"/>
        <v>-6.03</v>
      </c>
      <c r="J5493" s="882"/>
      <c r="K5493" s="1292"/>
      <c r="L5493" s="869"/>
      <c r="M5493" s="869"/>
      <c r="N5493" s="869"/>
    </row>
    <row r="5494" spans="1:14" s="870" customFormat="1" hidden="1" outlineLevel="1">
      <c r="A5494" s="1246"/>
      <c r="B5494" s="855" t="s">
        <v>1348</v>
      </c>
      <c r="C5494" s="854" t="s">
        <v>1</v>
      </c>
      <c r="D5494" s="878">
        <v>-1</v>
      </c>
      <c r="E5494" s="878">
        <v>5</v>
      </c>
      <c r="F5494" s="1378">
        <v>5.8</v>
      </c>
      <c r="G5494" s="1378">
        <v>0.8</v>
      </c>
      <c r="H5494" s="1378"/>
      <c r="I5494" s="1187">
        <f t="shared" si="198"/>
        <v>-23.2</v>
      </c>
      <c r="J5494" s="882"/>
      <c r="K5494" s="1292"/>
      <c r="L5494" s="869"/>
      <c r="M5494" s="869"/>
      <c r="N5494" s="869"/>
    </row>
    <row r="5495" spans="1:14" s="870" customFormat="1" hidden="1" outlineLevel="1">
      <c r="A5495" s="1246"/>
      <c r="B5495" s="855" t="s">
        <v>1347</v>
      </c>
      <c r="C5495" s="854" t="s">
        <v>1</v>
      </c>
      <c r="D5495" s="878">
        <v>-1</v>
      </c>
      <c r="E5495" s="878">
        <v>8</v>
      </c>
      <c r="F5495" s="1378">
        <v>4.5</v>
      </c>
      <c r="G5495" s="1378">
        <v>1</v>
      </c>
      <c r="H5495" s="1378"/>
      <c r="I5495" s="1187">
        <f t="shared" si="198"/>
        <v>-36</v>
      </c>
      <c r="J5495" s="882"/>
      <c r="K5495" s="1292"/>
      <c r="L5495" s="869"/>
      <c r="M5495" s="869"/>
      <c r="N5495" s="869"/>
    </row>
    <row r="5496" spans="1:14" s="870" customFormat="1" ht="32.25" hidden="1" outlineLevel="1">
      <c r="A5496" s="1246"/>
      <c r="B5496" s="855" t="s">
        <v>1716</v>
      </c>
      <c r="C5496" s="854" t="s">
        <v>1</v>
      </c>
      <c r="D5496" s="878">
        <v>1</v>
      </c>
      <c r="E5496" s="878">
        <v>1</v>
      </c>
      <c r="F5496" s="1380">
        <v>15.12</v>
      </c>
      <c r="G5496" s="1378">
        <v>1.2</v>
      </c>
      <c r="H5496" s="1378"/>
      <c r="I5496" s="1187">
        <f t="shared" si="198"/>
        <v>18.14</v>
      </c>
      <c r="J5496" s="882"/>
      <c r="K5496" s="1292"/>
      <c r="L5496" s="869"/>
      <c r="M5496" s="869"/>
      <c r="N5496" s="869"/>
    </row>
    <row r="5497" spans="1:14" s="870" customFormat="1" hidden="1" outlineLevel="1">
      <c r="A5497" s="1246"/>
      <c r="B5497" s="855"/>
      <c r="C5497" s="854"/>
      <c r="D5497" s="878"/>
      <c r="E5497" s="878"/>
      <c r="F5497" s="1378"/>
      <c r="G5497" s="1378"/>
      <c r="H5497" s="1378"/>
      <c r="I5497" s="1187" t="str">
        <f t="shared" si="198"/>
        <v/>
      </c>
      <c r="J5497" s="882"/>
      <c r="K5497" s="1292"/>
      <c r="L5497" s="869"/>
      <c r="M5497" s="869"/>
      <c r="N5497" s="869"/>
    </row>
    <row r="5498" spans="1:14" s="870" customFormat="1" ht="32.25" hidden="1" outlineLevel="1">
      <c r="A5498" s="1246"/>
      <c r="B5498" s="855" t="s">
        <v>1717</v>
      </c>
      <c r="C5498" s="854"/>
      <c r="D5498" s="878"/>
      <c r="E5498" s="878"/>
      <c r="F5498" s="1378"/>
      <c r="G5498" s="1378"/>
      <c r="H5498" s="1378"/>
      <c r="I5498" s="1187" t="str">
        <f t="shared" si="198"/>
        <v/>
      </c>
      <c r="J5498" s="882"/>
      <c r="K5498" s="1292"/>
      <c r="L5498" s="869"/>
      <c r="M5498" s="869"/>
      <c r="N5498" s="869"/>
    </row>
    <row r="5499" spans="1:14" s="870" customFormat="1" hidden="1" outlineLevel="1">
      <c r="A5499" s="1246"/>
      <c r="B5499" s="855"/>
      <c r="C5499" s="854" t="s">
        <v>1</v>
      </c>
      <c r="D5499" s="878">
        <v>4</v>
      </c>
      <c r="E5499" s="878">
        <v>1</v>
      </c>
      <c r="F5499" s="1378">
        <v>6</v>
      </c>
      <c r="G5499" s="1378">
        <v>2</v>
      </c>
      <c r="H5499" s="1378"/>
      <c r="I5499" s="1187">
        <f t="shared" si="198"/>
        <v>48</v>
      </c>
      <c r="J5499" s="882"/>
      <c r="K5499" s="1292"/>
      <c r="L5499" s="869"/>
      <c r="M5499" s="869"/>
      <c r="N5499" s="869"/>
    </row>
    <row r="5500" spans="1:14" s="870" customFormat="1" hidden="1" outlineLevel="1">
      <c r="A5500" s="1246"/>
      <c r="B5500" s="855"/>
      <c r="C5500" s="854" t="s">
        <v>1</v>
      </c>
      <c r="D5500" s="878">
        <v>4</v>
      </c>
      <c r="E5500" s="878">
        <v>1</v>
      </c>
      <c r="F5500" s="1380">
        <v>11.12</v>
      </c>
      <c r="G5500" s="1378"/>
      <c r="H5500" s="1378"/>
      <c r="I5500" s="1187">
        <f t="shared" si="198"/>
        <v>44.48</v>
      </c>
      <c r="J5500" s="882"/>
      <c r="K5500" s="1292"/>
      <c r="L5500" s="869"/>
      <c r="M5500" s="869"/>
      <c r="N5500" s="869"/>
    </row>
    <row r="5501" spans="1:14" s="870" customFormat="1" hidden="1" outlineLevel="1">
      <c r="A5501" s="1246"/>
      <c r="B5501" s="855" t="s">
        <v>1349</v>
      </c>
      <c r="C5501" s="854" t="s">
        <v>1</v>
      </c>
      <c r="D5501" s="878">
        <v>4</v>
      </c>
      <c r="E5501" s="878">
        <v>2</v>
      </c>
      <c r="F5501" s="1378">
        <v>3</v>
      </c>
      <c r="G5501" s="1378">
        <v>0.34</v>
      </c>
      <c r="H5501" s="1378"/>
      <c r="I5501" s="1187">
        <f t="shared" si="198"/>
        <v>8.16</v>
      </c>
      <c r="J5501" s="882"/>
      <c r="K5501" s="1292"/>
      <c r="L5501" s="869"/>
      <c r="M5501" s="869"/>
      <c r="N5501" s="869"/>
    </row>
    <row r="5502" spans="1:14" s="870" customFormat="1" hidden="1" outlineLevel="1">
      <c r="A5502" s="1246"/>
      <c r="B5502" s="855" t="s">
        <v>1024</v>
      </c>
      <c r="C5502" s="854" t="s">
        <v>1</v>
      </c>
      <c r="D5502" s="878">
        <v>4</v>
      </c>
      <c r="E5502" s="878">
        <v>3</v>
      </c>
      <c r="F5502" s="1378">
        <v>3</v>
      </c>
      <c r="G5502" s="1378">
        <v>0.15</v>
      </c>
      <c r="H5502" s="1378"/>
      <c r="I5502" s="1187">
        <f t="shared" si="198"/>
        <v>5.4</v>
      </c>
      <c r="J5502" s="882"/>
      <c r="K5502" s="1292"/>
      <c r="L5502" s="869"/>
      <c r="M5502" s="869"/>
      <c r="N5502" s="869"/>
    </row>
    <row r="5503" spans="1:14" s="870" customFormat="1" hidden="1" outlineLevel="1">
      <c r="A5503" s="1246"/>
      <c r="B5503" s="855" t="s">
        <v>1350</v>
      </c>
      <c r="C5503" s="854" t="s">
        <v>1</v>
      </c>
      <c r="D5503" s="878">
        <v>4</v>
      </c>
      <c r="E5503" s="878">
        <v>2</v>
      </c>
      <c r="F5503" s="1378">
        <v>6</v>
      </c>
      <c r="G5503" s="1378"/>
      <c r="H5503" s="1378">
        <f>(0.5)/2</f>
        <v>0.25</v>
      </c>
      <c r="I5503" s="1187">
        <f t="shared" si="198"/>
        <v>12</v>
      </c>
      <c r="J5503" s="882"/>
      <c r="K5503" s="1292"/>
      <c r="L5503" s="869"/>
      <c r="M5503" s="869"/>
      <c r="N5503" s="869"/>
    </row>
    <row r="5504" spans="1:14" s="870" customFormat="1" hidden="1" outlineLevel="1">
      <c r="A5504" s="1246"/>
      <c r="B5504" s="855"/>
      <c r="C5504" s="854" t="s">
        <v>1</v>
      </c>
      <c r="D5504" s="878">
        <v>4</v>
      </c>
      <c r="E5504" s="878">
        <v>1</v>
      </c>
      <c r="F5504" s="1380">
        <v>3.23</v>
      </c>
      <c r="G5504" s="1378"/>
      <c r="H5504" s="1378">
        <v>0.5</v>
      </c>
      <c r="I5504" s="1187">
        <f t="shared" si="198"/>
        <v>6.46</v>
      </c>
      <c r="J5504" s="882"/>
      <c r="K5504" s="1292"/>
      <c r="L5504" s="869"/>
      <c r="M5504" s="869"/>
      <c r="N5504" s="869"/>
    </row>
    <row r="5505" spans="1:14" s="870" customFormat="1" hidden="1" outlineLevel="1">
      <c r="A5505" s="1246"/>
      <c r="B5505" s="855"/>
      <c r="C5505" s="854" t="s">
        <v>1</v>
      </c>
      <c r="D5505" s="878">
        <v>4</v>
      </c>
      <c r="E5505" s="878">
        <v>1</v>
      </c>
      <c r="F5505" s="1378">
        <v>0.6</v>
      </c>
      <c r="G5505" s="1378"/>
      <c r="H5505" s="1378">
        <v>0.5</v>
      </c>
      <c r="I5505" s="1187">
        <f t="shared" si="198"/>
        <v>1.2</v>
      </c>
      <c r="J5505" s="882"/>
      <c r="K5505" s="1292"/>
      <c r="L5505" s="869"/>
      <c r="M5505" s="869"/>
      <c r="N5505" s="869"/>
    </row>
    <row r="5506" spans="1:14" s="870" customFormat="1" hidden="1" outlineLevel="1">
      <c r="A5506" s="1246"/>
      <c r="B5506" s="855"/>
      <c r="C5506" s="854" t="s">
        <v>1</v>
      </c>
      <c r="D5506" s="878">
        <v>4</v>
      </c>
      <c r="E5506" s="878">
        <v>1</v>
      </c>
      <c r="F5506" s="1378">
        <v>1.07</v>
      </c>
      <c r="G5506" s="1378"/>
      <c r="H5506" s="1378">
        <v>0.5</v>
      </c>
      <c r="I5506" s="1187">
        <f t="shared" ref="I5506:I5569" si="199">IF(D5506&lt;&gt;0,ROUND(PRODUCT(E5506:H5506)*D5506,2),"")</f>
        <v>2.14</v>
      </c>
      <c r="J5506" s="882"/>
      <c r="K5506" s="1292"/>
      <c r="L5506" s="869"/>
      <c r="M5506" s="869"/>
      <c r="N5506" s="869"/>
    </row>
    <row r="5507" spans="1:14" s="870" customFormat="1" hidden="1" outlineLevel="1">
      <c r="A5507" s="1246"/>
      <c r="B5507" s="855"/>
      <c r="C5507" s="854"/>
      <c r="D5507" s="878"/>
      <c r="E5507" s="878"/>
      <c r="F5507" s="1378"/>
      <c r="G5507" s="1378"/>
      <c r="H5507" s="1378"/>
      <c r="I5507" s="1187" t="str">
        <f t="shared" si="199"/>
        <v/>
      </c>
      <c r="J5507" s="882"/>
      <c r="K5507" s="1292"/>
      <c r="L5507" s="869"/>
      <c r="M5507" s="869"/>
      <c r="N5507" s="869"/>
    </row>
    <row r="5508" spans="1:14" s="870" customFormat="1" ht="34.5" hidden="1" outlineLevel="1">
      <c r="A5508" s="1246"/>
      <c r="B5508" s="855" t="s">
        <v>1351</v>
      </c>
      <c r="C5508" s="854"/>
      <c r="D5508" s="878"/>
      <c r="E5508" s="878"/>
      <c r="F5508" s="1378"/>
      <c r="G5508" s="1378"/>
      <c r="H5508" s="1378"/>
      <c r="I5508" s="1187" t="str">
        <f t="shared" si="199"/>
        <v/>
      </c>
      <c r="J5508" s="882"/>
      <c r="K5508" s="1292"/>
      <c r="L5508" s="869"/>
      <c r="M5508" s="869"/>
      <c r="N5508" s="869"/>
    </row>
    <row r="5509" spans="1:14" s="870" customFormat="1" hidden="1" outlineLevel="1">
      <c r="A5509" s="1246"/>
      <c r="B5509" s="855" t="s">
        <v>1352</v>
      </c>
      <c r="C5509" s="854"/>
      <c r="D5509" s="878"/>
      <c r="E5509" s="878"/>
      <c r="F5509" s="1378"/>
      <c r="G5509" s="1378"/>
      <c r="H5509" s="1378"/>
      <c r="I5509" s="1187" t="str">
        <f t="shared" si="199"/>
        <v/>
      </c>
      <c r="J5509" s="882"/>
      <c r="K5509" s="1292"/>
      <c r="L5509" s="869"/>
      <c r="M5509" s="869"/>
      <c r="N5509" s="869"/>
    </row>
    <row r="5510" spans="1:14" s="870" customFormat="1" hidden="1" outlineLevel="1">
      <c r="A5510" s="1246"/>
      <c r="B5510" s="855" t="s">
        <v>1353</v>
      </c>
      <c r="C5510" s="854" t="s">
        <v>1</v>
      </c>
      <c r="D5510" s="878">
        <v>6</v>
      </c>
      <c r="E5510" s="878">
        <v>1</v>
      </c>
      <c r="F5510" s="1378">
        <v>3</v>
      </c>
      <c r="G5510" s="1380">
        <v>0.45</v>
      </c>
      <c r="H5510" s="1378"/>
      <c r="I5510" s="1187">
        <f t="shared" si="199"/>
        <v>8.1</v>
      </c>
      <c r="J5510" s="882"/>
      <c r="K5510" s="1292"/>
      <c r="L5510" s="869"/>
      <c r="M5510" s="869"/>
      <c r="N5510" s="869"/>
    </row>
    <row r="5511" spans="1:14" s="870" customFormat="1" hidden="1" outlineLevel="1">
      <c r="A5511" s="1246"/>
      <c r="B5511" s="855" t="s">
        <v>1354</v>
      </c>
      <c r="C5511" s="854"/>
      <c r="D5511" s="878"/>
      <c r="E5511" s="878"/>
      <c r="F5511" s="1378"/>
      <c r="G5511" s="1378"/>
      <c r="H5511" s="1378"/>
      <c r="I5511" s="1187" t="str">
        <f t="shared" si="199"/>
        <v/>
      </c>
      <c r="J5511" s="882"/>
      <c r="K5511" s="1292"/>
      <c r="L5511" s="869"/>
      <c r="M5511" s="869"/>
      <c r="N5511" s="869"/>
    </row>
    <row r="5512" spans="1:14" s="870" customFormat="1" hidden="1" outlineLevel="1">
      <c r="A5512" s="1246"/>
      <c r="B5512" s="855" t="s">
        <v>1353</v>
      </c>
      <c r="C5512" s="854" t="s">
        <v>1</v>
      </c>
      <c r="D5512" s="878">
        <v>7</v>
      </c>
      <c r="E5512" s="878">
        <v>1</v>
      </c>
      <c r="F5512" s="1378">
        <v>3</v>
      </c>
      <c r="G5512" s="1380">
        <v>0.45</v>
      </c>
      <c r="H5512" s="1378"/>
      <c r="I5512" s="1187">
        <f t="shared" si="199"/>
        <v>9.4499999999999993</v>
      </c>
      <c r="J5512" s="882"/>
      <c r="K5512" s="1292"/>
      <c r="L5512" s="869"/>
      <c r="M5512" s="869"/>
      <c r="N5512" s="869"/>
    </row>
    <row r="5513" spans="1:14" s="870" customFormat="1" hidden="1" outlineLevel="1">
      <c r="A5513" s="1246"/>
      <c r="B5513" s="855" t="s">
        <v>1355</v>
      </c>
      <c r="C5513" s="854"/>
      <c r="D5513" s="878"/>
      <c r="E5513" s="878"/>
      <c r="F5513" s="1378"/>
      <c r="G5513" s="1378"/>
      <c r="H5513" s="1378"/>
      <c r="I5513" s="1187" t="str">
        <f t="shared" si="199"/>
        <v/>
      </c>
      <c r="J5513" s="882"/>
      <c r="K5513" s="1292"/>
      <c r="L5513" s="869"/>
      <c r="M5513" s="869"/>
      <c r="N5513" s="869"/>
    </row>
    <row r="5514" spans="1:14" s="870" customFormat="1" hidden="1" outlineLevel="1">
      <c r="A5514" s="1246"/>
      <c r="B5514" s="855" t="s">
        <v>1353</v>
      </c>
      <c r="C5514" s="854" t="s">
        <v>1</v>
      </c>
      <c r="D5514" s="878">
        <v>6</v>
      </c>
      <c r="E5514" s="878">
        <v>1</v>
      </c>
      <c r="F5514" s="1378">
        <v>3</v>
      </c>
      <c r="G5514" s="1380">
        <v>0.45</v>
      </c>
      <c r="H5514" s="1378"/>
      <c r="I5514" s="1187">
        <f t="shared" si="199"/>
        <v>8.1</v>
      </c>
      <c r="J5514" s="882"/>
      <c r="K5514" s="1292"/>
      <c r="L5514" s="869"/>
      <c r="M5514" s="869"/>
      <c r="N5514" s="869"/>
    </row>
    <row r="5515" spans="1:14" s="870" customFormat="1" hidden="1" outlineLevel="1">
      <c r="A5515" s="1246"/>
      <c r="B5515" s="855" t="s">
        <v>1356</v>
      </c>
      <c r="C5515" s="854"/>
      <c r="D5515" s="878"/>
      <c r="E5515" s="878"/>
      <c r="F5515" s="1378"/>
      <c r="G5515" s="1378"/>
      <c r="H5515" s="1378"/>
      <c r="I5515" s="1187" t="str">
        <f t="shared" si="199"/>
        <v/>
      </c>
      <c r="J5515" s="882"/>
      <c r="K5515" s="1292"/>
      <c r="L5515" s="869"/>
      <c r="M5515" s="869"/>
      <c r="N5515" s="869"/>
    </row>
    <row r="5516" spans="1:14" s="870" customFormat="1" hidden="1" outlineLevel="1">
      <c r="A5516" s="1246"/>
      <c r="B5516" s="855" t="s">
        <v>1353</v>
      </c>
      <c r="C5516" s="854" t="s">
        <v>1</v>
      </c>
      <c r="D5516" s="878">
        <v>4</v>
      </c>
      <c r="E5516" s="878">
        <v>1</v>
      </c>
      <c r="F5516" s="1378">
        <v>3</v>
      </c>
      <c r="G5516" s="1380">
        <v>0.45</v>
      </c>
      <c r="H5516" s="1378"/>
      <c r="I5516" s="1187">
        <f t="shared" si="199"/>
        <v>5.4</v>
      </c>
      <c r="J5516" s="882"/>
      <c r="K5516" s="1292"/>
      <c r="L5516" s="869"/>
      <c r="M5516" s="869"/>
      <c r="N5516" s="869"/>
    </row>
    <row r="5517" spans="1:14" s="870" customFormat="1" hidden="1" outlineLevel="1">
      <c r="A5517" s="1246"/>
      <c r="B5517" s="855" t="s">
        <v>1357</v>
      </c>
      <c r="C5517" s="854"/>
      <c r="D5517" s="878"/>
      <c r="E5517" s="878"/>
      <c r="F5517" s="1378"/>
      <c r="G5517" s="1378"/>
      <c r="H5517" s="1378"/>
      <c r="I5517" s="1187" t="str">
        <f t="shared" si="199"/>
        <v/>
      </c>
      <c r="J5517" s="882"/>
      <c r="K5517" s="1292"/>
      <c r="L5517" s="869"/>
      <c r="M5517" s="869"/>
      <c r="N5517" s="869"/>
    </row>
    <row r="5518" spans="1:14" s="870" customFormat="1" hidden="1" outlineLevel="1">
      <c r="A5518" s="1246"/>
      <c r="B5518" s="855" t="s">
        <v>1353</v>
      </c>
      <c r="C5518" s="854" t="s">
        <v>1</v>
      </c>
      <c r="D5518" s="878">
        <v>4</v>
      </c>
      <c r="E5518" s="878">
        <v>1</v>
      </c>
      <c r="F5518" s="1378">
        <v>3</v>
      </c>
      <c r="G5518" s="1380">
        <v>0.45</v>
      </c>
      <c r="H5518" s="1378"/>
      <c r="I5518" s="1187">
        <f t="shared" si="199"/>
        <v>5.4</v>
      </c>
      <c r="J5518" s="882"/>
      <c r="K5518" s="1292"/>
      <c r="L5518" s="869"/>
      <c r="M5518" s="869"/>
      <c r="N5518" s="869"/>
    </row>
    <row r="5519" spans="1:14" s="870" customFormat="1" ht="34.5" hidden="1" outlineLevel="1">
      <c r="A5519" s="1246"/>
      <c r="B5519" s="855" t="s">
        <v>1358</v>
      </c>
      <c r="C5519" s="854"/>
      <c r="D5519" s="878"/>
      <c r="E5519" s="878"/>
      <c r="F5519" s="1378"/>
      <c r="G5519" s="1378"/>
      <c r="H5519" s="1378"/>
      <c r="I5519" s="1187" t="str">
        <f t="shared" si="199"/>
        <v/>
      </c>
      <c r="J5519" s="882"/>
      <c r="K5519" s="1292"/>
      <c r="L5519" s="869"/>
      <c r="M5519" s="869"/>
      <c r="N5519" s="869"/>
    </row>
    <row r="5520" spans="1:14" s="870" customFormat="1" hidden="1" outlineLevel="1">
      <c r="A5520" s="1246"/>
      <c r="B5520" s="855" t="s">
        <v>1353</v>
      </c>
      <c r="C5520" s="854" t="s">
        <v>1</v>
      </c>
      <c r="D5520" s="878">
        <v>8</v>
      </c>
      <c r="E5520" s="878">
        <v>1</v>
      </c>
      <c r="F5520" s="1378">
        <v>3</v>
      </c>
      <c r="G5520" s="1380">
        <v>0.45</v>
      </c>
      <c r="H5520" s="1378"/>
      <c r="I5520" s="1187">
        <f t="shared" si="199"/>
        <v>10.8</v>
      </c>
      <c r="J5520" s="882"/>
      <c r="K5520" s="1292"/>
      <c r="L5520" s="869"/>
      <c r="M5520" s="869"/>
      <c r="N5520" s="869"/>
    </row>
    <row r="5521" spans="1:14" s="870" customFormat="1" ht="34.5" hidden="1" outlineLevel="1">
      <c r="A5521" s="1246"/>
      <c r="B5521" s="855" t="s">
        <v>1359</v>
      </c>
      <c r="C5521" s="854"/>
      <c r="D5521" s="878"/>
      <c r="E5521" s="878"/>
      <c r="F5521" s="1378"/>
      <c r="G5521" s="1378"/>
      <c r="H5521" s="1378"/>
      <c r="I5521" s="1187" t="str">
        <f t="shared" si="199"/>
        <v/>
      </c>
      <c r="J5521" s="882"/>
      <c r="K5521" s="1292"/>
      <c r="L5521" s="869"/>
      <c r="M5521" s="869"/>
      <c r="N5521" s="869"/>
    </row>
    <row r="5522" spans="1:14" s="870" customFormat="1" hidden="1" outlineLevel="1">
      <c r="A5522" s="1246"/>
      <c r="B5522" s="855" t="s">
        <v>1353</v>
      </c>
      <c r="C5522" s="854" t="s">
        <v>1</v>
      </c>
      <c r="D5522" s="878">
        <v>4</v>
      </c>
      <c r="E5522" s="878">
        <v>1</v>
      </c>
      <c r="F5522" s="1378">
        <v>3</v>
      </c>
      <c r="G5522" s="1380">
        <v>0.45</v>
      </c>
      <c r="H5522" s="1378"/>
      <c r="I5522" s="1187">
        <f t="shared" si="199"/>
        <v>5.4</v>
      </c>
      <c r="J5522" s="882"/>
      <c r="K5522" s="1292"/>
      <c r="L5522" s="869"/>
      <c r="M5522" s="869"/>
      <c r="N5522" s="869"/>
    </row>
    <row r="5523" spans="1:14" s="870" customFormat="1" hidden="1" outlineLevel="1">
      <c r="A5523" s="1246"/>
      <c r="B5523" s="855" t="s">
        <v>1360</v>
      </c>
      <c r="C5523" s="854"/>
      <c r="D5523" s="878"/>
      <c r="E5523" s="878"/>
      <c r="F5523" s="1378"/>
      <c r="G5523" s="1378"/>
      <c r="H5523" s="1378"/>
      <c r="I5523" s="1187" t="str">
        <f t="shared" si="199"/>
        <v/>
      </c>
      <c r="J5523" s="882"/>
      <c r="K5523" s="1292"/>
      <c r="L5523" s="869"/>
      <c r="M5523" s="869"/>
      <c r="N5523" s="869"/>
    </row>
    <row r="5524" spans="1:14" s="870" customFormat="1" hidden="1" outlineLevel="1">
      <c r="A5524" s="1246"/>
      <c r="B5524" s="855" t="s">
        <v>1353</v>
      </c>
      <c r="C5524" s="854" t="s">
        <v>1</v>
      </c>
      <c r="D5524" s="878">
        <v>8</v>
      </c>
      <c r="E5524" s="878">
        <v>1</v>
      </c>
      <c r="F5524" s="1378">
        <v>3</v>
      </c>
      <c r="G5524" s="1380">
        <v>0.45</v>
      </c>
      <c r="H5524" s="1378"/>
      <c r="I5524" s="1187">
        <f t="shared" si="199"/>
        <v>10.8</v>
      </c>
      <c r="J5524" s="882"/>
      <c r="K5524" s="1292"/>
      <c r="L5524" s="869"/>
      <c r="M5524" s="869"/>
      <c r="N5524" s="869"/>
    </row>
    <row r="5525" spans="1:14" s="870" customFormat="1" ht="34.5" hidden="1" outlineLevel="1">
      <c r="A5525" s="1246"/>
      <c r="B5525" s="855" t="s">
        <v>1361</v>
      </c>
      <c r="C5525" s="854"/>
      <c r="D5525" s="878"/>
      <c r="E5525" s="878"/>
      <c r="F5525" s="1378"/>
      <c r="G5525" s="1378"/>
      <c r="H5525" s="1378"/>
      <c r="I5525" s="1187" t="str">
        <f t="shared" si="199"/>
        <v/>
      </c>
      <c r="J5525" s="882"/>
      <c r="K5525" s="1292"/>
      <c r="L5525" s="869"/>
      <c r="M5525" s="869"/>
      <c r="N5525" s="869"/>
    </row>
    <row r="5526" spans="1:14" s="870" customFormat="1" hidden="1" outlineLevel="1">
      <c r="A5526" s="1246"/>
      <c r="B5526" s="855" t="s">
        <v>1353</v>
      </c>
      <c r="C5526" s="854" t="s">
        <v>1</v>
      </c>
      <c r="D5526" s="889">
        <v>11</v>
      </c>
      <c r="E5526" s="878">
        <v>1</v>
      </c>
      <c r="F5526" s="1378">
        <v>3</v>
      </c>
      <c r="G5526" s="1380">
        <v>0.45</v>
      </c>
      <c r="H5526" s="1378"/>
      <c r="I5526" s="1187">
        <f t="shared" si="199"/>
        <v>14.85</v>
      </c>
      <c r="J5526" s="882"/>
      <c r="K5526" s="1292"/>
      <c r="L5526" s="869"/>
      <c r="M5526" s="869"/>
      <c r="N5526" s="869"/>
    </row>
    <row r="5527" spans="1:14" s="870" customFormat="1" hidden="1" outlineLevel="1">
      <c r="A5527" s="1306"/>
      <c r="B5527" s="890" t="s">
        <v>1689</v>
      </c>
      <c r="C5527" s="897" t="s">
        <v>1</v>
      </c>
      <c r="D5527" s="889">
        <v>-1</v>
      </c>
      <c r="E5527" s="889">
        <v>1</v>
      </c>
      <c r="F5527" s="1380">
        <v>127.28999999999996</v>
      </c>
      <c r="G5527" s="1380"/>
      <c r="H5527" s="1380"/>
      <c r="I5527" s="1187">
        <f t="shared" si="199"/>
        <v>-127.29</v>
      </c>
      <c r="J5527" s="899"/>
      <c r="K5527" s="1307"/>
      <c r="L5527" s="869"/>
      <c r="M5527" s="869"/>
      <c r="N5527" s="869"/>
    </row>
    <row r="5528" spans="1:14" s="464" customFormat="1" collapsed="1">
      <c r="A5528" s="1264"/>
      <c r="B5528" s="669" t="s">
        <v>85</v>
      </c>
      <c r="C5528" s="465" t="s">
        <v>1</v>
      </c>
      <c r="D5528" s="444"/>
      <c r="E5528" s="345"/>
      <c r="F5528" s="1356"/>
      <c r="G5528" s="1356"/>
      <c r="H5528" s="1356"/>
      <c r="I5528" s="1187" t="str">
        <f t="shared" si="199"/>
        <v/>
      </c>
      <c r="J5528" s="467">
        <f>SUM(I5376:I5528)</f>
        <v>8299.4799999999905</v>
      </c>
      <c r="K5528" s="1258"/>
      <c r="L5528" s="463"/>
      <c r="M5528" s="463"/>
      <c r="N5528" s="463"/>
    </row>
    <row r="5529" spans="1:14" s="398" customFormat="1">
      <c r="A5529" s="1232"/>
      <c r="B5529" s="311"/>
      <c r="C5529" s="165" t="s">
        <v>1</v>
      </c>
      <c r="D5529" s="392"/>
      <c r="E5529" s="392"/>
      <c r="F5529" s="1352"/>
      <c r="G5529" s="1352"/>
      <c r="H5529" s="1352"/>
      <c r="I5529" s="1187" t="str">
        <f t="shared" si="199"/>
        <v/>
      </c>
      <c r="J5529" s="394"/>
      <c r="K5529" s="1233"/>
      <c r="L5529" s="431"/>
      <c r="M5529" s="431"/>
      <c r="N5529" s="431"/>
    </row>
    <row r="5530" spans="1:14" s="398" customFormat="1" ht="34.5">
      <c r="A5530" s="1232">
        <v>1</v>
      </c>
      <c r="B5530" s="311" t="s">
        <v>1776</v>
      </c>
      <c r="C5530" s="165" t="s">
        <v>1</v>
      </c>
      <c r="D5530" s="392">
        <v>1</v>
      </c>
      <c r="E5530" s="392">
        <v>1</v>
      </c>
      <c r="F5530" s="1352">
        <v>3.4974609999999999</v>
      </c>
      <c r="G5530" s="1352"/>
      <c r="H5530" s="1352"/>
      <c r="I5530" s="1187">
        <f t="shared" si="199"/>
        <v>3.5</v>
      </c>
      <c r="J5530" s="394"/>
      <c r="K5530" s="1233" t="s">
        <v>860</v>
      </c>
      <c r="L5530" s="431"/>
      <c r="M5530" s="431"/>
      <c r="N5530" s="431"/>
    </row>
    <row r="5531" spans="1:14" s="398" customFormat="1" ht="51.75">
      <c r="A5531" s="1232"/>
      <c r="B5531" s="311" t="s">
        <v>1777</v>
      </c>
      <c r="C5531" s="165" t="s">
        <v>1</v>
      </c>
      <c r="D5531" s="392">
        <v>1</v>
      </c>
      <c r="E5531" s="392">
        <v>1</v>
      </c>
      <c r="F5531" s="1352">
        <v>29.25</v>
      </c>
      <c r="G5531" s="1352">
        <v>0.6</v>
      </c>
      <c r="H5531" s="1352"/>
      <c r="I5531" s="1187">
        <f t="shared" si="199"/>
        <v>17.55</v>
      </c>
      <c r="J5531" s="394"/>
      <c r="K5531" s="1233"/>
      <c r="L5531" s="431"/>
      <c r="M5531" s="431"/>
      <c r="N5531" s="431"/>
    </row>
    <row r="5532" spans="1:14" s="398" customFormat="1" ht="51.75">
      <c r="A5532" s="1232"/>
      <c r="B5532" s="311" t="s">
        <v>1778</v>
      </c>
      <c r="C5532" s="165" t="s">
        <v>1</v>
      </c>
      <c r="D5532" s="392">
        <v>1</v>
      </c>
      <c r="E5532" s="392">
        <v>1</v>
      </c>
      <c r="F5532" s="1352">
        <v>29.85</v>
      </c>
      <c r="G5532" s="1352">
        <v>0.6</v>
      </c>
      <c r="H5532" s="1352"/>
      <c r="I5532" s="1187">
        <f t="shared" si="199"/>
        <v>17.91</v>
      </c>
      <c r="J5532" s="394"/>
      <c r="K5532" s="1233"/>
      <c r="L5532" s="431"/>
      <c r="M5532" s="431"/>
      <c r="N5532" s="431"/>
    </row>
    <row r="5533" spans="1:14" s="398" customFormat="1" ht="51.75">
      <c r="A5533" s="1232"/>
      <c r="B5533" s="311" t="s">
        <v>1779</v>
      </c>
      <c r="C5533" s="165" t="s">
        <v>1</v>
      </c>
      <c r="D5533" s="392">
        <v>1</v>
      </c>
      <c r="E5533" s="392">
        <v>1</v>
      </c>
      <c r="F5533" s="1352">
        <v>30.13</v>
      </c>
      <c r="G5533" s="1352">
        <v>0.3</v>
      </c>
      <c r="H5533" s="1352"/>
      <c r="I5533" s="1187">
        <f t="shared" si="199"/>
        <v>9.0399999999999991</v>
      </c>
      <c r="J5533" s="394"/>
      <c r="K5533" s="1233"/>
      <c r="L5533" s="431"/>
      <c r="M5533" s="431"/>
      <c r="N5533" s="431"/>
    </row>
    <row r="5534" spans="1:14" s="398" customFormat="1">
      <c r="A5534" s="1232"/>
      <c r="B5534" s="311"/>
      <c r="C5534" s="165" t="s">
        <v>1</v>
      </c>
      <c r="D5534" s="392">
        <v>1</v>
      </c>
      <c r="E5534" s="392">
        <v>1</v>
      </c>
      <c r="F5534" s="1352">
        <v>6.1</v>
      </c>
      <c r="G5534" s="1383">
        <v>0.28000000000000003</v>
      </c>
      <c r="H5534" s="1352"/>
      <c r="I5534" s="1187">
        <f t="shared" si="199"/>
        <v>1.71</v>
      </c>
      <c r="J5534" s="394"/>
      <c r="K5534" s="1233"/>
      <c r="L5534" s="431"/>
      <c r="M5534" s="431"/>
      <c r="N5534" s="431"/>
    </row>
    <row r="5535" spans="1:14" s="398" customFormat="1" ht="34.5">
      <c r="A5535" s="1232"/>
      <c r="B5535" s="311" t="s">
        <v>1780</v>
      </c>
      <c r="C5535" s="165" t="s">
        <v>1</v>
      </c>
      <c r="D5535" s="392">
        <v>1</v>
      </c>
      <c r="E5535" s="392">
        <v>1</v>
      </c>
      <c r="F5535" s="1352">
        <v>15</v>
      </c>
      <c r="G5535" s="1352">
        <v>0.6</v>
      </c>
      <c r="H5535" s="1352"/>
      <c r="I5535" s="1187">
        <f t="shared" si="199"/>
        <v>9</v>
      </c>
      <c r="J5535" s="394"/>
      <c r="K5535" s="1233"/>
      <c r="L5535" s="431"/>
      <c r="M5535" s="431"/>
      <c r="N5535" s="431"/>
    </row>
    <row r="5536" spans="1:14" s="398" customFormat="1">
      <c r="A5536" s="1232"/>
      <c r="B5536" s="311"/>
      <c r="C5536" s="165" t="s">
        <v>1</v>
      </c>
      <c r="D5536" s="392">
        <v>1</v>
      </c>
      <c r="E5536" s="392">
        <v>1</v>
      </c>
      <c r="F5536" s="1352">
        <v>3.4974210000000001</v>
      </c>
      <c r="G5536" s="1352"/>
      <c r="H5536" s="1352"/>
      <c r="I5536" s="1187">
        <f t="shared" si="199"/>
        <v>3.5</v>
      </c>
      <c r="J5536" s="394"/>
      <c r="K5536" s="1233"/>
      <c r="L5536" s="431"/>
      <c r="M5536" s="431"/>
      <c r="N5536" s="431"/>
    </row>
    <row r="5537" spans="1:14" s="398" customFormat="1" ht="34.5">
      <c r="A5537" s="1232"/>
      <c r="B5537" s="311" t="s">
        <v>1781</v>
      </c>
      <c r="C5537" s="165" t="s">
        <v>1</v>
      </c>
      <c r="D5537" s="392">
        <v>1</v>
      </c>
      <c r="E5537" s="392">
        <v>1</v>
      </c>
      <c r="F5537" s="1352">
        <v>8.7796070000000004</v>
      </c>
      <c r="G5537" s="1352"/>
      <c r="H5537" s="1352"/>
      <c r="I5537" s="1187">
        <f t="shared" si="199"/>
        <v>8.7799999999999994</v>
      </c>
      <c r="J5537" s="394"/>
      <c r="K5537" s="1233"/>
      <c r="L5537" s="431"/>
      <c r="M5537" s="431"/>
      <c r="N5537" s="431"/>
    </row>
    <row r="5538" spans="1:14" s="398" customFormat="1">
      <c r="A5538" s="1232"/>
      <c r="B5538" s="311" t="s">
        <v>1782</v>
      </c>
      <c r="C5538" s="165" t="s">
        <v>1</v>
      </c>
      <c r="D5538" s="392">
        <v>1</v>
      </c>
      <c r="E5538" s="392">
        <v>1</v>
      </c>
      <c r="F5538" s="1352">
        <v>3.4976530000000001</v>
      </c>
      <c r="G5538" s="1352"/>
      <c r="H5538" s="1352"/>
      <c r="I5538" s="1187">
        <f t="shared" si="199"/>
        <v>3.5</v>
      </c>
      <c r="J5538" s="394"/>
      <c r="K5538" s="1233"/>
      <c r="L5538" s="431"/>
      <c r="M5538" s="431"/>
      <c r="N5538" s="431"/>
    </row>
    <row r="5539" spans="1:14" s="398" customFormat="1">
      <c r="A5539" s="1232"/>
      <c r="B5539" s="311" t="s">
        <v>1783</v>
      </c>
      <c r="C5539" s="165" t="s">
        <v>1</v>
      </c>
      <c r="D5539" s="392">
        <v>1</v>
      </c>
      <c r="E5539" s="392">
        <v>1</v>
      </c>
      <c r="F5539" s="1352">
        <v>3.4973809999999999</v>
      </c>
      <c r="G5539" s="1352"/>
      <c r="H5539" s="1352"/>
      <c r="I5539" s="1187">
        <f t="shared" si="199"/>
        <v>3.5</v>
      </c>
      <c r="J5539" s="394"/>
      <c r="K5539" s="1233"/>
      <c r="L5539" s="431"/>
      <c r="M5539" s="431"/>
      <c r="N5539" s="431"/>
    </row>
    <row r="5540" spans="1:14" s="398" customFormat="1">
      <c r="A5540" s="1232"/>
      <c r="B5540" s="311"/>
      <c r="C5540" s="165" t="s">
        <v>1</v>
      </c>
      <c r="D5540" s="392">
        <v>1</v>
      </c>
      <c r="E5540" s="392">
        <v>1</v>
      </c>
      <c r="F5540" s="1352">
        <v>8.9999870000000008</v>
      </c>
      <c r="G5540" s="1352"/>
      <c r="H5540" s="1352"/>
      <c r="I5540" s="1187">
        <f t="shared" si="199"/>
        <v>9</v>
      </c>
      <c r="J5540" s="394"/>
      <c r="K5540" s="1233"/>
      <c r="L5540" s="431"/>
      <c r="M5540" s="431"/>
      <c r="N5540" s="431"/>
    </row>
    <row r="5541" spans="1:14" s="398" customFormat="1" ht="34.5">
      <c r="A5541" s="1232"/>
      <c r="B5541" s="311" t="s">
        <v>1784</v>
      </c>
      <c r="C5541" s="165" t="s">
        <v>1</v>
      </c>
      <c r="D5541" s="392">
        <v>1</v>
      </c>
      <c r="E5541" s="392">
        <v>1</v>
      </c>
      <c r="F5541" s="1352">
        <v>8.0467999999999993</v>
      </c>
      <c r="G5541" s="1352"/>
      <c r="H5541" s="1352"/>
      <c r="I5541" s="1187">
        <f t="shared" si="199"/>
        <v>8.0500000000000007</v>
      </c>
      <c r="J5541" s="394"/>
      <c r="K5541" s="1233"/>
      <c r="L5541" s="431"/>
      <c r="M5541" s="431"/>
      <c r="N5541" s="431"/>
    </row>
    <row r="5542" spans="1:14" s="398" customFormat="1">
      <c r="A5542" s="1232"/>
      <c r="B5542" s="311"/>
      <c r="C5542" s="165"/>
      <c r="D5542" s="392"/>
      <c r="E5542" s="392"/>
      <c r="F5542" s="1352"/>
      <c r="G5542" s="1352"/>
      <c r="H5542" s="1352"/>
      <c r="I5542" s="1187" t="str">
        <f t="shared" si="199"/>
        <v/>
      </c>
      <c r="J5542" s="394"/>
      <c r="K5542" s="1233"/>
      <c r="L5542" s="431"/>
      <c r="M5542" s="431"/>
      <c r="N5542" s="431"/>
    </row>
    <row r="5543" spans="1:14" s="398" customFormat="1">
      <c r="A5543" s="1232">
        <v>2</v>
      </c>
      <c r="B5543" s="311" t="s">
        <v>1785</v>
      </c>
      <c r="C5543" s="165"/>
      <c r="D5543" s="392"/>
      <c r="E5543" s="392"/>
      <c r="F5543" s="1352"/>
      <c r="G5543" s="1352"/>
      <c r="H5543" s="1352"/>
      <c r="I5543" s="1187" t="str">
        <f t="shared" si="199"/>
        <v/>
      </c>
      <c r="J5543" s="394"/>
      <c r="K5543" s="1233"/>
      <c r="L5543" s="431"/>
      <c r="M5543" s="431"/>
      <c r="N5543" s="431"/>
    </row>
    <row r="5544" spans="1:14" s="398" customFormat="1" ht="34.5">
      <c r="A5544" s="1232">
        <v>2.1</v>
      </c>
      <c r="B5544" s="311" t="s">
        <v>1786</v>
      </c>
      <c r="C5544" s="165"/>
      <c r="D5544" s="392"/>
      <c r="E5544" s="392"/>
      <c r="F5544" s="1352"/>
      <c r="G5544" s="1352"/>
      <c r="H5544" s="1352"/>
      <c r="I5544" s="1187" t="str">
        <f t="shared" si="199"/>
        <v/>
      </c>
      <c r="J5544" s="394"/>
      <c r="K5544" s="1233"/>
      <c r="L5544" s="431"/>
      <c r="M5544" s="431"/>
      <c r="N5544" s="431"/>
    </row>
    <row r="5545" spans="1:14" s="398" customFormat="1">
      <c r="A5545" s="1232"/>
      <c r="B5545" s="311" t="s">
        <v>1353</v>
      </c>
      <c r="C5545" s="165" t="s">
        <v>1</v>
      </c>
      <c r="D5545" s="392">
        <v>5</v>
      </c>
      <c r="E5545" s="392">
        <v>1</v>
      </c>
      <c r="F5545" s="1352">
        <v>3</v>
      </c>
      <c r="G5545" s="1352">
        <v>0.5</v>
      </c>
      <c r="H5545" s="1352"/>
      <c r="I5545" s="1187">
        <f t="shared" si="199"/>
        <v>7.5</v>
      </c>
      <c r="J5545" s="394"/>
      <c r="K5545" s="1233"/>
      <c r="L5545" s="431"/>
      <c r="M5545" s="431"/>
      <c r="N5545" s="431"/>
    </row>
    <row r="5546" spans="1:14" s="398" customFormat="1" ht="34.5">
      <c r="A5546" s="1232">
        <v>2.2000000000000002</v>
      </c>
      <c r="B5546" s="311" t="s">
        <v>1787</v>
      </c>
      <c r="C5546" s="165"/>
      <c r="D5546" s="392"/>
      <c r="E5546" s="392"/>
      <c r="F5546" s="1352"/>
      <c r="G5546" s="1352"/>
      <c r="H5546" s="1352"/>
      <c r="I5546" s="1187" t="str">
        <f t="shared" si="199"/>
        <v/>
      </c>
      <c r="J5546" s="394"/>
      <c r="K5546" s="1233"/>
      <c r="L5546" s="431"/>
      <c r="M5546" s="431"/>
      <c r="N5546" s="431"/>
    </row>
    <row r="5547" spans="1:14" s="398" customFormat="1">
      <c r="A5547" s="1232"/>
      <c r="B5547" s="311" t="s">
        <v>1353</v>
      </c>
      <c r="C5547" s="165" t="s">
        <v>1</v>
      </c>
      <c r="D5547" s="392">
        <v>11</v>
      </c>
      <c r="E5547" s="392">
        <v>1</v>
      </c>
      <c r="F5547" s="1352">
        <v>3</v>
      </c>
      <c r="G5547" s="1352">
        <v>0.5</v>
      </c>
      <c r="H5547" s="1352"/>
      <c r="I5547" s="1187">
        <f t="shared" si="199"/>
        <v>16.5</v>
      </c>
      <c r="J5547" s="394"/>
      <c r="K5547" s="1233"/>
      <c r="L5547" s="431"/>
      <c r="M5547" s="431"/>
      <c r="N5547" s="431"/>
    </row>
    <row r="5548" spans="1:14" s="398" customFormat="1">
      <c r="A5548" s="1232">
        <v>2.2999999999999998</v>
      </c>
      <c r="B5548" s="311" t="s">
        <v>1788</v>
      </c>
      <c r="C5548" s="165"/>
      <c r="D5548" s="392"/>
      <c r="E5548" s="392"/>
      <c r="F5548" s="1352"/>
      <c r="G5548" s="1352"/>
      <c r="H5548" s="1352"/>
      <c r="I5548" s="1187" t="str">
        <f t="shared" si="199"/>
        <v/>
      </c>
      <c r="J5548" s="394"/>
      <c r="K5548" s="1233"/>
      <c r="L5548" s="431"/>
      <c r="M5548" s="431"/>
      <c r="N5548" s="431"/>
    </row>
    <row r="5549" spans="1:14" s="398" customFormat="1">
      <c r="A5549" s="1232"/>
      <c r="B5549" s="311" t="s">
        <v>1353</v>
      </c>
      <c r="C5549" s="165" t="s">
        <v>1</v>
      </c>
      <c r="D5549" s="392">
        <v>4</v>
      </c>
      <c r="E5549" s="392">
        <v>1</v>
      </c>
      <c r="F5549" s="1352">
        <v>3</v>
      </c>
      <c r="G5549" s="1352">
        <v>0.5</v>
      </c>
      <c r="H5549" s="1352"/>
      <c r="I5549" s="1187">
        <f t="shared" si="199"/>
        <v>6</v>
      </c>
      <c r="J5549" s="394"/>
      <c r="K5549" s="1233"/>
      <c r="L5549" s="431"/>
      <c r="M5549" s="431"/>
      <c r="N5549" s="431"/>
    </row>
    <row r="5550" spans="1:14" s="398" customFormat="1" ht="34.5">
      <c r="A5550" s="1232">
        <v>2.4</v>
      </c>
      <c r="B5550" s="311" t="s">
        <v>1789</v>
      </c>
      <c r="C5550" s="165"/>
      <c r="D5550" s="392"/>
      <c r="E5550" s="392"/>
      <c r="F5550" s="1352"/>
      <c r="G5550" s="1352"/>
      <c r="H5550" s="1352"/>
      <c r="I5550" s="1187" t="str">
        <f t="shared" si="199"/>
        <v/>
      </c>
      <c r="J5550" s="394"/>
      <c r="K5550" s="1233"/>
      <c r="L5550" s="431"/>
      <c r="M5550" s="431"/>
      <c r="N5550" s="431"/>
    </row>
    <row r="5551" spans="1:14" s="398" customFormat="1">
      <c r="A5551" s="1232"/>
      <c r="B5551" s="311" t="s">
        <v>1353</v>
      </c>
      <c r="C5551" s="165" t="s">
        <v>1</v>
      </c>
      <c r="D5551" s="392">
        <v>8</v>
      </c>
      <c r="E5551" s="392">
        <v>1</v>
      </c>
      <c r="F5551" s="1352">
        <v>3</v>
      </c>
      <c r="G5551" s="1352">
        <v>0.5</v>
      </c>
      <c r="H5551" s="1352"/>
      <c r="I5551" s="1187">
        <f t="shared" si="199"/>
        <v>12</v>
      </c>
      <c r="J5551" s="394"/>
      <c r="K5551" s="1233"/>
      <c r="L5551" s="431"/>
      <c r="M5551" s="431"/>
      <c r="N5551" s="431"/>
    </row>
    <row r="5552" spans="1:14" s="398" customFormat="1" ht="34.5">
      <c r="A5552" s="1232"/>
      <c r="B5552" s="311" t="s">
        <v>1361</v>
      </c>
      <c r="C5552" s="165"/>
      <c r="D5552" s="392"/>
      <c r="E5552" s="392"/>
      <c r="F5552" s="1352"/>
      <c r="G5552" s="1352"/>
      <c r="H5552" s="1352"/>
      <c r="I5552" s="1187" t="str">
        <f t="shared" si="199"/>
        <v/>
      </c>
      <c r="J5552" s="394"/>
      <c r="K5552" s="1233"/>
      <c r="L5552" s="431"/>
      <c r="M5552" s="431"/>
      <c r="N5552" s="431"/>
    </row>
    <row r="5553" spans="1:14" s="398" customFormat="1">
      <c r="A5553" s="1232"/>
      <c r="B5553" s="311" t="s">
        <v>1353</v>
      </c>
      <c r="C5553" s="165" t="s">
        <v>1</v>
      </c>
      <c r="D5553" s="392">
        <v>1</v>
      </c>
      <c r="E5553" s="392">
        <v>1</v>
      </c>
      <c r="F5553" s="1352">
        <v>3</v>
      </c>
      <c r="G5553" s="1352">
        <v>0.5</v>
      </c>
      <c r="H5553" s="1352"/>
      <c r="I5553" s="1187">
        <f t="shared" si="199"/>
        <v>1.5</v>
      </c>
      <c r="J5553" s="394"/>
      <c r="K5553" s="1233"/>
      <c r="L5553" s="431"/>
      <c r="M5553" s="431"/>
      <c r="N5553" s="431"/>
    </row>
    <row r="5554" spans="1:14" s="398" customFormat="1">
      <c r="A5554" s="1232"/>
      <c r="B5554" s="311"/>
      <c r="C5554" s="165"/>
      <c r="D5554" s="392"/>
      <c r="E5554" s="392"/>
      <c r="F5554" s="1352"/>
      <c r="G5554" s="1352"/>
      <c r="H5554" s="1352"/>
      <c r="I5554" s="1187" t="str">
        <f t="shared" si="199"/>
        <v/>
      </c>
      <c r="J5554" s="394"/>
      <c r="K5554" s="1233"/>
      <c r="L5554" s="431"/>
      <c r="M5554" s="431"/>
      <c r="N5554" s="431"/>
    </row>
    <row r="5555" spans="1:14" s="398" customFormat="1" ht="69">
      <c r="A5555" s="1232">
        <v>3</v>
      </c>
      <c r="B5555" s="311" t="s">
        <v>1790</v>
      </c>
      <c r="C5555" s="165"/>
      <c r="D5555" s="392"/>
      <c r="E5555" s="392"/>
      <c r="F5555" s="1352"/>
      <c r="G5555" s="1352"/>
      <c r="H5555" s="1352"/>
      <c r="I5555" s="1187" t="str">
        <f t="shared" si="199"/>
        <v/>
      </c>
      <c r="J5555" s="394"/>
      <c r="K5555" s="1233"/>
      <c r="L5555" s="431"/>
      <c r="M5555" s="431"/>
      <c r="N5555" s="431"/>
    </row>
    <row r="5556" spans="1:14" s="398" customFormat="1" ht="34.5">
      <c r="A5556" s="1232">
        <v>3.1</v>
      </c>
      <c r="B5556" s="311" t="s">
        <v>1791</v>
      </c>
      <c r="C5556" s="165" t="s">
        <v>1</v>
      </c>
      <c r="D5556" s="392">
        <v>1</v>
      </c>
      <c r="E5556" s="392">
        <v>215</v>
      </c>
      <c r="F5556" s="1352">
        <v>1.0920000000000001</v>
      </c>
      <c r="G5556" s="1352">
        <v>0.29200000000000004</v>
      </c>
      <c r="H5556" s="1352"/>
      <c r="I5556" s="1187">
        <f t="shared" si="199"/>
        <v>68.56</v>
      </c>
      <c r="J5556" s="394"/>
      <c r="K5556" s="1233"/>
      <c r="L5556" s="431"/>
      <c r="M5556" s="431"/>
      <c r="N5556" s="431"/>
    </row>
    <row r="5557" spans="1:14" s="398" customFormat="1">
      <c r="A5557" s="1232">
        <v>3.2</v>
      </c>
      <c r="B5557" s="311" t="s">
        <v>1792</v>
      </c>
      <c r="C5557" s="165" t="s">
        <v>1</v>
      </c>
      <c r="D5557" s="392">
        <v>1</v>
      </c>
      <c r="E5557" s="392">
        <v>15</v>
      </c>
      <c r="F5557" s="1352">
        <v>1.0920000000000001</v>
      </c>
      <c r="G5557" s="1352">
        <v>0.29200000000000004</v>
      </c>
      <c r="H5557" s="1352"/>
      <c r="I5557" s="1187">
        <f t="shared" si="199"/>
        <v>4.78</v>
      </c>
      <c r="J5557" s="394"/>
      <c r="K5557" s="1233"/>
      <c r="L5557" s="431"/>
      <c r="M5557" s="431"/>
      <c r="N5557" s="431"/>
    </row>
    <row r="5558" spans="1:14" s="398" customFormat="1">
      <c r="A5558" s="1232">
        <v>3.3</v>
      </c>
      <c r="B5558" s="311" t="s">
        <v>1793</v>
      </c>
      <c r="C5558" s="165" t="s">
        <v>1</v>
      </c>
      <c r="D5558" s="392">
        <v>1</v>
      </c>
      <c r="E5558" s="392">
        <v>30</v>
      </c>
      <c r="F5558" s="1352">
        <v>1.0920000000000001</v>
      </c>
      <c r="G5558" s="1352">
        <v>0.29200000000000004</v>
      </c>
      <c r="H5558" s="1352"/>
      <c r="I5558" s="1187">
        <f t="shared" si="199"/>
        <v>9.57</v>
      </c>
      <c r="J5558" s="394"/>
      <c r="K5558" s="1233"/>
      <c r="L5558" s="431"/>
      <c r="M5558" s="431"/>
      <c r="N5558" s="431"/>
    </row>
    <row r="5559" spans="1:14" s="398" customFormat="1">
      <c r="A5559" s="1232">
        <v>3.4</v>
      </c>
      <c r="B5559" s="311" t="s">
        <v>1794</v>
      </c>
      <c r="C5559" s="165" t="s">
        <v>1</v>
      </c>
      <c r="D5559" s="392">
        <v>1</v>
      </c>
      <c r="E5559" s="392">
        <v>15</v>
      </c>
      <c r="F5559" s="1352">
        <v>1.0920000000000001</v>
      </c>
      <c r="G5559" s="1352">
        <v>0.29200000000000004</v>
      </c>
      <c r="H5559" s="1352"/>
      <c r="I5559" s="1187">
        <f t="shared" si="199"/>
        <v>4.78</v>
      </c>
      <c r="J5559" s="394"/>
      <c r="K5559" s="1233"/>
      <c r="L5559" s="431"/>
      <c r="M5559" s="431"/>
      <c r="N5559" s="431"/>
    </row>
    <row r="5560" spans="1:14" s="398" customFormat="1">
      <c r="A5560" s="1232">
        <v>3.5</v>
      </c>
      <c r="B5560" s="311" t="s">
        <v>1795</v>
      </c>
      <c r="C5560" s="165" t="s">
        <v>1</v>
      </c>
      <c r="D5560" s="392">
        <v>1</v>
      </c>
      <c r="E5560" s="392">
        <v>8</v>
      </c>
      <c r="F5560" s="1352">
        <v>1.0920000000000001</v>
      </c>
      <c r="G5560" s="1352">
        <v>0.29200000000000004</v>
      </c>
      <c r="H5560" s="1352"/>
      <c r="I5560" s="1187">
        <f t="shared" si="199"/>
        <v>2.5499999999999998</v>
      </c>
      <c r="J5560" s="394"/>
      <c r="K5560" s="1233"/>
      <c r="L5560" s="431"/>
      <c r="M5560" s="431"/>
      <c r="N5560" s="431"/>
    </row>
    <row r="5561" spans="1:14" s="398" customFormat="1">
      <c r="A5561" s="1232"/>
      <c r="B5561" s="311"/>
      <c r="C5561" s="165"/>
      <c r="D5561" s="392"/>
      <c r="E5561" s="392"/>
      <c r="F5561" s="1352"/>
      <c r="G5561" s="1352"/>
      <c r="H5561" s="1352"/>
      <c r="I5561" s="1187" t="str">
        <f t="shared" si="199"/>
        <v/>
      </c>
      <c r="J5561" s="394"/>
      <c r="K5561" s="1233"/>
      <c r="L5561" s="431"/>
      <c r="M5561" s="431"/>
      <c r="N5561" s="431"/>
    </row>
    <row r="5562" spans="1:14" s="398" customFormat="1" ht="33">
      <c r="A5562" s="1232"/>
      <c r="B5562" s="943" t="s">
        <v>1796</v>
      </c>
      <c r="C5562" s="165"/>
      <c r="D5562" s="392"/>
      <c r="E5562" s="392"/>
      <c r="F5562" s="1352"/>
      <c r="G5562" s="1352"/>
      <c r="H5562" s="1352"/>
      <c r="I5562" s="1187" t="str">
        <f t="shared" si="199"/>
        <v/>
      </c>
      <c r="J5562" s="394"/>
      <c r="K5562" s="1233"/>
      <c r="L5562" s="431"/>
      <c r="M5562" s="431"/>
      <c r="N5562" s="431"/>
    </row>
    <row r="5563" spans="1:14" s="398" customFormat="1">
      <c r="A5563" s="1232" t="s">
        <v>457</v>
      </c>
      <c r="B5563" s="311" t="s">
        <v>1352</v>
      </c>
      <c r="C5563" s="165"/>
      <c r="D5563" s="392"/>
      <c r="E5563" s="392"/>
      <c r="F5563" s="1352"/>
      <c r="G5563" s="1352"/>
      <c r="H5563" s="1352"/>
      <c r="I5563" s="1187" t="str">
        <f t="shared" si="199"/>
        <v/>
      </c>
      <c r="J5563" s="394"/>
      <c r="K5563" s="1233"/>
      <c r="L5563" s="431"/>
      <c r="M5563" s="431"/>
      <c r="N5563" s="431"/>
    </row>
    <row r="5564" spans="1:14" s="398" customFormat="1">
      <c r="A5564" s="1232"/>
      <c r="B5564" s="311" t="s">
        <v>1513</v>
      </c>
      <c r="C5564" s="165" t="s">
        <v>1</v>
      </c>
      <c r="D5564" s="392">
        <v>6</v>
      </c>
      <c r="E5564" s="392">
        <v>2</v>
      </c>
      <c r="F5564" s="1352">
        <v>3</v>
      </c>
      <c r="G5564" s="1352"/>
      <c r="H5564" s="1352">
        <v>0.33500000000000002</v>
      </c>
      <c r="I5564" s="1187">
        <f t="shared" si="199"/>
        <v>12.06</v>
      </c>
      <c r="J5564" s="394"/>
      <c r="K5564" s="1233"/>
      <c r="L5564" s="431"/>
      <c r="M5564" s="431"/>
      <c r="N5564" s="431"/>
    </row>
    <row r="5565" spans="1:14" s="398" customFormat="1">
      <c r="A5565" s="1232"/>
      <c r="B5565" s="311"/>
      <c r="C5565" s="165" t="s">
        <v>1</v>
      </c>
      <c r="D5565" s="392">
        <v>6</v>
      </c>
      <c r="E5565" s="392">
        <v>2</v>
      </c>
      <c r="F5565" s="1352">
        <v>2.91</v>
      </c>
      <c r="G5565" s="1352"/>
      <c r="H5565" s="1352">
        <v>0.1</v>
      </c>
      <c r="I5565" s="1187">
        <f t="shared" si="199"/>
        <v>3.49</v>
      </c>
      <c r="J5565" s="394"/>
      <c r="K5565" s="1233"/>
      <c r="L5565" s="431"/>
      <c r="M5565" s="431"/>
      <c r="N5565" s="431"/>
    </row>
    <row r="5566" spans="1:14" s="398" customFormat="1">
      <c r="A5566" s="1232"/>
      <c r="B5566" s="311"/>
      <c r="C5566" s="165" t="s">
        <v>1</v>
      </c>
      <c r="D5566" s="392">
        <v>6</v>
      </c>
      <c r="E5566" s="392">
        <v>2</v>
      </c>
      <c r="F5566" s="1352">
        <v>0.5</v>
      </c>
      <c r="G5566" s="1352"/>
      <c r="H5566" s="1352">
        <v>0.33500000000000002</v>
      </c>
      <c r="I5566" s="1187">
        <f t="shared" si="199"/>
        <v>2.0099999999999998</v>
      </c>
      <c r="J5566" s="394"/>
      <c r="K5566" s="1233"/>
      <c r="L5566" s="431"/>
      <c r="M5566" s="431"/>
      <c r="N5566" s="431"/>
    </row>
    <row r="5567" spans="1:14" s="398" customFormat="1">
      <c r="A5567" s="1232"/>
      <c r="B5567" s="311"/>
      <c r="C5567" s="165" t="s">
        <v>1</v>
      </c>
      <c r="D5567" s="392">
        <v>6</v>
      </c>
      <c r="E5567" s="392">
        <v>2</v>
      </c>
      <c r="F5567" s="1352">
        <v>0.41000000000000003</v>
      </c>
      <c r="G5567" s="1352"/>
      <c r="H5567" s="1352">
        <v>0.1</v>
      </c>
      <c r="I5567" s="1187">
        <f t="shared" si="199"/>
        <v>0.49</v>
      </c>
      <c r="J5567" s="394"/>
      <c r="K5567" s="1233"/>
      <c r="L5567" s="431"/>
      <c r="M5567" s="431"/>
      <c r="N5567" s="431"/>
    </row>
    <row r="5568" spans="1:14" s="398" customFormat="1">
      <c r="A5568" s="1232"/>
      <c r="B5568" s="311"/>
      <c r="C5568" s="165"/>
      <c r="D5568" s="392"/>
      <c r="E5568" s="392"/>
      <c r="F5568" s="1352"/>
      <c r="G5568" s="1352"/>
      <c r="H5568" s="1352"/>
      <c r="I5568" s="1187" t="str">
        <f t="shared" si="199"/>
        <v/>
      </c>
      <c r="J5568" s="394"/>
      <c r="K5568" s="1233"/>
      <c r="L5568" s="431"/>
      <c r="M5568" s="431"/>
      <c r="N5568" s="431"/>
    </row>
    <row r="5569" spans="1:14" s="398" customFormat="1">
      <c r="A5569" s="1232" t="s">
        <v>459</v>
      </c>
      <c r="B5569" s="311" t="s">
        <v>1354</v>
      </c>
      <c r="C5569" s="165"/>
      <c r="D5569" s="392"/>
      <c r="E5569" s="392"/>
      <c r="F5569" s="1352"/>
      <c r="G5569" s="1352"/>
      <c r="H5569" s="1352"/>
      <c r="I5569" s="1187" t="str">
        <f t="shared" si="199"/>
        <v/>
      </c>
      <c r="J5569" s="394"/>
      <c r="K5569" s="1233"/>
      <c r="L5569" s="431"/>
      <c r="M5569" s="431"/>
      <c r="N5569" s="431"/>
    </row>
    <row r="5570" spans="1:14" s="398" customFormat="1">
      <c r="A5570" s="1232"/>
      <c r="B5570" s="311" t="s">
        <v>1513</v>
      </c>
      <c r="C5570" s="165" t="s">
        <v>1</v>
      </c>
      <c r="D5570" s="392">
        <v>7</v>
      </c>
      <c r="E5570" s="392">
        <v>2</v>
      </c>
      <c r="F5570" s="1352">
        <v>3</v>
      </c>
      <c r="G5570" s="1352"/>
      <c r="H5570" s="1352">
        <v>0.33500000000000002</v>
      </c>
      <c r="I5570" s="1187">
        <f t="shared" ref="I5570:I5633" si="200">IF(D5570&lt;&gt;0,ROUND(PRODUCT(E5570:H5570)*D5570,2),"")</f>
        <v>14.07</v>
      </c>
      <c r="J5570" s="394"/>
      <c r="K5570" s="1233"/>
      <c r="L5570" s="431"/>
      <c r="M5570" s="431"/>
      <c r="N5570" s="431"/>
    </row>
    <row r="5571" spans="1:14" s="398" customFormat="1">
      <c r="A5571" s="1232"/>
      <c r="B5571" s="311"/>
      <c r="C5571" s="165" t="s">
        <v>1</v>
      </c>
      <c r="D5571" s="392">
        <v>7</v>
      </c>
      <c r="E5571" s="392">
        <v>2</v>
      </c>
      <c r="F5571" s="1352">
        <v>2.91</v>
      </c>
      <c r="G5571" s="1352"/>
      <c r="H5571" s="1352">
        <v>0.1</v>
      </c>
      <c r="I5571" s="1187">
        <f t="shared" si="200"/>
        <v>4.07</v>
      </c>
      <c r="J5571" s="394"/>
      <c r="K5571" s="1233"/>
      <c r="L5571" s="431"/>
      <c r="M5571" s="431"/>
      <c r="N5571" s="431"/>
    </row>
    <row r="5572" spans="1:14" s="398" customFormat="1">
      <c r="A5572" s="1232"/>
      <c r="B5572" s="311"/>
      <c r="C5572" s="165" t="s">
        <v>1</v>
      </c>
      <c r="D5572" s="392">
        <v>7</v>
      </c>
      <c r="E5572" s="392">
        <v>2</v>
      </c>
      <c r="F5572" s="1352">
        <v>0.5</v>
      </c>
      <c r="G5572" s="1352"/>
      <c r="H5572" s="1352">
        <v>0.33500000000000002</v>
      </c>
      <c r="I5572" s="1187">
        <f t="shared" si="200"/>
        <v>2.35</v>
      </c>
      <c r="J5572" s="394"/>
      <c r="K5572" s="1233"/>
      <c r="L5572" s="431"/>
      <c r="M5572" s="431"/>
      <c r="N5572" s="431"/>
    </row>
    <row r="5573" spans="1:14" s="398" customFormat="1">
      <c r="A5573" s="1232"/>
      <c r="B5573" s="311"/>
      <c r="C5573" s="165" t="s">
        <v>1</v>
      </c>
      <c r="D5573" s="392">
        <v>7</v>
      </c>
      <c r="E5573" s="392">
        <v>2</v>
      </c>
      <c r="F5573" s="1352">
        <v>0.41000000000000003</v>
      </c>
      <c r="G5573" s="1352"/>
      <c r="H5573" s="1352">
        <v>0.1</v>
      </c>
      <c r="I5573" s="1187">
        <f t="shared" si="200"/>
        <v>0.56999999999999995</v>
      </c>
      <c r="J5573" s="394"/>
      <c r="K5573" s="1233"/>
      <c r="L5573" s="431"/>
      <c r="M5573" s="431"/>
      <c r="N5573" s="431"/>
    </row>
    <row r="5574" spans="1:14" s="398" customFormat="1">
      <c r="A5574" s="1232" t="s">
        <v>1511</v>
      </c>
      <c r="B5574" s="311" t="s">
        <v>1355</v>
      </c>
      <c r="C5574" s="165"/>
      <c r="D5574" s="392"/>
      <c r="E5574" s="392"/>
      <c r="F5574" s="1352"/>
      <c r="G5574" s="1352"/>
      <c r="H5574" s="1352"/>
      <c r="I5574" s="1187" t="str">
        <f t="shared" si="200"/>
        <v/>
      </c>
      <c r="J5574" s="394"/>
      <c r="K5574" s="1233"/>
      <c r="L5574" s="431"/>
      <c r="M5574" s="431"/>
      <c r="N5574" s="431"/>
    </row>
    <row r="5575" spans="1:14" s="398" customFormat="1">
      <c r="A5575" s="1232"/>
      <c r="B5575" s="311" t="s">
        <v>1513</v>
      </c>
      <c r="C5575" s="165" t="s">
        <v>1</v>
      </c>
      <c r="D5575" s="392">
        <v>6</v>
      </c>
      <c r="E5575" s="392">
        <v>2</v>
      </c>
      <c r="F5575" s="1352">
        <v>3</v>
      </c>
      <c r="G5575" s="1352"/>
      <c r="H5575" s="1352">
        <v>0.33500000000000002</v>
      </c>
      <c r="I5575" s="1187">
        <f t="shared" si="200"/>
        <v>12.06</v>
      </c>
      <c r="J5575" s="394"/>
      <c r="K5575" s="1233"/>
      <c r="L5575" s="431"/>
      <c r="M5575" s="431"/>
      <c r="N5575" s="431"/>
    </row>
    <row r="5576" spans="1:14" s="398" customFormat="1">
      <c r="A5576" s="1232"/>
      <c r="B5576" s="311"/>
      <c r="C5576" s="165" t="s">
        <v>1</v>
      </c>
      <c r="D5576" s="392">
        <v>6</v>
      </c>
      <c r="E5576" s="392">
        <v>2</v>
      </c>
      <c r="F5576" s="1352">
        <v>2.91</v>
      </c>
      <c r="G5576" s="1352"/>
      <c r="H5576" s="1352">
        <v>0.1</v>
      </c>
      <c r="I5576" s="1187">
        <f t="shared" si="200"/>
        <v>3.49</v>
      </c>
      <c r="J5576" s="394"/>
      <c r="K5576" s="1233"/>
      <c r="L5576" s="431"/>
      <c r="M5576" s="431"/>
      <c r="N5576" s="431"/>
    </row>
    <row r="5577" spans="1:14" s="398" customFormat="1">
      <c r="A5577" s="1232"/>
      <c r="B5577" s="311"/>
      <c r="C5577" s="165" t="s">
        <v>1</v>
      </c>
      <c r="D5577" s="392">
        <v>6</v>
      </c>
      <c r="E5577" s="392">
        <v>2</v>
      </c>
      <c r="F5577" s="1352">
        <v>0.5</v>
      </c>
      <c r="G5577" s="1352"/>
      <c r="H5577" s="1352">
        <v>0.33500000000000002</v>
      </c>
      <c r="I5577" s="1187">
        <f t="shared" si="200"/>
        <v>2.0099999999999998</v>
      </c>
      <c r="J5577" s="394"/>
      <c r="K5577" s="1233"/>
      <c r="L5577" s="431"/>
      <c r="M5577" s="431"/>
      <c r="N5577" s="431"/>
    </row>
    <row r="5578" spans="1:14" s="398" customFormat="1">
      <c r="A5578" s="1232"/>
      <c r="B5578" s="311"/>
      <c r="C5578" s="165" t="s">
        <v>1</v>
      </c>
      <c r="D5578" s="392">
        <v>6</v>
      </c>
      <c r="E5578" s="392">
        <v>2</v>
      </c>
      <c r="F5578" s="1352">
        <v>0.41000000000000003</v>
      </c>
      <c r="G5578" s="1352"/>
      <c r="H5578" s="1352">
        <v>0.1</v>
      </c>
      <c r="I5578" s="1187">
        <f t="shared" si="200"/>
        <v>0.49</v>
      </c>
      <c r="J5578" s="394"/>
      <c r="K5578" s="1233"/>
      <c r="L5578" s="431"/>
      <c r="M5578" s="431"/>
      <c r="N5578" s="431"/>
    </row>
    <row r="5579" spans="1:14" s="398" customFormat="1">
      <c r="A5579" s="1232" t="s">
        <v>1515</v>
      </c>
      <c r="B5579" s="311" t="s">
        <v>1356</v>
      </c>
      <c r="C5579" s="165"/>
      <c r="D5579" s="392"/>
      <c r="E5579" s="392"/>
      <c r="F5579" s="1352"/>
      <c r="G5579" s="1352"/>
      <c r="H5579" s="1352"/>
      <c r="I5579" s="1187" t="str">
        <f t="shared" si="200"/>
        <v/>
      </c>
      <c r="J5579" s="394"/>
      <c r="K5579" s="1233"/>
      <c r="L5579" s="431"/>
      <c r="M5579" s="431"/>
      <c r="N5579" s="431"/>
    </row>
    <row r="5580" spans="1:14" s="398" customFormat="1">
      <c r="A5580" s="1232"/>
      <c r="B5580" s="311" t="s">
        <v>1513</v>
      </c>
      <c r="C5580" s="165" t="s">
        <v>1</v>
      </c>
      <c r="D5580" s="392">
        <v>4</v>
      </c>
      <c r="E5580" s="392">
        <v>2</v>
      </c>
      <c r="F5580" s="1352">
        <v>3</v>
      </c>
      <c r="G5580" s="1352"/>
      <c r="H5580" s="1352">
        <v>0.33500000000000002</v>
      </c>
      <c r="I5580" s="1187">
        <f t="shared" si="200"/>
        <v>8.0399999999999991</v>
      </c>
      <c r="J5580" s="394"/>
      <c r="K5580" s="1233"/>
      <c r="L5580" s="431"/>
      <c r="M5580" s="431"/>
      <c r="N5580" s="431"/>
    </row>
    <row r="5581" spans="1:14" s="398" customFormat="1">
      <c r="A5581" s="1232"/>
      <c r="B5581" s="311"/>
      <c r="C5581" s="165" t="s">
        <v>1</v>
      </c>
      <c r="D5581" s="392">
        <v>4</v>
      </c>
      <c r="E5581" s="392">
        <v>2</v>
      </c>
      <c r="F5581" s="1352">
        <v>2.91</v>
      </c>
      <c r="G5581" s="1352"/>
      <c r="H5581" s="1352">
        <v>0.1</v>
      </c>
      <c r="I5581" s="1187">
        <f t="shared" si="200"/>
        <v>2.33</v>
      </c>
      <c r="J5581" s="394"/>
      <c r="K5581" s="1233"/>
      <c r="L5581" s="431"/>
      <c r="M5581" s="431"/>
      <c r="N5581" s="431"/>
    </row>
    <row r="5582" spans="1:14" s="398" customFormat="1">
      <c r="A5582" s="1232"/>
      <c r="B5582" s="311"/>
      <c r="C5582" s="165" t="s">
        <v>1</v>
      </c>
      <c r="D5582" s="392">
        <v>4</v>
      </c>
      <c r="E5582" s="392">
        <v>2</v>
      </c>
      <c r="F5582" s="1352">
        <v>0.5</v>
      </c>
      <c r="G5582" s="1352"/>
      <c r="H5582" s="1352">
        <v>0.33500000000000002</v>
      </c>
      <c r="I5582" s="1187">
        <f t="shared" si="200"/>
        <v>1.34</v>
      </c>
      <c r="J5582" s="394"/>
      <c r="K5582" s="1233"/>
      <c r="L5582" s="431"/>
      <c r="M5582" s="431"/>
      <c r="N5582" s="431"/>
    </row>
    <row r="5583" spans="1:14" s="398" customFormat="1">
      <c r="A5583" s="1232"/>
      <c r="B5583" s="311"/>
      <c r="C5583" s="165" t="s">
        <v>1</v>
      </c>
      <c r="D5583" s="392">
        <v>4</v>
      </c>
      <c r="E5583" s="392">
        <v>2</v>
      </c>
      <c r="F5583" s="1352">
        <v>0.41000000000000003</v>
      </c>
      <c r="G5583" s="1352"/>
      <c r="H5583" s="1352">
        <v>0.1</v>
      </c>
      <c r="I5583" s="1187">
        <f t="shared" si="200"/>
        <v>0.33</v>
      </c>
      <c r="J5583" s="394"/>
      <c r="K5583" s="1233"/>
      <c r="L5583" s="431"/>
      <c r="M5583" s="431"/>
      <c r="N5583" s="431"/>
    </row>
    <row r="5584" spans="1:14" s="398" customFormat="1">
      <c r="A5584" s="1232" t="s">
        <v>1518</v>
      </c>
      <c r="B5584" s="311" t="s">
        <v>1797</v>
      </c>
      <c r="C5584" s="165"/>
      <c r="D5584" s="392"/>
      <c r="E5584" s="392"/>
      <c r="F5584" s="1352"/>
      <c r="G5584" s="1352"/>
      <c r="H5584" s="1352"/>
      <c r="I5584" s="1187" t="str">
        <f t="shared" si="200"/>
        <v/>
      </c>
      <c r="J5584" s="394"/>
      <c r="K5584" s="1233"/>
      <c r="L5584" s="431"/>
      <c r="M5584" s="431"/>
      <c r="N5584" s="431"/>
    </row>
    <row r="5585" spans="1:14" s="398" customFormat="1">
      <c r="A5585" s="1232"/>
      <c r="B5585" s="311" t="s">
        <v>1513</v>
      </c>
      <c r="C5585" s="165" t="s">
        <v>1</v>
      </c>
      <c r="D5585" s="392">
        <v>2</v>
      </c>
      <c r="E5585" s="392">
        <v>2</v>
      </c>
      <c r="F5585" s="1352">
        <v>3</v>
      </c>
      <c r="G5585" s="1352"/>
      <c r="H5585" s="1352">
        <v>0.33500000000000002</v>
      </c>
      <c r="I5585" s="1187">
        <f t="shared" si="200"/>
        <v>4.0199999999999996</v>
      </c>
      <c r="J5585" s="394"/>
      <c r="K5585" s="1233"/>
      <c r="L5585" s="431"/>
      <c r="M5585" s="431"/>
      <c r="N5585" s="431"/>
    </row>
    <row r="5586" spans="1:14" s="398" customFormat="1">
      <c r="A5586" s="1232"/>
      <c r="B5586" s="311"/>
      <c r="C5586" s="165" t="s">
        <v>1</v>
      </c>
      <c r="D5586" s="392">
        <v>2</v>
      </c>
      <c r="E5586" s="392">
        <v>2</v>
      </c>
      <c r="F5586" s="1352">
        <v>2.91</v>
      </c>
      <c r="G5586" s="1352"/>
      <c r="H5586" s="1352">
        <v>0.1</v>
      </c>
      <c r="I5586" s="1187">
        <f t="shared" si="200"/>
        <v>1.1599999999999999</v>
      </c>
      <c r="J5586" s="394"/>
      <c r="K5586" s="1233"/>
      <c r="L5586" s="431"/>
      <c r="M5586" s="431"/>
      <c r="N5586" s="431"/>
    </row>
    <row r="5587" spans="1:14" s="398" customFormat="1">
      <c r="A5587" s="1232"/>
      <c r="B5587" s="311"/>
      <c r="C5587" s="165" t="s">
        <v>1</v>
      </c>
      <c r="D5587" s="392">
        <v>2</v>
      </c>
      <c r="E5587" s="392">
        <v>2</v>
      </c>
      <c r="F5587" s="1352">
        <v>0.5</v>
      </c>
      <c r="G5587" s="1352"/>
      <c r="H5587" s="1352">
        <v>0.33500000000000002</v>
      </c>
      <c r="I5587" s="1187">
        <f t="shared" si="200"/>
        <v>0.67</v>
      </c>
      <c r="J5587" s="394"/>
      <c r="K5587" s="1233"/>
      <c r="L5587" s="431"/>
      <c r="M5587" s="431"/>
      <c r="N5587" s="431"/>
    </row>
    <row r="5588" spans="1:14" s="398" customFormat="1">
      <c r="A5588" s="1232"/>
      <c r="B5588" s="311"/>
      <c r="C5588" s="165" t="s">
        <v>1</v>
      </c>
      <c r="D5588" s="392">
        <v>2</v>
      </c>
      <c r="E5588" s="392">
        <v>2</v>
      </c>
      <c r="F5588" s="1352">
        <v>0.41000000000000003</v>
      </c>
      <c r="G5588" s="1352"/>
      <c r="H5588" s="1352">
        <v>0.1</v>
      </c>
      <c r="I5588" s="1187">
        <f t="shared" si="200"/>
        <v>0.16</v>
      </c>
      <c r="J5588" s="394"/>
      <c r="K5588" s="1233"/>
      <c r="L5588" s="431"/>
      <c r="M5588" s="431"/>
      <c r="N5588" s="431"/>
    </row>
    <row r="5589" spans="1:14" s="398" customFormat="1">
      <c r="A5589" s="1232" t="s">
        <v>1530</v>
      </c>
      <c r="B5589" s="311" t="s">
        <v>1798</v>
      </c>
      <c r="C5589" s="165"/>
      <c r="D5589" s="392"/>
      <c r="E5589" s="392"/>
      <c r="F5589" s="1352"/>
      <c r="G5589" s="1352"/>
      <c r="H5589" s="1352"/>
      <c r="I5589" s="1187" t="str">
        <f t="shared" si="200"/>
        <v/>
      </c>
      <c r="J5589" s="394"/>
      <c r="K5589" s="1233"/>
      <c r="L5589" s="431"/>
      <c r="M5589" s="431"/>
      <c r="N5589" s="431"/>
    </row>
    <row r="5590" spans="1:14" s="398" customFormat="1">
      <c r="A5590" s="1232"/>
      <c r="B5590" s="311" t="s">
        <v>1513</v>
      </c>
      <c r="C5590" s="165" t="s">
        <v>1</v>
      </c>
      <c r="D5590" s="392">
        <v>8</v>
      </c>
      <c r="E5590" s="392">
        <v>2</v>
      </c>
      <c r="F5590" s="1352">
        <v>3</v>
      </c>
      <c r="G5590" s="1352"/>
      <c r="H5590" s="1352">
        <v>0.33500000000000002</v>
      </c>
      <c r="I5590" s="1187">
        <f t="shared" si="200"/>
        <v>16.079999999999998</v>
      </c>
      <c r="J5590" s="394"/>
      <c r="K5590" s="1233"/>
      <c r="L5590" s="431"/>
      <c r="M5590" s="431"/>
      <c r="N5590" s="431"/>
    </row>
    <row r="5591" spans="1:14" s="398" customFormat="1">
      <c r="A5591" s="1232"/>
      <c r="B5591" s="311"/>
      <c r="C5591" s="165" t="s">
        <v>1</v>
      </c>
      <c r="D5591" s="392">
        <v>8</v>
      </c>
      <c r="E5591" s="392">
        <v>2</v>
      </c>
      <c r="F5591" s="1352">
        <v>2.91</v>
      </c>
      <c r="G5591" s="1352"/>
      <c r="H5591" s="1352">
        <v>0.1</v>
      </c>
      <c r="I5591" s="1187">
        <f t="shared" si="200"/>
        <v>4.66</v>
      </c>
      <c r="J5591" s="394"/>
      <c r="K5591" s="1233"/>
      <c r="L5591" s="431"/>
      <c r="M5591" s="431"/>
      <c r="N5591" s="431"/>
    </row>
    <row r="5592" spans="1:14" s="398" customFormat="1">
      <c r="A5592" s="1232"/>
      <c r="B5592" s="311"/>
      <c r="C5592" s="165" t="s">
        <v>1</v>
      </c>
      <c r="D5592" s="392">
        <v>8</v>
      </c>
      <c r="E5592" s="392">
        <v>2</v>
      </c>
      <c r="F5592" s="1352">
        <v>0.5</v>
      </c>
      <c r="G5592" s="1352"/>
      <c r="H5592" s="1352">
        <v>0.33500000000000002</v>
      </c>
      <c r="I5592" s="1187">
        <f t="shared" si="200"/>
        <v>2.68</v>
      </c>
      <c r="J5592" s="394"/>
      <c r="K5592" s="1233"/>
      <c r="L5592" s="431"/>
      <c r="M5592" s="431"/>
      <c r="N5592" s="431"/>
    </row>
    <row r="5593" spans="1:14" s="398" customFormat="1">
      <c r="A5593" s="1232"/>
      <c r="B5593" s="311"/>
      <c r="C5593" s="165" t="s">
        <v>1</v>
      </c>
      <c r="D5593" s="392">
        <v>8</v>
      </c>
      <c r="E5593" s="392">
        <v>2</v>
      </c>
      <c r="F5593" s="1352">
        <v>0.41000000000000003</v>
      </c>
      <c r="G5593" s="1352"/>
      <c r="H5593" s="1352">
        <v>0.1</v>
      </c>
      <c r="I5593" s="1187">
        <f t="shared" si="200"/>
        <v>0.66</v>
      </c>
      <c r="J5593" s="394"/>
      <c r="K5593" s="1233"/>
      <c r="L5593" s="431"/>
      <c r="M5593" s="431"/>
      <c r="N5593" s="431"/>
    </row>
    <row r="5594" spans="1:14" s="398" customFormat="1">
      <c r="A5594" s="1232" t="s">
        <v>1799</v>
      </c>
      <c r="B5594" s="311" t="s">
        <v>1357</v>
      </c>
      <c r="C5594" s="165"/>
      <c r="D5594" s="392"/>
      <c r="E5594" s="392"/>
      <c r="F5594" s="1352"/>
      <c r="G5594" s="1352"/>
      <c r="H5594" s="1352"/>
      <c r="I5594" s="1187" t="str">
        <f t="shared" si="200"/>
        <v/>
      </c>
      <c r="J5594" s="394"/>
      <c r="K5594" s="1233"/>
      <c r="L5594" s="431"/>
      <c r="M5594" s="431"/>
      <c r="N5594" s="431"/>
    </row>
    <row r="5595" spans="1:14" s="398" customFormat="1">
      <c r="A5595" s="1232"/>
      <c r="B5595" s="311" t="s">
        <v>1513</v>
      </c>
      <c r="C5595" s="165" t="s">
        <v>1</v>
      </c>
      <c r="D5595" s="392">
        <v>4</v>
      </c>
      <c r="E5595" s="392">
        <v>2</v>
      </c>
      <c r="F5595" s="1352">
        <v>3</v>
      </c>
      <c r="G5595" s="1352"/>
      <c r="H5595" s="1352">
        <v>0.33500000000000002</v>
      </c>
      <c r="I5595" s="1187">
        <f t="shared" si="200"/>
        <v>8.0399999999999991</v>
      </c>
      <c r="J5595" s="394"/>
      <c r="K5595" s="1233"/>
      <c r="L5595" s="431"/>
      <c r="M5595" s="431"/>
      <c r="N5595" s="431"/>
    </row>
    <row r="5596" spans="1:14" s="398" customFormat="1">
      <c r="A5596" s="1232"/>
      <c r="B5596" s="311"/>
      <c r="C5596" s="165" t="s">
        <v>1</v>
      </c>
      <c r="D5596" s="392">
        <v>4</v>
      </c>
      <c r="E5596" s="392">
        <v>2</v>
      </c>
      <c r="F5596" s="1352">
        <v>2.91</v>
      </c>
      <c r="G5596" s="1352"/>
      <c r="H5596" s="1352">
        <v>0.1</v>
      </c>
      <c r="I5596" s="1187">
        <f t="shared" si="200"/>
        <v>2.33</v>
      </c>
      <c r="J5596" s="394"/>
      <c r="K5596" s="1233"/>
      <c r="L5596" s="431"/>
      <c r="M5596" s="431"/>
      <c r="N5596" s="431"/>
    </row>
    <row r="5597" spans="1:14" s="398" customFormat="1">
      <c r="A5597" s="1232"/>
      <c r="B5597" s="311"/>
      <c r="C5597" s="165" t="s">
        <v>1</v>
      </c>
      <c r="D5597" s="392">
        <v>4</v>
      </c>
      <c r="E5597" s="392">
        <v>2</v>
      </c>
      <c r="F5597" s="1352">
        <v>0.5</v>
      </c>
      <c r="G5597" s="1352"/>
      <c r="H5597" s="1352">
        <v>0.33500000000000002</v>
      </c>
      <c r="I5597" s="1187">
        <f t="shared" si="200"/>
        <v>1.34</v>
      </c>
      <c r="J5597" s="394"/>
      <c r="K5597" s="1233"/>
      <c r="L5597" s="431"/>
      <c r="M5597" s="431"/>
      <c r="N5597" s="431"/>
    </row>
    <row r="5598" spans="1:14" s="398" customFormat="1">
      <c r="A5598" s="1232"/>
      <c r="B5598" s="311"/>
      <c r="C5598" s="165" t="s">
        <v>1</v>
      </c>
      <c r="D5598" s="392">
        <v>4</v>
      </c>
      <c r="E5598" s="392">
        <v>2</v>
      </c>
      <c r="F5598" s="1352">
        <v>0.41000000000000003</v>
      </c>
      <c r="G5598" s="1352"/>
      <c r="H5598" s="1352">
        <v>0.1</v>
      </c>
      <c r="I5598" s="1187">
        <f t="shared" si="200"/>
        <v>0.33</v>
      </c>
      <c r="J5598" s="394"/>
      <c r="K5598" s="1233"/>
      <c r="L5598" s="431"/>
      <c r="M5598" s="431"/>
      <c r="N5598" s="431"/>
    </row>
    <row r="5599" spans="1:14" s="398" customFormat="1" ht="34.5">
      <c r="A5599" s="1232" t="s">
        <v>1800</v>
      </c>
      <c r="B5599" s="311" t="s">
        <v>1358</v>
      </c>
      <c r="C5599" s="165"/>
      <c r="D5599" s="392"/>
      <c r="E5599" s="392"/>
      <c r="F5599" s="1352"/>
      <c r="G5599" s="1352"/>
      <c r="H5599" s="1352"/>
      <c r="I5599" s="1187" t="str">
        <f t="shared" si="200"/>
        <v/>
      </c>
      <c r="J5599" s="394"/>
      <c r="K5599" s="1233"/>
      <c r="L5599" s="431"/>
      <c r="M5599" s="431"/>
      <c r="N5599" s="431"/>
    </row>
    <row r="5600" spans="1:14" s="398" customFormat="1">
      <c r="A5600" s="1232"/>
      <c r="B5600" s="311" t="s">
        <v>1513</v>
      </c>
      <c r="C5600" s="165" t="s">
        <v>1</v>
      </c>
      <c r="D5600" s="392">
        <v>8</v>
      </c>
      <c r="E5600" s="392">
        <v>2</v>
      </c>
      <c r="F5600" s="1352">
        <v>3</v>
      </c>
      <c r="G5600" s="1352"/>
      <c r="H5600" s="1352">
        <v>0.33500000000000002</v>
      </c>
      <c r="I5600" s="1187">
        <f t="shared" si="200"/>
        <v>16.079999999999998</v>
      </c>
      <c r="J5600" s="394"/>
      <c r="K5600" s="1233"/>
      <c r="L5600" s="431"/>
      <c r="M5600" s="431"/>
      <c r="N5600" s="431"/>
    </row>
    <row r="5601" spans="1:14" s="398" customFormat="1">
      <c r="A5601" s="1232"/>
      <c r="B5601" s="311"/>
      <c r="C5601" s="165" t="s">
        <v>1</v>
      </c>
      <c r="D5601" s="392">
        <v>8</v>
      </c>
      <c r="E5601" s="392">
        <v>2</v>
      </c>
      <c r="F5601" s="1352">
        <v>2.91</v>
      </c>
      <c r="G5601" s="1352"/>
      <c r="H5601" s="1352">
        <v>0.1</v>
      </c>
      <c r="I5601" s="1187">
        <f t="shared" si="200"/>
        <v>4.66</v>
      </c>
      <c r="J5601" s="394"/>
      <c r="K5601" s="1233"/>
      <c r="L5601" s="431"/>
      <c r="M5601" s="431"/>
      <c r="N5601" s="431"/>
    </row>
    <row r="5602" spans="1:14" s="398" customFormat="1">
      <c r="A5602" s="1232"/>
      <c r="B5602" s="311"/>
      <c r="C5602" s="165" t="s">
        <v>1</v>
      </c>
      <c r="D5602" s="392">
        <v>8</v>
      </c>
      <c r="E5602" s="392">
        <v>2</v>
      </c>
      <c r="F5602" s="1352">
        <v>0.5</v>
      </c>
      <c r="G5602" s="1352"/>
      <c r="H5602" s="1352">
        <v>0.33500000000000002</v>
      </c>
      <c r="I5602" s="1187">
        <f t="shared" si="200"/>
        <v>2.68</v>
      </c>
      <c r="J5602" s="394"/>
      <c r="K5602" s="1233"/>
      <c r="L5602" s="431"/>
      <c r="M5602" s="431"/>
      <c r="N5602" s="431"/>
    </row>
    <row r="5603" spans="1:14" s="398" customFormat="1">
      <c r="A5603" s="1232"/>
      <c r="B5603" s="311"/>
      <c r="C5603" s="165" t="s">
        <v>1</v>
      </c>
      <c r="D5603" s="392">
        <v>8</v>
      </c>
      <c r="E5603" s="392">
        <v>2</v>
      </c>
      <c r="F5603" s="1352">
        <v>0.41000000000000003</v>
      </c>
      <c r="G5603" s="1352"/>
      <c r="H5603" s="1352">
        <v>0.1</v>
      </c>
      <c r="I5603" s="1187">
        <f t="shared" si="200"/>
        <v>0.66</v>
      </c>
      <c r="J5603" s="394"/>
      <c r="K5603" s="1233"/>
      <c r="L5603" s="431"/>
      <c r="M5603" s="431"/>
      <c r="N5603" s="431"/>
    </row>
    <row r="5604" spans="1:14" s="398" customFormat="1" ht="34.5">
      <c r="A5604" s="1232" t="s">
        <v>1801</v>
      </c>
      <c r="B5604" s="311" t="s">
        <v>1359</v>
      </c>
      <c r="C5604" s="165"/>
      <c r="D5604" s="392"/>
      <c r="E5604" s="392"/>
      <c r="F5604" s="1352"/>
      <c r="G5604" s="1352"/>
      <c r="H5604" s="1352"/>
      <c r="I5604" s="1187" t="str">
        <f t="shared" si="200"/>
        <v/>
      </c>
      <c r="J5604" s="394"/>
      <c r="K5604" s="1233"/>
      <c r="L5604" s="431"/>
      <c r="M5604" s="431"/>
      <c r="N5604" s="431"/>
    </row>
    <row r="5605" spans="1:14" s="398" customFormat="1">
      <c r="A5605" s="1232"/>
      <c r="B5605" s="311" t="s">
        <v>1513</v>
      </c>
      <c r="C5605" s="165" t="s">
        <v>1</v>
      </c>
      <c r="D5605" s="392">
        <v>4</v>
      </c>
      <c r="E5605" s="392">
        <v>2</v>
      </c>
      <c r="F5605" s="1352">
        <v>3</v>
      </c>
      <c r="G5605" s="1352"/>
      <c r="H5605" s="1352">
        <v>0.33500000000000002</v>
      </c>
      <c r="I5605" s="1187">
        <f t="shared" si="200"/>
        <v>8.0399999999999991</v>
      </c>
      <c r="J5605" s="394"/>
      <c r="K5605" s="1233"/>
      <c r="L5605" s="431"/>
      <c r="M5605" s="431"/>
      <c r="N5605" s="431"/>
    </row>
    <row r="5606" spans="1:14" s="398" customFormat="1">
      <c r="A5606" s="1232"/>
      <c r="B5606" s="311"/>
      <c r="C5606" s="165" t="s">
        <v>1</v>
      </c>
      <c r="D5606" s="392">
        <v>4</v>
      </c>
      <c r="E5606" s="392">
        <v>2</v>
      </c>
      <c r="F5606" s="1352">
        <v>2.91</v>
      </c>
      <c r="G5606" s="1352"/>
      <c r="H5606" s="1352">
        <v>0.1</v>
      </c>
      <c r="I5606" s="1187">
        <f t="shared" si="200"/>
        <v>2.33</v>
      </c>
      <c r="J5606" s="394"/>
      <c r="K5606" s="1233"/>
      <c r="L5606" s="431"/>
      <c r="M5606" s="431"/>
      <c r="N5606" s="431"/>
    </row>
    <row r="5607" spans="1:14" s="398" customFormat="1">
      <c r="A5607" s="1232"/>
      <c r="B5607" s="311"/>
      <c r="C5607" s="165" t="s">
        <v>1</v>
      </c>
      <c r="D5607" s="392">
        <v>4</v>
      </c>
      <c r="E5607" s="392">
        <v>2</v>
      </c>
      <c r="F5607" s="1352">
        <v>0.5</v>
      </c>
      <c r="G5607" s="1352"/>
      <c r="H5607" s="1352">
        <v>0.33500000000000002</v>
      </c>
      <c r="I5607" s="1187">
        <f t="shared" si="200"/>
        <v>1.34</v>
      </c>
      <c r="J5607" s="394"/>
      <c r="K5607" s="1233"/>
      <c r="L5607" s="431"/>
      <c r="M5607" s="431"/>
      <c r="N5607" s="431"/>
    </row>
    <row r="5608" spans="1:14" s="398" customFormat="1">
      <c r="A5608" s="1232"/>
      <c r="B5608" s="311"/>
      <c r="C5608" s="165" t="s">
        <v>1</v>
      </c>
      <c r="D5608" s="392">
        <v>4</v>
      </c>
      <c r="E5608" s="392">
        <v>2</v>
      </c>
      <c r="F5608" s="1352">
        <v>0.41000000000000003</v>
      </c>
      <c r="G5608" s="1352"/>
      <c r="H5608" s="1352">
        <v>0.1</v>
      </c>
      <c r="I5608" s="1187">
        <f t="shared" si="200"/>
        <v>0.33</v>
      </c>
      <c r="J5608" s="394"/>
      <c r="K5608" s="1233"/>
      <c r="L5608" s="431"/>
      <c r="M5608" s="431"/>
      <c r="N5608" s="431"/>
    </row>
    <row r="5609" spans="1:14" s="398" customFormat="1" ht="34.5">
      <c r="A5609" s="1232" t="s">
        <v>1802</v>
      </c>
      <c r="B5609" s="311" t="s">
        <v>1803</v>
      </c>
      <c r="C5609" s="165"/>
      <c r="D5609" s="392"/>
      <c r="E5609" s="392"/>
      <c r="F5609" s="1352"/>
      <c r="G5609" s="1352"/>
      <c r="H5609" s="1352"/>
      <c r="I5609" s="1187" t="str">
        <f t="shared" si="200"/>
        <v/>
      </c>
      <c r="J5609" s="394"/>
      <c r="K5609" s="1233"/>
      <c r="L5609" s="431"/>
      <c r="M5609" s="431"/>
      <c r="N5609" s="431"/>
    </row>
    <row r="5610" spans="1:14" s="398" customFormat="1">
      <c r="A5610" s="1232"/>
      <c r="B5610" s="311" t="s">
        <v>1513</v>
      </c>
      <c r="C5610" s="165" t="s">
        <v>1</v>
      </c>
      <c r="D5610" s="392">
        <v>3</v>
      </c>
      <c r="E5610" s="392">
        <v>2</v>
      </c>
      <c r="F5610" s="1352">
        <v>3</v>
      </c>
      <c r="G5610" s="1352"/>
      <c r="H5610" s="1352">
        <v>0.33500000000000002</v>
      </c>
      <c r="I5610" s="1187">
        <f t="shared" si="200"/>
        <v>6.03</v>
      </c>
      <c r="J5610" s="394"/>
      <c r="K5610" s="1233"/>
      <c r="L5610" s="431"/>
      <c r="M5610" s="431"/>
      <c r="N5610" s="431"/>
    </row>
    <row r="5611" spans="1:14" s="398" customFormat="1">
      <c r="A5611" s="1232"/>
      <c r="B5611" s="311"/>
      <c r="C5611" s="165" t="s">
        <v>1</v>
      </c>
      <c r="D5611" s="392">
        <v>3</v>
      </c>
      <c r="E5611" s="392">
        <v>2</v>
      </c>
      <c r="F5611" s="1352">
        <v>2.91</v>
      </c>
      <c r="G5611" s="1352"/>
      <c r="H5611" s="1352">
        <v>0.1</v>
      </c>
      <c r="I5611" s="1187">
        <f t="shared" si="200"/>
        <v>1.75</v>
      </c>
      <c r="J5611" s="394"/>
      <c r="K5611" s="1233"/>
      <c r="L5611" s="431"/>
      <c r="M5611" s="431"/>
      <c r="N5611" s="431"/>
    </row>
    <row r="5612" spans="1:14" s="398" customFormat="1">
      <c r="A5612" s="1232"/>
      <c r="B5612" s="311"/>
      <c r="C5612" s="165" t="s">
        <v>1</v>
      </c>
      <c r="D5612" s="392">
        <v>3</v>
      </c>
      <c r="E5612" s="392">
        <v>2</v>
      </c>
      <c r="F5612" s="1352">
        <v>0.5</v>
      </c>
      <c r="G5612" s="1352"/>
      <c r="H5612" s="1352">
        <v>0.33500000000000002</v>
      </c>
      <c r="I5612" s="1187">
        <f t="shared" si="200"/>
        <v>1.01</v>
      </c>
      <c r="J5612" s="394"/>
      <c r="K5612" s="1233"/>
      <c r="L5612" s="431"/>
      <c r="M5612" s="431"/>
      <c r="N5612" s="431"/>
    </row>
    <row r="5613" spans="1:14" s="398" customFormat="1">
      <c r="A5613" s="1232"/>
      <c r="B5613" s="311"/>
      <c r="C5613" s="165" t="s">
        <v>1</v>
      </c>
      <c r="D5613" s="392">
        <v>3</v>
      </c>
      <c r="E5613" s="392">
        <v>2</v>
      </c>
      <c r="F5613" s="1352">
        <v>0.41000000000000003</v>
      </c>
      <c r="G5613" s="1352"/>
      <c r="H5613" s="1352">
        <v>0.1</v>
      </c>
      <c r="I5613" s="1187">
        <f t="shared" si="200"/>
        <v>0.25</v>
      </c>
      <c r="J5613" s="394"/>
      <c r="K5613" s="1233"/>
      <c r="L5613" s="431"/>
      <c r="M5613" s="431"/>
      <c r="N5613" s="431"/>
    </row>
    <row r="5614" spans="1:14" s="398" customFormat="1" ht="51.75">
      <c r="A5614" s="1232" t="s">
        <v>1804</v>
      </c>
      <c r="B5614" s="311" t="s">
        <v>1805</v>
      </c>
      <c r="C5614" s="165"/>
      <c r="D5614" s="392"/>
      <c r="E5614" s="392"/>
      <c r="F5614" s="1352"/>
      <c r="G5614" s="1352"/>
      <c r="H5614" s="1352"/>
      <c r="I5614" s="1187" t="str">
        <f t="shared" si="200"/>
        <v/>
      </c>
      <c r="J5614" s="394"/>
      <c r="K5614" s="1233"/>
      <c r="L5614" s="431"/>
      <c r="M5614" s="431"/>
      <c r="N5614" s="431"/>
    </row>
    <row r="5615" spans="1:14" s="398" customFormat="1">
      <c r="A5615" s="1232"/>
      <c r="B5615" s="311" t="s">
        <v>1513</v>
      </c>
      <c r="C5615" s="165" t="s">
        <v>1</v>
      </c>
      <c r="D5615" s="392">
        <v>11</v>
      </c>
      <c r="E5615" s="392">
        <v>2</v>
      </c>
      <c r="F5615" s="1352">
        <v>3</v>
      </c>
      <c r="G5615" s="1352"/>
      <c r="H5615" s="1352">
        <v>0.33500000000000002</v>
      </c>
      <c r="I5615" s="1187">
        <f t="shared" si="200"/>
        <v>22.11</v>
      </c>
      <c r="J5615" s="394"/>
      <c r="K5615" s="1233"/>
      <c r="L5615" s="431"/>
      <c r="M5615" s="431"/>
      <c r="N5615" s="431"/>
    </row>
    <row r="5616" spans="1:14" s="398" customFormat="1">
      <c r="A5616" s="1232"/>
      <c r="B5616" s="311"/>
      <c r="C5616" s="165" t="s">
        <v>1</v>
      </c>
      <c r="D5616" s="392">
        <v>11</v>
      </c>
      <c r="E5616" s="392">
        <v>2</v>
      </c>
      <c r="F5616" s="1352">
        <v>2.91</v>
      </c>
      <c r="G5616" s="1352"/>
      <c r="H5616" s="1352">
        <v>0.1</v>
      </c>
      <c r="I5616" s="1187">
        <f t="shared" si="200"/>
        <v>6.4</v>
      </c>
      <c r="J5616" s="394"/>
      <c r="K5616" s="1233"/>
      <c r="L5616" s="431"/>
      <c r="M5616" s="431"/>
      <c r="N5616" s="431"/>
    </row>
    <row r="5617" spans="1:14" s="398" customFormat="1">
      <c r="A5617" s="1232"/>
      <c r="B5617" s="311"/>
      <c r="C5617" s="165" t="s">
        <v>1</v>
      </c>
      <c r="D5617" s="392">
        <v>11</v>
      </c>
      <c r="E5617" s="392">
        <v>2</v>
      </c>
      <c r="F5617" s="1352">
        <v>0.5</v>
      </c>
      <c r="G5617" s="1352"/>
      <c r="H5617" s="1352">
        <v>0.33500000000000002</v>
      </c>
      <c r="I5617" s="1187">
        <f t="shared" si="200"/>
        <v>3.69</v>
      </c>
      <c r="J5617" s="394"/>
      <c r="K5617" s="1233"/>
      <c r="L5617" s="431"/>
      <c r="M5617" s="431"/>
      <c r="N5617" s="431"/>
    </row>
    <row r="5618" spans="1:14" s="398" customFormat="1">
      <c r="A5618" s="1232"/>
      <c r="B5618" s="311"/>
      <c r="C5618" s="165" t="s">
        <v>1</v>
      </c>
      <c r="D5618" s="392">
        <v>11</v>
      </c>
      <c r="E5618" s="392">
        <v>2</v>
      </c>
      <c r="F5618" s="1352">
        <v>0.41000000000000003</v>
      </c>
      <c r="G5618" s="1352"/>
      <c r="H5618" s="1352">
        <v>0.1</v>
      </c>
      <c r="I5618" s="1187">
        <f t="shared" si="200"/>
        <v>0.9</v>
      </c>
      <c r="J5618" s="394"/>
      <c r="K5618" s="1233"/>
      <c r="L5618" s="431"/>
      <c r="M5618" s="431"/>
      <c r="N5618" s="431"/>
    </row>
    <row r="5619" spans="1:14" s="398" customFormat="1">
      <c r="A5619" s="1232" t="s">
        <v>1806</v>
      </c>
      <c r="B5619" s="311" t="s">
        <v>1807</v>
      </c>
      <c r="C5619" s="165"/>
      <c r="D5619" s="392"/>
      <c r="E5619" s="392"/>
      <c r="F5619" s="1352"/>
      <c r="G5619" s="1352"/>
      <c r="H5619" s="1352"/>
      <c r="I5619" s="1187" t="str">
        <f t="shared" si="200"/>
        <v/>
      </c>
      <c r="J5619" s="394"/>
      <c r="K5619" s="1233"/>
      <c r="L5619" s="431"/>
      <c r="M5619" s="431"/>
      <c r="N5619" s="431"/>
    </row>
    <row r="5620" spans="1:14" s="398" customFormat="1">
      <c r="A5620" s="1232"/>
      <c r="B5620" s="311" t="s">
        <v>1513</v>
      </c>
      <c r="C5620" s="165" t="s">
        <v>1</v>
      </c>
      <c r="D5620" s="392">
        <v>4</v>
      </c>
      <c r="E5620" s="392">
        <v>2</v>
      </c>
      <c r="F5620" s="1352">
        <v>3</v>
      </c>
      <c r="G5620" s="1352"/>
      <c r="H5620" s="1352">
        <v>0.33500000000000002</v>
      </c>
      <c r="I5620" s="1187">
        <f t="shared" si="200"/>
        <v>8.0399999999999991</v>
      </c>
      <c r="J5620" s="394"/>
      <c r="K5620" s="1233"/>
      <c r="L5620" s="431"/>
      <c r="M5620" s="431"/>
      <c r="N5620" s="431"/>
    </row>
    <row r="5621" spans="1:14" s="398" customFormat="1">
      <c r="A5621" s="1232"/>
      <c r="B5621" s="311"/>
      <c r="C5621" s="165" t="s">
        <v>1</v>
      </c>
      <c r="D5621" s="392">
        <v>4</v>
      </c>
      <c r="E5621" s="392">
        <v>2</v>
      </c>
      <c r="F5621" s="1352">
        <v>2.91</v>
      </c>
      <c r="G5621" s="1352"/>
      <c r="H5621" s="1352">
        <v>0.1</v>
      </c>
      <c r="I5621" s="1187">
        <f t="shared" si="200"/>
        <v>2.33</v>
      </c>
      <c r="J5621" s="394"/>
      <c r="K5621" s="1233"/>
      <c r="L5621" s="431"/>
      <c r="M5621" s="431"/>
      <c r="N5621" s="431"/>
    </row>
    <row r="5622" spans="1:14" s="398" customFormat="1">
      <c r="A5622" s="1232"/>
      <c r="B5622" s="311"/>
      <c r="C5622" s="165" t="s">
        <v>1</v>
      </c>
      <c r="D5622" s="392">
        <v>4</v>
      </c>
      <c r="E5622" s="392">
        <v>2</v>
      </c>
      <c r="F5622" s="1352">
        <v>0.5</v>
      </c>
      <c r="G5622" s="1352"/>
      <c r="H5622" s="1352">
        <v>0.33500000000000002</v>
      </c>
      <c r="I5622" s="1187">
        <f t="shared" si="200"/>
        <v>1.34</v>
      </c>
      <c r="J5622" s="394"/>
      <c r="K5622" s="1233"/>
      <c r="L5622" s="431"/>
      <c r="M5622" s="431"/>
      <c r="N5622" s="431"/>
    </row>
    <row r="5623" spans="1:14" s="398" customFormat="1">
      <c r="A5623" s="1232"/>
      <c r="B5623" s="311"/>
      <c r="C5623" s="165" t="s">
        <v>1</v>
      </c>
      <c r="D5623" s="392">
        <v>4</v>
      </c>
      <c r="E5623" s="392">
        <v>2</v>
      </c>
      <c r="F5623" s="1352">
        <v>0.41000000000000003</v>
      </c>
      <c r="G5623" s="1352"/>
      <c r="H5623" s="1352">
        <v>0.1</v>
      </c>
      <c r="I5623" s="1187">
        <f t="shared" si="200"/>
        <v>0.33</v>
      </c>
      <c r="J5623" s="394"/>
      <c r="K5623" s="1233"/>
      <c r="L5623" s="431"/>
      <c r="M5623" s="431"/>
      <c r="N5623" s="431"/>
    </row>
    <row r="5624" spans="1:14" s="398" customFormat="1" ht="34.5">
      <c r="A5624" s="1232" t="s">
        <v>1808</v>
      </c>
      <c r="B5624" s="311" t="s">
        <v>1809</v>
      </c>
      <c r="C5624" s="165"/>
      <c r="D5624" s="392"/>
      <c r="E5624" s="392"/>
      <c r="F5624" s="1352"/>
      <c r="G5624" s="1352"/>
      <c r="H5624" s="1352"/>
      <c r="I5624" s="1187" t="str">
        <f t="shared" si="200"/>
        <v/>
      </c>
      <c r="J5624" s="394"/>
      <c r="K5624" s="1233"/>
      <c r="L5624" s="431"/>
      <c r="M5624" s="431"/>
      <c r="N5624" s="431"/>
    </row>
    <row r="5625" spans="1:14" s="398" customFormat="1">
      <c r="A5625" s="1232"/>
      <c r="B5625" s="311" t="s">
        <v>1513</v>
      </c>
      <c r="C5625" s="165" t="s">
        <v>1</v>
      </c>
      <c r="D5625" s="392">
        <v>12</v>
      </c>
      <c r="E5625" s="392">
        <v>2</v>
      </c>
      <c r="F5625" s="1352">
        <v>3</v>
      </c>
      <c r="G5625" s="1352"/>
      <c r="H5625" s="1352">
        <v>0.33500000000000002</v>
      </c>
      <c r="I5625" s="1187">
        <f t="shared" si="200"/>
        <v>24.12</v>
      </c>
      <c r="J5625" s="394"/>
      <c r="K5625" s="1233"/>
      <c r="L5625" s="431"/>
      <c r="M5625" s="431"/>
      <c r="N5625" s="431"/>
    </row>
    <row r="5626" spans="1:14" s="398" customFormat="1">
      <c r="A5626" s="1232"/>
      <c r="B5626" s="311"/>
      <c r="C5626" s="165" t="s">
        <v>1</v>
      </c>
      <c r="D5626" s="392">
        <v>12</v>
      </c>
      <c r="E5626" s="392">
        <v>2</v>
      </c>
      <c r="F5626" s="1352">
        <v>2.91</v>
      </c>
      <c r="G5626" s="1352"/>
      <c r="H5626" s="1352">
        <v>0.1</v>
      </c>
      <c r="I5626" s="1187">
        <f t="shared" si="200"/>
        <v>6.98</v>
      </c>
      <c r="J5626" s="394"/>
      <c r="K5626" s="1233"/>
      <c r="L5626" s="431"/>
      <c r="M5626" s="431"/>
      <c r="N5626" s="431"/>
    </row>
    <row r="5627" spans="1:14" s="398" customFormat="1">
      <c r="A5627" s="1232"/>
      <c r="B5627" s="311"/>
      <c r="C5627" s="165" t="s">
        <v>1</v>
      </c>
      <c r="D5627" s="392">
        <v>12</v>
      </c>
      <c r="E5627" s="392">
        <v>2</v>
      </c>
      <c r="F5627" s="1352">
        <v>0.5</v>
      </c>
      <c r="G5627" s="1352"/>
      <c r="H5627" s="1352">
        <v>0.33500000000000002</v>
      </c>
      <c r="I5627" s="1187">
        <f t="shared" si="200"/>
        <v>4.0199999999999996</v>
      </c>
      <c r="J5627" s="394"/>
      <c r="K5627" s="1233"/>
      <c r="L5627" s="431"/>
      <c r="M5627" s="431"/>
      <c r="N5627" s="431"/>
    </row>
    <row r="5628" spans="1:14" s="398" customFormat="1">
      <c r="A5628" s="1232"/>
      <c r="B5628" s="311"/>
      <c r="C5628" s="165" t="s">
        <v>1</v>
      </c>
      <c r="D5628" s="392">
        <v>12</v>
      </c>
      <c r="E5628" s="392">
        <v>2</v>
      </c>
      <c r="F5628" s="1352">
        <v>0.41000000000000003</v>
      </c>
      <c r="G5628" s="1352"/>
      <c r="H5628" s="1352">
        <v>0.1</v>
      </c>
      <c r="I5628" s="1187">
        <f t="shared" si="200"/>
        <v>0.98</v>
      </c>
      <c r="J5628" s="394"/>
      <c r="K5628" s="1233"/>
      <c r="L5628" s="431"/>
      <c r="M5628" s="431"/>
      <c r="N5628" s="431"/>
    </row>
    <row r="5629" spans="1:14" s="398" customFormat="1">
      <c r="A5629" s="1232" t="s">
        <v>1810</v>
      </c>
      <c r="B5629" s="311" t="s">
        <v>1811</v>
      </c>
      <c r="C5629" s="165"/>
      <c r="D5629" s="392"/>
      <c r="E5629" s="392"/>
      <c r="F5629" s="1352"/>
      <c r="G5629" s="1352"/>
      <c r="H5629" s="1352"/>
      <c r="I5629" s="1187" t="str">
        <f t="shared" si="200"/>
        <v/>
      </c>
      <c r="J5629" s="394"/>
      <c r="K5629" s="1233"/>
      <c r="L5629" s="431"/>
      <c r="M5629" s="431"/>
      <c r="N5629" s="431"/>
    </row>
    <row r="5630" spans="1:14" s="398" customFormat="1">
      <c r="A5630" s="1232"/>
      <c r="B5630" s="311" t="s">
        <v>1513</v>
      </c>
      <c r="C5630" s="165" t="s">
        <v>1</v>
      </c>
      <c r="D5630" s="392">
        <v>8</v>
      </c>
      <c r="E5630" s="392">
        <v>2</v>
      </c>
      <c r="F5630" s="1352">
        <v>3</v>
      </c>
      <c r="G5630" s="1352"/>
      <c r="H5630" s="1352">
        <v>0.33500000000000002</v>
      </c>
      <c r="I5630" s="1187">
        <f t="shared" si="200"/>
        <v>16.079999999999998</v>
      </c>
      <c r="J5630" s="394"/>
      <c r="K5630" s="1233"/>
      <c r="L5630" s="431"/>
      <c r="M5630" s="431"/>
      <c r="N5630" s="431"/>
    </row>
    <row r="5631" spans="1:14" s="398" customFormat="1">
      <c r="A5631" s="1232"/>
      <c r="B5631" s="311"/>
      <c r="C5631" s="165" t="s">
        <v>1</v>
      </c>
      <c r="D5631" s="392">
        <v>8</v>
      </c>
      <c r="E5631" s="392">
        <v>2</v>
      </c>
      <c r="F5631" s="1352">
        <v>2.91</v>
      </c>
      <c r="G5631" s="1352"/>
      <c r="H5631" s="1352">
        <v>0.1</v>
      </c>
      <c r="I5631" s="1187">
        <f t="shared" si="200"/>
        <v>4.66</v>
      </c>
      <c r="J5631" s="394"/>
      <c r="K5631" s="1233"/>
      <c r="L5631" s="431"/>
      <c r="M5631" s="431"/>
      <c r="N5631" s="431"/>
    </row>
    <row r="5632" spans="1:14" s="398" customFormat="1">
      <c r="A5632" s="1232"/>
      <c r="B5632" s="311"/>
      <c r="C5632" s="165" t="s">
        <v>1</v>
      </c>
      <c r="D5632" s="392">
        <v>8</v>
      </c>
      <c r="E5632" s="392">
        <v>2</v>
      </c>
      <c r="F5632" s="1352">
        <v>0.5</v>
      </c>
      <c r="G5632" s="1352"/>
      <c r="H5632" s="1352">
        <v>0.33500000000000002</v>
      </c>
      <c r="I5632" s="1187">
        <f t="shared" si="200"/>
        <v>2.68</v>
      </c>
      <c r="J5632" s="394"/>
      <c r="K5632" s="1233"/>
      <c r="L5632" s="431"/>
      <c r="M5632" s="431"/>
      <c r="N5632" s="431"/>
    </row>
    <row r="5633" spans="1:14" s="398" customFormat="1">
      <c r="A5633" s="1232"/>
      <c r="B5633" s="311"/>
      <c r="C5633" s="165" t="s">
        <v>1</v>
      </c>
      <c r="D5633" s="392">
        <v>8</v>
      </c>
      <c r="E5633" s="392">
        <v>2</v>
      </c>
      <c r="F5633" s="1352">
        <v>0.41000000000000003</v>
      </c>
      <c r="G5633" s="1352"/>
      <c r="H5633" s="1352">
        <v>0.1</v>
      </c>
      <c r="I5633" s="1187">
        <f t="shared" si="200"/>
        <v>0.66</v>
      </c>
      <c r="J5633" s="394"/>
      <c r="K5633" s="1233"/>
      <c r="L5633" s="431"/>
      <c r="M5633" s="431"/>
      <c r="N5633" s="431"/>
    </row>
    <row r="5634" spans="1:14" s="398" customFormat="1">
      <c r="A5634" s="1232"/>
      <c r="B5634" s="311"/>
      <c r="C5634" s="165"/>
      <c r="D5634" s="392"/>
      <c r="E5634" s="392"/>
      <c r="F5634" s="1352"/>
      <c r="G5634" s="1352"/>
      <c r="H5634" s="1352"/>
      <c r="I5634" s="1187" t="str">
        <f t="shared" ref="I5634:I5682" si="201">IF(D5634&lt;&gt;0,ROUND(PRODUCT(E5634:H5634)*D5634,2),"")</f>
        <v/>
      </c>
      <c r="J5634" s="394"/>
      <c r="K5634" s="1233"/>
      <c r="L5634" s="431"/>
      <c r="M5634" s="431"/>
      <c r="N5634" s="431"/>
    </row>
    <row r="5635" spans="1:14" s="398" customFormat="1">
      <c r="A5635" s="1232"/>
      <c r="B5635" s="311"/>
      <c r="C5635" s="165"/>
      <c r="D5635" s="392"/>
      <c r="E5635" s="392"/>
      <c r="F5635" s="1352"/>
      <c r="G5635" s="1352"/>
      <c r="H5635" s="1352"/>
      <c r="I5635" s="1187" t="str">
        <f t="shared" si="201"/>
        <v/>
      </c>
      <c r="J5635" s="394"/>
      <c r="K5635" s="1233"/>
      <c r="L5635" s="431"/>
      <c r="M5635" s="431"/>
      <c r="N5635" s="431"/>
    </row>
    <row r="5636" spans="1:14" s="398" customFormat="1">
      <c r="A5636" s="1232"/>
      <c r="B5636" s="311" t="s">
        <v>1813</v>
      </c>
      <c r="C5636" s="165"/>
      <c r="D5636" s="392"/>
      <c r="E5636" s="392"/>
      <c r="F5636" s="1352"/>
      <c r="G5636" s="1352"/>
      <c r="H5636" s="1352"/>
      <c r="I5636" s="1187" t="str">
        <f t="shared" si="201"/>
        <v/>
      </c>
      <c r="J5636" s="394"/>
      <c r="K5636" s="1233"/>
      <c r="L5636" s="431"/>
      <c r="M5636" s="431"/>
      <c r="N5636" s="431"/>
    </row>
    <row r="5637" spans="1:14" s="398" customFormat="1" ht="34.5">
      <c r="A5637" s="1308"/>
      <c r="B5637" s="580" t="s">
        <v>1812</v>
      </c>
      <c r="C5637" s="944" t="s">
        <v>1</v>
      </c>
      <c r="D5637" s="945">
        <v>1</v>
      </c>
      <c r="E5637" s="945">
        <v>0</v>
      </c>
      <c r="F5637" s="1387">
        <v>348.72209299999997</v>
      </c>
      <c r="G5637" s="1387"/>
      <c r="H5637" s="1387"/>
      <c r="I5637" s="1187">
        <f t="shared" si="201"/>
        <v>0</v>
      </c>
      <c r="J5637" s="946"/>
      <c r="K5637" s="1309"/>
      <c r="L5637" s="431"/>
      <c r="M5637" s="431"/>
      <c r="N5637" s="431"/>
    </row>
    <row r="5638" spans="1:14" s="398" customFormat="1">
      <c r="A5638" s="1308"/>
      <c r="B5638" s="580" t="s">
        <v>872</v>
      </c>
      <c r="C5638" s="944" t="s">
        <v>1</v>
      </c>
      <c r="D5638" s="945">
        <v>-1</v>
      </c>
      <c r="E5638" s="945">
        <v>0</v>
      </c>
      <c r="F5638" s="1387">
        <v>45.369407000000002</v>
      </c>
      <c r="G5638" s="1387"/>
      <c r="H5638" s="1387"/>
      <c r="I5638" s="1187">
        <f t="shared" si="201"/>
        <v>0</v>
      </c>
      <c r="J5638" s="946"/>
      <c r="K5638" s="1309"/>
      <c r="L5638" s="431"/>
      <c r="M5638" s="431"/>
      <c r="N5638" s="431"/>
    </row>
    <row r="5639" spans="1:14" s="398" customFormat="1">
      <c r="A5639" s="1308"/>
      <c r="B5639" s="580"/>
      <c r="C5639" s="944" t="s">
        <v>1</v>
      </c>
      <c r="D5639" s="945">
        <v>-1</v>
      </c>
      <c r="E5639" s="945">
        <v>0</v>
      </c>
      <c r="F5639" s="1387">
        <v>36.931618999999998</v>
      </c>
      <c r="G5639" s="1387"/>
      <c r="H5639" s="1387"/>
      <c r="I5639" s="1187">
        <f t="shared" si="201"/>
        <v>0</v>
      </c>
      <c r="J5639" s="946"/>
      <c r="K5639" s="1309"/>
      <c r="L5639" s="431"/>
      <c r="M5639" s="431"/>
      <c r="N5639" s="431"/>
    </row>
    <row r="5640" spans="1:14" s="398" customFormat="1">
      <c r="A5640" s="1310"/>
      <c r="B5640" s="948" t="s">
        <v>1684</v>
      </c>
      <c r="C5640" s="947" t="s">
        <v>1</v>
      </c>
      <c r="D5640" s="945">
        <v>0</v>
      </c>
      <c r="E5640" s="1080">
        <v>-5</v>
      </c>
      <c r="F5640" s="1387">
        <v>0.28299999999999997</v>
      </c>
      <c r="G5640" s="1387"/>
      <c r="H5640" s="1387"/>
      <c r="I5640" s="1187" t="str">
        <f t="shared" si="201"/>
        <v/>
      </c>
      <c r="J5640" s="949"/>
      <c r="K5640" s="1311"/>
      <c r="L5640" s="431"/>
      <c r="M5640" s="431"/>
      <c r="N5640" s="431"/>
    </row>
    <row r="5641" spans="1:14" s="398" customFormat="1">
      <c r="A5641" s="1310"/>
      <c r="B5641" s="948" t="s">
        <v>1685</v>
      </c>
      <c r="C5641" s="947" t="s">
        <v>1</v>
      </c>
      <c r="D5641" s="945">
        <v>1</v>
      </c>
      <c r="E5641" s="945">
        <v>1</v>
      </c>
      <c r="F5641" s="1387">
        <v>128.26300000000001</v>
      </c>
      <c r="G5641" s="1387"/>
      <c r="H5641" s="1387"/>
      <c r="I5641" s="1187">
        <f t="shared" si="201"/>
        <v>128.26</v>
      </c>
      <c r="J5641" s="949"/>
      <c r="K5641" s="1311"/>
      <c r="L5641" s="431"/>
      <c r="M5641" s="431"/>
      <c r="N5641" s="431"/>
    </row>
    <row r="5642" spans="1:14" s="398" customFormat="1">
      <c r="A5642" s="1310"/>
      <c r="B5642" s="948" t="s">
        <v>872</v>
      </c>
      <c r="C5642" s="947" t="s">
        <v>1</v>
      </c>
      <c r="D5642" s="945">
        <v>-1</v>
      </c>
      <c r="E5642" s="945"/>
      <c r="F5642" s="1387">
        <v>45.369407000000002</v>
      </c>
      <c r="G5642" s="1387"/>
      <c r="H5642" s="1387"/>
      <c r="I5642" s="1187">
        <f t="shared" si="201"/>
        <v>-45.37</v>
      </c>
      <c r="J5642" s="949"/>
      <c r="K5642" s="1311"/>
      <c r="L5642" s="431"/>
      <c r="M5642" s="431"/>
      <c r="N5642" s="431"/>
    </row>
    <row r="5643" spans="1:14" s="398" customFormat="1">
      <c r="A5643" s="1232"/>
      <c r="B5643" s="311"/>
      <c r="C5643" s="165"/>
      <c r="D5643" s="392"/>
      <c r="E5643" s="392"/>
      <c r="F5643" s="1352"/>
      <c r="G5643" s="1352"/>
      <c r="H5643" s="1352"/>
      <c r="I5643" s="1187" t="str">
        <f t="shared" si="201"/>
        <v/>
      </c>
      <c r="J5643" s="394"/>
      <c r="K5643" s="1233"/>
      <c r="L5643" s="431"/>
      <c r="M5643" s="431"/>
      <c r="N5643" s="431"/>
    </row>
    <row r="5644" spans="1:14" s="398" customFormat="1" ht="34.5">
      <c r="A5644" s="1232"/>
      <c r="B5644" s="311" t="s">
        <v>1351</v>
      </c>
      <c r="C5644" s="165"/>
      <c r="D5644" s="392"/>
      <c r="E5644" s="392"/>
      <c r="F5644" s="1352"/>
      <c r="G5644" s="1352"/>
      <c r="H5644" s="1352"/>
      <c r="I5644" s="1187" t="str">
        <f t="shared" si="201"/>
        <v/>
      </c>
      <c r="J5644" s="394"/>
      <c r="K5644" s="1233"/>
      <c r="L5644" s="431"/>
      <c r="M5644" s="431"/>
      <c r="N5644" s="431"/>
    </row>
    <row r="5645" spans="1:14" s="398" customFormat="1">
      <c r="A5645" s="1232"/>
      <c r="B5645" s="311" t="s">
        <v>1352</v>
      </c>
      <c r="C5645" s="165"/>
      <c r="D5645" s="392"/>
      <c r="E5645" s="392"/>
      <c r="F5645" s="1352"/>
      <c r="G5645" s="1352"/>
      <c r="H5645" s="1352"/>
      <c r="I5645" s="1187" t="str">
        <f t="shared" si="201"/>
        <v/>
      </c>
      <c r="J5645" s="394"/>
      <c r="K5645" s="1233"/>
      <c r="L5645" s="431"/>
      <c r="M5645" s="431"/>
      <c r="N5645" s="431"/>
    </row>
    <row r="5646" spans="1:14" s="398" customFormat="1">
      <c r="A5646" s="1232"/>
      <c r="B5646" s="311" t="s">
        <v>1353</v>
      </c>
      <c r="C5646" s="165" t="s">
        <v>1</v>
      </c>
      <c r="D5646" s="392">
        <v>6</v>
      </c>
      <c r="E5646" s="392">
        <v>-1</v>
      </c>
      <c r="F5646" s="1352">
        <v>3</v>
      </c>
      <c r="G5646" s="1377">
        <v>0.45</v>
      </c>
      <c r="H5646" s="1352"/>
      <c r="I5646" s="1187">
        <f t="shared" si="201"/>
        <v>-8.1</v>
      </c>
      <c r="J5646" s="394"/>
      <c r="K5646" s="1233"/>
      <c r="L5646" s="431"/>
      <c r="M5646" s="431"/>
      <c r="N5646" s="431"/>
    </row>
    <row r="5647" spans="1:14" s="398" customFormat="1">
      <c r="A5647" s="1232"/>
      <c r="B5647" s="311" t="s">
        <v>1354</v>
      </c>
      <c r="C5647" s="165"/>
      <c r="D5647" s="392"/>
      <c r="E5647" s="392"/>
      <c r="F5647" s="1352"/>
      <c r="G5647" s="1352"/>
      <c r="H5647" s="1352"/>
      <c r="I5647" s="1187" t="str">
        <f t="shared" si="201"/>
        <v/>
      </c>
      <c r="J5647" s="394"/>
      <c r="K5647" s="1233"/>
      <c r="L5647" s="431"/>
      <c r="M5647" s="431"/>
      <c r="N5647" s="431"/>
    </row>
    <row r="5648" spans="1:14" s="398" customFormat="1">
      <c r="A5648" s="1232"/>
      <c r="B5648" s="311" t="s">
        <v>1353</v>
      </c>
      <c r="C5648" s="165" t="s">
        <v>1</v>
      </c>
      <c r="D5648" s="392">
        <v>7</v>
      </c>
      <c r="E5648" s="392">
        <v>-1</v>
      </c>
      <c r="F5648" s="1352">
        <v>3</v>
      </c>
      <c r="G5648" s="1377">
        <v>0.45</v>
      </c>
      <c r="H5648" s="1352"/>
      <c r="I5648" s="1187">
        <f t="shared" si="201"/>
        <v>-9.4499999999999993</v>
      </c>
      <c r="J5648" s="394"/>
      <c r="K5648" s="1233"/>
      <c r="L5648" s="431"/>
      <c r="M5648" s="431"/>
      <c r="N5648" s="431"/>
    </row>
    <row r="5649" spans="1:14" s="398" customFormat="1">
      <c r="A5649" s="1232"/>
      <c r="B5649" s="311" t="s">
        <v>1355</v>
      </c>
      <c r="C5649" s="165"/>
      <c r="D5649" s="392"/>
      <c r="E5649" s="392"/>
      <c r="F5649" s="1352"/>
      <c r="G5649" s="1352"/>
      <c r="H5649" s="1352"/>
      <c r="I5649" s="1187" t="str">
        <f t="shared" si="201"/>
        <v/>
      </c>
      <c r="J5649" s="394"/>
      <c r="K5649" s="1233"/>
      <c r="L5649" s="431"/>
      <c r="M5649" s="431"/>
      <c r="N5649" s="431"/>
    </row>
    <row r="5650" spans="1:14" s="398" customFormat="1">
      <c r="A5650" s="1232"/>
      <c r="B5650" s="311" t="s">
        <v>1353</v>
      </c>
      <c r="C5650" s="165" t="s">
        <v>1</v>
      </c>
      <c r="D5650" s="392">
        <v>6</v>
      </c>
      <c r="E5650" s="392">
        <v>-1</v>
      </c>
      <c r="F5650" s="1352">
        <v>3</v>
      </c>
      <c r="G5650" s="1377">
        <v>0.45</v>
      </c>
      <c r="H5650" s="1352"/>
      <c r="I5650" s="1187">
        <f t="shared" si="201"/>
        <v>-8.1</v>
      </c>
      <c r="J5650" s="394"/>
      <c r="K5650" s="1233"/>
      <c r="L5650" s="431"/>
      <c r="M5650" s="431"/>
      <c r="N5650" s="431"/>
    </row>
    <row r="5651" spans="1:14" s="398" customFormat="1">
      <c r="A5651" s="1232"/>
      <c r="B5651" s="311" t="s">
        <v>1356</v>
      </c>
      <c r="C5651" s="165"/>
      <c r="D5651" s="392"/>
      <c r="E5651" s="392"/>
      <c r="F5651" s="1352"/>
      <c r="G5651" s="1352"/>
      <c r="H5651" s="1352"/>
      <c r="I5651" s="1187" t="str">
        <f t="shared" si="201"/>
        <v/>
      </c>
      <c r="J5651" s="394"/>
      <c r="K5651" s="1233"/>
      <c r="L5651" s="431"/>
      <c r="M5651" s="431"/>
      <c r="N5651" s="431"/>
    </row>
    <row r="5652" spans="1:14" s="398" customFormat="1">
      <c r="A5652" s="1232"/>
      <c r="B5652" s="311" t="s">
        <v>1353</v>
      </c>
      <c r="C5652" s="165" t="s">
        <v>1</v>
      </c>
      <c r="D5652" s="392">
        <v>4</v>
      </c>
      <c r="E5652" s="392">
        <v>-1</v>
      </c>
      <c r="F5652" s="1352">
        <v>3</v>
      </c>
      <c r="G5652" s="1377">
        <v>0.45</v>
      </c>
      <c r="H5652" s="1352"/>
      <c r="I5652" s="1187">
        <f t="shared" si="201"/>
        <v>-5.4</v>
      </c>
      <c r="J5652" s="394"/>
      <c r="K5652" s="1233"/>
      <c r="L5652" s="431"/>
      <c r="M5652" s="431"/>
      <c r="N5652" s="431"/>
    </row>
    <row r="5653" spans="1:14" s="398" customFormat="1">
      <c r="A5653" s="1232"/>
      <c r="B5653" s="311" t="s">
        <v>1357</v>
      </c>
      <c r="C5653" s="165"/>
      <c r="D5653" s="392"/>
      <c r="E5653" s="392"/>
      <c r="F5653" s="1352"/>
      <c r="G5653" s="1352"/>
      <c r="H5653" s="1352"/>
      <c r="I5653" s="1187" t="str">
        <f t="shared" si="201"/>
        <v/>
      </c>
      <c r="J5653" s="394"/>
      <c r="K5653" s="1233"/>
      <c r="L5653" s="431"/>
      <c r="M5653" s="431"/>
      <c r="N5653" s="431"/>
    </row>
    <row r="5654" spans="1:14" s="398" customFormat="1">
      <c r="A5654" s="1232"/>
      <c r="B5654" s="311" t="s">
        <v>1353</v>
      </c>
      <c r="C5654" s="165" t="s">
        <v>1</v>
      </c>
      <c r="D5654" s="392">
        <v>4</v>
      </c>
      <c r="E5654" s="392">
        <v>-1</v>
      </c>
      <c r="F5654" s="1352">
        <v>3</v>
      </c>
      <c r="G5654" s="1377">
        <v>0.45</v>
      </c>
      <c r="H5654" s="1352"/>
      <c r="I5654" s="1187">
        <f t="shared" si="201"/>
        <v>-5.4</v>
      </c>
      <c r="J5654" s="394"/>
      <c r="K5654" s="1233"/>
      <c r="L5654" s="431"/>
      <c r="M5654" s="431"/>
      <c r="N5654" s="431"/>
    </row>
    <row r="5655" spans="1:14" s="398" customFormat="1" ht="34.5">
      <c r="A5655" s="1232"/>
      <c r="B5655" s="311" t="s">
        <v>1358</v>
      </c>
      <c r="C5655" s="165"/>
      <c r="D5655" s="392"/>
      <c r="E5655" s="392"/>
      <c r="F5655" s="1352"/>
      <c r="G5655" s="1352"/>
      <c r="H5655" s="1352"/>
      <c r="I5655" s="1187" t="str">
        <f t="shared" si="201"/>
        <v/>
      </c>
      <c r="J5655" s="394"/>
      <c r="K5655" s="1233"/>
      <c r="L5655" s="431"/>
      <c r="M5655" s="431"/>
      <c r="N5655" s="431"/>
    </row>
    <row r="5656" spans="1:14" s="398" customFormat="1">
      <c r="A5656" s="1232"/>
      <c r="B5656" s="311" t="s">
        <v>1353</v>
      </c>
      <c r="C5656" s="165" t="s">
        <v>1</v>
      </c>
      <c r="D5656" s="392">
        <v>8</v>
      </c>
      <c r="E5656" s="392">
        <v>-1</v>
      </c>
      <c r="F5656" s="1352">
        <v>3</v>
      </c>
      <c r="G5656" s="1377">
        <v>0.45</v>
      </c>
      <c r="H5656" s="1352"/>
      <c r="I5656" s="1187">
        <f t="shared" si="201"/>
        <v>-10.8</v>
      </c>
      <c r="J5656" s="394"/>
      <c r="K5656" s="1233"/>
      <c r="L5656" s="431"/>
      <c r="M5656" s="431"/>
      <c r="N5656" s="431"/>
    </row>
    <row r="5657" spans="1:14" s="398" customFormat="1" ht="34.5">
      <c r="A5657" s="1232"/>
      <c r="B5657" s="311" t="s">
        <v>1359</v>
      </c>
      <c r="C5657" s="165"/>
      <c r="D5657" s="392"/>
      <c r="E5657" s="392"/>
      <c r="F5657" s="1352"/>
      <c r="G5657" s="1352"/>
      <c r="H5657" s="1352"/>
      <c r="I5657" s="1187" t="str">
        <f t="shared" si="201"/>
        <v/>
      </c>
      <c r="J5657" s="394"/>
      <c r="K5657" s="1233"/>
      <c r="L5657" s="431"/>
      <c r="M5657" s="431"/>
      <c r="N5657" s="431"/>
    </row>
    <row r="5658" spans="1:14" s="398" customFormat="1">
      <c r="A5658" s="1232"/>
      <c r="B5658" s="311" t="s">
        <v>1353</v>
      </c>
      <c r="C5658" s="165" t="s">
        <v>1</v>
      </c>
      <c r="D5658" s="392">
        <v>4</v>
      </c>
      <c r="E5658" s="392">
        <v>-1</v>
      </c>
      <c r="F5658" s="1352">
        <v>3</v>
      </c>
      <c r="G5658" s="1377">
        <v>0.45</v>
      </c>
      <c r="H5658" s="1352"/>
      <c r="I5658" s="1187">
        <f t="shared" si="201"/>
        <v>-5.4</v>
      </c>
      <c r="J5658" s="394"/>
      <c r="K5658" s="1233"/>
      <c r="L5658" s="431"/>
      <c r="M5658" s="431"/>
      <c r="N5658" s="431"/>
    </row>
    <row r="5659" spans="1:14" s="398" customFormat="1">
      <c r="A5659" s="1232"/>
      <c r="B5659" s="311" t="s">
        <v>1360</v>
      </c>
      <c r="C5659" s="165"/>
      <c r="D5659" s="392"/>
      <c r="E5659" s="392"/>
      <c r="F5659" s="1352"/>
      <c r="G5659" s="1352"/>
      <c r="H5659" s="1352"/>
      <c r="I5659" s="1187" t="str">
        <f t="shared" si="201"/>
        <v/>
      </c>
      <c r="J5659" s="394"/>
      <c r="K5659" s="1233"/>
      <c r="L5659" s="431"/>
      <c r="M5659" s="431"/>
      <c r="N5659" s="431"/>
    </row>
    <row r="5660" spans="1:14" s="398" customFormat="1">
      <c r="A5660" s="1232"/>
      <c r="B5660" s="311" t="s">
        <v>1353</v>
      </c>
      <c r="C5660" s="165" t="s">
        <v>1</v>
      </c>
      <c r="D5660" s="392">
        <v>8</v>
      </c>
      <c r="E5660" s="392">
        <v>-1</v>
      </c>
      <c r="F5660" s="1352">
        <v>3</v>
      </c>
      <c r="G5660" s="1377">
        <v>0.45</v>
      </c>
      <c r="H5660" s="1352"/>
      <c r="I5660" s="1187">
        <f t="shared" si="201"/>
        <v>-10.8</v>
      </c>
      <c r="J5660" s="394"/>
      <c r="K5660" s="1233"/>
      <c r="L5660" s="431"/>
      <c r="M5660" s="431"/>
      <c r="N5660" s="431"/>
    </row>
    <row r="5661" spans="1:14" s="398" customFormat="1" ht="34.5">
      <c r="A5661" s="1232"/>
      <c r="B5661" s="311" t="s">
        <v>1361</v>
      </c>
      <c r="C5661" s="165"/>
      <c r="D5661" s="392"/>
      <c r="E5661" s="392"/>
      <c r="F5661" s="1352"/>
      <c r="G5661" s="1352"/>
      <c r="H5661" s="1352"/>
      <c r="I5661" s="1187" t="str">
        <f t="shared" si="201"/>
        <v/>
      </c>
      <c r="J5661" s="394"/>
      <c r="K5661" s="1233"/>
      <c r="L5661" s="431"/>
      <c r="M5661" s="431"/>
      <c r="N5661" s="431"/>
    </row>
    <row r="5662" spans="1:14" s="398" customFormat="1">
      <c r="A5662" s="1232"/>
      <c r="B5662" s="311" t="s">
        <v>1353</v>
      </c>
      <c r="C5662" s="165" t="s">
        <v>1</v>
      </c>
      <c r="D5662" s="438">
        <v>11</v>
      </c>
      <c r="E5662" s="392">
        <v>-1</v>
      </c>
      <c r="F5662" s="1352">
        <v>3</v>
      </c>
      <c r="G5662" s="1377">
        <v>0.45</v>
      </c>
      <c r="H5662" s="1352"/>
      <c r="I5662" s="1187">
        <f t="shared" si="201"/>
        <v>-14.85</v>
      </c>
      <c r="J5662" s="394"/>
      <c r="K5662" s="1233"/>
      <c r="L5662" s="431"/>
      <c r="M5662" s="431"/>
      <c r="N5662" s="431"/>
    </row>
    <row r="5663" spans="1:14" s="398" customFormat="1">
      <c r="A5663" s="1232"/>
      <c r="B5663" s="311"/>
      <c r="C5663" s="165"/>
      <c r="D5663" s="392"/>
      <c r="E5663" s="165"/>
      <c r="F5663" s="401"/>
      <c r="G5663" s="401"/>
      <c r="H5663" s="1352"/>
      <c r="I5663" s="1187" t="str">
        <f t="shared" si="201"/>
        <v/>
      </c>
      <c r="J5663" s="394"/>
      <c r="K5663" s="1233"/>
      <c r="L5663" s="431"/>
      <c r="M5663" s="431"/>
      <c r="N5663" s="431"/>
    </row>
    <row r="5664" spans="1:14" s="398" customFormat="1" ht="34.5">
      <c r="A5664" s="1232"/>
      <c r="B5664" s="311" t="s">
        <v>1351</v>
      </c>
      <c r="C5664" s="165"/>
      <c r="D5664" s="392"/>
      <c r="E5664" s="392"/>
      <c r="F5664" s="1352"/>
      <c r="G5664" s="1352"/>
      <c r="H5664" s="1352"/>
      <c r="I5664" s="1187" t="str">
        <f t="shared" si="201"/>
        <v/>
      </c>
      <c r="J5664" s="394"/>
      <c r="K5664" s="1233"/>
      <c r="L5664" s="431"/>
      <c r="M5664" s="431"/>
      <c r="N5664" s="431"/>
    </row>
    <row r="5665" spans="1:14" s="398" customFormat="1">
      <c r="A5665" s="1232"/>
      <c r="B5665" s="311" t="s">
        <v>1352</v>
      </c>
      <c r="C5665" s="165"/>
      <c r="D5665" s="392"/>
      <c r="E5665" s="392"/>
      <c r="F5665" s="1352"/>
      <c r="G5665" s="1352"/>
      <c r="H5665" s="1352"/>
      <c r="I5665" s="1187" t="str">
        <f t="shared" si="201"/>
        <v/>
      </c>
      <c r="J5665" s="394"/>
      <c r="K5665" s="1233"/>
      <c r="L5665" s="431"/>
      <c r="M5665" s="431"/>
      <c r="N5665" s="431"/>
    </row>
    <row r="5666" spans="1:14" s="398" customFormat="1">
      <c r="A5666" s="1232"/>
      <c r="B5666" s="311" t="s">
        <v>1353</v>
      </c>
      <c r="C5666" s="165" t="s">
        <v>1</v>
      </c>
      <c r="D5666" s="392">
        <v>6</v>
      </c>
      <c r="E5666" s="392">
        <v>1</v>
      </c>
      <c r="F5666" s="1352">
        <v>3</v>
      </c>
      <c r="G5666" s="1352">
        <v>0.5</v>
      </c>
      <c r="H5666" s="1352"/>
      <c r="I5666" s="1187">
        <f t="shared" si="201"/>
        <v>9</v>
      </c>
      <c r="J5666" s="394"/>
      <c r="K5666" s="1233"/>
      <c r="L5666" s="431"/>
      <c r="M5666" s="431"/>
      <c r="N5666" s="431"/>
    </row>
    <row r="5667" spans="1:14" s="398" customFormat="1">
      <c r="A5667" s="1232"/>
      <c r="B5667" s="311" t="s">
        <v>1354</v>
      </c>
      <c r="C5667" s="165"/>
      <c r="D5667" s="392"/>
      <c r="E5667" s="392"/>
      <c r="F5667" s="1352"/>
      <c r="G5667" s="1352"/>
      <c r="H5667" s="1352"/>
      <c r="I5667" s="1187" t="str">
        <f t="shared" si="201"/>
        <v/>
      </c>
      <c r="J5667" s="394"/>
      <c r="K5667" s="1233"/>
      <c r="L5667" s="431"/>
      <c r="M5667" s="431"/>
      <c r="N5667" s="431"/>
    </row>
    <row r="5668" spans="1:14" s="398" customFormat="1">
      <c r="A5668" s="1232"/>
      <c r="B5668" s="311" t="s">
        <v>1353</v>
      </c>
      <c r="C5668" s="165" t="s">
        <v>1</v>
      </c>
      <c r="D5668" s="392">
        <v>7</v>
      </c>
      <c r="E5668" s="392">
        <v>1</v>
      </c>
      <c r="F5668" s="1352">
        <v>3</v>
      </c>
      <c r="G5668" s="1352">
        <v>0.5</v>
      </c>
      <c r="H5668" s="1352"/>
      <c r="I5668" s="1187">
        <f t="shared" si="201"/>
        <v>10.5</v>
      </c>
      <c r="J5668" s="394"/>
      <c r="K5668" s="1233"/>
      <c r="L5668" s="431"/>
      <c r="M5668" s="431"/>
      <c r="N5668" s="431"/>
    </row>
    <row r="5669" spans="1:14" s="398" customFormat="1">
      <c r="A5669" s="1232"/>
      <c r="B5669" s="311" t="s">
        <v>1355</v>
      </c>
      <c r="C5669" s="165"/>
      <c r="D5669" s="392"/>
      <c r="E5669" s="392"/>
      <c r="F5669" s="1352"/>
      <c r="G5669" s="1352"/>
      <c r="H5669" s="1352"/>
      <c r="I5669" s="1187" t="str">
        <f t="shared" si="201"/>
        <v/>
      </c>
      <c r="J5669" s="394"/>
      <c r="K5669" s="1233"/>
      <c r="L5669" s="431"/>
      <c r="M5669" s="431"/>
      <c r="N5669" s="431"/>
    </row>
    <row r="5670" spans="1:14" s="398" customFormat="1">
      <c r="A5670" s="1232"/>
      <c r="B5670" s="311" t="s">
        <v>1353</v>
      </c>
      <c r="C5670" s="165" t="s">
        <v>1</v>
      </c>
      <c r="D5670" s="392">
        <v>6</v>
      </c>
      <c r="E5670" s="392">
        <v>1</v>
      </c>
      <c r="F5670" s="1352">
        <v>3</v>
      </c>
      <c r="G5670" s="1352">
        <v>0.5</v>
      </c>
      <c r="H5670" s="1352"/>
      <c r="I5670" s="1187">
        <f t="shared" si="201"/>
        <v>9</v>
      </c>
      <c r="J5670" s="394"/>
      <c r="K5670" s="1233"/>
      <c r="L5670" s="431"/>
      <c r="M5670" s="431"/>
      <c r="N5670" s="431"/>
    </row>
    <row r="5671" spans="1:14" s="398" customFormat="1">
      <c r="A5671" s="1232"/>
      <c r="B5671" s="311" t="s">
        <v>1356</v>
      </c>
      <c r="C5671" s="165"/>
      <c r="D5671" s="392"/>
      <c r="E5671" s="392"/>
      <c r="F5671" s="1352"/>
      <c r="G5671" s="1352"/>
      <c r="H5671" s="1352"/>
      <c r="I5671" s="1187" t="str">
        <f t="shared" si="201"/>
        <v/>
      </c>
      <c r="J5671" s="394"/>
      <c r="K5671" s="1233"/>
      <c r="L5671" s="431"/>
      <c r="M5671" s="431"/>
      <c r="N5671" s="431"/>
    </row>
    <row r="5672" spans="1:14" s="398" customFormat="1">
      <c r="A5672" s="1232"/>
      <c r="B5672" s="311" t="s">
        <v>1353</v>
      </c>
      <c r="C5672" s="165" t="s">
        <v>1</v>
      </c>
      <c r="D5672" s="392">
        <v>4</v>
      </c>
      <c r="E5672" s="392">
        <v>1</v>
      </c>
      <c r="F5672" s="1352">
        <v>3</v>
      </c>
      <c r="G5672" s="1352">
        <v>0.5</v>
      </c>
      <c r="H5672" s="1352"/>
      <c r="I5672" s="1187">
        <f t="shared" si="201"/>
        <v>6</v>
      </c>
      <c r="J5672" s="394"/>
      <c r="K5672" s="1233"/>
      <c r="L5672" s="431"/>
      <c r="M5672" s="431"/>
      <c r="N5672" s="431"/>
    </row>
    <row r="5673" spans="1:14" s="398" customFormat="1">
      <c r="A5673" s="1232"/>
      <c r="B5673" s="311" t="s">
        <v>1357</v>
      </c>
      <c r="C5673" s="165"/>
      <c r="D5673" s="392"/>
      <c r="E5673" s="392"/>
      <c r="F5673" s="1352"/>
      <c r="G5673" s="1352"/>
      <c r="H5673" s="1352"/>
      <c r="I5673" s="1187" t="str">
        <f t="shared" si="201"/>
        <v/>
      </c>
      <c r="J5673" s="394"/>
      <c r="K5673" s="1233"/>
      <c r="L5673" s="431"/>
      <c r="M5673" s="431"/>
      <c r="N5673" s="431"/>
    </row>
    <row r="5674" spans="1:14" s="398" customFormat="1">
      <c r="A5674" s="1232"/>
      <c r="B5674" s="311" t="s">
        <v>1353</v>
      </c>
      <c r="C5674" s="165" t="s">
        <v>1</v>
      </c>
      <c r="D5674" s="392">
        <v>4</v>
      </c>
      <c r="E5674" s="392">
        <v>1</v>
      </c>
      <c r="F5674" s="1352">
        <v>3</v>
      </c>
      <c r="G5674" s="1352">
        <v>0.5</v>
      </c>
      <c r="H5674" s="1352"/>
      <c r="I5674" s="1187">
        <f t="shared" si="201"/>
        <v>6</v>
      </c>
      <c r="J5674" s="394"/>
      <c r="K5674" s="1233"/>
      <c r="L5674" s="431"/>
      <c r="M5674" s="431"/>
      <c r="N5674" s="431"/>
    </row>
    <row r="5675" spans="1:14" s="398" customFormat="1" ht="34.5">
      <c r="A5675" s="1232"/>
      <c r="B5675" s="311" t="s">
        <v>1358</v>
      </c>
      <c r="C5675" s="165"/>
      <c r="D5675" s="392"/>
      <c r="E5675" s="392"/>
      <c r="F5675" s="1352"/>
      <c r="G5675" s="1352"/>
      <c r="H5675" s="1352"/>
      <c r="I5675" s="1187" t="str">
        <f t="shared" si="201"/>
        <v/>
      </c>
      <c r="J5675" s="394"/>
      <c r="K5675" s="1233"/>
      <c r="L5675" s="431"/>
      <c r="M5675" s="431"/>
      <c r="N5675" s="431"/>
    </row>
    <row r="5676" spans="1:14" s="398" customFormat="1">
      <c r="A5676" s="1232"/>
      <c r="B5676" s="311" t="s">
        <v>1353</v>
      </c>
      <c r="C5676" s="165" t="s">
        <v>1</v>
      </c>
      <c r="D5676" s="392">
        <v>8</v>
      </c>
      <c r="E5676" s="392">
        <v>1</v>
      </c>
      <c r="F5676" s="1352">
        <v>3</v>
      </c>
      <c r="G5676" s="1352">
        <v>0.5</v>
      </c>
      <c r="H5676" s="1352"/>
      <c r="I5676" s="1187">
        <f t="shared" si="201"/>
        <v>12</v>
      </c>
      <c r="J5676" s="394"/>
      <c r="K5676" s="1233"/>
      <c r="L5676" s="431"/>
      <c r="M5676" s="431"/>
      <c r="N5676" s="431"/>
    </row>
    <row r="5677" spans="1:14" s="398" customFormat="1" ht="34.5">
      <c r="A5677" s="1232"/>
      <c r="B5677" s="311" t="s">
        <v>1359</v>
      </c>
      <c r="C5677" s="165"/>
      <c r="D5677" s="392"/>
      <c r="E5677" s="392"/>
      <c r="F5677" s="1352"/>
      <c r="G5677" s="1352"/>
      <c r="H5677" s="1352"/>
      <c r="I5677" s="1187" t="str">
        <f t="shared" si="201"/>
        <v/>
      </c>
      <c r="J5677" s="394"/>
      <c r="K5677" s="1233"/>
      <c r="L5677" s="431"/>
      <c r="M5677" s="431"/>
      <c r="N5677" s="431"/>
    </row>
    <row r="5678" spans="1:14" s="398" customFormat="1">
      <c r="A5678" s="1232"/>
      <c r="B5678" s="311" t="s">
        <v>1353</v>
      </c>
      <c r="C5678" s="165" t="s">
        <v>1</v>
      </c>
      <c r="D5678" s="392">
        <v>4</v>
      </c>
      <c r="E5678" s="392">
        <v>1</v>
      </c>
      <c r="F5678" s="1352">
        <v>3</v>
      </c>
      <c r="G5678" s="1352">
        <v>0.5</v>
      </c>
      <c r="H5678" s="1352"/>
      <c r="I5678" s="1187">
        <f t="shared" si="201"/>
        <v>6</v>
      </c>
      <c r="J5678" s="394"/>
      <c r="K5678" s="1233"/>
      <c r="L5678" s="431"/>
      <c r="M5678" s="431"/>
      <c r="N5678" s="431"/>
    </row>
    <row r="5679" spans="1:14" s="398" customFormat="1">
      <c r="A5679" s="1232"/>
      <c r="B5679" s="311" t="s">
        <v>1360</v>
      </c>
      <c r="C5679" s="165"/>
      <c r="D5679" s="392"/>
      <c r="E5679" s="392"/>
      <c r="F5679" s="1352"/>
      <c r="G5679" s="1352"/>
      <c r="H5679" s="1352"/>
      <c r="I5679" s="1187" t="str">
        <f t="shared" si="201"/>
        <v/>
      </c>
      <c r="J5679" s="394"/>
      <c r="K5679" s="1233"/>
      <c r="L5679" s="431"/>
      <c r="M5679" s="431"/>
      <c r="N5679" s="431"/>
    </row>
    <row r="5680" spans="1:14" s="398" customFormat="1">
      <c r="A5680" s="1232"/>
      <c r="B5680" s="311" t="s">
        <v>1353</v>
      </c>
      <c r="C5680" s="165" t="s">
        <v>1</v>
      </c>
      <c r="D5680" s="392">
        <v>8</v>
      </c>
      <c r="E5680" s="392">
        <v>1</v>
      </c>
      <c r="F5680" s="1352">
        <v>3</v>
      </c>
      <c r="G5680" s="1352">
        <v>0.5</v>
      </c>
      <c r="H5680" s="1352"/>
      <c r="I5680" s="1187">
        <f t="shared" si="201"/>
        <v>12</v>
      </c>
      <c r="J5680" s="394"/>
      <c r="K5680" s="1233"/>
      <c r="L5680" s="431"/>
      <c r="M5680" s="431"/>
      <c r="N5680" s="431"/>
    </row>
    <row r="5681" spans="1:14" s="398" customFormat="1" ht="34.5">
      <c r="A5681" s="1232"/>
      <c r="B5681" s="311" t="s">
        <v>1361</v>
      </c>
      <c r="C5681" s="165"/>
      <c r="D5681" s="392"/>
      <c r="E5681" s="392"/>
      <c r="F5681" s="1352"/>
      <c r="G5681" s="1352"/>
      <c r="H5681" s="1352"/>
      <c r="I5681" s="1187" t="str">
        <f t="shared" si="201"/>
        <v/>
      </c>
      <c r="J5681" s="394"/>
      <c r="K5681" s="1233"/>
      <c r="L5681" s="431"/>
      <c r="M5681" s="431"/>
      <c r="N5681" s="431"/>
    </row>
    <row r="5682" spans="1:14" s="398" customFormat="1">
      <c r="A5682" s="1232"/>
      <c r="B5682" s="311" t="s">
        <v>1353</v>
      </c>
      <c r="C5682" s="165" t="s">
        <v>1</v>
      </c>
      <c r="D5682" s="438">
        <v>11</v>
      </c>
      <c r="E5682" s="392">
        <v>1</v>
      </c>
      <c r="F5682" s="1352">
        <v>3</v>
      </c>
      <c r="G5682" s="1352">
        <v>0.5</v>
      </c>
      <c r="H5682" s="1352"/>
      <c r="I5682" s="1187">
        <f t="shared" si="201"/>
        <v>16.5</v>
      </c>
      <c r="J5682" s="394"/>
      <c r="K5682" s="1233"/>
      <c r="L5682" s="431"/>
      <c r="M5682" s="431"/>
      <c r="N5682" s="431"/>
    </row>
    <row r="5683" spans="1:14" s="398" customFormat="1">
      <c r="A5683" s="1232"/>
      <c r="B5683" s="311"/>
      <c r="C5683" s="165" t="s">
        <v>1</v>
      </c>
      <c r="D5683" s="392"/>
      <c r="E5683" s="392"/>
      <c r="F5683" s="1352"/>
      <c r="G5683" s="1352"/>
      <c r="H5683" s="1352"/>
      <c r="I5683" s="938" t="str">
        <f t="shared" ref="I5683:I5685" si="202">IF(D5683&lt;&gt;0,ROUND(PRODUCT(E5683:H5683)*D5683,2),"")</f>
        <v/>
      </c>
      <c r="J5683" s="394"/>
      <c r="K5683" s="1233"/>
      <c r="L5683" s="431"/>
      <c r="M5683" s="431"/>
      <c r="N5683" s="431"/>
    </row>
    <row r="5684" spans="1:14" s="398" customFormat="1">
      <c r="A5684" s="1232"/>
      <c r="B5684" s="311"/>
      <c r="C5684" s="165" t="s">
        <v>1</v>
      </c>
      <c r="D5684" s="392"/>
      <c r="E5684" s="392"/>
      <c r="F5684" s="1352"/>
      <c r="G5684" s="1352"/>
      <c r="H5684" s="1352"/>
      <c r="I5684" s="938" t="str">
        <f t="shared" si="202"/>
        <v/>
      </c>
      <c r="J5684" s="394"/>
      <c r="K5684" s="1233"/>
      <c r="L5684" s="431"/>
      <c r="M5684" s="431"/>
      <c r="N5684" s="431"/>
    </row>
    <row r="5685" spans="1:14" s="398" customFormat="1">
      <c r="A5685" s="1232"/>
      <c r="B5685" s="311"/>
      <c r="C5685" s="165" t="s">
        <v>1</v>
      </c>
      <c r="D5685" s="392"/>
      <c r="E5685" s="392"/>
      <c r="F5685" s="1352"/>
      <c r="G5685" s="1352"/>
      <c r="H5685" s="1352"/>
      <c r="I5685" s="938" t="str">
        <f t="shared" si="202"/>
        <v/>
      </c>
      <c r="J5685" s="394"/>
      <c r="K5685" s="1233"/>
      <c r="L5685" s="431"/>
      <c r="M5685" s="431"/>
      <c r="N5685" s="431"/>
    </row>
    <row r="5686" spans="1:14" s="398" customFormat="1">
      <c r="A5686" s="1248"/>
      <c r="B5686" s="161" t="s">
        <v>928</v>
      </c>
      <c r="C5686" s="388" t="s">
        <v>1</v>
      </c>
      <c r="D5686" s="392"/>
      <c r="E5686" s="165"/>
      <c r="F5686" s="401"/>
      <c r="G5686" s="401"/>
      <c r="H5686" s="401"/>
      <c r="I5686" s="938" t="str">
        <f t="shared" ref="I5686:I5687" si="203">IF(D5686&lt;&gt;0,ROUND(PRODUCT(E5686:H5686)*D5686,2),"")</f>
        <v/>
      </c>
      <c r="J5686" s="403">
        <f>SUM(I5529:I5685)</f>
        <v>582.18000000000006</v>
      </c>
      <c r="K5686" s="1277" t="s">
        <v>1690</v>
      </c>
      <c r="L5686" s="431"/>
      <c r="M5686" s="431"/>
      <c r="N5686" s="431"/>
    </row>
    <row r="5687" spans="1:14">
      <c r="A5687" s="1248"/>
      <c r="B5687" s="311"/>
      <c r="C5687" s="165"/>
      <c r="D5687" s="392"/>
      <c r="E5687" s="165"/>
      <c r="F5687" s="401"/>
      <c r="G5687" s="401"/>
      <c r="H5687" s="401"/>
      <c r="I5687" s="938" t="str">
        <f t="shared" si="203"/>
        <v/>
      </c>
      <c r="J5687" s="432">
        <f>SUM(J5528:J5686)</f>
        <v>8881.6599999999908</v>
      </c>
      <c r="K5687" s="1289"/>
    </row>
    <row r="5688" spans="1:14">
      <c r="A5688" s="1219">
        <v>2.2000000000000002</v>
      </c>
      <c r="B5688" s="768" t="s">
        <v>1428</v>
      </c>
      <c r="C5688" s="422"/>
      <c r="D5688" s="436"/>
      <c r="E5688" s="436"/>
      <c r="F5688" s="1359"/>
      <c r="G5688" s="1359"/>
      <c r="H5688" s="1359"/>
      <c r="I5688" s="1172"/>
      <c r="J5688" s="423"/>
      <c r="K5688" s="1220"/>
    </row>
    <row r="5689" spans="1:14" s="858" customFormat="1" ht="34.5" hidden="1" outlineLevel="1">
      <c r="A5689" s="1287"/>
      <c r="B5689" s="855" t="s">
        <v>1429</v>
      </c>
      <c r="C5689" s="854"/>
      <c r="D5689" s="878"/>
      <c r="E5689" s="854"/>
      <c r="F5689" s="859"/>
      <c r="G5689" s="859"/>
      <c r="H5689" s="859"/>
      <c r="I5689" s="1152" t="str">
        <f t="shared" ref="I5689:I5700" si="204">IF(D5689&lt;&gt;0,ROUND(PRODUCT(E5689:H5689)*D5689,2),"")</f>
        <v/>
      </c>
      <c r="J5689" s="894"/>
      <c r="K5689" s="1304"/>
      <c r="L5689" s="875"/>
      <c r="M5689" s="875"/>
      <c r="N5689" s="875"/>
    </row>
    <row r="5690" spans="1:14" s="858" customFormat="1" hidden="1" outlineLevel="1">
      <c r="A5690" s="1287"/>
      <c r="B5690" s="855"/>
      <c r="C5690" s="854" t="s">
        <v>1</v>
      </c>
      <c r="D5690" s="878">
        <v>1</v>
      </c>
      <c r="E5690" s="854">
        <v>2</v>
      </c>
      <c r="F5690" s="859">
        <v>8.3000000000000007</v>
      </c>
      <c r="G5690" s="859">
        <v>0.8</v>
      </c>
      <c r="H5690" s="859"/>
      <c r="I5690" s="1187">
        <f t="shared" si="204"/>
        <v>13.28</v>
      </c>
      <c r="J5690" s="894"/>
      <c r="K5690" s="1304"/>
      <c r="L5690" s="875"/>
      <c r="M5690" s="875"/>
      <c r="N5690" s="875"/>
    </row>
    <row r="5691" spans="1:14" s="858" customFormat="1" hidden="1" outlineLevel="1">
      <c r="A5691" s="1287"/>
      <c r="B5691" s="855"/>
      <c r="C5691" s="854" t="s">
        <v>1</v>
      </c>
      <c r="D5691" s="878">
        <v>1</v>
      </c>
      <c r="E5691" s="854">
        <v>3</v>
      </c>
      <c r="F5691" s="859">
        <v>11.3</v>
      </c>
      <c r="G5691" s="859">
        <v>0.8</v>
      </c>
      <c r="H5691" s="859"/>
      <c r="I5691" s="1187">
        <f t="shared" si="204"/>
        <v>27.12</v>
      </c>
      <c r="J5691" s="894"/>
      <c r="K5691" s="1304"/>
      <c r="L5691" s="875"/>
      <c r="M5691" s="875"/>
      <c r="N5691" s="875"/>
    </row>
    <row r="5692" spans="1:14" s="858" customFormat="1" ht="34.5" hidden="1" outlineLevel="1">
      <c r="A5692" s="1287"/>
      <c r="B5692" s="855" t="s">
        <v>1430</v>
      </c>
      <c r="C5692" s="854"/>
      <c r="D5692" s="878"/>
      <c r="E5692" s="854"/>
      <c r="F5692" s="859"/>
      <c r="G5692" s="859"/>
      <c r="H5692" s="859"/>
      <c r="I5692" s="1187" t="str">
        <f t="shared" si="204"/>
        <v/>
      </c>
      <c r="J5692" s="894"/>
      <c r="K5692" s="1304"/>
      <c r="L5692" s="875"/>
      <c r="M5692" s="875"/>
      <c r="N5692" s="875"/>
    </row>
    <row r="5693" spans="1:14" s="858" customFormat="1" hidden="1" outlineLevel="1">
      <c r="A5693" s="1287"/>
      <c r="B5693" s="855"/>
      <c r="C5693" s="854" t="s">
        <v>1</v>
      </c>
      <c r="D5693" s="878">
        <v>1</v>
      </c>
      <c r="E5693" s="854">
        <v>2</v>
      </c>
      <c r="F5693" s="859">
        <v>8.3000000000000007</v>
      </c>
      <c r="G5693" s="859">
        <v>0.8</v>
      </c>
      <c r="H5693" s="859"/>
      <c r="I5693" s="1187">
        <f t="shared" si="204"/>
        <v>13.28</v>
      </c>
      <c r="J5693" s="894"/>
      <c r="K5693" s="1304"/>
      <c r="L5693" s="875"/>
      <c r="M5693" s="875"/>
      <c r="N5693" s="875"/>
    </row>
    <row r="5694" spans="1:14" s="858" customFormat="1" hidden="1" outlineLevel="1">
      <c r="A5694" s="1287"/>
      <c r="B5694" s="855"/>
      <c r="C5694" s="854" t="s">
        <v>1</v>
      </c>
      <c r="D5694" s="878">
        <v>1</v>
      </c>
      <c r="E5694" s="854">
        <v>3</v>
      </c>
      <c r="F5694" s="859">
        <v>11.3</v>
      </c>
      <c r="G5694" s="859">
        <v>0.8</v>
      </c>
      <c r="H5694" s="859"/>
      <c r="I5694" s="1187">
        <f t="shared" si="204"/>
        <v>27.12</v>
      </c>
      <c r="J5694" s="894"/>
      <c r="K5694" s="1304"/>
      <c r="L5694" s="875"/>
      <c r="M5694" s="875"/>
      <c r="N5694" s="875"/>
    </row>
    <row r="5695" spans="1:14" s="858" customFormat="1" ht="34.5" hidden="1" outlineLevel="1">
      <c r="A5695" s="1287"/>
      <c r="B5695" s="855" t="s">
        <v>1431</v>
      </c>
      <c r="C5695" s="854"/>
      <c r="D5695" s="878"/>
      <c r="E5695" s="854"/>
      <c r="F5695" s="859"/>
      <c r="G5695" s="859"/>
      <c r="H5695" s="859"/>
      <c r="I5695" s="1187" t="str">
        <f t="shared" si="204"/>
        <v/>
      </c>
      <c r="J5695" s="894"/>
      <c r="K5695" s="1304"/>
      <c r="L5695" s="875"/>
      <c r="M5695" s="875"/>
      <c r="N5695" s="875"/>
    </row>
    <row r="5696" spans="1:14" s="858" customFormat="1" hidden="1" outlineLevel="1">
      <c r="A5696" s="1287"/>
      <c r="B5696" s="855"/>
      <c r="C5696" s="854" t="s">
        <v>1</v>
      </c>
      <c r="D5696" s="878">
        <v>1</v>
      </c>
      <c r="E5696" s="854">
        <v>2</v>
      </c>
      <c r="F5696" s="859">
        <v>8.3000000000000007</v>
      </c>
      <c r="G5696" s="859">
        <v>0.8</v>
      </c>
      <c r="H5696" s="859"/>
      <c r="I5696" s="1187">
        <f t="shared" si="204"/>
        <v>13.28</v>
      </c>
      <c r="J5696" s="894"/>
      <c r="K5696" s="1304"/>
      <c r="L5696" s="875"/>
      <c r="M5696" s="875"/>
      <c r="N5696" s="875"/>
    </row>
    <row r="5697" spans="1:14" s="858" customFormat="1" hidden="1" outlineLevel="1">
      <c r="A5697" s="1287"/>
      <c r="B5697" s="855"/>
      <c r="C5697" s="854" t="s">
        <v>1</v>
      </c>
      <c r="D5697" s="878">
        <v>1</v>
      </c>
      <c r="E5697" s="854">
        <v>3</v>
      </c>
      <c r="F5697" s="859">
        <v>11.3</v>
      </c>
      <c r="G5697" s="859">
        <v>0.8</v>
      </c>
      <c r="H5697" s="859"/>
      <c r="I5697" s="1187">
        <f t="shared" si="204"/>
        <v>27.12</v>
      </c>
      <c r="J5697" s="894"/>
      <c r="K5697" s="1304"/>
      <c r="L5697" s="875"/>
      <c r="M5697" s="875"/>
      <c r="N5697" s="875"/>
    </row>
    <row r="5698" spans="1:14" s="858" customFormat="1" ht="34.5" hidden="1" outlineLevel="1">
      <c r="A5698" s="1287"/>
      <c r="B5698" s="855" t="s">
        <v>1432</v>
      </c>
      <c r="C5698" s="854"/>
      <c r="D5698" s="878"/>
      <c r="E5698" s="854"/>
      <c r="F5698" s="859"/>
      <c r="G5698" s="859"/>
      <c r="H5698" s="859"/>
      <c r="I5698" s="1187" t="str">
        <f t="shared" si="204"/>
        <v/>
      </c>
      <c r="J5698" s="894"/>
      <c r="K5698" s="1304"/>
      <c r="L5698" s="875"/>
      <c r="M5698" s="875"/>
      <c r="N5698" s="875"/>
    </row>
    <row r="5699" spans="1:14" s="858" customFormat="1" hidden="1" outlineLevel="1">
      <c r="A5699" s="1287"/>
      <c r="B5699" s="855"/>
      <c r="C5699" s="854" t="s">
        <v>1</v>
      </c>
      <c r="D5699" s="878">
        <v>1</v>
      </c>
      <c r="E5699" s="854">
        <v>2</v>
      </c>
      <c r="F5699" s="859">
        <v>8.3000000000000007</v>
      </c>
      <c r="G5699" s="859">
        <v>0.8</v>
      </c>
      <c r="H5699" s="859"/>
      <c r="I5699" s="1187">
        <f t="shared" si="204"/>
        <v>13.28</v>
      </c>
      <c r="J5699" s="894"/>
      <c r="K5699" s="1304"/>
      <c r="L5699" s="875"/>
      <c r="M5699" s="875"/>
      <c r="N5699" s="875"/>
    </row>
    <row r="5700" spans="1:14" s="858" customFormat="1" hidden="1" outlineLevel="1">
      <c r="A5700" s="1287"/>
      <c r="B5700" s="855"/>
      <c r="C5700" s="854" t="s">
        <v>1</v>
      </c>
      <c r="D5700" s="878">
        <v>1</v>
      </c>
      <c r="E5700" s="854">
        <v>3</v>
      </c>
      <c r="F5700" s="859">
        <v>11.3</v>
      </c>
      <c r="G5700" s="859">
        <v>0.8</v>
      </c>
      <c r="H5700" s="859"/>
      <c r="I5700" s="1187">
        <f t="shared" si="204"/>
        <v>27.12</v>
      </c>
      <c r="J5700" s="894"/>
      <c r="K5700" s="1304"/>
      <c r="L5700" s="875"/>
      <c r="M5700" s="875"/>
      <c r="N5700" s="875"/>
    </row>
    <row r="5701" spans="1:14" collapsed="1">
      <c r="A5701" s="1248"/>
      <c r="B5701" s="669" t="s">
        <v>85</v>
      </c>
      <c r="C5701" s="465" t="s">
        <v>102</v>
      </c>
      <c r="D5701" s="392"/>
      <c r="E5701" s="165"/>
      <c r="F5701" s="401"/>
      <c r="G5701" s="401"/>
      <c r="H5701" s="401"/>
      <c r="I5701" s="938"/>
      <c r="J5701" s="467">
        <f>SUM(I5688:I5701)</f>
        <v>161.6</v>
      </c>
      <c r="K5701" s="1289"/>
    </row>
    <row r="5702" spans="1:14">
      <c r="A5702" s="1248"/>
      <c r="B5702" s="311"/>
      <c r="C5702" s="165" t="s">
        <v>1</v>
      </c>
      <c r="D5702" s="392"/>
      <c r="E5702" s="165"/>
      <c r="F5702" s="401"/>
      <c r="G5702" s="401"/>
      <c r="H5702" s="401"/>
      <c r="I5702" s="938" t="str">
        <f t="shared" ref="I5702:I5703" si="205">IF(D5702&lt;&gt;0,ROUND(PRODUCT(E5702:H5702)*D5702,2),"")</f>
        <v/>
      </c>
      <c r="J5702" s="162"/>
      <c r="K5702" s="1289"/>
    </row>
    <row r="5703" spans="1:14">
      <c r="A5703" s="1248"/>
      <c r="B5703" s="161" t="s">
        <v>928</v>
      </c>
      <c r="C5703" s="388" t="s">
        <v>1</v>
      </c>
      <c r="D5703" s="392"/>
      <c r="E5703" s="165"/>
      <c r="F5703" s="401"/>
      <c r="G5703" s="401"/>
      <c r="H5703" s="401"/>
      <c r="I5703" s="938" t="str">
        <f t="shared" si="205"/>
        <v/>
      </c>
      <c r="J5703" s="403">
        <f>SUM(I5702:I5702)</f>
        <v>0</v>
      </c>
      <c r="K5703" s="1277" t="s">
        <v>1690</v>
      </c>
    </row>
    <row r="5704" spans="1:14">
      <c r="A5704" s="1248"/>
      <c r="B5704" s="311"/>
      <c r="C5704" s="165"/>
      <c r="D5704" s="392"/>
      <c r="E5704" s="165"/>
      <c r="F5704" s="401"/>
      <c r="G5704" s="401"/>
      <c r="H5704" s="401"/>
      <c r="I5704" s="938" t="str">
        <f t="shared" ref="I5704" si="206">IF(D5704&lt;&gt;0,ROUND(PRODUCT(E5704:H5704)*D5704,2),"")</f>
        <v/>
      </c>
      <c r="J5704" s="432">
        <f>SUM(J5701:J5703)</f>
        <v>161.6</v>
      </c>
      <c r="K5704" s="1289"/>
    </row>
    <row r="5705" spans="1:14">
      <c r="A5705" s="1219">
        <v>2.2999999999999998</v>
      </c>
      <c r="B5705" s="768" t="s">
        <v>1434</v>
      </c>
      <c r="C5705" s="422"/>
      <c r="D5705" s="436"/>
      <c r="E5705" s="436"/>
      <c r="F5705" s="1359"/>
      <c r="G5705" s="1359"/>
      <c r="H5705" s="1359"/>
      <c r="I5705" s="1172"/>
      <c r="J5705" s="423"/>
      <c r="K5705" s="1220"/>
    </row>
    <row r="5706" spans="1:14" s="858" customFormat="1" ht="69" hidden="1" outlineLevel="1">
      <c r="A5706" s="1287"/>
      <c r="B5706" s="855" t="s">
        <v>1435</v>
      </c>
      <c r="C5706" s="854" t="s">
        <v>1</v>
      </c>
      <c r="D5706" s="878">
        <v>1</v>
      </c>
      <c r="E5706" s="854">
        <v>1</v>
      </c>
      <c r="F5706" s="863">
        <v>63.209000000000003</v>
      </c>
      <c r="G5706" s="859">
        <v>0.57999999999999996</v>
      </c>
      <c r="H5706" s="859"/>
      <c r="I5706" s="1187">
        <f t="shared" ref="I5706:I5710" si="207">IF(D5706&lt;&gt;0,ROUND(PRODUCT(E5706:H5706)*D5706,2),"")</f>
        <v>36.659999999999997</v>
      </c>
      <c r="J5706" s="894"/>
      <c r="K5706" s="1304"/>
      <c r="L5706" s="875"/>
      <c r="M5706" s="875"/>
      <c r="N5706" s="875"/>
    </row>
    <row r="5707" spans="1:14" collapsed="1">
      <c r="A5707" s="1248"/>
      <c r="B5707" s="669" t="s">
        <v>85</v>
      </c>
      <c r="C5707" s="465" t="s">
        <v>102</v>
      </c>
      <c r="D5707" s="392"/>
      <c r="E5707" s="165"/>
      <c r="F5707" s="401"/>
      <c r="G5707" s="401"/>
      <c r="H5707" s="401"/>
      <c r="I5707" s="1187" t="str">
        <f t="shared" si="207"/>
        <v/>
      </c>
      <c r="J5707" s="467">
        <f>SUM(I5705:I5707)</f>
        <v>36.659999999999997</v>
      </c>
      <c r="K5707" s="1289"/>
    </row>
    <row r="5708" spans="1:14">
      <c r="A5708" s="1248"/>
      <c r="B5708" s="311" t="s">
        <v>1758</v>
      </c>
      <c r="C5708" s="165"/>
      <c r="D5708" s="392"/>
      <c r="E5708" s="165"/>
      <c r="F5708" s="401"/>
      <c r="G5708" s="401"/>
      <c r="H5708" s="401"/>
      <c r="I5708" s="1187" t="str">
        <f t="shared" si="207"/>
        <v/>
      </c>
      <c r="J5708" s="162"/>
      <c r="K5708" s="1289"/>
    </row>
    <row r="5709" spans="1:14" ht="69">
      <c r="A5709" s="1248"/>
      <c r="B5709" s="311" t="s">
        <v>1435</v>
      </c>
      <c r="C5709" s="165" t="s">
        <v>1</v>
      </c>
      <c r="D5709" s="392">
        <v>-1</v>
      </c>
      <c r="E5709" s="165">
        <v>1</v>
      </c>
      <c r="F5709" s="662">
        <v>63.209000000000003</v>
      </c>
      <c r="G5709" s="401">
        <v>0.57999999999999996</v>
      </c>
      <c r="H5709" s="401"/>
      <c r="I5709" s="1187">
        <f t="shared" si="207"/>
        <v>-36.659999999999997</v>
      </c>
      <c r="J5709" s="162"/>
      <c r="K5709" s="1289"/>
    </row>
    <row r="5710" spans="1:14">
      <c r="A5710" s="1248"/>
      <c r="B5710" s="161" t="s">
        <v>1814</v>
      </c>
      <c r="C5710" s="165" t="s">
        <v>1</v>
      </c>
      <c r="D5710" s="392">
        <v>1</v>
      </c>
      <c r="E5710" s="165">
        <v>1</v>
      </c>
      <c r="F5710" s="401">
        <v>64.872399999999999</v>
      </c>
      <c r="G5710" s="401">
        <v>0.57999999999999996</v>
      </c>
      <c r="H5710" s="401"/>
      <c r="I5710" s="1187">
        <f t="shared" si="207"/>
        <v>37.630000000000003</v>
      </c>
      <c r="J5710" s="162"/>
      <c r="K5710" s="1289"/>
    </row>
    <row r="5711" spans="1:14">
      <c r="A5711" s="1248"/>
      <c r="B5711" s="311"/>
      <c r="C5711" s="165"/>
      <c r="D5711" s="392"/>
      <c r="E5711" s="165"/>
      <c r="F5711" s="401"/>
      <c r="G5711" s="401"/>
      <c r="H5711" s="401"/>
      <c r="I5711" s="938" t="str">
        <f t="shared" ref="I5711:I5713" si="208">IF(D5711&lt;&gt;0,ROUND(PRODUCT(E5711:H5711)*D5711,2),"")</f>
        <v/>
      </c>
      <c r="J5711" s="162"/>
      <c r="K5711" s="1289"/>
    </row>
    <row r="5712" spans="1:14">
      <c r="A5712" s="1248"/>
      <c r="B5712" s="311"/>
      <c r="C5712" s="165"/>
      <c r="D5712" s="392"/>
      <c r="E5712" s="165"/>
      <c r="F5712" s="401"/>
      <c r="G5712" s="401"/>
      <c r="H5712" s="401"/>
      <c r="I5712" s="938" t="str">
        <f t="shared" si="208"/>
        <v/>
      </c>
      <c r="J5712" s="162"/>
      <c r="K5712" s="1289"/>
    </row>
    <row r="5713" spans="1:14">
      <c r="A5713" s="1248"/>
      <c r="B5713" s="311"/>
      <c r="C5713" s="165"/>
      <c r="D5713" s="392"/>
      <c r="E5713" s="165"/>
      <c r="F5713" s="401"/>
      <c r="G5713" s="401"/>
      <c r="H5713" s="401"/>
      <c r="I5713" s="938" t="str">
        <f t="shared" si="208"/>
        <v/>
      </c>
      <c r="J5713" s="162"/>
      <c r="K5713" s="1289"/>
    </row>
    <row r="5714" spans="1:14">
      <c r="A5714" s="1248"/>
      <c r="B5714" s="161" t="s">
        <v>928</v>
      </c>
      <c r="C5714" s="388" t="s">
        <v>1</v>
      </c>
      <c r="D5714" s="392"/>
      <c r="E5714" s="165"/>
      <c r="F5714" s="401"/>
      <c r="G5714" s="401"/>
      <c r="H5714" s="401"/>
      <c r="I5714" s="938" t="str">
        <f t="shared" ref="I5714:I5715" si="209">IF(D5714&lt;&gt;0,ROUND(PRODUCT(E5714:H5714)*D5714,2),"")</f>
        <v/>
      </c>
      <c r="J5714" s="403">
        <f>SUM(I5708:I5714)</f>
        <v>0.97000000000000597</v>
      </c>
      <c r="K5714" s="1277" t="s">
        <v>1690</v>
      </c>
    </row>
    <row r="5715" spans="1:14">
      <c r="A5715" s="1248"/>
      <c r="B5715" s="311"/>
      <c r="C5715" s="165"/>
      <c r="D5715" s="392"/>
      <c r="E5715" s="165"/>
      <c r="F5715" s="401"/>
      <c r="G5715" s="401"/>
      <c r="H5715" s="401"/>
      <c r="I5715" s="938" t="str">
        <f t="shared" si="209"/>
        <v/>
      </c>
      <c r="J5715" s="432">
        <f>SUM(J5707:J5714)</f>
        <v>37.630000000000003</v>
      </c>
      <c r="K5715" s="1289"/>
    </row>
    <row r="5716" spans="1:14">
      <c r="A5716" s="1219">
        <v>2.2999999999999998</v>
      </c>
      <c r="B5716" s="768" t="s">
        <v>1436</v>
      </c>
      <c r="C5716" s="422"/>
      <c r="D5716" s="436"/>
      <c r="E5716" s="436"/>
      <c r="F5716" s="1359"/>
      <c r="G5716" s="1359"/>
      <c r="H5716" s="1359"/>
      <c r="I5716" s="1172"/>
      <c r="J5716" s="423"/>
      <c r="K5716" s="1220"/>
    </row>
    <row r="5717" spans="1:14" s="858" customFormat="1" ht="34.5" hidden="1" outlineLevel="1">
      <c r="A5717" s="1287"/>
      <c r="B5717" s="855" t="s">
        <v>1437</v>
      </c>
      <c r="C5717" s="1411" t="s">
        <v>1</v>
      </c>
      <c r="D5717" s="878">
        <v>1</v>
      </c>
      <c r="E5717" s="854">
        <v>1</v>
      </c>
      <c r="F5717" s="859">
        <f>3.14*10.06^2</f>
        <v>317.77930400000002</v>
      </c>
      <c r="G5717" s="859"/>
      <c r="H5717" s="859"/>
      <c r="I5717" s="1187">
        <f t="shared" ref="I5717:I5724" si="210">IF(D5717&lt;&gt;0,ROUND(PRODUCT(E5717:H5717)*D5717,2),"")</f>
        <v>317.77999999999997</v>
      </c>
      <c r="J5717" s="894"/>
      <c r="K5717" s="1304"/>
      <c r="L5717" s="875"/>
      <c r="M5717" s="875"/>
      <c r="N5717" s="875"/>
    </row>
    <row r="5718" spans="1:14" s="858" customFormat="1" hidden="1" outlineLevel="1">
      <c r="A5718" s="1287"/>
      <c r="B5718" s="855" t="s">
        <v>1438</v>
      </c>
      <c r="C5718" s="1411" t="s">
        <v>1</v>
      </c>
      <c r="D5718" s="878">
        <v>1</v>
      </c>
      <c r="E5718" s="854">
        <v>1</v>
      </c>
      <c r="F5718" s="859">
        <f>3.14*20.12</f>
        <v>63.176800000000007</v>
      </c>
      <c r="G5718" s="859"/>
      <c r="H5718" s="859">
        <f>0.25+0.5-0.04</f>
        <v>0.71</v>
      </c>
      <c r="I5718" s="1187">
        <f t="shared" si="210"/>
        <v>44.86</v>
      </c>
      <c r="J5718" s="894"/>
      <c r="K5718" s="1304"/>
      <c r="L5718" s="875"/>
      <c r="M5718" s="875"/>
      <c r="N5718" s="875"/>
    </row>
    <row r="5719" spans="1:14" s="858" customFormat="1" ht="34.5" hidden="1" outlineLevel="1">
      <c r="A5719" s="1287"/>
      <c r="B5719" s="855" t="s">
        <v>1439</v>
      </c>
      <c r="C5719" s="1411" t="s">
        <v>1</v>
      </c>
      <c r="D5719" s="878">
        <v>1</v>
      </c>
      <c r="E5719" s="854">
        <v>1</v>
      </c>
      <c r="F5719" s="859">
        <f>3.14*(20.12+0.5*2+0.04*2)</f>
        <v>66.567999999999998</v>
      </c>
      <c r="G5719" s="859"/>
      <c r="H5719" s="859">
        <f>0.5-0.05-0.04</f>
        <v>0.41000000000000003</v>
      </c>
      <c r="I5719" s="1187">
        <f t="shared" si="210"/>
        <v>27.29</v>
      </c>
      <c r="J5719" s="894"/>
      <c r="K5719" s="1304"/>
      <c r="L5719" s="875"/>
      <c r="M5719" s="875"/>
      <c r="N5719" s="875"/>
    </row>
    <row r="5720" spans="1:14" collapsed="1">
      <c r="A5720" s="1248"/>
      <c r="B5720" s="669" t="s">
        <v>85</v>
      </c>
      <c r="C5720" s="465" t="s">
        <v>102</v>
      </c>
      <c r="D5720" s="392"/>
      <c r="E5720" s="165"/>
      <c r="F5720" s="401"/>
      <c r="G5720" s="401"/>
      <c r="H5720" s="401"/>
      <c r="I5720" s="1187" t="str">
        <f t="shared" si="210"/>
        <v/>
      </c>
      <c r="J5720" s="467">
        <f>SUM(I5716:I5720)</f>
        <v>389.93</v>
      </c>
      <c r="K5720" s="1289"/>
    </row>
    <row r="5721" spans="1:14">
      <c r="A5721" s="1248"/>
      <c r="B5721" s="311"/>
      <c r="C5721" s="1412" t="s">
        <v>1</v>
      </c>
      <c r="D5721" s="392"/>
      <c r="E5721" s="165"/>
      <c r="F5721" s="401"/>
      <c r="G5721" s="401"/>
      <c r="H5721" s="401"/>
      <c r="I5721" s="1187" t="str">
        <f t="shared" si="210"/>
        <v/>
      </c>
      <c r="J5721" s="162"/>
      <c r="K5721" s="1289"/>
    </row>
    <row r="5722" spans="1:14" ht="34.5">
      <c r="A5722" s="1248"/>
      <c r="B5722" s="311" t="s">
        <v>1815</v>
      </c>
      <c r="C5722" s="1412" t="s">
        <v>1</v>
      </c>
      <c r="D5722" s="392">
        <v>2</v>
      </c>
      <c r="E5722" s="165">
        <v>1</v>
      </c>
      <c r="F5722" s="401">
        <v>3.7679999999999998</v>
      </c>
      <c r="G5722" s="401"/>
      <c r="H5722" s="1110">
        <v>0.7</v>
      </c>
      <c r="I5722" s="1187">
        <f t="shared" si="210"/>
        <v>5.28</v>
      </c>
      <c r="J5722" s="162"/>
      <c r="K5722" s="1289"/>
    </row>
    <row r="5723" spans="1:14">
      <c r="A5723" s="1248"/>
      <c r="B5723" s="311" t="s">
        <v>1816</v>
      </c>
      <c r="C5723" s="1412" t="s">
        <v>1</v>
      </c>
      <c r="D5723" s="392">
        <v>2</v>
      </c>
      <c r="E5723" s="165">
        <v>1</v>
      </c>
      <c r="F5723" s="401">
        <v>1.1304000000000001</v>
      </c>
      <c r="G5723" s="401"/>
      <c r="H5723" s="401"/>
      <c r="I5723" s="1187">
        <f t="shared" si="210"/>
        <v>2.2599999999999998</v>
      </c>
      <c r="J5723" s="162"/>
      <c r="K5723" s="1289" t="s">
        <v>860</v>
      </c>
    </row>
    <row r="5724" spans="1:14">
      <c r="A5724" s="1248"/>
      <c r="B5724" s="311" t="s">
        <v>684</v>
      </c>
      <c r="C5724" s="1412" t="s">
        <v>1</v>
      </c>
      <c r="D5724" s="392">
        <v>-1</v>
      </c>
      <c r="E5724" s="165">
        <v>2</v>
      </c>
      <c r="F5724" s="401">
        <v>0.28260000000000002</v>
      </c>
      <c r="G5724" s="401"/>
      <c r="H5724" s="401"/>
      <c r="I5724" s="1187">
        <f t="shared" si="210"/>
        <v>-0.56999999999999995</v>
      </c>
      <c r="J5724" s="162"/>
      <c r="K5724" s="1289" t="s">
        <v>860</v>
      </c>
    </row>
    <row r="5725" spans="1:14">
      <c r="A5725" s="1248"/>
      <c r="B5725" s="311"/>
      <c r="C5725" s="1412" t="s">
        <v>1</v>
      </c>
      <c r="D5725" s="392"/>
      <c r="E5725" s="165"/>
      <c r="F5725" s="401"/>
      <c r="G5725" s="401"/>
      <c r="H5725" s="401"/>
      <c r="I5725" s="938" t="str">
        <f t="shared" ref="I5725:I5726" si="211">IF(D5725&lt;&gt;0,ROUND(PRODUCT(E5725:H5725)*D5725,2),"")</f>
        <v/>
      </c>
      <c r="J5725" s="162"/>
      <c r="K5725" s="1289"/>
    </row>
    <row r="5726" spans="1:14">
      <c r="A5726" s="1248"/>
      <c r="B5726" s="311"/>
      <c r="C5726" s="1412" t="s">
        <v>1</v>
      </c>
      <c r="D5726" s="392"/>
      <c r="E5726" s="165"/>
      <c r="F5726" s="401"/>
      <c r="G5726" s="401"/>
      <c r="H5726" s="401"/>
      <c r="I5726" s="938" t="str">
        <f t="shared" si="211"/>
        <v/>
      </c>
      <c r="J5726" s="162"/>
      <c r="K5726" s="1289"/>
    </row>
    <row r="5727" spans="1:14">
      <c r="A5727" s="1248"/>
      <c r="B5727" s="161" t="s">
        <v>928</v>
      </c>
      <c r="C5727" s="388" t="s">
        <v>1</v>
      </c>
      <c r="D5727" s="392"/>
      <c r="E5727" s="165"/>
      <c r="F5727" s="401"/>
      <c r="G5727" s="401"/>
      <c r="H5727" s="401"/>
      <c r="I5727" s="938" t="str">
        <f t="shared" ref="I5727:I5728" si="212">IF(D5727&lt;&gt;0,ROUND(PRODUCT(E5727:H5727)*D5727,2),"")</f>
        <v/>
      </c>
      <c r="J5727" s="403">
        <f>SUM(I5721:I5726)</f>
        <v>6.97</v>
      </c>
      <c r="K5727" s="1277" t="s">
        <v>1690</v>
      </c>
    </row>
    <row r="5728" spans="1:14">
      <c r="A5728" s="1248"/>
      <c r="B5728" s="311"/>
      <c r="C5728" s="165"/>
      <c r="D5728" s="392"/>
      <c r="E5728" s="165"/>
      <c r="F5728" s="401"/>
      <c r="G5728" s="401"/>
      <c r="H5728" s="401"/>
      <c r="I5728" s="938" t="str">
        <f t="shared" si="212"/>
        <v/>
      </c>
      <c r="J5728" s="432">
        <f>SUM(J5720:J5727)</f>
        <v>396.90000000000003</v>
      </c>
      <c r="K5728" s="1289"/>
    </row>
    <row r="5729" spans="1:14">
      <c r="A5729" s="1219">
        <v>2.5</v>
      </c>
      <c r="B5729" s="768" t="s">
        <v>1443</v>
      </c>
      <c r="C5729" s="422"/>
      <c r="D5729" s="436"/>
      <c r="E5729" s="436"/>
      <c r="F5729" s="1359"/>
      <c r="G5729" s="1359"/>
      <c r="H5729" s="1359"/>
      <c r="I5729" s="1172"/>
      <c r="J5729" s="423"/>
      <c r="K5729" s="1220"/>
    </row>
    <row r="5730" spans="1:14" s="858" customFormat="1" hidden="1" outlineLevel="1">
      <c r="A5730" s="1246">
        <v>1</v>
      </c>
      <c r="B5730" s="855" t="s">
        <v>1444</v>
      </c>
      <c r="C5730" s="854" t="s">
        <v>1</v>
      </c>
      <c r="D5730" s="878">
        <v>97</v>
      </c>
      <c r="E5730" s="854">
        <v>1</v>
      </c>
      <c r="F5730" s="859">
        <f>0.74+0.15</f>
        <v>0.89</v>
      </c>
      <c r="G5730" s="859">
        <f>0.74+0.15</f>
        <v>0.89</v>
      </c>
      <c r="H5730" s="859"/>
      <c r="I5730" s="1187">
        <f t="shared" ref="I5730:I5752" si="213">IF(D5730&lt;&gt;0,ROUND(PRODUCT(E5730:H5730)*D5730,2),"")</f>
        <v>76.83</v>
      </c>
      <c r="J5730" s="894"/>
      <c r="K5730" s="1304"/>
      <c r="L5730" s="875"/>
      <c r="M5730" s="875"/>
      <c r="N5730" s="875"/>
    </row>
    <row r="5731" spans="1:14" s="858" customFormat="1" hidden="1" outlineLevel="1">
      <c r="A5731" s="1246">
        <v>2</v>
      </c>
      <c r="B5731" s="855" t="s">
        <v>1445</v>
      </c>
      <c r="C5731" s="854" t="s">
        <v>1</v>
      </c>
      <c r="D5731" s="878">
        <f>23+4</f>
        <v>27</v>
      </c>
      <c r="E5731" s="854">
        <v>1</v>
      </c>
      <c r="F5731" s="859">
        <f>0.61+0.15</f>
        <v>0.76</v>
      </c>
      <c r="G5731" s="859">
        <f>0.61+0.15</f>
        <v>0.76</v>
      </c>
      <c r="H5731" s="859"/>
      <c r="I5731" s="1187">
        <f t="shared" si="213"/>
        <v>15.6</v>
      </c>
      <c r="J5731" s="894"/>
      <c r="K5731" s="1304"/>
      <c r="L5731" s="875"/>
      <c r="M5731" s="875"/>
      <c r="N5731" s="875"/>
    </row>
    <row r="5732" spans="1:14" s="858" customFormat="1" hidden="1" outlineLevel="1">
      <c r="A5732" s="1246">
        <v>3</v>
      </c>
      <c r="B5732" s="855" t="s">
        <v>1446</v>
      </c>
      <c r="C5732" s="854" t="s">
        <v>1</v>
      </c>
      <c r="D5732" s="878">
        <v>21</v>
      </c>
      <c r="E5732" s="854">
        <v>1</v>
      </c>
      <c r="F5732" s="859">
        <f>0.5+0.15</f>
        <v>0.65</v>
      </c>
      <c r="G5732" s="859">
        <f>0.45+0.15</f>
        <v>0.6</v>
      </c>
      <c r="H5732" s="859"/>
      <c r="I5732" s="1187">
        <f t="shared" si="213"/>
        <v>8.19</v>
      </c>
      <c r="J5732" s="894"/>
      <c r="K5732" s="1304"/>
      <c r="L5732" s="875"/>
      <c r="M5732" s="875"/>
      <c r="N5732" s="875"/>
    </row>
    <row r="5733" spans="1:14" s="858" customFormat="1" hidden="1" outlineLevel="1">
      <c r="A5733" s="1246">
        <v>4</v>
      </c>
      <c r="B5733" s="855" t="s">
        <v>1447</v>
      </c>
      <c r="C5733" s="854" t="s">
        <v>1</v>
      </c>
      <c r="D5733" s="878">
        <v>6</v>
      </c>
      <c r="E5733" s="854">
        <v>1</v>
      </c>
      <c r="F5733" s="859">
        <f>0.9+0.15</f>
        <v>1.05</v>
      </c>
      <c r="G5733" s="859">
        <f>0.8+0.15</f>
        <v>0.95000000000000007</v>
      </c>
      <c r="H5733" s="859"/>
      <c r="I5733" s="1187">
        <f t="shared" si="213"/>
        <v>5.99</v>
      </c>
      <c r="J5733" s="894"/>
      <c r="K5733" s="1304"/>
      <c r="L5733" s="875"/>
      <c r="M5733" s="875"/>
      <c r="N5733" s="875"/>
    </row>
    <row r="5734" spans="1:14" s="858" customFormat="1" hidden="1" outlineLevel="1">
      <c r="A5734" s="1246">
        <v>5</v>
      </c>
      <c r="B5734" s="855" t="s">
        <v>1448</v>
      </c>
      <c r="C5734" s="854" t="s">
        <v>1</v>
      </c>
      <c r="D5734" s="878">
        <f>16+18</f>
        <v>34</v>
      </c>
      <c r="E5734" s="854">
        <v>1</v>
      </c>
      <c r="F5734" s="859">
        <f>0.315+0.15</f>
        <v>0.46499999999999997</v>
      </c>
      <c r="G5734" s="859">
        <f>0.315+0.15</f>
        <v>0.46499999999999997</v>
      </c>
      <c r="H5734" s="859"/>
      <c r="I5734" s="1187">
        <f t="shared" si="213"/>
        <v>7.35</v>
      </c>
      <c r="J5734" s="894"/>
      <c r="K5734" s="1304"/>
      <c r="L5734" s="875"/>
      <c r="M5734" s="875"/>
      <c r="N5734" s="875"/>
    </row>
    <row r="5735" spans="1:14" s="858" customFormat="1" hidden="1" outlineLevel="1">
      <c r="A5735" s="1246">
        <v>6</v>
      </c>
      <c r="B5735" s="855" t="s">
        <v>1449</v>
      </c>
      <c r="C5735" s="854" t="s">
        <v>1</v>
      </c>
      <c r="D5735" s="878">
        <v>3</v>
      </c>
      <c r="E5735" s="854">
        <v>1</v>
      </c>
      <c r="F5735" s="859">
        <f>0.8+0.15</f>
        <v>0.95000000000000007</v>
      </c>
      <c r="G5735" s="859">
        <f>0.9+0.15</f>
        <v>1.05</v>
      </c>
      <c r="H5735" s="859"/>
      <c r="I5735" s="1187">
        <f t="shared" si="213"/>
        <v>2.99</v>
      </c>
      <c r="J5735" s="894"/>
      <c r="K5735" s="1304"/>
      <c r="L5735" s="875"/>
      <c r="M5735" s="875"/>
      <c r="N5735" s="875"/>
    </row>
    <row r="5736" spans="1:14" s="858" customFormat="1" hidden="1" outlineLevel="1">
      <c r="A5736" s="1246">
        <v>7</v>
      </c>
      <c r="B5736" s="855" t="s">
        <v>1450</v>
      </c>
      <c r="C5736" s="854" t="s">
        <v>1</v>
      </c>
      <c r="D5736" s="878">
        <v>1</v>
      </c>
      <c r="E5736" s="854">
        <v>1</v>
      </c>
      <c r="F5736" s="859">
        <f>0.88+0.15</f>
        <v>1.03</v>
      </c>
      <c r="G5736" s="859">
        <f>0.87+0.15</f>
        <v>1.02</v>
      </c>
      <c r="H5736" s="859"/>
      <c r="I5736" s="1187">
        <f t="shared" si="213"/>
        <v>1.05</v>
      </c>
      <c r="J5736" s="894"/>
      <c r="K5736" s="1304"/>
      <c r="L5736" s="875"/>
      <c r="M5736" s="875"/>
      <c r="N5736" s="875"/>
    </row>
    <row r="5737" spans="1:14" s="858" customFormat="1" hidden="1" outlineLevel="1">
      <c r="A5737" s="1246">
        <v>8</v>
      </c>
      <c r="B5737" s="855" t="s">
        <v>1451</v>
      </c>
      <c r="C5737" s="854" t="s">
        <v>1</v>
      </c>
      <c r="D5737" s="878">
        <v>1</v>
      </c>
      <c r="E5737" s="854">
        <v>1</v>
      </c>
      <c r="F5737" s="859">
        <f>0.8+0.15</f>
        <v>0.95000000000000007</v>
      </c>
      <c r="G5737" s="859">
        <f>0.8+0.15</f>
        <v>0.95000000000000007</v>
      </c>
      <c r="H5737" s="859"/>
      <c r="I5737" s="1187">
        <f t="shared" si="213"/>
        <v>0.9</v>
      </c>
      <c r="J5737" s="894"/>
      <c r="K5737" s="1304"/>
      <c r="L5737" s="875"/>
      <c r="M5737" s="875"/>
      <c r="N5737" s="875"/>
    </row>
    <row r="5738" spans="1:14" s="858" customFormat="1" hidden="1" outlineLevel="1">
      <c r="A5738" s="1246">
        <v>9</v>
      </c>
      <c r="B5738" s="855" t="s">
        <v>1452</v>
      </c>
      <c r="C5738" s="854" t="s">
        <v>1</v>
      </c>
      <c r="D5738" s="878">
        <v>5</v>
      </c>
      <c r="E5738" s="854">
        <v>1</v>
      </c>
      <c r="F5738" s="859">
        <f>0.4+0.15</f>
        <v>0.55000000000000004</v>
      </c>
      <c r="G5738" s="859">
        <f>0.5+0.15</f>
        <v>0.65</v>
      </c>
      <c r="H5738" s="859"/>
      <c r="I5738" s="1187">
        <f t="shared" si="213"/>
        <v>1.79</v>
      </c>
      <c r="J5738" s="894"/>
      <c r="K5738" s="1304"/>
      <c r="L5738" s="875"/>
      <c r="M5738" s="875"/>
      <c r="N5738" s="875"/>
    </row>
    <row r="5739" spans="1:14" s="858" customFormat="1" hidden="1" outlineLevel="1">
      <c r="A5739" s="1246">
        <v>10</v>
      </c>
      <c r="B5739" s="855" t="s">
        <v>1453</v>
      </c>
      <c r="C5739" s="854" t="s">
        <v>1</v>
      </c>
      <c r="D5739" s="878">
        <v>7</v>
      </c>
      <c r="E5739" s="854">
        <v>1</v>
      </c>
      <c r="F5739" s="859">
        <f>0.43+0.15</f>
        <v>0.57999999999999996</v>
      </c>
      <c r="G5739" s="859">
        <f>0.47+0.15</f>
        <v>0.62</v>
      </c>
      <c r="H5739" s="859"/>
      <c r="I5739" s="1187">
        <f t="shared" si="213"/>
        <v>2.52</v>
      </c>
      <c r="J5739" s="894"/>
      <c r="K5739" s="1304"/>
      <c r="L5739" s="875"/>
      <c r="M5739" s="875"/>
      <c r="N5739" s="875"/>
    </row>
    <row r="5740" spans="1:14" s="858" customFormat="1" hidden="1" outlineLevel="1">
      <c r="A5740" s="1246">
        <v>11</v>
      </c>
      <c r="B5740" s="855" t="s">
        <v>1454</v>
      </c>
      <c r="C5740" s="854" t="s">
        <v>1</v>
      </c>
      <c r="D5740" s="878">
        <v>4</v>
      </c>
      <c r="E5740" s="854">
        <v>1</v>
      </c>
      <c r="F5740" s="859">
        <f>0.43+0.15</f>
        <v>0.57999999999999996</v>
      </c>
      <c r="G5740" s="859">
        <f>0.43+0.15</f>
        <v>0.57999999999999996</v>
      </c>
      <c r="H5740" s="859"/>
      <c r="I5740" s="1187">
        <f t="shared" si="213"/>
        <v>1.35</v>
      </c>
      <c r="J5740" s="894"/>
      <c r="K5740" s="1304"/>
      <c r="L5740" s="875"/>
      <c r="M5740" s="875"/>
      <c r="N5740" s="875"/>
    </row>
    <row r="5741" spans="1:14" s="858" customFormat="1" hidden="1" outlineLevel="1">
      <c r="A5741" s="1246">
        <v>12</v>
      </c>
      <c r="B5741" s="855" t="s">
        <v>1455</v>
      </c>
      <c r="C5741" s="854" t="s">
        <v>1</v>
      </c>
      <c r="D5741" s="878">
        <v>1</v>
      </c>
      <c r="E5741" s="854">
        <v>1</v>
      </c>
      <c r="F5741" s="859">
        <f>0.57+0.15</f>
        <v>0.72</v>
      </c>
      <c r="G5741" s="859">
        <f>0.57+0.15</f>
        <v>0.72</v>
      </c>
      <c r="H5741" s="859"/>
      <c r="I5741" s="1187">
        <f t="shared" si="213"/>
        <v>0.52</v>
      </c>
      <c r="J5741" s="894"/>
      <c r="K5741" s="1304"/>
      <c r="L5741" s="875"/>
      <c r="M5741" s="875"/>
      <c r="N5741" s="875"/>
    </row>
    <row r="5742" spans="1:14" s="858" customFormat="1" hidden="1" outlineLevel="1">
      <c r="A5742" s="1246">
        <v>13</v>
      </c>
      <c r="B5742" s="855" t="s">
        <v>1456</v>
      </c>
      <c r="C5742" s="854" t="s">
        <v>1</v>
      </c>
      <c r="D5742" s="878">
        <v>2</v>
      </c>
      <c r="E5742" s="854">
        <v>1</v>
      </c>
      <c r="F5742" s="859">
        <f>0.9+0.15</f>
        <v>1.05</v>
      </c>
      <c r="G5742" s="859">
        <f>0.9+0.15</f>
        <v>1.05</v>
      </c>
      <c r="H5742" s="859"/>
      <c r="I5742" s="1187">
        <f t="shared" si="213"/>
        <v>2.21</v>
      </c>
      <c r="J5742" s="894"/>
      <c r="K5742" s="1304"/>
      <c r="L5742" s="875"/>
      <c r="M5742" s="875"/>
      <c r="N5742" s="875"/>
    </row>
    <row r="5743" spans="1:14" collapsed="1">
      <c r="A5743" s="1248"/>
      <c r="B5743" s="669" t="s">
        <v>85</v>
      </c>
      <c r="C5743" s="465" t="s">
        <v>102</v>
      </c>
      <c r="D5743" s="392"/>
      <c r="E5743" s="165"/>
      <c r="F5743" s="401"/>
      <c r="G5743" s="401"/>
      <c r="H5743" s="401"/>
      <c r="I5743" s="1187" t="str">
        <f t="shared" si="213"/>
        <v/>
      </c>
      <c r="J5743" s="467">
        <f>SUM(I5729:I5743)</f>
        <v>127.28999999999996</v>
      </c>
      <c r="K5743" s="1289"/>
    </row>
    <row r="5744" spans="1:14">
      <c r="A5744" s="1232"/>
      <c r="B5744" s="311"/>
      <c r="C5744" s="165" t="s">
        <v>1</v>
      </c>
      <c r="D5744" s="392"/>
      <c r="E5744" s="165"/>
      <c r="F5744" s="401"/>
      <c r="G5744" s="401"/>
      <c r="H5744" s="401"/>
      <c r="I5744" s="1187" t="str">
        <f t="shared" si="213"/>
        <v/>
      </c>
      <c r="J5744" s="162"/>
      <c r="K5744" s="1289"/>
    </row>
    <row r="5745" spans="1:14">
      <c r="A5745" s="1232">
        <v>1</v>
      </c>
      <c r="B5745" s="311" t="s">
        <v>1447</v>
      </c>
      <c r="C5745" s="165" t="s">
        <v>1</v>
      </c>
      <c r="D5745" s="392">
        <v>5</v>
      </c>
      <c r="E5745" s="165">
        <v>1</v>
      </c>
      <c r="F5745" s="401">
        <v>1.05</v>
      </c>
      <c r="G5745" s="401">
        <v>0.95000000000000007</v>
      </c>
      <c r="H5745" s="401"/>
      <c r="I5745" s="1187">
        <f t="shared" si="213"/>
        <v>4.99</v>
      </c>
      <c r="J5745" s="162"/>
      <c r="K5745" s="1289"/>
    </row>
    <row r="5746" spans="1:14">
      <c r="A5746" s="1232">
        <v>2</v>
      </c>
      <c r="B5746" s="311" t="s">
        <v>1818</v>
      </c>
      <c r="C5746" s="165" t="s">
        <v>1</v>
      </c>
      <c r="D5746" s="392">
        <v>2</v>
      </c>
      <c r="E5746" s="165">
        <v>1</v>
      </c>
      <c r="F5746" s="401">
        <v>0.75</v>
      </c>
      <c r="G5746" s="401">
        <v>0.75</v>
      </c>
      <c r="H5746" s="401"/>
      <c r="I5746" s="1187">
        <f t="shared" si="213"/>
        <v>1.1299999999999999</v>
      </c>
      <c r="J5746" s="162"/>
      <c r="K5746" s="1289"/>
    </row>
    <row r="5747" spans="1:14">
      <c r="A5747" s="1232">
        <v>3</v>
      </c>
      <c r="B5747" s="311" t="s">
        <v>1819</v>
      </c>
      <c r="C5747" s="165" t="s">
        <v>1</v>
      </c>
      <c r="D5747" s="392">
        <v>5</v>
      </c>
      <c r="E5747" s="165">
        <v>1</v>
      </c>
      <c r="F5747" s="401">
        <v>1.0999999999999999</v>
      </c>
      <c r="G5747" s="401">
        <v>1.0999999999999999</v>
      </c>
      <c r="H5747" s="401"/>
      <c r="I5747" s="1187">
        <f t="shared" si="213"/>
        <v>6.05</v>
      </c>
      <c r="J5747" s="162"/>
      <c r="K5747" s="1289"/>
    </row>
    <row r="5748" spans="1:14">
      <c r="A5748" s="1232">
        <v>4</v>
      </c>
      <c r="B5748" s="311" t="s">
        <v>1820</v>
      </c>
      <c r="C5748" s="165" t="s">
        <v>1</v>
      </c>
      <c r="D5748" s="392">
        <v>1</v>
      </c>
      <c r="E5748" s="165">
        <v>1</v>
      </c>
      <c r="F5748" s="401">
        <v>1.25</v>
      </c>
      <c r="G5748" s="401">
        <v>1.25</v>
      </c>
      <c r="H5748" s="401"/>
      <c r="I5748" s="1187">
        <f t="shared" si="213"/>
        <v>1.56</v>
      </c>
      <c r="J5748" s="162"/>
      <c r="K5748" s="1289"/>
    </row>
    <row r="5749" spans="1:14">
      <c r="A5749" s="1232">
        <v>5</v>
      </c>
      <c r="B5749" s="311" t="s">
        <v>1822</v>
      </c>
      <c r="C5749" s="165" t="s">
        <v>1</v>
      </c>
      <c r="D5749" s="392">
        <v>2</v>
      </c>
      <c r="E5749" s="165">
        <v>1</v>
      </c>
      <c r="F5749" s="401">
        <v>0.9</v>
      </c>
      <c r="G5749" s="401">
        <v>0.9</v>
      </c>
      <c r="H5749" s="401"/>
      <c r="I5749" s="1187">
        <f t="shared" si="213"/>
        <v>1.62</v>
      </c>
      <c r="J5749" s="162"/>
      <c r="K5749" s="1289"/>
    </row>
    <row r="5750" spans="1:14">
      <c r="A5750" s="1232">
        <v>6</v>
      </c>
      <c r="B5750" s="311" t="s">
        <v>1823</v>
      </c>
      <c r="C5750" s="165" t="s">
        <v>1</v>
      </c>
      <c r="D5750" s="392">
        <v>3</v>
      </c>
      <c r="E5750" s="165">
        <v>1</v>
      </c>
      <c r="F5750" s="401">
        <v>0.70000000000000007</v>
      </c>
      <c r="G5750" s="401">
        <v>0.70000000000000007</v>
      </c>
      <c r="H5750" s="401"/>
      <c r="I5750" s="1187">
        <f t="shared" si="213"/>
        <v>1.47</v>
      </c>
      <c r="J5750" s="162"/>
      <c r="K5750" s="1289"/>
    </row>
    <row r="5751" spans="1:14">
      <c r="A5751" s="1232">
        <v>7</v>
      </c>
      <c r="B5751" s="311" t="s">
        <v>1824</v>
      </c>
      <c r="C5751" s="165" t="s">
        <v>1</v>
      </c>
      <c r="D5751" s="392">
        <v>1</v>
      </c>
      <c r="E5751" s="165">
        <v>1</v>
      </c>
      <c r="F5751" s="401">
        <v>1.1499999999999999</v>
      </c>
      <c r="G5751" s="401">
        <v>1.1499999999999999</v>
      </c>
      <c r="H5751" s="401"/>
      <c r="I5751" s="1187">
        <f t="shared" si="213"/>
        <v>1.32</v>
      </c>
      <c r="J5751" s="162"/>
      <c r="K5751" s="1289"/>
    </row>
    <row r="5752" spans="1:14">
      <c r="A5752" s="1232">
        <v>8</v>
      </c>
      <c r="B5752" s="311" t="s">
        <v>1825</v>
      </c>
      <c r="C5752" s="165" t="s">
        <v>1</v>
      </c>
      <c r="D5752" s="392">
        <v>1</v>
      </c>
      <c r="E5752" s="165">
        <v>1</v>
      </c>
      <c r="F5752" s="401">
        <v>1.02</v>
      </c>
      <c r="G5752" s="401">
        <v>1.03</v>
      </c>
      <c r="H5752" s="401"/>
      <c r="I5752" s="1187">
        <f t="shared" si="213"/>
        <v>1.05</v>
      </c>
      <c r="J5752" s="162"/>
      <c r="K5752" s="1289"/>
    </row>
    <row r="5753" spans="1:14">
      <c r="A5753" s="1232"/>
      <c r="B5753" s="311"/>
      <c r="C5753" s="165" t="s">
        <v>1</v>
      </c>
      <c r="D5753" s="392"/>
      <c r="E5753" s="165"/>
      <c r="F5753" s="401"/>
      <c r="G5753" s="401"/>
      <c r="H5753" s="401"/>
      <c r="I5753" s="938" t="str">
        <f t="shared" ref="I5753:I5754" si="214">IF(D5753&lt;&gt;0,ROUND(PRODUCT(E5753:H5753)*D5753,2),"")</f>
        <v/>
      </c>
      <c r="J5753" s="162"/>
      <c r="K5753" s="1289"/>
    </row>
    <row r="5754" spans="1:14">
      <c r="A5754" s="1248"/>
      <c r="B5754" s="311"/>
      <c r="C5754" s="165"/>
      <c r="D5754" s="392"/>
      <c r="E5754" s="165"/>
      <c r="F5754" s="401"/>
      <c r="G5754" s="401"/>
      <c r="H5754" s="401"/>
      <c r="I5754" s="938" t="str">
        <f t="shared" si="214"/>
        <v/>
      </c>
      <c r="J5754" s="162"/>
      <c r="K5754" s="1289"/>
    </row>
    <row r="5755" spans="1:14">
      <c r="A5755" s="1248"/>
      <c r="B5755" s="161" t="s">
        <v>928</v>
      </c>
      <c r="C5755" s="388" t="s">
        <v>1</v>
      </c>
      <c r="D5755" s="392"/>
      <c r="E5755" s="165"/>
      <c r="F5755" s="401"/>
      <c r="G5755" s="401"/>
      <c r="H5755" s="401"/>
      <c r="I5755" s="938" t="str">
        <f t="shared" ref="I5755:I5756" si="215">IF(D5755&lt;&gt;0,ROUND(PRODUCT(E5755:H5755)*D5755,2),"")</f>
        <v/>
      </c>
      <c r="J5755" s="403">
        <f>SUM(I5744:I5753)</f>
        <v>19.190000000000001</v>
      </c>
      <c r="K5755" s="1277" t="s">
        <v>1690</v>
      </c>
    </row>
    <row r="5756" spans="1:14">
      <c r="A5756" s="1228"/>
      <c r="B5756" s="671"/>
      <c r="C5756" s="165"/>
      <c r="D5756" s="392"/>
      <c r="E5756" s="165"/>
      <c r="F5756" s="401"/>
      <c r="G5756" s="401"/>
      <c r="H5756" s="401"/>
      <c r="I5756" s="938" t="str">
        <f t="shared" si="215"/>
        <v/>
      </c>
      <c r="J5756" s="432">
        <f>SUM(J5743:J5755)</f>
        <v>146.47999999999996</v>
      </c>
      <c r="K5756" s="1289"/>
    </row>
    <row r="5757" spans="1:14">
      <c r="A5757" s="1219">
        <v>2.5</v>
      </c>
      <c r="B5757" s="768" t="s">
        <v>1457</v>
      </c>
      <c r="C5757" s="422"/>
      <c r="D5757" s="436"/>
      <c r="E5757" s="436"/>
      <c r="F5757" s="1359"/>
      <c r="G5757" s="1359"/>
      <c r="H5757" s="1359"/>
      <c r="I5757" s="1172"/>
      <c r="J5757" s="423"/>
      <c r="K5757" s="1220"/>
    </row>
    <row r="5758" spans="1:14" s="858" customFormat="1" ht="34.5" hidden="1" outlineLevel="1">
      <c r="A5758" s="1287"/>
      <c r="B5758" s="855" t="s">
        <v>1458</v>
      </c>
      <c r="C5758" s="854" t="s">
        <v>1</v>
      </c>
      <c r="D5758" s="878">
        <v>5</v>
      </c>
      <c r="E5758" s="854">
        <v>4</v>
      </c>
      <c r="F5758" s="859">
        <v>0.9</v>
      </c>
      <c r="G5758" s="859"/>
      <c r="H5758" s="859">
        <v>0.85</v>
      </c>
      <c r="I5758" s="1187">
        <f t="shared" ref="I5758:I5782" si="216">IF(D5758&lt;&gt;0,ROUND(PRODUCT(E5758:H5758)*D5758,2),"")</f>
        <v>15.3</v>
      </c>
      <c r="J5758" s="894"/>
      <c r="K5758" s="1304"/>
      <c r="L5758" s="875"/>
      <c r="M5758" s="875"/>
      <c r="N5758" s="875"/>
    </row>
    <row r="5759" spans="1:14" s="858" customFormat="1" hidden="1" outlineLevel="1">
      <c r="A5759" s="1287"/>
      <c r="B5759" s="855" t="s">
        <v>1459</v>
      </c>
      <c r="C5759" s="854" t="s">
        <v>1</v>
      </c>
      <c r="D5759" s="878">
        <v>1</v>
      </c>
      <c r="E5759" s="854">
        <v>4</v>
      </c>
      <c r="F5759" s="859">
        <v>2</v>
      </c>
      <c r="G5759" s="859"/>
      <c r="H5759" s="859">
        <v>0.8</v>
      </c>
      <c r="I5759" s="1187">
        <f t="shared" si="216"/>
        <v>6.4</v>
      </c>
      <c r="J5759" s="894"/>
      <c r="K5759" s="1304"/>
      <c r="L5759" s="875"/>
      <c r="M5759" s="875"/>
      <c r="N5759" s="875"/>
    </row>
    <row r="5760" spans="1:14" s="858" customFormat="1" hidden="1" outlineLevel="1">
      <c r="A5760" s="1287"/>
      <c r="B5760" s="855"/>
      <c r="C5760" s="854"/>
      <c r="D5760" s="878"/>
      <c r="E5760" s="854"/>
      <c r="F5760" s="859"/>
      <c r="G5760" s="859"/>
      <c r="H5760" s="859"/>
      <c r="I5760" s="1187" t="str">
        <f t="shared" si="216"/>
        <v/>
      </c>
      <c r="J5760" s="894"/>
      <c r="K5760" s="1304"/>
      <c r="L5760" s="875"/>
      <c r="M5760" s="875"/>
      <c r="N5760" s="875"/>
    </row>
    <row r="5761" spans="1:14" s="858" customFormat="1" ht="34.5" hidden="1" outlineLevel="1">
      <c r="A5761" s="1287"/>
      <c r="B5761" s="855" t="s">
        <v>1460</v>
      </c>
      <c r="C5761" s="854"/>
      <c r="D5761" s="878"/>
      <c r="E5761" s="854"/>
      <c r="F5761" s="859"/>
      <c r="G5761" s="859"/>
      <c r="H5761" s="859"/>
      <c r="I5761" s="1187" t="str">
        <f t="shared" si="216"/>
        <v/>
      </c>
      <c r="J5761" s="894"/>
      <c r="K5761" s="1304"/>
      <c r="L5761" s="875"/>
      <c r="M5761" s="875"/>
      <c r="N5761" s="875"/>
    </row>
    <row r="5762" spans="1:14" s="858" customFormat="1" hidden="1" outlineLevel="1">
      <c r="A5762" s="1287"/>
      <c r="B5762" s="855" t="s">
        <v>1461</v>
      </c>
      <c r="C5762" s="854" t="s">
        <v>1</v>
      </c>
      <c r="D5762" s="878">
        <v>1</v>
      </c>
      <c r="E5762" s="854">
        <v>1</v>
      </c>
      <c r="F5762" s="859">
        <f>39733/1000</f>
        <v>39.732999999999997</v>
      </c>
      <c r="G5762" s="859"/>
      <c r="H5762" s="859">
        <v>0.15</v>
      </c>
      <c r="I5762" s="1187">
        <f t="shared" si="216"/>
        <v>5.96</v>
      </c>
      <c r="J5762" s="894"/>
      <c r="K5762" s="1304"/>
      <c r="L5762" s="875"/>
      <c r="M5762" s="875"/>
      <c r="N5762" s="875"/>
    </row>
    <row r="5763" spans="1:14" s="858" customFormat="1" hidden="1" outlineLevel="1">
      <c r="A5763" s="1287"/>
      <c r="B5763" s="855"/>
      <c r="C5763" s="854" t="s">
        <v>1</v>
      </c>
      <c r="D5763" s="878">
        <v>1</v>
      </c>
      <c r="E5763" s="854">
        <v>1</v>
      </c>
      <c r="F5763" s="859">
        <f>51813/1000</f>
        <v>51.813000000000002</v>
      </c>
      <c r="G5763" s="859"/>
      <c r="H5763" s="859">
        <v>0.15</v>
      </c>
      <c r="I5763" s="1187">
        <f t="shared" si="216"/>
        <v>7.77</v>
      </c>
      <c r="J5763" s="894"/>
      <c r="K5763" s="1304"/>
      <c r="L5763" s="875"/>
      <c r="M5763" s="875"/>
      <c r="N5763" s="875"/>
    </row>
    <row r="5764" spans="1:14" s="858" customFormat="1" hidden="1" outlineLevel="1">
      <c r="A5764" s="1287"/>
      <c r="B5764" s="855"/>
      <c r="C5764" s="854" t="s">
        <v>1</v>
      </c>
      <c r="D5764" s="878">
        <v>1</v>
      </c>
      <c r="E5764" s="854">
        <v>1</v>
      </c>
      <c r="F5764" s="859">
        <f>47550/1000</f>
        <v>47.55</v>
      </c>
      <c r="G5764" s="859"/>
      <c r="H5764" s="859">
        <v>0.15</v>
      </c>
      <c r="I5764" s="1187">
        <f t="shared" si="216"/>
        <v>7.13</v>
      </c>
      <c r="J5764" s="894"/>
      <c r="K5764" s="1304"/>
      <c r="L5764" s="875"/>
      <c r="M5764" s="875"/>
      <c r="N5764" s="875"/>
    </row>
    <row r="5765" spans="1:14" s="858" customFormat="1" hidden="1" outlineLevel="1">
      <c r="A5765" s="1287"/>
      <c r="B5765" s="855" t="s">
        <v>1462</v>
      </c>
      <c r="C5765" s="854" t="s">
        <v>1</v>
      </c>
      <c r="D5765" s="878">
        <v>1</v>
      </c>
      <c r="E5765" s="854">
        <v>1</v>
      </c>
      <c r="F5765" s="859">
        <f>90640/1000</f>
        <v>90.64</v>
      </c>
      <c r="G5765" s="859"/>
      <c r="H5765" s="859">
        <v>0.15</v>
      </c>
      <c r="I5765" s="1187">
        <f t="shared" si="216"/>
        <v>13.6</v>
      </c>
      <c r="J5765" s="894"/>
      <c r="K5765" s="1304"/>
      <c r="L5765" s="875"/>
      <c r="M5765" s="875"/>
      <c r="N5765" s="875"/>
    </row>
    <row r="5766" spans="1:14" s="858" customFormat="1" hidden="1" outlineLevel="1">
      <c r="A5766" s="1287"/>
      <c r="B5766" s="855"/>
      <c r="C5766" s="854" t="s">
        <v>1</v>
      </c>
      <c r="D5766" s="878">
        <v>1</v>
      </c>
      <c r="E5766" s="854">
        <v>1</v>
      </c>
      <c r="F5766" s="859">
        <f>96915/1000</f>
        <v>96.915000000000006</v>
      </c>
      <c r="G5766" s="859"/>
      <c r="H5766" s="859">
        <v>0.15</v>
      </c>
      <c r="I5766" s="1187">
        <f t="shared" si="216"/>
        <v>14.54</v>
      </c>
      <c r="J5766" s="894"/>
      <c r="K5766" s="1304"/>
      <c r="L5766" s="875"/>
      <c r="M5766" s="875"/>
      <c r="N5766" s="875"/>
    </row>
    <row r="5767" spans="1:14" s="858" customFormat="1" hidden="1" outlineLevel="1">
      <c r="A5767" s="1287"/>
      <c r="B5767" s="855" t="s">
        <v>1463</v>
      </c>
      <c r="C5767" s="854" t="s">
        <v>1</v>
      </c>
      <c r="D5767" s="878">
        <v>1</v>
      </c>
      <c r="E5767" s="854">
        <v>1</v>
      </c>
      <c r="F5767" s="859">
        <f>88403/1000+ (4.615)</f>
        <v>93.018000000000001</v>
      </c>
      <c r="G5767" s="859"/>
      <c r="H5767" s="859">
        <v>0.15</v>
      </c>
      <c r="I5767" s="1187">
        <f t="shared" si="216"/>
        <v>13.95</v>
      </c>
      <c r="J5767" s="894"/>
      <c r="K5767" s="1304"/>
      <c r="L5767" s="875"/>
      <c r="M5767" s="875"/>
      <c r="N5767" s="875"/>
    </row>
    <row r="5768" spans="1:14" s="858" customFormat="1" hidden="1" outlineLevel="1">
      <c r="A5768" s="1287"/>
      <c r="B5768" s="855"/>
      <c r="C5768" s="854" t="s">
        <v>1</v>
      </c>
      <c r="D5768" s="878">
        <v>1</v>
      </c>
      <c r="E5768" s="854">
        <v>1</v>
      </c>
      <c r="F5768" s="859">
        <f>72705/1000+(4.4)</f>
        <v>77.105000000000004</v>
      </c>
      <c r="G5768" s="859"/>
      <c r="H5768" s="859">
        <v>0.15</v>
      </c>
      <c r="I5768" s="1187">
        <f t="shared" si="216"/>
        <v>11.57</v>
      </c>
      <c r="J5768" s="894"/>
      <c r="K5768" s="1304"/>
      <c r="L5768" s="875"/>
      <c r="M5768" s="875"/>
      <c r="N5768" s="875"/>
    </row>
    <row r="5769" spans="1:14" s="858" customFormat="1" hidden="1" outlineLevel="1">
      <c r="A5769" s="1287"/>
      <c r="B5769" s="855"/>
      <c r="C5769" s="854" t="s">
        <v>1</v>
      </c>
      <c r="D5769" s="878">
        <v>1</v>
      </c>
      <c r="E5769" s="854">
        <v>1</v>
      </c>
      <c r="F5769" s="859">
        <f>80889/1000</f>
        <v>80.888999999999996</v>
      </c>
      <c r="G5769" s="859"/>
      <c r="H5769" s="859">
        <v>0.15</v>
      </c>
      <c r="I5769" s="1187">
        <f t="shared" si="216"/>
        <v>12.13</v>
      </c>
      <c r="J5769" s="894"/>
      <c r="K5769" s="1304"/>
      <c r="L5769" s="875"/>
      <c r="M5769" s="875"/>
      <c r="N5769" s="875"/>
    </row>
    <row r="5770" spans="1:14" s="858" customFormat="1" hidden="1" outlineLevel="1">
      <c r="A5770" s="1287"/>
      <c r="B5770" s="855" t="s">
        <v>1464</v>
      </c>
      <c r="C5770" s="854" t="s">
        <v>1</v>
      </c>
      <c r="D5770" s="878">
        <v>1</v>
      </c>
      <c r="E5770" s="854">
        <v>1</v>
      </c>
      <c r="F5770" s="859">
        <f>112946/1000</f>
        <v>112.946</v>
      </c>
      <c r="G5770" s="859"/>
      <c r="H5770" s="859">
        <v>0.15</v>
      </c>
      <c r="I5770" s="1187">
        <f t="shared" si="216"/>
        <v>16.940000000000001</v>
      </c>
      <c r="J5770" s="894"/>
      <c r="K5770" s="1304"/>
      <c r="L5770" s="875"/>
      <c r="M5770" s="875"/>
      <c r="N5770" s="875"/>
    </row>
    <row r="5771" spans="1:14" s="858" customFormat="1" hidden="1" outlineLevel="1">
      <c r="A5771" s="1287"/>
      <c r="B5771" s="855" t="s">
        <v>1465</v>
      </c>
      <c r="C5771" s="854" t="s">
        <v>1</v>
      </c>
      <c r="D5771" s="878">
        <v>1</v>
      </c>
      <c r="E5771" s="854">
        <v>1</v>
      </c>
      <c r="F5771" s="859">
        <f>85967/1000</f>
        <v>85.966999999999999</v>
      </c>
      <c r="G5771" s="859"/>
      <c r="H5771" s="859">
        <v>0.15</v>
      </c>
      <c r="I5771" s="1187">
        <f t="shared" si="216"/>
        <v>12.9</v>
      </c>
      <c r="J5771" s="894"/>
      <c r="K5771" s="1304"/>
      <c r="L5771" s="875"/>
      <c r="M5771" s="875"/>
      <c r="N5771" s="875"/>
    </row>
    <row r="5772" spans="1:14" s="858" customFormat="1" hidden="1" outlineLevel="1">
      <c r="A5772" s="1287"/>
      <c r="B5772" s="855" t="s">
        <v>1466</v>
      </c>
      <c r="C5772" s="854" t="s">
        <v>1</v>
      </c>
      <c r="D5772" s="878">
        <v>1</v>
      </c>
      <c r="E5772" s="854">
        <v>2</v>
      </c>
      <c r="F5772" s="859">
        <v>9.36</v>
      </c>
      <c r="G5772" s="859"/>
      <c r="H5772" s="859">
        <v>0.15</v>
      </c>
      <c r="I5772" s="1187">
        <f t="shared" si="216"/>
        <v>2.81</v>
      </c>
      <c r="J5772" s="894"/>
      <c r="K5772" s="1304"/>
      <c r="L5772" s="875"/>
      <c r="M5772" s="875"/>
      <c r="N5772" s="875"/>
    </row>
    <row r="5773" spans="1:14" s="858" customFormat="1" hidden="1" outlineLevel="1">
      <c r="A5773" s="1287"/>
      <c r="B5773" s="855"/>
      <c r="C5773" s="854" t="s">
        <v>1</v>
      </c>
      <c r="D5773" s="878">
        <v>1</v>
      </c>
      <c r="E5773" s="854">
        <v>2</v>
      </c>
      <c r="F5773" s="859">
        <v>8.14</v>
      </c>
      <c r="G5773" s="859"/>
      <c r="H5773" s="859">
        <v>0.15</v>
      </c>
      <c r="I5773" s="1187">
        <f t="shared" si="216"/>
        <v>2.44</v>
      </c>
      <c r="J5773" s="894"/>
      <c r="K5773" s="1304"/>
      <c r="L5773" s="875"/>
      <c r="M5773" s="875"/>
      <c r="N5773" s="875"/>
    </row>
    <row r="5774" spans="1:14" s="858" customFormat="1" hidden="1" outlineLevel="1">
      <c r="A5774" s="1287"/>
      <c r="B5774" s="855"/>
      <c r="C5774" s="854" t="s">
        <v>1</v>
      </c>
      <c r="D5774" s="878">
        <v>1</v>
      </c>
      <c r="E5774" s="854">
        <v>2</v>
      </c>
      <c r="F5774" s="859">
        <v>6.6150000000000002</v>
      </c>
      <c r="G5774" s="859"/>
      <c r="H5774" s="859">
        <v>0.15</v>
      </c>
      <c r="I5774" s="1187">
        <f t="shared" si="216"/>
        <v>1.98</v>
      </c>
      <c r="J5774" s="894"/>
      <c r="K5774" s="1304"/>
      <c r="L5774" s="875"/>
      <c r="M5774" s="875"/>
      <c r="N5774" s="875"/>
    </row>
    <row r="5775" spans="1:14" s="858" customFormat="1" hidden="1" outlineLevel="1">
      <c r="A5775" s="1287"/>
      <c r="B5775" s="855"/>
      <c r="C5775" s="854" t="s">
        <v>1</v>
      </c>
      <c r="D5775" s="878">
        <v>1</v>
      </c>
      <c r="E5775" s="854">
        <v>2</v>
      </c>
      <c r="F5775" s="859">
        <v>4.7850000000000001</v>
      </c>
      <c r="G5775" s="859"/>
      <c r="H5775" s="859">
        <v>0.15</v>
      </c>
      <c r="I5775" s="1187">
        <f t="shared" si="216"/>
        <v>1.44</v>
      </c>
      <c r="J5775" s="894"/>
      <c r="K5775" s="1304"/>
      <c r="L5775" s="875"/>
      <c r="M5775" s="875"/>
      <c r="N5775" s="875"/>
    </row>
    <row r="5776" spans="1:14" s="858" customFormat="1" hidden="1" outlineLevel="1">
      <c r="A5776" s="1287"/>
      <c r="B5776" s="855"/>
      <c r="C5776" s="854" t="s">
        <v>1</v>
      </c>
      <c r="D5776" s="878">
        <v>1</v>
      </c>
      <c r="E5776" s="854">
        <v>2</v>
      </c>
      <c r="F5776" s="859">
        <v>3.26</v>
      </c>
      <c r="G5776" s="859"/>
      <c r="H5776" s="859">
        <v>0.15</v>
      </c>
      <c r="I5776" s="1187">
        <f t="shared" si="216"/>
        <v>0.98</v>
      </c>
      <c r="J5776" s="894"/>
      <c r="K5776" s="1304"/>
      <c r="L5776" s="875"/>
      <c r="M5776" s="875"/>
      <c r="N5776" s="875"/>
    </row>
    <row r="5777" spans="1:14" s="858" customFormat="1" hidden="1" outlineLevel="1">
      <c r="A5777" s="1287"/>
      <c r="B5777" s="855"/>
      <c r="C5777" s="854" t="s">
        <v>1</v>
      </c>
      <c r="D5777" s="878">
        <v>5</v>
      </c>
      <c r="E5777" s="854">
        <v>2</v>
      </c>
      <c r="F5777" s="859">
        <v>0.6</v>
      </c>
      <c r="G5777" s="859"/>
      <c r="H5777" s="859">
        <v>0.15</v>
      </c>
      <c r="I5777" s="1187">
        <f t="shared" si="216"/>
        <v>0.9</v>
      </c>
      <c r="J5777" s="894"/>
      <c r="K5777" s="1304"/>
      <c r="L5777" s="875"/>
      <c r="M5777" s="875"/>
      <c r="N5777" s="875"/>
    </row>
    <row r="5778" spans="1:14" s="858" customFormat="1" hidden="1" outlineLevel="1">
      <c r="A5778" s="1287"/>
      <c r="B5778" s="855" t="s">
        <v>1467</v>
      </c>
      <c r="C5778" s="854" t="s">
        <v>1</v>
      </c>
      <c r="D5778" s="878">
        <v>1</v>
      </c>
      <c r="E5778" s="854">
        <v>2</v>
      </c>
      <c r="F5778" s="859">
        <v>6.03</v>
      </c>
      <c r="G5778" s="859"/>
      <c r="H5778" s="859">
        <v>0.15</v>
      </c>
      <c r="I5778" s="1187">
        <f t="shared" si="216"/>
        <v>1.81</v>
      </c>
      <c r="J5778" s="894"/>
      <c r="K5778" s="1304"/>
      <c r="L5778" s="875"/>
      <c r="M5778" s="875"/>
      <c r="N5778" s="875"/>
    </row>
    <row r="5779" spans="1:14" s="858" customFormat="1" hidden="1" outlineLevel="1">
      <c r="A5779" s="1287"/>
      <c r="B5779" s="855"/>
      <c r="C5779" s="854" t="s">
        <v>1</v>
      </c>
      <c r="D5779" s="878">
        <v>2</v>
      </c>
      <c r="E5779" s="854">
        <v>2</v>
      </c>
      <c r="F5779" s="859">
        <v>6.64</v>
      </c>
      <c r="G5779" s="859"/>
      <c r="H5779" s="859">
        <v>0.15</v>
      </c>
      <c r="I5779" s="1187">
        <f t="shared" si="216"/>
        <v>3.98</v>
      </c>
      <c r="J5779" s="894"/>
      <c r="K5779" s="1304"/>
      <c r="L5779" s="875"/>
      <c r="M5779" s="875"/>
      <c r="N5779" s="875"/>
    </row>
    <row r="5780" spans="1:14" s="858" customFormat="1" hidden="1" outlineLevel="1">
      <c r="A5780" s="1287"/>
      <c r="B5780" s="855"/>
      <c r="C5780" s="854" t="s">
        <v>1</v>
      </c>
      <c r="D5780" s="878">
        <v>1</v>
      </c>
      <c r="E5780" s="854">
        <v>2</v>
      </c>
      <c r="F5780" s="859">
        <v>5.7249999999999996</v>
      </c>
      <c r="G5780" s="859"/>
      <c r="H5780" s="859">
        <v>0.15</v>
      </c>
      <c r="I5780" s="1187">
        <f t="shared" si="216"/>
        <v>1.72</v>
      </c>
      <c r="J5780" s="894"/>
      <c r="K5780" s="1304"/>
      <c r="L5780" s="875"/>
      <c r="M5780" s="875"/>
      <c r="N5780" s="875"/>
    </row>
    <row r="5781" spans="1:14" s="858" customFormat="1" hidden="1" outlineLevel="1">
      <c r="A5781" s="1287"/>
      <c r="B5781" s="855"/>
      <c r="C5781" s="854" t="s">
        <v>1</v>
      </c>
      <c r="D5781" s="878">
        <v>1</v>
      </c>
      <c r="E5781" s="854">
        <v>2</v>
      </c>
      <c r="F5781" s="859">
        <v>3.59</v>
      </c>
      <c r="G5781" s="859"/>
      <c r="H5781" s="859">
        <v>0.15</v>
      </c>
      <c r="I5781" s="1187">
        <f t="shared" si="216"/>
        <v>1.08</v>
      </c>
      <c r="J5781" s="894"/>
      <c r="K5781" s="1304"/>
      <c r="L5781" s="875"/>
      <c r="M5781" s="875"/>
      <c r="N5781" s="875"/>
    </row>
    <row r="5782" spans="1:14" s="870" customFormat="1" ht="34.5" hidden="1" outlineLevel="1">
      <c r="A5782" s="1306"/>
      <c r="B5782" s="890" t="s">
        <v>1673</v>
      </c>
      <c r="C5782" s="897" t="s">
        <v>1</v>
      </c>
      <c r="D5782" s="889">
        <v>-1</v>
      </c>
      <c r="E5782" s="895"/>
      <c r="F5782" s="863">
        <v>135.63000000000002</v>
      </c>
      <c r="G5782" s="863"/>
      <c r="H5782" s="863"/>
      <c r="I5782" s="1187">
        <f t="shared" si="216"/>
        <v>-135.63</v>
      </c>
      <c r="J5782" s="900"/>
      <c r="K5782" s="1312"/>
      <c r="L5782" s="869"/>
      <c r="M5782" s="869"/>
      <c r="N5782" s="869"/>
    </row>
    <row r="5783" spans="1:14" collapsed="1">
      <c r="A5783" s="1248"/>
      <c r="B5783" s="669" t="s">
        <v>85</v>
      </c>
      <c r="C5783" s="465" t="s">
        <v>102</v>
      </c>
      <c r="D5783" s="392"/>
      <c r="E5783" s="165"/>
      <c r="F5783" s="401"/>
      <c r="G5783" s="401"/>
      <c r="H5783" s="401"/>
      <c r="I5783" s="938"/>
      <c r="J5783" s="467">
        <f>SUM(I5757:I5783)</f>
        <v>21.700000000000017</v>
      </c>
      <c r="K5783" s="1289"/>
    </row>
    <row r="5784" spans="1:14">
      <c r="A5784" s="1248"/>
      <c r="B5784" s="311"/>
      <c r="C5784" s="165" t="s">
        <v>1</v>
      </c>
      <c r="D5784" s="392"/>
      <c r="E5784" s="165"/>
      <c r="F5784" s="401"/>
      <c r="G5784" s="401"/>
      <c r="H5784" s="401"/>
      <c r="I5784" s="938" t="str">
        <f t="shared" ref="I5784:I5808" si="217">IF(D5784&lt;&gt;0,ROUND(PRODUCT(E5784:H5784)*D5784,2),"")</f>
        <v/>
      </c>
      <c r="J5784" s="162"/>
      <c r="K5784" s="1289"/>
    </row>
    <row r="5785" spans="1:14" ht="34.5">
      <c r="A5785" s="1248"/>
      <c r="B5785" s="311" t="s">
        <v>1460</v>
      </c>
      <c r="C5785" s="165"/>
      <c r="D5785" s="392"/>
      <c r="E5785" s="165"/>
      <c r="F5785" s="401"/>
      <c r="G5785" s="401"/>
      <c r="H5785" s="401"/>
      <c r="I5785" s="938" t="str">
        <f t="shared" ref="I5785:I5805" si="218">IF(D5785&lt;&gt;0,ROUND(PRODUCT(E5785:H5785)*D5785,2),"")</f>
        <v/>
      </c>
      <c r="J5785" s="162"/>
      <c r="K5785" s="1289"/>
    </row>
    <row r="5786" spans="1:14">
      <c r="A5786" s="1248"/>
      <c r="B5786" s="311" t="s">
        <v>1461</v>
      </c>
      <c r="C5786" s="165" t="s">
        <v>1</v>
      </c>
      <c r="D5786" s="392">
        <v>1</v>
      </c>
      <c r="E5786" s="165">
        <v>1</v>
      </c>
      <c r="F5786" s="401">
        <v>39.732999999999997</v>
      </c>
      <c r="G5786" s="401"/>
      <c r="H5786" s="401">
        <v>0.15</v>
      </c>
      <c r="I5786" s="1187">
        <f t="shared" si="218"/>
        <v>5.96</v>
      </c>
      <c r="J5786" s="162"/>
      <c r="K5786" s="1289"/>
    </row>
    <row r="5787" spans="1:14">
      <c r="A5787" s="1248"/>
      <c r="B5787" s="311"/>
      <c r="C5787" s="165" t="s">
        <v>1</v>
      </c>
      <c r="D5787" s="392">
        <v>1</v>
      </c>
      <c r="E5787" s="165">
        <v>1</v>
      </c>
      <c r="F5787" s="401">
        <v>51.813000000000002</v>
      </c>
      <c r="G5787" s="401"/>
      <c r="H5787" s="401">
        <v>0.15</v>
      </c>
      <c r="I5787" s="1187">
        <f t="shared" si="218"/>
        <v>7.77</v>
      </c>
      <c r="J5787" s="162"/>
      <c r="K5787" s="1289"/>
    </row>
    <row r="5788" spans="1:14">
      <c r="A5788" s="1248"/>
      <c r="B5788" s="311"/>
      <c r="C5788" s="165" t="s">
        <v>1</v>
      </c>
      <c r="D5788" s="392">
        <v>1</v>
      </c>
      <c r="E5788" s="165">
        <v>1</v>
      </c>
      <c r="F5788" s="401">
        <v>47.55</v>
      </c>
      <c r="G5788" s="401"/>
      <c r="H5788" s="401">
        <v>0.15</v>
      </c>
      <c r="I5788" s="1187">
        <f t="shared" si="218"/>
        <v>7.13</v>
      </c>
      <c r="J5788" s="162"/>
      <c r="K5788" s="1289"/>
    </row>
    <row r="5789" spans="1:14">
      <c r="A5789" s="1248"/>
      <c r="B5789" s="311" t="s">
        <v>1462</v>
      </c>
      <c r="C5789" s="165" t="s">
        <v>1</v>
      </c>
      <c r="D5789" s="392">
        <v>1</v>
      </c>
      <c r="E5789" s="165">
        <v>1</v>
      </c>
      <c r="F5789" s="401">
        <v>90.64</v>
      </c>
      <c r="G5789" s="401"/>
      <c r="H5789" s="401">
        <v>0.15</v>
      </c>
      <c r="I5789" s="1187">
        <f t="shared" si="218"/>
        <v>13.6</v>
      </c>
      <c r="J5789" s="162"/>
      <c r="K5789" s="1289"/>
    </row>
    <row r="5790" spans="1:14">
      <c r="A5790" s="1248"/>
      <c r="B5790" s="311"/>
      <c r="C5790" s="165" t="s">
        <v>1</v>
      </c>
      <c r="D5790" s="392">
        <v>1</v>
      </c>
      <c r="E5790" s="165">
        <v>1</v>
      </c>
      <c r="F5790" s="401">
        <v>96.915000000000006</v>
      </c>
      <c r="G5790" s="401"/>
      <c r="H5790" s="401">
        <v>0.15</v>
      </c>
      <c r="I5790" s="1187">
        <f t="shared" si="218"/>
        <v>14.54</v>
      </c>
      <c r="J5790" s="162"/>
      <c r="K5790" s="1289"/>
    </row>
    <row r="5791" spans="1:14">
      <c r="A5791" s="1248"/>
      <c r="B5791" s="311" t="s">
        <v>1463</v>
      </c>
      <c r="C5791" s="165" t="s">
        <v>1</v>
      </c>
      <c r="D5791" s="392">
        <v>1</v>
      </c>
      <c r="E5791" s="165">
        <v>1</v>
      </c>
      <c r="F5791" s="401">
        <v>93.018000000000001</v>
      </c>
      <c r="G5791" s="401"/>
      <c r="H5791" s="401">
        <v>0.15</v>
      </c>
      <c r="I5791" s="1187">
        <f t="shared" si="218"/>
        <v>13.95</v>
      </c>
      <c r="J5791" s="162"/>
      <c r="K5791" s="1289"/>
    </row>
    <row r="5792" spans="1:14">
      <c r="A5792" s="1248"/>
      <c r="B5792" s="311"/>
      <c r="C5792" s="165" t="s">
        <v>1</v>
      </c>
      <c r="D5792" s="392">
        <v>1</v>
      </c>
      <c r="E5792" s="165">
        <v>1</v>
      </c>
      <c r="F5792" s="401">
        <v>77.105000000000004</v>
      </c>
      <c r="G5792" s="401"/>
      <c r="H5792" s="401">
        <v>0.15</v>
      </c>
      <c r="I5792" s="1187">
        <f t="shared" si="218"/>
        <v>11.57</v>
      </c>
      <c r="J5792" s="162"/>
      <c r="K5792" s="1289"/>
    </row>
    <row r="5793" spans="1:11">
      <c r="A5793" s="1248"/>
      <c r="B5793" s="311"/>
      <c r="C5793" s="165" t="s">
        <v>1</v>
      </c>
      <c r="D5793" s="392">
        <v>1</v>
      </c>
      <c r="E5793" s="165">
        <v>1</v>
      </c>
      <c r="F5793" s="401">
        <v>80.888999999999996</v>
      </c>
      <c r="G5793" s="401"/>
      <c r="H5793" s="401">
        <v>0.15</v>
      </c>
      <c r="I5793" s="1187">
        <f t="shared" si="218"/>
        <v>12.13</v>
      </c>
      <c r="J5793" s="162"/>
      <c r="K5793" s="1289"/>
    </row>
    <row r="5794" spans="1:11">
      <c r="A5794" s="1248"/>
      <c r="B5794" s="311" t="s">
        <v>1464</v>
      </c>
      <c r="C5794" s="165" t="s">
        <v>1</v>
      </c>
      <c r="D5794" s="392">
        <v>1</v>
      </c>
      <c r="E5794" s="165">
        <v>1</v>
      </c>
      <c r="F5794" s="401">
        <v>112.946</v>
      </c>
      <c r="G5794" s="401"/>
      <c r="H5794" s="401">
        <v>0.15</v>
      </c>
      <c r="I5794" s="1187">
        <f t="shared" si="218"/>
        <v>16.940000000000001</v>
      </c>
      <c r="J5794" s="162"/>
      <c r="K5794" s="1289"/>
    </row>
    <row r="5795" spans="1:11">
      <c r="A5795" s="1248"/>
      <c r="B5795" s="311" t="s">
        <v>1465</v>
      </c>
      <c r="C5795" s="165" t="s">
        <v>1</v>
      </c>
      <c r="D5795" s="392">
        <v>1</v>
      </c>
      <c r="E5795" s="165">
        <v>1</v>
      </c>
      <c r="F5795" s="401">
        <v>85.966999999999999</v>
      </c>
      <c r="G5795" s="401"/>
      <c r="H5795" s="401">
        <v>0.15</v>
      </c>
      <c r="I5795" s="1187">
        <f t="shared" si="218"/>
        <v>12.9</v>
      </c>
      <c r="J5795" s="162"/>
      <c r="K5795" s="1289"/>
    </row>
    <row r="5796" spans="1:11">
      <c r="A5796" s="1248"/>
      <c r="B5796" s="311" t="s">
        <v>1466</v>
      </c>
      <c r="C5796" s="165" t="s">
        <v>1</v>
      </c>
      <c r="D5796" s="392">
        <v>1</v>
      </c>
      <c r="E5796" s="165">
        <v>2</v>
      </c>
      <c r="F5796" s="401">
        <v>9.36</v>
      </c>
      <c r="G5796" s="401"/>
      <c r="H5796" s="401">
        <v>0.15</v>
      </c>
      <c r="I5796" s="1187">
        <f t="shared" si="218"/>
        <v>2.81</v>
      </c>
      <c r="J5796" s="162"/>
      <c r="K5796" s="1289"/>
    </row>
    <row r="5797" spans="1:11">
      <c r="A5797" s="1248"/>
      <c r="B5797" s="311"/>
      <c r="C5797" s="165" t="s">
        <v>1</v>
      </c>
      <c r="D5797" s="392">
        <v>1</v>
      </c>
      <c r="E5797" s="165">
        <v>2</v>
      </c>
      <c r="F5797" s="401">
        <v>8.14</v>
      </c>
      <c r="G5797" s="401"/>
      <c r="H5797" s="401">
        <v>0.15</v>
      </c>
      <c r="I5797" s="1187">
        <f t="shared" si="218"/>
        <v>2.44</v>
      </c>
      <c r="J5797" s="162"/>
      <c r="K5797" s="1289"/>
    </row>
    <row r="5798" spans="1:11">
      <c r="A5798" s="1248"/>
      <c r="B5798" s="311"/>
      <c r="C5798" s="165" t="s">
        <v>1</v>
      </c>
      <c r="D5798" s="392">
        <v>1</v>
      </c>
      <c r="E5798" s="165">
        <v>2</v>
      </c>
      <c r="F5798" s="401">
        <v>6.6150000000000002</v>
      </c>
      <c r="G5798" s="401"/>
      <c r="H5798" s="401">
        <v>0.15</v>
      </c>
      <c r="I5798" s="1187">
        <f t="shared" si="218"/>
        <v>1.98</v>
      </c>
      <c r="J5798" s="162"/>
      <c r="K5798" s="1289"/>
    </row>
    <row r="5799" spans="1:11">
      <c r="A5799" s="1248"/>
      <c r="B5799" s="311"/>
      <c r="C5799" s="165" t="s">
        <v>1</v>
      </c>
      <c r="D5799" s="392">
        <v>1</v>
      </c>
      <c r="E5799" s="165">
        <v>2</v>
      </c>
      <c r="F5799" s="401">
        <v>4.7850000000000001</v>
      </c>
      <c r="G5799" s="401"/>
      <c r="H5799" s="401">
        <v>0.15</v>
      </c>
      <c r="I5799" s="1187">
        <f t="shared" si="218"/>
        <v>1.44</v>
      </c>
      <c r="J5799" s="162"/>
      <c r="K5799" s="1289"/>
    </row>
    <row r="5800" spans="1:11">
      <c r="A5800" s="1248"/>
      <c r="B5800" s="311"/>
      <c r="C5800" s="165" t="s">
        <v>1</v>
      </c>
      <c r="D5800" s="392">
        <v>1</v>
      </c>
      <c r="E5800" s="165">
        <v>2</v>
      </c>
      <c r="F5800" s="401">
        <v>3.26</v>
      </c>
      <c r="G5800" s="401"/>
      <c r="H5800" s="401">
        <v>0.15</v>
      </c>
      <c r="I5800" s="1187">
        <f t="shared" si="218"/>
        <v>0.98</v>
      </c>
      <c r="J5800" s="162"/>
      <c r="K5800" s="1289"/>
    </row>
    <row r="5801" spans="1:11">
      <c r="A5801" s="1248"/>
      <c r="B5801" s="311"/>
      <c r="C5801" s="165" t="s">
        <v>1</v>
      </c>
      <c r="D5801" s="392">
        <v>5</v>
      </c>
      <c r="E5801" s="165">
        <v>2</v>
      </c>
      <c r="F5801" s="401">
        <v>0.6</v>
      </c>
      <c r="G5801" s="401"/>
      <c r="H5801" s="401">
        <v>0.15</v>
      </c>
      <c r="I5801" s="1187">
        <f t="shared" si="218"/>
        <v>0.9</v>
      </c>
      <c r="J5801" s="162"/>
      <c r="K5801" s="1289"/>
    </row>
    <row r="5802" spans="1:11">
      <c r="A5802" s="1248"/>
      <c r="B5802" s="311" t="s">
        <v>1467</v>
      </c>
      <c r="C5802" s="165" t="s">
        <v>1</v>
      </c>
      <c r="D5802" s="392">
        <v>1</v>
      </c>
      <c r="E5802" s="165">
        <v>2</v>
      </c>
      <c r="F5802" s="401">
        <v>6.03</v>
      </c>
      <c r="G5802" s="401"/>
      <c r="H5802" s="401">
        <v>0.15</v>
      </c>
      <c r="I5802" s="1187">
        <f t="shared" si="218"/>
        <v>1.81</v>
      </c>
      <c r="J5802" s="162"/>
      <c r="K5802" s="1289"/>
    </row>
    <row r="5803" spans="1:11">
      <c r="A5803" s="1248"/>
      <c r="B5803" s="311"/>
      <c r="C5803" s="165" t="s">
        <v>1</v>
      </c>
      <c r="D5803" s="392">
        <v>2</v>
      </c>
      <c r="E5803" s="165">
        <v>2</v>
      </c>
      <c r="F5803" s="401">
        <v>6.64</v>
      </c>
      <c r="G5803" s="401"/>
      <c r="H5803" s="401">
        <v>0.15</v>
      </c>
      <c r="I5803" s="1187">
        <f t="shared" si="218"/>
        <v>3.98</v>
      </c>
      <c r="J5803" s="162"/>
      <c r="K5803" s="1289"/>
    </row>
    <row r="5804" spans="1:11">
      <c r="A5804" s="1248"/>
      <c r="B5804" s="311"/>
      <c r="C5804" s="165" t="s">
        <v>1</v>
      </c>
      <c r="D5804" s="392">
        <v>1</v>
      </c>
      <c r="E5804" s="165">
        <v>2</v>
      </c>
      <c r="F5804" s="401">
        <v>5.7249999999999996</v>
      </c>
      <c r="G5804" s="401"/>
      <c r="H5804" s="401">
        <v>0.15</v>
      </c>
      <c r="I5804" s="1187">
        <f t="shared" si="218"/>
        <v>1.72</v>
      </c>
      <c r="J5804" s="162"/>
      <c r="K5804" s="1289"/>
    </row>
    <row r="5805" spans="1:11">
      <c r="A5805" s="1248"/>
      <c r="B5805" s="311"/>
      <c r="C5805" s="165" t="s">
        <v>1</v>
      </c>
      <c r="D5805" s="392">
        <v>1</v>
      </c>
      <c r="E5805" s="165">
        <v>2</v>
      </c>
      <c r="F5805" s="401">
        <v>3.59</v>
      </c>
      <c r="G5805" s="401"/>
      <c r="H5805" s="401">
        <v>0.15</v>
      </c>
      <c r="I5805" s="1187">
        <f t="shared" si="218"/>
        <v>1.08</v>
      </c>
      <c r="J5805" s="162"/>
      <c r="K5805" s="1289"/>
    </row>
    <row r="5806" spans="1:11">
      <c r="A5806" s="1313"/>
      <c r="B5806" s="1071"/>
      <c r="C5806" s="1066" t="s">
        <v>1</v>
      </c>
      <c r="D5806" s="1073">
        <v>-1</v>
      </c>
      <c r="E5806" s="1066">
        <v>1</v>
      </c>
      <c r="F5806" s="1388">
        <f>SUM(I5786:I5805)</f>
        <v>135.63000000000002</v>
      </c>
      <c r="G5806" s="1388"/>
      <c r="H5806" s="1388"/>
      <c r="I5806" s="1180">
        <f t="shared" ref="I5806" si="219">IF(D5806&lt;&gt;0,ROUND(PRODUCT(E5806:H5806)*D5806,2),"")</f>
        <v>-135.63</v>
      </c>
      <c r="J5806" s="1095"/>
      <c r="K5806" s="1314" t="s">
        <v>2136</v>
      </c>
    </row>
    <row r="5807" spans="1:11">
      <c r="A5807" s="1248"/>
      <c r="B5807" s="311"/>
      <c r="C5807" s="165" t="s">
        <v>1</v>
      </c>
      <c r="D5807" s="392"/>
      <c r="E5807" s="165"/>
      <c r="F5807" s="401"/>
      <c r="G5807" s="401"/>
      <c r="H5807" s="401"/>
      <c r="I5807" s="938" t="str">
        <f t="shared" si="217"/>
        <v/>
      </c>
      <c r="J5807" s="162"/>
      <c r="K5807" s="1289"/>
    </row>
    <row r="5808" spans="1:11">
      <c r="A5808" s="1248"/>
      <c r="B5808" s="311"/>
      <c r="C5808" s="165" t="s">
        <v>1</v>
      </c>
      <c r="D5808" s="392"/>
      <c r="E5808" s="165"/>
      <c r="F5808" s="401"/>
      <c r="G5808" s="401"/>
      <c r="H5808" s="401"/>
      <c r="I5808" s="938" t="str">
        <f t="shared" si="217"/>
        <v/>
      </c>
      <c r="J5808" s="162"/>
      <c r="K5808" s="1289"/>
    </row>
    <row r="5809" spans="1:14">
      <c r="A5809" s="1248"/>
      <c r="B5809" s="161" t="s">
        <v>928</v>
      </c>
      <c r="C5809" s="388" t="s">
        <v>1</v>
      </c>
      <c r="D5809" s="392"/>
      <c r="E5809" s="165"/>
      <c r="F5809" s="401"/>
      <c r="G5809" s="401"/>
      <c r="H5809" s="401"/>
      <c r="I5809" s="938" t="str">
        <f t="shared" ref="I5809:I5810" si="220">IF(D5809&lt;&gt;0,ROUND(PRODUCT(E5809:H5809)*D5809,2),"")</f>
        <v/>
      </c>
      <c r="J5809" s="403">
        <f>SUM(I5784:I5808)</f>
        <v>0</v>
      </c>
      <c r="K5809" s="1277" t="s">
        <v>1690</v>
      </c>
    </row>
    <row r="5810" spans="1:14">
      <c r="A5810" s="1248"/>
      <c r="B5810" s="671"/>
      <c r="C5810" s="165"/>
      <c r="D5810" s="392"/>
      <c r="E5810" s="165"/>
      <c r="F5810" s="401"/>
      <c r="G5810" s="401"/>
      <c r="H5810" s="401"/>
      <c r="I5810" s="938" t="str">
        <f t="shared" si="220"/>
        <v/>
      </c>
      <c r="J5810" s="432">
        <f>SUM(J5783:J5809)</f>
        <v>21.700000000000017</v>
      </c>
      <c r="K5810" s="1289"/>
    </row>
    <row r="5811" spans="1:14">
      <c r="A5811" s="1315"/>
      <c r="B5811" s="769" t="s">
        <v>152</v>
      </c>
      <c r="C5811" s="1413"/>
      <c r="D5811" s="850"/>
      <c r="E5811" s="850"/>
      <c r="F5811" s="1389"/>
      <c r="G5811" s="1389"/>
      <c r="H5811" s="1389"/>
      <c r="I5811" s="1181" t="str">
        <f t="shared" si="153"/>
        <v/>
      </c>
      <c r="J5811" s="525"/>
      <c r="K5811" s="1316"/>
      <c r="M5811" s="170"/>
      <c r="N5811" s="170"/>
    </row>
    <row r="5812" spans="1:14">
      <c r="A5812" s="1219" t="s">
        <v>2138</v>
      </c>
      <c r="B5812" s="768" t="s">
        <v>153</v>
      </c>
      <c r="C5812" s="422"/>
      <c r="D5812" s="436"/>
      <c r="E5812" s="436"/>
      <c r="F5812" s="1359"/>
      <c r="G5812" s="1359"/>
      <c r="H5812" s="1359"/>
      <c r="I5812" s="1172"/>
      <c r="J5812" s="423"/>
      <c r="K5812" s="1220"/>
      <c r="M5812" s="170"/>
      <c r="N5812" s="170"/>
    </row>
    <row r="5813" spans="1:14" s="398" customFormat="1" ht="34.5" hidden="1" outlineLevel="1">
      <c r="A5813" s="1221"/>
      <c r="B5813" s="425" t="s">
        <v>154</v>
      </c>
      <c r="C5813" s="333" t="s">
        <v>2</v>
      </c>
      <c r="D5813" s="392">
        <v>1</v>
      </c>
      <c r="E5813" s="165"/>
      <c r="F5813" s="401">
        <f>5.69+3+2+0.61*2</f>
        <v>11.910000000000002</v>
      </c>
      <c r="G5813" s="401">
        <v>0.61</v>
      </c>
      <c r="H5813" s="401">
        <v>0.82299999999999995</v>
      </c>
      <c r="I5813" s="399">
        <f t="shared" ref="I5813:I5916" si="221">IF(D5813&lt;&gt;0,ROUND(PRODUCT(E5813:H5813)*D5813,2),"")</f>
        <v>5.98</v>
      </c>
      <c r="J5813" s="399"/>
      <c r="K5813" s="1259"/>
      <c r="L5813" s="431"/>
      <c r="M5813" s="431"/>
      <c r="N5813" s="431"/>
    </row>
    <row r="5814" spans="1:14" s="398" customFormat="1" hidden="1" outlineLevel="1">
      <c r="A5814" s="1221"/>
      <c r="B5814" s="425" t="s">
        <v>105</v>
      </c>
      <c r="C5814" s="333" t="s">
        <v>2</v>
      </c>
      <c r="D5814" s="392">
        <v>2</v>
      </c>
      <c r="E5814" s="165"/>
      <c r="F5814" s="401">
        <f>5.69+3+0.61</f>
        <v>9.3000000000000007</v>
      </c>
      <c r="G5814" s="401">
        <v>0.61</v>
      </c>
      <c r="H5814" s="401">
        <v>0.82299999999999995</v>
      </c>
      <c r="I5814" s="399">
        <f t="shared" si="221"/>
        <v>9.34</v>
      </c>
      <c r="J5814" s="399"/>
      <c r="K5814" s="1259" t="s">
        <v>168</v>
      </c>
      <c r="L5814" s="431"/>
      <c r="M5814" s="431"/>
      <c r="N5814" s="431"/>
    </row>
    <row r="5815" spans="1:14" s="398" customFormat="1" hidden="1" outlineLevel="1">
      <c r="A5815" s="1221"/>
      <c r="B5815" s="425"/>
      <c r="C5815" s="333" t="s">
        <v>2</v>
      </c>
      <c r="D5815" s="392">
        <v>1</v>
      </c>
      <c r="E5815" s="165"/>
      <c r="F5815" s="401">
        <f>1.8+3+3.92+0.6+0.61*2</f>
        <v>10.54</v>
      </c>
      <c r="G5815" s="401">
        <v>0.61</v>
      </c>
      <c r="H5815" s="401">
        <v>0.82299999999999995</v>
      </c>
      <c r="I5815" s="399">
        <f t="shared" si="221"/>
        <v>5.29</v>
      </c>
      <c r="J5815" s="399"/>
      <c r="K5815" s="1259"/>
      <c r="L5815" s="431"/>
      <c r="M5815" s="431"/>
      <c r="N5815" s="431"/>
    </row>
    <row r="5816" spans="1:14" s="398" customFormat="1" hidden="1" outlineLevel="1">
      <c r="A5816" s="1221"/>
      <c r="B5816" s="425"/>
      <c r="C5816" s="333" t="s">
        <v>2</v>
      </c>
      <c r="D5816" s="392">
        <v>2</v>
      </c>
      <c r="E5816" s="165"/>
      <c r="F5816" s="401">
        <f>3.29+3+0.61</f>
        <v>6.9</v>
      </c>
      <c r="G5816" s="401">
        <v>0.61</v>
      </c>
      <c r="H5816" s="401">
        <v>0.82299999999999995</v>
      </c>
      <c r="I5816" s="399">
        <f t="shared" si="221"/>
        <v>6.93</v>
      </c>
      <c r="J5816" s="399"/>
      <c r="K5816" s="1259"/>
      <c r="L5816" s="431"/>
      <c r="M5816" s="431"/>
      <c r="N5816" s="431"/>
    </row>
    <row r="5817" spans="1:14" s="398" customFormat="1" hidden="1" outlineLevel="1">
      <c r="A5817" s="1221"/>
      <c r="B5817" s="425"/>
      <c r="C5817" s="333" t="s">
        <v>2</v>
      </c>
      <c r="D5817" s="392">
        <v>1</v>
      </c>
      <c r="E5817" s="165"/>
      <c r="F5817" s="401">
        <f>1.56+2+4.43-2+0.61</f>
        <v>6.6000000000000005</v>
      </c>
      <c r="G5817" s="401">
        <v>0.61</v>
      </c>
      <c r="H5817" s="401">
        <v>0.82299999999999995</v>
      </c>
      <c r="I5817" s="399">
        <f t="shared" si="221"/>
        <v>3.31</v>
      </c>
      <c r="J5817" s="399"/>
      <c r="K5817" s="1259"/>
      <c r="L5817" s="431"/>
      <c r="M5817" s="431"/>
      <c r="N5817" s="431"/>
    </row>
    <row r="5818" spans="1:14" s="398" customFormat="1" hidden="1" outlineLevel="1">
      <c r="A5818" s="1221"/>
      <c r="B5818" s="425"/>
      <c r="C5818" s="333" t="s">
        <v>2</v>
      </c>
      <c r="D5818" s="392">
        <v>1</v>
      </c>
      <c r="E5818" s="165"/>
      <c r="F5818" s="401">
        <f>1.56+4.43+0.61*2</f>
        <v>7.21</v>
      </c>
      <c r="G5818" s="401">
        <v>0.61</v>
      </c>
      <c r="H5818" s="401">
        <v>0.82299999999999995</v>
      </c>
      <c r="I5818" s="399">
        <f t="shared" si="221"/>
        <v>3.62</v>
      </c>
      <c r="J5818" s="399"/>
      <c r="K5818" s="1259"/>
      <c r="L5818" s="431"/>
      <c r="M5818" s="431"/>
      <c r="N5818" s="431"/>
    </row>
    <row r="5819" spans="1:14" s="398" customFormat="1" hidden="1" outlineLevel="1">
      <c r="A5819" s="1221"/>
      <c r="B5819" s="425"/>
      <c r="C5819" s="333" t="s">
        <v>2</v>
      </c>
      <c r="D5819" s="392">
        <v>1</v>
      </c>
      <c r="E5819" s="165"/>
      <c r="F5819" s="401">
        <f>4.43+0.61</f>
        <v>5.04</v>
      </c>
      <c r="G5819" s="401">
        <v>0.61</v>
      </c>
      <c r="H5819" s="401">
        <v>0.82299999999999995</v>
      </c>
      <c r="I5819" s="399">
        <f t="shared" si="221"/>
        <v>2.5299999999999998</v>
      </c>
      <c r="J5819" s="399"/>
      <c r="K5819" s="1259"/>
      <c r="L5819" s="431"/>
      <c r="M5819" s="431"/>
      <c r="N5819" s="431"/>
    </row>
    <row r="5820" spans="1:14" s="398" customFormat="1" hidden="1" outlineLevel="1">
      <c r="A5820" s="1221"/>
      <c r="B5820" s="425"/>
      <c r="C5820" s="333" t="s">
        <v>2</v>
      </c>
      <c r="D5820" s="392">
        <v>1</v>
      </c>
      <c r="E5820" s="165"/>
      <c r="F5820" s="401">
        <f>6.43+0.61*2</f>
        <v>7.6499999999999995</v>
      </c>
      <c r="G5820" s="401">
        <v>0.61</v>
      </c>
      <c r="H5820" s="401">
        <v>0.82299999999999995</v>
      </c>
      <c r="I5820" s="399">
        <f t="shared" si="221"/>
        <v>3.84</v>
      </c>
      <c r="J5820" s="399"/>
      <c r="K5820" s="1259"/>
      <c r="L5820" s="431"/>
      <c r="M5820" s="431"/>
      <c r="N5820" s="431"/>
    </row>
    <row r="5821" spans="1:14" s="398" customFormat="1" hidden="1" outlineLevel="1">
      <c r="A5821" s="1221"/>
      <c r="B5821" s="425" t="s">
        <v>155</v>
      </c>
      <c r="C5821" s="333" t="s">
        <v>2</v>
      </c>
      <c r="D5821" s="392">
        <v>5</v>
      </c>
      <c r="E5821" s="165"/>
      <c r="F5821" s="401">
        <v>0.61499999999999999</v>
      </c>
      <c r="G5821" s="401">
        <v>0.61</v>
      </c>
      <c r="H5821" s="401">
        <v>0.82299999999999995</v>
      </c>
      <c r="I5821" s="399">
        <f t="shared" si="221"/>
        <v>1.54</v>
      </c>
      <c r="J5821" s="399"/>
      <c r="K5821" s="1259"/>
      <c r="L5821" s="431"/>
      <c r="M5821" s="431"/>
      <c r="N5821" s="431"/>
    </row>
    <row r="5822" spans="1:14" s="398" customFormat="1" hidden="1" outlineLevel="1">
      <c r="A5822" s="1221"/>
      <c r="B5822" s="425"/>
      <c r="C5822" s="333" t="s">
        <v>2</v>
      </c>
      <c r="D5822" s="392">
        <v>1</v>
      </c>
      <c r="E5822" s="165"/>
      <c r="F5822" s="401">
        <v>3.36</v>
      </c>
      <c r="G5822" s="401">
        <v>0.61</v>
      </c>
      <c r="H5822" s="401">
        <v>0.82299999999999995</v>
      </c>
      <c r="I5822" s="399">
        <f t="shared" si="221"/>
        <v>1.69</v>
      </c>
      <c r="J5822" s="399"/>
      <c r="K5822" s="1259"/>
      <c r="L5822" s="431"/>
      <c r="M5822" s="431"/>
      <c r="N5822" s="431"/>
    </row>
    <row r="5823" spans="1:14" s="398" customFormat="1" hidden="1" outlineLevel="1">
      <c r="A5823" s="1221"/>
      <c r="B5823" s="425"/>
      <c r="C5823" s="333" t="s">
        <v>2</v>
      </c>
      <c r="D5823" s="392">
        <v>4</v>
      </c>
      <c r="E5823" s="165"/>
      <c r="F5823" s="401">
        <f>2.13-0.61*2</f>
        <v>0.90999999999999992</v>
      </c>
      <c r="G5823" s="401">
        <v>0.61</v>
      </c>
      <c r="H5823" s="401">
        <v>0.82299999999999995</v>
      </c>
      <c r="I5823" s="399">
        <f t="shared" si="221"/>
        <v>1.83</v>
      </c>
      <c r="J5823" s="399"/>
      <c r="K5823" s="1259"/>
      <c r="L5823" s="431"/>
      <c r="M5823" s="431"/>
      <c r="N5823" s="431"/>
    </row>
    <row r="5824" spans="1:14" s="398" customFormat="1" hidden="1" outlineLevel="1">
      <c r="A5824" s="1221"/>
      <c r="B5824" s="425"/>
      <c r="C5824" s="333" t="s">
        <v>2</v>
      </c>
      <c r="D5824" s="392">
        <v>3</v>
      </c>
      <c r="E5824" s="165"/>
      <c r="F5824" s="401">
        <v>2.145</v>
      </c>
      <c r="G5824" s="401">
        <v>0.61</v>
      </c>
      <c r="H5824" s="401">
        <v>0.82299999999999995</v>
      </c>
      <c r="I5824" s="399">
        <f t="shared" si="221"/>
        <v>3.23</v>
      </c>
      <c r="J5824" s="399"/>
      <c r="K5824" s="1259"/>
      <c r="L5824" s="431"/>
      <c r="M5824" s="431"/>
      <c r="N5824" s="431"/>
    </row>
    <row r="5825" spans="1:14" s="398" customFormat="1" hidden="1" outlineLevel="1">
      <c r="A5825" s="1221"/>
      <c r="B5825" s="425" t="s">
        <v>106</v>
      </c>
      <c r="C5825" s="333" t="s">
        <v>2</v>
      </c>
      <c r="D5825" s="392">
        <v>1</v>
      </c>
      <c r="E5825" s="165"/>
      <c r="F5825" s="401">
        <f>5.53+0.61*2</f>
        <v>6.75</v>
      </c>
      <c r="G5825" s="401">
        <v>0.61</v>
      </c>
      <c r="H5825" s="401">
        <v>0.82299999999999995</v>
      </c>
      <c r="I5825" s="399">
        <f t="shared" si="221"/>
        <v>3.39</v>
      </c>
      <c r="J5825" s="399"/>
      <c r="K5825" s="1259"/>
      <c r="L5825" s="431"/>
      <c r="M5825" s="431"/>
      <c r="N5825" s="431"/>
    </row>
    <row r="5826" spans="1:14" s="398" customFormat="1" hidden="1" outlineLevel="1">
      <c r="A5826" s="1221"/>
      <c r="B5826" s="425" t="s">
        <v>107</v>
      </c>
      <c r="C5826" s="333" t="s">
        <v>2</v>
      </c>
      <c r="D5826" s="392">
        <v>1</v>
      </c>
      <c r="E5826" s="165"/>
      <c r="F5826" s="401">
        <f>1.2+2.33+0.61*2</f>
        <v>4.75</v>
      </c>
      <c r="G5826" s="401">
        <v>0.61</v>
      </c>
      <c r="H5826" s="401">
        <v>0.82299999999999995</v>
      </c>
      <c r="I5826" s="399">
        <f t="shared" si="221"/>
        <v>2.38</v>
      </c>
      <c r="J5826" s="399"/>
      <c r="K5826" s="1259"/>
      <c r="L5826" s="431"/>
      <c r="M5826" s="431"/>
      <c r="N5826" s="431"/>
    </row>
    <row r="5827" spans="1:14" s="398" customFormat="1" hidden="1" outlineLevel="1">
      <c r="A5827" s="1221"/>
      <c r="B5827" s="425"/>
      <c r="C5827" s="333" t="s">
        <v>2</v>
      </c>
      <c r="D5827" s="392">
        <v>2</v>
      </c>
      <c r="E5827" s="165"/>
      <c r="F5827" s="401">
        <v>2.33</v>
      </c>
      <c r="G5827" s="401">
        <v>0.61</v>
      </c>
      <c r="H5827" s="401">
        <v>0.82299999999999995</v>
      </c>
      <c r="I5827" s="399">
        <f t="shared" si="221"/>
        <v>2.34</v>
      </c>
      <c r="J5827" s="399"/>
      <c r="K5827" s="1259"/>
      <c r="L5827" s="431"/>
      <c r="M5827" s="431"/>
      <c r="N5827" s="431"/>
    </row>
    <row r="5828" spans="1:14" s="398" customFormat="1" hidden="1" outlineLevel="1">
      <c r="A5828" s="1221"/>
      <c r="B5828" s="425"/>
      <c r="C5828" s="333" t="s">
        <v>2</v>
      </c>
      <c r="D5828" s="392">
        <v>2</v>
      </c>
      <c r="E5828" s="165"/>
      <c r="F5828" s="401">
        <f>0.9+2+1.43-2+0.61*2</f>
        <v>3.55</v>
      </c>
      <c r="G5828" s="401">
        <v>0.61</v>
      </c>
      <c r="H5828" s="401">
        <v>0.82299999999999995</v>
      </c>
      <c r="I5828" s="399">
        <f t="shared" si="221"/>
        <v>3.56</v>
      </c>
      <c r="J5828" s="399"/>
      <c r="K5828" s="1259"/>
      <c r="L5828" s="431"/>
      <c r="M5828" s="431"/>
      <c r="N5828" s="431"/>
    </row>
    <row r="5829" spans="1:14" s="398" customFormat="1" hidden="1" outlineLevel="1">
      <c r="A5829" s="1221"/>
      <c r="B5829" s="425"/>
      <c r="C5829" s="333" t="s">
        <v>2</v>
      </c>
      <c r="D5829" s="392">
        <v>1</v>
      </c>
      <c r="E5829" s="165"/>
      <c r="F5829" s="401">
        <f>1.43+0.61</f>
        <v>2.04</v>
      </c>
      <c r="G5829" s="401">
        <v>0.61</v>
      </c>
      <c r="H5829" s="401">
        <v>0.82299999999999995</v>
      </c>
      <c r="I5829" s="399">
        <f t="shared" si="221"/>
        <v>1.02</v>
      </c>
      <c r="J5829" s="399"/>
      <c r="K5829" s="1259"/>
      <c r="L5829" s="431"/>
      <c r="M5829" s="431"/>
      <c r="N5829" s="431"/>
    </row>
    <row r="5830" spans="1:14" s="398" customFormat="1" hidden="1" outlineLevel="1">
      <c r="A5830" s="1221"/>
      <c r="B5830" s="425"/>
      <c r="C5830" s="333" t="s">
        <v>2</v>
      </c>
      <c r="D5830" s="392">
        <v>1</v>
      </c>
      <c r="E5830" s="165"/>
      <c r="F5830" s="401">
        <f>1.43+2+0.61*2</f>
        <v>4.6499999999999995</v>
      </c>
      <c r="G5830" s="401">
        <v>0.61</v>
      </c>
      <c r="H5830" s="401">
        <v>0.82299999999999995</v>
      </c>
      <c r="I5830" s="399">
        <f t="shared" si="221"/>
        <v>2.33</v>
      </c>
      <c r="J5830" s="399"/>
      <c r="K5830" s="1259"/>
      <c r="L5830" s="431"/>
      <c r="M5830" s="431"/>
      <c r="N5830" s="431"/>
    </row>
    <row r="5831" spans="1:14" s="398" customFormat="1" hidden="1" outlineLevel="1">
      <c r="A5831" s="1221"/>
      <c r="B5831" s="425" t="s">
        <v>108</v>
      </c>
      <c r="C5831" s="333" t="s">
        <v>2</v>
      </c>
      <c r="D5831" s="392">
        <v>5</v>
      </c>
      <c r="E5831" s="165"/>
      <c r="F5831" s="401">
        <v>0.61499999999999999</v>
      </c>
      <c r="G5831" s="401">
        <v>0.61</v>
      </c>
      <c r="H5831" s="401">
        <v>0.82299999999999995</v>
      </c>
      <c r="I5831" s="399">
        <f t="shared" si="221"/>
        <v>1.54</v>
      </c>
      <c r="J5831" s="399"/>
      <c r="K5831" s="1259"/>
      <c r="L5831" s="431"/>
      <c r="M5831" s="431"/>
      <c r="N5831" s="431"/>
    </row>
    <row r="5832" spans="1:14" s="398" customFormat="1" hidden="1" outlineLevel="1">
      <c r="A5832" s="1221"/>
      <c r="B5832" s="425"/>
      <c r="C5832" s="333" t="s">
        <v>2</v>
      </c>
      <c r="D5832" s="392">
        <v>3</v>
      </c>
      <c r="E5832" s="165"/>
      <c r="F5832" s="401">
        <v>2.1549999999999998</v>
      </c>
      <c r="G5832" s="401">
        <v>0.61</v>
      </c>
      <c r="H5832" s="401">
        <v>0.82299999999999995</v>
      </c>
      <c r="I5832" s="399">
        <f t="shared" si="221"/>
        <v>3.25</v>
      </c>
      <c r="J5832" s="399"/>
      <c r="K5832" s="1259"/>
      <c r="L5832" s="431"/>
      <c r="M5832" s="431"/>
      <c r="N5832" s="431"/>
    </row>
    <row r="5833" spans="1:14" s="398" customFormat="1" hidden="1" outlineLevel="1">
      <c r="A5833" s="1221"/>
      <c r="B5833" s="425"/>
      <c r="C5833" s="333" t="s">
        <v>2</v>
      </c>
      <c r="D5833" s="392">
        <v>3</v>
      </c>
      <c r="E5833" s="165"/>
      <c r="F5833" s="401">
        <f>2.13-0.61*2</f>
        <v>0.90999999999999992</v>
      </c>
      <c r="G5833" s="401">
        <v>0.61</v>
      </c>
      <c r="H5833" s="401">
        <v>0.82299999999999995</v>
      </c>
      <c r="I5833" s="399">
        <f t="shared" si="221"/>
        <v>1.37</v>
      </c>
      <c r="J5833" s="399"/>
      <c r="K5833" s="1259"/>
      <c r="L5833" s="431"/>
      <c r="M5833" s="431"/>
      <c r="N5833" s="431"/>
    </row>
    <row r="5834" spans="1:14" s="398" customFormat="1" ht="34.5" hidden="1" outlineLevel="1">
      <c r="A5834" s="1221"/>
      <c r="B5834" s="425" t="s">
        <v>109</v>
      </c>
      <c r="C5834" s="333" t="s">
        <v>2</v>
      </c>
      <c r="D5834" s="392">
        <v>1</v>
      </c>
      <c r="E5834" s="165"/>
      <c r="F5834" s="401">
        <f>9.155+0.61*2</f>
        <v>10.375</v>
      </c>
      <c r="G5834" s="401">
        <v>0.61</v>
      </c>
      <c r="H5834" s="401">
        <v>0.82299999999999995</v>
      </c>
      <c r="I5834" s="399">
        <f t="shared" si="221"/>
        <v>5.21</v>
      </c>
      <c r="J5834" s="399"/>
      <c r="K5834" s="1259"/>
      <c r="L5834" s="431"/>
      <c r="M5834" s="431"/>
      <c r="N5834" s="431"/>
    </row>
    <row r="5835" spans="1:14" s="398" customFormat="1" hidden="1" outlineLevel="1">
      <c r="A5835" s="1221"/>
      <c r="B5835" s="425"/>
      <c r="C5835" s="333" t="s">
        <v>2</v>
      </c>
      <c r="D5835" s="392">
        <v>2</v>
      </c>
      <c r="E5835" s="165"/>
      <c r="F5835" s="401">
        <f>3+4.015+0.61</f>
        <v>7.625</v>
      </c>
      <c r="G5835" s="401">
        <v>0.61</v>
      </c>
      <c r="H5835" s="401">
        <v>0.82299999999999995</v>
      </c>
      <c r="I5835" s="399">
        <f t="shared" si="221"/>
        <v>7.66</v>
      </c>
      <c r="J5835" s="399"/>
      <c r="K5835" s="1259"/>
      <c r="L5835" s="431"/>
      <c r="M5835" s="431"/>
      <c r="N5835" s="431"/>
    </row>
    <row r="5836" spans="1:14" s="398" customFormat="1" hidden="1" outlineLevel="1">
      <c r="A5836" s="1221"/>
      <c r="B5836" s="425"/>
      <c r="C5836" s="333" t="s">
        <v>2</v>
      </c>
      <c r="D5836" s="392">
        <v>1</v>
      </c>
      <c r="E5836" s="165"/>
      <c r="F5836" s="401">
        <f>2.49+3+1.525+0.61*2</f>
        <v>8.2350000000000012</v>
      </c>
      <c r="G5836" s="401">
        <v>0.61</v>
      </c>
      <c r="H5836" s="401">
        <v>0.82299999999999995</v>
      </c>
      <c r="I5836" s="399">
        <f t="shared" si="221"/>
        <v>4.13</v>
      </c>
      <c r="J5836" s="399"/>
      <c r="K5836" s="1259"/>
      <c r="L5836" s="431"/>
      <c r="M5836" s="431"/>
      <c r="N5836" s="431"/>
    </row>
    <row r="5837" spans="1:14" s="398" customFormat="1" hidden="1" outlineLevel="1">
      <c r="A5837" s="1221"/>
      <c r="B5837" s="425"/>
      <c r="C5837" s="333" t="s">
        <v>2</v>
      </c>
      <c r="D5837" s="392">
        <v>1</v>
      </c>
      <c r="E5837" s="165"/>
      <c r="F5837" s="401">
        <f>1.2+2.14+2.44-2.14+0.61</f>
        <v>4.2499999999999991</v>
      </c>
      <c r="G5837" s="401">
        <v>0.61</v>
      </c>
      <c r="H5837" s="401">
        <v>0.82299999999999995</v>
      </c>
      <c r="I5837" s="399">
        <f t="shared" si="221"/>
        <v>2.13</v>
      </c>
      <c r="J5837" s="399"/>
      <c r="K5837" s="1259"/>
      <c r="L5837" s="431"/>
      <c r="M5837" s="431"/>
      <c r="N5837" s="431"/>
    </row>
    <row r="5838" spans="1:14" s="398" customFormat="1" hidden="1" outlineLevel="1">
      <c r="A5838" s="1221"/>
      <c r="B5838" s="425"/>
      <c r="C5838" s="333" t="s">
        <v>2</v>
      </c>
      <c r="D5838" s="392">
        <v>1</v>
      </c>
      <c r="E5838" s="165"/>
      <c r="F5838" s="401">
        <f>1.2+2.44+0.61*2</f>
        <v>4.8599999999999994</v>
      </c>
      <c r="G5838" s="401">
        <v>0.61</v>
      </c>
      <c r="H5838" s="401">
        <v>0.82299999999999995</v>
      </c>
      <c r="I5838" s="399">
        <f t="shared" si="221"/>
        <v>2.44</v>
      </c>
      <c r="J5838" s="399"/>
      <c r="K5838" s="1259"/>
      <c r="L5838" s="431"/>
      <c r="M5838" s="431"/>
      <c r="N5838" s="431"/>
    </row>
    <row r="5839" spans="1:14" s="398" customFormat="1" hidden="1" outlineLevel="1">
      <c r="A5839" s="1221"/>
      <c r="B5839" s="425"/>
      <c r="C5839" s="333" t="s">
        <v>2</v>
      </c>
      <c r="D5839" s="392">
        <v>2</v>
      </c>
      <c r="E5839" s="165"/>
      <c r="F5839" s="401">
        <f>3.965+0.61</f>
        <v>4.5750000000000002</v>
      </c>
      <c r="G5839" s="401">
        <v>0.61</v>
      </c>
      <c r="H5839" s="401">
        <v>0.82299999999999995</v>
      </c>
      <c r="I5839" s="399">
        <f t="shared" si="221"/>
        <v>4.59</v>
      </c>
      <c r="J5839" s="399"/>
      <c r="K5839" s="1259"/>
      <c r="L5839" s="431"/>
      <c r="M5839" s="431"/>
      <c r="N5839" s="431"/>
    </row>
    <row r="5840" spans="1:14" s="398" customFormat="1" hidden="1" outlineLevel="1">
      <c r="A5840" s="1221"/>
      <c r="B5840" s="425"/>
      <c r="C5840" s="333" t="s">
        <v>2</v>
      </c>
      <c r="D5840" s="392">
        <v>1</v>
      </c>
      <c r="E5840" s="165"/>
      <c r="F5840" s="401">
        <f>0.915+2.14+2.41-2.14+0.61</f>
        <v>3.9349999999999996</v>
      </c>
      <c r="G5840" s="401">
        <v>0.61</v>
      </c>
      <c r="H5840" s="401">
        <v>0.82299999999999995</v>
      </c>
      <c r="I5840" s="399">
        <f t="shared" si="221"/>
        <v>1.98</v>
      </c>
      <c r="J5840" s="399"/>
      <c r="K5840" s="1259"/>
      <c r="L5840" s="431"/>
      <c r="M5840" s="431"/>
      <c r="N5840" s="431"/>
    </row>
    <row r="5841" spans="1:14" s="398" customFormat="1" hidden="1" outlineLevel="1">
      <c r="A5841" s="1221"/>
      <c r="B5841" s="425"/>
      <c r="C5841" s="333" t="s">
        <v>2</v>
      </c>
      <c r="D5841" s="392">
        <v>1</v>
      </c>
      <c r="E5841" s="165"/>
      <c r="F5841" s="401">
        <f>0.915+2.41+0.61*2</f>
        <v>4.5449999999999999</v>
      </c>
      <c r="G5841" s="401">
        <v>0.61</v>
      </c>
      <c r="H5841" s="401">
        <v>0.82299999999999995</v>
      </c>
      <c r="I5841" s="399">
        <f t="shared" si="221"/>
        <v>2.2799999999999998</v>
      </c>
      <c r="J5841" s="399"/>
      <c r="K5841" s="1259"/>
      <c r="L5841" s="431"/>
      <c r="M5841" s="431"/>
      <c r="N5841" s="431"/>
    </row>
    <row r="5842" spans="1:14" s="398" customFormat="1" hidden="1" outlineLevel="1">
      <c r="A5842" s="1221"/>
      <c r="B5842" s="425"/>
      <c r="C5842" s="333" t="s">
        <v>2</v>
      </c>
      <c r="D5842" s="392">
        <v>1</v>
      </c>
      <c r="E5842" s="165"/>
      <c r="F5842" s="401">
        <f>2.41+0.61</f>
        <v>3.02</v>
      </c>
      <c r="G5842" s="401">
        <v>0.61</v>
      </c>
      <c r="H5842" s="401">
        <v>0.82299999999999995</v>
      </c>
      <c r="I5842" s="399">
        <f t="shared" si="221"/>
        <v>1.52</v>
      </c>
      <c r="J5842" s="399"/>
      <c r="K5842" s="1259"/>
      <c r="L5842" s="431"/>
      <c r="M5842" s="431"/>
      <c r="N5842" s="431"/>
    </row>
    <row r="5843" spans="1:14" s="398" customFormat="1" hidden="1" outlineLevel="1">
      <c r="A5843" s="1221"/>
      <c r="B5843" s="425"/>
      <c r="C5843" s="333" t="s">
        <v>2</v>
      </c>
      <c r="D5843" s="392">
        <v>1</v>
      </c>
      <c r="E5843" s="165"/>
      <c r="F5843" s="401">
        <v>3.01</v>
      </c>
      <c r="G5843" s="401">
        <v>0.61</v>
      </c>
      <c r="H5843" s="401">
        <v>0.82299999999999995</v>
      </c>
      <c r="I5843" s="399">
        <f t="shared" si="221"/>
        <v>1.51</v>
      </c>
      <c r="J5843" s="399"/>
      <c r="K5843" s="1259"/>
      <c r="L5843" s="431"/>
      <c r="M5843" s="431"/>
      <c r="N5843" s="431"/>
    </row>
    <row r="5844" spans="1:14" s="398" customFormat="1" hidden="1" outlineLevel="1">
      <c r="A5844" s="1221"/>
      <c r="B5844" s="425"/>
      <c r="C5844" s="333" t="s">
        <v>2</v>
      </c>
      <c r="D5844" s="392">
        <v>2</v>
      </c>
      <c r="E5844" s="165"/>
      <c r="F5844" s="401">
        <v>1.4850000000000001</v>
      </c>
      <c r="G5844" s="401">
        <v>0.61</v>
      </c>
      <c r="H5844" s="401">
        <v>0.82299999999999995</v>
      </c>
      <c r="I5844" s="399">
        <f t="shared" si="221"/>
        <v>1.49</v>
      </c>
      <c r="J5844" s="399"/>
      <c r="K5844" s="1259"/>
      <c r="L5844" s="431"/>
      <c r="M5844" s="431"/>
      <c r="N5844" s="431"/>
    </row>
    <row r="5845" spans="1:14" s="398" customFormat="1" hidden="1" outlineLevel="1">
      <c r="A5845" s="1221"/>
      <c r="B5845" s="425"/>
      <c r="C5845" s="333" t="s">
        <v>2</v>
      </c>
      <c r="D5845" s="392">
        <v>1</v>
      </c>
      <c r="E5845" s="165"/>
      <c r="F5845" s="401">
        <f>2.11+0.61*2</f>
        <v>3.33</v>
      </c>
      <c r="G5845" s="401">
        <v>0.61</v>
      </c>
      <c r="H5845" s="401">
        <v>0.82299999999999995</v>
      </c>
      <c r="I5845" s="399">
        <f t="shared" si="221"/>
        <v>1.67</v>
      </c>
      <c r="J5845" s="399"/>
      <c r="K5845" s="1259"/>
      <c r="L5845" s="431"/>
      <c r="M5845" s="431"/>
      <c r="N5845" s="431"/>
    </row>
    <row r="5846" spans="1:14" s="398" customFormat="1" ht="34.5" hidden="1" outlineLevel="1">
      <c r="A5846" s="1221"/>
      <c r="B5846" s="425" t="s">
        <v>110</v>
      </c>
      <c r="C5846" s="333" t="s">
        <v>2</v>
      </c>
      <c r="D5846" s="392">
        <v>5</v>
      </c>
      <c r="E5846" s="165"/>
      <c r="F5846" s="401">
        <v>0.6</v>
      </c>
      <c r="G5846" s="401">
        <v>0.61</v>
      </c>
      <c r="H5846" s="401">
        <v>0.82299999999999995</v>
      </c>
      <c r="I5846" s="399">
        <f t="shared" si="221"/>
        <v>1.51</v>
      </c>
      <c r="J5846" s="399"/>
      <c r="K5846" s="1259"/>
      <c r="L5846" s="431"/>
      <c r="M5846" s="431"/>
      <c r="N5846" s="431"/>
    </row>
    <row r="5847" spans="1:14" s="398" customFormat="1" hidden="1" outlineLevel="1">
      <c r="A5847" s="1221"/>
      <c r="B5847" s="425"/>
      <c r="C5847" s="333" t="s">
        <v>2</v>
      </c>
      <c r="D5847" s="438">
        <v>6</v>
      </c>
      <c r="E5847" s="165"/>
      <c r="F5847" s="401">
        <f>2-0.61*2</f>
        <v>0.78</v>
      </c>
      <c r="G5847" s="401">
        <v>0.61</v>
      </c>
      <c r="H5847" s="401">
        <v>0.82299999999999995</v>
      </c>
      <c r="I5847" s="399">
        <f t="shared" si="221"/>
        <v>2.35</v>
      </c>
      <c r="J5847" s="399"/>
      <c r="K5847" s="1259"/>
      <c r="L5847" s="431"/>
      <c r="M5847" s="431"/>
      <c r="N5847" s="431"/>
    </row>
    <row r="5848" spans="1:14" s="398" customFormat="1" hidden="1" outlineLevel="1">
      <c r="A5848" s="1221"/>
      <c r="B5848" s="425"/>
      <c r="C5848" s="333" t="s">
        <v>2</v>
      </c>
      <c r="D5848" s="392">
        <v>1</v>
      </c>
      <c r="E5848" s="165"/>
      <c r="F5848" s="401">
        <v>3.2050000000000001</v>
      </c>
      <c r="G5848" s="401">
        <v>0.61</v>
      </c>
      <c r="H5848" s="401">
        <v>0.82299999999999995</v>
      </c>
      <c r="I5848" s="399">
        <f t="shared" si="221"/>
        <v>1.61</v>
      </c>
      <c r="J5848" s="399"/>
      <c r="K5848" s="1259"/>
      <c r="L5848" s="431"/>
      <c r="M5848" s="431"/>
      <c r="N5848" s="431"/>
    </row>
    <row r="5849" spans="1:14" s="398" customFormat="1" hidden="1" outlineLevel="1">
      <c r="A5849" s="1221"/>
      <c r="B5849" s="425"/>
      <c r="C5849" s="333" t="s">
        <v>2</v>
      </c>
      <c r="D5849" s="392">
        <v>4</v>
      </c>
      <c r="E5849" s="165"/>
      <c r="F5849" s="401">
        <f>2.6-0.61</f>
        <v>1.9900000000000002</v>
      </c>
      <c r="G5849" s="401">
        <v>0.61</v>
      </c>
      <c r="H5849" s="401">
        <v>0.82299999999999995</v>
      </c>
      <c r="I5849" s="399">
        <f t="shared" si="221"/>
        <v>4</v>
      </c>
      <c r="J5849" s="399"/>
      <c r="K5849" s="1259"/>
      <c r="L5849" s="431"/>
      <c r="M5849" s="431"/>
      <c r="N5849" s="431"/>
    </row>
    <row r="5850" spans="1:14" s="398" customFormat="1" hidden="1" outlineLevel="1">
      <c r="A5850" s="1221"/>
      <c r="B5850" s="425"/>
      <c r="C5850" s="333" t="s">
        <v>2</v>
      </c>
      <c r="D5850" s="392">
        <v>1</v>
      </c>
      <c r="E5850" s="165"/>
      <c r="F5850" s="401">
        <f>2.6</f>
        <v>2.6</v>
      </c>
      <c r="G5850" s="401">
        <v>0.61</v>
      </c>
      <c r="H5850" s="401">
        <v>0.82299999999999995</v>
      </c>
      <c r="I5850" s="399">
        <f t="shared" si="221"/>
        <v>1.31</v>
      </c>
      <c r="J5850" s="399"/>
      <c r="K5850" s="1259"/>
      <c r="L5850" s="431"/>
      <c r="M5850" s="431"/>
      <c r="N5850" s="431"/>
    </row>
    <row r="5851" spans="1:14" s="398" customFormat="1" hidden="1" outlineLevel="1">
      <c r="A5851" s="1221"/>
      <c r="B5851" s="425"/>
      <c r="C5851" s="333" t="s">
        <v>2</v>
      </c>
      <c r="D5851" s="392">
        <v>1</v>
      </c>
      <c r="E5851" s="165"/>
      <c r="F5851" s="401">
        <v>3.2</v>
      </c>
      <c r="G5851" s="401">
        <v>0.61</v>
      </c>
      <c r="H5851" s="401">
        <v>0.82299999999999995</v>
      </c>
      <c r="I5851" s="399">
        <f t="shared" si="221"/>
        <v>1.61</v>
      </c>
      <c r="J5851" s="399"/>
      <c r="K5851" s="1259"/>
      <c r="L5851" s="431"/>
      <c r="M5851" s="431"/>
      <c r="N5851" s="431"/>
    </row>
    <row r="5852" spans="1:14" s="398" customFormat="1" ht="34.5" hidden="1" outlineLevel="1">
      <c r="A5852" s="1221"/>
      <c r="B5852" s="425" t="s">
        <v>111</v>
      </c>
      <c r="C5852" s="333" t="s">
        <v>2</v>
      </c>
      <c r="D5852" s="392">
        <v>1</v>
      </c>
      <c r="E5852" s="165"/>
      <c r="F5852" s="401">
        <f>8.8+0.61*2</f>
        <v>10.020000000000001</v>
      </c>
      <c r="G5852" s="401">
        <v>0.61</v>
      </c>
      <c r="H5852" s="401">
        <v>0.82299999999999995</v>
      </c>
      <c r="I5852" s="399">
        <f t="shared" si="221"/>
        <v>5.03</v>
      </c>
      <c r="J5852" s="399"/>
      <c r="K5852" s="1259"/>
      <c r="L5852" s="431"/>
      <c r="M5852" s="431"/>
      <c r="N5852" s="431"/>
    </row>
    <row r="5853" spans="1:14" s="398" customFormat="1" hidden="1" outlineLevel="1">
      <c r="A5853" s="1221"/>
      <c r="B5853" s="425" t="s">
        <v>112</v>
      </c>
      <c r="C5853" s="333" t="s">
        <v>2</v>
      </c>
      <c r="D5853" s="392">
        <v>1</v>
      </c>
      <c r="E5853" s="165"/>
      <c r="F5853" s="401">
        <f>4.2+2.8+0.61*2</f>
        <v>8.2200000000000006</v>
      </c>
      <c r="G5853" s="401">
        <v>0.61</v>
      </c>
      <c r="H5853" s="401">
        <v>0.82299999999999995</v>
      </c>
      <c r="I5853" s="399">
        <f t="shared" si="221"/>
        <v>4.13</v>
      </c>
      <c r="J5853" s="399"/>
      <c r="K5853" s="1259"/>
      <c r="L5853" s="431"/>
      <c r="M5853" s="431"/>
      <c r="N5853" s="431"/>
    </row>
    <row r="5854" spans="1:14" s="398" customFormat="1" hidden="1" outlineLevel="1">
      <c r="A5854" s="1221"/>
      <c r="B5854" s="425"/>
      <c r="C5854" s="333" t="s">
        <v>2</v>
      </c>
      <c r="D5854" s="392">
        <v>1</v>
      </c>
      <c r="E5854" s="165"/>
      <c r="F5854" s="401">
        <f>2+4.2+1.8+0.61*2</f>
        <v>9.2200000000000006</v>
      </c>
      <c r="G5854" s="401">
        <v>0.61</v>
      </c>
      <c r="H5854" s="401">
        <v>0.82299999999999995</v>
      </c>
      <c r="I5854" s="399">
        <f t="shared" si="221"/>
        <v>4.63</v>
      </c>
      <c r="J5854" s="399"/>
      <c r="K5854" s="1259"/>
      <c r="L5854" s="431"/>
      <c r="M5854" s="431"/>
      <c r="N5854" s="431"/>
    </row>
    <row r="5855" spans="1:14" s="398" customFormat="1" hidden="1" outlineLevel="1">
      <c r="A5855" s="1221"/>
      <c r="B5855" s="425"/>
      <c r="C5855" s="333" t="s">
        <v>2</v>
      </c>
      <c r="D5855" s="392">
        <v>1</v>
      </c>
      <c r="E5855" s="165"/>
      <c r="F5855" s="401">
        <f>2+6+0.61</f>
        <v>8.61</v>
      </c>
      <c r="G5855" s="401">
        <v>0.61</v>
      </c>
      <c r="H5855" s="401">
        <v>0.82299999999999995</v>
      </c>
      <c r="I5855" s="399">
        <f t="shared" si="221"/>
        <v>4.32</v>
      </c>
      <c r="J5855" s="399"/>
      <c r="K5855" s="1259"/>
      <c r="L5855" s="431"/>
      <c r="M5855" s="431"/>
      <c r="N5855" s="431"/>
    </row>
    <row r="5856" spans="1:14" s="398" customFormat="1" hidden="1" outlineLevel="1">
      <c r="A5856" s="1221"/>
      <c r="B5856" s="425"/>
      <c r="C5856" s="333" t="s">
        <v>2</v>
      </c>
      <c r="D5856" s="392">
        <v>2</v>
      </c>
      <c r="E5856" s="165"/>
      <c r="F5856" s="401">
        <f>6+1+0.61*2</f>
        <v>8.2200000000000006</v>
      </c>
      <c r="G5856" s="401">
        <v>0.61</v>
      </c>
      <c r="H5856" s="401">
        <v>0.82299999999999995</v>
      </c>
      <c r="I5856" s="399">
        <f t="shared" si="221"/>
        <v>8.25</v>
      </c>
      <c r="J5856" s="399"/>
      <c r="K5856" s="1259"/>
      <c r="L5856" s="431"/>
      <c r="M5856" s="431"/>
      <c r="N5856" s="431"/>
    </row>
    <row r="5857" spans="1:14" s="398" customFormat="1" hidden="1" outlineLevel="1">
      <c r="A5857" s="1221"/>
      <c r="B5857" s="425"/>
      <c r="C5857" s="333" t="s">
        <v>2</v>
      </c>
      <c r="D5857" s="392">
        <v>1</v>
      </c>
      <c r="E5857" s="165"/>
      <c r="F5857" s="401">
        <f>2.7+1.8+0.61*2</f>
        <v>5.72</v>
      </c>
      <c r="G5857" s="401">
        <v>0.61</v>
      </c>
      <c r="H5857" s="401">
        <v>0.82299999999999995</v>
      </c>
      <c r="I5857" s="399">
        <f t="shared" si="221"/>
        <v>2.87</v>
      </c>
      <c r="J5857" s="399"/>
      <c r="K5857" s="1259"/>
      <c r="L5857" s="431"/>
      <c r="M5857" s="431"/>
      <c r="N5857" s="431"/>
    </row>
    <row r="5858" spans="1:14" s="398" customFormat="1" hidden="1" outlineLevel="1">
      <c r="A5858" s="1221"/>
      <c r="B5858" s="425"/>
      <c r="C5858" s="333" t="s">
        <v>2</v>
      </c>
      <c r="D5858" s="392">
        <v>2</v>
      </c>
      <c r="E5858" s="165"/>
      <c r="F5858" s="401">
        <f>4.5+0.61</f>
        <v>5.1100000000000003</v>
      </c>
      <c r="G5858" s="401">
        <v>0.61</v>
      </c>
      <c r="H5858" s="401">
        <v>0.82299999999999995</v>
      </c>
      <c r="I5858" s="399">
        <f t="shared" si="221"/>
        <v>5.13</v>
      </c>
      <c r="J5858" s="399"/>
      <c r="K5858" s="1259"/>
      <c r="L5858" s="431"/>
      <c r="M5858" s="431"/>
      <c r="N5858" s="431"/>
    </row>
    <row r="5859" spans="1:14" s="398" customFormat="1" hidden="1" outlineLevel="1">
      <c r="A5859" s="1221"/>
      <c r="B5859" s="425"/>
      <c r="C5859" s="333" t="s">
        <v>2</v>
      </c>
      <c r="D5859" s="392">
        <v>1</v>
      </c>
      <c r="E5859" s="165"/>
      <c r="F5859" s="401">
        <f>7.5+0.61*2</f>
        <v>8.7200000000000006</v>
      </c>
      <c r="G5859" s="401">
        <v>0.61</v>
      </c>
      <c r="H5859" s="401">
        <v>0.82299999999999995</v>
      </c>
      <c r="I5859" s="399">
        <f t="shared" si="221"/>
        <v>4.38</v>
      </c>
      <c r="J5859" s="399"/>
      <c r="K5859" s="1259"/>
      <c r="L5859" s="431"/>
      <c r="M5859" s="431"/>
      <c r="N5859" s="431"/>
    </row>
    <row r="5860" spans="1:14" s="398" customFormat="1" ht="34.5" hidden="1" outlineLevel="1">
      <c r="A5860" s="1221"/>
      <c r="B5860" s="425" t="s">
        <v>113</v>
      </c>
      <c r="C5860" s="333" t="s">
        <v>2</v>
      </c>
      <c r="D5860" s="392">
        <v>8</v>
      </c>
      <c r="E5860" s="165"/>
      <c r="F5860" s="401">
        <v>0.61499999999999999</v>
      </c>
      <c r="G5860" s="401">
        <v>0.61</v>
      </c>
      <c r="H5860" s="401">
        <v>0.82299999999999995</v>
      </c>
      <c r="I5860" s="399">
        <f t="shared" si="221"/>
        <v>2.4700000000000002</v>
      </c>
      <c r="J5860" s="399"/>
      <c r="K5860" s="1259"/>
      <c r="L5860" s="431"/>
      <c r="M5860" s="431"/>
      <c r="N5860" s="431"/>
    </row>
    <row r="5861" spans="1:14" s="398" customFormat="1" hidden="1" outlineLevel="1">
      <c r="A5861" s="1221"/>
      <c r="B5861" s="425" t="s">
        <v>112</v>
      </c>
      <c r="C5861" s="333" t="s">
        <v>2</v>
      </c>
      <c r="D5861" s="392">
        <v>2</v>
      </c>
      <c r="E5861" s="165"/>
      <c r="F5861" s="401">
        <v>1.2250000000000001</v>
      </c>
      <c r="G5861" s="401">
        <v>0.61</v>
      </c>
      <c r="H5861" s="401">
        <v>0.82299999999999995</v>
      </c>
      <c r="I5861" s="399">
        <f t="shared" si="221"/>
        <v>1.23</v>
      </c>
      <c r="J5861" s="399"/>
      <c r="K5861" s="1259"/>
      <c r="L5861" s="431"/>
      <c r="M5861" s="431"/>
      <c r="N5861" s="431"/>
    </row>
    <row r="5862" spans="1:14" s="398" customFormat="1" hidden="1" outlineLevel="1">
      <c r="A5862" s="1221"/>
      <c r="B5862" s="425"/>
      <c r="C5862" s="333" t="s">
        <v>2</v>
      </c>
      <c r="D5862" s="392">
        <v>2</v>
      </c>
      <c r="E5862" s="165"/>
      <c r="F5862" s="401">
        <f>2.745-0.615</f>
        <v>2.13</v>
      </c>
      <c r="G5862" s="401">
        <v>0.61</v>
      </c>
      <c r="H5862" s="401">
        <v>0.82299999999999995</v>
      </c>
      <c r="I5862" s="399">
        <f t="shared" si="221"/>
        <v>2.14</v>
      </c>
      <c r="J5862" s="399"/>
      <c r="K5862" s="1259"/>
      <c r="L5862" s="431"/>
      <c r="M5862" s="431"/>
      <c r="N5862" s="431"/>
    </row>
    <row r="5863" spans="1:14" s="398" customFormat="1" hidden="1" outlineLevel="1">
      <c r="A5863" s="1221"/>
      <c r="B5863" s="425"/>
      <c r="C5863" s="333" t="s">
        <v>2</v>
      </c>
      <c r="D5863" s="392">
        <v>4</v>
      </c>
      <c r="E5863" s="165"/>
      <c r="F5863" s="401">
        <f>2.13-0.61*2</f>
        <v>0.90999999999999992</v>
      </c>
      <c r="G5863" s="401">
        <v>0.61</v>
      </c>
      <c r="H5863" s="401">
        <v>0.82299999999999995</v>
      </c>
      <c r="I5863" s="399">
        <f t="shared" si="221"/>
        <v>1.83</v>
      </c>
      <c r="J5863" s="399"/>
      <c r="K5863" s="1259"/>
      <c r="L5863" s="431"/>
      <c r="M5863" s="431"/>
      <c r="N5863" s="431"/>
    </row>
    <row r="5864" spans="1:14" s="398" customFormat="1" ht="34.5" hidden="1" outlineLevel="1">
      <c r="A5864" s="1221"/>
      <c r="B5864" s="425" t="s">
        <v>111</v>
      </c>
      <c r="C5864" s="333" t="s">
        <v>2</v>
      </c>
      <c r="D5864" s="392">
        <v>1</v>
      </c>
      <c r="E5864" s="165"/>
      <c r="F5864" s="401">
        <f>0.2+6+1.8+0.61*2</f>
        <v>9.2200000000000006</v>
      </c>
      <c r="G5864" s="401">
        <v>0.61</v>
      </c>
      <c r="H5864" s="401">
        <v>0.82299999999999995</v>
      </c>
      <c r="I5864" s="399">
        <f t="shared" si="221"/>
        <v>4.63</v>
      </c>
      <c r="J5864" s="399"/>
      <c r="K5864" s="1259"/>
      <c r="L5864" s="431"/>
      <c r="M5864" s="431"/>
      <c r="N5864" s="431"/>
    </row>
    <row r="5865" spans="1:14" s="398" customFormat="1" hidden="1" outlineLevel="1">
      <c r="A5865" s="1221"/>
      <c r="B5865" s="425" t="s">
        <v>114</v>
      </c>
      <c r="C5865" s="333" t="s">
        <v>2</v>
      </c>
      <c r="D5865" s="392">
        <v>1</v>
      </c>
      <c r="E5865" s="165"/>
      <c r="F5865" s="401">
        <f>6+0.2+0.61</f>
        <v>6.8100000000000005</v>
      </c>
      <c r="G5865" s="401">
        <v>0.61</v>
      </c>
      <c r="H5865" s="401">
        <v>0.82299999999999995</v>
      </c>
      <c r="I5865" s="399">
        <f t="shared" si="221"/>
        <v>3.42</v>
      </c>
      <c r="J5865" s="399"/>
      <c r="K5865" s="1259"/>
      <c r="L5865" s="431"/>
      <c r="M5865" s="431"/>
      <c r="N5865" s="431"/>
    </row>
    <row r="5866" spans="1:14" s="398" customFormat="1" hidden="1" outlineLevel="1">
      <c r="A5866" s="1221"/>
      <c r="B5866" s="425"/>
      <c r="C5866" s="333" t="s">
        <v>2</v>
      </c>
      <c r="D5866" s="392">
        <v>2</v>
      </c>
      <c r="E5866" s="165"/>
      <c r="F5866" s="401">
        <f>3.2+1.8+3-1.8+0.61*2</f>
        <v>7.42</v>
      </c>
      <c r="G5866" s="401">
        <v>0.61</v>
      </c>
      <c r="H5866" s="401">
        <v>0.82299999999999995</v>
      </c>
      <c r="I5866" s="399">
        <f t="shared" si="221"/>
        <v>7.45</v>
      </c>
      <c r="J5866" s="399"/>
      <c r="K5866" s="1259"/>
      <c r="L5866" s="431"/>
      <c r="M5866" s="431"/>
      <c r="N5866" s="431"/>
    </row>
    <row r="5867" spans="1:14" s="398" customFormat="1" hidden="1" outlineLevel="1">
      <c r="A5867" s="1221"/>
      <c r="B5867" s="425"/>
      <c r="C5867" s="333" t="s">
        <v>2</v>
      </c>
      <c r="D5867" s="392">
        <v>2</v>
      </c>
      <c r="E5867" s="165"/>
      <c r="F5867" s="401">
        <f>6+1.2+0.61*2</f>
        <v>8.42</v>
      </c>
      <c r="G5867" s="401">
        <v>0.61</v>
      </c>
      <c r="H5867" s="401">
        <v>0.82299999999999995</v>
      </c>
      <c r="I5867" s="399">
        <f t="shared" si="221"/>
        <v>8.4499999999999993</v>
      </c>
      <c r="J5867" s="399"/>
      <c r="K5867" s="1259"/>
      <c r="L5867" s="431"/>
      <c r="M5867" s="431"/>
      <c r="N5867" s="431"/>
    </row>
    <row r="5868" spans="1:14" s="398" customFormat="1" hidden="1" outlineLevel="1">
      <c r="A5868" s="1221"/>
      <c r="B5868" s="425"/>
      <c r="C5868" s="333" t="s">
        <v>2</v>
      </c>
      <c r="D5868" s="392">
        <v>2</v>
      </c>
      <c r="E5868" s="165"/>
      <c r="F5868" s="401">
        <f>2+7.8-1.8+0.61*2</f>
        <v>9.2200000000000006</v>
      </c>
      <c r="G5868" s="401">
        <v>0.61</v>
      </c>
      <c r="H5868" s="401">
        <v>0.82299999999999995</v>
      </c>
      <c r="I5868" s="399">
        <f t="shared" si="221"/>
        <v>9.26</v>
      </c>
      <c r="J5868" s="399"/>
      <c r="K5868" s="1259"/>
      <c r="L5868" s="431"/>
      <c r="M5868" s="431"/>
      <c r="N5868" s="431"/>
    </row>
    <row r="5869" spans="1:14" s="398" customFormat="1" ht="34.5" hidden="1" outlineLevel="1">
      <c r="A5869" s="1221"/>
      <c r="B5869" s="425" t="s">
        <v>115</v>
      </c>
      <c r="C5869" s="333" t="s">
        <v>2</v>
      </c>
      <c r="D5869" s="392">
        <v>6</v>
      </c>
      <c r="E5869" s="165"/>
      <c r="F5869" s="401">
        <v>0.61499999999999999</v>
      </c>
      <c r="G5869" s="401">
        <v>0.61</v>
      </c>
      <c r="H5869" s="401">
        <v>0.82299999999999995</v>
      </c>
      <c r="I5869" s="399">
        <f t="shared" si="221"/>
        <v>1.85</v>
      </c>
      <c r="J5869" s="399"/>
      <c r="K5869" s="1259"/>
      <c r="L5869" s="431"/>
      <c r="M5869" s="431"/>
      <c r="N5869" s="431"/>
    </row>
    <row r="5870" spans="1:14" s="398" customFormat="1" hidden="1" outlineLevel="1">
      <c r="A5870" s="1221"/>
      <c r="B5870" s="425" t="s">
        <v>114</v>
      </c>
      <c r="C5870" s="333" t="s">
        <v>2</v>
      </c>
      <c r="D5870" s="392">
        <v>2</v>
      </c>
      <c r="E5870" s="165"/>
      <c r="F5870" s="401">
        <f>2.745-0.61</f>
        <v>2.1350000000000002</v>
      </c>
      <c r="G5870" s="401">
        <v>0.61</v>
      </c>
      <c r="H5870" s="401">
        <v>0.82299999999999995</v>
      </c>
      <c r="I5870" s="399">
        <f t="shared" si="221"/>
        <v>2.14</v>
      </c>
      <c r="J5870" s="399"/>
      <c r="K5870" s="1259"/>
      <c r="L5870" s="431"/>
      <c r="M5870" s="431"/>
      <c r="N5870" s="431"/>
    </row>
    <row r="5871" spans="1:14" s="398" customFormat="1" hidden="1" outlineLevel="1">
      <c r="A5871" s="1221"/>
      <c r="B5871" s="425"/>
      <c r="C5871" s="333" t="s">
        <v>2</v>
      </c>
      <c r="D5871" s="392">
        <v>4</v>
      </c>
      <c r="E5871" s="165"/>
      <c r="F5871" s="401">
        <f>2.13-0.61*2</f>
        <v>0.90999999999999992</v>
      </c>
      <c r="G5871" s="401">
        <v>0.61</v>
      </c>
      <c r="H5871" s="401">
        <v>0.82299999999999995</v>
      </c>
      <c r="I5871" s="399">
        <f t="shared" si="221"/>
        <v>1.83</v>
      </c>
      <c r="J5871" s="399"/>
      <c r="K5871" s="1259"/>
      <c r="L5871" s="431"/>
      <c r="M5871" s="431"/>
      <c r="N5871" s="431"/>
    </row>
    <row r="5872" spans="1:14" s="398" customFormat="1" ht="34.5" hidden="1" outlineLevel="1">
      <c r="A5872" s="1221"/>
      <c r="B5872" s="425" t="s">
        <v>111</v>
      </c>
      <c r="C5872" s="333" t="s">
        <v>2</v>
      </c>
      <c r="D5872" s="392">
        <v>1</v>
      </c>
      <c r="E5872" s="165"/>
      <c r="F5872" s="401">
        <f>6.78+0.61*2</f>
        <v>8</v>
      </c>
      <c r="G5872" s="401">
        <v>0.61</v>
      </c>
      <c r="H5872" s="401">
        <v>0.82299999999999995</v>
      </c>
      <c r="I5872" s="399">
        <f t="shared" si="221"/>
        <v>4.0199999999999996</v>
      </c>
      <c r="J5872" s="399"/>
      <c r="K5872" s="1259"/>
      <c r="L5872" s="431"/>
      <c r="M5872" s="431"/>
      <c r="N5872" s="431"/>
    </row>
    <row r="5873" spans="1:14" s="398" customFormat="1" hidden="1" outlineLevel="1">
      <c r="A5873" s="1221"/>
      <c r="B5873" s="425" t="s">
        <v>116</v>
      </c>
      <c r="C5873" s="333" t="s">
        <v>2</v>
      </c>
      <c r="D5873" s="392">
        <v>1</v>
      </c>
      <c r="E5873" s="165"/>
      <c r="F5873" s="401">
        <f>5+0.61</f>
        <v>5.61</v>
      </c>
      <c r="G5873" s="401">
        <v>0.61</v>
      </c>
      <c r="H5873" s="401">
        <v>0.82299999999999995</v>
      </c>
      <c r="I5873" s="399">
        <f t="shared" si="221"/>
        <v>2.82</v>
      </c>
      <c r="J5873" s="399"/>
      <c r="K5873" s="1259"/>
      <c r="L5873" s="431"/>
      <c r="M5873" s="431"/>
      <c r="N5873" s="431"/>
    </row>
    <row r="5874" spans="1:14" s="398" customFormat="1" hidden="1" outlineLevel="1">
      <c r="A5874" s="1221"/>
      <c r="B5874" s="425"/>
      <c r="C5874" s="333" t="s">
        <v>2</v>
      </c>
      <c r="D5874" s="392">
        <v>1</v>
      </c>
      <c r="E5874" s="165"/>
      <c r="F5874" s="401">
        <f>4+0.61</f>
        <v>4.6100000000000003</v>
      </c>
      <c r="G5874" s="401">
        <v>0.61</v>
      </c>
      <c r="H5874" s="401">
        <v>0.82299999999999995</v>
      </c>
      <c r="I5874" s="399">
        <f t="shared" si="221"/>
        <v>2.31</v>
      </c>
      <c r="J5874" s="399"/>
      <c r="K5874" s="1259"/>
      <c r="L5874" s="431"/>
      <c r="M5874" s="431"/>
      <c r="N5874" s="431"/>
    </row>
    <row r="5875" spans="1:14" s="398" customFormat="1" hidden="1" outlineLevel="1">
      <c r="A5875" s="1221"/>
      <c r="B5875" s="425"/>
      <c r="C5875" s="333" t="s">
        <v>2</v>
      </c>
      <c r="D5875" s="438">
        <v>2</v>
      </c>
      <c r="E5875" s="165"/>
      <c r="F5875" s="401">
        <f>4+0.61*2</f>
        <v>5.22</v>
      </c>
      <c r="G5875" s="401">
        <v>0.61</v>
      </c>
      <c r="H5875" s="401">
        <v>0.82299999999999995</v>
      </c>
      <c r="I5875" s="399">
        <f t="shared" si="221"/>
        <v>5.24</v>
      </c>
      <c r="J5875" s="399"/>
      <c r="K5875" s="1259"/>
      <c r="L5875" s="431"/>
      <c r="M5875" s="431"/>
      <c r="N5875" s="431"/>
    </row>
    <row r="5876" spans="1:14" s="398" customFormat="1" hidden="1" outlineLevel="1">
      <c r="A5876" s="1221"/>
      <c r="B5876" s="425"/>
      <c r="C5876" s="333" t="s">
        <v>2</v>
      </c>
      <c r="D5876" s="392">
        <v>3</v>
      </c>
      <c r="E5876" s="165"/>
      <c r="F5876" s="401">
        <f>3+0.61</f>
        <v>3.61</v>
      </c>
      <c r="G5876" s="401">
        <v>0.61</v>
      </c>
      <c r="H5876" s="401">
        <v>0.82299999999999995</v>
      </c>
      <c r="I5876" s="399">
        <f t="shared" si="221"/>
        <v>5.44</v>
      </c>
      <c r="J5876" s="399"/>
      <c r="K5876" s="1259"/>
      <c r="L5876" s="431"/>
      <c r="M5876" s="431"/>
      <c r="N5876" s="431"/>
    </row>
    <row r="5877" spans="1:14" s="398" customFormat="1" hidden="1" outlineLevel="1">
      <c r="A5877" s="1221"/>
      <c r="B5877" s="425"/>
      <c r="C5877" s="333" t="s">
        <v>2</v>
      </c>
      <c r="D5877" s="392">
        <v>1</v>
      </c>
      <c r="E5877" s="165"/>
      <c r="F5877" s="401">
        <f>5+0.61</f>
        <v>5.61</v>
      </c>
      <c r="G5877" s="401">
        <v>0.61</v>
      </c>
      <c r="H5877" s="401">
        <v>0.82299999999999995</v>
      </c>
      <c r="I5877" s="399">
        <f t="shared" si="221"/>
        <v>2.82</v>
      </c>
      <c r="J5877" s="399"/>
      <c r="K5877" s="1259"/>
      <c r="L5877" s="431"/>
      <c r="M5877" s="431"/>
      <c r="N5877" s="431"/>
    </row>
    <row r="5878" spans="1:14" s="398" customFormat="1" hidden="1" outlineLevel="1">
      <c r="A5878" s="1221"/>
      <c r="B5878" s="425"/>
      <c r="C5878" s="333" t="s">
        <v>2</v>
      </c>
      <c r="D5878" s="392">
        <v>1</v>
      </c>
      <c r="E5878" s="165"/>
      <c r="F5878" s="401">
        <f>3+0.2+0.61*2</f>
        <v>4.42</v>
      </c>
      <c r="G5878" s="401">
        <v>0.61</v>
      </c>
      <c r="H5878" s="401">
        <v>0.82299999999999995</v>
      </c>
      <c r="I5878" s="399">
        <f t="shared" si="221"/>
        <v>2.2200000000000002</v>
      </c>
      <c r="J5878" s="399"/>
      <c r="K5878" s="1259"/>
      <c r="L5878" s="431"/>
      <c r="M5878" s="431"/>
      <c r="N5878" s="431"/>
    </row>
    <row r="5879" spans="1:14" s="398" customFormat="1" hidden="1" outlineLevel="1">
      <c r="A5879" s="1221"/>
      <c r="B5879" s="425"/>
      <c r="C5879" s="333" t="s">
        <v>2</v>
      </c>
      <c r="D5879" s="392">
        <v>1</v>
      </c>
      <c r="E5879" s="165"/>
      <c r="F5879" s="401">
        <f>4.8+0.61*2</f>
        <v>6.02</v>
      </c>
      <c r="G5879" s="401">
        <v>0.61</v>
      </c>
      <c r="H5879" s="401">
        <v>0.82299999999999995</v>
      </c>
      <c r="I5879" s="399">
        <f t="shared" si="221"/>
        <v>3.02</v>
      </c>
      <c r="J5879" s="399"/>
      <c r="K5879" s="1259"/>
      <c r="L5879" s="431"/>
      <c r="M5879" s="431"/>
      <c r="N5879" s="431"/>
    </row>
    <row r="5880" spans="1:14" s="398" customFormat="1" ht="34.5" hidden="1" outlineLevel="1">
      <c r="A5880" s="1221"/>
      <c r="B5880" s="425" t="s">
        <v>115</v>
      </c>
      <c r="C5880" s="333" t="s">
        <v>2</v>
      </c>
      <c r="D5880" s="392">
        <v>5</v>
      </c>
      <c r="E5880" s="165"/>
      <c r="F5880" s="401">
        <v>0.61499999999999999</v>
      </c>
      <c r="G5880" s="401">
        <v>0.61</v>
      </c>
      <c r="H5880" s="401">
        <v>0.82299999999999995</v>
      </c>
      <c r="I5880" s="399">
        <f t="shared" si="221"/>
        <v>1.54</v>
      </c>
      <c r="J5880" s="399"/>
      <c r="K5880" s="1259"/>
      <c r="L5880" s="431"/>
      <c r="M5880" s="431"/>
      <c r="N5880" s="431"/>
    </row>
    <row r="5881" spans="1:14" s="398" customFormat="1" hidden="1" outlineLevel="1">
      <c r="A5881" s="1221"/>
      <c r="B5881" s="425" t="s">
        <v>116</v>
      </c>
      <c r="C5881" s="333" t="s">
        <v>2</v>
      </c>
      <c r="D5881" s="392">
        <v>3</v>
      </c>
      <c r="E5881" s="165"/>
      <c r="F5881" s="401">
        <v>3.36</v>
      </c>
      <c r="G5881" s="401">
        <v>0.61</v>
      </c>
      <c r="H5881" s="401">
        <v>0.82299999999999995</v>
      </c>
      <c r="I5881" s="399">
        <f t="shared" si="221"/>
        <v>5.0599999999999996</v>
      </c>
      <c r="J5881" s="399"/>
      <c r="K5881" s="1259"/>
      <c r="L5881" s="431"/>
      <c r="M5881" s="431"/>
      <c r="N5881" s="431"/>
    </row>
    <row r="5882" spans="1:14" s="398" customFormat="1" hidden="1" outlineLevel="1">
      <c r="A5882" s="1221"/>
      <c r="B5882" s="425"/>
      <c r="C5882" s="333" t="s">
        <v>2</v>
      </c>
      <c r="D5882" s="392">
        <v>6</v>
      </c>
      <c r="E5882" s="165"/>
      <c r="F5882" s="401">
        <f>3.36-0.615*2-0.61*2</f>
        <v>0.90999999999999992</v>
      </c>
      <c r="G5882" s="401">
        <v>0.61</v>
      </c>
      <c r="H5882" s="401">
        <v>0.82299999999999995</v>
      </c>
      <c r="I5882" s="399">
        <f t="shared" si="221"/>
        <v>2.74</v>
      </c>
      <c r="J5882" s="399"/>
      <c r="K5882" s="1259"/>
      <c r="L5882" s="431"/>
      <c r="M5882" s="431"/>
      <c r="N5882" s="431"/>
    </row>
    <row r="5883" spans="1:14" s="398" customFormat="1" hidden="1" outlineLevel="1">
      <c r="A5883" s="1221"/>
      <c r="B5883" s="425"/>
      <c r="C5883" s="333" t="s">
        <v>2</v>
      </c>
      <c r="D5883" s="392">
        <v>1</v>
      </c>
      <c r="E5883" s="165"/>
      <c r="F5883" s="401">
        <f>2.745-0.61</f>
        <v>2.1350000000000002</v>
      </c>
      <c r="G5883" s="401">
        <v>0.61</v>
      </c>
      <c r="H5883" s="401">
        <v>0.82299999999999995</v>
      </c>
      <c r="I5883" s="399">
        <f t="shared" si="221"/>
        <v>1.07</v>
      </c>
      <c r="J5883" s="399"/>
      <c r="K5883" s="1259"/>
      <c r="L5883" s="431"/>
      <c r="M5883" s="431"/>
      <c r="N5883" s="431"/>
    </row>
    <row r="5884" spans="1:14" s="398" customFormat="1" ht="34.5" hidden="1" outlineLevel="1">
      <c r="A5884" s="1221"/>
      <c r="B5884" s="425" t="s">
        <v>117</v>
      </c>
      <c r="C5884" s="333" t="s">
        <v>2</v>
      </c>
      <c r="D5884" s="392">
        <v>1</v>
      </c>
      <c r="E5884" s="165"/>
      <c r="F5884" s="401">
        <f>7.18+2+1.5+0.61*2</f>
        <v>11.9</v>
      </c>
      <c r="G5884" s="401">
        <v>0.61</v>
      </c>
      <c r="H5884" s="401">
        <v>0.82299999999999995</v>
      </c>
      <c r="I5884" s="399">
        <f t="shared" si="221"/>
        <v>5.97</v>
      </c>
      <c r="J5884" s="399"/>
      <c r="K5884" s="1259"/>
      <c r="L5884" s="431"/>
      <c r="M5884" s="431"/>
      <c r="N5884" s="431"/>
    </row>
    <row r="5885" spans="1:14" s="398" customFormat="1" hidden="1" outlineLevel="1">
      <c r="A5885" s="1221"/>
      <c r="B5885" s="425" t="s">
        <v>118</v>
      </c>
      <c r="C5885" s="333" t="s">
        <v>2</v>
      </c>
      <c r="D5885" s="392">
        <v>1</v>
      </c>
      <c r="E5885" s="165"/>
      <c r="F5885" s="401">
        <f>7.18+0.61</f>
        <v>7.79</v>
      </c>
      <c r="G5885" s="401">
        <v>0.61</v>
      </c>
      <c r="H5885" s="401">
        <v>0.82299999999999995</v>
      </c>
      <c r="I5885" s="399">
        <f t="shared" si="221"/>
        <v>3.91</v>
      </c>
      <c r="J5885" s="399"/>
      <c r="K5885" s="1259"/>
      <c r="L5885" s="431"/>
      <c r="M5885" s="431"/>
      <c r="N5885" s="431"/>
    </row>
    <row r="5886" spans="1:14" s="398" customFormat="1" hidden="1" outlineLevel="1">
      <c r="A5886" s="1221"/>
      <c r="B5886" s="425"/>
      <c r="C5886" s="333" t="s">
        <v>2</v>
      </c>
      <c r="D5886" s="392">
        <v>2</v>
      </c>
      <c r="E5886" s="165"/>
      <c r="F5886" s="401">
        <f>5.98+0.61</f>
        <v>6.5900000000000007</v>
      </c>
      <c r="G5886" s="401">
        <v>0.61</v>
      </c>
      <c r="H5886" s="401">
        <v>0.82299999999999995</v>
      </c>
      <c r="I5886" s="399">
        <f t="shared" si="221"/>
        <v>6.62</v>
      </c>
      <c r="J5886" s="399"/>
      <c r="K5886" s="1259"/>
      <c r="L5886" s="431"/>
      <c r="M5886" s="431"/>
      <c r="N5886" s="431"/>
    </row>
    <row r="5887" spans="1:14" s="398" customFormat="1" hidden="1" outlineLevel="1">
      <c r="A5887" s="1221"/>
      <c r="B5887" s="425"/>
      <c r="C5887" s="333" t="s">
        <v>2</v>
      </c>
      <c r="D5887" s="392">
        <v>2</v>
      </c>
      <c r="E5887" s="165"/>
      <c r="F5887" s="401">
        <f>5.08+0.61</f>
        <v>5.69</v>
      </c>
      <c r="G5887" s="401">
        <v>0.61</v>
      </c>
      <c r="H5887" s="401">
        <v>0.82299999999999995</v>
      </c>
      <c r="I5887" s="399">
        <f t="shared" si="221"/>
        <v>5.71</v>
      </c>
      <c r="J5887" s="399"/>
      <c r="K5887" s="1259"/>
      <c r="L5887" s="431"/>
      <c r="M5887" s="431"/>
      <c r="N5887" s="431"/>
    </row>
    <row r="5888" spans="1:14" s="398" customFormat="1" hidden="1" outlineLevel="1">
      <c r="A5888" s="1221"/>
      <c r="B5888" s="425"/>
      <c r="C5888" s="333" t="s">
        <v>2</v>
      </c>
      <c r="D5888" s="392">
        <v>2</v>
      </c>
      <c r="E5888" s="165"/>
      <c r="F5888" s="401">
        <f>4.18+0.61</f>
        <v>4.79</v>
      </c>
      <c r="G5888" s="401">
        <v>0.61</v>
      </c>
      <c r="H5888" s="401">
        <v>0.82299999999999995</v>
      </c>
      <c r="I5888" s="399">
        <f t="shared" si="221"/>
        <v>4.8099999999999996</v>
      </c>
      <c r="J5888" s="399"/>
      <c r="K5888" s="1259"/>
      <c r="L5888" s="431"/>
      <c r="M5888" s="431"/>
      <c r="N5888" s="431"/>
    </row>
    <row r="5889" spans="1:14" s="398" customFormat="1" hidden="1" outlineLevel="1">
      <c r="A5889" s="1221"/>
      <c r="B5889" s="425"/>
      <c r="C5889" s="333" t="s">
        <v>2</v>
      </c>
      <c r="D5889" s="392">
        <v>2</v>
      </c>
      <c r="E5889" s="165"/>
      <c r="F5889" s="401">
        <f>2.38+0.61</f>
        <v>2.9899999999999998</v>
      </c>
      <c r="G5889" s="401">
        <v>0.61</v>
      </c>
      <c r="H5889" s="401">
        <v>0.82299999999999995</v>
      </c>
      <c r="I5889" s="399">
        <f t="shared" si="221"/>
        <v>3</v>
      </c>
      <c r="J5889" s="399"/>
      <c r="K5889" s="1259"/>
      <c r="L5889" s="431"/>
      <c r="M5889" s="431"/>
      <c r="N5889" s="431"/>
    </row>
    <row r="5890" spans="1:14" s="398" customFormat="1" hidden="1" outlineLevel="1">
      <c r="A5890" s="1221"/>
      <c r="B5890" s="425"/>
      <c r="C5890" s="333" t="s">
        <v>2</v>
      </c>
      <c r="D5890" s="392">
        <v>2</v>
      </c>
      <c r="E5890" s="165"/>
      <c r="F5890" s="401">
        <f>4.48+0.61</f>
        <v>5.0900000000000007</v>
      </c>
      <c r="G5890" s="401">
        <v>0.61</v>
      </c>
      <c r="H5890" s="401">
        <v>0.82299999999999995</v>
      </c>
      <c r="I5890" s="399">
        <f t="shared" si="221"/>
        <v>5.1100000000000003</v>
      </c>
      <c r="J5890" s="399"/>
      <c r="K5890" s="1259"/>
      <c r="L5890" s="431"/>
      <c r="M5890" s="431"/>
      <c r="N5890" s="431"/>
    </row>
    <row r="5891" spans="1:14" s="398" customFormat="1" hidden="1" outlineLevel="1">
      <c r="A5891" s="1221"/>
      <c r="B5891" s="425"/>
      <c r="C5891" s="333" t="s">
        <v>2</v>
      </c>
      <c r="D5891" s="392">
        <v>2</v>
      </c>
      <c r="E5891" s="165"/>
      <c r="F5891" s="401">
        <f>2.38+0.61</f>
        <v>2.9899999999999998</v>
      </c>
      <c r="G5891" s="401">
        <v>0.61</v>
      </c>
      <c r="H5891" s="401">
        <v>0.82299999999999995</v>
      </c>
      <c r="I5891" s="399">
        <f t="shared" si="221"/>
        <v>3</v>
      </c>
      <c r="J5891" s="399"/>
      <c r="K5891" s="1259"/>
      <c r="L5891" s="431"/>
      <c r="M5891" s="431"/>
      <c r="N5891" s="431"/>
    </row>
    <row r="5892" spans="1:14" s="398" customFormat="1" hidden="1" outlineLevel="1">
      <c r="A5892" s="1221"/>
      <c r="B5892" s="425"/>
      <c r="C5892" s="333" t="s">
        <v>2</v>
      </c>
      <c r="D5892" s="392">
        <v>1</v>
      </c>
      <c r="E5892" s="165"/>
      <c r="F5892" s="401">
        <f>1.48+0.61</f>
        <v>2.09</v>
      </c>
      <c r="G5892" s="401">
        <v>0.61</v>
      </c>
      <c r="H5892" s="401">
        <v>0.82299999999999995</v>
      </c>
      <c r="I5892" s="399">
        <f t="shared" si="221"/>
        <v>1.05</v>
      </c>
      <c r="J5892" s="399"/>
      <c r="K5892" s="1259"/>
      <c r="L5892" s="431"/>
      <c r="M5892" s="431"/>
      <c r="N5892" s="431"/>
    </row>
    <row r="5893" spans="1:14" s="398" customFormat="1" hidden="1" outlineLevel="1">
      <c r="A5893" s="1221"/>
      <c r="B5893" s="425"/>
      <c r="C5893" s="333" t="s">
        <v>2</v>
      </c>
      <c r="D5893" s="392">
        <v>1</v>
      </c>
      <c r="E5893" s="165"/>
      <c r="F5893" s="401">
        <f>3.48+0.61*2</f>
        <v>4.7</v>
      </c>
      <c r="G5893" s="401">
        <v>0.61</v>
      </c>
      <c r="H5893" s="401">
        <v>0.82299999999999995</v>
      </c>
      <c r="I5893" s="399">
        <f t="shared" si="221"/>
        <v>2.36</v>
      </c>
      <c r="J5893" s="399"/>
      <c r="K5893" s="1259"/>
      <c r="L5893" s="431"/>
      <c r="M5893" s="431"/>
      <c r="N5893" s="431"/>
    </row>
    <row r="5894" spans="1:14" s="398" customFormat="1" ht="34.5" hidden="1" outlineLevel="1">
      <c r="A5894" s="1221"/>
      <c r="B5894" s="425" t="s">
        <v>117</v>
      </c>
      <c r="C5894" s="333" t="s">
        <v>2</v>
      </c>
      <c r="D5894" s="392">
        <v>3</v>
      </c>
      <c r="E5894" s="165"/>
      <c r="F5894" s="401">
        <v>0.61499999999999999</v>
      </c>
      <c r="G5894" s="401">
        <v>0.61</v>
      </c>
      <c r="H5894" s="401">
        <v>0.82299999999999995</v>
      </c>
      <c r="I5894" s="399">
        <f t="shared" si="221"/>
        <v>0.93</v>
      </c>
      <c r="J5894" s="399"/>
      <c r="K5894" s="1259"/>
      <c r="L5894" s="431"/>
      <c r="M5894" s="431"/>
      <c r="N5894" s="431"/>
    </row>
    <row r="5895" spans="1:14" s="398" customFormat="1" hidden="1" outlineLevel="1">
      <c r="A5895" s="1221"/>
      <c r="B5895" s="425" t="s">
        <v>118</v>
      </c>
      <c r="C5895" s="333" t="s">
        <v>2</v>
      </c>
      <c r="D5895" s="392">
        <v>1</v>
      </c>
      <c r="E5895" s="165"/>
      <c r="F5895" s="401">
        <f>2.745-0.61</f>
        <v>2.1350000000000002</v>
      </c>
      <c r="G5895" s="401">
        <v>0.61</v>
      </c>
      <c r="H5895" s="401">
        <v>0.82299999999999995</v>
      </c>
      <c r="I5895" s="399">
        <f t="shared" si="221"/>
        <v>1.07</v>
      </c>
      <c r="J5895" s="399"/>
      <c r="K5895" s="1259"/>
      <c r="L5895" s="431"/>
      <c r="M5895" s="431"/>
      <c r="N5895" s="431"/>
    </row>
    <row r="5896" spans="1:14" s="398" customFormat="1" hidden="1" outlineLevel="1">
      <c r="A5896" s="1221"/>
      <c r="B5896" s="425"/>
      <c r="C5896" s="333" t="s">
        <v>2</v>
      </c>
      <c r="D5896" s="392">
        <v>7</v>
      </c>
      <c r="E5896" s="165"/>
      <c r="F5896" s="401">
        <f>2.13-0.61*2</f>
        <v>0.90999999999999992</v>
      </c>
      <c r="G5896" s="401">
        <v>0.61</v>
      </c>
      <c r="H5896" s="401">
        <v>0.82299999999999995</v>
      </c>
      <c r="I5896" s="399">
        <f t="shared" si="221"/>
        <v>3.2</v>
      </c>
      <c r="J5896" s="399"/>
      <c r="K5896" s="1259"/>
      <c r="L5896" s="431"/>
      <c r="M5896" s="431"/>
      <c r="N5896" s="431"/>
    </row>
    <row r="5897" spans="1:14" s="398" customFormat="1" hidden="1" outlineLevel="1">
      <c r="A5897" s="1221"/>
      <c r="B5897" s="425"/>
      <c r="C5897" s="333" t="s">
        <v>2</v>
      </c>
      <c r="D5897" s="392">
        <v>6</v>
      </c>
      <c r="E5897" s="165"/>
      <c r="F5897" s="401">
        <f>3.36</f>
        <v>3.36</v>
      </c>
      <c r="G5897" s="401">
        <v>0.61</v>
      </c>
      <c r="H5897" s="401">
        <v>0.82299999999999995</v>
      </c>
      <c r="I5897" s="399">
        <f t="shared" si="221"/>
        <v>10.119999999999999</v>
      </c>
      <c r="J5897" s="399"/>
      <c r="K5897" s="1259"/>
      <c r="L5897" s="431"/>
      <c r="M5897" s="431"/>
      <c r="N5897" s="431"/>
    </row>
    <row r="5898" spans="1:14" s="398" customFormat="1" hidden="1" outlineLevel="1">
      <c r="A5898" s="1221"/>
      <c r="B5898" s="425" t="s">
        <v>119</v>
      </c>
      <c r="C5898" s="333" t="s">
        <v>2</v>
      </c>
      <c r="D5898" s="392">
        <v>1</v>
      </c>
      <c r="E5898" s="165"/>
      <c r="F5898" s="401">
        <f>7.4+0.61*2</f>
        <v>8.620000000000001</v>
      </c>
      <c r="G5898" s="401">
        <v>0.61</v>
      </c>
      <c r="H5898" s="401">
        <v>0.82299999999999995</v>
      </c>
      <c r="I5898" s="399">
        <f t="shared" si="221"/>
        <v>4.33</v>
      </c>
      <c r="J5898" s="399"/>
      <c r="K5898" s="1259"/>
      <c r="L5898" s="431"/>
      <c r="M5898" s="431"/>
      <c r="N5898" s="431"/>
    </row>
    <row r="5899" spans="1:14" s="398" customFormat="1" hidden="1" outlineLevel="1">
      <c r="A5899" s="1221"/>
      <c r="B5899" s="425" t="s">
        <v>120</v>
      </c>
      <c r="C5899" s="333" t="s">
        <v>2</v>
      </c>
      <c r="D5899" s="392">
        <v>1</v>
      </c>
      <c r="E5899" s="165"/>
      <c r="F5899" s="401">
        <f>2.4+3+0.61</f>
        <v>6.0100000000000007</v>
      </c>
      <c r="G5899" s="401">
        <v>0.61</v>
      </c>
      <c r="H5899" s="401">
        <v>0.82299999999999995</v>
      </c>
      <c r="I5899" s="399">
        <f t="shared" si="221"/>
        <v>3.02</v>
      </c>
      <c r="J5899" s="399"/>
      <c r="K5899" s="1259"/>
      <c r="L5899" s="431"/>
      <c r="M5899" s="431"/>
      <c r="N5899" s="431"/>
    </row>
    <row r="5900" spans="1:14" s="398" customFormat="1" hidden="1" outlineLevel="1">
      <c r="A5900" s="1221"/>
      <c r="B5900" s="425"/>
      <c r="C5900" s="333" t="s">
        <v>2</v>
      </c>
      <c r="D5900" s="392">
        <v>2</v>
      </c>
      <c r="E5900" s="165"/>
      <c r="F5900" s="401">
        <f>3+1.8+1.2+0.61</f>
        <v>6.61</v>
      </c>
      <c r="G5900" s="401">
        <v>0.61</v>
      </c>
      <c r="H5900" s="401">
        <v>0.82299999999999995</v>
      </c>
      <c r="I5900" s="399">
        <f t="shared" si="221"/>
        <v>6.64</v>
      </c>
      <c r="J5900" s="399"/>
      <c r="K5900" s="1259"/>
      <c r="L5900" s="431"/>
      <c r="M5900" s="431"/>
      <c r="N5900" s="431"/>
    </row>
    <row r="5901" spans="1:14" s="398" customFormat="1" hidden="1" outlineLevel="1">
      <c r="A5901" s="1221"/>
      <c r="B5901" s="425"/>
      <c r="C5901" s="333" t="s">
        <v>2</v>
      </c>
      <c r="D5901" s="392">
        <v>2</v>
      </c>
      <c r="E5901" s="165"/>
      <c r="F5901" s="401">
        <f>3+1.8+0.61</f>
        <v>5.41</v>
      </c>
      <c r="G5901" s="401">
        <v>0.61</v>
      </c>
      <c r="H5901" s="401">
        <v>0.82299999999999995</v>
      </c>
      <c r="I5901" s="399">
        <f t="shared" si="221"/>
        <v>5.43</v>
      </c>
      <c r="J5901" s="399"/>
      <c r="K5901" s="1259"/>
      <c r="L5901" s="431"/>
      <c r="M5901" s="431"/>
      <c r="N5901" s="431"/>
    </row>
    <row r="5902" spans="1:14" s="398" customFormat="1" hidden="1" outlineLevel="1">
      <c r="A5902" s="1221"/>
      <c r="B5902" s="425"/>
      <c r="C5902" s="333" t="s">
        <v>2</v>
      </c>
      <c r="D5902" s="392">
        <v>2</v>
      </c>
      <c r="E5902" s="165"/>
      <c r="F5902" s="401">
        <f>1.8+3+1.2+0.61*2</f>
        <v>7.22</v>
      </c>
      <c r="G5902" s="401">
        <v>0.61</v>
      </c>
      <c r="H5902" s="401">
        <v>0.82299999999999995</v>
      </c>
      <c r="I5902" s="399">
        <f t="shared" si="221"/>
        <v>7.25</v>
      </c>
      <c r="J5902" s="399"/>
      <c r="K5902" s="1259"/>
      <c r="L5902" s="431"/>
      <c r="M5902" s="431"/>
      <c r="N5902" s="431"/>
    </row>
    <row r="5903" spans="1:14" s="398" customFormat="1" hidden="1" outlineLevel="1">
      <c r="A5903" s="1221"/>
      <c r="B5903" s="425"/>
      <c r="C5903" s="333" t="s">
        <v>2</v>
      </c>
      <c r="D5903" s="392">
        <v>2</v>
      </c>
      <c r="E5903" s="165"/>
      <c r="F5903" s="401">
        <f>3+1.2+0.61</f>
        <v>4.8100000000000005</v>
      </c>
      <c r="G5903" s="401">
        <v>0.61</v>
      </c>
      <c r="H5903" s="401">
        <v>0.82299999999999995</v>
      </c>
      <c r="I5903" s="399">
        <f t="shared" si="221"/>
        <v>4.83</v>
      </c>
      <c r="J5903" s="399"/>
      <c r="K5903" s="1259"/>
      <c r="L5903" s="431"/>
      <c r="M5903" s="431"/>
      <c r="N5903" s="431"/>
    </row>
    <row r="5904" spans="1:14" s="398" customFormat="1" hidden="1" outlineLevel="1">
      <c r="A5904" s="1221"/>
      <c r="B5904" s="425"/>
      <c r="C5904" s="333" t="s">
        <v>2</v>
      </c>
      <c r="D5904" s="392">
        <v>2</v>
      </c>
      <c r="E5904" s="165"/>
      <c r="F5904" s="401">
        <f>0.6+3+3.435-1.035-1.2+0.61</f>
        <v>5.41</v>
      </c>
      <c r="G5904" s="401">
        <v>0.61</v>
      </c>
      <c r="H5904" s="401">
        <v>0.82299999999999995</v>
      </c>
      <c r="I5904" s="399">
        <f t="shared" si="221"/>
        <v>5.43</v>
      </c>
      <c r="J5904" s="399"/>
      <c r="K5904" s="1259"/>
      <c r="L5904" s="431"/>
      <c r="M5904" s="431"/>
      <c r="N5904" s="431"/>
    </row>
    <row r="5905" spans="1:14" s="398" customFormat="1" hidden="1" outlineLevel="1">
      <c r="A5905" s="1221"/>
      <c r="B5905" s="425"/>
      <c r="C5905" s="333" t="s">
        <v>2</v>
      </c>
      <c r="D5905" s="392">
        <v>2</v>
      </c>
      <c r="E5905" s="165"/>
      <c r="F5905" s="401">
        <f>1.2+3+0.61</f>
        <v>4.8100000000000005</v>
      </c>
      <c r="G5905" s="401">
        <v>0.61</v>
      </c>
      <c r="H5905" s="401">
        <v>0.82299999999999995</v>
      </c>
      <c r="I5905" s="399">
        <f t="shared" si="221"/>
        <v>4.83</v>
      </c>
      <c r="J5905" s="399"/>
      <c r="K5905" s="1259"/>
      <c r="L5905" s="431"/>
      <c r="M5905" s="431"/>
      <c r="N5905" s="431"/>
    </row>
    <row r="5906" spans="1:14" s="398" customFormat="1" hidden="1" outlineLevel="1">
      <c r="A5906" s="1221"/>
      <c r="B5906" s="425"/>
      <c r="C5906" s="333" t="s">
        <v>2</v>
      </c>
      <c r="D5906" s="392">
        <v>1</v>
      </c>
      <c r="E5906" s="165"/>
      <c r="F5906" s="401">
        <f>0.6+1.2+3+1.2+0.61*2</f>
        <v>7.22</v>
      </c>
      <c r="G5906" s="401">
        <v>0.61</v>
      </c>
      <c r="H5906" s="401">
        <v>0.82299999999999995</v>
      </c>
      <c r="I5906" s="399">
        <f t="shared" si="221"/>
        <v>3.62</v>
      </c>
      <c r="J5906" s="399"/>
      <c r="K5906" s="1259"/>
      <c r="L5906" s="431"/>
      <c r="M5906" s="431"/>
      <c r="N5906" s="431"/>
    </row>
    <row r="5907" spans="1:14" s="398" customFormat="1" hidden="1" outlineLevel="1">
      <c r="A5907" s="1221"/>
      <c r="B5907" s="425"/>
      <c r="C5907" s="333" t="s">
        <v>2</v>
      </c>
      <c r="D5907" s="392">
        <v>2</v>
      </c>
      <c r="E5907" s="165"/>
      <c r="F5907" s="401">
        <v>6.61</v>
      </c>
      <c r="G5907" s="401">
        <v>0.61</v>
      </c>
      <c r="H5907" s="401">
        <v>0.82299999999999995</v>
      </c>
      <c r="I5907" s="399">
        <f t="shared" si="221"/>
        <v>6.64</v>
      </c>
      <c r="J5907" s="399"/>
      <c r="K5907" s="1259"/>
      <c r="L5907" s="431"/>
      <c r="M5907" s="431"/>
      <c r="N5907" s="431"/>
    </row>
    <row r="5908" spans="1:14" s="398" customFormat="1" hidden="1" outlineLevel="1">
      <c r="A5908" s="1221"/>
      <c r="B5908" s="425"/>
      <c r="C5908" s="333" t="s">
        <v>2</v>
      </c>
      <c r="D5908" s="392">
        <v>1</v>
      </c>
      <c r="E5908" s="165"/>
      <c r="F5908" s="401">
        <f>8+0.61*2</f>
        <v>9.2200000000000006</v>
      </c>
      <c r="G5908" s="401">
        <v>0.61</v>
      </c>
      <c r="H5908" s="401">
        <v>0.82299999999999995</v>
      </c>
      <c r="I5908" s="399">
        <f t="shared" si="221"/>
        <v>4.63</v>
      </c>
      <c r="J5908" s="399"/>
      <c r="K5908" s="1259"/>
      <c r="L5908" s="431"/>
      <c r="M5908" s="431"/>
      <c r="N5908" s="431"/>
    </row>
    <row r="5909" spans="1:14" s="398" customFormat="1" hidden="1" outlineLevel="1">
      <c r="A5909" s="1221"/>
      <c r="B5909" s="425" t="s">
        <v>121</v>
      </c>
      <c r="C5909" s="333" t="s">
        <v>2</v>
      </c>
      <c r="D5909" s="392">
        <v>6</v>
      </c>
      <c r="E5909" s="165"/>
      <c r="F5909" s="401">
        <v>0.61499999999999999</v>
      </c>
      <c r="G5909" s="401">
        <v>0.61</v>
      </c>
      <c r="H5909" s="401">
        <v>0.82299999999999995</v>
      </c>
      <c r="I5909" s="399">
        <f t="shared" si="221"/>
        <v>1.85</v>
      </c>
      <c r="J5909" s="399"/>
      <c r="K5909" s="1259"/>
      <c r="L5909" s="431"/>
      <c r="M5909" s="431"/>
      <c r="N5909" s="431"/>
    </row>
    <row r="5910" spans="1:14" s="398" customFormat="1" hidden="1" outlineLevel="1">
      <c r="A5910" s="1221"/>
      <c r="B5910" s="425" t="s">
        <v>120</v>
      </c>
      <c r="C5910" s="333" t="s">
        <v>2</v>
      </c>
      <c r="D5910" s="392">
        <v>6</v>
      </c>
      <c r="E5910" s="165"/>
      <c r="F5910" s="401">
        <f>2.13-0.61*2</f>
        <v>0.90999999999999992</v>
      </c>
      <c r="G5910" s="401">
        <v>0.61</v>
      </c>
      <c r="H5910" s="401">
        <v>0.82299999999999995</v>
      </c>
      <c r="I5910" s="399">
        <f t="shared" si="221"/>
        <v>2.74</v>
      </c>
      <c r="J5910" s="399"/>
      <c r="K5910" s="1259"/>
      <c r="L5910" s="431"/>
      <c r="M5910" s="431"/>
      <c r="N5910" s="431"/>
    </row>
    <row r="5911" spans="1:14" s="398" customFormat="1" hidden="1" outlineLevel="1">
      <c r="A5911" s="1221"/>
      <c r="B5911" s="425"/>
      <c r="C5911" s="333" t="s">
        <v>2</v>
      </c>
      <c r="D5911" s="392">
        <v>3</v>
      </c>
      <c r="E5911" s="165"/>
      <c r="F5911" s="401">
        <v>3.36</v>
      </c>
      <c r="G5911" s="401">
        <v>0.61</v>
      </c>
      <c r="H5911" s="401">
        <v>0.82299999999999995</v>
      </c>
      <c r="I5911" s="399">
        <f t="shared" si="221"/>
        <v>5.0599999999999996</v>
      </c>
      <c r="J5911" s="399"/>
      <c r="K5911" s="1259"/>
      <c r="L5911" s="431"/>
      <c r="M5911" s="431"/>
      <c r="N5911" s="431"/>
    </row>
    <row r="5912" spans="1:14" s="398" customFormat="1" hidden="1" outlineLevel="1">
      <c r="A5912" s="1221"/>
      <c r="B5912" s="425"/>
      <c r="C5912" s="333" t="s">
        <v>2</v>
      </c>
      <c r="D5912" s="392">
        <v>2</v>
      </c>
      <c r="E5912" s="165"/>
      <c r="F5912" s="401">
        <f>2.745-0.61</f>
        <v>2.1350000000000002</v>
      </c>
      <c r="G5912" s="401">
        <v>0.61</v>
      </c>
      <c r="H5912" s="401">
        <v>0.82299999999999995</v>
      </c>
      <c r="I5912" s="399">
        <f t="shared" si="221"/>
        <v>2.14</v>
      </c>
      <c r="J5912" s="399"/>
      <c r="K5912" s="1259"/>
      <c r="L5912" s="431"/>
      <c r="M5912" s="431"/>
      <c r="N5912" s="431"/>
    </row>
    <row r="5913" spans="1:14" s="398" customFormat="1" hidden="1" outlineLevel="1">
      <c r="A5913" s="1223"/>
      <c r="B5913" s="426"/>
      <c r="C5913" s="333" t="s">
        <v>2</v>
      </c>
      <c r="D5913" s="438">
        <v>2</v>
      </c>
      <c r="E5913" s="165"/>
      <c r="F5913" s="401">
        <f>1.825+1.23-0.615-0.61</f>
        <v>1.8299999999999996</v>
      </c>
      <c r="G5913" s="401">
        <v>0.61</v>
      </c>
      <c r="H5913" s="401">
        <v>0.15</v>
      </c>
      <c r="I5913" s="399">
        <f t="shared" si="221"/>
        <v>0.33</v>
      </c>
      <c r="J5913" s="428"/>
      <c r="K5913" s="1224"/>
      <c r="L5913" s="431"/>
      <c r="M5913" s="431"/>
      <c r="N5913" s="431"/>
    </row>
    <row r="5914" spans="1:14" s="398" customFormat="1" hidden="1" outlineLevel="1">
      <c r="A5914" s="1221"/>
      <c r="B5914" s="425"/>
      <c r="C5914" s="333" t="s">
        <v>2</v>
      </c>
      <c r="D5914" s="392">
        <v>3</v>
      </c>
      <c r="E5914" s="165"/>
      <c r="F5914" s="401">
        <f>1.825-0.61*2</f>
        <v>0.60499999999999998</v>
      </c>
      <c r="G5914" s="401">
        <v>0.61</v>
      </c>
      <c r="H5914" s="401">
        <v>0.82299999999999995</v>
      </c>
      <c r="I5914" s="399">
        <f t="shared" si="221"/>
        <v>0.91</v>
      </c>
      <c r="J5914" s="399"/>
      <c r="K5914" s="1259"/>
      <c r="L5914" s="431"/>
      <c r="M5914" s="431"/>
      <c r="N5914" s="431"/>
    </row>
    <row r="5915" spans="1:14" s="398" customFormat="1" ht="34.5" hidden="1" outlineLevel="1">
      <c r="A5915" s="1221"/>
      <c r="B5915" s="425" t="s">
        <v>122</v>
      </c>
      <c r="C5915" s="333" t="s">
        <v>2</v>
      </c>
      <c r="D5915" s="392">
        <v>1</v>
      </c>
      <c r="E5915" s="165"/>
      <c r="F5915" s="401">
        <f>7.66+2+0.61*2</f>
        <v>10.88</v>
      </c>
      <c r="G5915" s="401">
        <v>0.61</v>
      </c>
      <c r="H5915" s="401">
        <v>0.82299999999999995</v>
      </c>
      <c r="I5915" s="399">
        <f t="shared" si="221"/>
        <v>5.46</v>
      </c>
      <c r="J5915" s="399"/>
      <c r="K5915" s="1259"/>
      <c r="L5915" s="431"/>
      <c r="M5915" s="431"/>
      <c r="N5915" s="431"/>
    </row>
    <row r="5916" spans="1:14" s="398" customFormat="1" hidden="1" outlineLevel="1">
      <c r="A5916" s="1221"/>
      <c r="B5916" s="425" t="s">
        <v>123</v>
      </c>
      <c r="C5916" s="333" t="s">
        <v>2</v>
      </c>
      <c r="D5916" s="392">
        <v>1</v>
      </c>
      <c r="E5916" s="165"/>
      <c r="F5916" s="401">
        <f>7.66-2+0.61</f>
        <v>6.2700000000000005</v>
      </c>
      <c r="G5916" s="401">
        <v>0.61</v>
      </c>
      <c r="H5916" s="401">
        <v>0.82299999999999995</v>
      </c>
      <c r="I5916" s="399">
        <f t="shared" si="221"/>
        <v>3.15</v>
      </c>
      <c r="J5916" s="399"/>
      <c r="K5916" s="1259"/>
      <c r="L5916" s="431"/>
      <c r="M5916" s="431"/>
      <c r="N5916" s="431"/>
    </row>
    <row r="5917" spans="1:14" s="398" customFormat="1" hidden="1" outlineLevel="1">
      <c r="A5917" s="1221"/>
      <c r="B5917" s="425"/>
      <c r="C5917" s="333" t="s">
        <v>2</v>
      </c>
      <c r="D5917" s="392">
        <v>2</v>
      </c>
      <c r="E5917" s="165"/>
      <c r="F5917" s="401">
        <f>2+3+3.16+0.61</f>
        <v>8.77</v>
      </c>
      <c r="G5917" s="401">
        <v>0.61</v>
      </c>
      <c r="H5917" s="401">
        <v>0.82299999999999995</v>
      </c>
      <c r="I5917" s="399">
        <f t="shared" ref="I5917:I5980" si="222">IF(D5917&lt;&gt;0,ROUND(PRODUCT(E5917:H5917)*D5917,2),"")</f>
        <v>8.81</v>
      </c>
      <c r="J5917" s="399"/>
      <c r="K5917" s="1259"/>
      <c r="L5917" s="431"/>
      <c r="M5917" s="431"/>
      <c r="N5917" s="431"/>
    </row>
    <row r="5918" spans="1:14" s="398" customFormat="1" hidden="1" outlineLevel="1">
      <c r="A5918" s="1221"/>
      <c r="B5918" s="425"/>
      <c r="C5918" s="333" t="s">
        <v>2</v>
      </c>
      <c r="D5918" s="392">
        <v>2</v>
      </c>
      <c r="E5918" s="165"/>
      <c r="F5918" s="401">
        <f>2+4.16+0.61</f>
        <v>6.7700000000000005</v>
      </c>
      <c r="G5918" s="401">
        <v>0.61</v>
      </c>
      <c r="H5918" s="401">
        <v>0.82299999999999995</v>
      </c>
      <c r="I5918" s="399">
        <f t="shared" si="222"/>
        <v>6.8</v>
      </c>
      <c r="J5918" s="399"/>
      <c r="K5918" s="1259"/>
      <c r="L5918" s="431"/>
      <c r="M5918" s="431"/>
      <c r="N5918" s="431"/>
    </row>
    <row r="5919" spans="1:14" s="398" customFormat="1" hidden="1" outlineLevel="1">
      <c r="A5919" s="1221"/>
      <c r="B5919" s="425"/>
      <c r="C5919" s="333" t="s">
        <v>2</v>
      </c>
      <c r="D5919" s="392">
        <v>1</v>
      </c>
      <c r="E5919" s="165"/>
      <c r="F5919" s="401">
        <f>10.16-2+0.61</f>
        <v>8.77</v>
      </c>
      <c r="G5919" s="401">
        <v>0.61</v>
      </c>
      <c r="H5919" s="401">
        <v>0.82299999999999995</v>
      </c>
      <c r="I5919" s="399">
        <f t="shared" si="222"/>
        <v>4.4000000000000004</v>
      </c>
      <c r="J5919" s="399"/>
      <c r="K5919" s="1259"/>
      <c r="L5919" s="431"/>
      <c r="M5919" s="431"/>
      <c r="N5919" s="431"/>
    </row>
    <row r="5920" spans="1:14" s="398" customFormat="1" hidden="1" outlineLevel="1">
      <c r="A5920" s="1221"/>
      <c r="B5920" s="425"/>
      <c r="C5920" s="333" t="s">
        <v>2</v>
      </c>
      <c r="D5920" s="392">
        <v>1</v>
      </c>
      <c r="E5920" s="165"/>
      <c r="F5920" s="401">
        <f>10.16+0.61*2</f>
        <v>11.38</v>
      </c>
      <c r="G5920" s="401">
        <v>0.61</v>
      </c>
      <c r="H5920" s="401">
        <v>0.82299999999999995</v>
      </c>
      <c r="I5920" s="399">
        <f t="shared" si="222"/>
        <v>5.71</v>
      </c>
      <c r="J5920" s="399"/>
      <c r="K5920" s="1259"/>
      <c r="L5920" s="431"/>
      <c r="M5920" s="431"/>
      <c r="N5920" s="431"/>
    </row>
    <row r="5921" spans="1:14" s="398" customFormat="1" ht="34.5" hidden="1" outlineLevel="1">
      <c r="A5921" s="1221"/>
      <c r="B5921" s="425" t="s">
        <v>124</v>
      </c>
      <c r="C5921" s="333" t="s">
        <v>2</v>
      </c>
      <c r="D5921" s="392">
        <v>2</v>
      </c>
      <c r="E5921" s="165"/>
      <c r="F5921" s="401">
        <v>0.61499999999999999</v>
      </c>
      <c r="G5921" s="401">
        <v>0.61</v>
      </c>
      <c r="H5921" s="401">
        <v>0.82299999999999995</v>
      </c>
      <c r="I5921" s="399">
        <f t="shared" si="222"/>
        <v>0.62</v>
      </c>
      <c r="J5921" s="399"/>
      <c r="K5921" s="1259"/>
      <c r="L5921" s="431"/>
      <c r="M5921" s="431"/>
      <c r="N5921" s="431"/>
    </row>
    <row r="5922" spans="1:14" s="398" customFormat="1" hidden="1" outlineLevel="1">
      <c r="A5922" s="1221"/>
      <c r="B5922" s="425" t="s">
        <v>123</v>
      </c>
      <c r="C5922" s="333" t="s">
        <v>2</v>
      </c>
      <c r="D5922" s="392">
        <v>3</v>
      </c>
      <c r="E5922" s="165"/>
      <c r="F5922" s="401">
        <v>3.36</v>
      </c>
      <c r="G5922" s="401">
        <v>0.61</v>
      </c>
      <c r="H5922" s="401">
        <v>0.82299999999999995</v>
      </c>
      <c r="I5922" s="399">
        <f t="shared" si="222"/>
        <v>5.0599999999999996</v>
      </c>
      <c r="J5922" s="399"/>
      <c r="K5922" s="1259"/>
      <c r="L5922" s="431"/>
      <c r="M5922" s="431"/>
      <c r="N5922" s="431"/>
    </row>
    <row r="5923" spans="1:14" s="398" customFormat="1" hidden="1" outlineLevel="1">
      <c r="A5923" s="1221"/>
      <c r="B5923" s="425"/>
      <c r="C5923" s="333" t="s">
        <v>2</v>
      </c>
      <c r="D5923" s="392">
        <v>3</v>
      </c>
      <c r="E5923" s="165"/>
      <c r="F5923" s="401">
        <f>2.13-0.61*2</f>
        <v>0.90999999999999992</v>
      </c>
      <c r="G5923" s="401">
        <v>0.61</v>
      </c>
      <c r="H5923" s="401">
        <v>0.82299999999999995</v>
      </c>
      <c r="I5923" s="399">
        <f t="shared" si="222"/>
        <v>1.37</v>
      </c>
      <c r="J5923" s="399"/>
      <c r="K5923" s="1259"/>
      <c r="L5923" s="431"/>
      <c r="M5923" s="431"/>
      <c r="N5923" s="431"/>
    </row>
    <row r="5924" spans="1:14" s="398" customFormat="1" ht="34.5" hidden="1" outlineLevel="1">
      <c r="A5924" s="1221"/>
      <c r="B5924" s="425" t="s">
        <v>124</v>
      </c>
      <c r="C5924" s="333" t="s">
        <v>2</v>
      </c>
      <c r="D5924" s="392">
        <v>7</v>
      </c>
      <c r="E5924" s="165"/>
      <c r="F5924" s="401">
        <v>0.61499999999999999</v>
      </c>
      <c r="G5924" s="401">
        <v>0.61</v>
      </c>
      <c r="H5924" s="401">
        <v>0.82299999999999995</v>
      </c>
      <c r="I5924" s="399">
        <f t="shared" si="222"/>
        <v>2.16</v>
      </c>
      <c r="J5924" s="399"/>
      <c r="K5924" s="1259"/>
      <c r="L5924" s="431"/>
      <c r="M5924" s="431"/>
      <c r="N5924" s="431"/>
    </row>
    <row r="5925" spans="1:14" s="398" customFormat="1" hidden="1" outlineLevel="1">
      <c r="A5925" s="1221"/>
      <c r="B5925" s="425" t="s">
        <v>125</v>
      </c>
      <c r="C5925" s="333" t="s">
        <v>2</v>
      </c>
      <c r="D5925" s="392">
        <v>2</v>
      </c>
      <c r="E5925" s="165"/>
      <c r="F5925" s="401">
        <f>2.745-0.615</f>
        <v>2.13</v>
      </c>
      <c r="G5925" s="401">
        <v>0.61</v>
      </c>
      <c r="H5925" s="401">
        <v>0.82299999999999995</v>
      </c>
      <c r="I5925" s="399">
        <f t="shared" si="222"/>
        <v>2.14</v>
      </c>
      <c r="J5925" s="399"/>
      <c r="K5925" s="1259"/>
      <c r="L5925" s="431"/>
      <c r="M5925" s="431"/>
      <c r="N5925" s="431"/>
    </row>
    <row r="5926" spans="1:14" s="398" customFormat="1" hidden="1" outlineLevel="1">
      <c r="A5926" s="1221"/>
      <c r="B5926" s="425"/>
      <c r="C5926" s="333" t="s">
        <v>2</v>
      </c>
      <c r="D5926" s="392">
        <v>6</v>
      </c>
      <c r="E5926" s="165"/>
      <c r="F5926" s="401">
        <f>2.13-0.61*2</f>
        <v>0.90999999999999992</v>
      </c>
      <c r="G5926" s="401">
        <v>0.61</v>
      </c>
      <c r="H5926" s="401">
        <v>0.82299999999999995</v>
      </c>
      <c r="I5926" s="399">
        <f t="shared" si="222"/>
        <v>2.74</v>
      </c>
      <c r="J5926" s="399"/>
      <c r="K5926" s="1259"/>
      <c r="L5926" s="431"/>
      <c r="M5926" s="431"/>
      <c r="N5926" s="431"/>
    </row>
    <row r="5927" spans="1:14" s="398" customFormat="1" hidden="1" outlineLevel="1">
      <c r="A5927" s="1221"/>
      <c r="B5927" s="425"/>
      <c r="C5927" s="333" t="s">
        <v>2</v>
      </c>
      <c r="D5927" s="392">
        <v>1</v>
      </c>
      <c r="E5927" s="165"/>
      <c r="F5927" s="401">
        <f>1.52-0.61*2</f>
        <v>0.30000000000000004</v>
      </c>
      <c r="G5927" s="401">
        <v>0.61</v>
      </c>
      <c r="H5927" s="401">
        <v>0.82299999999999995</v>
      </c>
      <c r="I5927" s="399">
        <f t="shared" si="222"/>
        <v>0.15</v>
      </c>
      <c r="J5927" s="399"/>
      <c r="K5927" s="1259"/>
      <c r="L5927" s="431"/>
      <c r="M5927" s="431"/>
      <c r="N5927" s="431"/>
    </row>
    <row r="5928" spans="1:14" s="398" customFormat="1" hidden="1" outlineLevel="1">
      <c r="A5928" s="1221"/>
      <c r="B5928" s="425"/>
      <c r="C5928" s="333" t="s">
        <v>2</v>
      </c>
      <c r="D5928" s="392">
        <v>1</v>
      </c>
      <c r="E5928" s="165"/>
      <c r="F5928" s="401">
        <v>3.36</v>
      </c>
      <c r="G5928" s="401">
        <v>0.61</v>
      </c>
      <c r="H5928" s="401">
        <v>0.82299999999999995</v>
      </c>
      <c r="I5928" s="399">
        <f t="shared" si="222"/>
        <v>1.69</v>
      </c>
      <c r="J5928" s="399"/>
      <c r="K5928" s="1259"/>
      <c r="L5928" s="431"/>
      <c r="M5928" s="431"/>
      <c r="N5928" s="431"/>
    </row>
    <row r="5929" spans="1:14" s="398" customFormat="1" ht="34.5" hidden="1" outlineLevel="1">
      <c r="A5929" s="1221"/>
      <c r="B5929" s="425" t="s">
        <v>126</v>
      </c>
      <c r="C5929" s="333" t="s">
        <v>2</v>
      </c>
      <c r="D5929" s="392">
        <v>1</v>
      </c>
      <c r="E5929" s="165"/>
      <c r="F5929" s="401">
        <f>3.16+3+2+1.2+0.61*2</f>
        <v>10.58</v>
      </c>
      <c r="G5929" s="401">
        <v>0.61</v>
      </c>
      <c r="H5929" s="401">
        <v>0.82299999999999995</v>
      </c>
      <c r="I5929" s="399">
        <f t="shared" si="222"/>
        <v>5.31</v>
      </c>
      <c r="J5929" s="399"/>
      <c r="K5929" s="1259"/>
      <c r="L5929" s="431"/>
      <c r="M5929" s="431"/>
      <c r="N5929" s="431"/>
    </row>
    <row r="5930" spans="1:14" s="398" customFormat="1" hidden="1" outlineLevel="1">
      <c r="A5930" s="1221"/>
      <c r="B5930" s="425" t="s">
        <v>125</v>
      </c>
      <c r="C5930" s="333" t="s">
        <v>2</v>
      </c>
      <c r="D5930" s="392">
        <v>1</v>
      </c>
      <c r="E5930" s="165"/>
      <c r="F5930" s="401">
        <f>3.16+3-2+1.2+0.61*2</f>
        <v>6.58</v>
      </c>
      <c r="G5930" s="401">
        <v>0.61</v>
      </c>
      <c r="H5930" s="401">
        <v>0.82299999999999995</v>
      </c>
      <c r="I5930" s="399">
        <f t="shared" si="222"/>
        <v>3.3</v>
      </c>
      <c r="J5930" s="399"/>
      <c r="K5930" s="1259"/>
      <c r="L5930" s="431"/>
      <c r="M5930" s="431"/>
      <c r="N5930" s="431"/>
    </row>
    <row r="5931" spans="1:14" s="398" customFormat="1" hidden="1" outlineLevel="1">
      <c r="A5931" s="1221"/>
      <c r="B5931" s="425"/>
      <c r="C5931" s="333" t="s">
        <v>2</v>
      </c>
      <c r="D5931" s="392">
        <v>1</v>
      </c>
      <c r="E5931" s="165"/>
      <c r="F5931" s="401">
        <f>3.16+3+0.61</f>
        <v>6.7700000000000005</v>
      </c>
      <c r="G5931" s="401">
        <v>0.61</v>
      </c>
      <c r="H5931" s="401">
        <v>0.82299999999999995</v>
      </c>
      <c r="I5931" s="399">
        <f t="shared" si="222"/>
        <v>3.4</v>
      </c>
      <c r="J5931" s="399"/>
      <c r="K5931" s="1259"/>
      <c r="L5931" s="431"/>
      <c r="M5931" s="431"/>
      <c r="N5931" s="431"/>
    </row>
    <row r="5932" spans="1:14" s="398" customFormat="1" hidden="1" outlineLevel="1">
      <c r="A5932" s="1221"/>
      <c r="B5932" s="425"/>
      <c r="C5932" s="333" t="s">
        <v>2</v>
      </c>
      <c r="D5932" s="392">
        <v>1</v>
      </c>
      <c r="E5932" s="165"/>
      <c r="F5932" s="401">
        <f>2.56+3+0.6+0.61*2</f>
        <v>7.38</v>
      </c>
      <c r="G5932" s="401">
        <v>0.61</v>
      </c>
      <c r="H5932" s="401">
        <v>0.82299999999999995</v>
      </c>
      <c r="I5932" s="399">
        <f t="shared" si="222"/>
        <v>3.7</v>
      </c>
      <c r="J5932" s="399"/>
      <c r="K5932" s="1259"/>
      <c r="L5932" s="431"/>
      <c r="M5932" s="431"/>
      <c r="N5932" s="431"/>
    </row>
    <row r="5933" spans="1:14" s="398" customFormat="1" hidden="1" outlineLevel="1">
      <c r="A5933" s="1221"/>
      <c r="B5933" s="425"/>
      <c r="C5933" s="333" t="s">
        <v>2</v>
      </c>
      <c r="D5933" s="392">
        <v>2</v>
      </c>
      <c r="E5933" s="165"/>
      <c r="F5933" s="401">
        <f>3.08+2+1.28-2+0.61</f>
        <v>4.9700000000000006</v>
      </c>
      <c r="G5933" s="401">
        <v>0.61</v>
      </c>
      <c r="H5933" s="401">
        <v>0.82299999999999995</v>
      </c>
      <c r="I5933" s="399">
        <f t="shared" si="222"/>
        <v>4.99</v>
      </c>
      <c r="J5933" s="399"/>
      <c r="K5933" s="1259"/>
      <c r="L5933" s="431"/>
      <c r="M5933" s="431"/>
      <c r="N5933" s="431"/>
    </row>
    <row r="5934" spans="1:14" s="398" customFormat="1" hidden="1" outlineLevel="1">
      <c r="A5934" s="1221"/>
      <c r="B5934" s="425"/>
      <c r="C5934" s="333" t="s">
        <v>2</v>
      </c>
      <c r="D5934" s="392">
        <v>2</v>
      </c>
      <c r="E5934" s="165"/>
      <c r="F5934" s="401">
        <f>2+4.06-2+0.61*2</f>
        <v>5.2799999999999994</v>
      </c>
      <c r="G5934" s="401">
        <v>0.61</v>
      </c>
      <c r="H5934" s="401">
        <v>0.82299999999999995</v>
      </c>
      <c r="I5934" s="399">
        <f t="shared" si="222"/>
        <v>5.3</v>
      </c>
      <c r="J5934" s="399"/>
      <c r="K5934" s="1259"/>
      <c r="L5934" s="431"/>
      <c r="M5934" s="431"/>
      <c r="N5934" s="431"/>
    </row>
    <row r="5935" spans="1:14" s="398" customFormat="1" hidden="1" outlineLevel="1">
      <c r="A5935" s="1221"/>
      <c r="B5935" s="425"/>
      <c r="C5935" s="333" t="s">
        <v>2</v>
      </c>
      <c r="D5935" s="392">
        <v>1</v>
      </c>
      <c r="E5935" s="165"/>
      <c r="F5935" s="401">
        <f>4.06+0.61</f>
        <v>4.67</v>
      </c>
      <c r="G5935" s="401">
        <v>0.61</v>
      </c>
      <c r="H5935" s="401">
        <v>0.82299999999999995</v>
      </c>
      <c r="I5935" s="399">
        <f t="shared" si="222"/>
        <v>2.34</v>
      </c>
      <c r="J5935" s="399"/>
      <c r="K5935" s="1259"/>
      <c r="L5935" s="431"/>
      <c r="M5935" s="431"/>
      <c r="N5935" s="431"/>
    </row>
    <row r="5936" spans="1:14" s="398" customFormat="1" hidden="1" outlineLevel="1">
      <c r="A5936" s="1221"/>
      <c r="B5936" s="425"/>
      <c r="C5936" s="333" t="s">
        <v>2</v>
      </c>
      <c r="D5936" s="392">
        <v>1</v>
      </c>
      <c r="E5936" s="165"/>
      <c r="F5936" s="401">
        <f>0.4+3+0.66+0.61*2</f>
        <v>5.2799999999999994</v>
      </c>
      <c r="G5936" s="401">
        <v>0.61</v>
      </c>
      <c r="H5936" s="401">
        <v>0.82299999999999995</v>
      </c>
      <c r="I5936" s="399">
        <f t="shared" si="222"/>
        <v>2.65</v>
      </c>
      <c r="J5936" s="399"/>
      <c r="K5936" s="1259"/>
      <c r="L5936" s="431"/>
      <c r="M5936" s="431"/>
      <c r="N5936" s="431"/>
    </row>
    <row r="5937" spans="1:14" s="398" customFormat="1" hidden="1" outlineLevel="1">
      <c r="A5937" s="1221"/>
      <c r="B5937" s="425"/>
      <c r="C5937" s="333" t="s">
        <v>2</v>
      </c>
      <c r="D5937" s="392">
        <v>1</v>
      </c>
      <c r="E5937" s="165"/>
      <c r="F5937" s="401">
        <f>4.2-2+0.61</f>
        <v>2.81</v>
      </c>
      <c r="G5937" s="401">
        <v>0.61</v>
      </c>
      <c r="H5937" s="401">
        <v>0.82299999999999995</v>
      </c>
      <c r="I5937" s="399">
        <f t="shared" si="222"/>
        <v>1.41</v>
      </c>
      <c r="J5937" s="399"/>
      <c r="K5937" s="1259"/>
      <c r="L5937" s="431"/>
      <c r="M5937" s="431"/>
      <c r="N5937" s="431"/>
    </row>
    <row r="5938" spans="1:14" s="398" customFormat="1" hidden="1" outlineLevel="1">
      <c r="A5938" s="1221"/>
      <c r="B5938" s="425"/>
      <c r="C5938" s="333" t="s">
        <v>2</v>
      </c>
      <c r="D5938" s="392">
        <v>1</v>
      </c>
      <c r="E5938" s="165"/>
      <c r="F5938" s="401">
        <f>4.2+0.61*2</f>
        <v>5.42</v>
      </c>
      <c r="G5938" s="401">
        <v>0.61</v>
      </c>
      <c r="H5938" s="401">
        <v>0.82299999999999995</v>
      </c>
      <c r="I5938" s="399">
        <f t="shared" si="222"/>
        <v>2.72</v>
      </c>
      <c r="J5938" s="399"/>
      <c r="K5938" s="1259"/>
      <c r="L5938" s="431"/>
      <c r="M5938" s="431"/>
      <c r="N5938" s="431"/>
    </row>
    <row r="5939" spans="1:14" s="398" customFormat="1" ht="34.5" hidden="1" outlineLevel="1">
      <c r="A5939" s="1221"/>
      <c r="B5939" s="425" t="s">
        <v>127</v>
      </c>
      <c r="C5939" s="333" t="s">
        <v>2</v>
      </c>
      <c r="D5939" s="392"/>
      <c r="E5939" s="165"/>
      <c r="F5939" s="401"/>
      <c r="G5939" s="401"/>
      <c r="H5939" s="401">
        <v>0.82299999999999995</v>
      </c>
      <c r="I5939" s="399" t="str">
        <f t="shared" si="222"/>
        <v/>
      </c>
      <c r="J5939" s="399"/>
      <c r="K5939" s="1259"/>
      <c r="L5939" s="431"/>
      <c r="M5939" s="431"/>
      <c r="N5939" s="431"/>
    </row>
    <row r="5940" spans="1:14" s="398" customFormat="1" hidden="1" outlineLevel="1">
      <c r="A5940" s="1221"/>
      <c r="B5940" s="425" t="s">
        <v>128</v>
      </c>
      <c r="C5940" s="333" t="s">
        <v>2</v>
      </c>
      <c r="D5940" s="392">
        <v>1</v>
      </c>
      <c r="E5940" s="165"/>
      <c r="F5940" s="401">
        <f>5.985+3+1.395+3+1.395+1.5+1.5+0.775-0.23+0.6*2</f>
        <v>19.519999999999996</v>
      </c>
      <c r="G5940" s="401">
        <v>0.61</v>
      </c>
      <c r="H5940" s="401">
        <v>0.82299999999999995</v>
      </c>
      <c r="I5940" s="399">
        <f t="shared" si="222"/>
        <v>9.8000000000000007</v>
      </c>
      <c r="J5940" s="399"/>
      <c r="K5940" s="1259"/>
      <c r="L5940" s="431"/>
      <c r="M5940" s="431"/>
      <c r="N5940" s="431"/>
    </row>
    <row r="5941" spans="1:14" s="398" customFormat="1" hidden="1" outlineLevel="1">
      <c r="A5941" s="1221"/>
      <c r="B5941" s="425"/>
      <c r="C5941" s="333" t="s">
        <v>2</v>
      </c>
      <c r="D5941" s="392">
        <v>1</v>
      </c>
      <c r="E5941" s="165"/>
      <c r="F5941" s="401">
        <f>1.48+0.61</f>
        <v>2.09</v>
      </c>
      <c r="G5941" s="401">
        <v>0.61</v>
      </c>
      <c r="H5941" s="401">
        <v>0.82299999999999995</v>
      </c>
      <c r="I5941" s="399">
        <f t="shared" si="222"/>
        <v>1.05</v>
      </c>
      <c r="J5941" s="399"/>
      <c r="K5941" s="1259"/>
      <c r="L5941" s="431"/>
      <c r="M5941" s="431"/>
      <c r="N5941" s="431"/>
    </row>
    <row r="5942" spans="1:14" s="398" customFormat="1" hidden="1" outlineLevel="1">
      <c r="A5942" s="1221"/>
      <c r="B5942" s="425"/>
      <c r="C5942" s="333" t="s">
        <v>2</v>
      </c>
      <c r="D5942" s="392">
        <v>6</v>
      </c>
      <c r="E5942" s="165"/>
      <c r="F5942" s="401">
        <f>0.615+0.61*2</f>
        <v>1.835</v>
      </c>
      <c r="G5942" s="401">
        <v>0.61</v>
      </c>
      <c r="H5942" s="401">
        <v>0.82299999999999995</v>
      </c>
      <c r="I5942" s="399">
        <f t="shared" si="222"/>
        <v>5.53</v>
      </c>
      <c r="J5942" s="399"/>
      <c r="K5942" s="1259"/>
      <c r="L5942" s="431"/>
      <c r="M5942" s="431"/>
      <c r="N5942" s="431"/>
    </row>
    <row r="5943" spans="1:14" s="398" customFormat="1" hidden="1" outlineLevel="1">
      <c r="A5943" s="1221"/>
      <c r="B5943" s="425"/>
      <c r="C5943" s="333" t="s">
        <v>2</v>
      </c>
      <c r="D5943" s="392">
        <v>4</v>
      </c>
      <c r="E5943" s="165"/>
      <c r="F5943" s="401">
        <f>2.435-0.61*2</f>
        <v>1.2150000000000001</v>
      </c>
      <c r="G5943" s="401">
        <v>0.61</v>
      </c>
      <c r="H5943" s="401">
        <v>0.82299999999999995</v>
      </c>
      <c r="I5943" s="399">
        <f t="shared" si="222"/>
        <v>2.44</v>
      </c>
      <c r="J5943" s="399"/>
      <c r="K5943" s="1259"/>
      <c r="L5943" s="431"/>
      <c r="M5943" s="431"/>
      <c r="N5943" s="431"/>
    </row>
    <row r="5944" spans="1:14" s="398" customFormat="1" hidden="1" outlineLevel="1">
      <c r="A5944" s="1221"/>
      <c r="B5944" s="425"/>
      <c r="C5944" s="333" t="s">
        <v>2</v>
      </c>
      <c r="D5944" s="392">
        <v>1</v>
      </c>
      <c r="E5944" s="165"/>
      <c r="F5944" s="401">
        <f>2.13-0.61*2</f>
        <v>0.90999999999999992</v>
      </c>
      <c r="G5944" s="401">
        <v>0.61</v>
      </c>
      <c r="H5944" s="401">
        <v>0.82299999999999995</v>
      </c>
      <c r="I5944" s="399">
        <f t="shared" si="222"/>
        <v>0.46</v>
      </c>
      <c r="J5944" s="399"/>
      <c r="K5944" s="1259"/>
      <c r="L5944" s="431"/>
      <c r="M5944" s="431"/>
      <c r="N5944" s="431"/>
    </row>
    <row r="5945" spans="1:14" s="398" customFormat="1" hidden="1" outlineLevel="1">
      <c r="A5945" s="1221"/>
      <c r="B5945" s="425"/>
      <c r="C5945" s="333" t="s">
        <v>2</v>
      </c>
      <c r="D5945" s="392">
        <v>1</v>
      </c>
      <c r="E5945" s="165"/>
      <c r="F5945" s="401">
        <v>1.145</v>
      </c>
      <c r="G5945" s="401">
        <v>0.61</v>
      </c>
      <c r="H5945" s="401">
        <v>0.82299999999999995</v>
      </c>
      <c r="I5945" s="399">
        <f t="shared" si="222"/>
        <v>0.56999999999999995</v>
      </c>
      <c r="J5945" s="399"/>
      <c r="K5945" s="1259"/>
      <c r="L5945" s="431"/>
      <c r="M5945" s="431"/>
      <c r="N5945" s="431"/>
    </row>
    <row r="5946" spans="1:14" s="398" customFormat="1" ht="34.5" hidden="1" outlineLevel="1">
      <c r="A5946" s="1221"/>
      <c r="B5946" s="425" t="s">
        <v>129</v>
      </c>
      <c r="C5946" s="333" t="s">
        <v>2</v>
      </c>
      <c r="D5946" s="392"/>
      <c r="E5946" s="165"/>
      <c r="F5946" s="401"/>
      <c r="G5946" s="401"/>
      <c r="H5946" s="401">
        <v>0.82299999999999995</v>
      </c>
      <c r="I5946" s="399" t="str">
        <f t="shared" si="222"/>
        <v/>
      </c>
      <c r="J5946" s="399"/>
      <c r="K5946" s="1259"/>
      <c r="L5946" s="431"/>
      <c r="M5946" s="431"/>
      <c r="N5946" s="431"/>
    </row>
    <row r="5947" spans="1:14" s="398" customFormat="1" hidden="1" outlineLevel="1">
      <c r="A5947" s="1221"/>
      <c r="B5947" s="425" t="s">
        <v>128</v>
      </c>
      <c r="C5947" s="333" t="s">
        <v>2</v>
      </c>
      <c r="D5947" s="392">
        <v>2</v>
      </c>
      <c r="E5947" s="165"/>
      <c r="F5947" s="401">
        <v>2</v>
      </c>
      <c r="G5947" s="401">
        <v>0.61</v>
      </c>
      <c r="H5947" s="401">
        <v>0.82299999999999995</v>
      </c>
      <c r="I5947" s="399">
        <f t="shared" si="222"/>
        <v>2.0099999999999998</v>
      </c>
      <c r="J5947" s="399"/>
      <c r="K5947" s="1259"/>
      <c r="L5947" s="431"/>
      <c r="M5947" s="431"/>
      <c r="N5947" s="431"/>
    </row>
    <row r="5948" spans="1:14" s="398" customFormat="1" hidden="1" outlineLevel="1">
      <c r="A5948" s="1221"/>
      <c r="B5948" s="425"/>
      <c r="C5948" s="333" t="s">
        <v>2</v>
      </c>
      <c r="D5948" s="392">
        <v>2</v>
      </c>
      <c r="E5948" s="165"/>
      <c r="F5948" s="401">
        <v>3</v>
      </c>
      <c r="G5948" s="401">
        <v>0.61</v>
      </c>
      <c r="H5948" s="401">
        <v>0.82299999999999995</v>
      </c>
      <c r="I5948" s="399">
        <f t="shared" si="222"/>
        <v>3.01</v>
      </c>
      <c r="J5948" s="399"/>
      <c r="K5948" s="1259"/>
      <c r="L5948" s="431"/>
      <c r="M5948" s="431"/>
      <c r="N5948" s="431"/>
    </row>
    <row r="5949" spans="1:14" s="398" customFormat="1" hidden="1" outlineLevel="1">
      <c r="A5949" s="1221"/>
      <c r="B5949" s="425"/>
      <c r="C5949" s="333" t="s">
        <v>2</v>
      </c>
      <c r="D5949" s="392">
        <v>2</v>
      </c>
      <c r="E5949" s="165"/>
      <c r="F5949" s="401">
        <v>4.6449999999999996</v>
      </c>
      <c r="G5949" s="401">
        <v>0.61</v>
      </c>
      <c r="H5949" s="401">
        <v>0.82299999999999995</v>
      </c>
      <c r="I5949" s="399">
        <f t="shared" si="222"/>
        <v>4.66</v>
      </c>
      <c r="J5949" s="399"/>
      <c r="K5949" s="1259"/>
      <c r="L5949" s="431"/>
      <c r="M5949" s="431"/>
      <c r="N5949" s="431"/>
    </row>
    <row r="5950" spans="1:14" s="398" customFormat="1" hidden="1" outlineLevel="1">
      <c r="A5950" s="1221"/>
      <c r="B5950" s="425"/>
      <c r="C5950" s="333" t="s">
        <v>2</v>
      </c>
      <c r="D5950" s="392">
        <v>2</v>
      </c>
      <c r="E5950" s="165"/>
      <c r="F5950" s="401">
        <v>6.12</v>
      </c>
      <c r="G5950" s="401">
        <v>0.61</v>
      </c>
      <c r="H5950" s="401">
        <v>0.82299999999999995</v>
      </c>
      <c r="I5950" s="399">
        <f t="shared" si="222"/>
        <v>6.14</v>
      </c>
      <c r="J5950" s="399"/>
      <c r="K5950" s="1259"/>
      <c r="L5950" s="431"/>
      <c r="M5950" s="431"/>
      <c r="N5950" s="431"/>
    </row>
    <row r="5951" spans="1:14" s="398" customFormat="1" hidden="1" outlineLevel="1">
      <c r="A5951" s="1221"/>
      <c r="B5951" s="425"/>
      <c r="C5951" s="333" t="s">
        <v>2</v>
      </c>
      <c r="D5951" s="392">
        <v>2</v>
      </c>
      <c r="E5951" s="165"/>
      <c r="F5951" s="401">
        <v>6.95</v>
      </c>
      <c r="G5951" s="401">
        <v>0.61</v>
      </c>
      <c r="H5951" s="401">
        <v>0.82299999999999995</v>
      </c>
      <c r="I5951" s="399">
        <f t="shared" si="222"/>
        <v>6.98</v>
      </c>
      <c r="J5951" s="399"/>
      <c r="K5951" s="1259"/>
      <c r="L5951" s="431"/>
      <c r="M5951" s="431"/>
      <c r="N5951" s="431"/>
    </row>
    <row r="5952" spans="1:14" s="398" customFormat="1" hidden="1" outlineLevel="1">
      <c r="A5952" s="1221"/>
      <c r="B5952" s="425"/>
      <c r="C5952" s="333" t="s">
        <v>2</v>
      </c>
      <c r="D5952" s="392">
        <v>2</v>
      </c>
      <c r="E5952" s="165"/>
      <c r="F5952" s="401">
        <v>6.38</v>
      </c>
      <c r="G5952" s="401">
        <v>0.61</v>
      </c>
      <c r="H5952" s="401">
        <v>0.82299999999999995</v>
      </c>
      <c r="I5952" s="399">
        <f t="shared" si="222"/>
        <v>6.41</v>
      </c>
      <c r="J5952" s="399"/>
      <c r="K5952" s="1259"/>
      <c r="L5952" s="431"/>
      <c r="M5952" s="431"/>
      <c r="N5952" s="431"/>
    </row>
    <row r="5953" spans="1:14" s="398" customFormat="1" hidden="1" outlineLevel="1">
      <c r="A5953" s="1221"/>
      <c r="B5953" s="425"/>
      <c r="C5953" s="333" t="s">
        <v>2</v>
      </c>
      <c r="D5953" s="392">
        <v>2</v>
      </c>
      <c r="E5953" s="165"/>
      <c r="F5953" s="401">
        <v>5.3449999999999998</v>
      </c>
      <c r="G5953" s="401">
        <v>0.61</v>
      </c>
      <c r="H5953" s="401">
        <v>0.82299999999999995</v>
      </c>
      <c r="I5953" s="399">
        <f t="shared" si="222"/>
        <v>5.37</v>
      </c>
      <c r="J5953" s="399"/>
      <c r="K5953" s="1259"/>
      <c r="L5953" s="431"/>
      <c r="M5953" s="431"/>
      <c r="N5953" s="431"/>
    </row>
    <row r="5954" spans="1:14" s="398" customFormat="1" hidden="1" outlineLevel="1">
      <c r="A5954" s="1221"/>
      <c r="B5954" s="425" t="s">
        <v>130</v>
      </c>
      <c r="C5954" s="333" t="s">
        <v>2</v>
      </c>
      <c r="D5954" s="392">
        <v>2</v>
      </c>
      <c r="E5954" s="165"/>
      <c r="F5954" s="401">
        <f>27.15+0.61*2</f>
        <v>28.369999999999997</v>
      </c>
      <c r="G5954" s="401">
        <v>0.61</v>
      </c>
      <c r="H5954" s="401">
        <v>0.82299999999999995</v>
      </c>
      <c r="I5954" s="399">
        <f t="shared" si="222"/>
        <v>28.49</v>
      </c>
      <c r="J5954" s="399"/>
      <c r="K5954" s="1259"/>
      <c r="L5954" s="431"/>
      <c r="M5954" s="431"/>
      <c r="N5954" s="431"/>
    </row>
    <row r="5955" spans="1:14" s="398" customFormat="1" hidden="1" outlineLevel="1">
      <c r="A5955" s="1221"/>
      <c r="B5955" s="425" t="s">
        <v>131</v>
      </c>
      <c r="C5955" s="333" t="s">
        <v>2</v>
      </c>
      <c r="D5955" s="392">
        <v>2</v>
      </c>
      <c r="E5955" s="165"/>
      <c r="F5955" s="1154">
        <v>14.19</v>
      </c>
      <c r="G5955" s="401">
        <v>0.61</v>
      </c>
      <c r="H5955" s="401">
        <v>0.82299999999999995</v>
      </c>
      <c r="I5955" s="399">
        <f t="shared" si="222"/>
        <v>14.25</v>
      </c>
      <c r="J5955" s="399"/>
      <c r="K5955" s="1259"/>
      <c r="L5955" s="431"/>
      <c r="M5955" s="431"/>
      <c r="N5955" s="431"/>
    </row>
    <row r="5956" spans="1:14" s="398" customFormat="1" hidden="1" outlineLevel="1">
      <c r="A5956" s="1221"/>
      <c r="B5956" s="425" t="s">
        <v>132</v>
      </c>
      <c r="C5956" s="333" t="s">
        <v>2</v>
      </c>
      <c r="D5956" s="392">
        <v>1</v>
      </c>
      <c r="E5956" s="165"/>
      <c r="F5956" s="401">
        <f>34.935</f>
        <v>34.935000000000002</v>
      </c>
      <c r="G5956" s="401">
        <v>0.61</v>
      </c>
      <c r="H5956" s="401">
        <v>0.83</v>
      </c>
      <c r="I5956" s="399">
        <f t="shared" si="222"/>
        <v>17.690000000000001</v>
      </c>
      <c r="J5956" s="399"/>
      <c r="K5956" s="1259"/>
      <c r="L5956" s="431"/>
      <c r="M5956" s="431"/>
      <c r="N5956" s="431"/>
    </row>
    <row r="5957" spans="1:14" s="398" customFormat="1" hidden="1" outlineLevel="1">
      <c r="A5957" s="1221"/>
      <c r="B5957" s="425" t="s">
        <v>132</v>
      </c>
      <c r="C5957" s="333" t="s">
        <v>2</v>
      </c>
      <c r="D5957" s="392">
        <v>1</v>
      </c>
      <c r="E5957" s="165"/>
      <c r="F5957" s="401">
        <v>15</v>
      </c>
      <c r="G5957" s="401">
        <v>0.61</v>
      </c>
      <c r="H5957" s="401">
        <v>0.83</v>
      </c>
      <c r="I5957" s="399">
        <f t="shared" si="222"/>
        <v>7.59</v>
      </c>
      <c r="J5957" s="399"/>
      <c r="K5957" s="1259"/>
      <c r="L5957" s="431"/>
      <c r="M5957" s="431"/>
      <c r="N5957" s="431"/>
    </row>
    <row r="5958" spans="1:14" s="398" customFormat="1" hidden="1" outlineLevel="1">
      <c r="A5958" s="1221"/>
      <c r="B5958" s="425" t="s">
        <v>133</v>
      </c>
      <c r="C5958" s="333" t="s">
        <v>2</v>
      </c>
      <c r="D5958" s="392">
        <v>1</v>
      </c>
      <c r="E5958" s="165"/>
      <c r="F5958" s="401">
        <v>31.4</v>
      </c>
      <c r="G5958" s="401">
        <v>0.61</v>
      </c>
      <c r="H5958" s="401">
        <v>0.83</v>
      </c>
      <c r="I5958" s="399">
        <f t="shared" si="222"/>
        <v>15.9</v>
      </c>
      <c r="J5958" s="399"/>
      <c r="K5958" s="1259"/>
      <c r="L5958" s="431"/>
      <c r="M5958" s="431"/>
      <c r="N5958" s="431"/>
    </row>
    <row r="5959" spans="1:14" s="398" customFormat="1" hidden="1" outlineLevel="1">
      <c r="A5959" s="1221"/>
      <c r="B5959" s="425" t="s">
        <v>134</v>
      </c>
      <c r="C5959" s="333" t="s">
        <v>2</v>
      </c>
      <c r="D5959" s="392">
        <v>1</v>
      </c>
      <c r="E5959" s="165"/>
      <c r="F5959" s="401">
        <v>42.55</v>
      </c>
      <c r="G5959" s="401">
        <v>0.61</v>
      </c>
      <c r="H5959" s="401">
        <v>0.15</v>
      </c>
      <c r="I5959" s="399">
        <f t="shared" si="222"/>
        <v>3.89</v>
      </c>
      <c r="J5959" s="399"/>
      <c r="K5959" s="1259"/>
      <c r="L5959" s="431"/>
      <c r="M5959" s="431"/>
      <c r="N5959" s="431"/>
    </row>
    <row r="5960" spans="1:14" s="398" customFormat="1" hidden="1" outlineLevel="1">
      <c r="A5960" s="1221"/>
      <c r="B5960" s="425" t="s">
        <v>135</v>
      </c>
      <c r="C5960" s="333" t="s">
        <v>2</v>
      </c>
      <c r="D5960" s="392">
        <v>2</v>
      </c>
      <c r="E5960" s="165"/>
      <c r="F5960" s="401">
        <v>31.44</v>
      </c>
      <c r="G5960" s="401">
        <v>0.61</v>
      </c>
      <c r="H5960" s="401">
        <v>0.83</v>
      </c>
      <c r="I5960" s="399">
        <f t="shared" si="222"/>
        <v>31.84</v>
      </c>
      <c r="J5960" s="399"/>
      <c r="K5960" s="1259"/>
      <c r="L5960" s="431"/>
      <c r="M5960" s="431"/>
      <c r="N5960" s="431"/>
    </row>
    <row r="5961" spans="1:14" s="398" customFormat="1" hidden="1" outlineLevel="1">
      <c r="A5961" s="1221"/>
      <c r="B5961" s="425" t="s">
        <v>136</v>
      </c>
      <c r="C5961" s="333" t="s">
        <v>2</v>
      </c>
      <c r="D5961" s="392">
        <v>6</v>
      </c>
      <c r="E5961" s="165"/>
      <c r="F5961" s="401">
        <f>4.5+0.15*2+0.1*2</f>
        <v>5</v>
      </c>
      <c r="G5961" s="401">
        <f>1+0.15+0.1</f>
        <v>1.25</v>
      </c>
      <c r="H5961" s="401">
        <v>0.83</v>
      </c>
      <c r="I5961" s="399">
        <f t="shared" si="222"/>
        <v>31.13</v>
      </c>
      <c r="J5961" s="399"/>
      <c r="K5961" s="1259"/>
      <c r="L5961" s="431"/>
      <c r="M5961" s="431"/>
      <c r="N5961" s="431"/>
    </row>
    <row r="5962" spans="1:14" s="398" customFormat="1" hidden="1" outlineLevel="1">
      <c r="A5962" s="1221"/>
      <c r="B5962" s="425"/>
      <c r="C5962" s="333" t="s">
        <v>2</v>
      </c>
      <c r="D5962" s="438">
        <v>2</v>
      </c>
      <c r="E5962" s="165"/>
      <c r="F5962" s="401">
        <f>4.5+0.15*2+0.1*2</f>
        <v>5</v>
      </c>
      <c r="G5962" s="401">
        <f>1+0.15*2+0.1*2</f>
        <v>1.5</v>
      </c>
      <c r="H5962" s="401">
        <v>0.83</v>
      </c>
      <c r="I5962" s="399">
        <f t="shared" si="222"/>
        <v>12.45</v>
      </c>
      <c r="J5962" s="399"/>
      <c r="K5962" s="1259"/>
      <c r="L5962" s="431"/>
      <c r="M5962" s="431"/>
      <c r="N5962" s="431"/>
    </row>
    <row r="5963" spans="1:14" s="398" customFormat="1" hidden="1" outlineLevel="1">
      <c r="A5963" s="1221"/>
      <c r="B5963" s="425" t="s">
        <v>137</v>
      </c>
      <c r="C5963" s="333" t="s">
        <v>2</v>
      </c>
      <c r="D5963" s="392">
        <v>6</v>
      </c>
      <c r="E5963" s="165"/>
      <c r="F5963" s="401">
        <f>4.5+0.15*2+0.1*2</f>
        <v>5</v>
      </c>
      <c r="G5963" s="401">
        <f>1+0.15+0.1</f>
        <v>1.25</v>
      </c>
      <c r="H5963" s="401">
        <v>0.83</v>
      </c>
      <c r="I5963" s="399">
        <f t="shared" si="222"/>
        <v>31.13</v>
      </c>
      <c r="J5963" s="399"/>
      <c r="K5963" s="1259"/>
      <c r="L5963" s="431"/>
      <c r="M5963" s="431"/>
      <c r="N5963" s="431"/>
    </row>
    <row r="5964" spans="1:14" s="398" customFormat="1" hidden="1" outlineLevel="1">
      <c r="A5964" s="1221"/>
      <c r="B5964" s="425"/>
      <c r="C5964" s="333" t="s">
        <v>2</v>
      </c>
      <c r="D5964" s="438">
        <v>2</v>
      </c>
      <c r="E5964" s="165"/>
      <c r="F5964" s="401">
        <f>4.5+0.15*2+0.1*2</f>
        <v>5</v>
      </c>
      <c r="G5964" s="401">
        <f>1+0.15*2+0.1*2</f>
        <v>1.5</v>
      </c>
      <c r="H5964" s="401">
        <v>0.83</v>
      </c>
      <c r="I5964" s="399">
        <f t="shared" si="222"/>
        <v>12.45</v>
      </c>
      <c r="J5964" s="399"/>
      <c r="K5964" s="1259"/>
      <c r="L5964" s="431"/>
      <c r="M5964" s="431"/>
      <c r="N5964" s="431"/>
    </row>
    <row r="5965" spans="1:14" s="462" customFormat="1" hidden="1" outlineLevel="1" collapsed="1">
      <c r="A5965" s="1261"/>
      <c r="B5965" s="260" t="s">
        <v>489</v>
      </c>
      <c r="C5965" s="457"/>
      <c r="D5965" s="440"/>
      <c r="E5965" s="439"/>
      <c r="F5965" s="1350"/>
      <c r="G5965" s="1350"/>
      <c r="H5965" s="1350"/>
      <c r="I5965" s="399" t="str">
        <f t="shared" si="222"/>
        <v/>
      </c>
      <c r="J5965" s="442"/>
      <c r="K5965" s="1262"/>
      <c r="L5965" s="461"/>
      <c r="M5965" s="461"/>
      <c r="N5965" s="461"/>
    </row>
    <row r="5966" spans="1:14" s="462" customFormat="1" hidden="1" outlineLevel="1">
      <c r="A5966" s="1261"/>
      <c r="B5966" s="260"/>
      <c r="C5966" s="457"/>
      <c r="D5966" s="440"/>
      <c r="E5966" s="439"/>
      <c r="F5966" s="1350"/>
      <c r="G5966" s="1350"/>
      <c r="H5966" s="1350"/>
      <c r="I5966" s="399" t="str">
        <f t="shared" si="222"/>
        <v/>
      </c>
      <c r="J5966" s="442"/>
      <c r="K5966" s="1262"/>
      <c r="L5966" s="461"/>
      <c r="M5966" s="461"/>
      <c r="N5966" s="461"/>
    </row>
    <row r="5967" spans="1:14" s="462" customFormat="1" hidden="1" outlineLevel="1">
      <c r="A5967" s="1261"/>
      <c r="B5967" s="260" t="s">
        <v>171</v>
      </c>
      <c r="C5967" s="457" t="s">
        <v>2</v>
      </c>
      <c r="D5967" s="440">
        <v>1</v>
      </c>
      <c r="E5967" s="439">
        <v>1</v>
      </c>
      <c r="F5967" s="1350">
        <v>4.6500000000000004</v>
      </c>
      <c r="G5967" s="1350">
        <v>0.61</v>
      </c>
      <c r="H5967" s="1350">
        <v>0.82299999999999995</v>
      </c>
      <c r="I5967" s="399">
        <f t="shared" si="222"/>
        <v>2.33</v>
      </c>
      <c r="J5967" s="442"/>
      <c r="K5967" s="1263">
        <v>2.4348454999999998</v>
      </c>
      <c r="L5967" s="461"/>
      <c r="M5967" s="461"/>
      <c r="N5967" s="461"/>
    </row>
    <row r="5968" spans="1:14" s="462" customFormat="1" hidden="1" outlineLevel="1">
      <c r="A5968" s="1261"/>
      <c r="B5968" s="260"/>
      <c r="C5968" s="457"/>
      <c r="D5968" s="440"/>
      <c r="E5968" s="439"/>
      <c r="F5968" s="1350"/>
      <c r="G5968" s="1350"/>
      <c r="H5968" s="1350"/>
      <c r="I5968" s="399" t="str">
        <f t="shared" si="222"/>
        <v/>
      </c>
      <c r="J5968" s="442"/>
      <c r="K5968" s="1263">
        <v>0</v>
      </c>
      <c r="L5968" s="461"/>
      <c r="M5968" s="461"/>
      <c r="N5968" s="461"/>
    </row>
    <row r="5969" spans="1:14" s="462" customFormat="1" hidden="1" outlineLevel="1">
      <c r="A5969" s="1261"/>
      <c r="B5969" s="260"/>
      <c r="C5969" s="457" t="s">
        <v>2</v>
      </c>
      <c r="D5969" s="440">
        <v>1</v>
      </c>
      <c r="E5969" s="439">
        <v>1</v>
      </c>
      <c r="F5969" s="1350">
        <v>2.04</v>
      </c>
      <c r="G5969" s="1350">
        <v>0.61</v>
      </c>
      <c r="H5969" s="1350">
        <v>0.82299999999999995</v>
      </c>
      <c r="I5969" s="399">
        <f t="shared" si="222"/>
        <v>1.02</v>
      </c>
      <c r="J5969" s="442"/>
      <c r="K5969" s="1263">
        <v>1.0241411999999999</v>
      </c>
      <c r="L5969" s="461"/>
      <c r="M5969" s="461"/>
      <c r="N5969" s="461"/>
    </row>
    <row r="5970" spans="1:14" s="462" customFormat="1" hidden="1" outlineLevel="1">
      <c r="A5970" s="1261"/>
      <c r="B5970" s="260"/>
      <c r="C5970" s="457"/>
      <c r="D5970" s="440"/>
      <c r="E5970" s="439"/>
      <c r="F5970" s="1350"/>
      <c r="G5970" s="1350"/>
      <c r="H5970" s="1350"/>
      <c r="I5970" s="399" t="str">
        <f t="shared" si="222"/>
        <v/>
      </c>
      <c r="J5970" s="442"/>
      <c r="K5970" s="1263"/>
      <c r="L5970" s="461"/>
      <c r="M5970" s="461"/>
      <c r="N5970" s="461"/>
    </row>
    <row r="5971" spans="1:14" s="462" customFormat="1" hidden="1" outlineLevel="1">
      <c r="A5971" s="1261"/>
      <c r="B5971" s="260" t="s">
        <v>172</v>
      </c>
      <c r="C5971" s="457" t="s">
        <v>2</v>
      </c>
      <c r="D5971" s="440">
        <f>1*0</f>
        <v>0</v>
      </c>
      <c r="E5971" s="439">
        <v>1</v>
      </c>
      <c r="F5971" s="1350">
        <v>2.61</v>
      </c>
      <c r="G5971" s="1350">
        <v>0.61</v>
      </c>
      <c r="H5971" s="1350">
        <v>0.82299999999999995</v>
      </c>
      <c r="I5971" s="399" t="str">
        <f t="shared" si="222"/>
        <v/>
      </c>
      <c r="J5971" s="442"/>
      <c r="K5971" s="1263">
        <v>1.3102982999999997</v>
      </c>
      <c r="L5971" s="461"/>
      <c r="M5971" s="461"/>
      <c r="N5971" s="461"/>
    </row>
    <row r="5972" spans="1:14" s="462" customFormat="1" hidden="1" outlineLevel="1">
      <c r="A5972" s="1261"/>
      <c r="B5972" s="260"/>
      <c r="C5972" s="457"/>
      <c r="D5972" s="440"/>
      <c r="E5972" s="439"/>
      <c r="F5972" s="1350"/>
      <c r="G5972" s="1350"/>
      <c r="H5972" s="1350"/>
      <c r="I5972" s="399" t="str">
        <f t="shared" si="222"/>
        <v/>
      </c>
      <c r="J5972" s="442"/>
      <c r="K5972" s="1263"/>
      <c r="L5972" s="461"/>
      <c r="M5972" s="461"/>
      <c r="N5972" s="461"/>
    </row>
    <row r="5973" spans="1:14" s="462" customFormat="1" hidden="1" outlineLevel="1">
      <c r="A5973" s="1261"/>
      <c r="B5973" s="260"/>
      <c r="C5973" s="457" t="s">
        <v>2</v>
      </c>
      <c r="D5973" s="440">
        <v>1</v>
      </c>
      <c r="E5973" s="439">
        <v>1</v>
      </c>
      <c r="F5973" s="1350">
        <v>2.04</v>
      </c>
      <c r="G5973" s="1350">
        <v>0.61</v>
      </c>
      <c r="H5973" s="1350">
        <v>0.82299999999999995</v>
      </c>
      <c r="I5973" s="399">
        <f t="shared" si="222"/>
        <v>1.02</v>
      </c>
      <c r="J5973" s="442"/>
      <c r="K5973" s="1263">
        <v>1.0241411999999999</v>
      </c>
      <c r="L5973" s="461"/>
      <c r="M5973" s="461"/>
      <c r="N5973" s="461"/>
    </row>
    <row r="5974" spans="1:14" s="462" customFormat="1" hidden="1" outlineLevel="1">
      <c r="A5974" s="1261"/>
      <c r="B5974" s="260"/>
      <c r="C5974" s="457"/>
      <c r="D5974" s="440"/>
      <c r="E5974" s="439"/>
      <c r="F5974" s="1350"/>
      <c r="G5974" s="1350"/>
      <c r="H5974" s="1350"/>
      <c r="I5974" s="399" t="str">
        <f t="shared" si="222"/>
        <v/>
      </c>
      <c r="J5974" s="442"/>
      <c r="K5974" s="1263"/>
      <c r="L5974" s="461"/>
      <c r="M5974" s="461"/>
      <c r="N5974" s="461"/>
    </row>
    <row r="5975" spans="1:14" s="462" customFormat="1" hidden="1" outlineLevel="1">
      <c r="A5975" s="1261"/>
      <c r="B5975" s="260"/>
      <c r="C5975" s="457" t="s">
        <v>2</v>
      </c>
      <c r="D5975" s="440">
        <v>1</v>
      </c>
      <c r="E5975" s="439">
        <v>1</v>
      </c>
      <c r="F5975" s="1350">
        <v>2.34</v>
      </c>
      <c r="G5975" s="1350">
        <v>0.61</v>
      </c>
      <c r="H5975" s="1350">
        <v>0.82299999999999995</v>
      </c>
      <c r="I5975" s="399">
        <f t="shared" si="222"/>
        <v>1.17</v>
      </c>
      <c r="J5975" s="442"/>
      <c r="K5975" s="1263">
        <v>1.1747501999999999</v>
      </c>
      <c r="L5975" s="461"/>
      <c r="M5975" s="461"/>
      <c r="N5975" s="461"/>
    </row>
    <row r="5976" spans="1:14" s="462" customFormat="1" hidden="1" outlineLevel="1">
      <c r="A5976" s="1261"/>
      <c r="B5976" s="260"/>
      <c r="C5976" s="457"/>
      <c r="D5976" s="440"/>
      <c r="E5976" s="439"/>
      <c r="F5976" s="1350"/>
      <c r="G5976" s="1350"/>
      <c r="H5976" s="1350"/>
      <c r="I5976" s="399" t="str">
        <f t="shared" si="222"/>
        <v/>
      </c>
      <c r="J5976" s="442"/>
      <c r="K5976" s="1263"/>
      <c r="L5976" s="461"/>
      <c r="M5976" s="461"/>
      <c r="N5976" s="461"/>
    </row>
    <row r="5977" spans="1:14" s="462" customFormat="1" hidden="1" outlineLevel="1">
      <c r="A5977" s="1261"/>
      <c r="B5977" s="260"/>
      <c r="C5977" s="457" t="s">
        <v>2</v>
      </c>
      <c r="D5977" s="440">
        <v>1</v>
      </c>
      <c r="E5977" s="439">
        <v>1</v>
      </c>
      <c r="F5977" s="1350">
        <v>1.21</v>
      </c>
      <c r="G5977" s="1350">
        <v>0.61</v>
      </c>
      <c r="H5977" s="1350">
        <v>0.82299999999999995</v>
      </c>
      <c r="I5977" s="399">
        <f t="shared" si="222"/>
        <v>0.61</v>
      </c>
      <c r="J5977" s="442"/>
      <c r="K5977" s="1263">
        <v>0.60745629999999995</v>
      </c>
      <c r="L5977" s="461"/>
      <c r="M5977" s="461"/>
      <c r="N5977" s="461"/>
    </row>
    <row r="5978" spans="1:14" s="462" customFormat="1" hidden="1" outlineLevel="1">
      <c r="A5978" s="1261"/>
      <c r="B5978" s="260"/>
      <c r="C5978" s="457"/>
      <c r="D5978" s="440"/>
      <c r="E5978" s="439"/>
      <c r="F5978" s="1350"/>
      <c r="G5978" s="1350"/>
      <c r="H5978" s="1350"/>
      <c r="I5978" s="399" t="str">
        <f t="shared" si="222"/>
        <v/>
      </c>
      <c r="J5978" s="442"/>
      <c r="K5978" s="1263">
        <v>0</v>
      </c>
      <c r="L5978" s="461"/>
      <c r="M5978" s="461"/>
      <c r="N5978" s="461"/>
    </row>
    <row r="5979" spans="1:14" s="462" customFormat="1" hidden="1" outlineLevel="1">
      <c r="A5979" s="1261"/>
      <c r="B5979" s="260" t="s">
        <v>173</v>
      </c>
      <c r="C5979" s="457" t="s">
        <v>2</v>
      </c>
      <c r="D5979" s="440">
        <v>1</v>
      </c>
      <c r="E5979" s="439">
        <v>2</v>
      </c>
      <c r="F5979" s="1350">
        <v>2.34</v>
      </c>
      <c r="G5979" s="1350">
        <v>0.61</v>
      </c>
      <c r="H5979" s="1350">
        <v>0.82299999999999995</v>
      </c>
      <c r="I5979" s="399">
        <f t="shared" si="222"/>
        <v>2.35</v>
      </c>
      <c r="J5979" s="442"/>
      <c r="K5979" s="1263">
        <v>2.3495003999999997</v>
      </c>
      <c r="L5979" s="461"/>
      <c r="M5979" s="461"/>
      <c r="N5979" s="461"/>
    </row>
    <row r="5980" spans="1:14" s="462" customFormat="1" hidden="1" outlineLevel="1">
      <c r="A5980" s="1261"/>
      <c r="B5980" s="260"/>
      <c r="C5980" s="457"/>
      <c r="D5980" s="440"/>
      <c r="E5980" s="439"/>
      <c r="F5980" s="1350"/>
      <c r="G5980" s="1350"/>
      <c r="H5980" s="1350"/>
      <c r="I5980" s="399" t="str">
        <f t="shared" si="222"/>
        <v/>
      </c>
      <c r="J5980" s="442"/>
      <c r="K5980" s="1263">
        <v>0</v>
      </c>
      <c r="L5980" s="461"/>
      <c r="M5980" s="461"/>
      <c r="N5980" s="461"/>
    </row>
    <row r="5981" spans="1:14" s="462" customFormat="1" hidden="1" outlineLevel="1">
      <c r="A5981" s="1261"/>
      <c r="B5981" s="260" t="s">
        <v>174</v>
      </c>
      <c r="C5981" s="457" t="s">
        <v>2</v>
      </c>
      <c r="D5981" s="440">
        <v>1</v>
      </c>
      <c r="E5981" s="439">
        <v>1</v>
      </c>
      <c r="F5981" s="1350">
        <v>1.81</v>
      </c>
      <c r="G5981" s="1350">
        <v>0.61</v>
      </c>
      <c r="H5981" s="1350">
        <v>0.82299999999999995</v>
      </c>
      <c r="I5981" s="399">
        <f t="shared" ref="I5981:I6044" si="223">IF(D5981&lt;&gt;0,ROUND(PRODUCT(E5981:H5981)*D5981,2),"")</f>
        <v>0.91</v>
      </c>
      <c r="J5981" s="442"/>
      <c r="K5981" s="1263">
        <v>0.90867430000000005</v>
      </c>
      <c r="L5981" s="461"/>
      <c r="M5981" s="461"/>
      <c r="N5981" s="461"/>
    </row>
    <row r="5982" spans="1:14" s="462" customFormat="1" hidden="1" outlineLevel="1">
      <c r="A5982" s="1261"/>
      <c r="B5982" s="260"/>
      <c r="C5982" s="457"/>
      <c r="D5982" s="440"/>
      <c r="E5982" s="439"/>
      <c r="F5982" s="1350"/>
      <c r="G5982" s="1350"/>
      <c r="H5982" s="1350"/>
      <c r="I5982" s="399" t="str">
        <f t="shared" si="223"/>
        <v/>
      </c>
      <c r="J5982" s="442"/>
      <c r="K5982" s="1263"/>
      <c r="L5982" s="461"/>
      <c r="M5982" s="461"/>
      <c r="N5982" s="461"/>
    </row>
    <row r="5983" spans="1:14" s="462" customFormat="1" hidden="1" outlineLevel="1">
      <c r="A5983" s="1261"/>
      <c r="B5983" s="260"/>
      <c r="C5983" s="457" t="s">
        <v>2</v>
      </c>
      <c r="D5983" s="440">
        <v>1</v>
      </c>
      <c r="E5983" s="439">
        <v>1</v>
      </c>
      <c r="F5983" s="1350">
        <v>2.94</v>
      </c>
      <c r="G5983" s="1350">
        <v>0.61</v>
      </c>
      <c r="H5983" s="1350">
        <v>0.82299999999999995</v>
      </c>
      <c r="I5983" s="399">
        <f t="shared" si="223"/>
        <v>1.48</v>
      </c>
      <c r="J5983" s="442"/>
      <c r="K5983" s="1263">
        <v>1.4759681999999998</v>
      </c>
      <c r="L5983" s="461"/>
      <c r="M5983" s="461"/>
      <c r="N5983" s="461"/>
    </row>
    <row r="5984" spans="1:14" s="462" customFormat="1" hidden="1" outlineLevel="1">
      <c r="A5984" s="1261"/>
      <c r="B5984" s="260"/>
      <c r="C5984" s="457"/>
      <c r="D5984" s="440"/>
      <c r="E5984" s="439"/>
      <c r="F5984" s="1350"/>
      <c r="G5984" s="1350"/>
      <c r="H5984" s="1350"/>
      <c r="I5984" s="399" t="str">
        <f t="shared" si="223"/>
        <v/>
      </c>
      <c r="J5984" s="442"/>
      <c r="K5984" s="1263"/>
      <c r="L5984" s="461"/>
      <c r="M5984" s="461"/>
      <c r="N5984" s="461"/>
    </row>
    <row r="5985" spans="1:14" s="462" customFormat="1" hidden="1" outlineLevel="1">
      <c r="A5985" s="1261"/>
      <c r="B5985" s="260"/>
      <c r="C5985" s="457" t="s">
        <v>2</v>
      </c>
      <c r="D5985" s="440">
        <v>1</v>
      </c>
      <c r="E5985" s="439">
        <v>1</v>
      </c>
      <c r="F5985" s="1350">
        <v>6.75</v>
      </c>
      <c r="G5985" s="1350">
        <v>0.61</v>
      </c>
      <c r="H5985" s="1350">
        <v>0.82299999999999995</v>
      </c>
      <c r="I5985" s="399">
        <f t="shared" si="223"/>
        <v>3.39</v>
      </c>
      <c r="J5985" s="442"/>
      <c r="K5985" s="1263">
        <v>3.3887024999999995</v>
      </c>
      <c r="L5985" s="461"/>
      <c r="M5985" s="461"/>
      <c r="N5985" s="461"/>
    </row>
    <row r="5986" spans="1:14" s="462" customFormat="1" hidden="1" outlineLevel="1">
      <c r="A5986" s="1261"/>
      <c r="B5986" s="260"/>
      <c r="C5986" s="457"/>
      <c r="D5986" s="440"/>
      <c r="E5986" s="439"/>
      <c r="F5986" s="1350"/>
      <c r="G5986" s="1350"/>
      <c r="H5986" s="1350"/>
      <c r="I5986" s="399" t="str">
        <f t="shared" si="223"/>
        <v/>
      </c>
      <c r="J5986" s="442"/>
      <c r="K5986" s="1263">
        <v>0</v>
      </c>
      <c r="L5986" s="461"/>
      <c r="M5986" s="461"/>
      <c r="N5986" s="461"/>
    </row>
    <row r="5987" spans="1:14" s="462" customFormat="1" hidden="1" outlineLevel="1">
      <c r="A5987" s="1261"/>
      <c r="B5987" s="260" t="s">
        <v>175</v>
      </c>
      <c r="C5987" s="457" t="s">
        <v>2</v>
      </c>
      <c r="D5987" s="440">
        <v>1</v>
      </c>
      <c r="E5987" s="439">
        <v>1</v>
      </c>
      <c r="F5987" s="1350">
        <v>0.61</v>
      </c>
      <c r="G5987" s="1350">
        <v>0.61</v>
      </c>
      <c r="H5987" s="1350">
        <v>0.82299999999999995</v>
      </c>
      <c r="I5987" s="399">
        <f t="shared" si="223"/>
        <v>0.31</v>
      </c>
      <c r="J5987" s="442"/>
      <c r="K5987" s="1263">
        <v>0.30623829999999996</v>
      </c>
      <c r="L5987" s="461"/>
      <c r="M5987" s="461"/>
      <c r="N5987" s="461"/>
    </row>
    <row r="5988" spans="1:14" s="462" customFormat="1" hidden="1" outlineLevel="1">
      <c r="A5988" s="1261"/>
      <c r="B5988" s="260"/>
      <c r="C5988" s="457"/>
      <c r="D5988" s="440"/>
      <c r="E5988" s="439"/>
      <c r="F5988" s="1350"/>
      <c r="G5988" s="1350"/>
      <c r="H5988" s="1350"/>
      <c r="I5988" s="399" t="str">
        <f t="shared" si="223"/>
        <v/>
      </c>
      <c r="J5988" s="442"/>
      <c r="K5988" s="1263">
        <v>0</v>
      </c>
      <c r="L5988" s="461"/>
      <c r="M5988" s="461"/>
      <c r="N5988" s="461"/>
    </row>
    <row r="5989" spans="1:14" s="462" customFormat="1" hidden="1" outlineLevel="1">
      <c r="A5989" s="1261"/>
      <c r="B5989" s="260"/>
      <c r="C5989" s="457" t="s">
        <v>2</v>
      </c>
      <c r="D5989" s="440">
        <v>1</v>
      </c>
      <c r="E5989" s="439">
        <v>1</v>
      </c>
      <c r="F5989" s="1350">
        <v>0.90999999999999992</v>
      </c>
      <c r="G5989" s="1350">
        <v>0.61</v>
      </c>
      <c r="H5989" s="1350">
        <v>0.82299999999999995</v>
      </c>
      <c r="I5989" s="399">
        <f t="shared" si="223"/>
        <v>0.46</v>
      </c>
      <c r="J5989" s="442"/>
      <c r="K5989" s="1263">
        <v>0.4568472999999999</v>
      </c>
      <c r="L5989" s="461"/>
      <c r="M5989" s="461"/>
      <c r="N5989" s="461"/>
    </row>
    <row r="5990" spans="1:14" s="462" customFormat="1" hidden="1" outlineLevel="1">
      <c r="A5990" s="1261"/>
      <c r="B5990" s="260"/>
      <c r="C5990" s="457"/>
      <c r="D5990" s="440"/>
      <c r="E5990" s="439"/>
      <c r="F5990" s="1350"/>
      <c r="G5990" s="1350"/>
      <c r="H5990" s="1350"/>
      <c r="I5990" s="399" t="str">
        <f t="shared" si="223"/>
        <v/>
      </c>
      <c r="J5990" s="442"/>
      <c r="K5990" s="1263">
        <v>0</v>
      </c>
      <c r="L5990" s="461"/>
      <c r="M5990" s="461"/>
      <c r="N5990" s="461"/>
    </row>
    <row r="5991" spans="1:14" s="462" customFormat="1" hidden="1" outlineLevel="1">
      <c r="A5991" s="1261"/>
      <c r="B5991" s="260"/>
      <c r="C5991" s="457" t="s">
        <v>2</v>
      </c>
      <c r="D5991" s="440">
        <f>1*0</f>
        <v>0</v>
      </c>
      <c r="E5991" s="439">
        <v>1</v>
      </c>
      <c r="F5991" s="1350">
        <v>2.13</v>
      </c>
      <c r="G5991" s="1350">
        <v>0.61</v>
      </c>
      <c r="H5991" s="1350">
        <v>0.82299999999999995</v>
      </c>
      <c r="I5991" s="399" t="str">
        <f t="shared" si="223"/>
        <v/>
      </c>
      <c r="J5991" s="442"/>
      <c r="K5991" s="1263">
        <v>1.0693238999999999</v>
      </c>
      <c r="L5991" s="461"/>
      <c r="M5991" s="461"/>
      <c r="N5991" s="461"/>
    </row>
    <row r="5992" spans="1:14" s="462" customFormat="1" hidden="1" outlineLevel="1">
      <c r="A5992" s="1261"/>
      <c r="B5992" s="260"/>
      <c r="C5992" s="457"/>
      <c r="D5992" s="440"/>
      <c r="E5992" s="439"/>
      <c r="F5992" s="1350"/>
      <c r="G5992" s="1350"/>
      <c r="H5992" s="1350"/>
      <c r="I5992" s="399" t="str">
        <f t="shared" si="223"/>
        <v/>
      </c>
      <c r="J5992" s="442"/>
      <c r="K5992" s="1263">
        <v>0</v>
      </c>
      <c r="L5992" s="461"/>
      <c r="M5992" s="461"/>
      <c r="N5992" s="461"/>
    </row>
    <row r="5993" spans="1:14" s="462" customFormat="1" hidden="1" outlineLevel="1">
      <c r="A5993" s="1261"/>
      <c r="B5993" s="260" t="s">
        <v>176</v>
      </c>
      <c r="C5993" s="457" t="s">
        <v>2</v>
      </c>
      <c r="D5993" s="440">
        <v>1</v>
      </c>
      <c r="E5993" s="439">
        <v>2</v>
      </c>
      <c r="F5993" s="1350">
        <v>0.61499999999999999</v>
      </c>
      <c r="G5993" s="1350">
        <v>0.61</v>
      </c>
      <c r="H5993" s="1350">
        <v>0.82299999999999995</v>
      </c>
      <c r="I5993" s="399">
        <f t="shared" si="223"/>
        <v>0.62</v>
      </c>
      <c r="J5993" s="442"/>
      <c r="K5993" s="1263">
        <v>0.6174968999999999</v>
      </c>
      <c r="L5993" s="461"/>
      <c r="M5993" s="461"/>
      <c r="N5993" s="461"/>
    </row>
    <row r="5994" spans="1:14" s="462" customFormat="1" hidden="1" outlineLevel="1">
      <c r="A5994" s="1261"/>
      <c r="B5994" s="260"/>
      <c r="C5994" s="457"/>
      <c r="D5994" s="440"/>
      <c r="E5994" s="439"/>
      <c r="F5994" s="1350"/>
      <c r="G5994" s="1350"/>
      <c r="H5994" s="1350"/>
      <c r="I5994" s="399" t="str">
        <f t="shared" si="223"/>
        <v/>
      </c>
      <c r="J5994" s="442"/>
      <c r="K5994" s="1263"/>
      <c r="L5994" s="461"/>
      <c r="M5994" s="461"/>
      <c r="N5994" s="461"/>
    </row>
    <row r="5995" spans="1:14" s="462" customFormat="1" hidden="1" outlineLevel="1">
      <c r="A5995" s="1261"/>
      <c r="B5995" s="260"/>
      <c r="C5995" s="457" t="s">
        <v>2</v>
      </c>
      <c r="D5995" s="440">
        <v>1</v>
      </c>
      <c r="E5995" s="439">
        <v>1</v>
      </c>
      <c r="F5995" s="1350">
        <v>2.1350000000000002</v>
      </c>
      <c r="G5995" s="1350">
        <v>0.61</v>
      </c>
      <c r="H5995" s="1350">
        <v>0.82299999999999995</v>
      </c>
      <c r="I5995" s="399">
        <f t="shared" si="223"/>
        <v>1.07</v>
      </c>
      <c r="J5995" s="442"/>
      <c r="K5995" s="1263">
        <v>1.0718340500000001</v>
      </c>
      <c r="L5995" s="461"/>
      <c r="M5995" s="461"/>
      <c r="N5995" s="461"/>
    </row>
    <row r="5996" spans="1:14" s="462" customFormat="1" hidden="1" outlineLevel="1">
      <c r="A5996" s="1261"/>
      <c r="B5996" s="260"/>
      <c r="C5996" s="457"/>
      <c r="D5996" s="440"/>
      <c r="E5996" s="439"/>
      <c r="F5996" s="1350"/>
      <c r="G5996" s="1350"/>
      <c r="H5996" s="1350"/>
      <c r="I5996" s="399" t="str">
        <f t="shared" si="223"/>
        <v/>
      </c>
      <c r="J5996" s="442"/>
      <c r="K5996" s="1263"/>
      <c r="L5996" s="461"/>
      <c r="M5996" s="461"/>
      <c r="N5996" s="461"/>
    </row>
    <row r="5997" spans="1:14" s="462" customFormat="1" hidden="1" outlineLevel="1">
      <c r="A5997" s="1261"/>
      <c r="B5997" s="260"/>
      <c r="C5997" s="457" t="s">
        <v>2</v>
      </c>
      <c r="D5997" s="440">
        <v>1</v>
      </c>
      <c r="E5997" s="439">
        <v>1</v>
      </c>
      <c r="F5997" s="1350">
        <v>1.5350000000000001</v>
      </c>
      <c r="G5997" s="1350">
        <v>0.61</v>
      </c>
      <c r="H5997" s="1350">
        <v>0.82299999999999995</v>
      </c>
      <c r="I5997" s="399">
        <f t="shared" si="223"/>
        <v>0.77</v>
      </c>
      <c r="J5997" s="442"/>
      <c r="K5997" s="1263">
        <v>0.77061605</v>
      </c>
      <c r="L5997" s="461"/>
      <c r="M5997" s="461"/>
      <c r="N5997" s="461"/>
    </row>
    <row r="5998" spans="1:14" s="462" customFormat="1" hidden="1" outlineLevel="1">
      <c r="A5998" s="1261"/>
      <c r="B5998" s="260"/>
      <c r="C5998" s="457"/>
      <c r="D5998" s="440"/>
      <c r="E5998" s="439"/>
      <c r="F5998" s="1350"/>
      <c r="G5998" s="1350"/>
      <c r="H5998" s="1350"/>
      <c r="I5998" s="399" t="str">
        <f t="shared" si="223"/>
        <v/>
      </c>
      <c r="J5998" s="442"/>
      <c r="K5998" s="1263">
        <v>0</v>
      </c>
      <c r="L5998" s="461"/>
      <c r="M5998" s="461"/>
      <c r="N5998" s="461"/>
    </row>
    <row r="5999" spans="1:14" s="462" customFormat="1" hidden="1" outlineLevel="1">
      <c r="A5999" s="1261"/>
      <c r="B5999" s="260"/>
      <c r="C5999" s="457" t="s">
        <v>2</v>
      </c>
      <c r="D5999" s="440">
        <v>1</v>
      </c>
      <c r="E5999" s="439">
        <v>1</v>
      </c>
      <c r="F5999" s="1350">
        <v>0.90999999999999992</v>
      </c>
      <c r="G5999" s="1350">
        <v>0.61</v>
      </c>
      <c r="H5999" s="1350">
        <v>0.82299999999999995</v>
      </c>
      <c r="I5999" s="399">
        <f t="shared" si="223"/>
        <v>0.46</v>
      </c>
      <c r="J5999" s="442"/>
      <c r="K5999" s="1263">
        <v>0.4568472999999999</v>
      </c>
      <c r="L5999" s="461"/>
      <c r="M5999" s="461"/>
      <c r="N5999" s="461"/>
    </row>
    <row r="6000" spans="1:14" s="462" customFormat="1" hidden="1" outlineLevel="1">
      <c r="A6000" s="1261"/>
      <c r="B6000" s="260"/>
      <c r="C6000" s="457"/>
      <c r="D6000" s="440"/>
      <c r="E6000" s="439"/>
      <c r="F6000" s="1350"/>
      <c r="G6000" s="1350"/>
      <c r="H6000" s="1350"/>
      <c r="I6000" s="399" t="str">
        <f t="shared" si="223"/>
        <v/>
      </c>
      <c r="J6000" s="442"/>
      <c r="K6000" s="1263">
        <v>0</v>
      </c>
      <c r="L6000" s="461"/>
      <c r="M6000" s="461"/>
      <c r="N6000" s="461"/>
    </row>
    <row r="6001" spans="1:14" s="462" customFormat="1" hidden="1" outlineLevel="1">
      <c r="A6001" s="1261"/>
      <c r="B6001" s="260"/>
      <c r="C6001" s="457" t="s">
        <v>2</v>
      </c>
      <c r="D6001" s="440">
        <v>1</v>
      </c>
      <c r="E6001" s="439">
        <v>1</v>
      </c>
      <c r="F6001" s="1350">
        <v>2.12</v>
      </c>
      <c r="G6001" s="1350">
        <v>0.61</v>
      </c>
      <c r="H6001" s="1350">
        <v>0.82299999999999995</v>
      </c>
      <c r="I6001" s="399">
        <f t="shared" si="223"/>
        <v>1.06</v>
      </c>
      <c r="J6001" s="442"/>
      <c r="K6001" s="1263">
        <v>1.0643036000000001</v>
      </c>
      <c r="L6001" s="461"/>
      <c r="M6001" s="461"/>
      <c r="N6001" s="461"/>
    </row>
    <row r="6002" spans="1:14" s="462" customFormat="1" hidden="1" outlineLevel="1">
      <c r="A6002" s="1261"/>
      <c r="B6002" s="260"/>
      <c r="C6002" s="457"/>
      <c r="D6002" s="440"/>
      <c r="E6002" s="439"/>
      <c r="F6002" s="1350"/>
      <c r="G6002" s="1350"/>
      <c r="H6002" s="1350"/>
      <c r="I6002" s="399" t="str">
        <f t="shared" si="223"/>
        <v/>
      </c>
      <c r="J6002" s="442"/>
      <c r="K6002" s="1263">
        <v>0</v>
      </c>
      <c r="L6002" s="461"/>
      <c r="M6002" s="461"/>
      <c r="N6002" s="461"/>
    </row>
    <row r="6003" spans="1:14" s="462" customFormat="1" hidden="1" outlineLevel="1">
      <c r="A6003" s="1261"/>
      <c r="B6003" s="260" t="s">
        <v>177</v>
      </c>
      <c r="C6003" s="457" t="s">
        <v>2</v>
      </c>
      <c r="D6003" s="440">
        <v>1</v>
      </c>
      <c r="E6003" s="439">
        <v>2</v>
      </c>
      <c r="F6003" s="1350">
        <v>0.61499999999999999</v>
      </c>
      <c r="G6003" s="1350">
        <v>0.61</v>
      </c>
      <c r="H6003" s="1350">
        <v>0.82299999999999995</v>
      </c>
      <c r="I6003" s="399">
        <f t="shared" si="223"/>
        <v>0.62</v>
      </c>
      <c r="J6003" s="442"/>
      <c r="K6003" s="1263">
        <v>0.6174968999999999</v>
      </c>
      <c r="L6003" s="461"/>
      <c r="M6003" s="461"/>
      <c r="N6003" s="461"/>
    </row>
    <row r="6004" spans="1:14" s="462" customFormat="1" hidden="1" outlineLevel="1">
      <c r="A6004" s="1261"/>
      <c r="B6004" s="260"/>
      <c r="C6004" s="457"/>
      <c r="D6004" s="440"/>
      <c r="E6004" s="439"/>
      <c r="F6004" s="1350"/>
      <c r="G6004" s="1350"/>
      <c r="H6004" s="1350"/>
      <c r="I6004" s="399" t="str">
        <f t="shared" si="223"/>
        <v/>
      </c>
      <c r="J6004" s="442"/>
      <c r="K6004" s="1263">
        <v>0</v>
      </c>
      <c r="L6004" s="461"/>
      <c r="M6004" s="461"/>
      <c r="N6004" s="461"/>
    </row>
    <row r="6005" spans="1:14" s="462" customFormat="1" hidden="1" outlineLevel="1">
      <c r="A6005" s="1261"/>
      <c r="B6005" s="260" t="s">
        <v>490</v>
      </c>
      <c r="C6005" s="457"/>
      <c r="D6005" s="440"/>
      <c r="E6005" s="439"/>
      <c r="F6005" s="1350"/>
      <c r="G6005" s="1350"/>
      <c r="H6005" s="1350"/>
      <c r="I6005" s="399" t="str">
        <f t="shared" si="223"/>
        <v/>
      </c>
      <c r="J6005" s="442"/>
      <c r="K6005" s="1263"/>
      <c r="L6005" s="461"/>
      <c r="M6005" s="461"/>
      <c r="N6005" s="461"/>
    </row>
    <row r="6006" spans="1:14" s="462" customFormat="1" hidden="1" outlineLevel="1">
      <c r="A6006" s="1261"/>
      <c r="B6006" s="260"/>
      <c r="C6006" s="457"/>
      <c r="D6006" s="440"/>
      <c r="E6006" s="439"/>
      <c r="F6006" s="1350"/>
      <c r="G6006" s="1350"/>
      <c r="H6006" s="1350"/>
      <c r="I6006" s="399" t="str">
        <f t="shared" si="223"/>
        <v/>
      </c>
      <c r="J6006" s="442"/>
      <c r="K6006" s="1263"/>
      <c r="L6006" s="461"/>
      <c r="M6006" s="461"/>
      <c r="N6006" s="461"/>
    </row>
    <row r="6007" spans="1:14" s="462" customFormat="1" hidden="1" outlineLevel="1">
      <c r="A6007" s="1261"/>
      <c r="B6007" s="260" t="s">
        <v>179</v>
      </c>
      <c r="C6007" s="457" t="s">
        <v>2</v>
      </c>
      <c r="D6007" s="440">
        <v>1</v>
      </c>
      <c r="E6007" s="439">
        <v>1</v>
      </c>
      <c r="F6007" s="1350">
        <v>7.6499999999999995</v>
      </c>
      <c r="G6007" s="1350">
        <v>0.61</v>
      </c>
      <c r="H6007" s="1350">
        <v>0.82299999999999995</v>
      </c>
      <c r="I6007" s="399">
        <f t="shared" si="223"/>
        <v>3.84</v>
      </c>
      <c r="J6007" s="442"/>
      <c r="K6007" s="1263">
        <v>3.8405294999999993</v>
      </c>
      <c r="L6007" s="461"/>
      <c r="M6007" s="461"/>
      <c r="N6007" s="461"/>
    </row>
    <row r="6008" spans="1:14" s="462" customFormat="1" hidden="1" outlineLevel="1">
      <c r="A6008" s="1261"/>
      <c r="B6008" s="260"/>
      <c r="C6008" s="457"/>
      <c r="D6008" s="440"/>
      <c r="E6008" s="439"/>
      <c r="F6008" s="1350"/>
      <c r="G6008" s="1350"/>
      <c r="H6008" s="1350"/>
      <c r="I6008" s="399" t="str">
        <f t="shared" si="223"/>
        <v/>
      </c>
      <c r="J6008" s="442"/>
      <c r="K6008" s="1263">
        <v>0</v>
      </c>
      <c r="L6008" s="461"/>
      <c r="M6008" s="461"/>
      <c r="N6008" s="461"/>
    </row>
    <row r="6009" spans="1:14" s="462" customFormat="1" hidden="1" outlineLevel="1">
      <c r="A6009" s="1261"/>
      <c r="B6009" s="260"/>
      <c r="C6009" s="457" t="s">
        <v>2</v>
      </c>
      <c r="D6009" s="440">
        <v>1</v>
      </c>
      <c r="E6009" s="439">
        <v>1</v>
      </c>
      <c r="F6009" s="1350">
        <v>5.04</v>
      </c>
      <c r="G6009" s="1350">
        <v>0.61</v>
      </c>
      <c r="H6009" s="1350">
        <v>0.82299999999999995</v>
      </c>
      <c r="I6009" s="399">
        <f t="shared" si="223"/>
        <v>2.5299999999999998</v>
      </c>
      <c r="J6009" s="442"/>
      <c r="K6009" s="1263">
        <v>2.5302311999999998</v>
      </c>
      <c r="L6009" s="461"/>
      <c r="M6009" s="461"/>
      <c r="N6009" s="461"/>
    </row>
    <row r="6010" spans="1:14" s="462" customFormat="1" hidden="1" outlineLevel="1">
      <c r="A6010" s="1261"/>
      <c r="B6010" s="260" t="s">
        <v>491</v>
      </c>
      <c r="C6010" s="457" t="s">
        <v>2</v>
      </c>
      <c r="D6010" s="440">
        <v>1</v>
      </c>
      <c r="E6010" s="439">
        <v>1</v>
      </c>
      <c r="F6010" s="1350">
        <v>3.3</v>
      </c>
      <c r="G6010" s="1350">
        <v>0.22</v>
      </c>
      <c r="H6010" s="1350">
        <v>0.82299999999999995</v>
      </c>
      <c r="I6010" s="399">
        <f t="shared" si="223"/>
        <v>0.6</v>
      </c>
      <c r="J6010" s="442"/>
      <c r="K6010" s="1263">
        <v>0.59749799999999997</v>
      </c>
      <c r="L6010" s="461"/>
      <c r="M6010" s="461"/>
      <c r="N6010" s="461"/>
    </row>
    <row r="6011" spans="1:14" s="462" customFormat="1" hidden="1" outlineLevel="1">
      <c r="A6011" s="1261"/>
      <c r="B6011" s="260"/>
      <c r="C6011" s="457"/>
      <c r="D6011" s="440"/>
      <c r="E6011" s="439"/>
      <c r="F6011" s="1350"/>
      <c r="G6011" s="1350"/>
      <c r="H6011" s="1350"/>
      <c r="I6011" s="399" t="str">
        <f t="shared" si="223"/>
        <v/>
      </c>
      <c r="J6011" s="442"/>
      <c r="K6011" s="1263"/>
      <c r="L6011" s="461"/>
      <c r="M6011" s="461"/>
      <c r="N6011" s="461"/>
    </row>
    <row r="6012" spans="1:14" s="462" customFormat="1" hidden="1" outlineLevel="1">
      <c r="A6012" s="1261"/>
      <c r="B6012" s="260" t="s">
        <v>181</v>
      </c>
      <c r="C6012" s="457" t="s">
        <v>2</v>
      </c>
      <c r="D6012" s="440">
        <v>1</v>
      </c>
      <c r="E6012" s="439">
        <v>1</v>
      </c>
      <c r="F6012" s="1350">
        <v>5.04</v>
      </c>
      <c r="G6012" s="1350">
        <v>0.61</v>
      </c>
      <c r="H6012" s="1350">
        <v>0.82299999999999995</v>
      </c>
      <c r="I6012" s="399">
        <f t="shared" si="223"/>
        <v>2.5299999999999998</v>
      </c>
      <c r="J6012" s="442"/>
      <c r="K6012" s="1263">
        <v>2.5302311999999998</v>
      </c>
      <c r="L6012" s="461"/>
      <c r="M6012" s="461"/>
      <c r="N6012" s="461"/>
    </row>
    <row r="6013" spans="1:14" s="462" customFormat="1" hidden="1" outlineLevel="1">
      <c r="A6013" s="1261"/>
      <c r="B6013" s="260"/>
      <c r="C6013" s="457"/>
      <c r="D6013" s="440"/>
      <c r="E6013" s="439"/>
      <c r="F6013" s="1350"/>
      <c r="G6013" s="1350"/>
      <c r="H6013" s="1350"/>
      <c r="I6013" s="399" t="str">
        <f t="shared" si="223"/>
        <v/>
      </c>
      <c r="J6013" s="442"/>
      <c r="K6013" s="1263"/>
      <c r="L6013" s="461"/>
      <c r="M6013" s="461"/>
      <c r="N6013" s="461"/>
    </row>
    <row r="6014" spans="1:14" s="462" customFormat="1" hidden="1" outlineLevel="1">
      <c r="A6014" s="1261"/>
      <c r="B6014" s="260"/>
      <c r="C6014" s="457" t="s">
        <v>2</v>
      </c>
      <c r="D6014" s="440">
        <v>1</v>
      </c>
      <c r="E6014" s="439">
        <v>1</v>
      </c>
      <c r="F6014" s="1350">
        <v>2.17</v>
      </c>
      <c r="G6014" s="1350">
        <v>0.61</v>
      </c>
      <c r="H6014" s="1350">
        <v>0.82299999999999995</v>
      </c>
      <c r="I6014" s="399">
        <f t="shared" si="223"/>
        <v>1.0900000000000001</v>
      </c>
      <c r="J6014" s="442"/>
      <c r="K6014" s="1263">
        <v>1.0894050999999998</v>
      </c>
      <c r="L6014" s="461"/>
      <c r="M6014" s="461"/>
      <c r="N6014" s="461"/>
    </row>
    <row r="6015" spans="1:14" s="462" customFormat="1" hidden="1" outlineLevel="1">
      <c r="A6015" s="1261"/>
      <c r="B6015" s="260"/>
      <c r="C6015" s="457"/>
      <c r="D6015" s="440"/>
      <c r="E6015" s="439"/>
      <c r="F6015" s="1350"/>
      <c r="G6015" s="1350"/>
      <c r="H6015" s="1350"/>
      <c r="I6015" s="399" t="str">
        <f t="shared" si="223"/>
        <v/>
      </c>
      <c r="J6015" s="442"/>
      <c r="K6015" s="1263"/>
      <c r="L6015" s="461"/>
      <c r="M6015" s="461"/>
      <c r="N6015" s="461"/>
    </row>
    <row r="6016" spans="1:14" s="462" customFormat="1" hidden="1" outlineLevel="1">
      <c r="A6016" s="1261"/>
      <c r="B6016" s="260"/>
      <c r="C6016" s="457" t="s">
        <v>2</v>
      </c>
      <c r="D6016" s="440">
        <v>1</v>
      </c>
      <c r="E6016" s="439">
        <v>1</v>
      </c>
      <c r="F6016" s="1350">
        <v>6.0000000000000009</v>
      </c>
      <c r="G6016" s="1350">
        <v>0.61</v>
      </c>
      <c r="H6016" s="1350">
        <v>0.82299999999999995</v>
      </c>
      <c r="I6016" s="399">
        <f t="shared" si="223"/>
        <v>3.01</v>
      </c>
      <c r="J6016" s="442"/>
      <c r="K6016" s="1263">
        <v>3.0121800000000003</v>
      </c>
      <c r="L6016" s="461"/>
      <c r="M6016" s="461"/>
      <c r="N6016" s="461"/>
    </row>
    <row r="6017" spans="1:14" s="462" customFormat="1" hidden="1" outlineLevel="1">
      <c r="A6017" s="1261"/>
      <c r="B6017" s="260"/>
      <c r="C6017" s="457"/>
      <c r="D6017" s="440"/>
      <c r="E6017" s="439"/>
      <c r="F6017" s="1350"/>
      <c r="G6017" s="1350"/>
      <c r="H6017" s="1350"/>
      <c r="I6017" s="399" t="str">
        <f t="shared" si="223"/>
        <v/>
      </c>
      <c r="J6017" s="442"/>
      <c r="K6017" s="1263"/>
      <c r="L6017" s="461"/>
      <c r="M6017" s="461"/>
      <c r="N6017" s="461"/>
    </row>
    <row r="6018" spans="1:14" s="462" customFormat="1" hidden="1" outlineLevel="1">
      <c r="A6018" s="1261"/>
      <c r="B6018" s="260"/>
      <c r="C6018" s="457" t="s">
        <v>2</v>
      </c>
      <c r="D6018" s="440">
        <v>1</v>
      </c>
      <c r="E6018" s="439">
        <v>1</v>
      </c>
      <c r="F6018" s="1350">
        <v>1.21</v>
      </c>
      <c r="G6018" s="1350">
        <v>0.61</v>
      </c>
      <c r="H6018" s="1350">
        <v>0.82299999999999995</v>
      </c>
      <c r="I6018" s="399">
        <f t="shared" si="223"/>
        <v>0.61</v>
      </c>
      <c r="J6018" s="442"/>
      <c r="K6018" s="1263">
        <v>0.60745629999999995</v>
      </c>
      <c r="L6018" s="461"/>
      <c r="M6018" s="461"/>
      <c r="N6018" s="461"/>
    </row>
    <row r="6019" spans="1:14" s="462" customFormat="1" hidden="1" outlineLevel="1">
      <c r="A6019" s="1261"/>
      <c r="B6019" s="260"/>
      <c r="C6019" s="457"/>
      <c r="D6019" s="440"/>
      <c r="E6019" s="439"/>
      <c r="F6019" s="1350"/>
      <c r="G6019" s="1350"/>
      <c r="H6019" s="1350"/>
      <c r="I6019" s="399" t="str">
        <f t="shared" si="223"/>
        <v/>
      </c>
      <c r="J6019" s="442"/>
      <c r="K6019" s="1263"/>
      <c r="L6019" s="461"/>
      <c r="M6019" s="461"/>
      <c r="N6019" s="461"/>
    </row>
    <row r="6020" spans="1:14" s="462" customFormat="1" hidden="1" outlineLevel="1">
      <c r="A6020" s="1261"/>
      <c r="B6020" s="260"/>
      <c r="C6020" s="457" t="s">
        <v>2</v>
      </c>
      <c r="D6020" s="440">
        <v>1</v>
      </c>
      <c r="E6020" s="439">
        <v>1</v>
      </c>
      <c r="F6020" s="1350">
        <v>6.9</v>
      </c>
      <c r="G6020" s="1350">
        <v>0.61</v>
      </c>
      <c r="H6020" s="1350">
        <v>0.82299999999999995</v>
      </c>
      <c r="I6020" s="399">
        <f t="shared" si="223"/>
        <v>3.46</v>
      </c>
      <c r="J6020" s="442"/>
      <c r="K6020" s="1263">
        <v>3.4640070000000001</v>
      </c>
      <c r="L6020" s="461"/>
      <c r="M6020" s="461"/>
      <c r="N6020" s="461"/>
    </row>
    <row r="6021" spans="1:14" s="462" customFormat="1" hidden="1" outlineLevel="1">
      <c r="A6021" s="1261"/>
      <c r="B6021" s="260" t="s">
        <v>491</v>
      </c>
      <c r="C6021" s="457" t="s">
        <v>2</v>
      </c>
      <c r="D6021" s="440">
        <v>1</v>
      </c>
      <c r="E6021" s="439">
        <v>1</v>
      </c>
      <c r="F6021" s="1350">
        <v>3</v>
      </c>
      <c r="G6021" s="1350">
        <v>0.22</v>
      </c>
      <c r="H6021" s="1350">
        <v>0.82299999999999995</v>
      </c>
      <c r="I6021" s="399">
        <f t="shared" si="223"/>
        <v>0.54</v>
      </c>
      <c r="J6021" s="442"/>
      <c r="K6021" s="1263">
        <v>0.54318</v>
      </c>
      <c r="L6021" s="461"/>
      <c r="M6021" s="461"/>
      <c r="N6021" s="461"/>
    </row>
    <row r="6022" spans="1:14" s="462" customFormat="1" hidden="1" outlineLevel="1">
      <c r="A6022" s="1261"/>
      <c r="B6022" s="260"/>
      <c r="C6022" s="457"/>
      <c r="D6022" s="440"/>
      <c r="E6022" s="439"/>
      <c r="F6022" s="1350"/>
      <c r="G6022" s="1350"/>
      <c r="H6022" s="1350"/>
      <c r="I6022" s="399" t="str">
        <f t="shared" si="223"/>
        <v/>
      </c>
      <c r="J6022" s="442"/>
      <c r="K6022" s="1263"/>
      <c r="L6022" s="461"/>
      <c r="M6022" s="461"/>
      <c r="N6022" s="461"/>
    </row>
    <row r="6023" spans="1:14" s="462" customFormat="1" hidden="1" outlineLevel="1">
      <c r="A6023" s="1261"/>
      <c r="B6023" s="260"/>
      <c r="C6023" s="457" t="s">
        <v>2</v>
      </c>
      <c r="D6023" s="440">
        <v>1</v>
      </c>
      <c r="E6023" s="439">
        <v>1</v>
      </c>
      <c r="F6023" s="1350">
        <v>6.9</v>
      </c>
      <c r="G6023" s="1350">
        <v>0.61</v>
      </c>
      <c r="H6023" s="1350">
        <v>0.82299999999999995</v>
      </c>
      <c r="I6023" s="399">
        <f t="shared" si="223"/>
        <v>3.46</v>
      </c>
      <c r="J6023" s="442"/>
      <c r="K6023" s="1263">
        <v>3.4640070000000001</v>
      </c>
      <c r="L6023" s="461"/>
      <c r="M6023" s="461"/>
      <c r="N6023" s="461"/>
    </row>
    <row r="6024" spans="1:14" s="462" customFormat="1" hidden="1" outlineLevel="1">
      <c r="A6024" s="1261"/>
      <c r="B6024" s="260" t="s">
        <v>492</v>
      </c>
      <c r="C6024" s="457" t="s">
        <v>2</v>
      </c>
      <c r="D6024" s="440">
        <v>1</v>
      </c>
      <c r="E6024" s="439">
        <v>1</v>
      </c>
      <c r="F6024" s="1350">
        <v>3.3</v>
      </c>
      <c r="G6024" s="1350">
        <v>0.22</v>
      </c>
      <c r="H6024" s="1350">
        <v>0.82299999999999995</v>
      </c>
      <c r="I6024" s="399">
        <f t="shared" si="223"/>
        <v>0.6</v>
      </c>
      <c r="J6024" s="442"/>
      <c r="K6024" s="1263">
        <v>0.59749799999999997</v>
      </c>
      <c r="L6024" s="461"/>
      <c r="M6024" s="461"/>
      <c r="N6024" s="461"/>
    </row>
    <row r="6025" spans="1:14" s="462" customFormat="1" hidden="1" outlineLevel="1">
      <c r="A6025" s="1261"/>
      <c r="B6025" s="260"/>
      <c r="C6025" s="457"/>
      <c r="D6025" s="440"/>
      <c r="E6025" s="439"/>
      <c r="F6025" s="1350"/>
      <c r="G6025" s="1350"/>
      <c r="H6025" s="1350"/>
      <c r="I6025" s="399" t="str">
        <f t="shared" si="223"/>
        <v/>
      </c>
      <c r="J6025" s="442"/>
      <c r="K6025" s="1263">
        <v>0</v>
      </c>
      <c r="L6025" s="461"/>
      <c r="M6025" s="461"/>
      <c r="N6025" s="461"/>
    </row>
    <row r="6026" spans="1:14" s="462" customFormat="1" hidden="1" outlineLevel="1">
      <c r="A6026" s="1261"/>
      <c r="B6026" s="260" t="s">
        <v>182</v>
      </c>
      <c r="C6026" s="457" t="s">
        <v>2</v>
      </c>
      <c r="D6026" s="440">
        <v>1</v>
      </c>
      <c r="E6026" s="439">
        <v>1</v>
      </c>
      <c r="F6026" s="1350">
        <v>6.9</v>
      </c>
      <c r="G6026" s="1350">
        <v>0.61</v>
      </c>
      <c r="H6026" s="1350">
        <v>0.82299999999999995</v>
      </c>
      <c r="I6026" s="399">
        <f t="shared" si="223"/>
        <v>3.46</v>
      </c>
      <c r="J6026" s="442"/>
      <c r="K6026" s="1263">
        <v>3.765225</v>
      </c>
      <c r="L6026" s="461"/>
      <c r="M6026" s="461"/>
      <c r="N6026" s="461"/>
    </row>
    <row r="6027" spans="1:14" s="462" customFormat="1" hidden="1" outlineLevel="1">
      <c r="A6027" s="1261"/>
      <c r="B6027" s="260"/>
      <c r="C6027" s="457"/>
      <c r="D6027" s="440"/>
      <c r="E6027" s="439"/>
      <c r="F6027" s="1350"/>
      <c r="G6027" s="1350"/>
      <c r="H6027" s="1350"/>
      <c r="I6027" s="399" t="str">
        <f t="shared" si="223"/>
        <v/>
      </c>
      <c r="J6027" s="442"/>
      <c r="K6027" s="1263"/>
      <c r="L6027" s="461"/>
      <c r="M6027" s="461"/>
      <c r="N6027" s="461"/>
    </row>
    <row r="6028" spans="1:14" s="462" customFormat="1" hidden="1" outlineLevel="1">
      <c r="A6028" s="1261"/>
      <c r="B6028" s="260"/>
      <c r="C6028" s="457" t="s">
        <v>2</v>
      </c>
      <c r="D6028" s="440">
        <v>1</v>
      </c>
      <c r="E6028" s="439">
        <v>1</v>
      </c>
      <c r="F6028" s="1350">
        <v>2.41</v>
      </c>
      <c r="G6028" s="1350">
        <v>0.61</v>
      </c>
      <c r="H6028" s="1350">
        <v>0.82299999999999995</v>
      </c>
      <c r="I6028" s="399">
        <f t="shared" si="223"/>
        <v>1.21</v>
      </c>
      <c r="J6028" s="442"/>
      <c r="K6028" s="1263">
        <v>1.2098922999999999</v>
      </c>
      <c r="L6028" s="461"/>
      <c r="M6028" s="461"/>
      <c r="N6028" s="461"/>
    </row>
    <row r="6029" spans="1:14" s="462" customFormat="1" hidden="1" outlineLevel="1">
      <c r="A6029" s="1261"/>
      <c r="B6029" s="260"/>
      <c r="C6029" s="457"/>
      <c r="D6029" s="440"/>
      <c r="E6029" s="439"/>
      <c r="F6029" s="1350"/>
      <c r="G6029" s="1350"/>
      <c r="H6029" s="1350"/>
      <c r="I6029" s="399" t="str">
        <f t="shared" si="223"/>
        <v/>
      </c>
      <c r="J6029" s="442"/>
      <c r="K6029" s="1263"/>
      <c r="L6029" s="461"/>
      <c r="M6029" s="461"/>
      <c r="N6029" s="461"/>
    </row>
    <row r="6030" spans="1:14" s="462" customFormat="1" hidden="1" outlineLevel="1">
      <c r="A6030" s="1261"/>
      <c r="B6030" s="260"/>
      <c r="C6030" s="457" t="s">
        <v>2</v>
      </c>
      <c r="D6030" s="440">
        <v>1</v>
      </c>
      <c r="E6030" s="439">
        <v>2</v>
      </c>
      <c r="F6030" s="1350">
        <v>9.2999999999999989</v>
      </c>
      <c r="G6030" s="1350">
        <v>0.61</v>
      </c>
      <c r="H6030" s="1350">
        <v>0.82299999999999995</v>
      </c>
      <c r="I6030" s="399">
        <f t="shared" si="223"/>
        <v>9.34</v>
      </c>
      <c r="J6030" s="442"/>
      <c r="K6030" s="1263">
        <v>9.3377579999999973</v>
      </c>
      <c r="L6030" s="461"/>
      <c r="M6030" s="461"/>
      <c r="N6030" s="461"/>
    </row>
    <row r="6031" spans="1:14" s="462" customFormat="1" hidden="1" outlineLevel="1">
      <c r="A6031" s="1261"/>
      <c r="B6031" s="260"/>
      <c r="C6031" s="457"/>
      <c r="D6031" s="440"/>
      <c r="E6031" s="439"/>
      <c r="F6031" s="1350"/>
      <c r="G6031" s="1350"/>
      <c r="H6031" s="1350"/>
      <c r="I6031" s="399" t="str">
        <f t="shared" si="223"/>
        <v/>
      </c>
      <c r="J6031" s="442"/>
      <c r="K6031" s="1263"/>
      <c r="L6031" s="461"/>
      <c r="M6031" s="461"/>
      <c r="N6031" s="461"/>
    </row>
    <row r="6032" spans="1:14" s="462" customFormat="1" hidden="1" outlineLevel="1">
      <c r="A6032" s="1261"/>
      <c r="B6032" s="260" t="s">
        <v>183</v>
      </c>
      <c r="C6032" s="457" t="s">
        <v>2</v>
      </c>
      <c r="D6032" s="440">
        <v>1</v>
      </c>
      <c r="E6032" s="439">
        <v>1</v>
      </c>
      <c r="F6032" s="1350">
        <v>11.910000000000002</v>
      </c>
      <c r="G6032" s="1350">
        <v>0.61</v>
      </c>
      <c r="H6032" s="1350">
        <v>0.82299999999999995</v>
      </c>
      <c r="I6032" s="399">
        <f t="shared" si="223"/>
        <v>5.98</v>
      </c>
      <c r="J6032" s="442"/>
      <c r="K6032" s="1263">
        <v>5.9791773000000008</v>
      </c>
      <c r="L6032" s="461"/>
      <c r="M6032" s="461"/>
      <c r="N6032" s="461"/>
    </row>
    <row r="6033" spans="1:14" s="462" customFormat="1" hidden="1" outlineLevel="1">
      <c r="A6033" s="1261"/>
      <c r="B6033" s="260" t="s">
        <v>492</v>
      </c>
      <c r="C6033" s="457" t="s">
        <v>2</v>
      </c>
      <c r="D6033" s="440">
        <v>1</v>
      </c>
      <c r="E6033" s="439">
        <v>1</v>
      </c>
      <c r="F6033" s="1350">
        <v>3.3</v>
      </c>
      <c r="G6033" s="1350">
        <v>0.22</v>
      </c>
      <c r="H6033" s="1350">
        <v>0.82299999999999995</v>
      </c>
      <c r="I6033" s="399">
        <f t="shared" si="223"/>
        <v>0.6</v>
      </c>
      <c r="J6033" s="442"/>
      <c r="K6033" s="1263">
        <v>0.59749799999999997</v>
      </c>
      <c r="L6033" s="461"/>
      <c r="M6033" s="461"/>
      <c r="N6033" s="461"/>
    </row>
    <row r="6034" spans="1:14" s="462" customFormat="1" hidden="1" outlineLevel="1">
      <c r="A6034" s="1261"/>
      <c r="B6034" s="260"/>
      <c r="C6034" s="457"/>
      <c r="D6034" s="440"/>
      <c r="E6034" s="439"/>
      <c r="F6034" s="1350"/>
      <c r="G6034" s="1350"/>
      <c r="H6034" s="1350"/>
      <c r="I6034" s="399" t="str">
        <f t="shared" si="223"/>
        <v/>
      </c>
      <c r="J6034" s="442"/>
      <c r="K6034" s="1263">
        <v>0</v>
      </c>
      <c r="L6034" s="461"/>
      <c r="M6034" s="461"/>
      <c r="N6034" s="461"/>
    </row>
    <row r="6035" spans="1:14" s="462" customFormat="1" hidden="1" outlineLevel="1">
      <c r="A6035" s="1261"/>
      <c r="B6035" s="260" t="s">
        <v>185</v>
      </c>
      <c r="C6035" s="457" t="s">
        <v>2</v>
      </c>
      <c r="D6035" s="440">
        <v>1</v>
      </c>
      <c r="E6035" s="439">
        <v>1</v>
      </c>
      <c r="F6035" s="1350">
        <v>0.61499999999999999</v>
      </c>
      <c r="G6035" s="1350">
        <v>0.61</v>
      </c>
      <c r="H6035" s="1350">
        <v>0.82299999999999995</v>
      </c>
      <c r="I6035" s="399">
        <f t="shared" si="223"/>
        <v>0.31</v>
      </c>
      <c r="J6035" s="442"/>
      <c r="K6035" s="1263">
        <v>0.30874844999999995</v>
      </c>
      <c r="L6035" s="461"/>
      <c r="M6035" s="461"/>
      <c r="N6035" s="461"/>
    </row>
    <row r="6036" spans="1:14" s="462" customFormat="1" hidden="1" outlineLevel="1">
      <c r="A6036" s="1261"/>
      <c r="B6036" s="260"/>
      <c r="C6036" s="457"/>
      <c r="D6036" s="440"/>
      <c r="E6036" s="439"/>
      <c r="F6036" s="1350"/>
      <c r="G6036" s="1350"/>
      <c r="H6036" s="1350"/>
      <c r="I6036" s="399" t="str">
        <f t="shared" si="223"/>
        <v/>
      </c>
      <c r="J6036" s="442"/>
      <c r="K6036" s="1263">
        <v>0</v>
      </c>
      <c r="L6036" s="461"/>
      <c r="M6036" s="461"/>
      <c r="N6036" s="461"/>
    </row>
    <row r="6037" spans="1:14" s="462" customFormat="1" hidden="1" outlineLevel="1">
      <c r="A6037" s="1261"/>
      <c r="B6037" s="260"/>
      <c r="C6037" s="457" t="s">
        <v>2</v>
      </c>
      <c r="D6037" s="440">
        <v>1</v>
      </c>
      <c r="E6037" s="439">
        <v>1</v>
      </c>
      <c r="F6037" s="1350">
        <v>0.90999999999999992</v>
      </c>
      <c r="G6037" s="1350">
        <v>0.61</v>
      </c>
      <c r="H6037" s="1350">
        <v>0.82299999999999995</v>
      </c>
      <c r="I6037" s="399">
        <f t="shared" si="223"/>
        <v>0.46</v>
      </c>
      <c r="J6037" s="442"/>
      <c r="K6037" s="1263">
        <v>0.4568472999999999</v>
      </c>
      <c r="L6037" s="461"/>
      <c r="M6037" s="461"/>
      <c r="N6037" s="461"/>
    </row>
    <row r="6038" spans="1:14" s="462" customFormat="1" hidden="1" outlineLevel="1">
      <c r="A6038" s="1261"/>
      <c r="B6038" s="260"/>
      <c r="C6038" s="457"/>
      <c r="D6038" s="440"/>
      <c r="E6038" s="439"/>
      <c r="F6038" s="1350"/>
      <c r="G6038" s="1350"/>
      <c r="H6038" s="1350"/>
      <c r="I6038" s="399" t="str">
        <f t="shared" si="223"/>
        <v/>
      </c>
      <c r="J6038" s="442"/>
      <c r="K6038" s="1263"/>
      <c r="L6038" s="461"/>
      <c r="M6038" s="461"/>
      <c r="N6038" s="461"/>
    </row>
    <row r="6039" spans="1:14" s="462" customFormat="1" hidden="1" outlineLevel="1">
      <c r="A6039" s="1261"/>
      <c r="B6039" s="260"/>
      <c r="C6039" s="457" t="s">
        <v>2</v>
      </c>
      <c r="D6039" s="440">
        <v>1</v>
      </c>
      <c r="E6039" s="439">
        <v>2</v>
      </c>
      <c r="F6039" s="1350">
        <v>0.61499999999999999</v>
      </c>
      <c r="G6039" s="1350">
        <v>0.61</v>
      </c>
      <c r="H6039" s="1350">
        <v>0.82299999999999995</v>
      </c>
      <c r="I6039" s="399">
        <f t="shared" si="223"/>
        <v>0.62</v>
      </c>
      <c r="J6039" s="442"/>
      <c r="K6039" s="1263">
        <v>0.6174968999999999</v>
      </c>
      <c r="L6039" s="461"/>
      <c r="M6039" s="461"/>
      <c r="N6039" s="461"/>
    </row>
    <row r="6040" spans="1:14" s="462" customFormat="1" hidden="1" outlineLevel="1">
      <c r="A6040" s="1261"/>
      <c r="B6040" s="260"/>
      <c r="C6040" s="457"/>
      <c r="D6040" s="440"/>
      <c r="E6040" s="439"/>
      <c r="F6040" s="1350"/>
      <c r="G6040" s="1350"/>
      <c r="H6040" s="1350"/>
      <c r="I6040" s="399" t="str">
        <f t="shared" si="223"/>
        <v/>
      </c>
      <c r="J6040" s="442"/>
      <c r="K6040" s="1263">
        <v>0</v>
      </c>
      <c r="L6040" s="461"/>
      <c r="M6040" s="461"/>
      <c r="N6040" s="461"/>
    </row>
    <row r="6041" spans="1:14" s="462" customFormat="1" hidden="1" outlineLevel="1">
      <c r="A6041" s="1261"/>
      <c r="B6041" s="260"/>
      <c r="C6041" s="457" t="s">
        <v>2</v>
      </c>
      <c r="D6041" s="440">
        <v>1</v>
      </c>
      <c r="E6041" s="439">
        <v>1</v>
      </c>
      <c r="F6041" s="1350">
        <v>2.1350000000000002</v>
      </c>
      <c r="G6041" s="1350">
        <v>0.61</v>
      </c>
      <c r="H6041" s="1350">
        <v>0.82299999999999995</v>
      </c>
      <c r="I6041" s="399">
        <f t="shared" si="223"/>
        <v>1.07</v>
      </c>
      <c r="J6041" s="442"/>
      <c r="K6041" s="1263">
        <v>1.0718340500000001</v>
      </c>
      <c r="L6041" s="461"/>
      <c r="M6041" s="461"/>
      <c r="N6041" s="461"/>
    </row>
    <row r="6042" spans="1:14" s="462" customFormat="1" hidden="1" outlineLevel="1">
      <c r="A6042" s="1261"/>
      <c r="B6042" s="260"/>
      <c r="C6042" s="457"/>
      <c r="D6042" s="440"/>
      <c r="E6042" s="439"/>
      <c r="F6042" s="1350"/>
      <c r="G6042" s="1350"/>
      <c r="H6042" s="1350"/>
      <c r="I6042" s="399" t="str">
        <f t="shared" si="223"/>
        <v/>
      </c>
      <c r="J6042" s="442"/>
      <c r="K6042" s="1263">
        <v>0</v>
      </c>
      <c r="L6042" s="461"/>
      <c r="M6042" s="461"/>
      <c r="N6042" s="461"/>
    </row>
    <row r="6043" spans="1:14" s="462" customFormat="1" hidden="1" outlineLevel="1">
      <c r="A6043" s="1261"/>
      <c r="B6043" s="260"/>
      <c r="C6043" s="457" t="s">
        <v>2</v>
      </c>
      <c r="D6043" s="440">
        <v>1</v>
      </c>
      <c r="E6043" s="439">
        <v>1</v>
      </c>
      <c r="F6043" s="1350">
        <v>0.29500000000000015</v>
      </c>
      <c r="G6043" s="1350">
        <v>0.61</v>
      </c>
      <c r="H6043" s="1350">
        <v>0.82299999999999995</v>
      </c>
      <c r="I6043" s="399">
        <f t="shared" si="223"/>
        <v>0.15</v>
      </c>
      <c r="J6043" s="442"/>
      <c r="K6043" s="1263">
        <v>0.14809885000000006</v>
      </c>
      <c r="L6043" s="461"/>
      <c r="M6043" s="461"/>
      <c r="N6043" s="461"/>
    </row>
    <row r="6044" spans="1:14" s="462" customFormat="1" hidden="1" outlineLevel="1">
      <c r="A6044" s="1261"/>
      <c r="B6044" s="260"/>
      <c r="C6044" s="457"/>
      <c r="D6044" s="440"/>
      <c r="E6044" s="439"/>
      <c r="F6044" s="1350"/>
      <c r="G6044" s="1350"/>
      <c r="H6044" s="1350"/>
      <c r="I6044" s="399" t="str">
        <f t="shared" si="223"/>
        <v/>
      </c>
      <c r="J6044" s="442"/>
      <c r="K6044" s="1263">
        <v>0</v>
      </c>
      <c r="L6044" s="461"/>
      <c r="M6044" s="461"/>
      <c r="N6044" s="461"/>
    </row>
    <row r="6045" spans="1:14" s="462" customFormat="1" hidden="1" outlineLevel="1">
      <c r="A6045" s="1261"/>
      <c r="B6045" s="260"/>
      <c r="C6045" s="457" t="s">
        <v>2</v>
      </c>
      <c r="D6045" s="440">
        <v>1</v>
      </c>
      <c r="E6045" s="439">
        <v>1</v>
      </c>
      <c r="F6045" s="1350">
        <v>2.1350000000000002</v>
      </c>
      <c r="G6045" s="1350">
        <v>0.61</v>
      </c>
      <c r="H6045" s="1350">
        <v>0.82299999999999995</v>
      </c>
      <c r="I6045" s="399">
        <f t="shared" ref="I6045:I6108" si="224">IF(D6045&lt;&gt;0,ROUND(PRODUCT(E6045:H6045)*D6045,2),"")</f>
        <v>1.07</v>
      </c>
      <c r="J6045" s="442"/>
      <c r="K6045" s="1263">
        <v>1.0718340500000001</v>
      </c>
      <c r="L6045" s="461"/>
      <c r="M6045" s="461"/>
      <c r="N6045" s="461"/>
    </row>
    <row r="6046" spans="1:14" s="462" customFormat="1" hidden="1" outlineLevel="1">
      <c r="A6046" s="1261"/>
      <c r="B6046" s="260"/>
      <c r="C6046" s="457"/>
      <c r="D6046" s="440"/>
      <c r="E6046" s="439"/>
      <c r="F6046" s="1350"/>
      <c r="G6046" s="1350"/>
      <c r="H6046" s="1350"/>
      <c r="I6046" s="399" t="str">
        <f t="shared" si="224"/>
        <v/>
      </c>
      <c r="J6046" s="442"/>
      <c r="K6046" s="1263">
        <v>0</v>
      </c>
      <c r="L6046" s="461"/>
      <c r="M6046" s="461"/>
      <c r="N6046" s="461"/>
    </row>
    <row r="6047" spans="1:14" s="462" customFormat="1" hidden="1" outlineLevel="1">
      <c r="A6047" s="1261"/>
      <c r="B6047" s="260"/>
      <c r="C6047" s="457" t="s">
        <v>2</v>
      </c>
      <c r="D6047" s="440">
        <v>1</v>
      </c>
      <c r="E6047" s="439">
        <v>1</v>
      </c>
      <c r="F6047" s="1350">
        <v>0.90999999999999992</v>
      </c>
      <c r="G6047" s="1350">
        <v>0.61</v>
      </c>
      <c r="H6047" s="1350">
        <v>0.82299999999999995</v>
      </c>
      <c r="I6047" s="399">
        <f t="shared" si="224"/>
        <v>0.46</v>
      </c>
      <c r="J6047" s="442"/>
      <c r="K6047" s="1263">
        <v>0.4568472999999999</v>
      </c>
      <c r="L6047" s="461"/>
      <c r="M6047" s="461"/>
      <c r="N6047" s="461"/>
    </row>
    <row r="6048" spans="1:14" s="462" customFormat="1" hidden="1" outlineLevel="1">
      <c r="A6048" s="1261"/>
      <c r="B6048" s="260"/>
      <c r="C6048" s="457"/>
      <c r="D6048" s="440"/>
      <c r="E6048" s="439"/>
      <c r="F6048" s="1350"/>
      <c r="G6048" s="1350"/>
      <c r="H6048" s="1350"/>
      <c r="I6048" s="399" t="str">
        <f t="shared" si="224"/>
        <v/>
      </c>
      <c r="J6048" s="442"/>
      <c r="K6048" s="1263">
        <v>0</v>
      </c>
      <c r="L6048" s="461"/>
      <c r="M6048" s="461"/>
      <c r="N6048" s="461"/>
    </row>
    <row r="6049" spans="1:14" s="462" customFormat="1" hidden="1" outlineLevel="1">
      <c r="A6049" s="1261"/>
      <c r="B6049" s="260"/>
      <c r="C6049" s="457" t="s">
        <v>2</v>
      </c>
      <c r="D6049" s="440">
        <v>1</v>
      </c>
      <c r="E6049" s="439">
        <v>1</v>
      </c>
      <c r="F6049" s="1350">
        <v>2.1350000000000002</v>
      </c>
      <c r="G6049" s="1350">
        <v>0.61</v>
      </c>
      <c r="H6049" s="1350">
        <v>0.82299999999999995</v>
      </c>
      <c r="I6049" s="399">
        <f t="shared" si="224"/>
        <v>1.07</v>
      </c>
      <c r="J6049" s="442"/>
      <c r="K6049" s="1263">
        <v>1.0718340500000001</v>
      </c>
      <c r="L6049" s="461"/>
      <c r="M6049" s="461"/>
      <c r="N6049" s="461"/>
    </row>
    <row r="6050" spans="1:14" s="462" customFormat="1" hidden="1" outlineLevel="1">
      <c r="A6050" s="1261"/>
      <c r="B6050" s="260"/>
      <c r="C6050" s="457"/>
      <c r="D6050" s="440"/>
      <c r="E6050" s="439"/>
      <c r="F6050" s="1350"/>
      <c r="G6050" s="1350"/>
      <c r="H6050" s="1350"/>
      <c r="I6050" s="399" t="str">
        <f t="shared" si="224"/>
        <v/>
      </c>
      <c r="J6050" s="442"/>
      <c r="K6050" s="1263"/>
      <c r="L6050" s="461"/>
      <c r="M6050" s="461"/>
      <c r="N6050" s="461"/>
    </row>
    <row r="6051" spans="1:14" s="462" customFormat="1" hidden="1" outlineLevel="1">
      <c r="A6051" s="1261"/>
      <c r="B6051" s="260"/>
      <c r="C6051" s="457" t="s">
        <v>2</v>
      </c>
      <c r="D6051" s="440">
        <v>1</v>
      </c>
      <c r="E6051" s="439">
        <v>1</v>
      </c>
      <c r="F6051" s="1350">
        <v>0.61499999999999999</v>
      </c>
      <c r="G6051" s="1350">
        <v>0.61</v>
      </c>
      <c r="H6051" s="1350">
        <v>0.82299999999999995</v>
      </c>
      <c r="I6051" s="399">
        <f t="shared" si="224"/>
        <v>0.31</v>
      </c>
      <c r="J6051" s="442"/>
      <c r="K6051" s="1263">
        <v>0.30874844999999995</v>
      </c>
      <c r="L6051" s="461"/>
      <c r="M6051" s="461"/>
      <c r="N6051" s="461"/>
    </row>
    <row r="6052" spans="1:14" s="462" customFormat="1" hidden="1" outlineLevel="1">
      <c r="A6052" s="1261"/>
      <c r="B6052" s="260"/>
      <c r="C6052" s="457"/>
      <c r="D6052" s="440"/>
      <c r="E6052" s="439"/>
      <c r="F6052" s="1350"/>
      <c r="G6052" s="1350"/>
      <c r="H6052" s="1350"/>
      <c r="I6052" s="399" t="str">
        <f t="shared" si="224"/>
        <v/>
      </c>
      <c r="J6052" s="442"/>
      <c r="K6052" s="1263"/>
      <c r="L6052" s="461"/>
      <c r="M6052" s="461"/>
      <c r="N6052" s="461"/>
    </row>
    <row r="6053" spans="1:14" s="462" customFormat="1" hidden="1" outlineLevel="1">
      <c r="A6053" s="1261"/>
      <c r="B6053" s="260"/>
      <c r="C6053" s="457" t="s">
        <v>2</v>
      </c>
      <c r="D6053" s="440">
        <v>1</v>
      </c>
      <c r="E6053" s="439">
        <v>1</v>
      </c>
      <c r="F6053" s="1350">
        <v>3.36</v>
      </c>
      <c r="G6053" s="1350">
        <v>0.61</v>
      </c>
      <c r="H6053" s="1350">
        <v>0.82299999999999995</v>
      </c>
      <c r="I6053" s="399">
        <f t="shared" si="224"/>
        <v>1.69</v>
      </c>
      <c r="J6053" s="442"/>
      <c r="K6053" s="1263">
        <v>1.6868207999999998</v>
      </c>
      <c r="L6053" s="461"/>
      <c r="M6053" s="461"/>
      <c r="N6053" s="461"/>
    </row>
    <row r="6054" spans="1:14" s="462" customFormat="1" hidden="1" outlineLevel="1">
      <c r="A6054" s="1261"/>
      <c r="B6054" s="260"/>
      <c r="C6054" s="457"/>
      <c r="D6054" s="440"/>
      <c r="E6054" s="439"/>
      <c r="F6054" s="1350"/>
      <c r="G6054" s="1350"/>
      <c r="H6054" s="1350"/>
      <c r="I6054" s="399" t="str">
        <f t="shared" si="224"/>
        <v/>
      </c>
      <c r="J6054" s="442"/>
      <c r="K6054" s="1263"/>
      <c r="L6054" s="461"/>
      <c r="M6054" s="461"/>
      <c r="N6054" s="461"/>
    </row>
    <row r="6055" spans="1:14" s="462" customFormat="1" hidden="1" outlineLevel="1">
      <c r="A6055" s="1261"/>
      <c r="B6055" s="260"/>
      <c r="C6055" s="457" t="s">
        <v>2</v>
      </c>
      <c r="D6055" s="440">
        <v>1</v>
      </c>
      <c r="E6055" s="439">
        <v>1</v>
      </c>
      <c r="F6055" s="1350">
        <v>0.90999999999999992</v>
      </c>
      <c r="G6055" s="1350">
        <v>0.61</v>
      </c>
      <c r="H6055" s="1350">
        <v>0.82299999999999995</v>
      </c>
      <c r="I6055" s="399">
        <f t="shared" si="224"/>
        <v>0.46</v>
      </c>
      <c r="J6055" s="442"/>
      <c r="K6055" s="1263">
        <v>0.4568472999999999</v>
      </c>
      <c r="L6055" s="461"/>
      <c r="M6055" s="461"/>
      <c r="N6055" s="461"/>
    </row>
    <row r="6056" spans="1:14" s="462" customFormat="1" hidden="1" outlineLevel="1">
      <c r="A6056" s="1261"/>
      <c r="B6056" s="260"/>
      <c r="C6056" s="457"/>
      <c r="D6056" s="440"/>
      <c r="E6056" s="439"/>
      <c r="F6056" s="1350"/>
      <c r="G6056" s="1350"/>
      <c r="H6056" s="1350"/>
      <c r="I6056" s="399" t="str">
        <f t="shared" si="224"/>
        <v/>
      </c>
      <c r="J6056" s="442"/>
      <c r="K6056" s="1263"/>
      <c r="L6056" s="461"/>
      <c r="M6056" s="461"/>
      <c r="N6056" s="461"/>
    </row>
    <row r="6057" spans="1:14" s="462" customFormat="1" hidden="1" outlineLevel="1">
      <c r="A6057" s="1261"/>
      <c r="B6057" s="260"/>
      <c r="C6057" s="457" t="s">
        <v>2</v>
      </c>
      <c r="D6057" s="440">
        <v>1</v>
      </c>
      <c r="E6057" s="439">
        <v>1</v>
      </c>
      <c r="F6057" s="1350">
        <v>0.61499999999999999</v>
      </c>
      <c r="G6057" s="1350">
        <v>0.61</v>
      </c>
      <c r="H6057" s="1350">
        <v>0.82299999999999995</v>
      </c>
      <c r="I6057" s="399">
        <f t="shared" si="224"/>
        <v>0.31</v>
      </c>
      <c r="J6057" s="442"/>
      <c r="K6057" s="1263">
        <v>0.30874844999999995</v>
      </c>
      <c r="L6057" s="461"/>
      <c r="M6057" s="461"/>
      <c r="N6057" s="461"/>
    </row>
    <row r="6058" spans="1:14" s="462" customFormat="1" hidden="1" outlineLevel="1">
      <c r="A6058" s="1261"/>
      <c r="B6058" s="260"/>
      <c r="C6058" s="457"/>
      <c r="D6058" s="440"/>
      <c r="E6058" s="439"/>
      <c r="F6058" s="1350"/>
      <c r="G6058" s="1350"/>
      <c r="H6058" s="1350"/>
      <c r="I6058" s="399" t="str">
        <f t="shared" si="224"/>
        <v/>
      </c>
      <c r="J6058" s="442"/>
      <c r="K6058" s="1263"/>
      <c r="L6058" s="461"/>
      <c r="M6058" s="461"/>
      <c r="N6058" s="461"/>
    </row>
    <row r="6059" spans="1:14" s="462" customFormat="1" hidden="1" outlineLevel="1">
      <c r="A6059" s="1261"/>
      <c r="B6059" s="260" t="s">
        <v>493</v>
      </c>
      <c r="C6059" s="457"/>
      <c r="D6059" s="440"/>
      <c r="E6059" s="439"/>
      <c r="F6059" s="1350"/>
      <c r="G6059" s="1350"/>
      <c r="H6059" s="1350"/>
      <c r="I6059" s="399" t="str">
        <f t="shared" si="224"/>
        <v/>
      </c>
      <c r="J6059" s="442"/>
      <c r="K6059" s="1263"/>
      <c r="L6059" s="461"/>
      <c r="M6059" s="461"/>
      <c r="N6059" s="461"/>
    </row>
    <row r="6060" spans="1:14" s="462" customFormat="1" hidden="1" outlineLevel="1">
      <c r="A6060" s="1261"/>
      <c r="B6060" s="260"/>
      <c r="C6060" s="457"/>
      <c r="D6060" s="440"/>
      <c r="E6060" s="439"/>
      <c r="F6060" s="1350"/>
      <c r="G6060" s="1350"/>
      <c r="H6060" s="1350"/>
      <c r="I6060" s="399" t="str">
        <f t="shared" si="224"/>
        <v/>
      </c>
      <c r="J6060" s="442"/>
      <c r="K6060" s="1263"/>
      <c r="L6060" s="461"/>
      <c r="M6060" s="461"/>
      <c r="N6060" s="461"/>
    </row>
    <row r="6061" spans="1:14" s="462" customFormat="1" hidden="1" outlineLevel="1">
      <c r="A6061" s="1261"/>
      <c r="B6061" s="260" t="s">
        <v>187</v>
      </c>
      <c r="C6061" s="457" t="s">
        <v>2</v>
      </c>
      <c r="D6061" s="440">
        <v>1</v>
      </c>
      <c r="E6061" s="439">
        <v>1</v>
      </c>
      <c r="F6061" s="1350">
        <v>10.020000000000001</v>
      </c>
      <c r="G6061" s="1350">
        <v>0.61</v>
      </c>
      <c r="H6061" s="1350">
        <v>0.82299999999999995</v>
      </c>
      <c r="I6061" s="399">
        <f t="shared" si="224"/>
        <v>5.03</v>
      </c>
      <c r="J6061" s="442"/>
      <c r="K6061" s="1263">
        <v>5.0303405999999997</v>
      </c>
      <c r="L6061" s="461"/>
      <c r="M6061" s="461"/>
      <c r="N6061" s="461"/>
    </row>
    <row r="6062" spans="1:14" s="462" customFormat="1" hidden="1" outlineLevel="1">
      <c r="A6062" s="1261"/>
      <c r="B6062" s="260"/>
      <c r="C6062" s="457"/>
      <c r="D6062" s="440"/>
      <c r="E6062" s="439"/>
      <c r="F6062" s="1350"/>
      <c r="G6062" s="1350"/>
      <c r="H6062" s="1350"/>
      <c r="I6062" s="399" t="str">
        <f t="shared" si="224"/>
        <v/>
      </c>
      <c r="J6062" s="442"/>
      <c r="K6062" s="1263">
        <v>0</v>
      </c>
      <c r="L6062" s="461"/>
      <c r="M6062" s="461"/>
      <c r="N6062" s="461"/>
    </row>
    <row r="6063" spans="1:14" s="462" customFormat="1" hidden="1" outlineLevel="1">
      <c r="A6063" s="1261"/>
      <c r="B6063" s="260"/>
      <c r="C6063" s="457" t="s">
        <v>2</v>
      </c>
      <c r="D6063" s="440">
        <v>1</v>
      </c>
      <c r="E6063" s="439">
        <v>1</v>
      </c>
      <c r="F6063" s="1350">
        <v>4.8100000000000005</v>
      </c>
      <c r="G6063" s="1350">
        <v>0.61</v>
      </c>
      <c r="H6063" s="1350">
        <v>0.82299999999999995</v>
      </c>
      <c r="I6063" s="399">
        <f t="shared" si="224"/>
        <v>2.41</v>
      </c>
      <c r="J6063" s="442"/>
      <c r="K6063" s="1263">
        <v>2.4147643000000003</v>
      </c>
      <c r="L6063" s="461"/>
      <c r="M6063" s="461"/>
      <c r="N6063" s="461"/>
    </row>
    <row r="6064" spans="1:14" s="462" customFormat="1" hidden="1" outlineLevel="1">
      <c r="A6064" s="1261"/>
      <c r="B6064" s="260"/>
      <c r="C6064" s="457"/>
      <c r="D6064" s="440"/>
      <c r="E6064" s="439"/>
      <c r="F6064" s="1350"/>
      <c r="G6064" s="1350"/>
      <c r="H6064" s="1350"/>
      <c r="I6064" s="399" t="str">
        <f t="shared" si="224"/>
        <v/>
      </c>
      <c r="J6064" s="442"/>
      <c r="K6064" s="1263">
        <v>0</v>
      </c>
      <c r="L6064" s="461"/>
      <c r="M6064" s="461"/>
      <c r="N6064" s="461"/>
    </row>
    <row r="6065" spans="1:14" s="462" customFormat="1" hidden="1" outlineLevel="1">
      <c r="A6065" s="1261"/>
      <c r="B6065" s="260"/>
      <c r="C6065" s="457" t="s">
        <v>2</v>
      </c>
      <c r="D6065" s="440">
        <v>1</v>
      </c>
      <c r="E6065" s="439">
        <v>1</v>
      </c>
      <c r="F6065" s="1350">
        <v>3.4099999999999997</v>
      </c>
      <c r="G6065" s="1350">
        <v>0.61</v>
      </c>
      <c r="H6065" s="1350">
        <v>0.82299999999999995</v>
      </c>
      <c r="I6065" s="399">
        <f t="shared" si="224"/>
        <v>1.71</v>
      </c>
      <c r="J6065" s="442"/>
      <c r="K6065" s="1263">
        <v>1.7119222999999997</v>
      </c>
      <c r="L6065" s="461"/>
      <c r="M6065" s="461"/>
      <c r="N6065" s="461"/>
    </row>
    <row r="6066" spans="1:14" s="462" customFormat="1" hidden="1" outlineLevel="1">
      <c r="A6066" s="1261"/>
      <c r="B6066" s="260"/>
      <c r="C6066" s="457"/>
      <c r="D6066" s="440"/>
      <c r="E6066" s="439"/>
      <c r="F6066" s="1350"/>
      <c r="G6066" s="1350"/>
      <c r="H6066" s="1350"/>
      <c r="I6066" s="399" t="str">
        <f t="shared" si="224"/>
        <v/>
      </c>
      <c r="J6066" s="442"/>
      <c r="K6066" s="1263"/>
      <c r="L6066" s="461"/>
      <c r="M6066" s="461"/>
      <c r="N6066" s="461"/>
    </row>
    <row r="6067" spans="1:14" s="462" customFormat="1" hidden="1" outlineLevel="1">
      <c r="A6067" s="1261"/>
      <c r="B6067" s="260" t="s">
        <v>188</v>
      </c>
      <c r="C6067" s="457" t="s">
        <v>2</v>
      </c>
      <c r="D6067" s="440">
        <v>1</v>
      </c>
      <c r="E6067" s="439">
        <v>1</v>
      </c>
      <c r="F6067" s="1350">
        <v>2.41</v>
      </c>
      <c r="G6067" s="1350">
        <v>0.61</v>
      </c>
      <c r="H6067" s="1350">
        <v>0.82299999999999995</v>
      </c>
      <c r="I6067" s="399">
        <f t="shared" si="224"/>
        <v>1.21</v>
      </c>
      <c r="J6067" s="442"/>
      <c r="K6067" s="1263">
        <v>1.2098922999999999</v>
      </c>
      <c r="L6067" s="461"/>
      <c r="M6067" s="461"/>
      <c r="N6067" s="461"/>
    </row>
    <row r="6068" spans="1:14" s="462" customFormat="1" hidden="1" outlineLevel="1">
      <c r="A6068" s="1261"/>
      <c r="B6068" s="260"/>
      <c r="C6068" s="457"/>
      <c r="D6068" s="440"/>
      <c r="E6068" s="439"/>
      <c r="F6068" s="1350"/>
      <c r="G6068" s="1350"/>
      <c r="H6068" s="1350"/>
      <c r="I6068" s="399" t="str">
        <f t="shared" si="224"/>
        <v/>
      </c>
      <c r="J6068" s="442"/>
      <c r="K6068" s="1263">
        <v>0</v>
      </c>
      <c r="L6068" s="461"/>
      <c r="M6068" s="461"/>
      <c r="N6068" s="461"/>
    </row>
    <row r="6069" spans="1:14" s="462" customFormat="1" hidden="1" outlineLevel="1">
      <c r="A6069" s="1261"/>
      <c r="B6069" s="260"/>
      <c r="C6069" s="457" t="s">
        <v>2</v>
      </c>
      <c r="D6069" s="440">
        <v>1</v>
      </c>
      <c r="E6069" s="439">
        <v>1</v>
      </c>
      <c r="F6069" s="1350">
        <v>6.8100000000000005</v>
      </c>
      <c r="G6069" s="1350">
        <v>0.61</v>
      </c>
      <c r="H6069" s="1350">
        <v>0.82299999999999995</v>
      </c>
      <c r="I6069" s="399">
        <f t="shared" si="224"/>
        <v>3.42</v>
      </c>
      <c r="J6069" s="442"/>
      <c r="K6069" s="1263">
        <v>3.4188243000000003</v>
      </c>
      <c r="L6069" s="461"/>
      <c r="M6069" s="461"/>
      <c r="N6069" s="461"/>
    </row>
    <row r="6070" spans="1:14" s="462" customFormat="1" hidden="1" outlineLevel="1">
      <c r="A6070" s="1261"/>
      <c r="B6070" s="260" t="s">
        <v>491</v>
      </c>
      <c r="C6070" s="457" t="s">
        <v>2</v>
      </c>
      <c r="D6070" s="440">
        <v>1</v>
      </c>
      <c r="E6070" s="439">
        <v>1</v>
      </c>
      <c r="F6070" s="1350">
        <v>3</v>
      </c>
      <c r="G6070" s="1350">
        <v>0.22</v>
      </c>
      <c r="H6070" s="1350">
        <v>0.82299999999999995</v>
      </c>
      <c r="I6070" s="399">
        <f t="shared" si="224"/>
        <v>0.54</v>
      </c>
      <c r="J6070" s="442"/>
      <c r="K6070" s="1263">
        <v>0.54318</v>
      </c>
      <c r="L6070" s="461"/>
      <c r="M6070" s="461"/>
      <c r="N6070" s="461"/>
    </row>
    <row r="6071" spans="1:14" s="462" customFormat="1" hidden="1" outlineLevel="1">
      <c r="A6071" s="1261"/>
      <c r="B6071" s="260"/>
      <c r="C6071" s="457"/>
      <c r="D6071" s="440"/>
      <c r="E6071" s="439"/>
      <c r="F6071" s="1350"/>
      <c r="G6071" s="1350"/>
      <c r="H6071" s="1350"/>
      <c r="I6071" s="399" t="str">
        <f t="shared" si="224"/>
        <v/>
      </c>
      <c r="J6071" s="442"/>
      <c r="K6071" s="1263">
        <v>0</v>
      </c>
      <c r="L6071" s="461"/>
      <c r="M6071" s="461"/>
      <c r="N6071" s="461"/>
    </row>
    <row r="6072" spans="1:14" s="462" customFormat="1" hidden="1" outlineLevel="1">
      <c r="A6072" s="1261"/>
      <c r="B6072" s="260"/>
      <c r="C6072" s="457" t="s">
        <v>2</v>
      </c>
      <c r="D6072" s="440">
        <v>1</v>
      </c>
      <c r="E6072" s="439">
        <v>1</v>
      </c>
      <c r="F6072" s="1350">
        <v>8.4600000000000009</v>
      </c>
      <c r="G6072" s="1350">
        <v>0.46</v>
      </c>
      <c r="H6072" s="1350">
        <v>0.82299999999999995</v>
      </c>
      <c r="I6072" s="399">
        <f t="shared" si="224"/>
        <v>3.2</v>
      </c>
      <c r="J6072" s="442"/>
      <c r="K6072" s="1263">
        <v>3.2027868000000002</v>
      </c>
      <c r="L6072" s="461"/>
      <c r="M6072" s="461"/>
      <c r="N6072" s="461"/>
    </row>
    <row r="6073" spans="1:14" s="462" customFormat="1" hidden="1" outlineLevel="1">
      <c r="A6073" s="1261"/>
      <c r="B6073" s="260" t="s">
        <v>491</v>
      </c>
      <c r="C6073" s="457" t="s">
        <v>2</v>
      </c>
      <c r="D6073" s="440">
        <v>1</v>
      </c>
      <c r="E6073" s="439">
        <v>1</v>
      </c>
      <c r="F6073" s="1350">
        <v>3.3</v>
      </c>
      <c r="G6073" s="1350">
        <v>0.22</v>
      </c>
      <c r="H6073" s="1350">
        <v>0.82299999999999995</v>
      </c>
      <c r="I6073" s="399">
        <f t="shared" si="224"/>
        <v>0.6</v>
      </c>
      <c r="J6073" s="442"/>
      <c r="K6073" s="1263">
        <v>0.59749799999999997</v>
      </c>
      <c r="L6073" s="461"/>
      <c r="M6073" s="461"/>
      <c r="N6073" s="461"/>
    </row>
    <row r="6074" spans="1:14" s="462" customFormat="1" hidden="1" outlineLevel="1">
      <c r="A6074" s="1261"/>
      <c r="B6074" s="260"/>
      <c r="C6074" s="457"/>
      <c r="D6074" s="440"/>
      <c r="E6074" s="439"/>
      <c r="F6074" s="1350"/>
      <c r="G6074" s="1350"/>
      <c r="H6074" s="1350"/>
      <c r="I6074" s="399" t="str">
        <f t="shared" si="224"/>
        <v/>
      </c>
      <c r="J6074" s="442"/>
      <c r="K6074" s="1263">
        <v>0</v>
      </c>
      <c r="L6074" s="461"/>
      <c r="M6074" s="461"/>
      <c r="N6074" s="461"/>
    </row>
    <row r="6075" spans="1:14" s="462" customFormat="1" hidden="1" outlineLevel="1">
      <c r="A6075" s="1261"/>
      <c r="B6075" s="260"/>
      <c r="C6075" s="457" t="s">
        <v>2</v>
      </c>
      <c r="D6075" s="440">
        <v>1</v>
      </c>
      <c r="E6075" s="439">
        <v>1</v>
      </c>
      <c r="F6075" s="1350">
        <v>1.6099999999999999</v>
      </c>
      <c r="G6075" s="1350">
        <v>0.61</v>
      </c>
      <c r="H6075" s="1350">
        <v>0.82299999999999995</v>
      </c>
      <c r="I6075" s="399">
        <f t="shared" si="224"/>
        <v>0.81</v>
      </c>
      <c r="J6075" s="442"/>
      <c r="K6075" s="1263">
        <v>0.80826829999999983</v>
      </c>
      <c r="L6075" s="461"/>
      <c r="M6075" s="461"/>
      <c r="N6075" s="461"/>
    </row>
    <row r="6076" spans="1:14" s="462" customFormat="1" hidden="1" outlineLevel="1">
      <c r="A6076" s="1261"/>
      <c r="B6076" s="260"/>
      <c r="C6076" s="457"/>
      <c r="D6076" s="440"/>
      <c r="E6076" s="439"/>
      <c r="F6076" s="1350"/>
      <c r="G6076" s="1350"/>
      <c r="H6076" s="1350"/>
      <c r="I6076" s="399" t="str">
        <f t="shared" si="224"/>
        <v/>
      </c>
      <c r="J6076" s="442"/>
      <c r="K6076" s="1263"/>
      <c r="L6076" s="461"/>
      <c r="M6076" s="461"/>
      <c r="N6076" s="461"/>
    </row>
    <row r="6077" spans="1:14" s="462" customFormat="1" hidden="1" outlineLevel="1">
      <c r="A6077" s="1261"/>
      <c r="B6077" s="260"/>
      <c r="C6077" s="457" t="s">
        <v>2</v>
      </c>
      <c r="D6077" s="440">
        <v>1</v>
      </c>
      <c r="E6077" s="439">
        <v>1</v>
      </c>
      <c r="F6077" s="1350">
        <v>6.61</v>
      </c>
      <c r="G6077" s="1350">
        <v>0.61</v>
      </c>
      <c r="H6077" s="1350">
        <v>0.82299999999999995</v>
      </c>
      <c r="I6077" s="399">
        <f t="shared" si="224"/>
        <v>3.32</v>
      </c>
      <c r="J6077" s="442"/>
      <c r="K6077" s="1263">
        <v>3.3184182999999998</v>
      </c>
      <c r="L6077" s="461"/>
      <c r="M6077" s="461"/>
      <c r="N6077" s="461"/>
    </row>
    <row r="6078" spans="1:14" s="462" customFormat="1" hidden="1" outlineLevel="1">
      <c r="A6078" s="1261"/>
      <c r="B6078" s="260"/>
      <c r="C6078" s="457"/>
      <c r="D6078" s="440"/>
      <c r="E6078" s="439"/>
      <c r="F6078" s="1350"/>
      <c r="G6078" s="1350"/>
      <c r="H6078" s="1350"/>
      <c r="I6078" s="399" t="str">
        <f t="shared" si="224"/>
        <v/>
      </c>
      <c r="J6078" s="442"/>
      <c r="K6078" s="1263"/>
      <c r="L6078" s="461"/>
      <c r="M6078" s="461"/>
      <c r="N6078" s="461"/>
    </row>
    <row r="6079" spans="1:14" s="462" customFormat="1" hidden="1" outlineLevel="1">
      <c r="A6079" s="1261"/>
      <c r="B6079" s="260"/>
      <c r="C6079" s="457" t="s">
        <v>2</v>
      </c>
      <c r="D6079" s="440">
        <v>1</v>
      </c>
      <c r="E6079" s="439">
        <v>1</v>
      </c>
      <c r="F6079" s="1350">
        <v>3.4099999999999997</v>
      </c>
      <c r="G6079" s="1350">
        <v>0.61</v>
      </c>
      <c r="H6079" s="1350">
        <v>0.82299999999999995</v>
      </c>
      <c r="I6079" s="399">
        <f t="shared" si="224"/>
        <v>1.71</v>
      </c>
      <c r="J6079" s="442"/>
      <c r="K6079" s="1263">
        <v>1.7119222999999997</v>
      </c>
      <c r="L6079" s="461"/>
      <c r="M6079" s="461"/>
      <c r="N6079" s="461"/>
    </row>
    <row r="6080" spans="1:14" s="462" customFormat="1" hidden="1" outlineLevel="1">
      <c r="A6080" s="1261"/>
      <c r="B6080" s="260"/>
      <c r="C6080" s="457"/>
      <c r="D6080" s="440"/>
      <c r="E6080" s="439"/>
      <c r="F6080" s="1350"/>
      <c r="G6080" s="1350"/>
      <c r="H6080" s="1350"/>
      <c r="I6080" s="399" t="str">
        <f t="shared" si="224"/>
        <v/>
      </c>
      <c r="J6080" s="442"/>
      <c r="K6080" s="1263">
        <v>0</v>
      </c>
      <c r="L6080" s="461"/>
      <c r="M6080" s="461"/>
      <c r="N6080" s="461"/>
    </row>
    <row r="6081" spans="1:14" s="462" customFormat="1" hidden="1" outlineLevel="1">
      <c r="A6081" s="1261"/>
      <c r="B6081" s="260"/>
      <c r="C6081" s="457" t="s">
        <v>2</v>
      </c>
      <c r="D6081" s="440">
        <v>1</v>
      </c>
      <c r="E6081" s="439">
        <v>1</v>
      </c>
      <c r="F6081" s="1350">
        <v>4.8100000000000005</v>
      </c>
      <c r="G6081" s="1350">
        <v>0.61</v>
      </c>
      <c r="H6081" s="1350">
        <v>0.82299999999999995</v>
      </c>
      <c r="I6081" s="399">
        <f t="shared" si="224"/>
        <v>2.41</v>
      </c>
      <c r="J6081" s="442"/>
      <c r="K6081" s="1263">
        <v>2.4147643000000003</v>
      </c>
      <c r="L6081" s="461"/>
      <c r="M6081" s="461"/>
      <c r="N6081" s="461"/>
    </row>
    <row r="6082" spans="1:14" s="462" customFormat="1" hidden="1" outlineLevel="1">
      <c r="A6082" s="1261"/>
      <c r="B6082" s="260" t="s">
        <v>494</v>
      </c>
      <c r="C6082" s="457" t="s">
        <v>2</v>
      </c>
      <c r="D6082" s="440">
        <v>1</v>
      </c>
      <c r="E6082" s="439">
        <v>1</v>
      </c>
      <c r="F6082" s="1350">
        <v>3.3</v>
      </c>
      <c r="G6082" s="1350">
        <v>0.22</v>
      </c>
      <c r="H6082" s="1350">
        <v>0.82299999999999995</v>
      </c>
      <c r="I6082" s="399">
        <f t="shared" si="224"/>
        <v>0.6</v>
      </c>
      <c r="J6082" s="442"/>
      <c r="K6082" s="1263">
        <v>0.59749799999999997</v>
      </c>
      <c r="L6082" s="461"/>
      <c r="M6082" s="461"/>
      <c r="N6082" s="461"/>
    </row>
    <row r="6083" spans="1:14" s="462" customFormat="1" hidden="1" outlineLevel="1">
      <c r="A6083" s="1261"/>
      <c r="B6083" s="260"/>
      <c r="C6083" s="457"/>
      <c r="D6083" s="440"/>
      <c r="E6083" s="439"/>
      <c r="F6083" s="1350"/>
      <c r="G6083" s="1350"/>
      <c r="H6083" s="1350"/>
      <c r="I6083" s="399" t="str">
        <f t="shared" si="224"/>
        <v/>
      </c>
      <c r="J6083" s="442"/>
      <c r="K6083" s="1263"/>
      <c r="L6083" s="461"/>
      <c r="M6083" s="461"/>
      <c r="N6083" s="461"/>
    </row>
    <row r="6084" spans="1:14" s="462" customFormat="1" hidden="1" outlineLevel="1">
      <c r="A6084" s="1261"/>
      <c r="B6084" s="260"/>
      <c r="C6084" s="457" t="s">
        <v>2</v>
      </c>
      <c r="D6084" s="440">
        <v>1</v>
      </c>
      <c r="E6084" s="439">
        <v>1</v>
      </c>
      <c r="F6084" s="1350">
        <v>2.41</v>
      </c>
      <c r="G6084" s="1350">
        <v>0.61</v>
      </c>
      <c r="H6084" s="1350">
        <v>0.82299999999999995</v>
      </c>
      <c r="I6084" s="399">
        <f t="shared" si="224"/>
        <v>1.21</v>
      </c>
      <c r="J6084" s="442"/>
      <c r="K6084" s="1263">
        <v>1.2098922999999999</v>
      </c>
      <c r="L6084" s="461"/>
      <c r="M6084" s="461"/>
      <c r="N6084" s="461"/>
    </row>
    <row r="6085" spans="1:14" s="462" customFormat="1" hidden="1" outlineLevel="1">
      <c r="A6085" s="1261"/>
      <c r="B6085" s="260"/>
      <c r="C6085" s="457"/>
      <c r="D6085" s="440"/>
      <c r="E6085" s="439"/>
      <c r="F6085" s="1350"/>
      <c r="G6085" s="1350"/>
      <c r="H6085" s="1350"/>
      <c r="I6085" s="399" t="str">
        <f t="shared" si="224"/>
        <v/>
      </c>
      <c r="J6085" s="442"/>
      <c r="K6085" s="1263"/>
      <c r="L6085" s="461"/>
      <c r="M6085" s="461"/>
      <c r="N6085" s="461"/>
    </row>
    <row r="6086" spans="1:14" s="462" customFormat="1" hidden="1" outlineLevel="1">
      <c r="A6086" s="1261"/>
      <c r="B6086" s="260"/>
      <c r="C6086" s="457" t="s">
        <v>2</v>
      </c>
      <c r="D6086" s="440">
        <v>1</v>
      </c>
      <c r="E6086" s="439">
        <v>1</v>
      </c>
      <c r="F6086" s="1350">
        <v>3.31</v>
      </c>
      <c r="G6086" s="1350">
        <v>0.61</v>
      </c>
      <c r="H6086" s="1350">
        <v>0.82299999999999995</v>
      </c>
      <c r="I6086" s="399">
        <f t="shared" si="224"/>
        <v>1.66</v>
      </c>
      <c r="J6086" s="442"/>
      <c r="K6086" s="1263">
        <v>1.6617192999999999</v>
      </c>
      <c r="L6086" s="461"/>
      <c r="M6086" s="461"/>
      <c r="N6086" s="461"/>
    </row>
    <row r="6087" spans="1:14" s="462" customFormat="1" hidden="1" outlineLevel="1">
      <c r="A6087" s="1261"/>
      <c r="B6087" s="260"/>
      <c r="C6087" s="457"/>
      <c r="D6087" s="440"/>
      <c r="E6087" s="439"/>
      <c r="F6087" s="1350"/>
      <c r="G6087" s="1350"/>
      <c r="H6087" s="1350"/>
      <c r="I6087" s="399" t="str">
        <f t="shared" si="224"/>
        <v/>
      </c>
      <c r="J6087" s="442"/>
      <c r="K6087" s="1263"/>
      <c r="L6087" s="461"/>
      <c r="M6087" s="461"/>
      <c r="N6087" s="461"/>
    </row>
    <row r="6088" spans="1:14" s="462" customFormat="1" hidden="1" outlineLevel="1">
      <c r="A6088" s="1261"/>
      <c r="B6088" s="260"/>
      <c r="C6088" s="457" t="s">
        <v>2</v>
      </c>
      <c r="D6088" s="440">
        <v>1</v>
      </c>
      <c r="E6088" s="439">
        <v>1</v>
      </c>
      <c r="F6088" s="1350">
        <v>5.1100000000000003</v>
      </c>
      <c r="G6088" s="1350">
        <v>0.61</v>
      </c>
      <c r="H6088" s="1350">
        <v>0.82299999999999995</v>
      </c>
      <c r="I6088" s="399">
        <f t="shared" si="224"/>
        <v>2.57</v>
      </c>
      <c r="J6088" s="442"/>
      <c r="K6088" s="1263">
        <v>2.5653733000000001</v>
      </c>
      <c r="L6088" s="461"/>
      <c r="M6088" s="461"/>
      <c r="N6088" s="461"/>
    </row>
    <row r="6089" spans="1:14" s="462" customFormat="1" hidden="1" outlineLevel="1">
      <c r="A6089" s="1261"/>
      <c r="B6089" s="260" t="s">
        <v>495</v>
      </c>
      <c r="C6089" s="457" t="s">
        <v>2</v>
      </c>
      <c r="D6089" s="440">
        <v>1</v>
      </c>
      <c r="E6089" s="439">
        <v>1</v>
      </c>
      <c r="F6089" s="1350">
        <v>3.3</v>
      </c>
      <c r="G6089" s="1350">
        <v>0.22</v>
      </c>
      <c r="H6089" s="1350">
        <v>0.82299999999999995</v>
      </c>
      <c r="I6089" s="399">
        <f t="shared" si="224"/>
        <v>0.6</v>
      </c>
      <c r="J6089" s="442"/>
      <c r="K6089" s="1263">
        <v>0.59749799999999997</v>
      </c>
      <c r="L6089" s="461"/>
      <c r="M6089" s="461"/>
      <c r="N6089" s="461"/>
    </row>
    <row r="6090" spans="1:14" s="462" customFormat="1" hidden="1" outlineLevel="1">
      <c r="A6090" s="1261"/>
      <c r="B6090" s="260"/>
      <c r="C6090" s="457"/>
      <c r="D6090" s="440"/>
      <c r="E6090" s="439"/>
      <c r="F6090" s="1350"/>
      <c r="G6090" s="1350"/>
      <c r="H6090" s="1350"/>
      <c r="I6090" s="399" t="str">
        <f t="shared" si="224"/>
        <v/>
      </c>
      <c r="J6090" s="442"/>
      <c r="K6090" s="1263"/>
      <c r="L6090" s="461"/>
      <c r="M6090" s="461"/>
      <c r="N6090" s="461"/>
    </row>
    <row r="6091" spans="1:14" s="462" customFormat="1" hidden="1" outlineLevel="1">
      <c r="A6091" s="1261"/>
      <c r="B6091" s="260"/>
      <c r="C6091" s="457" t="s">
        <v>2</v>
      </c>
      <c r="D6091" s="440">
        <v>1</v>
      </c>
      <c r="E6091" s="439">
        <v>1</v>
      </c>
      <c r="F6091" s="1350">
        <v>1.2</v>
      </c>
      <c r="G6091" s="1350">
        <v>0.61</v>
      </c>
      <c r="H6091" s="1350">
        <v>0.82299999999999995</v>
      </c>
      <c r="I6091" s="399">
        <f t="shared" si="224"/>
        <v>0.6</v>
      </c>
      <c r="J6091" s="442"/>
      <c r="K6091" s="1263">
        <v>0.60243599999999997</v>
      </c>
      <c r="L6091" s="461"/>
      <c r="M6091" s="461"/>
      <c r="N6091" s="461"/>
    </row>
    <row r="6092" spans="1:14" s="462" customFormat="1" hidden="1" outlineLevel="1">
      <c r="A6092" s="1261"/>
      <c r="B6092" s="260"/>
      <c r="C6092" s="457"/>
      <c r="D6092" s="440"/>
      <c r="E6092" s="439"/>
      <c r="F6092" s="1350"/>
      <c r="G6092" s="1350"/>
      <c r="H6092" s="1350"/>
      <c r="I6092" s="399" t="str">
        <f t="shared" si="224"/>
        <v/>
      </c>
      <c r="J6092" s="442"/>
      <c r="K6092" s="1263"/>
      <c r="L6092" s="461"/>
      <c r="M6092" s="461"/>
      <c r="N6092" s="461"/>
    </row>
    <row r="6093" spans="1:14" s="462" customFormat="1" hidden="1" outlineLevel="1">
      <c r="A6093" s="1261"/>
      <c r="B6093" s="260" t="s">
        <v>190</v>
      </c>
      <c r="C6093" s="457" t="s">
        <v>2</v>
      </c>
      <c r="D6093" s="440">
        <v>1</v>
      </c>
      <c r="E6093" s="439">
        <v>1</v>
      </c>
      <c r="F6093" s="1350">
        <v>8.7200000000000006</v>
      </c>
      <c r="G6093" s="1350">
        <v>0.61</v>
      </c>
      <c r="H6093" s="1350">
        <v>0.82299999999999995</v>
      </c>
      <c r="I6093" s="399">
        <f t="shared" si="224"/>
        <v>4.38</v>
      </c>
      <c r="J6093" s="442"/>
      <c r="K6093" s="1263">
        <v>4.3777016</v>
      </c>
      <c r="L6093" s="461"/>
      <c r="M6093" s="461"/>
      <c r="N6093" s="461"/>
    </row>
    <row r="6094" spans="1:14" s="462" customFormat="1" hidden="1" outlineLevel="1">
      <c r="A6094" s="1261"/>
      <c r="B6094" s="260"/>
      <c r="C6094" s="457"/>
      <c r="D6094" s="440"/>
      <c r="E6094" s="439"/>
      <c r="F6094" s="1350"/>
      <c r="G6094" s="1350"/>
      <c r="H6094" s="1350"/>
      <c r="I6094" s="399" t="str">
        <f t="shared" si="224"/>
        <v/>
      </c>
      <c r="J6094" s="442"/>
      <c r="K6094" s="1263">
        <v>0</v>
      </c>
      <c r="L6094" s="461"/>
      <c r="M6094" s="461"/>
      <c r="N6094" s="461"/>
    </row>
    <row r="6095" spans="1:14" s="462" customFormat="1" hidden="1" outlineLevel="1">
      <c r="A6095" s="1261"/>
      <c r="B6095" s="260" t="s">
        <v>191</v>
      </c>
      <c r="C6095" s="457" t="s">
        <v>2</v>
      </c>
      <c r="D6095" s="440">
        <v>1</v>
      </c>
      <c r="E6095" s="439">
        <v>8</v>
      </c>
      <c r="F6095" s="1350">
        <v>0.61499999999999999</v>
      </c>
      <c r="G6095" s="1350">
        <v>0.61</v>
      </c>
      <c r="H6095" s="1350">
        <v>0.82299999999999995</v>
      </c>
      <c r="I6095" s="399">
        <f t="shared" si="224"/>
        <v>2.4700000000000002</v>
      </c>
      <c r="J6095" s="442"/>
      <c r="K6095" s="1263">
        <v>2.4699875999999996</v>
      </c>
      <c r="L6095" s="461"/>
      <c r="M6095" s="461"/>
      <c r="N6095" s="461"/>
    </row>
    <row r="6096" spans="1:14" s="462" customFormat="1" hidden="1" outlineLevel="1">
      <c r="A6096" s="1261"/>
      <c r="B6096" s="260"/>
      <c r="C6096" s="457"/>
      <c r="D6096" s="440"/>
      <c r="E6096" s="439"/>
      <c r="F6096" s="1350"/>
      <c r="G6096" s="1350"/>
      <c r="H6096" s="1350"/>
      <c r="I6096" s="399" t="str">
        <f t="shared" si="224"/>
        <v/>
      </c>
      <c r="J6096" s="442"/>
      <c r="K6096" s="1263"/>
      <c r="L6096" s="461"/>
      <c r="M6096" s="461"/>
      <c r="N6096" s="461"/>
    </row>
    <row r="6097" spans="1:14" s="462" customFormat="1" hidden="1" outlineLevel="1">
      <c r="A6097" s="1261"/>
      <c r="B6097" s="260"/>
      <c r="C6097" s="457" t="s">
        <v>2</v>
      </c>
      <c r="D6097" s="440">
        <v>1</v>
      </c>
      <c r="E6097" s="439">
        <v>2</v>
      </c>
      <c r="F6097" s="1350">
        <v>1.2150000000000001</v>
      </c>
      <c r="G6097" s="1350">
        <v>0.61</v>
      </c>
      <c r="H6097" s="1350">
        <v>0.82299999999999995</v>
      </c>
      <c r="I6097" s="399">
        <f t="shared" si="224"/>
        <v>1.22</v>
      </c>
      <c r="J6097" s="442"/>
      <c r="K6097" s="1263">
        <v>1.2199329000000001</v>
      </c>
      <c r="L6097" s="461"/>
      <c r="M6097" s="461"/>
      <c r="N6097" s="461"/>
    </row>
    <row r="6098" spans="1:14" s="462" customFormat="1" hidden="1" outlineLevel="1">
      <c r="A6098" s="1261"/>
      <c r="B6098" s="260"/>
      <c r="C6098" s="457"/>
      <c r="D6098" s="440"/>
      <c r="E6098" s="439"/>
      <c r="F6098" s="1350"/>
      <c r="G6098" s="1350"/>
      <c r="H6098" s="1350"/>
      <c r="I6098" s="399" t="str">
        <f t="shared" si="224"/>
        <v/>
      </c>
      <c r="J6098" s="442"/>
      <c r="K6098" s="1263"/>
      <c r="L6098" s="461"/>
      <c r="M6098" s="461"/>
      <c r="N6098" s="461"/>
    </row>
    <row r="6099" spans="1:14" s="462" customFormat="1" hidden="1" outlineLevel="1">
      <c r="A6099" s="1261"/>
      <c r="B6099" s="260"/>
      <c r="C6099" s="457" t="s">
        <v>2</v>
      </c>
      <c r="D6099" s="440">
        <v>1</v>
      </c>
      <c r="E6099" s="439">
        <v>1</v>
      </c>
      <c r="F6099" s="1350">
        <v>2.1350000000000002</v>
      </c>
      <c r="G6099" s="1350">
        <v>0.61</v>
      </c>
      <c r="H6099" s="1350">
        <v>0.82299999999999995</v>
      </c>
      <c r="I6099" s="399">
        <f t="shared" si="224"/>
        <v>1.07</v>
      </c>
      <c r="J6099" s="442"/>
      <c r="K6099" s="1263">
        <v>1.0718340500000001</v>
      </c>
      <c r="L6099" s="461"/>
      <c r="M6099" s="461"/>
      <c r="N6099" s="461"/>
    </row>
    <row r="6100" spans="1:14" s="462" customFormat="1" hidden="1" outlineLevel="1">
      <c r="A6100" s="1261"/>
      <c r="B6100" s="260"/>
      <c r="C6100" s="457"/>
      <c r="D6100" s="440"/>
      <c r="E6100" s="439"/>
      <c r="F6100" s="1350"/>
      <c r="G6100" s="1350"/>
      <c r="H6100" s="1350"/>
      <c r="I6100" s="399" t="str">
        <f t="shared" si="224"/>
        <v/>
      </c>
      <c r="J6100" s="442"/>
      <c r="K6100" s="1263"/>
      <c r="L6100" s="461"/>
      <c r="M6100" s="461"/>
      <c r="N6100" s="461"/>
    </row>
    <row r="6101" spans="1:14" s="462" customFormat="1" hidden="1" outlineLevel="1">
      <c r="A6101" s="1261"/>
      <c r="B6101" s="260"/>
      <c r="C6101" s="457" t="s">
        <v>2</v>
      </c>
      <c r="D6101" s="440">
        <v>1</v>
      </c>
      <c r="E6101" s="439">
        <v>1</v>
      </c>
      <c r="F6101" s="1350">
        <v>0.90999999999999992</v>
      </c>
      <c r="G6101" s="1350">
        <v>0.61</v>
      </c>
      <c r="H6101" s="1350">
        <v>0.82299999999999995</v>
      </c>
      <c r="I6101" s="399">
        <f t="shared" si="224"/>
        <v>0.46</v>
      </c>
      <c r="J6101" s="442"/>
      <c r="K6101" s="1263">
        <v>0.4568472999999999</v>
      </c>
      <c r="L6101" s="461"/>
      <c r="M6101" s="461"/>
      <c r="N6101" s="461"/>
    </row>
    <row r="6102" spans="1:14" s="462" customFormat="1" hidden="1" outlineLevel="1">
      <c r="A6102" s="1261"/>
      <c r="B6102" s="260"/>
      <c r="C6102" s="457"/>
      <c r="D6102" s="440"/>
      <c r="E6102" s="439"/>
      <c r="F6102" s="1350"/>
      <c r="G6102" s="1350"/>
      <c r="H6102" s="1350"/>
      <c r="I6102" s="399" t="str">
        <f t="shared" si="224"/>
        <v/>
      </c>
      <c r="J6102" s="442"/>
      <c r="K6102" s="1263"/>
      <c r="L6102" s="461"/>
      <c r="M6102" s="461"/>
      <c r="N6102" s="461"/>
    </row>
    <row r="6103" spans="1:14" s="462" customFormat="1" hidden="1" outlineLevel="1">
      <c r="A6103" s="1261"/>
      <c r="B6103" s="260"/>
      <c r="C6103" s="457" t="s">
        <v>2</v>
      </c>
      <c r="D6103" s="440">
        <v>1</v>
      </c>
      <c r="E6103" s="439">
        <v>2</v>
      </c>
      <c r="F6103" s="1350">
        <v>0.90999999999999992</v>
      </c>
      <c r="G6103" s="1350">
        <v>0.61</v>
      </c>
      <c r="H6103" s="1350">
        <v>0.82299999999999995</v>
      </c>
      <c r="I6103" s="399">
        <f t="shared" si="224"/>
        <v>0.91</v>
      </c>
      <c r="J6103" s="442"/>
      <c r="K6103" s="1263">
        <v>0.9136945999999998</v>
      </c>
      <c r="L6103" s="461"/>
      <c r="M6103" s="461"/>
      <c r="N6103" s="461"/>
    </row>
    <row r="6104" spans="1:14" s="462" customFormat="1" hidden="1" outlineLevel="1">
      <c r="A6104" s="1261"/>
      <c r="B6104" s="260"/>
      <c r="C6104" s="457"/>
      <c r="D6104" s="440"/>
      <c r="E6104" s="439"/>
      <c r="F6104" s="1350"/>
      <c r="G6104" s="1350"/>
      <c r="H6104" s="1350"/>
      <c r="I6104" s="399" t="str">
        <f t="shared" si="224"/>
        <v/>
      </c>
      <c r="J6104" s="442"/>
      <c r="K6104" s="1263"/>
      <c r="L6104" s="461"/>
      <c r="M6104" s="461"/>
      <c r="N6104" s="461"/>
    </row>
    <row r="6105" spans="1:14" s="462" customFormat="1" hidden="1" outlineLevel="1">
      <c r="A6105" s="1261"/>
      <c r="B6105" s="260"/>
      <c r="C6105" s="457" t="s">
        <v>2</v>
      </c>
      <c r="D6105" s="440">
        <v>1</v>
      </c>
      <c r="E6105" s="439">
        <v>1</v>
      </c>
      <c r="F6105" s="1350">
        <v>2.1350000000000002</v>
      </c>
      <c r="G6105" s="1350">
        <v>0.61</v>
      </c>
      <c r="H6105" s="1350">
        <v>0.82299999999999995</v>
      </c>
      <c r="I6105" s="399">
        <f t="shared" si="224"/>
        <v>1.07</v>
      </c>
      <c r="J6105" s="442"/>
      <c r="K6105" s="1263">
        <v>1.0718340500000001</v>
      </c>
      <c r="L6105" s="461"/>
      <c r="M6105" s="461"/>
      <c r="N6105" s="461"/>
    </row>
    <row r="6106" spans="1:14" s="462" customFormat="1" hidden="1" outlineLevel="1">
      <c r="A6106" s="1261"/>
      <c r="B6106" s="260"/>
      <c r="C6106" s="457"/>
      <c r="D6106" s="440"/>
      <c r="E6106" s="439"/>
      <c r="F6106" s="1350"/>
      <c r="G6106" s="1350"/>
      <c r="H6106" s="1350"/>
      <c r="I6106" s="399" t="str">
        <f t="shared" si="224"/>
        <v/>
      </c>
      <c r="J6106" s="442"/>
      <c r="K6106" s="1263"/>
      <c r="L6106" s="461"/>
      <c r="M6106" s="461"/>
      <c r="N6106" s="461"/>
    </row>
    <row r="6107" spans="1:14" s="462" customFormat="1" hidden="1" outlineLevel="1">
      <c r="A6107" s="1261"/>
      <c r="B6107" s="260"/>
      <c r="C6107" s="457" t="s">
        <v>2</v>
      </c>
      <c r="D6107" s="440">
        <v>1</v>
      </c>
      <c r="E6107" s="439">
        <v>1</v>
      </c>
      <c r="F6107" s="1350">
        <v>0.90999999999999992</v>
      </c>
      <c r="G6107" s="1350">
        <v>0.61</v>
      </c>
      <c r="H6107" s="1350">
        <v>0.82299999999999995</v>
      </c>
      <c r="I6107" s="399">
        <f t="shared" si="224"/>
        <v>0.46</v>
      </c>
      <c r="J6107" s="442"/>
      <c r="K6107" s="1263">
        <v>0.4568472999999999</v>
      </c>
      <c r="L6107" s="461"/>
      <c r="M6107" s="461"/>
      <c r="N6107" s="461"/>
    </row>
    <row r="6108" spans="1:14" s="462" customFormat="1" hidden="1" outlineLevel="1">
      <c r="A6108" s="1261"/>
      <c r="B6108" s="260"/>
      <c r="C6108" s="457"/>
      <c r="D6108" s="440"/>
      <c r="E6108" s="439"/>
      <c r="F6108" s="1350"/>
      <c r="G6108" s="1350"/>
      <c r="H6108" s="1350"/>
      <c r="I6108" s="399" t="str">
        <f t="shared" si="224"/>
        <v/>
      </c>
      <c r="J6108" s="442"/>
      <c r="K6108" s="1263"/>
      <c r="L6108" s="461"/>
      <c r="M6108" s="461"/>
      <c r="N6108" s="461"/>
    </row>
    <row r="6109" spans="1:14" s="462" customFormat="1" hidden="1" outlineLevel="1">
      <c r="A6109" s="1261"/>
      <c r="B6109" s="260" t="s">
        <v>496</v>
      </c>
      <c r="C6109" s="457"/>
      <c r="D6109" s="440"/>
      <c r="E6109" s="439"/>
      <c r="F6109" s="1350"/>
      <c r="G6109" s="1350"/>
      <c r="H6109" s="1350"/>
      <c r="I6109" s="399" t="str">
        <f t="shared" ref="I6109:I6172" si="225">IF(D6109&lt;&gt;0,ROUND(PRODUCT(E6109:H6109)*D6109,2),"")</f>
        <v/>
      </c>
      <c r="J6109" s="442"/>
      <c r="K6109" s="1263"/>
      <c r="L6109" s="461"/>
      <c r="M6109" s="461"/>
      <c r="N6109" s="461"/>
    </row>
    <row r="6110" spans="1:14" s="462" customFormat="1" hidden="1" outlineLevel="1">
      <c r="A6110" s="1261"/>
      <c r="B6110" s="260"/>
      <c r="C6110" s="457"/>
      <c r="D6110" s="440"/>
      <c r="E6110" s="439"/>
      <c r="F6110" s="1350"/>
      <c r="G6110" s="1350"/>
      <c r="H6110" s="1350"/>
      <c r="I6110" s="399" t="str">
        <f t="shared" si="225"/>
        <v/>
      </c>
      <c r="J6110" s="442"/>
      <c r="K6110" s="1263"/>
      <c r="L6110" s="461"/>
      <c r="M6110" s="461"/>
      <c r="N6110" s="461"/>
    </row>
    <row r="6111" spans="1:14" s="462" customFormat="1" hidden="1" outlineLevel="1">
      <c r="A6111" s="1261"/>
      <c r="B6111" s="260" t="s">
        <v>187</v>
      </c>
      <c r="C6111" s="457" t="s">
        <v>2</v>
      </c>
      <c r="D6111" s="440">
        <v>1</v>
      </c>
      <c r="E6111" s="439">
        <v>1</v>
      </c>
      <c r="F6111" s="1350">
        <v>9.2200000000000006</v>
      </c>
      <c r="G6111" s="1350">
        <v>0.61</v>
      </c>
      <c r="H6111" s="1350">
        <v>0.82299999999999995</v>
      </c>
      <c r="I6111" s="399">
        <f t="shared" si="225"/>
        <v>4.63</v>
      </c>
      <c r="J6111" s="442"/>
      <c r="K6111" s="1263">
        <v>4.6287165999999997</v>
      </c>
      <c r="L6111" s="461"/>
      <c r="M6111" s="461"/>
      <c r="N6111" s="461"/>
    </row>
    <row r="6112" spans="1:14" s="462" customFormat="1" hidden="1" outlineLevel="1">
      <c r="A6112" s="1261"/>
      <c r="B6112" s="260"/>
      <c r="C6112" s="457"/>
      <c r="D6112" s="440"/>
      <c r="E6112" s="439"/>
      <c r="F6112" s="1350"/>
      <c r="G6112" s="1350"/>
      <c r="H6112" s="1350"/>
      <c r="I6112" s="399" t="str">
        <f t="shared" si="225"/>
        <v/>
      </c>
      <c r="J6112" s="442"/>
      <c r="K6112" s="1263"/>
      <c r="L6112" s="461"/>
      <c r="M6112" s="461"/>
      <c r="N6112" s="461"/>
    </row>
    <row r="6113" spans="1:14" s="462" customFormat="1" hidden="1" outlineLevel="1">
      <c r="A6113" s="1261"/>
      <c r="B6113" s="260"/>
      <c r="C6113" s="457" t="s">
        <v>2</v>
      </c>
      <c r="D6113" s="440">
        <v>1</v>
      </c>
      <c r="E6113" s="439">
        <v>1</v>
      </c>
      <c r="F6113" s="1350">
        <v>6.8100000000000005</v>
      </c>
      <c r="G6113" s="1350">
        <v>0.61</v>
      </c>
      <c r="H6113" s="1350">
        <v>0.82299999999999995</v>
      </c>
      <c r="I6113" s="399">
        <f t="shared" si="225"/>
        <v>3.42</v>
      </c>
      <c r="J6113" s="442"/>
      <c r="K6113" s="1263">
        <v>3.4188243000000003</v>
      </c>
      <c r="L6113" s="461"/>
      <c r="M6113" s="461"/>
      <c r="N6113" s="461"/>
    </row>
    <row r="6114" spans="1:14" s="462" customFormat="1" hidden="1" outlineLevel="1">
      <c r="A6114" s="1261"/>
      <c r="B6114" s="260"/>
      <c r="C6114" s="457"/>
      <c r="D6114" s="440"/>
      <c r="E6114" s="439"/>
      <c r="F6114" s="1350"/>
      <c r="G6114" s="1350"/>
      <c r="H6114" s="1350"/>
      <c r="I6114" s="399" t="str">
        <f t="shared" si="225"/>
        <v/>
      </c>
      <c r="J6114" s="442"/>
      <c r="K6114" s="1263">
        <v>0</v>
      </c>
      <c r="L6114" s="461"/>
      <c r="M6114" s="461"/>
      <c r="N6114" s="461"/>
    </row>
    <row r="6115" spans="1:14" s="462" customFormat="1" hidden="1" outlineLevel="1">
      <c r="A6115" s="1261"/>
      <c r="B6115" s="260"/>
      <c r="C6115" s="457" t="s">
        <v>2</v>
      </c>
      <c r="D6115" s="440">
        <v>1</v>
      </c>
      <c r="E6115" s="439">
        <v>1</v>
      </c>
      <c r="F6115" s="1350">
        <v>5.0100000000000007</v>
      </c>
      <c r="G6115" s="1350">
        <v>0.61</v>
      </c>
      <c r="H6115" s="1350">
        <v>0.82299999999999995</v>
      </c>
      <c r="I6115" s="399">
        <f t="shared" si="225"/>
        <v>2.52</v>
      </c>
      <c r="J6115" s="442"/>
      <c r="K6115" s="1263">
        <v>2.5151702999999999</v>
      </c>
      <c r="L6115" s="461"/>
      <c r="M6115" s="461"/>
      <c r="N6115" s="461"/>
    </row>
    <row r="6116" spans="1:14" s="462" customFormat="1" hidden="1" outlineLevel="1">
      <c r="A6116" s="1261"/>
      <c r="B6116" s="260"/>
      <c r="C6116" s="457"/>
      <c r="D6116" s="440"/>
      <c r="E6116" s="439"/>
      <c r="F6116" s="1350"/>
      <c r="G6116" s="1350"/>
      <c r="H6116" s="1350"/>
      <c r="I6116" s="399" t="str">
        <f t="shared" si="225"/>
        <v/>
      </c>
      <c r="J6116" s="442"/>
      <c r="K6116" s="1263">
        <v>0</v>
      </c>
      <c r="L6116" s="461"/>
      <c r="M6116" s="461"/>
      <c r="N6116" s="461"/>
    </row>
    <row r="6117" spans="1:14" s="462" customFormat="1" hidden="1" outlineLevel="1">
      <c r="A6117" s="1261"/>
      <c r="B6117" s="260"/>
      <c r="C6117" s="457" t="s">
        <v>2</v>
      </c>
      <c r="D6117" s="440">
        <v>1</v>
      </c>
      <c r="E6117" s="439">
        <v>1</v>
      </c>
      <c r="F6117" s="1350">
        <v>1.81</v>
      </c>
      <c r="G6117" s="1350">
        <v>0.61</v>
      </c>
      <c r="H6117" s="1350">
        <v>0.82299999999999995</v>
      </c>
      <c r="I6117" s="399">
        <f t="shared" si="225"/>
        <v>0.91</v>
      </c>
      <c r="J6117" s="442"/>
      <c r="K6117" s="1263">
        <v>0.90867430000000005</v>
      </c>
      <c r="L6117" s="461"/>
      <c r="M6117" s="461"/>
      <c r="N6117" s="461"/>
    </row>
    <row r="6118" spans="1:14" s="462" customFormat="1" hidden="1" outlineLevel="1">
      <c r="A6118" s="1261"/>
      <c r="B6118" s="260"/>
      <c r="C6118" s="457"/>
      <c r="D6118" s="440"/>
      <c r="E6118" s="439"/>
      <c r="F6118" s="1350"/>
      <c r="G6118" s="1350"/>
      <c r="H6118" s="1350"/>
      <c r="I6118" s="399" t="str">
        <f t="shared" si="225"/>
        <v/>
      </c>
      <c r="J6118" s="442"/>
      <c r="K6118" s="1263">
        <v>0</v>
      </c>
      <c r="L6118" s="461"/>
      <c r="M6118" s="461"/>
      <c r="N6118" s="461"/>
    </row>
    <row r="6119" spans="1:14" s="462" customFormat="1" hidden="1" outlineLevel="1">
      <c r="A6119" s="1261"/>
      <c r="B6119" s="260"/>
      <c r="C6119" s="457" t="s">
        <v>2</v>
      </c>
      <c r="D6119" s="440">
        <v>1</v>
      </c>
      <c r="E6119" s="439">
        <v>1</v>
      </c>
      <c r="F6119" s="1350">
        <v>3.81</v>
      </c>
      <c r="G6119" s="1350">
        <v>0.61</v>
      </c>
      <c r="H6119" s="1350">
        <v>0.82299999999999995</v>
      </c>
      <c r="I6119" s="399">
        <f t="shared" si="225"/>
        <v>1.91</v>
      </c>
      <c r="J6119" s="442"/>
      <c r="K6119" s="1263">
        <v>1.9127342999999999</v>
      </c>
      <c r="L6119" s="461"/>
      <c r="M6119" s="461"/>
      <c r="N6119" s="461"/>
    </row>
    <row r="6120" spans="1:14" s="462" customFormat="1" hidden="1" outlineLevel="1">
      <c r="A6120" s="1261"/>
      <c r="B6120" s="260" t="s">
        <v>494</v>
      </c>
      <c r="C6120" s="457" t="s">
        <v>2</v>
      </c>
      <c r="D6120" s="440">
        <v>1</v>
      </c>
      <c r="E6120" s="439">
        <v>1</v>
      </c>
      <c r="F6120" s="1350">
        <v>3.3</v>
      </c>
      <c r="G6120" s="1350">
        <v>0.22</v>
      </c>
      <c r="H6120" s="1350">
        <v>0.82299999999999995</v>
      </c>
      <c r="I6120" s="399">
        <f t="shared" si="225"/>
        <v>0.6</v>
      </c>
      <c r="J6120" s="442"/>
      <c r="K6120" s="1263">
        <v>0.59749799999999997</v>
      </c>
      <c r="L6120" s="461"/>
      <c r="M6120" s="461"/>
      <c r="N6120" s="461"/>
    </row>
    <row r="6121" spans="1:14" s="462" customFormat="1" hidden="1" outlineLevel="1">
      <c r="A6121" s="1261"/>
      <c r="B6121" s="260"/>
      <c r="C6121" s="457"/>
      <c r="D6121" s="440"/>
      <c r="E6121" s="439"/>
      <c r="F6121" s="1350"/>
      <c r="G6121" s="1350"/>
      <c r="H6121" s="1350"/>
      <c r="I6121" s="399" t="str">
        <f t="shared" si="225"/>
        <v/>
      </c>
      <c r="J6121" s="442"/>
      <c r="K6121" s="1263">
        <v>0</v>
      </c>
      <c r="L6121" s="461"/>
      <c r="M6121" s="461"/>
      <c r="N6121" s="461"/>
    </row>
    <row r="6122" spans="1:14" s="462" customFormat="1" hidden="1" outlineLevel="1">
      <c r="A6122" s="1261"/>
      <c r="B6122" s="260"/>
      <c r="C6122" s="457" t="s">
        <v>2</v>
      </c>
      <c r="D6122" s="440">
        <v>1</v>
      </c>
      <c r="E6122" s="439">
        <v>1</v>
      </c>
      <c r="F6122" s="1350">
        <v>3.61</v>
      </c>
      <c r="G6122" s="1350">
        <v>0.61</v>
      </c>
      <c r="H6122" s="1350">
        <v>0.82299999999999995</v>
      </c>
      <c r="I6122" s="399">
        <f t="shared" si="225"/>
        <v>1.81</v>
      </c>
      <c r="J6122" s="442"/>
      <c r="K6122" s="1263">
        <v>1.8123282999999997</v>
      </c>
      <c r="L6122" s="461"/>
      <c r="M6122" s="461"/>
      <c r="N6122" s="461"/>
    </row>
    <row r="6123" spans="1:14" s="462" customFormat="1" hidden="1" outlineLevel="1">
      <c r="A6123" s="1261"/>
      <c r="B6123" s="260" t="s">
        <v>491</v>
      </c>
      <c r="C6123" s="457" t="s">
        <v>2</v>
      </c>
      <c r="D6123" s="440">
        <v>1</v>
      </c>
      <c r="E6123" s="439">
        <v>1</v>
      </c>
      <c r="F6123" s="1350">
        <v>3.3</v>
      </c>
      <c r="G6123" s="1350">
        <v>0.22</v>
      </c>
      <c r="H6123" s="1350">
        <v>0.82299999999999995</v>
      </c>
      <c r="I6123" s="399">
        <f t="shared" si="225"/>
        <v>0.6</v>
      </c>
      <c r="J6123" s="442"/>
      <c r="K6123" s="1263">
        <v>0.59749799999999997</v>
      </c>
      <c r="L6123" s="461"/>
      <c r="M6123" s="461"/>
      <c r="N6123" s="461"/>
    </row>
    <row r="6124" spans="1:14" s="462" customFormat="1" hidden="1" outlineLevel="1">
      <c r="A6124" s="1261"/>
      <c r="B6124" s="260"/>
      <c r="C6124" s="457"/>
      <c r="D6124" s="440"/>
      <c r="E6124" s="439"/>
      <c r="F6124" s="1350"/>
      <c r="G6124" s="1350"/>
      <c r="H6124" s="1350"/>
      <c r="I6124" s="399" t="str">
        <f t="shared" si="225"/>
        <v/>
      </c>
      <c r="J6124" s="442"/>
      <c r="K6124" s="1263">
        <v>0</v>
      </c>
      <c r="L6124" s="461"/>
      <c r="M6124" s="461"/>
      <c r="N6124" s="461"/>
    </row>
    <row r="6125" spans="1:14" s="462" customFormat="1" hidden="1" outlineLevel="1">
      <c r="A6125" s="1261"/>
      <c r="B6125" s="260"/>
      <c r="C6125" s="457" t="s">
        <v>2</v>
      </c>
      <c r="D6125" s="440">
        <v>1</v>
      </c>
      <c r="E6125" s="439">
        <v>1</v>
      </c>
      <c r="F6125" s="1350">
        <v>4.8100000000000005</v>
      </c>
      <c r="G6125" s="1350">
        <v>0.61</v>
      </c>
      <c r="H6125" s="1350">
        <v>0.82299999999999995</v>
      </c>
      <c r="I6125" s="399">
        <f t="shared" si="225"/>
        <v>2.41</v>
      </c>
      <c r="J6125" s="442"/>
      <c r="K6125" s="1263">
        <v>2.4147643000000003</v>
      </c>
      <c r="L6125" s="461"/>
      <c r="M6125" s="461"/>
      <c r="N6125" s="461"/>
    </row>
    <row r="6126" spans="1:14" s="462" customFormat="1" hidden="1" outlineLevel="1">
      <c r="A6126" s="1261"/>
      <c r="B6126" s="260"/>
      <c r="C6126" s="457"/>
      <c r="D6126" s="440"/>
      <c r="E6126" s="439"/>
      <c r="F6126" s="1350"/>
      <c r="G6126" s="1350"/>
      <c r="H6126" s="1350"/>
      <c r="I6126" s="399" t="str">
        <f t="shared" si="225"/>
        <v/>
      </c>
      <c r="J6126" s="442"/>
      <c r="K6126" s="1263">
        <v>0</v>
      </c>
      <c r="L6126" s="461"/>
      <c r="M6126" s="461"/>
      <c r="N6126" s="461"/>
    </row>
    <row r="6127" spans="1:14" s="462" customFormat="1" hidden="1" outlineLevel="1">
      <c r="A6127" s="1261"/>
      <c r="B6127" s="260"/>
      <c r="C6127" s="457" t="s">
        <v>2</v>
      </c>
      <c r="D6127" s="440">
        <v>1</v>
      </c>
      <c r="E6127" s="439">
        <v>1</v>
      </c>
      <c r="F6127" s="1350">
        <v>3.61</v>
      </c>
      <c r="G6127" s="1350">
        <v>0.61</v>
      </c>
      <c r="H6127" s="1350">
        <v>0.82299999999999995</v>
      </c>
      <c r="I6127" s="399">
        <f t="shared" si="225"/>
        <v>1.81</v>
      </c>
      <c r="J6127" s="442"/>
      <c r="K6127" s="1263">
        <v>1.8123282999999997</v>
      </c>
      <c r="L6127" s="461"/>
      <c r="M6127" s="461"/>
      <c r="N6127" s="461"/>
    </row>
    <row r="6128" spans="1:14" s="462" customFormat="1" hidden="1" outlineLevel="1">
      <c r="A6128" s="1261"/>
      <c r="B6128" s="260"/>
      <c r="C6128" s="457"/>
      <c r="D6128" s="440"/>
      <c r="E6128" s="439"/>
      <c r="F6128" s="1350"/>
      <c r="G6128" s="1350"/>
      <c r="H6128" s="1350"/>
      <c r="I6128" s="399" t="str">
        <f t="shared" si="225"/>
        <v/>
      </c>
      <c r="J6128" s="442"/>
      <c r="K6128" s="1263">
        <v>0</v>
      </c>
      <c r="L6128" s="461"/>
      <c r="M6128" s="461"/>
      <c r="N6128" s="461"/>
    </row>
    <row r="6129" spans="1:14" s="462" customFormat="1" hidden="1" outlineLevel="1">
      <c r="A6129" s="1261"/>
      <c r="B6129" s="260"/>
      <c r="C6129" s="457" t="s">
        <v>2</v>
      </c>
      <c r="D6129" s="440">
        <v>1</v>
      </c>
      <c r="E6129" s="439">
        <v>1</v>
      </c>
      <c r="F6129" s="1350">
        <v>4.8100000000000005</v>
      </c>
      <c r="G6129" s="1350">
        <v>0.61</v>
      </c>
      <c r="H6129" s="1350">
        <v>0.82299999999999995</v>
      </c>
      <c r="I6129" s="399">
        <f t="shared" si="225"/>
        <v>2.41</v>
      </c>
      <c r="J6129" s="442"/>
      <c r="K6129" s="1263">
        <v>2.4147643000000003</v>
      </c>
      <c r="L6129" s="461"/>
      <c r="M6129" s="461"/>
      <c r="N6129" s="461"/>
    </row>
    <row r="6130" spans="1:14" s="462" customFormat="1" hidden="1" outlineLevel="1">
      <c r="A6130" s="1261"/>
      <c r="B6130" s="260"/>
      <c r="C6130" s="457"/>
      <c r="D6130" s="440"/>
      <c r="E6130" s="439"/>
      <c r="F6130" s="1350"/>
      <c r="G6130" s="1350"/>
      <c r="H6130" s="1350"/>
      <c r="I6130" s="399" t="str">
        <f t="shared" si="225"/>
        <v/>
      </c>
      <c r="J6130" s="442"/>
      <c r="K6130" s="1263">
        <v>0</v>
      </c>
      <c r="L6130" s="461"/>
      <c r="M6130" s="461"/>
      <c r="N6130" s="461"/>
    </row>
    <row r="6131" spans="1:14" s="462" customFormat="1" hidden="1" outlineLevel="1">
      <c r="A6131" s="1261"/>
      <c r="B6131" s="260"/>
      <c r="C6131" s="457" t="s">
        <v>2</v>
      </c>
      <c r="D6131" s="440">
        <v>1</v>
      </c>
      <c r="E6131" s="439">
        <v>1</v>
      </c>
      <c r="F6131" s="1350">
        <v>1.81</v>
      </c>
      <c r="G6131" s="1350">
        <v>0.61</v>
      </c>
      <c r="H6131" s="1350">
        <v>0.82299999999999995</v>
      </c>
      <c r="I6131" s="399">
        <f t="shared" si="225"/>
        <v>0.91</v>
      </c>
      <c r="J6131" s="442"/>
      <c r="K6131" s="1263">
        <v>0.90867430000000005</v>
      </c>
      <c r="L6131" s="461"/>
      <c r="M6131" s="461"/>
      <c r="N6131" s="461"/>
    </row>
    <row r="6132" spans="1:14" s="462" customFormat="1" hidden="1" outlineLevel="1">
      <c r="A6132" s="1261"/>
      <c r="B6132" s="260"/>
      <c r="C6132" s="457"/>
      <c r="D6132" s="440"/>
      <c r="E6132" s="439"/>
      <c r="F6132" s="1350"/>
      <c r="G6132" s="1350"/>
      <c r="H6132" s="1350"/>
      <c r="I6132" s="399" t="str">
        <f t="shared" si="225"/>
        <v/>
      </c>
      <c r="J6132" s="442"/>
      <c r="K6132" s="1263">
        <v>0</v>
      </c>
      <c r="L6132" s="461"/>
      <c r="M6132" s="461"/>
      <c r="N6132" s="461"/>
    </row>
    <row r="6133" spans="1:14" s="462" customFormat="1" hidden="1" outlineLevel="1">
      <c r="A6133" s="1261"/>
      <c r="B6133" s="260"/>
      <c r="C6133" s="457" t="s">
        <v>2</v>
      </c>
      <c r="D6133" s="440">
        <v>1</v>
      </c>
      <c r="E6133" s="439">
        <v>1</v>
      </c>
      <c r="F6133" s="1350">
        <v>6.61</v>
      </c>
      <c r="G6133" s="1350">
        <v>0.61</v>
      </c>
      <c r="H6133" s="1350">
        <v>0.82299999999999995</v>
      </c>
      <c r="I6133" s="399">
        <f t="shared" si="225"/>
        <v>3.32</v>
      </c>
      <c r="J6133" s="442"/>
      <c r="K6133" s="1263">
        <v>3.3184182999999998</v>
      </c>
      <c r="L6133" s="461"/>
      <c r="M6133" s="461"/>
      <c r="N6133" s="461"/>
    </row>
    <row r="6134" spans="1:14" s="462" customFormat="1" hidden="1" outlineLevel="1">
      <c r="A6134" s="1261"/>
      <c r="B6134" s="260"/>
      <c r="C6134" s="457"/>
      <c r="D6134" s="440"/>
      <c r="E6134" s="439"/>
      <c r="F6134" s="1350"/>
      <c r="G6134" s="1350"/>
      <c r="H6134" s="1350"/>
      <c r="I6134" s="399" t="str">
        <f t="shared" si="225"/>
        <v/>
      </c>
      <c r="J6134" s="442"/>
      <c r="K6134" s="1263">
        <v>0</v>
      </c>
      <c r="L6134" s="461"/>
      <c r="M6134" s="461"/>
      <c r="N6134" s="461"/>
    </row>
    <row r="6135" spans="1:14" s="462" customFormat="1" hidden="1" outlineLevel="1">
      <c r="A6135" s="1261"/>
      <c r="B6135" s="260"/>
      <c r="C6135" s="457" t="s">
        <v>2</v>
      </c>
      <c r="D6135" s="440">
        <v>1</v>
      </c>
      <c r="E6135" s="439">
        <v>1</v>
      </c>
      <c r="F6135" s="1350">
        <v>8.61</v>
      </c>
      <c r="G6135" s="1350">
        <v>0.61</v>
      </c>
      <c r="H6135" s="1350">
        <v>0.82299999999999995</v>
      </c>
      <c r="I6135" s="399">
        <f t="shared" si="225"/>
        <v>4.32</v>
      </c>
      <c r="J6135" s="442"/>
      <c r="K6135" s="1263">
        <v>4.3224782999999993</v>
      </c>
      <c r="L6135" s="461"/>
      <c r="M6135" s="461"/>
      <c r="N6135" s="461"/>
    </row>
    <row r="6136" spans="1:14" s="462" customFormat="1" hidden="1" outlineLevel="1">
      <c r="A6136" s="1261"/>
      <c r="B6136" s="260"/>
      <c r="C6136" s="457"/>
      <c r="D6136" s="440"/>
      <c r="E6136" s="439"/>
      <c r="F6136" s="1350"/>
      <c r="G6136" s="1350"/>
      <c r="H6136" s="1350"/>
      <c r="I6136" s="399" t="str">
        <f t="shared" si="225"/>
        <v/>
      </c>
      <c r="J6136" s="442"/>
      <c r="K6136" s="1263">
        <v>0</v>
      </c>
      <c r="L6136" s="461"/>
      <c r="M6136" s="461"/>
      <c r="N6136" s="461"/>
    </row>
    <row r="6137" spans="1:14" s="462" customFormat="1" hidden="1" outlineLevel="1">
      <c r="A6137" s="1261"/>
      <c r="B6137" s="260"/>
      <c r="C6137" s="457" t="s">
        <v>2</v>
      </c>
      <c r="D6137" s="440">
        <v>1</v>
      </c>
      <c r="E6137" s="439">
        <v>1</v>
      </c>
      <c r="F6137" s="1350">
        <v>11.020000000000001</v>
      </c>
      <c r="G6137" s="1350">
        <v>0.61</v>
      </c>
      <c r="H6137" s="1350">
        <v>0.82299999999999995</v>
      </c>
      <c r="I6137" s="399">
        <f t="shared" si="225"/>
        <v>5.53</v>
      </c>
      <c r="J6137" s="442"/>
      <c r="K6137" s="1263">
        <v>5.5323706000000001</v>
      </c>
      <c r="L6137" s="461"/>
      <c r="M6137" s="461"/>
      <c r="N6137" s="461"/>
    </row>
    <row r="6138" spans="1:14" s="462" customFormat="1" hidden="1" outlineLevel="1">
      <c r="A6138" s="1261"/>
      <c r="B6138" s="260"/>
      <c r="C6138" s="457"/>
      <c r="D6138" s="440"/>
      <c r="E6138" s="439"/>
      <c r="F6138" s="1350"/>
      <c r="G6138" s="1350"/>
      <c r="H6138" s="1350"/>
      <c r="I6138" s="399" t="str">
        <f t="shared" si="225"/>
        <v/>
      </c>
      <c r="J6138" s="442"/>
      <c r="K6138" s="1263"/>
      <c r="L6138" s="461"/>
      <c r="M6138" s="461"/>
      <c r="N6138" s="461"/>
    </row>
    <row r="6139" spans="1:14" s="462" customFormat="1" hidden="1" outlineLevel="1">
      <c r="A6139" s="1261"/>
      <c r="B6139" s="260" t="s">
        <v>194</v>
      </c>
      <c r="C6139" s="457" t="s">
        <v>2</v>
      </c>
      <c r="D6139" s="440">
        <v>1</v>
      </c>
      <c r="E6139" s="439">
        <v>6</v>
      </c>
      <c r="F6139" s="1350">
        <v>0.61499999999999999</v>
      </c>
      <c r="G6139" s="1350">
        <v>0.61</v>
      </c>
      <c r="H6139" s="1350">
        <v>0.82299999999999995</v>
      </c>
      <c r="I6139" s="399">
        <f t="shared" si="225"/>
        <v>1.85</v>
      </c>
      <c r="J6139" s="442"/>
      <c r="K6139" s="1263">
        <v>1.8524906999999999</v>
      </c>
      <c r="L6139" s="461"/>
      <c r="M6139" s="461"/>
      <c r="N6139" s="461"/>
    </row>
    <row r="6140" spans="1:14" s="462" customFormat="1" hidden="1" outlineLevel="1">
      <c r="A6140" s="1261"/>
      <c r="B6140" s="260"/>
      <c r="C6140" s="457"/>
      <c r="D6140" s="440"/>
      <c r="E6140" s="439"/>
      <c r="F6140" s="1350"/>
      <c r="G6140" s="1350"/>
      <c r="H6140" s="1350"/>
      <c r="I6140" s="399" t="str">
        <f t="shared" si="225"/>
        <v/>
      </c>
      <c r="J6140" s="442"/>
      <c r="K6140" s="1263">
        <v>0</v>
      </c>
      <c r="L6140" s="461"/>
      <c r="M6140" s="461"/>
      <c r="N6140" s="461"/>
    </row>
    <row r="6141" spans="1:14" s="462" customFormat="1" hidden="1" outlineLevel="1">
      <c r="A6141" s="1261"/>
      <c r="B6141" s="260"/>
      <c r="C6141" s="457" t="s">
        <v>2</v>
      </c>
      <c r="D6141" s="440">
        <v>1</v>
      </c>
      <c r="E6141" s="439">
        <v>1</v>
      </c>
      <c r="F6141" s="1350">
        <v>2.1350000000000002</v>
      </c>
      <c r="G6141" s="1350">
        <v>0.61</v>
      </c>
      <c r="H6141" s="1350">
        <v>0.82299999999999995</v>
      </c>
      <c r="I6141" s="399">
        <f t="shared" si="225"/>
        <v>1.07</v>
      </c>
      <c r="J6141" s="442"/>
      <c r="K6141" s="1263">
        <v>1.0718340500000001</v>
      </c>
      <c r="L6141" s="461"/>
      <c r="M6141" s="461"/>
      <c r="N6141" s="461"/>
    </row>
    <row r="6142" spans="1:14" s="462" customFormat="1" hidden="1" outlineLevel="1">
      <c r="A6142" s="1261"/>
      <c r="B6142" s="260"/>
      <c r="C6142" s="457"/>
      <c r="D6142" s="440"/>
      <c r="E6142" s="439"/>
      <c r="F6142" s="1350"/>
      <c r="G6142" s="1350"/>
      <c r="H6142" s="1350"/>
      <c r="I6142" s="399" t="str">
        <f t="shared" si="225"/>
        <v/>
      </c>
      <c r="J6142" s="442"/>
      <c r="K6142" s="1263">
        <v>0</v>
      </c>
      <c r="L6142" s="461"/>
      <c r="M6142" s="461"/>
      <c r="N6142" s="461"/>
    </row>
    <row r="6143" spans="1:14" s="462" customFormat="1" hidden="1" outlineLevel="1">
      <c r="A6143" s="1261"/>
      <c r="B6143" s="260"/>
      <c r="C6143" s="457" t="s">
        <v>2</v>
      </c>
      <c r="D6143" s="440">
        <v>1</v>
      </c>
      <c r="E6143" s="439">
        <v>1</v>
      </c>
      <c r="F6143" s="1350">
        <v>0.90999999999999992</v>
      </c>
      <c r="G6143" s="1350">
        <v>0.61</v>
      </c>
      <c r="H6143" s="1350">
        <v>0.82299999999999995</v>
      </c>
      <c r="I6143" s="399">
        <f t="shared" si="225"/>
        <v>0.46</v>
      </c>
      <c r="J6143" s="442"/>
      <c r="K6143" s="1263">
        <v>0.4568472999999999</v>
      </c>
      <c r="L6143" s="461"/>
      <c r="M6143" s="461"/>
      <c r="N6143" s="461"/>
    </row>
    <row r="6144" spans="1:14" s="462" customFormat="1" hidden="1" outlineLevel="1">
      <c r="A6144" s="1261"/>
      <c r="B6144" s="260"/>
      <c r="C6144" s="457"/>
      <c r="D6144" s="440"/>
      <c r="E6144" s="439"/>
      <c r="F6144" s="1350"/>
      <c r="G6144" s="1350"/>
      <c r="H6144" s="1350"/>
      <c r="I6144" s="399" t="str">
        <f t="shared" si="225"/>
        <v/>
      </c>
      <c r="J6144" s="442"/>
      <c r="K6144" s="1263">
        <v>0</v>
      </c>
      <c r="L6144" s="461"/>
      <c r="M6144" s="461"/>
      <c r="N6144" s="461"/>
    </row>
    <row r="6145" spans="1:14" s="462" customFormat="1" hidden="1" outlineLevel="1">
      <c r="A6145" s="1261"/>
      <c r="B6145" s="260"/>
      <c r="C6145" s="457" t="s">
        <v>2</v>
      </c>
      <c r="D6145" s="440">
        <v>1</v>
      </c>
      <c r="E6145" s="439">
        <v>2</v>
      </c>
      <c r="F6145" s="1350">
        <v>0.90999999999999992</v>
      </c>
      <c r="G6145" s="1350">
        <v>0.61</v>
      </c>
      <c r="H6145" s="1350">
        <v>0.82299999999999995</v>
      </c>
      <c r="I6145" s="399">
        <f t="shared" si="225"/>
        <v>0.91</v>
      </c>
      <c r="J6145" s="442"/>
      <c r="K6145" s="1263">
        <v>0.9136945999999998</v>
      </c>
      <c r="L6145" s="461"/>
      <c r="M6145" s="461"/>
      <c r="N6145" s="461"/>
    </row>
    <row r="6146" spans="1:14" s="462" customFormat="1" hidden="1" outlineLevel="1">
      <c r="A6146" s="1261"/>
      <c r="B6146" s="260"/>
      <c r="C6146" s="457"/>
      <c r="D6146" s="440"/>
      <c r="E6146" s="439"/>
      <c r="F6146" s="1350"/>
      <c r="G6146" s="1350"/>
      <c r="H6146" s="1350"/>
      <c r="I6146" s="399" t="str">
        <f t="shared" si="225"/>
        <v/>
      </c>
      <c r="J6146" s="442"/>
      <c r="K6146" s="1263">
        <v>0</v>
      </c>
      <c r="L6146" s="461"/>
      <c r="M6146" s="461"/>
      <c r="N6146" s="461"/>
    </row>
    <row r="6147" spans="1:14" s="462" customFormat="1" hidden="1" outlineLevel="1">
      <c r="A6147" s="1261"/>
      <c r="B6147" s="260"/>
      <c r="C6147" s="457" t="s">
        <v>2</v>
      </c>
      <c r="D6147" s="440">
        <v>1</v>
      </c>
      <c r="E6147" s="439">
        <v>1</v>
      </c>
      <c r="F6147" s="1350">
        <v>2.1350000000000002</v>
      </c>
      <c r="G6147" s="1350">
        <v>0.61</v>
      </c>
      <c r="H6147" s="1350">
        <v>0.82299999999999995</v>
      </c>
      <c r="I6147" s="399">
        <f t="shared" si="225"/>
        <v>1.07</v>
      </c>
      <c r="J6147" s="442"/>
      <c r="K6147" s="1263">
        <v>1.0718340500000001</v>
      </c>
      <c r="L6147" s="461"/>
      <c r="M6147" s="461"/>
      <c r="N6147" s="461"/>
    </row>
    <row r="6148" spans="1:14" s="462" customFormat="1" hidden="1" outlineLevel="1">
      <c r="A6148" s="1261"/>
      <c r="B6148" s="260"/>
      <c r="C6148" s="457"/>
      <c r="D6148" s="440"/>
      <c r="E6148" s="439"/>
      <c r="F6148" s="1350"/>
      <c r="G6148" s="1350"/>
      <c r="H6148" s="1350"/>
      <c r="I6148" s="399" t="str">
        <f t="shared" si="225"/>
        <v/>
      </c>
      <c r="J6148" s="442"/>
      <c r="K6148" s="1263">
        <v>0</v>
      </c>
      <c r="L6148" s="461"/>
      <c r="M6148" s="461"/>
      <c r="N6148" s="461"/>
    </row>
    <row r="6149" spans="1:14" s="462" customFormat="1" hidden="1" outlineLevel="1">
      <c r="A6149" s="1261"/>
      <c r="B6149" s="260"/>
      <c r="C6149" s="457" t="s">
        <v>2</v>
      </c>
      <c r="D6149" s="440">
        <v>1</v>
      </c>
      <c r="E6149" s="439">
        <v>1</v>
      </c>
      <c r="F6149" s="1350">
        <v>0.90999999999999992</v>
      </c>
      <c r="G6149" s="1350">
        <v>0.61</v>
      </c>
      <c r="H6149" s="1350">
        <v>0.82299999999999995</v>
      </c>
      <c r="I6149" s="399">
        <f t="shared" si="225"/>
        <v>0.46</v>
      </c>
      <c r="J6149" s="442"/>
      <c r="K6149" s="1263">
        <v>0.4568472999999999</v>
      </c>
      <c r="L6149" s="461"/>
      <c r="M6149" s="461"/>
      <c r="N6149" s="461"/>
    </row>
    <row r="6150" spans="1:14" s="462" customFormat="1" hidden="1" outlineLevel="1">
      <c r="A6150" s="1261"/>
      <c r="B6150" s="260"/>
      <c r="C6150" s="457"/>
      <c r="D6150" s="440"/>
      <c r="E6150" s="439"/>
      <c r="F6150" s="1350"/>
      <c r="G6150" s="1350"/>
      <c r="H6150" s="1350"/>
      <c r="I6150" s="399" t="str">
        <f t="shared" si="225"/>
        <v/>
      </c>
      <c r="J6150" s="442"/>
      <c r="K6150" s="1263"/>
      <c r="L6150" s="461"/>
      <c r="M6150" s="461"/>
      <c r="N6150" s="461"/>
    </row>
    <row r="6151" spans="1:14" s="462" customFormat="1" hidden="1" outlineLevel="1">
      <c r="A6151" s="1261"/>
      <c r="B6151" s="260" t="s">
        <v>497</v>
      </c>
      <c r="C6151" s="457"/>
      <c r="D6151" s="440"/>
      <c r="E6151" s="439"/>
      <c r="F6151" s="1350"/>
      <c r="G6151" s="1350"/>
      <c r="H6151" s="1350"/>
      <c r="I6151" s="399" t="str">
        <f t="shared" si="225"/>
        <v/>
      </c>
      <c r="J6151" s="442"/>
      <c r="K6151" s="1263"/>
      <c r="L6151" s="461"/>
      <c r="M6151" s="461"/>
      <c r="N6151" s="461"/>
    </row>
    <row r="6152" spans="1:14" s="462" customFormat="1" hidden="1" outlineLevel="1">
      <c r="A6152" s="1261"/>
      <c r="B6152" s="260"/>
      <c r="C6152" s="457"/>
      <c r="D6152" s="440"/>
      <c r="E6152" s="439"/>
      <c r="F6152" s="1350"/>
      <c r="G6152" s="1350"/>
      <c r="H6152" s="1350"/>
      <c r="I6152" s="399" t="str">
        <f t="shared" si="225"/>
        <v/>
      </c>
      <c r="J6152" s="442"/>
      <c r="K6152" s="1263"/>
      <c r="L6152" s="461"/>
      <c r="M6152" s="461"/>
      <c r="N6152" s="461"/>
    </row>
    <row r="6153" spans="1:14" s="462" customFormat="1" hidden="1" outlineLevel="1">
      <c r="A6153" s="1261"/>
      <c r="B6153" s="260" t="s">
        <v>196</v>
      </c>
      <c r="C6153" s="457" t="s">
        <v>2</v>
      </c>
      <c r="D6153" s="440">
        <v>1</v>
      </c>
      <c r="E6153" s="439">
        <v>1</v>
      </c>
      <c r="F6153" s="1350">
        <v>8</v>
      </c>
      <c r="G6153" s="1350">
        <v>0.61</v>
      </c>
      <c r="H6153" s="1350">
        <v>0.82299999999999995</v>
      </c>
      <c r="I6153" s="399">
        <f t="shared" si="225"/>
        <v>4.0199999999999996</v>
      </c>
      <c r="J6153" s="442"/>
      <c r="K6153" s="1263">
        <v>4.0162399999999998</v>
      </c>
      <c r="L6153" s="461"/>
      <c r="M6153" s="461"/>
      <c r="N6153" s="461"/>
    </row>
    <row r="6154" spans="1:14" s="462" customFormat="1" hidden="1" outlineLevel="1">
      <c r="A6154" s="1261"/>
      <c r="B6154" s="260"/>
      <c r="C6154" s="457"/>
      <c r="D6154" s="440"/>
      <c r="E6154" s="439"/>
      <c r="F6154" s="1350"/>
      <c r="G6154" s="1350"/>
      <c r="H6154" s="1350"/>
      <c r="I6154" s="399" t="str">
        <f t="shared" si="225"/>
        <v/>
      </c>
      <c r="J6154" s="442"/>
      <c r="K6154" s="1263"/>
      <c r="L6154" s="461"/>
      <c r="M6154" s="461"/>
      <c r="N6154" s="461"/>
    </row>
    <row r="6155" spans="1:14" s="462" customFormat="1" hidden="1" outlineLevel="1">
      <c r="A6155" s="1261"/>
      <c r="B6155" s="260"/>
      <c r="C6155" s="457" t="s">
        <v>2</v>
      </c>
      <c r="D6155" s="440">
        <v>1</v>
      </c>
      <c r="E6155" s="439">
        <v>1</v>
      </c>
      <c r="F6155" s="1350">
        <v>5.61</v>
      </c>
      <c r="G6155" s="1350">
        <v>0.61</v>
      </c>
      <c r="H6155" s="1350">
        <v>0.82299999999999995</v>
      </c>
      <c r="I6155" s="399">
        <f t="shared" si="225"/>
        <v>2.82</v>
      </c>
      <c r="J6155" s="442"/>
      <c r="K6155" s="1263">
        <v>2.8163882999999998</v>
      </c>
      <c r="L6155" s="461"/>
      <c r="M6155" s="461"/>
      <c r="N6155" s="461"/>
    </row>
    <row r="6156" spans="1:14" s="462" customFormat="1" hidden="1" outlineLevel="1">
      <c r="A6156" s="1261"/>
      <c r="B6156" s="260"/>
      <c r="C6156" s="457"/>
      <c r="D6156" s="440"/>
      <c r="E6156" s="439"/>
      <c r="F6156" s="1350"/>
      <c r="G6156" s="1350"/>
      <c r="H6156" s="1350"/>
      <c r="I6156" s="399" t="str">
        <f t="shared" si="225"/>
        <v/>
      </c>
      <c r="J6156" s="442"/>
      <c r="K6156" s="1263">
        <v>0</v>
      </c>
      <c r="L6156" s="461"/>
      <c r="M6156" s="461"/>
      <c r="N6156" s="461"/>
    </row>
    <row r="6157" spans="1:14" s="462" customFormat="1" hidden="1" outlineLevel="1">
      <c r="A6157" s="1261"/>
      <c r="B6157" s="260"/>
      <c r="C6157" s="457" t="s">
        <v>2</v>
      </c>
      <c r="D6157" s="440">
        <v>1</v>
      </c>
      <c r="E6157" s="439">
        <v>1</v>
      </c>
      <c r="F6157" s="1350">
        <v>4.6100000000000003</v>
      </c>
      <c r="G6157" s="1350">
        <v>0.61</v>
      </c>
      <c r="H6157" s="1350">
        <v>0.82299999999999995</v>
      </c>
      <c r="I6157" s="399">
        <f t="shared" si="225"/>
        <v>2.31</v>
      </c>
      <c r="J6157" s="442"/>
      <c r="K6157" s="1263">
        <v>2.3143582999999999</v>
      </c>
      <c r="L6157" s="461"/>
      <c r="M6157" s="461"/>
      <c r="N6157" s="461"/>
    </row>
    <row r="6158" spans="1:14" s="462" customFormat="1" hidden="1" outlineLevel="1">
      <c r="A6158" s="1261"/>
      <c r="B6158" s="260" t="s">
        <v>491</v>
      </c>
      <c r="C6158" s="457" t="s">
        <v>2</v>
      </c>
      <c r="D6158" s="440">
        <v>1</v>
      </c>
      <c r="E6158" s="439">
        <v>1</v>
      </c>
      <c r="F6158" s="1350">
        <v>3.3</v>
      </c>
      <c r="G6158" s="1350">
        <v>0.22</v>
      </c>
      <c r="H6158" s="1350">
        <v>0.82299999999999995</v>
      </c>
      <c r="I6158" s="399">
        <f t="shared" si="225"/>
        <v>0.6</v>
      </c>
      <c r="J6158" s="442"/>
      <c r="K6158" s="1263">
        <v>0.59749799999999997</v>
      </c>
      <c r="L6158" s="461"/>
      <c r="M6158" s="461"/>
      <c r="N6158" s="461"/>
    </row>
    <row r="6159" spans="1:14" s="462" customFormat="1" hidden="1" outlineLevel="1">
      <c r="A6159" s="1261"/>
      <c r="B6159" s="260"/>
      <c r="C6159" s="457"/>
      <c r="D6159" s="440"/>
      <c r="E6159" s="439"/>
      <c r="F6159" s="1350"/>
      <c r="G6159" s="1350"/>
      <c r="H6159" s="1350"/>
      <c r="I6159" s="399" t="str">
        <f t="shared" si="225"/>
        <v/>
      </c>
      <c r="J6159" s="442"/>
      <c r="K6159" s="1263">
        <v>0</v>
      </c>
      <c r="L6159" s="461"/>
      <c r="M6159" s="461"/>
      <c r="N6159" s="461"/>
    </row>
    <row r="6160" spans="1:14" s="462" customFormat="1" hidden="1" outlineLevel="1">
      <c r="A6160" s="1261"/>
      <c r="B6160" s="260"/>
      <c r="C6160" s="457" t="s">
        <v>2</v>
      </c>
      <c r="D6160" s="440">
        <v>1</v>
      </c>
      <c r="E6160" s="439">
        <v>1</v>
      </c>
      <c r="F6160" s="1350">
        <v>1.6099999999999999</v>
      </c>
      <c r="G6160" s="1350">
        <v>0.61</v>
      </c>
      <c r="H6160" s="1350">
        <v>0.82299999999999995</v>
      </c>
      <c r="I6160" s="399">
        <f t="shared" si="225"/>
        <v>0.81</v>
      </c>
      <c r="J6160" s="442"/>
      <c r="K6160" s="1263">
        <v>0.80826829999999983</v>
      </c>
      <c r="L6160" s="461"/>
      <c r="M6160" s="461"/>
      <c r="N6160" s="461"/>
    </row>
    <row r="6161" spans="1:14" s="462" customFormat="1" hidden="1" outlineLevel="1">
      <c r="A6161" s="1261"/>
      <c r="B6161" s="260"/>
      <c r="C6161" s="457"/>
      <c r="D6161" s="440"/>
      <c r="E6161" s="439"/>
      <c r="F6161" s="1350"/>
      <c r="G6161" s="1350"/>
      <c r="H6161" s="1350"/>
      <c r="I6161" s="399" t="str">
        <f t="shared" si="225"/>
        <v/>
      </c>
      <c r="J6161" s="442"/>
      <c r="K6161" s="1263">
        <v>0</v>
      </c>
      <c r="L6161" s="461"/>
      <c r="M6161" s="461"/>
      <c r="N6161" s="461"/>
    </row>
    <row r="6162" spans="1:14" s="462" customFormat="1" hidden="1" outlineLevel="1">
      <c r="A6162" s="1261"/>
      <c r="B6162" s="260"/>
      <c r="C6162" s="457" t="s">
        <v>2</v>
      </c>
      <c r="D6162" s="440">
        <v>1</v>
      </c>
      <c r="E6162" s="439">
        <v>6</v>
      </c>
      <c r="F6162" s="1350">
        <v>3.61</v>
      </c>
      <c r="G6162" s="1350">
        <v>0.61</v>
      </c>
      <c r="H6162" s="1350">
        <v>0.82299999999999995</v>
      </c>
      <c r="I6162" s="399">
        <f t="shared" si="225"/>
        <v>10.87</v>
      </c>
      <c r="J6162" s="442"/>
      <c r="K6162" s="1263">
        <v>10.873969799999999</v>
      </c>
      <c r="L6162" s="461"/>
      <c r="M6162" s="461"/>
      <c r="N6162" s="461"/>
    </row>
    <row r="6163" spans="1:14" s="462" customFormat="1" hidden="1" outlineLevel="1">
      <c r="A6163" s="1261"/>
      <c r="B6163" s="260"/>
      <c r="C6163" s="457"/>
      <c r="D6163" s="440"/>
      <c r="E6163" s="439"/>
      <c r="F6163" s="1350"/>
      <c r="G6163" s="1350"/>
      <c r="H6163" s="1350"/>
      <c r="I6163" s="399" t="str">
        <f t="shared" si="225"/>
        <v/>
      </c>
      <c r="J6163" s="442"/>
      <c r="K6163" s="1263">
        <v>0</v>
      </c>
      <c r="L6163" s="461"/>
      <c r="M6163" s="461"/>
      <c r="N6163" s="461"/>
    </row>
    <row r="6164" spans="1:14" s="462" customFormat="1" hidden="1" outlineLevel="1">
      <c r="A6164" s="1261"/>
      <c r="B6164" s="260"/>
      <c r="C6164" s="457" t="s">
        <v>2</v>
      </c>
      <c r="D6164" s="440">
        <v>1</v>
      </c>
      <c r="E6164" s="439">
        <v>1</v>
      </c>
      <c r="F6164" s="1350">
        <v>5.61</v>
      </c>
      <c r="G6164" s="1350">
        <v>0.61</v>
      </c>
      <c r="H6164" s="1350">
        <v>0.82299999999999995</v>
      </c>
      <c r="I6164" s="399">
        <f t="shared" si="225"/>
        <v>2.82</v>
      </c>
      <c r="J6164" s="442"/>
      <c r="K6164" s="1263">
        <v>2.8163882999999998</v>
      </c>
      <c r="L6164" s="461"/>
      <c r="M6164" s="461"/>
      <c r="N6164" s="461"/>
    </row>
    <row r="6165" spans="1:14" s="462" customFormat="1" hidden="1" outlineLevel="1">
      <c r="A6165" s="1261"/>
      <c r="B6165" s="260" t="s">
        <v>492</v>
      </c>
      <c r="C6165" s="457" t="s">
        <v>2</v>
      </c>
      <c r="D6165" s="440">
        <v>1</v>
      </c>
      <c r="E6165" s="439">
        <v>3</v>
      </c>
      <c r="F6165" s="1350">
        <v>3.3</v>
      </c>
      <c r="G6165" s="1350">
        <v>0.22</v>
      </c>
      <c r="H6165" s="1350">
        <v>0.82299999999999995</v>
      </c>
      <c r="I6165" s="399">
        <f t="shared" si="225"/>
        <v>1.79</v>
      </c>
      <c r="J6165" s="442"/>
      <c r="K6165" s="1263">
        <v>1.7924939999999996</v>
      </c>
      <c r="L6165" s="461"/>
      <c r="M6165" s="461"/>
      <c r="N6165" s="461"/>
    </row>
    <row r="6166" spans="1:14" s="462" customFormat="1" hidden="1" outlineLevel="1">
      <c r="A6166" s="1261"/>
      <c r="B6166" s="260"/>
      <c r="C6166" s="457"/>
      <c r="D6166" s="440"/>
      <c r="E6166" s="439"/>
      <c r="F6166" s="1350"/>
      <c r="G6166" s="1350"/>
      <c r="H6166" s="1350"/>
      <c r="I6166" s="399" t="str">
        <f t="shared" si="225"/>
        <v/>
      </c>
      <c r="J6166" s="442"/>
      <c r="K6166" s="1263">
        <v>0</v>
      </c>
      <c r="L6166" s="461"/>
      <c r="M6166" s="461"/>
      <c r="N6166" s="461"/>
    </row>
    <row r="6167" spans="1:14" s="462" customFormat="1" hidden="1" outlineLevel="1">
      <c r="A6167" s="1261"/>
      <c r="B6167" s="260"/>
      <c r="C6167" s="457" t="s">
        <v>2</v>
      </c>
      <c r="D6167" s="440">
        <v>1</v>
      </c>
      <c r="E6167" s="439">
        <v>1</v>
      </c>
      <c r="F6167" s="1350">
        <v>4.6100000000000003</v>
      </c>
      <c r="G6167" s="1350">
        <v>0.61</v>
      </c>
      <c r="H6167" s="1350">
        <v>0.82299999999999995</v>
      </c>
      <c r="I6167" s="399">
        <f t="shared" si="225"/>
        <v>2.31</v>
      </c>
      <c r="J6167" s="442"/>
      <c r="K6167" s="1263">
        <v>2.3143582999999999</v>
      </c>
      <c r="L6167" s="461"/>
      <c r="M6167" s="461"/>
      <c r="N6167" s="461"/>
    </row>
    <row r="6168" spans="1:14" s="462" customFormat="1" hidden="1" outlineLevel="1">
      <c r="A6168" s="1261"/>
      <c r="B6168" s="260"/>
      <c r="C6168" s="457"/>
      <c r="D6168" s="440"/>
      <c r="E6168" s="439"/>
      <c r="F6168" s="1350"/>
      <c r="G6168" s="1350"/>
      <c r="H6168" s="1350"/>
      <c r="I6168" s="399" t="str">
        <f t="shared" si="225"/>
        <v/>
      </c>
      <c r="J6168" s="442"/>
      <c r="K6168" s="1263"/>
      <c r="L6168" s="461"/>
      <c r="M6168" s="461"/>
      <c r="N6168" s="461"/>
    </row>
    <row r="6169" spans="1:14" s="462" customFormat="1" hidden="1" outlineLevel="1">
      <c r="A6169" s="1261"/>
      <c r="B6169" s="260" t="s">
        <v>197</v>
      </c>
      <c r="C6169" s="457" t="s">
        <v>2</v>
      </c>
      <c r="D6169" s="440">
        <v>1</v>
      </c>
      <c r="E6169" s="439">
        <v>1</v>
      </c>
      <c r="F6169" s="1350">
        <v>6.02</v>
      </c>
      <c r="G6169" s="1350">
        <v>0.61</v>
      </c>
      <c r="H6169" s="1350">
        <v>0.82299999999999995</v>
      </c>
      <c r="I6169" s="399">
        <f t="shared" si="225"/>
        <v>3.02</v>
      </c>
      <c r="J6169" s="442"/>
      <c r="K6169" s="1263">
        <v>3.0222205999999994</v>
      </c>
      <c r="L6169" s="461"/>
      <c r="M6169" s="461"/>
      <c r="N6169" s="461"/>
    </row>
    <row r="6170" spans="1:14" s="462" customFormat="1" hidden="1" outlineLevel="1">
      <c r="A6170" s="1261"/>
      <c r="B6170" s="260"/>
      <c r="C6170" s="457"/>
      <c r="D6170" s="440"/>
      <c r="E6170" s="439"/>
      <c r="F6170" s="1350"/>
      <c r="G6170" s="1350"/>
      <c r="H6170" s="1350"/>
      <c r="I6170" s="399" t="str">
        <f t="shared" si="225"/>
        <v/>
      </c>
      <c r="J6170" s="442"/>
      <c r="K6170" s="1263"/>
      <c r="L6170" s="461"/>
      <c r="M6170" s="461"/>
      <c r="N6170" s="461"/>
    </row>
    <row r="6171" spans="1:14" s="462" customFormat="1" hidden="1" outlineLevel="1">
      <c r="A6171" s="1261"/>
      <c r="B6171" s="260" t="s">
        <v>198</v>
      </c>
      <c r="C6171" s="457" t="s">
        <v>2</v>
      </c>
      <c r="D6171" s="440">
        <v>1</v>
      </c>
      <c r="E6171" s="439">
        <v>3</v>
      </c>
      <c r="F6171" s="1350">
        <v>3.36</v>
      </c>
      <c r="G6171" s="1350">
        <v>0.61</v>
      </c>
      <c r="H6171" s="1350">
        <v>0.82299999999999995</v>
      </c>
      <c r="I6171" s="399">
        <f t="shared" si="225"/>
        <v>5.0599999999999996</v>
      </c>
      <c r="J6171" s="442"/>
      <c r="K6171" s="1263">
        <v>5.0604623999999996</v>
      </c>
      <c r="L6171" s="461"/>
      <c r="M6171" s="461"/>
      <c r="N6171" s="461"/>
    </row>
    <row r="6172" spans="1:14" s="462" customFormat="1" hidden="1" outlineLevel="1">
      <c r="A6172" s="1261"/>
      <c r="B6172" s="260"/>
      <c r="C6172" s="457"/>
      <c r="D6172" s="440"/>
      <c r="E6172" s="439"/>
      <c r="F6172" s="1350"/>
      <c r="G6172" s="1350"/>
      <c r="H6172" s="1350"/>
      <c r="I6172" s="399" t="str">
        <f t="shared" si="225"/>
        <v/>
      </c>
      <c r="J6172" s="442"/>
      <c r="K6172" s="1263">
        <v>0</v>
      </c>
      <c r="L6172" s="461"/>
      <c r="M6172" s="461"/>
      <c r="N6172" s="461"/>
    </row>
    <row r="6173" spans="1:14" s="462" customFormat="1" hidden="1" outlineLevel="1">
      <c r="A6173" s="1261"/>
      <c r="B6173" s="260"/>
      <c r="C6173" s="457" t="s">
        <v>2</v>
      </c>
      <c r="D6173" s="440">
        <v>1</v>
      </c>
      <c r="E6173" s="439">
        <v>3</v>
      </c>
      <c r="F6173" s="1350">
        <v>0.90999999999999992</v>
      </c>
      <c r="G6173" s="1350">
        <v>0.61</v>
      </c>
      <c r="H6173" s="1350">
        <v>0.82299999999999995</v>
      </c>
      <c r="I6173" s="399">
        <f t="shared" ref="I6173:I6236" si="226">IF(D6173&lt;&gt;0,ROUND(PRODUCT(E6173:H6173)*D6173,2),"")</f>
        <v>1.37</v>
      </c>
      <c r="J6173" s="442"/>
      <c r="K6173" s="1263">
        <v>1.3705418999999996</v>
      </c>
      <c r="L6173" s="461"/>
      <c r="M6173" s="461"/>
      <c r="N6173" s="461"/>
    </row>
    <row r="6174" spans="1:14" s="462" customFormat="1" hidden="1" outlineLevel="1">
      <c r="A6174" s="1261"/>
      <c r="B6174" s="260"/>
      <c r="C6174" s="457"/>
      <c r="D6174" s="440"/>
      <c r="E6174" s="439"/>
      <c r="F6174" s="1350"/>
      <c r="G6174" s="1350"/>
      <c r="H6174" s="1350"/>
      <c r="I6174" s="399" t="str">
        <f t="shared" si="226"/>
        <v/>
      </c>
      <c r="J6174" s="442"/>
      <c r="K6174" s="1263">
        <v>0</v>
      </c>
      <c r="L6174" s="461"/>
      <c r="M6174" s="461"/>
      <c r="N6174" s="461"/>
    </row>
    <row r="6175" spans="1:14" s="462" customFormat="1" hidden="1" outlineLevel="1">
      <c r="A6175" s="1261"/>
      <c r="B6175" s="260"/>
      <c r="C6175" s="457" t="s">
        <v>2</v>
      </c>
      <c r="D6175" s="440">
        <v>1</v>
      </c>
      <c r="E6175" s="439">
        <v>1</v>
      </c>
      <c r="F6175" s="1350">
        <v>0.90999999999999992</v>
      </c>
      <c r="G6175" s="1350">
        <v>0.61</v>
      </c>
      <c r="H6175" s="1350">
        <v>0.82299999999999995</v>
      </c>
      <c r="I6175" s="399">
        <f t="shared" si="226"/>
        <v>0.46</v>
      </c>
      <c r="J6175" s="442"/>
      <c r="K6175" s="1263">
        <v>0.4568472999999999</v>
      </c>
      <c r="L6175" s="461"/>
      <c r="M6175" s="461"/>
      <c r="N6175" s="461"/>
    </row>
    <row r="6176" spans="1:14" s="462" customFormat="1" hidden="1" outlineLevel="1">
      <c r="A6176" s="1261"/>
      <c r="B6176" s="260"/>
      <c r="C6176" s="457"/>
      <c r="D6176" s="440"/>
      <c r="E6176" s="439"/>
      <c r="F6176" s="1350"/>
      <c r="G6176" s="1350"/>
      <c r="H6176" s="1350"/>
      <c r="I6176" s="399" t="str">
        <f t="shared" si="226"/>
        <v/>
      </c>
      <c r="J6176" s="442"/>
      <c r="K6176" s="1263">
        <v>0</v>
      </c>
      <c r="L6176" s="461"/>
      <c r="M6176" s="461"/>
      <c r="N6176" s="461"/>
    </row>
    <row r="6177" spans="1:14" s="462" customFormat="1" hidden="1" outlineLevel="1">
      <c r="A6177" s="1261"/>
      <c r="B6177" s="260"/>
      <c r="C6177" s="457" t="s">
        <v>2</v>
      </c>
      <c r="D6177" s="440">
        <v>1</v>
      </c>
      <c r="E6177" s="439">
        <v>1</v>
      </c>
      <c r="F6177" s="1350">
        <v>2.1350000000000002</v>
      </c>
      <c r="G6177" s="1350">
        <v>0.61</v>
      </c>
      <c r="H6177" s="1350">
        <v>0.82299999999999995</v>
      </c>
      <c r="I6177" s="399">
        <f t="shared" si="226"/>
        <v>1.07</v>
      </c>
      <c r="J6177" s="442"/>
      <c r="K6177" s="1263">
        <v>1.0718340500000001</v>
      </c>
      <c r="L6177" s="461"/>
      <c r="M6177" s="461"/>
      <c r="N6177" s="461"/>
    </row>
    <row r="6178" spans="1:14" s="462" customFormat="1" hidden="1" outlineLevel="1">
      <c r="A6178" s="1261"/>
      <c r="B6178" s="260"/>
      <c r="C6178" s="457"/>
      <c r="D6178" s="440"/>
      <c r="E6178" s="439"/>
      <c r="F6178" s="1350"/>
      <c r="G6178" s="1350"/>
      <c r="H6178" s="1350"/>
      <c r="I6178" s="399" t="str">
        <f t="shared" si="226"/>
        <v/>
      </c>
      <c r="J6178" s="442"/>
      <c r="K6178" s="1263">
        <v>0</v>
      </c>
      <c r="L6178" s="461"/>
      <c r="M6178" s="461"/>
      <c r="N6178" s="461"/>
    </row>
    <row r="6179" spans="1:14" s="462" customFormat="1" hidden="1" outlineLevel="1">
      <c r="A6179" s="1261"/>
      <c r="B6179" s="260"/>
      <c r="C6179" s="457" t="s">
        <v>2</v>
      </c>
      <c r="D6179" s="440">
        <v>1</v>
      </c>
      <c r="E6179" s="439">
        <v>2</v>
      </c>
      <c r="F6179" s="1350">
        <v>0.90999999999999992</v>
      </c>
      <c r="G6179" s="1350">
        <v>0.61</v>
      </c>
      <c r="H6179" s="1350">
        <v>0.82299999999999995</v>
      </c>
      <c r="I6179" s="399">
        <f t="shared" si="226"/>
        <v>0.91</v>
      </c>
      <c r="J6179" s="442"/>
      <c r="K6179" s="1263">
        <v>0.9136945999999998</v>
      </c>
      <c r="L6179" s="461"/>
      <c r="M6179" s="461"/>
      <c r="N6179" s="461"/>
    </row>
    <row r="6180" spans="1:14" s="462" customFormat="1" hidden="1" outlineLevel="1">
      <c r="A6180" s="1261"/>
      <c r="B6180" s="260"/>
      <c r="C6180" s="457"/>
      <c r="D6180" s="440"/>
      <c r="E6180" s="439"/>
      <c r="F6180" s="1350"/>
      <c r="G6180" s="1350"/>
      <c r="H6180" s="1350"/>
      <c r="I6180" s="399" t="str">
        <f t="shared" si="226"/>
        <v/>
      </c>
      <c r="J6180" s="442"/>
      <c r="K6180" s="1263">
        <v>0</v>
      </c>
      <c r="L6180" s="461"/>
      <c r="M6180" s="461"/>
      <c r="N6180" s="461"/>
    </row>
    <row r="6181" spans="1:14" s="462" customFormat="1" hidden="1" outlineLevel="1">
      <c r="A6181" s="1261"/>
      <c r="B6181" s="260"/>
      <c r="C6181" s="457" t="s">
        <v>2</v>
      </c>
      <c r="D6181" s="440">
        <v>1</v>
      </c>
      <c r="E6181" s="439">
        <v>5</v>
      </c>
      <c r="F6181" s="1350">
        <v>0.61499999999999999</v>
      </c>
      <c r="G6181" s="1350">
        <v>0.61</v>
      </c>
      <c r="H6181" s="1350">
        <v>0.82299999999999995</v>
      </c>
      <c r="I6181" s="399">
        <f t="shared" si="226"/>
        <v>1.54</v>
      </c>
      <c r="J6181" s="442"/>
      <c r="K6181" s="1263">
        <v>1.54374225</v>
      </c>
      <c r="L6181" s="461"/>
      <c r="M6181" s="461"/>
      <c r="N6181" s="461"/>
    </row>
    <row r="6182" spans="1:14" s="462" customFormat="1" hidden="1" outlineLevel="1">
      <c r="A6182" s="1261"/>
      <c r="B6182" s="260" t="s">
        <v>492</v>
      </c>
      <c r="C6182" s="457" t="s">
        <v>2</v>
      </c>
      <c r="D6182" s="440">
        <v>1</v>
      </c>
      <c r="E6182" s="439">
        <v>4</v>
      </c>
      <c r="F6182" s="1350">
        <v>3.3</v>
      </c>
      <c r="G6182" s="1350">
        <v>0.22</v>
      </c>
      <c r="H6182" s="1350">
        <v>0.82299999999999995</v>
      </c>
      <c r="I6182" s="399">
        <f t="shared" si="226"/>
        <v>2.39</v>
      </c>
      <c r="J6182" s="442"/>
      <c r="K6182" s="1263">
        <v>2.3899919999999999</v>
      </c>
      <c r="L6182" s="461"/>
      <c r="M6182" s="461"/>
      <c r="N6182" s="461"/>
    </row>
    <row r="6183" spans="1:14" s="462" customFormat="1" hidden="1" outlineLevel="1">
      <c r="A6183" s="1261"/>
      <c r="B6183" s="260"/>
      <c r="C6183" s="457"/>
      <c r="D6183" s="440"/>
      <c r="E6183" s="439"/>
      <c r="F6183" s="1350"/>
      <c r="G6183" s="1350"/>
      <c r="H6183" s="1350"/>
      <c r="I6183" s="399" t="str">
        <f t="shared" si="226"/>
        <v/>
      </c>
      <c r="J6183" s="442"/>
      <c r="K6183" s="1263">
        <v>0</v>
      </c>
      <c r="L6183" s="461"/>
      <c r="M6183" s="461"/>
      <c r="N6183" s="461"/>
    </row>
    <row r="6184" spans="1:14" s="462" customFormat="1" hidden="1" outlineLevel="1">
      <c r="A6184" s="1261"/>
      <c r="B6184" s="260" t="s">
        <v>498</v>
      </c>
      <c r="C6184" s="457"/>
      <c r="D6184" s="440"/>
      <c r="E6184" s="439"/>
      <c r="F6184" s="1350"/>
      <c r="G6184" s="1350"/>
      <c r="H6184" s="1350"/>
      <c r="I6184" s="399" t="str">
        <f t="shared" si="226"/>
        <v/>
      </c>
      <c r="J6184" s="442"/>
      <c r="K6184" s="1263"/>
      <c r="L6184" s="461"/>
      <c r="M6184" s="461"/>
      <c r="N6184" s="461"/>
    </row>
    <row r="6185" spans="1:14" s="462" customFormat="1" hidden="1" outlineLevel="1">
      <c r="A6185" s="1261"/>
      <c r="B6185" s="260"/>
      <c r="C6185" s="457"/>
      <c r="D6185" s="440"/>
      <c r="E6185" s="439"/>
      <c r="F6185" s="1350"/>
      <c r="G6185" s="1350"/>
      <c r="H6185" s="1350"/>
      <c r="I6185" s="399" t="str">
        <f t="shared" si="226"/>
        <v/>
      </c>
      <c r="J6185" s="442"/>
      <c r="K6185" s="1263"/>
      <c r="L6185" s="461"/>
      <c r="M6185" s="461"/>
      <c r="N6185" s="461"/>
    </row>
    <row r="6186" spans="1:14" s="462" customFormat="1" hidden="1" outlineLevel="1">
      <c r="A6186" s="1261"/>
      <c r="B6186" s="260" t="s">
        <v>499</v>
      </c>
      <c r="C6186" s="457" t="s">
        <v>2</v>
      </c>
      <c r="D6186" s="440">
        <v>1</v>
      </c>
      <c r="E6186" s="439">
        <v>1</v>
      </c>
      <c r="F6186" s="1350">
        <v>3.8200000000000003</v>
      </c>
      <c r="G6186" s="1350">
        <v>0.61</v>
      </c>
      <c r="H6186" s="1350">
        <v>0.82299999999999995</v>
      </c>
      <c r="I6186" s="399">
        <f t="shared" si="226"/>
        <v>1.92</v>
      </c>
      <c r="J6186" s="442"/>
      <c r="K6186" s="1263">
        <v>1.9177545999999999</v>
      </c>
      <c r="L6186" s="461"/>
      <c r="M6186" s="461"/>
      <c r="N6186" s="461"/>
    </row>
    <row r="6187" spans="1:14" s="462" customFormat="1" hidden="1" outlineLevel="1">
      <c r="A6187" s="1261"/>
      <c r="B6187" s="260"/>
      <c r="C6187" s="457"/>
      <c r="D6187" s="440"/>
      <c r="E6187" s="439"/>
      <c r="F6187" s="1350"/>
      <c r="G6187" s="1350"/>
      <c r="H6187" s="1350"/>
      <c r="I6187" s="399" t="str">
        <f t="shared" si="226"/>
        <v/>
      </c>
      <c r="J6187" s="442"/>
      <c r="K6187" s="1263"/>
      <c r="L6187" s="461"/>
      <c r="M6187" s="461"/>
      <c r="N6187" s="461"/>
    </row>
    <row r="6188" spans="1:14" s="462" customFormat="1" hidden="1" outlineLevel="1">
      <c r="A6188" s="1261"/>
      <c r="B6188" s="260"/>
      <c r="C6188" s="457" t="s">
        <v>2</v>
      </c>
      <c r="D6188" s="440">
        <v>1</v>
      </c>
      <c r="E6188" s="439">
        <v>3</v>
      </c>
      <c r="F6188" s="1350">
        <v>1.625</v>
      </c>
      <c r="G6188" s="1350">
        <v>0.61</v>
      </c>
      <c r="H6188" s="1350">
        <v>0.82299999999999995</v>
      </c>
      <c r="I6188" s="399">
        <f t="shared" si="226"/>
        <v>2.4500000000000002</v>
      </c>
      <c r="J6188" s="442"/>
      <c r="K6188" s="1263">
        <v>2.7410837999999993</v>
      </c>
      <c r="L6188" s="461"/>
      <c r="M6188" s="461"/>
      <c r="N6188" s="461"/>
    </row>
    <row r="6189" spans="1:14" s="462" customFormat="1" hidden="1" outlineLevel="1">
      <c r="A6189" s="1261"/>
      <c r="B6189" s="260"/>
      <c r="C6189" s="457"/>
      <c r="D6189" s="440"/>
      <c r="E6189" s="439"/>
      <c r="F6189" s="1350"/>
      <c r="G6189" s="1350"/>
      <c r="H6189" s="1350"/>
      <c r="I6189" s="399" t="str">
        <f t="shared" si="226"/>
        <v/>
      </c>
      <c r="J6189" s="442"/>
      <c r="K6189" s="1263">
        <v>0</v>
      </c>
      <c r="L6189" s="461"/>
      <c r="M6189" s="461"/>
      <c r="N6189" s="461"/>
    </row>
    <row r="6190" spans="1:14" s="462" customFormat="1" hidden="1" outlineLevel="1">
      <c r="A6190" s="1261"/>
      <c r="B6190" s="260"/>
      <c r="C6190" s="457" t="s">
        <v>2</v>
      </c>
      <c r="D6190" s="440">
        <v>1</v>
      </c>
      <c r="E6190" s="439">
        <v>1</v>
      </c>
      <c r="F6190" s="1350">
        <v>4.42</v>
      </c>
      <c r="G6190" s="1350">
        <v>0.61</v>
      </c>
      <c r="H6190" s="1350">
        <v>0.82299999999999995</v>
      </c>
      <c r="I6190" s="399">
        <f t="shared" si="226"/>
        <v>2.2200000000000002</v>
      </c>
      <c r="J6190" s="442"/>
      <c r="K6190" s="1263">
        <v>2.2189725999999999</v>
      </c>
      <c r="L6190" s="461"/>
      <c r="M6190" s="461"/>
      <c r="N6190" s="461"/>
    </row>
    <row r="6191" spans="1:14" s="462" customFormat="1" hidden="1" outlineLevel="1">
      <c r="A6191" s="1261"/>
      <c r="B6191" s="260"/>
      <c r="C6191" s="457"/>
      <c r="D6191" s="440"/>
      <c r="E6191" s="439"/>
      <c r="F6191" s="1350"/>
      <c r="G6191" s="1350"/>
      <c r="H6191" s="1350"/>
      <c r="I6191" s="399" t="str">
        <f t="shared" si="226"/>
        <v/>
      </c>
      <c r="J6191" s="442"/>
      <c r="K6191" s="1263">
        <v>0</v>
      </c>
      <c r="L6191" s="461"/>
      <c r="M6191" s="461"/>
      <c r="N6191" s="461"/>
    </row>
    <row r="6192" spans="1:14" s="462" customFormat="1" hidden="1" outlineLevel="1">
      <c r="A6192" s="1261"/>
      <c r="B6192" s="260"/>
      <c r="C6192" s="457" t="s">
        <v>2</v>
      </c>
      <c r="D6192" s="440">
        <v>1</v>
      </c>
      <c r="E6192" s="439">
        <v>1</v>
      </c>
      <c r="F6192" s="1350">
        <v>3.21</v>
      </c>
      <c r="G6192" s="1350">
        <v>0.61</v>
      </c>
      <c r="H6192" s="1350">
        <v>0.82299999999999995</v>
      </c>
      <c r="I6192" s="399">
        <f t="shared" si="226"/>
        <v>1.61</v>
      </c>
      <c r="J6192" s="442"/>
      <c r="K6192" s="1263">
        <v>1.6115162999999999</v>
      </c>
      <c r="L6192" s="461"/>
      <c r="M6192" s="461"/>
      <c r="N6192" s="461"/>
    </row>
    <row r="6193" spans="1:14" s="462" customFormat="1" hidden="1" outlineLevel="1">
      <c r="A6193" s="1261"/>
      <c r="B6193" s="260"/>
      <c r="C6193" s="457"/>
      <c r="D6193" s="440"/>
      <c r="E6193" s="439"/>
      <c r="F6193" s="1350"/>
      <c r="G6193" s="1350"/>
      <c r="H6193" s="1350"/>
      <c r="I6193" s="399" t="str">
        <f t="shared" si="226"/>
        <v/>
      </c>
      <c r="J6193" s="442"/>
      <c r="K6193" s="1263">
        <v>0</v>
      </c>
      <c r="L6193" s="461"/>
      <c r="M6193" s="461"/>
      <c r="N6193" s="461"/>
    </row>
    <row r="6194" spans="1:14" s="462" customFormat="1" hidden="1" outlineLevel="1">
      <c r="A6194" s="1261"/>
      <c r="B6194" s="260"/>
      <c r="C6194" s="457" t="s">
        <v>2</v>
      </c>
      <c r="D6194" s="440">
        <v>1</v>
      </c>
      <c r="E6194" s="439">
        <v>4</v>
      </c>
      <c r="F6194" s="1350">
        <v>0.78</v>
      </c>
      <c r="G6194" s="1350">
        <v>0.61</v>
      </c>
      <c r="H6194" s="1350">
        <v>0.82299999999999995</v>
      </c>
      <c r="I6194" s="399">
        <f t="shared" si="226"/>
        <v>1.57</v>
      </c>
      <c r="J6194" s="442"/>
      <c r="K6194" s="1263">
        <v>4.0162399999999998</v>
      </c>
      <c r="L6194" s="461"/>
      <c r="M6194" s="461"/>
      <c r="N6194" s="461"/>
    </row>
    <row r="6195" spans="1:14" s="462" customFormat="1" hidden="1" outlineLevel="1">
      <c r="A6195" s="1261"/>
      <c r="B6195" s="260"/>
      <c r="C6195" s="457"/>
      <c r="D6195" s="440"/>
      <c r="E6195" s="439"/>
      <c r="F6195" s="1350"/>
      <c r="G6195" s="1350"/>
      <c r="H6195" s="1350"/>
      <c r="I6195" s="399" t="str">
        <f t="shared" si="226"/>
        <v/>
      </c>
      <c r="J6195" s="442"/>
      <c r="K6195" s="1263">
        <v>0</v>
      </c>
      <c r="L6195" s="461"/>
      <c r="M6195" s="461"/>
      <c r="N6195" s="461"/>
    </row>
    <row r="6196" spans="1:14" s="462" customFormat="1" hidden="1" outlineLevel="1">
      <c r="A6196" s="1261"/>
      <c r="B6196" s="260" t="s">
        <v>500</v>
      </c>
      <c r="C6196" s="457"/>
      <c r="D6196" s="440"/>
      <c r="E6196" s="439"/>
      <c r="F6196" s="1350"/>
      <c r="G6196" s="1350"/>
      <c r="H6196" s="1350"/>
      <c r="I6196" s="399" t="str">
        <f t="shared" si="226"/>
        <v/>
      </c>
      <c r="J6196" s="442"/>
      <c r="K6196" s="1263"/>
      <c r="L6196" s="461"/>
      <c r="M6196" s="461"/>
      <c r="N6196" s="461"/>
    </row>
    <row r="6197" spans="1:14" s="462" customFormat="1" hidden="1" outlineLevel="1">
      <c r="A6197" s="1261"/>
      <c r="B6197" s="260" t="s">
        <v>501</v>
      </c>
      <c r="C6197" s="457" t="s">
        <v>2</v>
      </c>
      <c r="D6197" s="440">
        <v>1</v>
      </c>
      <c r="E6197" s="439">
        <v>1</v>
      </c>
      <c r="F6197" s="1350">
        <v>4.4249999999999998</v>
      </c>
      <c r="G6197" s="1350">
        <v>0.61</v>
      </c>
      <c r="H6197" s="1350">
        <v>0.82299999999999995</v>
      </c>
      <c r="I6197" s="399">
        <f t="shared" si="226"/>
        <v>2.2200000000000002</v>
      </c>
      <c r="J6197" s="442"/>
      <c r="K6197" s="1263">
        <v>2.2214827499999998</v>
      </c>
      <c r="L6197" s="461"/>
      <c r="M6197" s="461"/>
      <c r="N6197" s="461"/>
    </row>
    <row r="6198" spans="1:14" s="462" customFormat="1" hidden="1" outlineLevel="1">
      <c r="A6198" s="1261"/>
      <c r="B6198" s="260"/>
      <c r="C6198" s="457"/>
      <c r="D6198" s="440"/>
      <c r="E6198" s="439"/>
      <c r="F6198" s="1350"/>
      <c r="G6198" s="1350"/>
      <c r="H6198" s="1350"/>
      <c r="I6198" s="399" t="str">
        <f t="shared" si="226"/>
        <v/>
      </c>
      <c r="J6198" s="442"/>
      <c r="K6198" s="1263"/>
      <c r="L6198" s="461"/>
      <c r="M6198" s="461"/>
      <c r="N6198" s="461"/>
    </row>
    <row r="6199" spans="1:14" s="462" customFormat="1" hidden="1" outlineLevel="1">
      <c r="A6199" s="1261"/>
      <c r="B6199" s="260"/>
      <c r="C6199" s="457" t="s">
        <v>2</v>
      </c>
      <c r="D6199" s="440">
        <v>1</v>
      </c>
      <c r="E6199" s="439">
        <v>2</v>
      </c>
      <c r="F6199" s="1350">
        <v>1.4950000000000001</v>
      </c>
      <c r="G6199" s="1350">
        <v>0.61</v>
      </c>
      <c r="H6199" s="1350">
        <v>0.82299999999999995</v>
      </c>
      <c r="I6199" s="399">
        <f t="shared" si="226"/>
        <v>1.5</v>
      </c>
      <c r="J6199" s="442"/>
      <c r="K6199" s="1263">
        <v>1.8273891999999996</v>
      </c>
      <c r="L6199" s="461"/>
      <c r="M6199" s="461"/>
      <c r="N6199" s="461"/>
    </row>
    <row r="6200" spans="1:14" s="462" customFormat="1" hidden="1" outlineLevel="1">
      <c r="A6200" s="1261"/>
      <c r="B6200" s="260"/>
      <c r="C6200" s="457"/>
      <c r="D6200" s="440"/>
      <c r="E6200" s="439"/>
      <c r="F6200" s="1350"/>
      <c r="G6200" s="1350"/>
      <c r="H6200" s="1350"/>
      <c r="I6200" s="399" t="str">
        <f t="shared" si="226"/>
        <v/>
      </c>
      <c r="J6200" s="442"/>
      <c r="K6200" s="1263">
        <v>0</v>
      </c>
      <c r="L6200" s="461"/>
      <c r="M6200" s="461"/>
      <c r="N6200" s="461"/>
    </row>
    <row r="6201" spans="1:14" s="462" customFormat="1" hidden="1" outlineLevel="1">
      <c r="A6201" s="1261"/>
      <c r="B6201" s="260" t="s">
        <v>502</v>
      </c>
      <c r="C6201" s="457" t="s">
        <v>2</v>
      </c>
      <c r="D6201" s="440">
        <v>1</v>
      </c>
      <c r="E6201" s="439">
        <v>3</v>
      </c>
      <c r="F6201" s="1350">
        <v>3.21</v>
      </c>
      <c r="G6201" s="1350">
        <v>0.61</v>
      </c>
      <c r="H6201" s="1350">
        <v>0.82299999999999995</v>
      </c>
      <c r="I6201" s="399">
        <f t="shared" si="226"/>
        <v>4.83</v>
      </c>
      <c r="J6201" s="442"/>
      <c r="K6201" s="1263">
        <v>4.8345488999999988</v>
      </c>
      <c r="L6201" s="461"/>
      <c r="M6201" s="461"/>
      <c r="N6201" s="461"/>
    </row>
    <row r="6202" spans="1:14" s="462" customFormat="1" hidden="1" outlineLevel="1">
      <c r="A6202" s="1261"/>
      <c r="B6202" s="260"/>
      <c r="C6202" s="457"/>
      <c r="D6202" s="440"/>
      <c r="E6202" s="439"/>
      <c r="F6202" s="1350"/>
      <c r="G6202" s="1350"/>
      <c r="H6202" s="1350"/>
      <c r="I6202" s="399" t="str">
        <f t="shared" si="226"/>
        <v/>
      </c>
      <c r="J6202" s="442"/>
      <c r="K6202" s="1263">
        <v>0</v>
      </c>
      <c r="L6202" s="461"/>
      <c r="M6202" s="461"/>
      <c r="N6202" s="461"/>
    </row>
    <row r="6203" spans="1:14" s="462" customFormat="1" hidden="1" outlineLevel="1">
      <c r="A6203" s="1261"/>
      <c r="B6203" s="260"/>
      <c r="C6203" s="457" t="s">
        <v>2</v>
      </c>
      <c r="D6203" s="440">
        <v>1</v>
      </c>
      <c r="E6203" s="439">
        <v>2</v>
      </c>
      <c r="F6203" s="1350">
        <v>0.78</v>
      </c>
      <c r="G6203" s="1350">
        <v>0.61</v>
      </c>
      <c r="H6203" s="1350">
        <v>0.82299999999999995</v>
      </c>
      <c r="I6203" s="399">
        <f t="shared" si="226"/>
        <v>0.78</v>
      </c>
      <c r="J6203" s="442"/>
      <c r="K6203" s="1263">
        <v>2.0081199999999999</v>
      </c>
      <c r="L6203" s="461"/>
      <c r="M6203" s="461"/>
      <c r="N6203" s="461"/>
    </row>
    <row r="6204" spans="1:14" s="462" customFormat="1" hidden="1" outlineLevel="1">
      <c r="A6204" s="1261"/>
      <c r="B6204" s="260"/>
      <c r="C6204" s="457"/>
      <c r="D6204" s="440"/>
      <c r="E6204" s="439"/>
      <c r="F6204" s="1350"/>
      <c r="G6204" s="1350"/>
      <c r="H6204" s="1350"/>
      <c r="I6204" s="399" t="str">
        <f t="shared" si="226"/>
        <v/>
      </c>
      <c r="J6204" s="442"/>
      <c r="K6204" s="1263">
        <v>0</v>
      </c>
      <c r="L6204" s="461"/>
      <c r="M6204" s="461"/>
      <c r="N6204" s="461"/>
    </row>
    <row r="6205" spans="1:14" s="462" customFormat="1" hidden="1" outlineLevel="1">
      <c r="A6205" s="1261"/>
      <c r="B6205" s="260"/>
      <c r="C6205" s="457" t="s">
        <v>2</v>
      </c>
      <c r="D6205" s="440">
        <v>1</v>
      </c>
      <c r="E6205" s="439">
        <v>1</v>
      </c>
      <c r="F6205" s="1350">
        <v>2.61</v>
      </c>
      <c r="G6205" s="1350">
        <v>0.61</v>
      </c>
      <c r="H6205" s="1350">
        <v>0.82299999999999995</v>
      </c>
      <c r="I6205" s="399">
        <f t="shared" si="226"/>
        <v>1.31</v>
      </c>
      <c r="J6205" s="442"/>
      <c r="K6205" s="1263">
        <v>1.3102982999999997</v>
      </c>
      <c r="L6205" s="461"/>
      <c r="M6205" s="461"/>
      <c r="N6205" s="461"/>
    </row>
    <row r="6206" spans="1:14" s="462" customFormat="1" hidden="1" outlineLevel="1">
      <c r="A6206" s="1261"/>
      <c r="B6206" s="260"/>
      <c r="C6206" s="457"/>
      <c r="D6206" s="440"/>
      <c r="E6206" s="439"/>
      <c r="F6206" s="1350"/>
      <c r="G6206" s="1350"/>
      <c r="H6206" s="1350"/>
      <c r="I6206" s="399" t="str">
        <f t="shared" si="226"/>
        <v/>
      </c>
      <c r="J6206" s="442"/>
      <c r="K6206" s="1263">
        <v>0</v>
      </c>
      <c r="L6206" s="461"/>
      <c r="M6206" s="461"/>
      <c r="N6206" s="461"/>
    </row>
    <row r="6207" spans="1:14" s="462" customFormat="1" hidden="1" outlineLevel="1">
      <c r="A6207" s="1261"/>
      <c r="B6207" s="260" t="s">
        <v>503</v>
      </c>
      <c r="C6207" s="457"/>
      <c r="D6207" s="440"/>
      <c r="E6207" s="439"/>
      <c r="F6207" s="1350"/>
      <c r="G6207" s="1350"/>
      <c r="H6207" s="1350"/>
      <c r="I6207" s="399" t="str">
        <f t="shared" si="226"/>
        <v/>
      </c>
      <c r="J6207" s="442"/>
      <c r="K6207" s="1263"/>
      <c r="L6207" s="461"/>
      <c r="M6207" s="461"/>
      <c r="N6207" s="461"/>
    </row>
    <row r="6208" spans="1:14" s="462" customFormat="1" hidden="1" outlineLevel="1">
      <c r="A6208" s="1261"/>
      <c r="B6208" s="260" t="s">
        <v>504</v>
      </c>
      <c r="C6208" s="457" t="s">
        <v>2</v>
      </c>
      <c r="D6208" s="440">
        <v>1</v>
      </c>
      <c r="E6208" s="439">
        <v>1</v>
      </c>
      <c r="F6208" s="1350">
        <v>9.1549999999999994</v>
      </c>
      <c r="G6208" s="1350">
        <v>0.61</v>
      </c>
      <c r="H6208" s="1350">
        <v>0.82299999999999995</v>
      </c>
      <c r="I6208" s="399">
        <f t="shared" si="226"/>
        <v>4.5999999999999996</v>
      </c>
      <c r="J6208" s="442"/>
      <c r="K6208" s="1263">
        <v>4.596084649999999</v>
      </c>
      <c r="L6208" s="461"/>
      <c r="M6208" s="461"/>
      <c r="N6208" s="461"/>
    </row>
    <row r="6209" spans="1:14" s="462" customFormat="1" hidden="1" outlineLevel="1">
      <c r="A6209" s="1261"/>
      <c r="B6209" s="260"/>
      <c r="C6209" s="457"/>
      <c r="D6209" s="440"/>
      <c r="E6209" s="439"/>
      <c r="F6209" s="1350"/>
      <c r="G6209" s="1350"/>
      <c r="H6209" s="1350"/>
      <c r="I6209" s="399" t="str">
        <f t="shared" si="226"/>
        <v/>
      </c>
      <c r="J6209" s="442"/>
      <c r="K6209" s="1263"/>
      <c r="L6209" s="461"/>
      <c r="M6209" s="461"/>
      <c r="N6209" s="461"/>
    </row>
    <row r="6210" spans="1:14" s="462" customFormat="1" hidden="1" outlineLevel="1">
      <c r="A6210" s="1261"/>
      <c r="B6210" s="260"/>
      <c r="C6210" s="457" t="s">
        <v>2</v>
      </c>
      <c r="D6210" s="440">
        <v>1</v>
      </c>
      <c r="E6210" s="439">
        <v>2</v>
      </c>
      <c r="F6210" s="1350">
        <v>6.4049999999999994</v>
      </c>
      <c r="G6210" s="1350">
        <v>0.61</v>
      </c>
      <c r="H6210" s="1350">
        <v>0.82299999999999995</v>
      </c>
      <c r="I6210" s="399">
        <f t="shared" si="226"/>
        <v>6.43</v>
      </c>
      <c r="J6210" s="442"/>
      <c r="K6210" s="1263">
        <v>6.4310042999999988</v>
      </c>
      <c r="L6210" s="461"/>
      <c r="M6210" s="461"/>
      <c r="N6210" s="461"/>
    </row>
    <row r="6211" spans="1:14" s="462" customFormat="1" hidden="1" outlineLevel="1">
      <c r="A6211" s="1261"/>
      <c r="B6211" s="260" t="s">
        <v>505</v>
      </c>
      <c r="C6211" s="457" t="s">
        <v>2</v>
      </c>
      <c r="D6211" s="440">
        <v>1</v>
      </c>
      <c r="E6211" s="439">
        <v>4</v>
      </c>
      <c r="F6211" s="1350">
        <v>3.3</v>
      </c>
      <c r="G6211" s="1350">
        <v>0.22</v>
      </c>
      <c r="H6211" s="1350">
        <v>0.82299999999999995</v>
      </c>
      <c r="I6211" s="399">
        <f t="shared" si="226"/>
        <v>2.39</v>
      </c>
      <c r="J6211" s="442"/>
      <c r="K6211" s="1263">
        <v>2.3899919999999999</v>
      </c>
      <c r="L6211" s="461"/>
      <c r="M6211" s="461"/>
      <c r="N6211" s="461"/>
    </row>
    <row r="6212" spans="1:14" s="462" customFormat="1" hidden="1" outlineLevel="1">
      <c r="A6212" s="1261"/>
      <c r="B6212" s="260"/>
      <c r="C6212" s="457"/>
      <c r="D6212" s="440"/>
      <c r="E6212" s="439"/>
      <c r="F6212" s="1350"/>
      <c r="G6212" s="1350"/>
      <c r="H6212" s="1350"/>
      <c r="I6212" s="399" t="str">
        <f t="shared" si="226"/>
        <v/>
      </c>
      <c r="J6212" s="442"/>
      <c r="K6212" s="1263">
        <v>0</v>
      </c>
      <c r="L6212" s="461"/>
      <c r="M6212" s="461"/>
      <c r="N6212" s="461"/>
    </row>
    <row r="6213" spans="1:14" s="462" customFormat="1" hidden="1" outlineLevel="1">
      <c r="A6213" s="1261"/>
      <c r="B6213" s="260"/>
      <c r="C6213" s="457" t="s">
        <v>2</v>
      </c>
      <c r="D6213" s="440">
        <v>1</v>
      </c>
      <c r="E6213" s="439">
        <v>1</v>
      </c>
      <c r="F6213" s="1350">
        <v>4.88</v>
      </c>
      <c r="G6213" s="1350">
        <v>0.61</v>
      </c>
      <c r="H6213" s="1350">
        <v>0.82299999999999995</v>
      </c>
      <c r="I6213" s="399">
        <f t="shared" si="226"/>
        <v>2.4500000000000002</v>
      </c>
      <c r="J6213" s="442"/>
      <c r="K6213" s="1263">
        <v>2.4499063999999997</v>
      </c>
      <c r="L6213" s="461"/>
      <c r="M6213" s="461"/>
      <c r="N6213" s="461"/>
    </row>
    <row r="6214" spans="1:14" s="462" customFormat="1" hidden="1" outlineLevel="1">
      <c r="A6214" s="1261"/>
      <c r="B6214" s="260"/>
      <c r="C6214" s="457"/>
      <c r="D6214" s="440"/>
      <c r="E6214" s="439"/>
      <c r="F6214" s="1350"/>
      <c r="G6214" s="1350"/>
      <c r="H6214" s="1350"/>
      <c r="I6214" s="399" t="str">
        <f t="shared" si="226"/>
        <v/>
      </c>
      <c r="J6214" s="442"/>
      <c r="K6214" s="1263">
        <v>0</v>
      </c>
      <c r="L6214" s="461"/>
      <c r="M6214" s="461"/>
      <c r="N6214" s="461"/>
    </row>
    <row r="6215" spans="1:14" s="462" customFormat="1" hidden="1" outlineLevel="1">
      <c r="A6215" s="1261"/>
      <c r="B6215" s="260"/>
      <c r="C6215" s="457" t="s">
        <v>2</v>
      </c>
      <c r="D6215" s="440">
        <v>1</v>
      </c>
      <c r="E6215" s="439">
        <v>1</v>
      </c>
      <c r="F6215" s="1350">
        <v>0.78</v>
      </c>
      <c r="G6215" s="1350">
        <v>0.61</v>
      </c>
      <c r="H6215" s="1350">
        <v>0.82299999999999995</v>
      </c>
      <c r="I6215" s="399">
        <f t="shared" si="226"/>
        <v>0.39</v>
      </c>
      <c r="J6215" s="442"/>
      <c r="K6215" s="1263">
        <v>0.45935744999999989</v>
      </c>
      <c r="L6215" s="461"/>
      <c r="M6215" s="461"/>
      <c r="N6215" s="461"/>
    </row>
    <row r="6216" spans="1:14" s="462" customFormat="1" hidden="1" outlineLevel="1">
      <c r="A6216" s="1261"/>
      <c r="B6216" s="260"/>
      <c r="C6216" s="457"/>
      <c r="D6216" s="440"/>
      <c r="E6216" s="439"/>
      <c r="F6216" s="1350"/>
      <c r="G6216" s="1350"/>
      <c r="H6216" s="1350"/>
      <c r="I6216" s="399" t="str">
        <f t="shared" si="226"/>
        <v/>
      </c>
      <c r="J6216" s="442"/>
      <c r="K6216" s="1263">
        <v>0</v>
      </c>
      <c r="L6216" s="461"/>
      <c r="M6216" s="461"/>
      <c r="N6216" s="461"/>
    </row>
    <row r="6217" spans="1:14" s="462" customFormat="1" hidden="1" outlineLevel="1">
      <c r="A6217" s="1261"/>
      <c r="B6217" s="260" t="s">
        <v>207</v>
      </c>
      <c r="C6217" s="457" t="s">
        <v>2</v>
      </c>
      <c r="D6217" s="440">
        <v>1</v>
      </c>
      <c r="E6217" s="439">
        <v>1</v>
      </c>
      <c r="F6217" s="1350">
        <v>1.83</v>
      </c>
      <c r="G6217" s="1350">
        <v>0.61</v>
      </c>
      <c r="H6217" s="1350">
        <v>0.82299999999999995</v>
      </c>
      <c r="I6217" s="399">
        <f t="shared" si="226"/>
        <v>0.92</v>
      </c>
      <c r="J6217" s="442"/>
      <c r="K6217" s="1263">
        <v>0.9187149</v>
      </c>
      <c r="L6217" s="461"/>
      <c r="M6217" s="461"/>
      <c r="N6217" s="461"/>
    </row>
    <row r="6218" spans="1:14" s="462" customFormat="1" hidden="1" outlineLevel="1">
      <c r="A6218" s="1261"/>
      <c r="B6218" s="260"/>
      <c r="C6218" s="457"/>
      <c r="D6218" s="440"/>
      <c r="E6218" s="439"/>
      <c r="F6218" s="1350"/>
      <c r="G6218" s="1350"/>
      <c r="H6218" s="1350"/>
      <c r="I6218" s="399" t="str">
        <f t="shared" si="226"/>
        <v/>
      </c>
      <c r="J6218" s="442"/>
      <c r="K6218" s="1263">
        <v>0</v>
      </c>
      <c r="L6218" s="461"/>
      <c r="M6218" s="461"/>
      <c r="N6218" s="461"/>
    </row>
    <row r="6219" spans="1:14" s="462" customFormat="1" hidden="1" outlineLevel="1">
      <c r="A6219" s="1261"/>
      <c r="B6219" s="260"/>
      <c r="C6219" s="457" t="s">
        <v>2</v>
      </c>
      <c r="D6219" s="440">
        <v>1</v>
      </c>
      <c r="E6219" s="439">
        <v>1</v>
      </c>
      <c r="F6219" s="1350">
        <v>0.6</v>
      </c>
      <c r="G6219" s="1350">
        <v>0.61</v>
      </c>
      <c r="H6219" s="1350">
        <v>0.82299999999999995</v>
      </c>
      <c r="I6219" s="399">
        <f t="shared" si="226"/>
        <v>0.3</v>
      </c>
      <c r="J6219" s="442"/>
      <c r="K6219" s="1263">
        <v>0.30623829999999996</v>
      </c>
      <c r="L6219" s="461"/>
      <c r="M6219" s="461"/>
      <c r="N6219" s="461"/>
    </row>
    <row r="6220" spans="1:14" s="462" customFormat="1" hidden="1" outlineLevel="1">
      <c r="A6220" s="1261"/>
      <c r="B6220" s="260"/>
      <c r="C6220" s="457"/>
      <c r="D6220" s="440"/>
      <c r="E6220" s="439"/>
      <c r="F6220" s="1350"/>
      <c r="G6220" s="1350"/>
      <c r="H6220" s="1350"/>
      <c r="I6220" s="399" t="str">
        <f t="shared" si="226"/>
        <v/>
      </c>
      <c r="J6220" s="442"/>
      <c r="K6220" s="1263">
        <v>0</v>
      </c>
      <c r="L6220" s="461"/>
      <c r="M6220" s="461"/>
      <c r="N6220" s="461"/>
    </row>
    <row r="6221" spans="1:14" s="462" customFormat="1" hidden="1" outlineLevel="1">
      <c r="A6221" s="1261"/>
      <c r="B6221" s="260"/>
      <c r="C6221" s="457" t="s">
        <v>2</v>
      </c>
      <c r="D6221" s="440">
        <f>1*0</f>
        <v>0</v>
      </c>
      <c r="E6221" s="439">
        <v>1</v>
      </c>
      <c r="F6221" s="1350">
        <v>3.3649999999999998</v>
      </c>
      <c r="G6221" s="1350">
        <v>0.61</v>
      </c>
      <c r="H6221" s="1350">
        <v>0.82299999999999995</v>
      </c>
      <c r="I6221" s="399" t="str">
        <f t="shared" si="226"/>
        <v/>
      </c>
      <c r="J6221" s="442"/>
      <c r="K6221" s="1263">
        <v>1.6893309499999998</v>
      </c>
      <c r="L6221" s="461"/>
      <c r="M6221" s="461"/>
      <c r="N6221" s="461"/>
    </row>
    <row r="6222" spans="1:14" s="462" customFormat="1" hidden="1" outlineLevel="1">
      <c r="A6222" s="1261"/>
      <c r="B6222" s="260"/>
      <c r="C6222" s="457"/>
      <c r="D6222" s="440"/>
      <c r="E6222" s="439"/>
      <c r="F6222" s="1350"/>
      <c r="G6222" s="1350"/>
      <c r="H6222" s="1350"/>
      <c r="I6222" s="399" t="str">
        <f t="shared" si="226"/>
        <v/>
      </c>
      <c r="J6222" s="442"/>
      <c r="K6222" s="1263">
        <v>0</v>
      </c>
      <c r="L6222" s="461"/>
      <c r="M6222" s="461"/>
      <c r="N6222" s="461"/>
    </row>
    <row r="6223" spans="1:14" s="462" customFormat="1" hidden="1" outlineLevel="1">
      <c r="A6223" s="1261"/>
      <c r="B6223" s="260"/>
      <c r="C6223" s="457" t="s">
        <v>2</v>
      </c>
      <c r="D6223" s="440">
        <v>1</v>
      </c>
      <c r="E6223" s="439">
        <v>2</v>
      </c>
      <c r="F6223" s="1350">
        <v>3.355</v>
      </c>
      <c r="G6223" s="1350">
        <v>0.61</v>
      </c>
      <c r="H6223" s="1350">
        <v>0.82299999999999995</v>
      </c>
      <c r="I6223" s="399">
        <f t="shared" si="226"/>
        <v>3.37</v>
      </c>
      <c r="J6223" s="442"/>
      <c r="K6223" s="1263">
        <v>3.3686212999999996</v>
      </c>
      <c r="L6223" s="461"/>
      <c r="M6223" s="461"/>
      <c r="N6223" s="461"/>
    </row>
    <row r="6224" spans="1:14" s="462" customFormat="1" hidden="1" outlineLevel="1">
      <c r="A6224" s="1261"/>
      <c r="B6224" s="260"/>
      <c r="C6224" s="457"/>
      <c r="D6224" s="440"/>
      <c r="E6224" s="439"/>
      <c r="F6224" s="1350"/>
      <c r="G6224" s="1350"/>
      <c r="H6224" s="1350"/>
      <c r="I6224" s="399" t="str">
        <f t="shared" si="226"/>
        <v/>
      </c>
      <c r="J6224" s="442"/>
      <c r="K6224" s="1263">
        <v>0</v>
      </c>
      <c r="L6224" s="461"/>
      <c r="M6224" s="461"/>
      <c r="N6224" s="461"/>
    </row>
    <row r="6225" spans="1:14" s="462" customFormat="1" hidden="1" outlineLevel="1">
      <c r="A6225" s="1261"/>
      <c r="B6225" s="260"/>
      <c r="C6225" s="457" t="s">
        <v>2</v>
      </c>
      <c r="D6225" s="440">
        <v>1</v>
      </c>
      <c r="E6225" s="439">
        <v>1</v>
      </c>
      <c r="F6225" s="1350">
        <v>3.05</v>
      </c>
      <c r="G6225" s="1350">
        <v>0.61</v>
      </c>
      <c r="H6225" s="1350">
        <v>0.82299999999999995</v>
      </c>
      <c r="I6225" s="399">
        <f t="shared" si="226"/>
        <v>1.53</v>
      </c>
      <c r="J6225" s="442"/>
      <c r="K6225" s="1263">
        <v>1.5362118</v>
      </c>
      <c r="L6225" s="461"/>
      <c r="M6225" s="461"/>
      <c r="N6225" s="461"/>
    </row>
    <row r="6226" spans="1:14" s="462" customFormat="1" hidden="1" outlineLevel="1">
      <c r="A6226" s="1261"/>
      <c r="B6226" s="260"/>
      <c r="C6226" s="457"/>
      <c r="D6226" s="440"/>
      <c r="E6226" s="439"/>
      <c r="F6226" s="1350"/>
      <c r="G6226" s="1350"/>
      <c r="H6226" s="1350"/>
      <c r="I6226" s="399" t="str">
        <f t="shared" si="226"/>
        <v/>
      </c>
      <c r="J6226" s="442"/>
      <c r="K6226" s="1263">
        <v>0</v>
      </c>
      <c r="L6226" s="461"/>
      <c r="M6226" s="461"/>
      <c r="N6226" s="461"/>
    </row>
    <row r="6227" spans="1:14" s="462" customFormat="1" hidden="1" outlineLevel="1">
      <c r="A6227" s="1261"/>
      <c r="B6227" s="260"/>
      <c r="C6227" s="457" t="s">
        <v>2</v>
      </c>
      <c r="D6227" s="440">
        <v>1</v>
      </c>
      <c r="E6227" s="439">
        <v>1</v>
      </c>
      <c r="F6227" s="1350">
        <v>0.30500000000000005</v>
      </c>
      <c r="G6227" s="1350">
        <v>0.61</v>
      </c>
      <c r="H6227" s="1350">
        <v>0.82299999999999995</v>
      </c>
      <c r="I6227" s="399">
        <f t="shared" si="226"/>
        <v>0.15</v>
      </c>
      <c r="J6227" s="442"/>
      <c r="K6227" s="1263">
        <v>0.30623830000000002</v>
      </c>
      <c r="L6227" s="461"/>
      <c r="M6227" s="461"/>
      <c r="N6227" s="461"/>
    </row>
    <row r="6228" spans="1:14" s="462" customFormat="1" hidden="1" outlineLevel="1">
      <c r="A6228" s="1261"/>
      <c r="B6228" s="260"/>
      <c r="C6228" s="457"/>
      <c r="D6228" s="440"/>
      <c r="E6228" s="439"/>
      <c r="F6228" s="1350"/>
      <c r="G6228" s="1350"/>
      <c r="H6228" s="1350"/>
      <c r="I6228" s="399" t="str">
        <f t="shared" si="226"/>
        <v/>
      </c>
      <c r="J6228" s="442"/>
      <c r="K6228" s="1263">
        <v>0</v>
      </c>
      <c r="L6228" s="461"/>
      <c r="M6228" s="461"/>
      <c r="N6228" s="461"/>
    </row>
    <row r="6229" spans="1:14" s="462" customFormat="1" hidden="1" outlineLevel="1">
      <c r="A6229" s="1261"/>
      <c r="B6229" s="260"/>
      <c r="C6229" s="457" t="s">
        <v>2</v>
      </c>
      <c r="D6229" s="440">
        <v>1</v>
      </c>
      <c r="E6229" s="439">
        <v>1</v>
      </c>
      <c r="F6229" s="1350">
        <v>0.91499999999999992</v>
      </c>
      <c r="G6229" s="1350">
        <v>0.61</v>
      </c>
      <c r="H6229" s="1350">
        <v>0.82299999999999995</v>
      </c>
      <c r="I6229" s="399">
        <f t="shared" si="226"/>
        <v>0.46</v>
      </c>
      <c r="J6229" s="442"/>
      <c r="K6229" s="1263">
        <v>0.45935744999999989</v>
      </c>
      <c r="L6229" s="461"/>
      <c r="M6229" s="461"/>
      <c r="N6229" s="461"/>
    </row>
    <row r="6230" spans="1:14" s="462" customFormat="1" hidden="1" outlineLevel="1">
      <c r="A6230" s="1261"/>
      <c r="B6230" s="260"/>
      <c r="C6230" s="457"/>
      <c r="D6230" s="440"/>
      <c r="E6230" s="439"/>
      <c r="F6230" s="1350"/>
      <c r="G6230" s="1350"/>
      <c r="H6230" s="1350"/>
      <c r="I6230" s="399" t="str">
        <f t="shared" si="226"/>
        <v/>
      </c>
      <c r="J6230" s="442"/>
      <c r="K6230" s="1263">
        <v>0</v>
      </c>
      <c r="L6230" s="461"/>
      <c r="M6230" s="461"/>
      <c r="N6230" s="461"/>
    </row>
    <row r="6231" spans="1:14" s="462" customFormat="1" hidden="1" outlineLevel="1">
      <c r="A6231" s="1261"/>
      <c r="B6231" s="260"/>
      <c r="C6231" s="457" t="s">
        <v>2</v>
      </c>
      <c r="D6231" s="440">
        <v>1</v>
      </c>
      <c r="E6231" s="439">
        <v>1</v>
      </c>
      <c r="F6231" s="1350">
        <v>2.11</v>
      </c>
      <c r="G6231" s="1350">
        <v>0.61</v>
      </c>
      <c r="H6231" s="1350">
        <v>0.82299999999999995</v>
      </c>
      <c r="I6231" s="399">
        <f t="shared" si="226"/>
        <v>1.06</v>
      </c>
      <c r="J6231" s="442"/>
      <c r="K6231" s="1263">
        <v>1.0592832999999999</v>
      </c>
      <c r="L6231" s="461"/>
      <c r="M6231" s="461"/>
      <c r="N6231" s="461"/>
    </row>
    <row r="6232" spans="1:14" s="462" customFormat="1" hidden="1" outlineLevel="1">
      <c r="A6232" s="1261"/>
      <c r="B6232" s="260"/>
      <c r="C6232" s="457"/>
      <c r="D6232" s="440"/>
      <c r="E6232" s="439"/>
      <c r="F6232" s="1350"/>
      <c r="G6232" s="1350"/>
      <c r="H6232" s="1350"/>
      <c r="I6232" s="399" t="str">
        <f t="shared" si="226"/>
        <v/>
      </c>
      <c r="J6232" s="442"/>
      <c r="K6232" s="1263">
        <v>0</v>
      </c>
      <c r="L6232" s="461"/>
      <c r="M6232" s="461"/>
      <c r="N6232" s="461"/>
    </row>
    <row r="6233" spans="1:14" s="462" customFormat="1" hidden="1" outlineLevel="1">
      <c r="A6233" s="1261"/>
      <c r="B6233" s="260" t="s">
        <v>506</v>
      </c>
      <c r="C6233" s="457"/>
      <c r="D6233" s="440"/>
      <c r="E6233" s="439"/>
      <c r="F6233" s="1350"/>
      <c r="G6233" s="1350"/>
      <c r="H6233" s="1350"/>
      <c r="I6233" s="399" t="str">
        <f t="shared" si="226"/>
        <v/>
      </c>
      <c r="J6233" s="442"/>
      <c r="K6233" s="1263"/>
      <c r="L6233" s="461"/>
      <c r="M6233" s="461"/>
      <c r="N6233" s="461"/>
    </row>
    <row r="6234" spans="1:14" s="462" customFormat="1" hidden="1" outlineLevel="1">
      <c r="A6234" s="1261"/>
      <c r="B6234" s="260"/>
      <c r="C6234" s="457"/>
      <c r="D6234" s="440"/>
      <c r="E6234" s="439"/>
      <c r="F6234" s="1350"/>
      <c r="G6234" s="1350"/>
      <c r="H6234" s="1350"/>
      <c r="I6234" s="399" t="str">
        <f t="shared" si="226"/>
        <v/>
      </c>
      <c r="J6234" s="442"/>
      <c r="K6234" s="1263">
        <v>0</v>
      </c>
      <c r="L6234" s="461"/>
      <c r="M6234" s="461"/>
      <c r="N6234" s="461"/>
    </row>
    <row r="6235" spans="1:14" s="462" customFormat="1" hidden="1" outlineLevel="1">
      <c r="A6235" s="1261"/>
      <c r="B6235" s="260" t="s">
        <v>209</v>
      </c>
      <c r="C6235" s="457" t="s">
        <v>2</v>
      </c>
      <c r="D6235" s="440">
        <v>1</v>
      </c>
      <c r="E6235" s="439">
        <v>2</v>
      </c>
      <c r="F6235" s="1350">
        <v>30.47</v>
      </c>
      <c r="G6235" s="1350">
        <v>0.61</v>
      </c>
      <c r="H6235" s="1350">
        <v>0.82299999999999995</v>
      </c>
      <c r="I6235" s="399">
        <f t="shared" si="226"/>
        <v>30.59</v>
      </c>
      <c r="J6235" s="442"/>
      <c r="K6235" s="1263">
        <v>30.593708199999998</v>
      </c>
      <c r="L6235" s="461"/>
      <c r="M6235" s="461"/>
      <c r="N6235" s="461"/>
    </row>
    <row r="6236" spans="1:14" s="462" customFormat="1" hidden="1" outlineLevel="1">
      <c r="A6236" s="1261"/>
      <c r="B6236" s="260"/>
      <c r="C6236" s="457"/>
      <c r="D6236" s="440"/>
      <c r="E6236" s="439"/>
      <c r="F6236" s="1350"/>
      <c r="G6236" s="1350"/>
      <c r="H6236" s="1350"/>
      <c r="I6236" s="399" t="str">
        <f t="shared" si="226"/>
        <v/>
      </c>
      <c r="J6236" s="442"/>
      <c r="K6236" s="1263">
        <v>0</v>
      </c>
      <c r="L6236" s="461"/>
      <c r="M6236" s="461"/>
      <c r="N6236" s="461"/>
    </row>
    <row r="6237" spans="1:14" s="462" customFormat="1" hidden="1" outlineLevel="1">
      <c r="A6237" s="1261"/>
      <c r="B6237" s="260"/>
      <c r="C6237" s="457" t="s">
        <v>2</v>
      </c>
      <c r="D6237" s="440">
        <v>1</v>
      </c>
      <c r="E6237" s="439">
        <v>2</v>
      </c>
      <c r="F6237" s="1350">
        <v>0.6</v>
      </c>
      <c r="G6237" s="1350">
        <v>0.61</v>
      </c>
      <c r="H6237" s="1350">
        <v>0.82299999999999995</v>
      </c>
      <c r="I6237" s="399">
        <f t="shared" ref="I6237:I6300" si="227">IF(D6237&lt;&gt;0,ROUND(PRODUCT(E6237:H6237)*D6237,2),"")</f>
        <v>0.6</v>
      </c>
      <c r="J6237" s="442"/>
      <c r="K6237" s="1263">
        <v>0.60243599999999997</v>
      </c>
      <c r="L6237" s="461"/>
      <c r="M6237" s="461"/>
      <c r="N6237" s="461"/>
    </row>
    <row r="6238" spans="1:14" s="462" customFormat="1" hidden="1" outlineLevel="1">
      <c r="A6238" s="1261"/>
      <c r="B6238" s="260"/>
      <c r="C6238" s="457"/>
      <c r="D6238" s="440"/>
      <c r="E6238" s="439"/>
      <c r="F6238" s="1350"/>
      <c r="G6238" s="1350"/>
      <c r="H6238" s="1350"/>
      <c r="I6238" s="399" t="str">
        <f t="shared" si="227"/>
        <v/>
      </c>
      <c r="J6238" s="442"/>
      <c r="K6238" s="1263">
        <v>0</v>
      </c>
      <c r="L6238" s="461"/>
      <c r="M6238" s="461"/>
      <c r="N6238" s="461"/>
    </row>
    <row r="6239" spans="1:14" s="462" customFormat="1" hidden="1" outlineLevel="1">
      <c r="A6239" s="1261"/>
      <c r="B6239" s="260" t="s">
        <v>210</v>
      </c>
      <c r="C6239" s="457" t="s">
        <v>2</v>
      </c>
      <c r="D6239" s="440">
        <v>1</v>
      </c>
      <c r="E6239" s="439">
        <v>2</v>
      </c>
      <c r="F6239" s="1350">
        <v>6.2450000000000001</v>
      </c>
      <c r="G6239" s="1350">
        <v>0.61</v>
      </c>
      <c r="H6239" s="1350">
        <v>0.82299999999999995</v>
      </c>
      <c r="I6239" s="399">
        <f t="shared" si="227"/>
        <v>6.27</v>
      </c>
      <c r="J6239" s="442"/>
      <c r="K6239" s="1263">
        <v>6.2703546999999995</v>
      </c>
      <c r="L6239" s="461"/>
      <c r="M6239" s="461"/>
      <c r="N6239" s="461"/>
    </row>
    <row r="6240" spans="1:14" s="462" customFormat="1" hidden="1" outlineLevel="1">
      <c r="A6240" s="1261"/>
      <c r="B6240" s="260"/>
      <c r="C6240" s="457"/>
      <c r="D6240" s="440"/>
      <c r="E6240" s="439"/>
      <c r="F6240" s="1350"/>
      <c r="G6240" s="1350"/>
      <c r="H6240" s="1350"/>
      <c r="I6240" s="399" t="str">
        <f t="shared" si="227"/>
        <v/>
      </c>
      <c r="J6240" s="442"/>
      <c r="K6240" s="1263">
        <v>0</v>
      </c>
      <c r="L6240" s="461"/>
      <c r="M6240" s="461"/>
      <c r="N6240" s="461"/>
    </row>
    <row r="6241" spans="1:14" s="462" customFormat="1" hidden="1" outlineLevel="1">
      <c r="A6241" s="1261"/>
      <c r="B6241" s="260"/>
      <c r="C6241" s="457" t="s">
        <v>2</v>
      </c>
      <c r="D6241" s="440">
        <v>1</v>
      </c>
      <c r="E6241" s="439">
        <v>2</v>
      </c>
      <c r="F6241" s="1350">
        <v>1.1950000000000001</v>
      </c>
      <c r="G6241" s="1350">
        <v>0.61</v>
      </c>
      <c r="H6241" s="1350">
        <v>0.82299999999999995</v>
      </c>
      <c r="I6241" s="399">
        <f t="shared" si="227"/>
        <v>1.2</v>
      </c>
      <c r="J6241" s="442"/>
      <c r="K6241" s="1263">
        <v>1.1998517</v>
      </c>
      <c r="L6241" s="461"/>
      <c r="M6241" s="461"/>
      <c r="N6241" s="461"/>
    </row>
    <row r="6242" spans="1:14" s="462" customFormat="1" hidden="1" outlineLevel="1">
      <c r="A6242" s="1261"/>
      <c r="B6242" s="260"/>
      <c r="C6242" s="457"/>
      <c r="D6242" s="440"/>
      <c r="E6242" s="439"/>
      <c r="F6242" s="1350"/>
      <c r="G6242" s="1350"/>
      <c r="H6242" s="1350"/>
      <c r="I6242" s="399" t="str">
        <f t="shared" si="227"/>
        <v/>
      </c>
      <c r="J6242" s="442"/>
      <c r="K6242" s="1263">
        <v>0</v>
      </c>
      <c r="L6242" s="461"/>
      <c r="M6242" s="461"/>
      <c r="N6242" s="461"/>
    </row>
    <row r="6243" spans="1:14" s="462" customFormat="1" hidden="1" outlineLevel="1">
      <c r="A6243" s="1261"/>
      <c r="B6243" s="260" t="s">
        <v>211</v>
      </c>
      <c r="C6243" s="457" t="s">
        <v>2</v>
      </c>
      <c r="D6243" s="440">
        <v>1</v>
      </c>
      <c r="E6243" s="439">
        <v>2</v>
      </c>
      <c r="F6243" s="1350">
        <v>7.0699999999999994</v>
      </c>
      <c r="G6243" s="1350">
        <v>0.61</v>
      </c>
      <c r="H6243" s="1350">
        <v>0.82299999999999995</v>
      </c>
      <c r="I6243" s="399">
        <f t="shared" si="227"/>
        <v>7.1</v>
      </c>
      <c r="J6243" s="442"/>
      <c r="K6243" s="1263">
        <v>7.0987041999999985</v>
      </c>
      <c r="L6243" s="461"/>
      <c r="M6243" s="461"/>
      <c r="N6243" s="461"/>
    </row>
    <row r="6244" spans="1:14" s="462" customFormat="1" hidden="1" outlineLevel="1">
      <c r="A6244" s="1261"/>
      <c r="B6244" s="260"/>
      <c r="C6244" s="457"/>
      <c r="D6244" s="440"/>
      <c r="E6244" s="439"/>
      <c r="F6244" s="1350"/>
      <c r="G6244" s="1350"/>
      <c r="H6244" s="1350"/>
      <c r="I6244" s="399" t="str">
        <f t="shared" si="227"/>
        <v/>
      </c>
      <c r="J6244" s="442"/>
      <c r="K6244" s="1263">
        <v>0</v>
      </c>
      <c r="L6244" s="461"/>
      <c r="M6244" s="461"/>
      <c r="N6244" s="461"/>
    </row>
    <row r="6245" spans="1:14" s="462" customFormat="1" hidden="1" outlineLevel="1">
      <c r="A6245" s="1261"/>
      <c r="B6245" s="260"/>
      <c r="C6245" s="457" t="s">
        <v>2</v>
      </c>
      <c r="D6245" s="440">
        <v>1</v>
      </c>
      <c r="E6245" s="439">
        <v>2</v>
      </c>
      <c r="F6245" s="1350">
        <v>1.1950000000000001</v>
      </c>
      <c r="G6245" s="1350">
        <v>0.61</v>
      </c>
      <c r="H6245" s="1350">
        <v>0.82299999999999995</v>
      </c>
      <c r="I6245" s="399">
        <f t="shared" si="227"/>
        <v>1.2</v>
      </c>
      <c r="J6245" s="442"/>
      <c r="K6245" s="1263">
        <v>1.1998517</v>
      </c>
      <c r="L6245" s="461"/>
      <c r="M6245" s="461"/>
      <c r="N6245" s="461"/>
    </row>
    <row r="6246" spans="1:14" s="462" customFormat="1" hidden="1" outlineLevel="1">
      <c r="A6246" s="1261"/>
      <c r="B6246" s="260"/>
      <c r="C6246" s="457"/>
      <c r="D6246" s="440"/>
      <c r="E6246" s="439"/>
      <c r="F6246" s="1350"/>
      <c r="G6246" s="1350"/>
      <c r="H6246" s="1350"/>
      <c r="I6246" s="399" t="str">
        <f t="shared" si="227"/>
        <v/>
      </c>
      <c r="J6246" s="442"/>
      <c r="K6246" s="1263"/>
      <c r="L6246" s="461"/>
      <c r="M6246" s="461"/>
      <c r="N6246" s="461"/>
    </row>
    <row r="6247" spans="1:14" s="462" customFormat="1" hidden="1" outlineLevel="1">
      <c r="A6247" s="1261"/>
      <c r="B6247" s="260" t="s">
        <v>498</v>
      </c>
      <c r="C6247" s="457"/>
      <c r="D6247" s="440"/>
      <c r="E6247" s="439"/>
      <c r="F6247" s="1350"/>
      <c r="G6247" s="1350"/>
      <c r="H6247" s="1350"/>
      <c r="I6247" s="399" t="str">
        <f t="shared" si="227"/>
        <v/>
      </c>
      <c r="J6247" s="442"/>
      <c r="K6247" s="1263"/>
      <c r="L6247" s="461"/>
      <c r="M6247" s="461"/>
      <c r="N6247" s="461"/>
    </row>
    <row r="6248" spans="1:14" s="462" customFormat="1" hidden="1" outlineLevel="1">
      <c r="A6248" s="1261"/>
      <c r="B6248" s="260"/>
      <c r="C6248" s="457"/>
      <c r="D6248" s="440"/>
      <c r="E6248" s="439"/>
      <c r="F6248" s="1350"/>
      <c r="G6248" s="1350"/>
      <c r="H6248" s="1350"/>
      <c r="I6248" s="399" t="str">
        <f t="shared" si="227"/>
        <v/>
      </c>
      <c r="J6248" s="442"/>
      <c r="K6248" s="1263"/>
      <c r="L6248" s="461"/>
      <c r="M6248" s="461"/>
      <c r="N6248" s="461"/>
    </row>
    <row r="6249" spans="1:14" s="462" customFormat="1" hidden="1" outlineLevel="1">
      <c r="A6249" s="1261"/>
      <c r="B6249" s="260" t="s">
        <v>507</v>
      </c>
      <c r="C6249" s="457" t="s">
        <v>2</v>
      </c>
      <c r="D6249" s="440">
        <v>1</v>
      </c>
      <c r="E6249" s="439">
        <v>1</v>
      </c>
      <c r="F6249" s="1350">
        <v>5.42</v>
      </c>
      <c r="G6249" s="1350">
        <v>0.61</v>
      </c>
      <c r="H6249" s="1350">
        <v>0.82299999999999995</v>
      </c>
      <c r="I6249" s="399">
        <f t="shared" si="227"/>
        <v>2.72</v>
      </c>
      <c r="J6249" s="442"/>
      <c r="K6249" s="1263">
        <v>2.7210025999999998</v>
      </c>
      <c r="L6249" s="461"/>
      <c r="M6249" s="461"/>
      <c r="N6249" s="461"/>
    </row>
    <row r="6250" spans="1:14" s="462" customFormat="1" hidden="1" outlineLevel="1">
      <c r="A6250" s="1261"/>
      <c r="B6250" s="260"/>
      <c r="C6250" s="457"/>
      <c r="D6250" s="440"/>
      <c r="E6250" s="439"/>
      <c r="F6250" s="1350"/>
      <c r="G6250" s="1350"/>
      <c r="H6250" s="1350"/>
      <c r="I6250" s="399" t="str">
        <f t="shared" si="227"/>
        <v/>
      </c>
      <c r="J6250" s="442"/>
      <c r="K6250" s="1263"/>
      <c r="L6250" s="461"/>
      <c r="M6250" s="461"/>
      <c r="N6250" s="461"/>
    </row>
    <row r="6251" spans="1:14" s="462" customFormat="1" hidden="1" outlineLevel="1">
      <c r="A6251" s="1261"/>
      <c r="B6251" s="260"/>
      <c r="C6251" s="457" t="s">
        <v>2</v>
      </c>
      <c r="D6251" s="440">
        <v>1</v>
      </c>
      <c r="E6251" s="439">
        <v>1</v>
      </c>
      <c r="F6251" s="1350">
        <v>2.81</v>
      </c>
      <c r="G6251" s="1350">
        <v>0.61</v>
      </c>
      <c r="H6251" s="1350">
        <v>0.82299999999999995</v>
      </c>
      <c r="I6251" s="399">
        <f t="shared" si="227"/>
        <v>1.41</v>
      </c>
      <c r="J6251" s="442"/>
      <c r="K6251" s="1263">
        <v>1.4107042999999999</v>
      </c>
      <c r="L6251" s="461"/>
      <c r="M6251" s="461"/>
      <c r="N6251" s="461"/>
    </row>
    <row r="6252" spans="1:14" s="462" customFormat="1" hidden="1" outlineLevel="1">
      <c r="A6252" s="1261"/>
      <c r="B6252" s="260"/>
      <c r="C6252" s="457"/>
      <c r="D6252" s="440"/>
      <c r="E6252" s="439"/>
      <c r="F6252" s="1350"/>
      <c r="G6252" s="1350"/>
      <c r="H6252" s="1350"/>
      <c r="I6252" s="399" t="str">
        <f t="shared" si="227"/>
        <v/>
      </c>
      <c r="J6252" s="442"/>
      <c r="K6252" s="1263"/>
      <c r="L6252" s="461"/>
      <c r="M6252" s="461"/>
      <c r="N6252" s="461"/>
    </row>
    <row r="6253" spans="1:14" s="462" customFormat="1" hidden="1" outlineLevel="1">
      <c r="A6253" s="1261"/>
      <c r="B6253" s="260"/>
      <c r="C6253" s="457" t="s">
        <v>2</v>
      </c>
      <c r="D6253" s="440">
        <v>1</v>
      </c>
      <c r="E6253" s="439">
        <v>1</v>
      </c>
      <c r="F6253" s="1350">
        <v>4.01</v>
      </c>
      <c r="G6253" s="1350">
        <v>0.61</v>
      </c>
      <c r="H6253" s="1350">
        <v>0.82299999999999995</v>
      </c>
      <c r="I6253" s="399">
        <f t="shared" si="227"/>
        <v>2.0099999999999998</v>
      </c>
      <c r="J6253" s="442"/>
      <c r="K6253" s="1263">
        <v>2.0131402999999999</v>
      </c>
      <c r="L6253" s="461"/>
      <c r="M6253" s="461"/>
      <c r="N6253" s="461"/>
    </row>
    <row r="6254" spans="1:14" s="462" customFormat="1" hidden="1" outlineLevel="1">
      <c r="A6254" s="1261"/>
      <c r="B6254" s="260"/>
      <c r="C6254" s="457"/>
      <c r="D6254" s="440"/>
      <c r="E6254" s="439"/>
      <c r="F6254" s="1350"/>
      <c r="G6254" s="1350"/>
      <c r="H6254" s="1350"/>
      <c r="I6254" s="399" t="str">
        <f t="shared" si="227"/>
        <v/>
      </c>
      <c r="J6254" s="442"/>
      <c r="K6254" s="1263"/>
      <c r="L6254" s="461"/>
      <c r="M6254" s="461"/>
      <c r="N6254" s="461"/>
    </row>
    <row r="6255" spans="1:14" s="462" customFormat="1" hidden="1" outlineLevel="1">
      <c r="A6255" s="1261"/>
      <c r="B6255" s="260"/>
      <c r="C6255" s="457" t="s">
        <v>2</v>
      </c>
      <c r="D6255" s="440">
        <v>1</v>
      </c>
      <c r="E6255" s="439">
        <v>1</v>
      </c>
      <c r="F6255" s="1350">
        <v>1.27</v>
      </c>
      <c r="G6255" s="1350">
        <v>0.61</v>
      </c>
      <c r="H6255" s="1350">
        <v>0.82299999999999995</v>
      </c>
      <c r="I6255" s="399">
        <f t="shared" si="227"/>
        <v>0.64</v>
      </c>
      <c r="J6255" s="442"/>
      <c r="K6255" s="1263">
        <v>0.63757809999999993</v>
      </c>
      <c r="L6255" s="461"/>
      <c r="M6255" s="461"/>
      <c r="N6255" s="461"/>
    </row>
    <row r="6256" spans="1:14" s="462" customFormat="1" hidden="1" outlineLevel="1">
      <c r="A6256" s="1261"/>
      <c r="B6256" s="260"/>
      <c r="C6256" s="457"/>
      <c r="D6256" s="440"/>
      <c r="E6256" s="439"/>
      <c r="F6256" s="1350"/>
      <c r="G6256" s="1350"/>
      <c r="H6256" s="1350"/>
      <c r="I6256" s="399" t="str">
        <f t="shared" si="227"/>
        <v/>
      </c>
      <c r="J6256" s="442"/>
      <c r="K6256" s="1263">
        <v>0</v>
      </c>
      <c r="L6256" s="461"/>
      <c r="M6256" s="461"/>
      <c r="N6256" s="461"/>
    </row>
    <row r="6257" spans="1:14" s="462" customFormat="1" hidden="1" outlineLevel="1">
      <c r="A6257" s="1261"/>
      <c r="B6257" s="260"/>
      <c r="C6257" s="457" t="s">
        <v>2</v>
      </c>
      <c r="D6257" s="440">
        <v>1</v>
      </c>
      <c r="E6257" s="439">
        <v>2</v>
      </c>
      <c r="F6257" s="1350">
        <v>4.6700000000000008</v>
      </c>
      <c r="G6257" s="1350">
        <v>0.61</v>
      </c>
      <c r="H6257" s="1350">
        <v>0.82299999999999995</v>
      </c>
      <c r="I6257" s="399">
        <f t="shared" si="227"/>
        <v>4.6900000000000004</v>
      </c>
      <c r="J6257" s="442"/>
      <c r="K6257" s="1263">
        <v>4.6889602000000004</v>
      </c>
      <c r="L6257" s="461"/>
      <c r="M6257" s="461"/>
      <c r="N6257" s="461"/>
    </row>
    <row r="6258" spans="1:14" s="462" customFormat="1" hidden="1" outlineLevel="1">
      <c r="A6258" s="1261"/>
      <c r="B6258" s="260"/>
      <c r="C6258" s="457"/>
      <c r="D6258" s="440"/>
      <c r="E6258" s="439"/>
      <c r="F6258" s="1350"/>
      <c r="G6258" s="1350"/>
      <c r="H6258" s="1350"/>
      <c r="I6258" s="399" t="str">
        <f t="shared" si="227"/>
        <v/>
      </c>
      <c r="J6258" s="442"/>
      <c r="K6258" s="1263"/>
      <c r="L6258" s="461"/>
      <c r="M6258" s="461"/>
      <c r="N6258" s="461"/>
    </row>
    <row r="6259" spans="1:14" s="462" customFormat="1" hidden="1" outlineLevel="1">
      <c r="A6259" s="1261"/>
      <c r="B6259" s="260"/>
      <c r="C6259" s="457" t="s">
        <v>2</v>
      </c>
      <c r="D6259" s="440">
        <v>1</v>
      </c>
      <c r="E6259" s="439">
        <v>1</v>
      </c>
      <c r="F6259" s="1350">
        <v>0.99</v>
      </c>
      <c r="G6259" s="1350">
        <v>0.61</v>
      </c>
      <c r="H6259" s="1350">
        <v>0.82299999999999995</v>
      </c>
      <c r="I6259" s="399">
        <f t="shared" si="227"/>
        <v>0.5</v>
      </c>
      <c r="J6259" s="442"/>
      <c r="K6259" s="1263">
        <v>0.49700969999999994</v>
      </c>
      <c r="L6259" s="461"/>
      <c r="M6259" s="461"/>
      <c r="N6259" s="461"/>
    </row>
    <row r="6260" spans="1:14" s="462" customFormat="1" hidden="1" outlineLevel="1">
      <c r="A6260" s="1261"/>
      <c r="B6260" s="260"/>
      <c r="C6260" s="457"/>
      <c r="D6260" s="440"/>
      <c r="E6260" s="439"/>
      <c r="F6260" s="1350"/>
      <c r="G6260" s="1350"/>
      <c r="H6260" s="1350"/>
      <c r="I6260" s="399" t="str">
        <f t="shared" si="227"/>
        <v/>
      </c>
      <c r="J6260" s="442"/>
      <c r="K6260" s="1263"/>
      <c r="L6260" s="461"/>
      <c r="M6260" s="461"/>
      <c r="N6260" s="461"/>
    </row>
    <row r="6261" spans="1:14" s="462" customFormat="1" hidden="1" outlineLevel="1">
      <c r="A6261" s="1261"/>
      <c r="B6261" s="260"/>
      <c r="C6261" s="457" t="s">
        <v>2</v>
      </c>
      <c r="D6261" s="440">
        <v>1</v>
      </c>
      <c r="E6261" s="439">
        <v>1</v>
      </c>
      <c r="F6261" s="1350">
        <v>4.29</v>
      </c>
      <c r="G6261" s="1350">
        <v>0.61</v>
      </c>
      <c r="H6261" s="1350">
        <v>0.82299999999999995</v>
      </c>
      <c r="I6261" s="399">
        <f t="shared" si="227"/>
        <v>2.15</v>
      </c>
      <c r="J6261" s="442"/>
      <c r="K6261" s="1263">
        <v>2.1537086999999997</v>
      </c>
      <c r="L6261" s="461"/>
      <c r="M6261" s="461"/>
      <c r="N6261" s="461"/>
    </row>
    <row r="6262" spans="1:14" s="462" customFormat="1" hidden="1" outlineLevel="1">
      <c r="A6262" s="1261"/>
      <c r="B6262" s="260"/>
      <c r="C6262" s="457"/>
      <c r="D6262" s="440"/>
      <c r="E6262" s="439"/>
      <c r="F6262" s="1350"/>
      <c r="G6262" s="1350"/>
      <c r="H6262" s="1350"/>
      <c r="I6262" s="399" t="str">
        <f t="shared" si="227"/>
        <v/>
      </c>
      <c r="J6262" s="442"/>
      <c r="K6262" s="1263"/>
      <c r="L6262" s="461"/>
      <c r="M6262" s="461"/>
      <c r="N6262" s="461"/>
    </row>
    <row r="6263" spans="1:14" s="462" customFormat="1" hidden="1" outlineLevel="1">
      <c r="A6263" s="1261"/>
      <c r="B6263" s="260" t="s">
        <v>213</v>
      </c>
      <c r="C6263" s="457" t="s">
        <v>2</v>
      </c>
      <c r="D6263" s="440">
        <v>1</v>
      </c>
      <c r="E6263" s="439">
        <v>1</v>
      </c>
      <c r="F6263" s="1350">
        <v>1.8900000000000001</v>
      </c>
      <c r="G6263" s="1350">
        <v>0.61</v>
      </c>
      <c r="H6263" s="1350">
        <v>0.82299999999999995</v>
      </c>
      <c r="I6263" s="399">
        <f t="shared" si="227"/>
        <v>0.95</v>
      </c>
      <c r="J6263" s="442"/>
      <c r="K6263" s="1263">
        <v>0.94883669999999998</v>
      </c>
      <c r="L6263" s="461"/>
      <c r="M6263" s="461"/>
      <c r="N6263" s="461"/>
    </row>
    <row r="6264" spans="1:14" s="462" customFormat="1" hidden="1" outlineLevel="1">
      <c r="A6264" s="1261"/>
      <c r="B6264" s="260"/>
      <c r="C6264" s="457"/>
      <c r="D6264" s="440"/>
      <c r="E6264" s="439"/>
      <c r="F6264" s="1350"/>
      <c r="G6264" s="1350"/>
      <c r="H6264" s="1350"/>
      <c r="I6264" s="399" t="str">
        <f t="shared" si="227"/>
        <v/>
      </c>
      <c r="J6264" s="442"/>
      <c r="K6264" s="1263">
        <v>0</v>
      </c>
      <c r="L6264" s="461"/>
      <c r="M6264" s="461"/>
      <c r="N6264" s="461"/>
    </row>
    <row r="6265" spans="1:14" s="462" customFormat="1" hidden="1" outlineLevel="1">
      <c r="A6265" s="1261"/>
      <c r="B6265" s="260"/>
      <c r="C6265" s="457" t="s">
        <v>2</v>
      </c>
      <c r="D6265" s="440">
        <v>1</v>
      </c>
      <c r="E6265" s="439">
        <v>1</v>
      </c>
      <c r="F6265" s="1350">
        <v>3.69</v>
      </c>
      <c r="G6265" s="1350">
        <v>0.61</v>
      </c>
      <c r="H6265" s="1350">
        <v>0.82299999999999995</v>
      </c>
      <c r="I6265" s="399">
        <f t="shared" si="227"/>
        <v>1.85</v>
      </c>
      <c r="J6265" s="442"/>
      <c r="K6265" s="1263">
        <v>1.8524906999999999</v>
      </c>
      <c r="L6265" s="461"/>
      <c r="M6265" s="461"/>
      <c r="N6265" s="461"/>
    </row>
    <row r="6266" spans="1:14" s="462" customFormat="1" hidden="1" outlineLevel="1">
      <c r="A6266" s="1261"/>
      <c r="B6266" s="260"/>
      <c r="C6266" s="457"/>
      <c r="D6266" s="440"/>
      <c r="E6266" s="439"/>
      <c r="F6266" s="1350"/>
      <c r="G6266" s="1350"/>
      <c r="H6266" s="1350"/>
      <c r="I6266" s="399" t="str">
        <f t="shared" si="227"/>
        <v/>
      </c>
      <c r="J6266" s="442"/>
      <c r="K6266" s="1263">
        <v>0</v>
      </c>
      <c r="L6266" s="461"/>
      <c r="M6266" s="461"/>
      <c r="N6266" s="461"/>
    </row>
    <row r="6267" spans="1:14" s="462" customFormat="1" hidden="1" outlineLevel="1">
      <c r="A6267" s="1261"/>
      <c r="B6267" s="260"/>
      <c r="C6267" s="457" t="s">
        <v>2</v>
      </c>
      <c r="D6267" s="440">
        <v>1</v>
      </c>
      <c r="E6267" s="439">
        <v>1</v>
      </c>
      <c r="F6267" s="1350">
        <v>4.8900000000000006</v>
      </c>
      <c r="G6267" s="1350">
        <v>0.61</v>
      </c>
      <c r="H6267" s="1350">
        <v>0.82299999999999995</v>
      </c>
      <c r="I6267" s="399">
        <f t="shared" si="227"/>
        <v>2.4500000000000002</v>
      </c>
      <c r="J6267" s="442"/>
      <c r="K6267" s="1263">
        <v>2.4549267000000001</v>
      </c>
      <c r="L6267" s="461"/>
      <c r="M6267" s="461"/>
      <c r="N6267" s="461"/>
    </row>
    <row r="6268" spans="1:14" s="462" customFormat="1" hidden="1" outlineLevel="1">
      <c r="A6268" s="1261"/>
      <c r="B6268" s="260"/>
      <c r="C6268" s="457"/>
      <c r="D6268" s="440"/>
      <c r="E6268" s="439"/>
      <c r="F6268" s="1350"/>
      <c r="G6268" s="1350"/>
      <c r="H6268" s="1350"/>
      <c r="I6268" s="399" t="str">
        <f t="shared" si="227"/>
        <v/>
      </c>
      <c r="J6268" s="442"/>
      <c r="K6268" s="1263"/>
      <c r="L6268" s="461"/>
      <c r="M6268" s="461"/>
      <c r="N6268" s="461"/>
    </row>
    <row r="6269" spans="1:14" s="462" customFormat="1" hidden="1" outlineLevel="1">
      <c r="A6269" s="1261"/>
      <c r="B6269" s="260" t="s">
        <v>214</v>
      </c>
      <c r="C6269" s="457" t="s">
        <v>2</v>
      </c>
      <c r="D6269" s="440">
        <v>1</v>
      </c>
      <c r="E6269" s="439">
        <v>1</v>
      </c>
      <c r="F6269" s="1350">
        <v>6.1700000000000008</v>
      </c>
      <c r="G6269" s="1350">
        <v>0.61</v>
      </c>
      <c r="H6269" s="1350">
        <v>0.82299999999999995</v>
      </c>
      <c r="I6269" s="399">
        <f t="shared" si="227"/>
        <v>3.1</v>
      </c>
      <c r="J6269" s="442"/>
      <c r="K6269" s="1263">
        <v>3.0975251000000004</v>
      </c>
      <c r="L6269" s="461"/>
      <c r="M6269" s="461"/>
      <c r="N6269" s="461"/>
    </row>
    <row r="6270" spans="1:14" s="462" customFormat="1" hidden="1" outlineLevel="1">
      <c r="A6270" s="1261"/>
      <c r="B6270" s="260"/>
      <c r="C6270" s="457"/>
      <c r="D6270" s="440"/>
      <c r="E6270" s="439"/>
      <c r="F6270" s="1350"/>
      <c r="G6270" s="1350"/>
      <c r="H6270" s="1350"/>
      <c r="I6270" s="399" t="str">
        <f t="shared" si="227"/>
        <v/>
      </c>
      <c r="J6270" s="442"/>
      <c r="K6270" s="1263">
        <v>0</v>
      </c>
      <c r="L6270" s="461"/>
      <c r="M6270" s="461"/>
      <c r="N6270" s="461"/>
    </row>
    <row r="6271" spans="1:14" s="462" customFormat="1" hidden="1" outlineLevel="1">
      <c r="A6271" s="1261"/>
      <c r="B6271" s="260"/>
      <c r="C6271" s="457" t="s">
        <v>2</v>
      </c>
      <c r="D6271" s="440">
        <v>1</v>
      </c>
      <c r="E6271" s="439">
        <v>1</v>
      </c>
      <c r="F6271" s="1350">
        <v>1.21</v>
      </c>
      <c r="G6271" s="1350">
        <v>0.61</v>
      </c>
      <c r="H6271" s="1350">
        <v>0.82299999999999995</v>
      </c>
      <c r="I6271" s="399">
        <f t="shared" si="227"/>
        <v>0.61</v>
      </c>
      <c r="J6271" s="442"/>
      <c r="K6271" s="1263">
        <v>0.60745629999999995</v>
      </c>
      <c r="L6271" s="461"/>
      <c r="M6271" s="461"/>
      <c r="N6271" s="461"/>
    </row>
    <row r="6272" spans="1:14" s="462" customFormat="1" hidden="1" outlineLevel="1">
      <c r="A6272" s="1261"/>
      <c r="B6272" s="260"/>
      <c r="C6272" s="457"/>
      <c r="D6272" s="440"/>
      <c r="E6272" s="439"/>
      <c r="F6272" s="1350"/>
      <c r="G6272" s="1350"/>
      <c r="H6272" s="1350"/>
      <c r="I6272" s="399" t="str">
        <f t="shared" si="227"/>
        <v/>
      </c>
      <c r="J6272" s="442"/>
      <c r="K6272" s="1263">
        <v>0</v>
      </c>
      <c r="L6272" s="461"/>
      <c r="M6272" s="461"/>
      <c r="N6272" s="461"/>
    </row>
    <row r="6273" spans="1:14" s="462" customFormat="1" hidden="1" outlineLevel="1">
      <c r="A6273" s="1261"/>
      <c r="B6273" s="260"/>
      <c r="C6273" s="457" t="s">
        <v>2</v>
      </c>
      <c r="D6273" s="440">
        <v>1</v>
      </c>
      <c r="E6273" s="439">
        <v>2</v>
      </c>
      <c r="F6273" s="1350">
        <v>6.7700000000000005</v>
      </c>
      <c r="G6273" s="1350">
        <v>0.61</v>
      </c>
      <c r="H6273" s="1350">
        <v>0.82299999999999995</v>
      </c>
      <c r="I6273" s="399">
        <f t="shared" si="227"/>
        <v>6.8</v>
      </c>
      <c r="J6273" s="442"/>
      <c r="K6273" s="1263">
        <v>6.7974862000000007</v>
      </c>
      <c r="L6273" s="461"/>
      <c r="M6273" s="461"/>
      <c r="N6273" s="461"/>
    </row>
    <row r="6274" spans="1:14" s="462" customFormat="1" hidden="1" outlineLevel="1">
      <c r="A6274" s="1261"/>
      <c r="B6274" s="260"/>
      <c r="C6274" s="457"/>
      <c r="D6274" s="440"/>
      <c r="E6274" s="439"/>
      <c r="F6274" s="1350"/>
      <c r="G6274" s="1350"/>
      <c r="H6274" s="1350"/>
      <c r="I6274" s="399" t="str">
        <f t="shared" si="227"/>
        <v/>
      </c>
      <c r="J6274" s="442"/>
      <c r="K6274" s="1263">
        <v>0</v>
      </c>
      <c r="L6274" s="461"/>
      <c r="M6274" s="461"/>
      <c r="N6274" s="461"/>
    </row>
    <row r="6275" spans="1:14" s="462" customFormat="1" hidden="1" outlineLevel="1">
      <c r="A6275" s="1261"/>
      <c r="B6275" s="260"/>
      <c r="C6275" s="457" t="s">
        <v>2</v>
      </c>
      <c r="D6275" s="440">
        <v>1</v>
      </c>
      <c r="E6275" s="439">
        <v>1</v>
      </c>
      <c r="F6275" s="1350">
        <v>1.81</v>
      </c>
      <c r="G6275" s="1350">
        <v>0.61</v>
      </c>
      <c r="H6275" s="1350">
        <v>0.82299999999999995</v>
      </c>
      <c r="I6275" s="399">
        <f t="shared" si="227"/>
        <v>0.91</v>
      </c>
      <c r="J6275" s="442"/>
      <c r="K6275" s="1263">
        <v>0.90867430000000005</v>
      </c>
      <c r="L6275" s="461"/>
      <c r="M6275" s="461"/>
      <c r="N6275" s="461"/>
    </row>
    <row r="6276" spans="1:14" s="462" customFormat="1" hidden="1" outlineLevel="1">
      <c r="A6276" s="1261"/>
      <c r="B6276" s="260"/>
      <c r="C6276" s="457"/>
      <c r="D6276" s="440"/>
      <c r="E6276" s="439"/>
      <c r="F6276" s="1350"/>
      <c r="G6276" s="1350"/>
      <c r="H6276" s="1350"/>
      <c r="I6276" s="399" t="str">
        <f t="shared" si="227"/>
        <v/>
      </c>
      <c r="J6276" s="442"/>
      <c r="K6276" s="1263">
        <v>0</v>
      </c>
      <c r="L6276" s="461"/>
      <c r="M6276" s="461"/>
      <c r="N6276" s="461"/>
    </row>
    <row r="6277" spans="1:14" s="462" customFormat="1" hidden="1" outlineLevel="1">
      <c r="A6277" s="1261"/>
      <c r="B6277" s="260"/>
      <c r="C6277" s="457" t="s">
        <v>2</v>
      </c>
      <c r="D6277" s="440">
        <v>1</v>
      </c>
      <c r="E6277" s="439">
        <v>1</v>
      </c>
      <c r="F6277" s="1350">
        <v>10.58</v>
      </c>
      <c r="G6277" s="1350">
        <v>0.61</v>
      </c>
      <c r="H6277" s="1350">
        <v>0.82299999999999995</v>
      </c>
      <c r="I6277" s="399">
        <f t="shared" si="227"/>
        <v>5.31</v>
      </c>
      <c r="J6277" s="442"/>
      <c r="K6277" s="1263">
        <v>5.3114774000000002</v>
      </c>
      <c r="L6277" s="461"/>
      <c r="M6277" s="461"/>
      <c r="N6277" s="461"/>
    </row>
    <row r="6278" spans="1:14" s="462" customFormat="1" hidden="1" outlineLevel="1">
      <c r="A6278" s="1261"/>
      <c r="B6278" s="260" t="s">
        <v>491</v>
      </c>
      <c r="C6278" s="457" t="s">
        <v>2</v>
      </c>
      <c r="D6278" s="440">
        <v>1</v>
      </c>
      <c r="E6278" s="439">
        <v>5</v>
      </c>
      <c r="F6278" s="1350">
        <v>3.3</v>
      </c>
      <c r="G6278" s="1350">
        <v>0.22</v>
      </c>
      <c r="H6278" s="1350">
        <v>0.82299999999999995</v>
      </c>
      <c r="I6278" s="399">
        <f t="shared" si="227"/>
        <v>2.99</v>
      </c>
      <c r="J6278" s="442"/>
      <c r="K6278" s="1263">
        <v>2.9874899999999998</v>
      </c>
      <c r="L6278" s="461"/>
      <c r="M6278" s="461"/>
      <c r="N6278" s="461"/>
    </row>
    <row r="6279" spans="1:14" s="462" customFormat="1" hidden="1" outlineLevel="1">
      <c r="A6279" s="1261"/>
      <c r="B6279" s="260"/>
      <c r="C6279" s="457"/>
      <c r="D6279" s="440"/>
      <c r="E6279" s="439"/>
      <c r="F6279" s="1350"/>
      <c r="G6279" s="1350"/>
      <c r="H6279" s="1350"/>
      <c r="I6279" s="399" t="str">
        <f t="shared" si="227"/>
        <v/>
      </c>
      <c r="J6279" s="442"/>
      <c r="K6279" s="1263"/>
      <c r="L6279" s="461"/>
      <c r="M6279" s="461"/>
      <c r="N6279" s="461"/>
    </row>
    <row r="6280" spans="1:14" s="462" customFormat="1" hidden="1" outlineLevel="1">
      <c r="A6280" s="1261"/>
      <c r="B6280" s="260" t="s">
        <v>215</v>
      </c>
      <c r="C6280" s="457"/>
      <c r="D6280" s="440"/>
      <c r="E6280" s="439"/>
      <c r="F6280" s="1350"/>
      <c r="G6280" s="1350"/>
      <c r="H6280" s="1350"/>
      <c r="I6280" s="399" t="str">
        <f t="shared" si="227"/>
        <v/>
      </c>
      <c r="J6280" s="442"/>
      <c r="K6280" s="1263"/>
      <c r="L6280" s="461"/>
      <c r="M6280" s="461"/>
      <c r="N6280" s="461"/>
    </row>
    <row r="6281" spans="1:14" s="462" customFormat="1" hidden="1" outlineLevel="1">
      <c r="A6281" s="1261"/>
      <c r="B6281" s="260"/>
      <c r="C6281" s="457" t="s">
        <v>2</v>
      </c>
      <c r="D6281" s="440">
        <v>1</v>
      </c>
      <c r="E6281" s="439">
        <v>7</v>
      </c>
      <c r="F6281" s="1350">
        <v>0.61499999999999999</v>
      </c>
      <c r="G6281" s="1350">
        <v>0.61</v>
      </c>
      <c r="H6281" s="1350">
        <v>0.82299999999999995</v>
      </c>
      <c r="I6281" s="399">
        <f t="shared" si="227"/>
        <v>2.16</v>
      </c>
      <c r="J6281" s="442"/>
      <c r="K6281" s="1263">
        <v>2.1612391499999997</v>
      </c>
      <c r="L6281" s="461"/>
      <c r="M6281" s="461"/>
      <c r="N6281" s="461"/>
    </row>
    <row r="6282" spans="1:14" s="462" customFormat="1" hidden="1" outlineLevel="1">
      <c r="A6282" s="1261"/>
      <c r="B6282" s="260"/>
      <c r="C6282" s="457"/>
      <c r="D6282" s="440"/>
      <c r="E6282" s="439"/>
      <c r="F6282" s="1350"/>
      <c r="G6282" s="1350"/>
      <c r="H6282" s="1350"/>
      <c r="I6282" s="399" t="str">
        <f t="shared" si="227"/>
        <v/>
      </c>
      <c r="J6282" s="442"/>
      <c r="K6282" s="1263">
        <v>0</v>
      </c>
      <c r="L6282" s="461"/>
      <c r="M6282" s="461"/>
      <c r="N6282" s="461"/>
    </row>
    <row r="6283" spans="1:14" s="462" customFormat="1" hidden="1" outlineLevel="1">
      <c r="A6283" s="1261"/>
      <c r="B6283" s="260"/>
      <c r="C6283" s="457" t="s">
        <v>2</v>
      </c>
      <c r="D6283" s="440">
        <v>1</v>
      </c>
      <c r="E6283" s="439">
        <v>1</v>
      </c>
      <c r="F6283" s="1350">
        <v>1.5349999999999999</v>
      </c>
      <c r="G6283" s="1350">
        <v>0.61</v>
      </c>
      <c r="H6283" s="1350">
        <v>0.82299999999999995</v>
      </c>
      <c r="I6283" s="399">
        <f t="shared" si="227"/>
        <v>0.77</v>
      </c>
      <c r="J6283" s="442"/>
      <c r="K6283" s="1263">
        <v>1.0718340499999999</v>
      </c>
      <c r="L6283" s="461"/>
      <c r="M6283" s="461"/>
      <c r="N6283" s="461"/>
    </row>
    <row r="6284" spans="1:14" s="462" customFormat="1" hidden="1" outlineLevel="1">
      <c r="A6284" s="1261"/>
      <c r="B6284" s="260"/>
      <c r="C6284" s="457"/>
      <c r="D6284" s="440"/>
      <c r="E6284" s="439"/>
      <c r="F6284" s="1350"/>
      <c r="G6284" s="1350"/>
      <c r="H6284" s="1350"/>
      <c r="I6284" s="399" t="str">
        <f t="shared" si="227"/>
        <v/>
      </c>
      <c r="J6284" s="442"/>
      <c r="K6284" s="1263">
        <v>0</v>
      </c>
      <c r="L6284" s="461"/>
      <c r="M6284" s="461"/>
      <c r="N6284" s="461"/>
    </row>
    <row r="6285" spans="1:14" s="462" customFormat="1" hidden="1" outlineLevel="1">
      <c r="A6285" s="1261"/>
      <c r="B6285" s="260"/>
      <c r="C6285" s="457" t="s">
        <v>2</v>
      </c>
      <c r="D6285" s="440">
        <v>1</v>
      </c>
      <c r="E6285" s="439">
        <v>1</v>
      </c>
      <c r="F6285" s="1350">
        <v>0.30000000000000004</v>
      </c>
      <c r="G6285" s="1350">
        <v>0.61</v>
      </c>
      <c r="H6285" s="1350">
        <v>0.82299999999999995</v>
      </c>
      <c r="I6285" s="399">
        <f t="shared" si="227"/>
        <v>0.15</v>
      </c>
      <c r="J6285" s="442"/>
      <c r="K6285" s="1263">
        <v>0.15060900000000002</v>
      </c>
      <c r="L6285" s="461"/>
      <c r="M6285" s="461"/>
      <c r="N6285" s="461"/>
    </row>
    <row r="6286" spans="1:14" s="462" customFormat="1" hidden="1" outlineLevel="1">
      <c r="A6286" s="1261"/>
      <c r="B6286" s="260"/>
      <c r="C6286" s="457"/>
      <c r="D6286" s="440"/>
      <c r="E6286" s="439"/>
      <c r="F6286" s="1350"/>
      <c r="G6286" s="1350"/>
      <c r="H6286" s="1350"/>
      <c r="I6286" s="399" t="str">
        <f t="shared" si="227"/>
        <v/>
      </c>
      <c r="J6286" s="442"/>
      <c r="K6286" s="1263">
        <v>0</v>
      </c>
      <c r="L6286" s="461"/>
      <c r="M6286" s="461"/>
      <c r="N6286" s="461"/>
    </row>
    <row r="6287" spans="1:14" s="462" customFormat="1" hidden="1" outlineLevel="1">
      <c r="A6287" s="1261"/>
      <c r="B6287" s="260"/>
      <c r="C6287" s="457" t="s">
        <v>2</v>
      </c>
      <c r="D6287" s="440">
        <v>1</v>
      </c>
      <c r="E6287" s="439">
        <v>5</v>
      </c>
      <c r="F6287" s="1350">
        <v>0.90999999999999992</v>
      </c>
      <c r="G6287" s="1350">
        <v>0.61</v>
      </c>
      <c r="H6287" s="1350">
        <v>0.82299999999999995</v>
      </c>
      <c r="I6287" s="399">
        <f t="shared" si="227"/>
        <v>2.2799999999999998</v>
      </c>
      <c r="J6287" s="442"/>
      <c r="K6287" s="1263">
        <v>2.2842364999999996</v>
      </c>
      <c r="L6287" s="461"/>
      <c r="M6287" s="461"/>
      <c r="N6287" s="461"/>
    </row>
    <row r="6288" spans="1:14" s="462" customFormat="1" hidden="1" outlineLevel="1">
      <c r="A6288" s="1261"/>
      <c r="B6288" s="260"/>
      <c r="C6288" s="457"/>
      <c r="D6288" s="440"/>
      <c r="E6288" s="439"/>
      <c r="F6288" s="1350"/>
      <c r="G6288" s="1350"/>
      <c r="H6288" s="1350"/>
      <c r="I6288" s="399" t="str">
        <f t="shared" si="227"/>
        <v/>
      </c>
      <c r="J6288" s="442"/>
      <c r="K6288" s="1263">
        <v>0</v>
      </c>
      <c r="L6288" s="461"/>
      <c r="M6288" s="461"/>
      <c r="N6288" s="461"/>
    </row>
    <row r="6289" spans="1:14" s="462" customFormat="1" hidden="1" outlineLevel="1">
      <c r="A6289" s="1261"/>
      <c r="B6289" s="260"/>
      <c r="C6289" s="457" t="s">
        <v>2</v>
      </c>
      <c r="D6289" s="440">
        <v>1</v>
      </c>
      <c r="E6289" s="439">
        <v>1</v>
      </c>
      <c r="F6289" s="1350">
        <v>3.36</v>
      </c>
      <c r="G6289" s="1350">
        <v>0.61</v>
      </c>
      <c r="H6289" s="1350">
        <v>0.82299999999999995</v>
      </c>
      <c r="I6289" s="399">
        <f t="shared" si="227"/>
        <v>1.69</v>
      </c>
      <c r="J6289" s="442"/>
      <c r="K6289" s="1263">
        <v>1.6868207999999998</v>
      </c>
      <c r="L6289" s="461"/>
      <c r="M6289" s="461"/>
      <c r="N6289" s="461"/>
    </row>
    <row r="6290" spans="1:14" s="462" customFormat="1" hidden="1" outlineLevel="1">
      <c r="A6290" s="1261"/>
      <c r="B6290" s="260"/>
      <c r="C6290" s="457"/>
      <c r="D6290" s="440"/>
      <c r="E6290" s="439"/>
      <c r="F6290" s="1350"/>
      <c r="G6290" s="1350"/>
      <c r="H6290" s="1350"/>
      <c r="I6290" s="399" t="str">
        <f t="shared" si="227"/>
        <v/>
      </c>
      <c r="J6290" s="442"/>
      <c r="K6290" s="1263">
        <v>0</v>
      </c>
      <c r="L6290" s="461"/>
      <c r="M6290" s="461"/>
      <c r="N6290" s="461"/>
    </row>
    <row r="6291" spans="1:14" s="462" customFormat="1" hidden="1" outlineLevel="1">
      <c r="A6291" s="1261"/>
      <c r="B6291" s="260"/>
      <c r="C6291" s="457" t="s">
        <v>2</v>
      </c>
      <c r="D6291" s="440">
        <v>1</v>
      </c>
      <c r="E6291" s="439">
        <v>2</v>
      </c>
      <c r="F6291" s="1350">
        <v>2.1349999999999998</v>
      </c>
      <c r="G6291" s="1350">
        <v>0.61</v>
      </c>
      <c r="H6291" s="1350">
        <v>0.82299999999999995</v>
      </c>
      <c r="I6291" s="399">
        <f t="shared" si="227"/>
        <v>2.14</v>
      </c>
      <c r="J6291" s="442"/>
      <c r="K6291" s="1263">
        <v>2.7561446999999997</v>
      </c>
      <c r="L6291" s="461"/>
      <c r="M6291" s="461"/>
      <c r="N6291" s="461"/>
    </row>
    <row r="6292" spans="1:14" s="462" customFormat="1" hidden="1" outlineLevel="1">
      <c r="A6292" s="1261"/>
      <c r="B6292" s="260"/>
      <c r="C6292" s="457"/>
      <c r="D6292" s="440"/>
      <c r="E6292" s="439"/>
      <c r="F6292" s="1350"/>
      <c r="G6292" s="1350"/>
      <c r="H6292" s="1350"/>
      <c r="I6292" s="399" t="str">
        <f t="shared" si="227"/>
        <v/>
      </c>
      <c r="J6292" s="442"/>
      <c r="K6292" s="1263">
        <v>0</v>
      </c>
      <c r="L6292" s="461"/>
      <c r="M6292" s="461"/>
      <c r="N6292" s="461"/>
    </row>
    <row r="6293" spans="1:14" s="462" customFormat="1" hidden="1" outlineLevel="1">
      <c r="A6293" s="1261"/>
      <c r="B6293" s="260"/>
      <c r="C6293" s="457"/>
      <c r="D6293" s="440"/>
      <c r="E6293" s="439"/>
      <c r="F6293" s="1350"/>
      <c r="G6293" s="1350"/>
      <c r="H6293" s="1350"/>
      <c r="I6293" s="399" t="str">
        <f t="shared" si="227"/>
        <v/>
      </c>
      <c r="J6293" s="442"/>
      <c r="K6293" s="1263">
        <v>0</v>
      </c>
      <c r="L6293" s="461"/>
      <c r="M6293" s="461"/>
      <c r="N6293" s="461"/>
    </row>
    <row r="6294" spans="1:14" s="462" customFormat="1" hidden="1" outlineLevel="1">
      <c r="A6294" s="1261"/>
      <c r="B6294" s="260" t="s">
        <v>508</v>
      </c>
      <c r="C6294" s="457"/>
      <c r="D6294" s="440"/>
      <c r="E6294" s="439"/>
      <c r="F6294" s="1350"/>
      <c r="G6294" s="1350"/>
      <c r="H6294" s="1350"/>
      <c r="I6294" s="399" t="str">
        <f t="shared" si="227"/>
        <v/>
      </c>
      <c r="J6294" s="442"/>
      <c r="K6294" s="1263"/>
      <c r="L6294" s="461"/>
      <c r="M6294" s="461"/>
      <c r="N6294" s="461"/>
    </row>
    <row r="6295" spans="1:14" s="462" customFormat="1" hidden="1" outlineLevel="1">
      <c r="A6295" s="1261"/>
      <c r="B6295" s="260"/>
      <c r="C6295" s="457"/>
      <c r="D6295" s="440"/>
      <c r="E6295" s="439"/>
      <c r="F6295" s="1350"/>
      <c r="G6295" s="1350"/>
      <c r="H6295" s="1350"/>
      <c r="I6295" s="399" t="str">
        <f t="shared" si="227"/>
        <v/>
      </c>
      <c r="J6295" s="442"/>
      <c r="K6295" s="1263"/>
      <c r="L6295" s="461"/>
      <c r="M6295" s="461"/>
      <c r="N6295" s="461"/>
    </row>
    <row r="6296" spans="1:14" s="462" customFormat="1" hidden="1" outlineLevel="1">
      <c r="A6296" s="1261"/>
      <c r="B6296" s="260" t="s">
        <v>509</v>
      </c>
      <c r="C6296" s="457" t="s">
        <v>2</v>
      </c>
      <c r="D6296" s="440">
        <v>1</v>
      </c>
      <c r="E6296" s="439">
        <v>1</v>
      </c>
      <c r="F6296" s="1350">
        <v>11.38</v>
      </c>
      <c r="G6296" s="1350">
        <v>0.61</v>
      </c>
      <c r="H6296" s="1350">
        <v>0.82299999999999995</v>
      </c>
      <c r="I6296" s="399">
        <f t="shared" si="227"/>
        <v>5.71</v>
      </c>
      <c r="J6296" s="442"/>
      <c r="K6296" s="1263">
        <v>5.7131014000000002</v>
      </c>
      <c r="L6296" s="461"/>
      <c r="M6296" s="461"/>
      <c r="N6296" s="461"/>
    </row>
    <row r="6297" spans="1:14" s="462" customFormat="1" hidden="1" outlineLevel="1">
      <c r="A6297" s="1261"/>
      <c r="B6297" s="260"/>
      <c r="C6297" s="457"/>
      <c r="D6297" s="440"/>
      <c r="E6297" s="439"/>
      <c r="F6297" s="1350"/>
      <c r="G6297" s="1350"/>
      <c r="H6297" s="1350"/>
      <c r="I6297" s="399" t="str">
        <f t="shared" si="227"/>
        <v/>
      </c>
      <c r="J6297" s="442"/>
      <c r="K6297" s="1263"/>
      <c r="L6297" s="461"/>
      <c r="M6297" s="461"/>
      <c r="N6297" s="461"/>
    </row>
    <row r="6298" spans="1:14" s="462" customFormat="1" hidden="1" outlineLevel="1">
      <c r="A6298" s="1261"/>
      <c r="B6298" s="260"/>
      <c r="C6298" s="457" t="s">
        <v>2</v>
      </c>
      <c r="D6298" s="440">
        <v>1</v>
      </c>
      <c r="E6298" s="439">
        <v>1</v>
      </c>
      <c r="F6298" s="1350">
        <v>8.77</v>
      </c>
      <c r="G6298" s="1350">
        <v>0.61</v>
      </c>
      <c r="H6298" s="1350">
        <v>0.82299999999999995</v>
      </c>
      <c r="I6298" s="399">
        <f t="shared" si="227"/>
        <v>4.4000000000000004</v>
      </c>
      <c r="J6298" s="442"/>
      <c r="K6298" s="1263">
        <v>4.402803099999999</v>
      </c>
      <c r="L6298" s="461"/>
      <c r="M6298" s="461"/>
      <c r="N6298" s="461"/>
    </row>
    <row r="6299" spans="1:14" s="462" customFormat="1" hidden="1" outlineLevel="1">
      <c r="A6299" s="1261"/>
      <c r="B6299" s="260"/>
      <c r="C6299" s="457"/>
      <c r="D6299" s="440"/>
      <c r="E6299" s="439"/>
      <c r="F6299" s="1350"/>
      <c r="G6299" s="1350"/>
      <c r="H6299" s="1350"/>
      <c r="I6299" s="399" t="str">
        <f t="shared" si="227"/>
        <v/>
      </c>
      <c r="J6299" s="442"/>
      <c r="K6299" s="1263"/>
      <c r="L6299" s="461"/>
      <c r="M6299" s="461"/>
      <c r="N6299" s="461"/>
    </row>
    <row r="6300" spans="1:14" s="462" customFormat="1" hidden="1" outlineLevel="1">
      <c r="A6300" s="1261"/>
      <c r="B6300" s="260" t="s">
        <v>218</v>
      </c>
      <c r="C6300" s="457" t="s">
        <v>2</v>
      </c>
      <c r="D6300" s="440">
        <v>1</v>
      </c>
      <c r="E6300" s="439">
        <v>2</v>
      </c>
      <c r="F6300" s="1350">
        <v>6.7700000000000005</v>
      </c>
      <c r="G6300" s="1350">
        <v>0.61</v>
      </c>
      <c r="H6300" s="1350">
        <v>0.82299999999999995</v>
      </c>
      <c r="I6300" s="399">
        <f t="shared" si="227"/>
        <v>6.8</v>
      </c>
      <c r="J6300" s="442"/>
      <c r="K6300" s="1263">
        <v>6.7974862000000007</v>
      </c>
      <c r="L6300" s="461"/>
      <c r="M6300" s="461"/>
      <c r="N6300" s="461"/>
    </row>
    <row r="6301" spans="1:14" s="462" customFormat="1" hidden="1" outlineLevel="1">
      <c r="A6301" s="1261"/>
      <c r="B6301" s="260"/>
      <c r="C6301" s="457"/>
      <c r="D6301" s="440"/>
      <c r="E6301" s="439"/>
      <c r="F6301" s="1350"/>
      <c r="G6301" s="1350"/>
      <c r="H6301" s="1350"/>
      <c r="I6301" s="399" t="str">
        <f t="shared" ref="I6301:I6364" si="228">IF(D6301&lt;&gt;0,ROUND(PRODUCT(E6301:H6301)*D6301,2),"")</f>
        <v/>
      </c>
      <c r="J6301" s="442"/>
      <c r="K6301" s="1263"/>
      <c r="L6301" s="461"/>
      <c r="M6301" s="461"/>
      <c r="N6301" s="461"/>
    </row>
    <row r="6302" spans="1:14" s="462" customFormat="1" hidden="1" outlineLevel="1">
      <c r="A6302" s="1261"/>
      <c r="B6302" s="260" t="s">
        <v>219</v>
      </c>
      <c r="C6302" s="457" t="s">
        <v>2</v>
      </c>
      <c r="D6302" s="440">
        <v>1</v>
      </c>
      <c r="E6302" s="439">
        <v>2</v>
      </c>
      <c r="F6302" s="1350">
        <v>9.17</v>
      </c>
      <c r="G6302" s="1350">
        <v>0.61</v>
      </c>
      <c r="H6302" s="1350">
        <v>0.82299999999999995</v>
      </c>
      <c r="I6302" s="399">
        <f t="shared" si="228"/>
        <v>9.2100000000000009</v>
      </c>
      <c r="J6302" s="442"/>
      <c r="K6302" s="1263">
        <v>9.2072301999999997</v>
      </c>
      <c r="L6302" s="461"/>
      <c r="M6302" s="461"/>
      <c r="N6302" s="461"/>
    </row>
    <row r="6303" spans="1:14" s="462" customFormat="1" hidden="1" outlineLevel="1">
      <c r="A6303" s="1261"/>
      <c r="B6303" s="260"/>
      <c r="C6303" s="457"/>
      <c r="D6303" s="440"/>
      <c r="E6303" s="439"/>
      <c r="F6303" s="1350"/>
      <c r="G6303" s="1350"/>
      <c r="H6303" s="1350"/>
      <c r="I6303" s="399" t="str">
        <f t="shared" si="228"/>
        <v/>
      </c>
      <c r="J6303" s="442"/>
      <c r="K6303" s="1263"/>
      <c r="L6303" s="461"/>
      <c r="M6303" s="461"/>
      <c r="N6303" s="461"/>
    </row>
    <row r="6304" spans="1:14" s="462" customFormat="1" hidden="1" outlineLevel="1">
      <c r="A6304" s="1261"/>
      <c r="B6304" s="260"/>
      <c r="C6304" s="457" t="s">
        <v>2</v>
      </c>
      <c r="D6304" s="440">
        <v>1</v>
      </c>
      <c r="E6304" s="439">
        <v>1</v>
      </c>
      <c r="F6304" s="1350">
        <v>8.27</v>
      </c>
      <c r="G6304" s="1350">
        <v>0.61</v>
      </c>
      <c r="H6304" s="1350">
        <v>0.82299999999999995</v>
      </c>
      <c r="I6304" s="399">
        <f t="shared" si="228"/>
        <v>4.1500000000000004</v>
      </c>
      <c r="J6304" s="442"/>
      <c r="K6304" s="1263">
        <v>4.1517880999999992</v>
      </c>
      <c r="L6304" s="461"/>
      <c r="M6304" s="461"/>
      <c r="N6304" s="461"/>
    </row>
    <row r="6305" spans="1:14" s="462" customFormat="1" hidden="1" outlineLevel="1">
      <c r="A6305" s="1261"/>
      <c r="B6305" s="260"/>
      <c r="C6305" s="457"/>
      <c r="D6305" s="440"/>
      <c r="E6305" s="439"/>
      <c r="F6305" s="1350"/>
      <c r="G6305" s="1350"/>
      <c r="H6305" s="1350"/>
      <c r="I6305" s="399" t="str">
        <f t="shared" si="228"/>
        <v/>
      </c>
      <c r="J6305" s="442"/>
      <c r="K6305" s="1263"/>
      <c r="L6305" s="461"/>
      <c r="M6305" s="461"/>
      <c r="N6305" s="461"/>
    </row>
    <row r="6306" spans="1:14" s="462" customFormat="1" hidden="1" outlineLevel="1">
      <c r="A6306" s="1261"/>
      <c r="B6306" s="260" t="s">
        <v>220</v>
      </c>
      <c r="C6306" s="457" t="s">
        <v>2</v>
      </c>
      <c r="D6306" s="440">
        <v>1</v>
      </c>
      <c r="E6306" s="439">
        <v>1</v>
      </c>
      <c r="F6306" s="1350">
        <v>10.88</v>
      </c>
      <c r="G6306" s="1350">
        <v>0.61</v>
      </c>
      <c r="H6306" s="1350">
        <v>0.82299999999999995</v>
      </c>
      <c r="I6306" s="399">
        <f t="shared" si="228"/>
        <v>5.46</v>
      </c>
      <c r="J6306" s="442"/>
      <c r="K6306" s="1263">
        <v>5.4620863999999996</v>
      </c>
      <c r="L6306" s="461"/>
      <c r="M6306" s="461"/>
      <c r="N6306" s="461"/>
    </row>
    <row r="6307" spans="1:14" s="462" customFormat="1" hidden="1" outlineLevel="1">
      <c r="A6307" s="1261"/>
      <c r="B6307" s="260" t="s">
        <v>184</v>
      </c>
      <c r="C6307" s="457" t="s">
        <v>2</v>
      </c>
      <c r="D6307" s="440">
        <v>1</v>
      </c>
      <c r="E6307" s="439">
        <v>3</v>
      </c>
      <c r="F6307" s="1350">
        <v>3.3</v>
      </c>
      <c r="G6307" s="1350">
        <v>0.22</v>
      </c>
      <c r="H6307" s="1350">
        <v>0.82299999999999995</v>
      </c>
      <c r="I6307" s="399">
        <f t="shared" si="228"/>
        <v>1.79</v>
      </c>
      <c r="J6307" s="442"/>
      <c r="K6307" s="1263">
        <v>1.7924939999999996</v>
      </c>
      <c r="L6307" s="461"/>
      <c r="M6307" s="461"/>
      <c r="N6307" s="461"/>
    </row>
    <row r="6308" spans="1:14" s="462" customFormat="1" hidden="1" outlineLevel="1">
      <c r="A6308" s="1261"/>
      <c r="B6308" s="260"/>
      <c r="C6308" s="457"/>
      <c r="D6308" s="440"/>
      <c r="E6308" s="439"/>
      <c r="F6308" s="1350"/>
      <c r="G6308" s="1350"/>
      <c r="H6308" s="1350"/>
      <c r="I6308" s="399" t="str">
        <f t="shared" si="228"/>
        <v/>
      </c>
      <c r="J6308" s="442"/>
      <c r="K6308" s="1263"/>
      <c r="L6308" s="461"/>
      <c r="M6308" s="461"/>
      <c r="N6308" s="461"/>
    </row>
    <row r="6309" spans="1:14" s="462" customFormat="1" hidden="1" outlineLevel="1">
      <c r="A6309" s="1261"/>
      <c r="B6309" s="260" t="s">
        <v>221</v>
      </c>
      <c r="C6309" s="457" t="s">
        <v>2</v>
      </c>
      <c r="D6309" s="440">
        <v>1</v>
      </c>
      <c r="E6309" s="439">
        <v>2</v>
      </c>
      <c r="F6309" s="1350">
        <v>0.61499999999999999</v>
      </c>
      <c r="G6309" s="1350">
        <v>0.61</v>
      </c>
      <c r="H6309" s="1350">
        <v>0.82299999999999995</v>
      </c>
      <c r="I6309" s="399">
        <f t="shared" si="228"/>
        <v>0.62</v>
      </c>
      <c r="J6309" s="442"/>
      <c r="K6309" s="1263">
        <v>0.6174968999999999</v>
      </c>
      <c r="L6309" s="461"/>
      <c r="M6309" s="461"/>
      <c r="N6309" s="461"/>
    </row>
    <row r="6310" spans="1:14" s="462" customFormat="1" hidden="1" outlineLevel="1">
      <c r="A6310" s="1261"/>
      <c r="B6310" s="260"/>
      <c r="C6310" s="457"/>
      <c r="D6310" s="440"/>
      <c r="E6310" s="439"/>
      <c r="F6310" s="1350"/>
      <c r="G6310" s="1350"/>
      <c r="H6310" s="1350"/>
      <c r="I6310" s="399" t="str">
        <f t="shared" si="228"/>
        <v/>
      </c>
      <c r="J6310" s="442"/>
      <c r="K6310" s="1263"/>
      <c r="L6310" s="461"/>
      <c r="M6310" s="461"/>
      <c r="N6310" s="461"/>
    </row>
    <row r="6311" spans="1:14" s="462" customFormat="1" hidden="1" outlineLevel="1">
      <c r="A6311" s="1261"/>
      <c r="B6311" s="260" t="s">
        <v>222</v>
      </c>
      <c r="C6311" s="457" t="s">
        <v>2</v>
      </c>
      <c r="D6311" s="440">
        <v>1</v>
      </c>
      <c r="E6311" s="439">
        <v>3</v>
      </c>
      <c r="F6311" s="1350">
        <v>0.88000000000000012</v>
      </c>
      <c r="G6311" s="1350">
        <v>0.61</v>
      </c>
      <c r="H6311" s="1350">
        <v>0.82299999999999995</v>
      </c>
      <c r="I6311" s="399">
        <f t="shared" si="228"/>
        <v>1.33</v>
      </c>
      <c r="J6311" s="442"/>
      <c r="K6311" s="1263">
        <v>1.3253592000000001</v>
      </c>
      <c r="L6311" s="461"/>
      <c r="M6311" s="461"/>
      <c r="N6311" s="461"/>
    </row>
    <row r="6312" spans="1:14" s="462" customFormat="1" hidden="1" outlineLevel="1">
      <c r="A6312" s="1261"/>
      <c r="B6312" s="260"/>
      <c r="C6312" s="457"/>
      <c r="D6312" s="440"/>
      <c r="E6312" s="439"/>
      <c r="F6312" s="1350"/>
      <c r="G6312" s="1350"/>
      <c r="H6312" s="1350"/>
      <c r="I6312" s="399" t="str">
        <f t="shared" si="228"/>
        <v/>
      </c>
      <c r="J6312" s="442"/>
      <c r="K6312" s="1263"/>
      <c r="L6312" s="461"/>
      <c r="M6312" s="461"/>
      <c r="N6312" s="461"/>
    </row>
    <row r="6313" spans="1:14" s="462" customFormat="1" hidden="1" outlineLevel="1">
      <c r="A6313" s="1261"/>
      <c r="B6313" s="260"/>
      <c r="C6313" s="457" t="s">
        <v>2</v>
      </c>
      <c r="D6313" s="440">
        <v>1</v>
      </c>
      <c r="E6313" s="439">
        <v>3</v>
      </c>
      <c r="F6313" s="1350">
        <v>3.36</v>
      </c>
      <c r="G6313" s="1350">
        <v>0.61</v>
      </c>
      <c r="H6313" s="1350">
        <v>0.82299999999999995</v>
      </c>
      <c r="I6313" s="399">
        <f t="shared" si="228"/>
        <v>5.0599999999999996</v>
      </c>
      <c r="J6313" s="442"/>
      <c r="K6313" s="1263">
        <v>5.0604623999999996</v>
      </c>
      <c r="L6313" s="461"/>
      <c r="M6313" s="461"/>
      <c r="N6313" s="461"/>
    </row>
    <row r="6314" spans="1:14" s="462" customFormat="1" hidden="1" outlineLevel="1">
      <c r="A6314" s="1261"/>
      <c r="B6314" s="260"/>
      <c r="C6314" s="457"/>
      <c r="D6314" s="440"/>
      <c r="E6314" s="439"/>
      <c r="F6314" s="1350"/>
      <c r="G6314" s="1350"/>
      <c r="H6314" s="1350"/>
      <c r="I6314" s="399" t="str">
        <f t="shared" si="228"/>
        <v/>
      </c>
      <c r="J6314" s="442"/>
      <c r="K6314" s="1263">
        <v>0</v>
      </c>
      <c r="L6314" s="461"/>
      <c r="M6314" s="461"/>
      <c r="N6314" s="461"/>
    </row>
    <row r="6315" spans="1:14" s="462" customFormat="1" ht="34.5" hidden="1" outlineLevel="1">
      <c r="A6315" s="1261"/>
      <c r="B6315" s="260" t="s">
        <v>510</v>
      </c>
      <c r="C6315" s="457"/>
      <c r="D6315" s="440"/>
      <c r="E6315" s="439"/>
      <c r="F6315" s="1350"/>
      <c r="G6315" s="1350"/>
      <c r="H6315" s="1350"/>
      <c r="I6315" s="399" t="str">
        <f t="shared" si="228"/>
        <v/>
      </c>
      <c r="J6315" s="442"/>
      <c r="K6315" s="1263"/>
      <c r="L6315" s="461"/>
      <c r="M6315" s="461"/>
      <c r="N6315" s="461"/>
    </row>
    <row r="6316" spans="1:14" s="462" customFormat="1" hidden="1" outlineLevel="1">
      <c r="A6316" s="1261"/>
      <c r="B6316" s="260"/>
      <c r="C6316" s="457"/>
      <c r="D6316" s="440"/>
      <c r="E6316" s="439"/>
      <c r="F6316" s="1350"/>
      <c r="G6316" s="1350"/>
      <c r="H6316" s="1350"/>
      <c r="I6316" s="399" t="str">
        <f t="shared" si="228"/>
        <v/>
      </c>
      <c r="J6316" s="442"/>
      <c r="K6316" s="1263"/>
      <c r="L6316" s="461"/>
      <c r="M6316" s="461"/>
      <c r="N6316" s="461"/>
    </row>
    <row r="6317" spans="1:14" s="462" customFormat="1" hidden="1" outlineLevel="1">
      <c r="A6317" s="1261"/>
      <c r="B6317" s="260" t="s">
        <v>511</v>
      </c>
      <c r="C6317" s="457" t="s">
        <v>2</v>
      </c>
      <c r="D6317" s="440">
        <v>1</v>
      </c>
      <c r="E6317" s="439">
        <v>1</v>
      </c>
      <c r="F6317" s="1350">
        <v>33.919999999999995</v>
      </c>
      <c r="G6317" s="1350">
        <v>0.61</v>
      </c>
      <c r="H6317" s="1350">
        <v>0.82299999999999995</v>
      </c>
      <c r="I6317" s="399">
        <f t="shared" si="228"/>
        <v>17.03</v>
      </c>
      <c r="J6317" s="442"/>
      <c r="K6317" s="1263">
        <v>17.028857599999995</v>
      </c>
      <c r="L6317" s="461"/>
      <c r="M6317" s="461"/>
      <c r="N6317" s="461"/>
    </row>
    <row r="6318" spans="1:14" s="462" customFormat="1" hidden="1" outlineLevel="1">
      <c r="A6318" s="1261"/>
      <c r="B6318" s="260"/>
      <c r="C6318" s="457"/>
      <c r="D6318" s="440"/>
      <c r="E6318" s="439"/>
      <c r="F6318" s="1350"/>
      <c r="G6318" s="1350"/>
      <c r="H6318" s="1350"/>
      <c r="I6318" s="399" t="str">
        <f t="shared" si="228"/>
        <v/>
      </c>
      <c r="J6318" s="442"/>
      <c r="K6318" s="1263"/>
      <c r="L6318" s="461"/>
      <c r="M6318" s="461"/>
      <c r="N6318" s="461"/>
    </row>
    <row r="6319" spans="1:14" s="462" customFormat="1" hidden="1" outlineLevel="1">
      <c r="A6319" s="1261"/>
      <c r="B6319" s="260"/>
      <c r="C6319" s="457" t="s">
        <v>2</v>
      </c>
      <c r="D6319" s="440">
        <v>1</v>
      </c>
      <c r="E6319" s="439">
        <v>1</v>
      </c>
      <c r="F6319" s="1350">
        <v>30.129999999999995</v>
      </c>
      <c r="G6319" s="1350">
        <v>0.61</v>
      </c>
      <c r="H6319" s="1350">
        <v>0.82299999999999995</v>
      </c>
      <c r="I6319" s="399">
        <f t="shared" si="228"/>
        <v>15.13</v>
      </c>
      <c r="J6319" s="442"/>
      <c r="K6319" s="1263">
        <v>15.126163899999996</v>
      </c>
      <c r="L6319" s="461"/>
      <c r="M6319" s="461"/>
      <c r="N6319" s="461"/>
    </row>
    <row r="6320" spans="1:14" s="462" customFormat="1" hidden="1" outlineLevel="1">
      <c r="A6320" s="1261"/>
      <c r="B6320" s="260"/>
      <c r="C6320" s="457"/>
      <c r="D6320" s="440"/>
      <c r="E6320" s="439"/>
      <c r="F6320" s="1350"/>
      <c r="G6320" s="1350"/>
      <c r="H6320" s="1350"/>
      <c r="I6320" s="399" t="str">
        <f t="shared" si="228"/>
        <v/>
      </c>
      <c r="J6320" s="442"/>
      <c r="K6320" s="1263">
        <v>0</v>
      </c>
      <c r="L6320" s="461"/>
      <c r="M6320" s="461"/>
      <c r="N6320" s="461"/>
    </row>
    <row r="6321" spans="1:14" s="462" customFormat="1" ht="34.5" hidden="1" outlineLevel="1">
      <c r="A6321" s="1261"/>
      <c r="B6321" s="260" t="s">
        <v>512</v>
      </c>
      <c r="C6321" s="457" t="s">
        <v>2</v>
      </c>
      <c r="D6321" s="440">
        <v>1</v>
      </c>
      <c r="E6321" s="439">
        <v>1</v>
      </c>
      <c r="F6321" s="1350">
        <v>1.5249999999999999</v>
      </c>
      <c r="G6321" s="1350">
        <v>0.61</v>
      </c>
      <c r="H6321" s="1350">
        <v>0.82299999999999995</v>
      </c>
      <c r="I6321" s="399">
        <f t="shared" si="228"/>
        <v>0.77</v>
      </c>
      <c r="J6321" s="442"/>
      <c r="K6321" s="1263">
        <v>0.76559574999999991</v>
      </c>
      <c r="L6321" s="461"/>
      <c r="M6321" s="461"/>
      <c r="N6321" s="461"/>
    </row>
    <row r="6322" spans="1:14" s="462" customFormat="1" hidden="1" outlineLevel="1">
      <c r="A6322" s="1261"/>
      <c r="B6322" s="260"/>
      <c r="C6322" s="457"/>
      <c r="D6322" s="440"/>
      <c r="E6322" s="439"/>
      <c r="F6322" s="1350"/>
      <c r="G6322" s="1350"/>
      <c r="H6322" s="1350"/>
      <c r="I6322" s="399" t="str">
        <f t="shared" si="228"/>
        <v/>
      </c>
      <c r="J6322" s="442"/>
      <c r="K6322" s="1263"/>
      <c r="L6322" s="461"/>
      <c r="M6322" s="461"/>
      <c r="N6322" s="461"/>
    </row>
    <row r="6323" spans="1:14" s="462" customFormat="1" hidden="1" outlineLevel="1">
      <c r="A6323" s="1261"/>
      <c r="B6323" s="260"/>
      <c r="C6323" s="457" t="s">
        <v>2</v>
      </c>
      <c r="D6323" s="440">
        <v>1</v>
      </c>
      <c r="E6323" s="439">
        <v>1</v>
      </c>
      <c r="F6323" s="1350">
        <v>1.075</v>
      </c>
      <c r="G6323" s="1350">
        <v>0.61</v>
      </c>
      <c r="H6323" s="1350">
        <v>0.82299999999999995</v>
      </c>
      <c r="I6323" s="399">
        <f t="shared" si="228"/>
        <v>0.54</v>
      </c>
      <c r="J6323" s="442"/>
      <c r="K6323" s="1263">
        <v>0.53968224999999992</v>
      </c>
      <c r="L6323" s="461"/>
      <c r="M6323" s="461"/>
      <c r="N6323" s="461"/>
    </row>
    <row r="6324" spans="1:14" s="462" customFormat="1" hidden="1" outlineLevel="1">
      <c r="A6324" s="1261"/>
      <c r="B6324" s="260"/>
      <c r="C6324" s="457"/>
      <c r="D6324" s="440"/>
      <c r="E6324" s="439"/>
      <c r="F6324" s="1350"/>
      <c r="G6324" s="1350"/>
      <c r="H6324" s="1350"/>
      <c r="I6324" s="399" t="str">
        <f t="shared" si="228"/>
        <v/>
      </c>
      <c r="J6324" s="442"/>
      <c r="K6324" s="1263"/>
      <c r="L6324" s="461"/>
      <c r="M6324" s="461"/>
      <c r="N6324" s="461"/>
    </row>
    <row r="6325" spans="1:14" s="462" customFormat="1" hidden="1" outlineLevel="1">
      <c r="A6325" s="1261"/>
      <c r="B6325" s="260"/>
      <c r="C6325" s="457" t="s">
        <v>2</v>
      </c>
      <c r="D6325" s="440">
        <v>1</v>
      </c>
      <c r="E6325" s="439">
        <v>1</v>
      </c>
      <c r="F6325" s="1350">
        <v>2.6</v>
      </c>
      <c r="G6325" s="1350">
        <v>0.61</v>
      </c>
      <c r="H6325" s="1350">
        <v>0.82299999999999995</v>
      </c>
      <c r="I6325" s="399">
        <f t="shared" si="228"/>
        <v>1.31</v>
      </c>
      <c r="J6325" s="442"/>
      <c r="K6325" s="1263">
        <v>1.3052779999999999</v>
      </c>
      <c r="L6325" s="461"/>
      <c r="M6325" s="461"/>
      <c r="N6325" s="461"/>
    </row>
    <row r="6326" spans="1:14" s="462" customFormat="1" hidden="1" outlineLevel="1">
      <c r="A6326" s="1261"/>
      <c r="B6326" s="260"/>
      <c r="C6326" s="457"/>
      <c r="D6326" s="440"/>
      <c r="E6326" s="439"/>
      <c r="F6326" s="1350"/>
      <c r="G6326" s="1350"/>
      <c r="H6326" s="1350"/>
      <c r="I6326" s="399" t="str">
        <f t="shared" si="228"/>
        <v/>
      </c>
      <c r="J6326" s="442"/>
      <c r="K6326" s="1263"/>
      <c r="L6326" s="461"/>
      <c r="M6326" s="461"/>
      <c r="N6326" s="461"/>
    </row>
    <row r="6327" spans="1:14" s="462" customFormat="1" hidden="1" outlineLevel="1">
      <c r="A6327" s="1261"/>
      <c r="B6327" s="260"/>
      <c r="C6327" s="457" t="s">
        <v>2</v>
      </c>
      <c r="D6327" s="440">
        <v>1</v>
      </c>
      <c r="E6327" s="439">
        <v>1</v>
      </c>
      <c r="F6327" s="1350">
        <v>1.1000000000000001</v>
      </c>
      <c r="G6327" s="1350">
        <v>0.61</v>
      </c>
      <c r="H6327" s="1350">
        <v>0.82299999999999995</v>
      </c>
      <c r="I6327" s="399">
        <f t="shared" si="228"/>
        <v>0.55000000000000004</v>
      </c>
      <c r="J6327" s="442"/>
      <c r="K6327" s="1263">
        <v>0.55223299999999997</v>
      </c>
      <c r="L6327" s="461"/>
      <c r="M6327" s="461"/>
      <c r="N6327" s="461"/>
    </row>
    <row r="6328" spans="1:14" s="462" customFormat="1" hidden="1" outlineLevel="1">
      <c r="A6328" s="1261"/>
      <c r="B6328" s="260"/>
      <c r="C6328" s="457"/>
      <c r="D6328" s="440"/>
      <c r="E6328" s="439"/>
      <c r="F6328" s="1350"/>
      <c r="G6328" s="1350"/>
      <c r="H6328" s="1350"/>
      <c r="I6328" s="399" t="str">
        <f t="shared" si="228"/>
        <v/>
      </c>
      <c r="J6328" s="442"/>
      <c r="K6328" s="1263"/>
      <c r="L6328" s="461"/>
      <c r="M6328" s="461"/>
      <c r="N6328" s="461"/>
    </row>
    <row r="6329" spans="1:14" s="462" customFormat="1" hidden="1" outlineLevel="1">
      <c r="A6329" s="1261"/>
      <c r="B6329" s="260"/>
      <c r="C6329" s="457" t="s">
        <v>2</v>
      </c>
      <c r="D6329" s="440">
        <v>1</v>
      </c>
      <c r="E6329" s="439">
        <v>1</v>
      </c>
      <c r="F6329" s="1350">
        <v>3.9400000000000004</v>
      </c>
      <c r="G6329" s="1350">
        <v>0.61</v>
      </c>
      <c r="H6329" s="1350">
        <v>0.82299999999999995</v>
      </c>
      <c r="I6329" s="399">
        <f t="shared" si="228"/>
        <v>1.98</v>
      </c>
      <c r="J6329" s="442"/>
      <c r="K6329" s="1263">
        <v>1.9779981999999998</v>
      </c>
      <c r="L6329" s="461"/>
      <c r="M6329" s="461"/>
      <c r="N6329" s="461"/>
    </row>
    <row r="6330" spans="1:14" s="462" customFormat="1" hidden="1" outlineLevel="1">
      <c r="A6330" s="1261"/>
      <c r="B6330" s="260"/>
      <c r="C6330" s="457"/>
      <c r="D6330" s="440"/>
      <c r="E6330" s="439"/>
      <c r="F6330" s="1350"/>
      <c r="G6330" s="1350"/>
      <c r="H6330" s="1350"/>
      <c r="I6330" s="399" t="str">
        <f t="shared" si="228"/>
        <v/>
      </c>
      <c r="J6330" s="442"/>
      <c r="K6330" s="1263"/>
      <c r="L6330" s="461"/>
      <c r="M6330" s="461"/>
      <c r="N6330" s="461"/>
    </row>
    <row r="6331" spans="1:14" s="462" customFormat="1" ht="34.5" hidden="1" outlineLevel="1">
      <c r="A6331" s="1261"/>
      <c r="B6331" s="260" t="s">
        <v>513</v>
      </c>
      <c r="C6331" s="457" t="s">
        <v>2</v>
      </c>
      <c r="D6331" s="440">
        <v>1</v>
      </c>
      <c r="E6331" s="439">
        <v>1</v>
      </c>
      <c r="F6331" s="1350">
        <v>1.3900000000000001</v>
      </c>
      <c r="G6331" s="1350">
        <v>0.61</v>
      </c>
      <c r="H6331" s="1350">
        <v>0.82299999999999995</v>
      </c>
      <c r="I6331" s="399">
        <f t="shared" si="228"/>
        <v>0.7</v>
      </c>
      <c r="J6331" s="442"/>
      <c r="K6331" s="1263">
        <v>0.69782169999999999</v>
      </c>
      <c r="L6331" s="461"/>
      <c r="M6331" s="461"/>
      <c r="N6331" s="461"/>
    </row>
    <row r="6332" spans="1:14" s="462" customFormat="1" hidden="1" outlineLevel="1">
      <c r="A6332" s="1261"/>
      <c r="B6332" s="260"/>
      <c r="C6332" s="457"/>
      <c r="D6332" s="440"/>
      <c r="E6332" s="439"/>
      <c r="F6332" s="1350"/>
      <c r="G6332" s="1350"/>
      <c r="H6332" s="1350"/>
      <c r="I6332" s="399" t="str">
        <f t="shared" si="228"/>
        <v/>
      </c>
      <c r="J6332" s="442"/>
      <c r="K6332" s="1263">
        <v>0</v>
      </c>
      <c r="L6332" s="461"/>
      <c r="M6332" s="461"/>
      <c r="N6332" s="461"/>
    </row>
    <row r="6333" spans="1:14" s="462" customFormat="1" hidden="1" outlineLevel="1">
      <c r="A6333" s="1261"/>
      <c r="B6333" s="260"/>
      <c r="C6333" s="457" t="s">
        <v>2</v>
      </c>
      <c r="D6333" s="440">
        <v>1</v>
      </c>
      <c r="E6333" s="439">
        <v>1</v>
      </c>
      <c r="F6333" s="1350">
        <v>2</v>
      </c>
      <c r="G6333" s="1350">
        <v>0.61</v>
      </c>
      <c r="H6333" s="1350">
        <v>0.82299999999999995</v>
      </c>
      <c r="I6333" s="399">
        <f t="shared" si="228"/>
        <v>1</v>
      </c>
      <c r="J6333" s="442"/>
      <c r="K6333" s="1263">
        <v>1.00406</v>
      </c>
      <c r="L6333" s="461"/>
      <c r="M6333" s="461"/>
      <c r="N6333" s="461"/>
    </row>
    <row r="6334" spans="1:14" s="462" customFormat="1" hidden="1" outlineLevel="1">
      <c r="A6334" s="1261"/>
      <c r="B6334" s="260"/>
      <c r="C6334" s="457"/>
      <c r="D6334" s="440"/>
      <c r="E6334" s="439"/>
      <c r="F6334" s="1350"/>
      <c r="G6334" s="1350"/>
      <c r="H6334" s="1350"/>
      <c r="I6334" s="399" t="str">
        <f t="shared" si="228"/>
        <v/>
      </c>
      <c r="J6334" s="442"/>
      <c r="K6334" s="1263">
        <v>0</v>
      </c>
      <c r="L6334" s="461"/>
      <c r="M6334" s="461"/>
      <c r="N6334" s="461"/>
    </row>
    <row r="6335" spans="1:14" s="462" customFormat="1" hidden="1" outlineLevel="1">
      <c r="A6335" s="1261"/>
      <c r="B6335" s="260"/>
      <c r="C6335" s="457" t="s">
        <v>2</v>
      </c>
      <c r="D6335" s="440">
        <v>1</v>
      </c>
      <c r="E6335" s="439">
        <v>1</v>
      </c>
      <c r="F6335" s="1350">
        <v>-0.21999999999999997</v>
      </c>
      <c r="G6335" s="1350">
        <v>0.61</v>
      </c>
      <c r="H6335" s="1350">
        <v>0.82299999999999995</v>
      </c>
      <c r="I6335" s="399">
        <f t="shared" si="228"/>
        <v>-0.11</v>
      </c>
      <c r="J6335" s="442"/>
      <c r="K6335" s="1263">
        <v>-0.11044659999999998</v>
      </c>
      <c r="L6335" s="461"/>
      <c r="M6335" s="461"/>
      <c r="N6335" s="461"/>
    </row>
    <row r="6336" spans="1:14" s="462" customFormat="1" hidden="1" outlineLevel="1">
      <c r="A6336" s="1261"/>
      <c r="B6336" s="260"/>
      <c r="C6336" s="457"/>
      <c r="D6336" s="440"/>
      <c r="E6336" s="439"/>
      <c r="F6336" s="1350"/>
      <c r="G6336" s="1350"/>
      <c r="H6336" s="1350"/>
      <c r="I6336" s="399" t="str">
        <f t="shared" si="228"/>
        <v/>
      </c>
      <c r="J6336" s="442"/>
      <c r="K6336" s="1263">
        <v>0</v>
      </c>
      <c r="L6336" s="461"/>
      <c r="M6336" s="461"/>
      <c r="N6336" s="461"/>
    </row>
    <row r="6337" spans="1:14" s="462" customFormat="1" hidden="1" outlineLevel="1">
      <c r="A6337" s="1261"/>
      <c r="B6337" s="260"/>
      <c r="C6337" s="457" t="s">
        <v>2</v>
      </c>
      <c r="D6337" s="440">
        <v>1</v>
      </c>
      <c r="E6337" s="439">
        <v>1</v>
      </c>
      <c r="F6337" s="1350">
        <v>1</v>
      </c>
      <c r="G6337" s="1350">
        <v>0.61</v>
      </c>
      <c r="H6337" s="1350">
        <v>0.82299999999999995</v>
      </c>
      <c r="I6337" s="399">
        <f t="shared" si="228"/>
        <v>0.5</v>
      </c>
      <c r="J6337" s="442"/>
      <c r="K6337" s="1263">
        <v>0.50202999999999998</v>
      </c>
      <c r="L6337" s="461"/>
      <c r="M6337" s="461"/>
      <c r="N6337" s="461"/>
    </row>
    <row r="6338" spans="1:14" s="462" customFormat="1" hidden="1" outlineLevel="1">
      <c r="A6338" s="1261"/>
      <c r="B6338" s="260"/>
      <c r="C6338" s="457"/>
      <c r="D6338" s="440"/>
      <c r="E6338" s="439"/>
      <c r="F6338" s="1350"/>
      <c r="G6338" s="1350"/>
      <c r="H6338" s="1350"/>
      <c r="I6338" s="399" t="str">
        <f t="shared" si="228"/>
        <v/>
      </c>
      <c r="J6338" s="442"/>
      <c r="K6338" s="1263">
        <v>0</v>
      </c>
      <c r="L6338" s="461"/>
      <c r="M6338" s="461"/>
      <c r="N6338" s="461"/>
    </row>
    <row r="6339" spans="1:14" s="462" customFormat="1" hidden="1" outlineLevel="1">
      <c r="A6339" s="1261"/>
      <c r="B6339" s="260"/>
      <c r="C6339" s="457" t="s">
        <v>2</v>
      </c>
      <c r="D6339" s="440">
        <v>1</v>
      </c>
      <c r="E6339" s="439">
        <v>1</v>
      </c>
      <c r="F6339" s="1350">
        <v>1.3599999999999999</v>
      </c>
      <c r="G6339" s="1350">
        <v>0.61</v>
      </c>
      <c r="H6339" s="1350">
        <v>0.82299999999999995</v>
      </c>
      <c r="I6339" s="399">
        <f t="shared" si="228"/>
        <v>0.68</v>
      </c>
      <c r="J6339" s="442"/>
      <c r="K6339" s="1263">
        <v>0.68276079999999983</v>
      </c>
      <c r="L6339" s="461"/>
      <c r="M6339" s="461"/>
      <c r="N6339" s="461"/>
    </row>
    <row r="6340" spans="1:14" s="462" customFormat="1" hidden="1" outlineLevel="1">
      <c r="A6340" s="1261"/>
      <c r="B6340" s="260"/>
      <c r="C6340" s="457"/>
      <c r="D6340" s="440"/>
      <c r="E6340" s="439"/>
      <c r="F6340" s="1350"/>
      <c r="G6340" s="1350"/>
      <c r="H6340" s="1350"/>
      <c r="I6340" s="399" t="str">
        <f t="shared" si="228"/>
        <v/>
      </c>
      <c r="J6340" s="442"/>
      <c r="K6340" s="1263">
        <v>0</v>
      </c>
      <c r="L6340" s="461"/>
      <c r="M6340" s="461"/>
      <c r="N6340" s="461"/>
    </row>
    <row r="6341" spans="1:14" s="462" customFormat="1" hidden="1" outlineLevel="1">
      <c r="A6341" s="1261"/>
      <c r="B6341" s="260"/>
      <c r="C6341" s="457" t="s">
        <v>2</v>
      </c>
      <c r="D6341" s="440">
        <v>1</v>
      </c>
      <c r="E6341" s="439">
        <v>1</v>
      </c>
      <c r="F6341" s="1350">
        <v>5.56</v>
      </c>
      <c r="G6341" s="1350">
        <v>0.61</v>
      </c>
      <c r="H6341" s="1350">
        <v>0.82299999999999995</v>
      </c>
      <c r="I6341" s="399">
        <f t="shared" si="228"/>
        <v>2.79</v>
      </c>
      <c r="J6341" s="442"/>
      <c r="K6341" s="1263">
        <v>2.7912867999999995</v>
      </c>
      <c r="L6341" s="461"/>
      <c r="M6341" s="461"/>
      <c r="N6341" s="461"/>
    </row>
    <row r="6342" spans="1:14" s="462" customFormat="1" hidden="1" outlineLevel="1">
      <c r="A6342" s="1261"/>
      <c r="B6342" s="260"/>
      <c r="C6342" s="457"/>
      <c r="D6342" s="440"/>
      <c r="E6342" s="439"/>
      <c r="F6342" s="1350"/>
      <c r="G6342" s="1350"/>
      <c r="H6342" s="1350"/>
      <c r="I6342" s="399" t="str">
        <f t="shared" si="228"/>
        <v/>
      </c>
      <c r="J6342" s="442"/>
      <c r="K6342" s="1263"/>
      <c r="L6342" s="461"/>
      <c r="M6342" s="461"/>
      <c r="N6342" s="461"/>
    </row>
    <row r="6343" spans="1:14" s="462" customFormat="1" ht="34.5" hidden="1" outlineLevel="1">
      <c r="A6343" s="1261"/>
      <c r="B6343" s="260" t="s">
        <v>514</v>
      </c>
      <c r="C6343" s="457" t="s">
        <v>2</v>
      </c>
      <c r="D6343" s="440">
        <f>1*0</f>
        <v>0</v>
      </c>
      <c r="E6343" s="439">
        <v>1</v>
      </c>
      <c r="F6343" s="1350">
        <v>3.02</v>
      </c>
      <c r="G6343" s="1350">
        <v>0.61</v>
      </c>
      <c r="H6343" s="1350">
        <v>0.82299999999999995</v>
      </c>
      <c r="I6343" s="399" t="str">
        <f t="shared" si="228"/>
        <v/>
      </c>
      <c r="J6343" s="442"/>
      <c r="K6343" s="1263">
        <v>1.5161305999999999</v>
      </c>
      <c r="L6343" s="461"/>
      <c r="M6343" s="461"/>
      <c r="N6343" s="461"/>
    </row>
    <row r="6344" spans="1:14" s="462" customFormat="1" hidden="1" outlineLevel="1">
      <c r="A6344" s="1261"/>
      <c r="B6344" s="260"/>
      <c r="C6344" s="457"/>
      <c r="D6344" s="440"/>
      <c r="E6344" s="439"/>
      <c r="F6344" s="1350"/>
      <c r="G6344" s="1350"/>
      <c r="H6344" s="1350"/>
      <c r="I6344" s="399" t="str">
        <f t="shared" si="228"/>
        <v/>
      </c>
      <c r="J6344" s="442"/>
      <c r="K6344" s="1263"/>
      <c r="L6344" s="461"/>
      <c r="M6344" s="461"/>
      <c r="N6344" s="461"/>
    </row>
    <row r="6345" spans="1:14" s="462" customFormat="1" ht="34.5" hidden="1" outlineLevel="1">
      <c r="A6345" s="1261"/>
      <c r="B6345" s="260" t="s">
        <v>515</v>
      </c>
      <c r="C6345" s="457" t="s">
        <v>2</v>
      </c>
      <c r="D6345" s="440">
        <f>1*0</f>
        <v>0</v>
      </c>
      <c r="E6345" s="439">
        <v>1</v>
      </c>
      <c r="F6345" s="1350">
        <v>4.4950000000000001</v>
      </c>
      <c r="G6345" s="1350">
        <v>0.61</v>
      </c>
      <c r="H6345" s="1350">
        <v>0.82299999999999995</v>
      </c>
      <c r="I6345" s="399" t="str">
        <f t="shared" si="228"/>
        <v/>
      </c>
      <c r="J6345" s="442"/>
      <c r="K6345" s="1263">
        <v>2.2566248500000001</v>
      </c>
      <c r="L6345" s="461"/>
      <c r="M6345" s="461"/>
      <c r="N6345" s="461"/>
    </row>
    <row r="6346" spans="1:14" s="462" customFormat="1" hidden="1" outlineLevel="1">
      <c r="A6346" s="1261"/>
      <c r="B6346" s="260"/>
      <c r="C6346" s="457"/>
      <c r="D6346" s="440"/>
      <c r="E6346" s="439"/>
      <c r="F6346" s="1350"/>
      <c r="G6346" s="1350"/>
      <c r="H6346" s="1350"/>
      <c r="I6346" s="399" t="str">
        <f t="shared" si="228"/>
        <v/>
      </c>
      <c r="J6346" s="442"/>
      <c r="K6346" s="1263">
        <v>0</v>
      </c>
      <c r="L6346" s="461"/>
      <c r="M6346" s="461"/>
      <c r="N6346" s="461"/>
    </row>
    <row r="6347" spans="1:14" s="462" customFormat="1" hidden="1" outlineLevel="1">
      <c r="A6347" s="1261"/>
      <c r="B6347" s="260" t="s">
        <v>229</v>
      </c>
      <c r="C6347" s="457" t="s">
        <v>2</v>
      </c>
      <c r="D6347" s="440">
        <f>1*0</f>
        <v>0</v>
      </c>
      <c r="E6347" s="439">
        <v>1</v>
      </c>
      <c r="F6347" s="1350">
        <v>1.6850000000000001</v>
      </c>
      <c r="G6347" s="1350">
        <v>0.61</v>
      </c>
      <c r="H6347" s="1350">
        <v>0.82299999999999995</v>
      </c>
      <c r="I6347" s="399" t="str">
        <f t="shared" si="228"/>
        <v/>
      </c>
      <c r="J6347" s="442"/>
      <c r="K6347" s="1263">
        <v>0.84592054999999988</v>
      </c>
      <c r="L6347" s="461"/>
      <c r="M6347" s="461"/>
      <c r="N6347" s="461"/>
    </row>
    <row r="6348" spans="1:14" s="462" customFormat="1" hidden="1" outlineLevel="1">
      <c r="A6348" s="1261"/>
      <c r="B6348" s="260"/>
      <c r="C6348" s="457"/>
      <c r="D6348" s="440"/>
      <c r="E6348" s="439"/>
      <c r="F6348" s="1350"/>
      <c r="G6348" s="1350"/>
      <c r="H6348" s="1350"/>
      <c r="I6348" s="399" t="str">
        <f t="shared" si="228"/>
        <v/>
      </c>
      <c r="J6348" s="442"/>
      <c r="K6348" s="1263">
        <v>0</v>
      </c>
      <c r="L6348" s="461"/>
      <c r="M6348" s="461"/>
      <c r="N6348" s="461"/>
    </row>
    <row r="6349" spans="1:14" s="462" customFormat="1" ht="34.5" hidden="1" outlineLevel="1">
      <c r="A6349" s="1261"/>
      <c r="B6349" s="260" t="s">
        <v>516</v>
      </c>
      <c r="C6349" s="457"/>
      <c r="D6349" s="440"/>
      <c r="E6349" s="439"/>
      <c r="F6349" s="1350"/>
      <c r="G6349" s="1350"/>
      <c r="H6349" s="1350"/>
      <c r="I6349" s="399" t="str">
        <f t="shared" si="228"/>
        <v/>
      </c>
      <c r="J6349" s="442"/>
      <c r="K6349" s="1263"/>
      <c r="L6349" s="461"/>
      <c r="M6349" s="461"/>
      <c r="N6349" s="461"/>
    </row>
    <row r="6350" spans="1:14" s="462" customFormat="1" hidden="1" outlineLevel="1">
      <c r="A6350" s="1261"/>
      <c r="B6350" s="260"/>
      <c r="C6350" s="457"/>
      <c r="D6350" s="440"/>
      <c r="E6350" s="439"/>
      <c r="F6350" s="1350"/>
      <c r="G6350" s="1350"/>
      <c r="H6350" s="1350"/>
      <c r="I6350" s="399" t="str">
        <f t="shared" si="228"/>
        <v/>
      </c>
      <c r="J6350" s="442"/>
      <c r="K6350" s="1263"/>
      <c r="L6350" s="461"/>
      <c r="M6350" s="461"/>
      <c r="N6350" s="461"/>
    </row>
    <row r="6351" spans="1:14" s="462" customFormat="1" hidden="1" outlineLevel="1">
      <c r="A6351" s="1261"/>
      <c r="B6351" s="260" t="s">
        <v>517</v>
      </c>
      <c r="C6351" s="457" t="s">
        <v>2</v>
      </c>
      <c r="D6351" s="440">
        <v>1</v>
      </c>
      <c r="E6351" s="439">
        <v>2</v>
      </c>
      <c r="F6351" s="1350">
        <v>33.04</v>
      </c>
      <c r="G6351" s="1350">
        <v>0.61</v>
      </c>
      <c r="H6351" s="1350">
        <v>0.82299999999999995</v>
      </c>
      <c r="I6351" s="399">
        <f t="shared" si="228"/>
        <v>33.17</v>
      </c>
      <c r="J6351" s="442"/>
      <c r="K6351" s="1263">
        <v>33.174142399999994</v>
      </c>
      <c r="L6351" s="461"/>
      <c r="M6351" s="461"/>
      <c r="N6351" s="461"/>
    </row>
    <row r="6352" spans="1:14" s="462" customFormat="1" hidden="1" outlineLevel="1">
      <c r="A6352" s="1261"/>
      <c r="B6352" s="260"/>
      <c r="C6352" s="457"/>
      <c r="D6352" s="440"/>
      <c r="E6352" s="439"/>
      <c r="F6352" s="1350"/>
      <c r="G6352" s="1350"/>
      <c r="H6352" s="1350"/>
      <c r="I6352" s="399" t="str">
        <f t="shared" si="228"/>
        <v/>
      </c>
      <c r="J6352" s="442"/>
      <c r="K6352" s="1263"/>
      <c r="L6352" s="461"/>
      <c r="M6352" s="461"/>
      <c r="N6352" s="461"/>
    </row>
    <row r="6353" spans="1:14" s="462" customFormat="1" hidden="1" outlineLevel="1">
      <c r="A6353" s="1261"/>
      <c r="B6353" s="260"/>
      <c r="C6353" s="457" t="s">
        <v>2</v>
      </c>
      <c r="D6353" s="440">
        <v>1</v>
      </c>
      <c r="E6353" s="439">
        <v>2</v>
      </c>
      <c r="F6353" s="1350">
        <v>1.36</v>
      </c>
      <c r="G6353" s="1350">
        <v>0.61</v>
      </c>
      <c r="H6353" s="1350">
        <v>0.82299999999999995</v>
      </c>
      <c r="I6353" s="399">
        <f t="shared" si="228"/>
        <v>1.37</v>
      </c>
      <c r="J6353" s="442"/>
      <c r="K6353" s="1263">
        <v>1.5763741999999998</v>
      </c>
      <c r="L6353" s="461"/>
      <c r="M6353" s="461"/>
      <c r="N6353" s="461"/>
    </row>
    <row r="6354" spans="1:14" s="462" customFormat="1" hidden="1" outlineLevel="1">
      <c r="A6354" s="1261"/>
      <c r="B6354" s="260"/>
      <c r="C6354" s="457"/>
      <c r="D6354" s="440"/>
      <c r="E6354" s="439"/>
      <c r="F6354" s="1350"/>
      <c r="G6354" s="1350"/>
      <c r="H6354" s="1350"/>
      <c r="I6354" s="399" t="str">
        <f t="shared" si="228"/>
        <v/>
      </c>
      <c r="J6354" s="442"/>
      <c r="K6354" s="1263">
        <v>0</v>
      </c>
      <c r="L6354" s="461"/>
      <c r="M6354" s="461"/>
      <c r="N6354" s="461"/>
    </row>
    <row r="6355" spans="1:14" s="462" customFormat="1" hidden="1" outlineLevel="1">
      <c r="A6355" s="1261"/>
      <c r="B6355" s="260"/>
      <c r="C6355" s="457"/>
      <c r="D6355" s="440"/>
      <c r="E6355" s="439"/>
      <c r="F6355" s="1350"/>
      <c r="G6355" s="1350"/>
      <c r="H6355" s="1350"/>
      <c r="I6355" s="399" t="str">
        <f t="shared" si="228"/>
        <v/>
      </c>
      <c r="J6355" s="442"/>
      <c r="K6355" s="1263">
        <v>0</v>
      </c>
      <c r="L6355" s="461"/>
      <c r="M6355" s="461"/>
      <c r="N6355" s="461"/>
    </row>
    <row r="6356" spans="1:14" s="462" customFormat="1" ht="34.5" hidden="1" outlineLevel="1">
      <c r="A6356" s="1261"/>
      <c r="B6356" s="260" t="s">
        <v>518</v>
      </c>
      <c r="C6356" s="457"/>
      <c r="D6356" s="440"/>
      <c r="E6356" s="439"/>
      <c r="F6356" s="1350"/>
      <c r="G6356" s="1350"/>
      <c r="H6356" s="1350"/>
      <c r="I6356" s="399" t="str">
        <f t="shared" si="228"/>
        <v/>
      </c>
      <c r="J6356" s="442"/>
      <c r="K6356" s="1263"/>
      <c r="L6356" s="461"/>
      <c r="M6356" s="461"/>
      <c r="N6356" s="461"/>
    </row>
    <row r="6357" spans="1:14" s="462" customFormat="1" hidden="1" outlineLevel="1">
      <c r="A6357" s="1261"/>
      <c r="B6357" s="260"/>
      <c r="C6357" s="457"/>
      <c r="D6357" s="440"/>
      <c r="E6357" s="439"/>
      <c r="F6357" s="1350"/>
      <c r="G6357" s="1350"/>
      <c r="H6357" s="1350"/>
      <c r="I6357" s="399" t="str">
        <f t="shared" si="228"/>
        <v/>
      </c>
      <c r="J6357" s="442"/>
      <c r="K6357" s="1263"/>
      <c r="L6357" s="461"/>
      <c r="M6357" s="461"/>
      <c r="N6357" s="461"/>
    </row>
    <row r="6358" spans="1:14" s="462" customFormat="1" hidden="1" outlineLevel="1">
      <c r="A6358" s="1261"/>
      <c r="B6358" s="260" t="s">
        <v>519</v>
      </c>
      <c r="C6358" s="457"/>
      <c r="D6358" s="440"/>
      <c r="E6358" s="439"/>
      <c r="F6358" s="1350"/>
      <c r="G6358" s="1350"/>
      <c r="H6358" s="1350"/>
      <c r="I6358" s="399" t="str">
        <f t="shared" si="228"/>
        <v/>
      </c>
      <c r="J6358" s="442"/>
      <c r="K6358" s="1263">
        <v>0</v>
      </c>
      <c r="L6358" s="461"/>
      <c r="M6358" s="461"/>
      <c r="N6358" s="461"/>
    </row>
    <row r="6359" spans="1:14" s="462" customFormat="1" hidden="1" outlineLevel="1">
      <c r="A6359" s="1261"/>
      <c r="B6359" s="260" t="s">
        <v>234</v>
      </c>
      <c r="C6359" s="457" t="s">
        <v>2</v>
      </c>
      <c r="D6359" s="440">
        <v>1</v>
      </c>
      <c r="E6359" s="439">
        <v>1</v>
      </c>
      <c r="F6359" s="1350">
        <v>4.7</v>
      </c>
      <c r="G6359" s="1350">
        <v>0.61</v>
      </c>
      <c r="H6359" s="1350">
        <v>0.82299999999999995</v>
      </c>
      <c r="I6359" s="399">
        <f t="shared" si="228"/>
        <v>2.36</v>
      </c>
      <c r="J6359" s="442"/>
      <c r="K6359" s="1263">
        <v>4.7190819999999993</v>
      </c>
      <c r="L6359" s="461"/>
      <c r="M6359" s="461"/>
      <c r="N6359" s="461"/>
    </row>
    <row r="6360" spans="1:14" s="462" customFormat="1" hidden="1" outlineLevel="1">
      <c r="A6360" s="1261"/>
      <c r="B6360" s="260"/>
      <c r="C6360" s="457"/>
      <c r="D6360" s="440"/>
      <c r="E6360" s="439"/>
      <c r="F6360" s="1350"/>
      <c r="G6360" s="1350"/>
      <c r="H6360" s="1350"/>
      <c r="I6360" s="399" t="str">
        <f t="shared" si="228"/>
        <v/>
      </c>
      <c r="J6360" s="442"/>
      <c r="K6360" s="1263">
        <v>0</v>
      </c>
      <c r="L6360" s="461"/>
      <c r="M6360" s="461"/>
      <c r="N6360" s="461"/>
    </row>
    <row r="6361" spans="1:14" s="462" customFormat="1" hidden="1" outlineLevel="1">
      <c r="A6361" s="1261"/>
      <c r="B6361" s="260"/>
      <c r="C6361" s="457" t="s">
        <v>2</v>
      </c>
      <c r="D6361" s="440">
        <v>1</v>
      </c>
      <c r="E6361" s="439">
        <v>1</v>
      </c>
      <c r="F6361" s="1350">
        <v>2.09</v>
      </c>
      <c r="G6361" s="1350">
        <v>0.61</v>
      </c>
      <c r="H6361" s="1350">
        <v>0.82299999999999995</v>
      </c>
      <c r="I6361" s="399">
        <f t="shared" si="228"/>
        <v>1.05</v>
      </c>
      <c r="J6361" s="442"/>
      <c r="K6361" s="1263">
        <v>1.0492427</v>
      </c>
      <c r="L6361" s="461"/>
      <c r="M6361" s="461"/>
      <c r="N6361" s="461"/>
    </row>
    <row r="6362" spans="1:14" s="462" customFormat="1" hidden="1" outlineLevel="1">
      <c r="A6362" s="1261"/>
      <c r="B6362" s="260"/>
      <c r="C6362" s="457"/>
      <c r="D6362" s="440"/>
      <c r="E6362" s="439"/>
      <c r="F6362" s="1350"/>
      <c r="G6362" s="1350"/>
      <c r="H6362" s="1350"/>
      <c r="I6362" s="399" t="str">
        <f t="shared" si="228"/>
        <v/>
      </c>
      <c r="J6362" s="442"/>
      <c r="K6362" s="1263">
        <v>0</v>
      </c>
      <c r="L6362" s="461"/>
      <c r="M6362" s="461"/>
      <c r="N6362" s="461"/>
    </row>
    <row r="6363" spans="1:14" s="462" customFormat="1" hidden="1" outlineLevel="1">
      <c r="A6363" s="1261"/>
      <c r="B6363" s="260"/>
      <c r="C6363" s="457" t="s">
        <v>2</v>
      </c>
      <c r="D6363" s="440">
        <v>1</v>
      </c>
      <c r="E6363" s="439">
        <v>4</v>
      </c>
      <c r="F6363" s="1350">
        <v>2.9899999999999998</v>
      </c>
      <c r="G6363" s="1350">
        <v>0.61</v>
      </c>
      <c r="H6363" s="1350">
        <v>0.82299999999999995</v>
      </c>
      <c r="I6363" s="399">
        <f t="shared" si="228"/>
        <v>6</v>
      </c>
      <c r="J6363" s="442"/>
      <c r="K6363" s="1263">
        <v>6.0042787999999989</v>
      </c>
      <c r="L6363" s="461"/>
      <c r="M6363" s="461"/>
      <c r="N6363" s="461"/>
    </row>
    <row r="6364" spans="1:14" s="462" customFormat="1" hidden="1" outlineLevel="1">
      <c r="A6364" s="1261"/>
      <c r="B6364" s="260"/>
      <c r="C6364" s="457"/>
      <c r="D6364" s="440"/>
      <c r="E6364" s="439"/>
      <c r="F6364" s="1350"/>
      <c r="G6364" s="1350"/>
      <c r="H6364" s="1350"/>
      <c r="I6364" s="399" t="str">
        <f t="shared" si="228"/>
        <v/>
      </c>
      <c r="J6364" s="442"/>
      <c r="K6364" s="1263">
        <v>0</v>
      </c>
      <c r="L6364" s="461"/>
      <c r="M6364" s="461"/>
      <c r="N6364" s="461"/>
    </row>
    <row r="6365" spans="1:14" s="462" customFormat="1" hidden="1" outlineLevel="1">
      <c r="A6365" s="1261"/>
      <c r="B6365" s="260"/>
      <c r="C6365" s="457" t="s">
        <v>2</v>
      </c>
      <c r="D6365" s="440">
        <v>1</v>
      </c>
      <c r="E6365" s="439">
        <v>2</v>
      </c>
      <c r="F6365" s="1350">
        <v>5.0900000000000007</v>
      </c>
      <c r="G6365" s="1350">
        <v>0.61</v>
      </c>
      <c r="H6365" s="1350">
        <v>0.82299999999999995</v>
      </c>
      <c r="I6365" s="399">
        <f t="shared" ref="I6365:I6428" si="229">IF(D6365&lt;&gt;0,ROUND(PRODUCT(E6365:H6365)*D6365,2),"")</f>
        <v>5.1100000000000003</v>
      </c>
      <c r="J6365" s="442"/>
      <c r="K6365" s="1263">
        <v>5.1106654000000002</v>
      </c>
      <c r="L6365" s="461"/>
      <c r="M6365" s="461"/>
      <c r="N6365" s="461"/>
    </row>
    <row r="6366" spans="1:14" s="462" customFormat="1" hidden="1" outlineLevel="1">
      <c r="A6366" s="1261"/>
      <c r="B6366" s="260"/>
      <c r="C6366" s="457"/>
      <c r="D6366" s="440"/>
      <c r="E6366" s="439"/>
      <c r="F6366" s="1350"/>
      <c r="G6366" s="1350"/>
      <c r="H6366" s="1350"/>
      <c r="I6366" s="399" t="str">
        <f t="shared" si="229"/>
        <v/>
      </c>
      <c r="J6366" s="442"/>
      <c r="K6366" s="1263">
        <v>0</v>
      </c>
      <c r="L6366" s="461"/>
      <c r="M6366" s="461"/>
      <c r="N6366" s="461"/>
    </row>
    <row r="6367" spans="1:14" s="462" customFormat="1" hidden="1" outlineLevel="1">
      <c r="A6367" s="1261"/>
      <c r="B6367" s="260"/>
      <c r="C6367" s="457" t="s">
        <v>2</v>
      </c>
      <c r="D6367" s="440">
        <v>1</v>
      </c>
      <c r="E6367" s="439">
        <v>2</v>
      </c>
      <c r="F6367" s="1350">
        <v>4.79</v>
      </c>
      <c r="G6367" s="1350">
        <v>0.61</v>
      </c>
      <c r="H6367" s="1350">
        <v>0.82299999999999995</v>
      </c>
      <c r="I6367" s="399">
        <f t="shared" si="229"/>
        <v>4.8099999999999996</v>
      </c>
      <c r="J6367" s="442"/>
      <c r="K6367" s="1263">
        <v>4.8094473999999998</v>
      </c>
      <c r="L6367" s="461"/>
      <c r="M6367" s="461"/>
      <c r="N6367" s="461"/>
    </row>
    <row r="6368" spans="1:14" s="462" customFormat="1" hidden="1" outlineLevel="1">
      <c r="A6368" s="1261"/>
      <c r="B6368" s="260"/>
      <c r="C6368" s="457"/>
      <c r="D6368" s="440"/>
      <c r="E6368" s="439"/>
      <c r="F6368" s="1350"/>
      <c r="G6368" s="1350"/>
      <c r="H6368" s="1350"/>
      <c r="I6368" s="399" t="str">
        <f t="shared" si="229"/>
        <v/>
      </c>
      <c r="J6368" s="442"/>
      <c r="K6368" s="1263">
        <v>0</v>
      </c>
      <c r="L6368" s="461"/>
      <c r="M6368" s="461"/>
      <c r="N6368" s="461"/>
    </row>
    <row r="6369" spans="1:14" s="462" customFormat="1" hidden="1" outlineLevel="1">
      <c r="A6369" s="1261"/>
      <c r="B6369" s="260"/>
      <c r="C6369" s="457" t="s">
        <v>2</v>
      </c>
      <c r="D6369" s="440">
        <v>1</v>
      </c>
      <c r="E6369" s="439">
        <v>2</v>
      </c>
      <c r="F6369" s="1350">
        <v>5.69</v>
      </c>
      <c r="G6369" s="1350">
        <v>0.61</v>
      </c>
      <c r="H6369" s="1350">
        <v>0.82299999999999995</v>
      </c>
      <c r="I6369" s="399">
        <f t="shared" si="229"/>
        <v>5.71</v>
      </c>
      <c r="J6369" s="442"/>
      <c r="K6369" s="1263">
        <v>5.7131014000000002</v>
      </c>
      <c r="L6369" s="461"/>
      <c r="M6369" s="461"/>
      <c r="N6369" s="461"/>
    </row>
    <row r="6370" spans="1:14" s="462" customFormat="1" hidden="1" outlineLevel="1">
      <c r="A6370" s="1261"/>
      <c r="B6370" s="260"/>
      <c r="C6370" s="457"/>
      <c r="D6370" s="440"/>
      <c r="E6370" s="439"/>
      <c r="F6370" s="1350"/>
      <c r="G6370" s="1350"/>
      <c r="H6370" s="1350"/>
      <c r="I6370" s="399" t="str">
        <f t="shared" si="229"/>
        <v/>
      </c>
      <c r="J6370" s="442"/>
      <c r="K6370" s="1263">
        <v>0</v>
      </c>
      <c r="L6370" s="461"/>
      <c r="M6370" s="461"/>
      <c r="N6370" s="461"/>
    </row>
    <row r="6371" spans="1:14" s="462" customFormat="1" hidden="1" outlineLevel="1">
      <c r="A6371" s="1261"/>
      <c r="B6371" s="260"/>
      <c r="C6371" s="457" t="s">
        <v>2</v>
      </c>
      <c r="D6371" s="440">
        <v>1</v>
      </c>
      <c r="E6371" s="439">
        <v>2</v>
      </c>
      <c r="F6371" s="1350">
        <v>6.5900000000000007</v>
      </c>
      <c r="G6371" s="1350">
        <v>0.61</v>
      </c>
      <c r="H6371" s="1350">
        <v>0.82299999999999995</v>
      </c>
      <c r="I6371" s="399">
        <f t="shared" si="229"/>
        <v>6.62</v>
      </c>
      <c r="J6371" s="442"/>
      <c r="K6371" s="1263">
        <v>6.6167554000000006</v>
      </c>
      <c r="L6371" s="461"/>
      <c r="M6371" s="461"/>
      <c r="N6371" s="461"/>
    </row>
    <row r="6372" spans="1:14" s="462" customFormat="1" hidden="1" outlineLevel="1">
      <c r="A6372" s="1261"/>
      <c r="B6372" s="260"/>
      <c r="C6372" s="457"/>
      <c r="D6372" s="440"/>
      <c r="E6372" s="439"/>
      <c r="F6372" s="1350"/>
      <c r="G6372" s="1350"/>
      <c r="H6372" s="1350"/>
      <c r="I6372" s="399" t="str">
        <f t="shared" si="229"/>
        <v/>
      </c>
      <c r="J6372" s="442"/>
      <c r="K6372" s="1263">
        <v>0</v>
      </c>
      <c r="L6372" s="461"/>
      <c r="M6372" s="461"/>
      <c r="N6372" s="461"/>
    </row>
    <row r="6373" spans="1:14" s="462" customFormat="1" hidden="1" outlineLevel="1">
      <c r="A6373" s="1261"/>
      <c r="B6373" s="260"/>
      <c r="C6373" s="457" t="s">
        <v>2</v>
      </c>
      <c r="D6373" s="440">
        <v>1</v>
      </c>
      <c r="E6373" s="439">
        <v>1</v>
      </c>
      <c r="F6373" s="1350">
        <v>7.79</v>
      </c>
      <c r="G6373" s="1350">
        <v>0.61</v>
      </c>
      <c r="H6373" s="1350">
        <v>0.82299999999999995</v>
      </c>
      <c r="I6373" s="399">
        <f t="shared" si="229"/>
        <v>3.91</v>
      </c>
      <c r="J6373" s="442"/>
      <c r="K6373" s="1263">
        <v>3.9108136999999998</v>
      </c>
      <c r="L6373" s="461"/>
      <c r="M6373" s="461"/>
      <c r="N6373" s="461"/>
    </row>
    <row r="6374" spans="1:14" s="462" customFormat="1" hidden="1" outlineLevel="1">
      <c r="A6374" s="1261"/>
      <c r="B6374" s="260"/>
      <c r="C6374" s="457"/>
      <c r="D6374" s="440"/>
      <c r="E6374" s="439"/>
      <c r="F6374" s="1350"/>
      <c r="G6374" s="1350"/>
      <c r="H6374" s="1350"/>
      <c r="I6374" s="399" t="str">
        <f t="shared" si="229"/>
        <v/>
      </c>
      <c r="J6374" s="442"/>
      <c r="K6374" s="1263">
        <v>0</v>
      </c>
      <c r="L6374" s="461"/>
      <c r="M6374" s="461"/>
      <c r="N6374" s="461"/>
    </row>
    <row r="6375" spans="1:14" s="462" customFormat="1" hidden="1" outlineLevel="1">
      <c r="A6375" s="1261"/>
      <c r="B6375" s="260"/>
      <c r="C6375" s="457" t="s">
        <v>2</v>
      </c>
      <c r="D6375" s="440">
        <v>1</v>
      </c>
      <c r="E6375" s="439">
        <v>1</v>
      </c>
      <c r="F6375" s="1350">
        <v>2.11</v>
      </c>
      <c r="G6375" s="1350">
        <v>0.61</v>
      </c>
      <c r="H6375" s="1350">
        <v>0.82299999999999995</v>
      </c>
      <c r="I6375" s="399">
        <f t="shared" si="229"/>
        <v>1.06</v>
      </c>
      <c r="J6375" s="442"/>
      <c r="K6375" s="1263">
        <v>1.0592832999999999</v>
      </c>
      <c r="L6375" s="461"/>
      <c r="M6375" s="461"/>
      <c r="N6375" s="461"/>
    </row>
    <row r="6376" spans="1:14" s="462" customFormat="1" hidden="1" outlineLevel="1">
      <c r="A6376" s="1261"/>
      <c r="B6376" s="260"/>
      <c r="C6376" s="457"/>
      <c r="D6376" s="440"/>
      <c r="E6376" s="439"/>
      <c r="F6376" s="1350"/>
      <c r="G6376" s="1350"/>
      <c r="H6376" s="1350"/>
      <c r="I6376" s="399" t="str">
        <f t="shared" si="229"/>
        <v/>
      </c>
      <c r="J6376" s="442"/>
      <c r="K6376" s="1263">
        <v>0</v>
      </c>
      <c r="L6376" s="461"/>
      <c r="M6376" s="461"/>
      <c r="N6376" s="461"/>
    </row>
    <row r="6377" spans="1:14" s="462" customFormat="1" hidden="1" outlineLevel="1">
      <c r="A6377" s="1261"/>
      <c r="B6377" s="260" t="s">
        <v>235</v>
      </c>
      <c r="C6377" s="457" t="s">
        <v>2</v>
      </c>
      <c r="D6377" s="440">
        <v>1</v>
      </c>
      <c r="E6377" s="439">
        <v>1</v>
      </c>
      <c r="F6377" s="1350">
        <v>11.38</v>
      </c>
      <c r="G6377" s="1350">
        <v>0.61</v>
      </c>
      <c r="H6377" s="1350">
        <v>0.82299999999999995</v>
      </c>
      <c r="I6377" s="399">
        <f t="shared" si="229"/>
        <v>5.71</v>
      </c>
      <c r="J6377" s="442"/>
      <c r="K6377" s="1263">
        <v>5.9741569999999999</v>
      </c>
      <c r="L6377" s="461"/>
      <c r="M6377" s="461"/>
      <c r="N6377" s="461"/>
    </row>
    <row r="6378" spans="1:14" s="462" customFormat="1" hidden="1" outlineLevel="1">
      <c r="A6378" s="1261"/>
      <c r="B6378" s="260" t="s">
        <v>520</v>
      </c>
      <c r="C6378" s="457" t="s">
        <v>2</v>
      </c>
      <c r="D6378" s="440">
        <v>1</v>
      </c>
      <c r="E6378" s="439">
        <v>4</v>
      </c>
      <c r="F6378" s="1350">
        <v>3.3</v>
      </c>
      <c r="G6378" s="1350">
        <v>0.22</v>
      </c>
      <c r="H6378" s="1350">
        <v>0.82299999999999995</v>
      </c>
      <c r="I6378" s="399">
        <f t="shared" si="229"/>
        <v>2.39</v>
      </c>
      <c r="J6378" s="442"/>
      <c r="K6378" s="1263">
        <v>2.3899919999999999</v>
      </c>
      <c r="L6378" s="461"/>
      <c r="M6378" s="461"/>
      <c r="N6378" s="461"/>
    </row>
    <row r="6379" spans="1:14" s="462" customFormat="1" hidden="1" outlineLevel="1">
      <c r="A6379" s="1261"/>
      <c r="B6379" s="260"/>
      <c r="C6379" s="457"/>
      <c r="D6379" s="440"/>
      <c r="E6379" s="439"/>
      <c r="F6379" s="1350"/>
      <c r="G6379" s="1350"/>
      <c r="H6379" s="1350"/>
      <c r="I6379" s="399" t="str">
        <f t="shared" si="229"/>
        <v/>
      </c>
      <c r="J6379" s="442"/>
      <c r="K6379" s="1263">
        <v>0</v>
      </c>
      <c r="L6379" s="461"/>
      <c r="M6379" s="461"/>
      <c r="N6379" s="461"/>
    </row>
    <row r="6380" spans="1:14" s="462" customFormat="1" hidden="1" outlineLevel="1">
      <c r="A6380" s="1261"/>
      <c r="B6380" s="260" t="s">
        <v>236</v>
      </c>
      <c r="C6380" s="457" t="s">
        <v>2</v>
      </c>
      <c r="D6380" s="440">
        <v>1</v>
      </c>
      <c r="E6380" s="439">
        <v>3</v>
      </c>
      <c r="F6380" s="1350">
        <v>0.61499999999999999</v>
      </c>
      <c r="G6380" s="1350">
        <v>0.61</v>
      </c>
      <c r="H6380" s="1350">
        <v>0.82299999999999995</v>
      </c>
      <c r="I6380" s="399">
        <f t="shared" si="229"/>
        <v>0.93</v>
      </c>
      <c r="J6380" s="442"/>
      <c r="K6380" s="1263">
        <v>0.92624534999999997</v>
      </c>
      <c r="L6380" s="461"/>
      <c r="M6380" s="461"/>
      <c r="N6380" s="461"/>
    </row>
    <row r="6381" spans="1:14" s="462" customFormat="1" hidden="1" outlineLevel="1">
      <c r="A6381" s="1261"/>
      <c r="B6381" s="260"/>
      <c r="C6381" s="457"/>
      <c r="D6381" s="440"/>
      <c r="E6381" s="439"/>
      <c r="F6381" s="1350"/>
      <c r="G6381" s="1350"/>
      <c r="H6381" s="1350"/>
      <c r="I6381" s="399" t="str">
        <f t="shared" si="229"/>
        <v/>
      </c>
      <c r="J6381" s="442"/>
      <c r="K6381" s="1263">
        <v>0</v>
      </c>
      <c r="L6381" s="461"/>
      <c r="M6381" s="461"/>
      <c r="N6381" s="461"/>
    </row>
    <row r="6382" spans="1:14" s="462" customFormat="1" hidden="1" outlineLevel="1">
      <c r="A6382" s="1261"/>
      <c r="B6382" s="260"/>
      <c r="C6382" s="457" t="s">
        <v>2</v>
      </c>
      <c r="D6382" s="440">
        <v>1</v>
      </c>
      <c r="E6382" s="439">
        <v>6</v>
      </c>
      <c r="F6382" s="1350">
        <v>3.36</v>
      </c>
      <c r="G6382" s="1350">
        <v>0.61</v>
      </c>
      <c r="H6382" s="1350">
        <v>0.82299999999999995</v>
      </c>
      <c r="I6382" s="399">
        <f t="shared" si="229"/>
        <v>10.119999999999999</v>
      </c>
      <c r="J6382" s="442"/>
      <c r="K6382" s="1263">
        <v>10.120924799999999</v>
      </c>
      <c r="L6382" s="461"/>
      <c r="M6382" s="461"/>
      <c r="N6382" s="461"/>
    </row>
    <row r="6383" spans="1:14" s="462" customFormat="1" hidden="1" outlineLevel="1">
      <c r="A6383" s="1261"/>
      <c r="B6383" s="260"/>
      <c r="C6383" s="457"/>
      <c r="D6383" s="440"/>
      <c r="E6383" s="439"/>
      <c r="F6383" s="1350"/>
      <c r="G6383" s="1350"/>
      <c r="H6383" s="1350"/>
      <c r="I6383" s="399" t="str">
        <f t="shared" si="229"/>
        <v/>
      </c>
      <c r="J6383" s="442"/>
      <c r="K6383" s="1263">
        <v>0</v>
      </c>
      <c r="L6383" s="461"/>
      <c r="M6383" s="461"/>
      <c r="N6383" s="461"/>
    </row>
    <row r="6384" spans="1:14" s="462" customFormat="1" hidden="1" outlineLevel="1">
      <c r="A6384" s="1261"/>
      <c r="B6384" s="260"/>
      <c r="C6384" s="457" t="s">
        <v>2</v>
      </c>
      <c r="D6384" s="440">
        <v>1</v>
      </c>
      <c r="E6384" s="439">
        <v>7</v>
      </c>
      <c r="F6384" s="1350">
        <v>0.90999999999999992</v>
      </c>
      <c r="G6384" s="1350">
        <v>0.61</v>
      </c>
      <c r="H6384" s="1350">
        <v>0.82299999999999995</v>
      </c>
      <c r="I6384" s="399">
        <f t="shared" si="229"/>
        <v>3.2</v>
      </c>
      <c r="J6384" s="442"/>
      <c r="K6384" s="1263">
        <v>3.1979310999999995</v>
      </c>
      <c r="L6384" s="461"/>
      <c r="M6384" s="461"/>
      <c r="N6384" s="461"/>
    </row>
    <row r="6385" spans="1:14" s="462" customFormat="1" hidden="1" outlineLevel="1">
      <c r="A6385" s="1261"/>
      <c r="B6385" s="260"/>
      <c r="C6385" s="457"/>
      <c r="D6385" s="440"/>
      <c r="E6385" s="439"/>
      <c r="F6385" s="1350"/>
      <c r="G6385" s="1350"/>
      <c r="H6385" s="1350"/>
      <c r="I6385" s="399" t="str">
        <f t="shared" si="229"/>
        <v/>
      </c>
      <c r="J6385" s="442"/>
      <c r="K6385" s="1263">
        <v>0</v>
      </c>
      <c r="L6385" s="461"/>
      <c r="M6385" s="461"/>
      <c r="N6385" s="461"/>
    </row>
    <row r="6386" spans="1:14" s="462" customFormat="1" hidden="1" outlineLevel="1">
      <c r="A6386" s="1261"/>
      <c r="B6386" s="260"/>
      <c r="C6386" s="457" t="s">
        <v>2</v>
      </c>
      <c r="D6386" s="440">
        <v>1</v>
      </c>
      <c r="E6386" s="439">
        <v>1</v>
      </c>
      <c r="F6386" s="1350">
        <v>2.1350000000000002</v>
      </c>
      <c r="G6386" s="1350">
        <v>0.61</v>
      </c>
      <c r="H6386" s="1350">
        <v>0.82299999999999995</v>
      </c>
      <c r="I6386" s="399">
        <f t="shared" si="229"/>
        <v>1.07</v>
      </c>
      <c r="J6386" s="442"/>
      <c r="K6386" s="1263">
        <v>1.0718340500000001</v>
      </c>
      <c r="L6386" s="461"/>
      <c r="M6386" s="461"/>
      <c r="N6386" s="461"/>
    </row>
    <row r="6387" spans="1:14" s="462" customFormat="1" hidden="1" outlineLevel="1">
      <c r="A6387" s="1261"/>
      <c r="B6387" s="260"/>
      <c r="C6387" s="457"/>
      <c r="D6387" s="440"/>
      <c r="E6387" s="439"/>
      <c r="F6387" s="1350"/>
      <c r="G6387" s="1350"/>
      <c r="H6387" s="1350"/>
      <c r="I6387" s="399" t="str">
        <f t="shared" si="229"/>
        <v/>
      </c>
      <c r="J6387" s="442"/>
      <c r="K6387" s="1263">
        <v>0</v>
      </c>
      <c r="L6387" s="461"/>
      <c r="M6387" s="461"/>
      <c r="N6387" s="461"/>
    </row>
    <row r="6388" spans="1:14" s="462" customFormat="1" ht="51.75" hidden="1" outlineLevel="1">
      <c r="A6388" s="1261"/>
      <c r="B6388" s="260" t="s">
        <v>521</v>
      </c>
      <c r="C6388" s="457"/>
      <c r="D6388" s="440"/>
      <c r="E6388" s="439"/>
      <c r="F6388" s="1350"/>
      <c r="G6388" s="1350"/>
      <c r="H6388" s="1350"/>
      <c r="I6388" s="399" t="str">
        <f t="shared" si="229"/>
        <v/>
      </c>
      <c r="J6388" s="442"/>
      <c r="K6388" s="1263"/>
      <c r="L6388" s="461"/>
      <c r="M6388" s="461"/>
      <c r="N6388" s="461"/>
    </row>
    <row r="6389" spans="1:14" s="462" customFormat="1" hidden="1" outlineLevel="1">
      <c r="A6389" s="1261" t="s">
        <v>591</v>
      </c>
      <c r="B6389" s="260" t="s">
        <v>522</v>
      </c>
      <c r="C6389" s="457" t="s">
        <v>2</v>
      </c>
      <c r="D6389" s="440">
        <v>1</v>
      </c>
      <c r="E6389" s="439">
        <v>1</v>
      </c>
      <c r="F6389" s="1350">
        <v>19.75</v>
      </c>
      <c r="G6389" s="1350">
        <v>0.61</v>
      </c>
      <c r="H6389" s="1350">
        <v>0.82299999999999995</v>
      </c>
      <c r="I6389" s="399">
        <f t="shared" si="229"/>
        <v>9.92</v>
      </c>
      <c r="J6389" s="442"/>
      <c r="K6389" s="1263">
        <v>9.9150924999999983</v>
      </c>
      <c r="L6389" s="461"/>
      <c r="M6389" s="461"/>
      <c r="N6389" s="461"/>
    </row>
    <row r="6390" spans="1:14" s="462" customFormat="1" hidden="1" outlineLevel="1">
      <c r="A6390" s="1261"/>
      <c r="B6390" s="260" t="s">
        <v>239</v>
      </c>
      <c r="C6390" s="457" t="s">
        <v>2</v>
      </c>
      <c r="D6390" s="440">
        <v>1</v>
      </c>
      <c r="E6390" s="439">
        <v>3</v>
      </c>
      <c r="F6390" s="1350">
        <v>3.3</v>
      </c>
      <c r="G6390" s="1350">
        <v>0.22</v>
      </c>
      <c r="H6390" s="1350">
        <v>0.82299999999999995</v>
      </c>
      <c r="I6390" s="399">
        <f t="shared" si="229"/>
        <v>1.79</v>
      </c>
      <c r="J6390" s="442"/>
      <c r="K6390" s="1263">
        <v>1.7924939999999996</v>
      </c>
      <c r="L6390" s="461"/>
      <c r="M6390" s="461"/>
      <c r="N6390" s="461"/>
    </row>
    <row r="6391" spans="1:14" s="462" customFormat="1" hidden="1" outlineLevel="1">
      <c r="A6391" s="1261"/>
      <c r="B6391" s="260"/>
      <c r="C6391" s="457"/>
      <c r="D6391" s="440"/>
      <c r="E6391" s="439"/>
      <c r="F6391" s="1350"/>
      <c r="G6391" s="1350"/>
      <c r="H6391" s="1350"/>
      <c r="I6391" s="399" t="str">
        <f t="shared" si="229"/>
        <v/>
      </c>
      <c r="J6391" s="442"/>
      <c r="K6391" s="1263">
        <v>0</v>
      </c>
      <c r="L6391" s="461"/>
      <c r="M6391" s="461"/>
      <c r="N6391" s="461"/>
    </row>
    <row r="6392" spans="1:14" s="462" customFormat="1" hidden="1" outlineLevel="1">
      <c r="A6392" s="1261"/>
      <c r="B6392" s="260" t="s">
        <v>240</v>
      </c>
      <c r="C6392" s="457" t="s">
        <v>2</v>
      </c>
      <c r="D6392" s="440">
        <v>2</v>
      </c>
      <c r="E6392" s="439">
        <v>1</v>
      </c>
      <c r="F6392" s="1350">
        <v>2</v>
      </c>
      <c r="G6392" s="1350">
        <v>0.61</v>
      </c>
      <c r="H6392" s="1350">
        <v>0.82299999999999995</v>
      </c>
      <c r="I6392" s="399">
        <f t="shared" si="229"/>
        <v>2.0099999999999998</v>
      </c>
      <c r="J6392" s="442"/>
      <c r="K6392" s="1263">
        <v>2.0081199999999999</v>
      </c>
      <c r="L6392" s="461"/>
      <c r="M6392" s="461"/>
      <c r="N6392" s="461"/>
    </row>
    <row r="6393" spans="1:14" s="462" customFormat="1" hidden="1" outlineLevel="1">
      <c r="A6393" s="1261"/>
      <c r="B6393" s="260"/>
      <c r="C6393" s="457"/>
      <c r="D6393" s="440"/>
      <c r="E6393" s="439"/>
      <c r="F6393" s="1350"/>
      <c r="G6393" s="1350"/>
      <c r="H6393" s="1350"/>
      <c r="I6393" s="399" t="str">
        <f t="shared" si="229"/>
        <v/>
      </c>
      <c r="J6393" s="442"/>
      <c r="K6393" s="1263"/>
      <c r="L6393" s="461"/>
      <c r="M6393" s="461"/>
      <c r="N6393" s="461"/>
    </row>
    <row r="6394" spans="1:14" s="462" customFormat="1" hidden="1" outlineLevel="1">
      <c r="A6394" s="1261"/>
      <c r="B6394" s="260"/>
      <c r="C6394" s="457" t="s">
        <v>2</v>
      </c>
      <c r="D6394" s="440">
        <v>1</v>
      </c>
      <c r="E6394" s="439">
        <v>3</v>
      </c>
      <c r="F6394" s="1350">
        <v>2.4350000000000001</v>
      </c>
      <c r="G6394" s="1350">
        <v>0.61</v>
      </c>
      <c r="H6394" s="1350">
        <v>0.82299999999999995</v>
      </c>
      <c r="I6394" s="399">
        <f t="shared" si="229"/>
        <v>3.67</v>
      </c>
      <c r="J6394" s="442"/>
      <c r="K6394" s="1263">
        <v>3.6673291499999991</v>
      </c>
      <c r="L6394" s="461"/>
      <c r="M6394" s="461"/>
      <c r="N6394" s="461"/>
    </row>
    <row r="6395" spans="1:14" s="462" customFormat="1" hidden="1" outlineLevel="1">
      <c r="A6395" s="1261"/>
      <c r="B6395" s="260"/>
      <c r="C6395" s="457"/>
      <c r="D6395" s="440"/>
      <c r="E6395" s="439"/>
      <c r="F6395" s="1350"/>
      <c r="G6395" s="1350"/>
      <c r="H6395" s="1350"/>
      <c r="I6395" s="399" t="str">
        <f t="shared" si="229"/>
        <v/>
      </c>
      <c r="J6395" s="442"/>
      <c r="K6395" s="1263"/>
      <c r="L6395" s="461"/>
      <c r="M6395" s="461"/>
      <c r="N6395" s="461"/>
    </row>
    <row r="6396" spans="1:14" s="462" customFormat="1" hidden="1" outlineLevel="1">
      <c r="A6396" s="1261"/>
      <c r="B6396" s="260"/>
      <c r="C6396" s="457" t="s">
        <v>2</v>
      </c>
      <c r="D6396" s="440">
        <v>1</v>
      </c>
      <c r="E6396" s="439">
        <v>1</v>
      </c>
      <c r="F6396" s="1350">
        <v>2.44</v>
      </c>
      <c r="G6396" s="1350">
        <v>0.61</v>
      </c>
      <c r="H6396" s="1350">
        <v>0.82299999999999995</v>
      </c>
      <c r="I6396" s="399">
        <f t="shared" si="229"/>
        <v>1.22</v>
      </c>
      <c r="J6396" s="442"/>
      <c r="K6396" s="1263">
        <v>1.2249531999999999</v>
      </c>
      <c r="L6396" s="461"/>
      <c r="M6396" s="461"/>
      <c r="N6396" s="461"/>
    </row>
    <row r="6397" spans="1:14" s="462" customFormat="1" hidden="1" outlineLevel="1">
      <c r="A6397" s="1261"/>
      <c r="B6397" s="260"/>
      <c r="C6397" s="457"/>
      <c r="D6397" s="440"/>
      <c r="E6397" s="439"/>
      <c r="F6397" s="1350"/>
      <c r="G6397" s="1350"/>
      <c r="H6397" s="1350"/>
      <c r="I6397" s="399" t="str">
        <f t="shared" si="229"/>
        <v/>
      </c>
      <c r="J6397" s="442"/>
      <c r="K6397" s="1263"/>
      <c r="L6397" s="461"/>
      <c r="M6397" s="461"/>
      <c r="N6397" s="461"/>
    </row>
    <row r="6398" spans="1:14" s="462" customFormat="1" hidden="1" outlineLevel="1">
      <c r="A6398" s="1261"/>
      <c r="B6398" s="260"/>
      <c r="C6398" s="457" t="s">
        <v>2</v>
      </c>
      <c r="D6398" s="440">
        <v>1</v>
      </c>
      <c r="E6398" s="439">
        <v>1</v>
      </c>
      <c r="F6398" s="1350">
        <v>2.13</v>
      </c>
      <c r="G6398" s="1350">
        <v>0.61</v>
      </c>
      <c r="H6398" s="1350">
        <v>0.82299999999999995</v>
      </c>
      <c r="I6398" s="399">
        <f t="shared" si="229"/>
        <v>1.07</v>
      </c>
      <c r="J6398" s="442"/>
      <c r="K6398" s="1263">
        <v>1.0693238999999999</v>
      </c>
      <c r="L6398" s="461"/>
      <c r="M6398" s="461"/>
      <c r="N6398" s="461"/>
    </row>
    <row r="6399" spans="1:14" s="462" customFormat="1" hidden="1" outlineLevel="1">
      <c r="A6399" s="1261"/>
      <c r="B6399" s="260"/>
      <c r="C6399" s="457"/>
      <c r="D6399" s="440"/>
      <c r="E6399" s="439"/>
      <c r="F6399" s="1350"/>
      <c r="G6399" s="1350"/>
      <c r="H6399" s="1350"/>
      <c r="I6399" s="399" t="str">
        <f t="shared" si="229"/>
        <v/>
      </c>
      <c r="J6399" s="442"/>
      <c r="K6399" s="1263"/>
      <c r="L6399" s="461"/>
      <c r="M6399" s="461"/>
      <c r="N6399" s="461"/>
    </row>
    <row r="6400" spans="1:14" s="462" customFormat="1" hidden="1" outlineLevel="1">
      <c r="A6400" s="1261"/>
      <c r="B6400" s="260"/>
      <c r="C6400" s="457" t="s">
        <v>2</v>
      </c>
      <c r="D6400" s="440">
        <v>1</v>
      </c>
      <c r="E6400" s="439">
        <v>1</v>
      </c>
      <c r="F6400" s="1350">
        <v>2.09</v>
      </c>
      <c r="G6400" s="1350">
        <v>0.61</v>
      </c>
      <c r="H6400" s="1350">
        <v>0.82299999999999995</v>
      </c>
      <c r="I6400" s="399">
        <f t="shared" si="229"/>
        <v>1.05</v>
      </c>
      <c r="J6400" s="442"/>
      <c r="K6400" s="1263">
        <v>1.0492427</v>
      </c>
      <c r="L6400" s="461"/>
      <c r="M6400" s="461"/>
      <c r="N6400" s="461"/>
    </row>
    <row r="6401" spans="1:14" s="462" customFormat="1" hidden="1" outlineLevel="1">
      <c r="A6401" s="1261"/>
      <c r="B6401" s="260"/>
      <c r="C6401" s="457"/>
      <c r="D6401" s="440"/>
      <c r="E6401" s="439"/>
      <c r="F6401" s="1350"/>
      <c r="G6401" s="1350"/>
      <c r="H6401" s="1350"/>
      <c r="I6401" s="399" t="str">
        <f t="shared" si="229"/>
        <v/>
      </c>
      <c r="J6401" s="442"/>
      <c r="K6401" s="1263"/>
      <c r="L6401" s="461"/>
      <c r="M6401" s="461"/>
      <c r="N6401" s="461"/>
    </row>
    <row r="6402" spans="1:14" s="462" customFormat="1" hidden="1" outlineLevel="1">
      <c r="A6402" s="1261"/>
      <c r="B6402" s="260"/>
      <c r="C6402" s="457" t="s">
        <v>2</v>
      </c>
      <c r="D6402" s="440">
        <v>1</v>
      </c>
      <c r="E6402" s="439">
        <v>2</v>
      </c>
      <c r="F6402" s="1350">
        <v>5.3449999999999998</v>
      </c>
      <c r="G6402" s="1350">
        <v>0.61</v>
      </c>
      <c r="H6402" s="1350">
        <v>0.82299999999999995</v>
      </c>
      <c r="I6402" s="399">
        <f t="shared" si="229"/>
        <v>5.37</v>
      </c>
      <c r="J6402" s="442"/>
      <c r="K6402" s="1263">
        <v>5.3667006999999991</v>
      </c>
      <c r="L6402" s="461"/>
      <c r="M6402" s="461"/>
      <c r="N6402" s="461"/>
    </row>
    <row r="6403" spans="1:14" s="462" customFormat="1" hidden="1" outlineLevel="1">
      <c r="A6403" s="1261"/>
      <c r="B6403" s="260"/>
      <c r="C6403" s="457"/>
      <c r="D6403" s="440"/>
      <c r="E6403" s="439"/>
      <c r="F6403" s="1350"/>
      <c r="G6403" s="1350"/>
      <c r="H6403" s="1350"/>
      <c r="I6403" s="399" t="str">
        <f t="shared" si="229"/>
        <v/>
      </c>
      <c r="J6403" s="442"/>
      <c r="K6403" s="1263"/>
      <c r="L6403" s="461"/>
      <c r="M6403" s="461"/>
      <c r="N6403" s="461"/>
    </row>
    <row r="6404" spans="1:14" s="462" customFormat="1" hidden="1" outlineLevel="1">
      <c r="A6404" s="1261"/>
      <c r="B6404" s="260"/>
      <c r="C6404" s="457" t="s">
        <v>2</v>
      </c>
      <c r="D6404" s="440">
        <v>1</v>
      </c>
      <c r="E6404" s="439">
        <v>2</v>
      </c>
      <c r="F6404" s="1350">
        <v>6.38</v>
      </c>
      <c r="G6404" s="1350">
        <v>0.61</v>
      </c>
      <c r="H6404" s="1350">
        <v>0.82299999999999995</v>
      </c>
      <c r="I6404" s="399">
        <f t="shared" si="229"/>
        <v>6.41</v>
      </c>
      <c r="J6404" s="442"/>
      <c r="K6404" s="1263">
        <v>6.4059027999999998</v>
      </c>
      <c r="L6404" s="461"/>
      <c r="M6404" s="461"/>
      <c r="N6404" s="461"/>
    </row>
    <row r="6405" spans="1:14" s="462" customFormat="1" hidden="1" outlineLevel="1">
      <c r="A6405" s="1261"/>
      <c r="B6405" s="260"/>
      <c r="C6405" s="457"/>
      <c r="D6405" s="440"/>
      <c r="E6405" s="439"/>
      <c r="F6405" s="1350"/>
      <c r="G6405" s="1350"/>
      <c r="H6405" s="1350"/>
      <c r="I6405" s="399" t="str">
        <f t="shared" si="229"/>
        <v/>
      </c>
      <c r="J6405" s="442"/>
      <c r="K6405" s="1263"/>
      <c r="L6405" s="461"/>
      <c r="M6405" s="461"/>
      <c r="N6405" s="461"/>
    </row>
    <row r="6406" spans="1:14" s="462" customFormat="1" hidden="1" outlineLevel="1">
      <c r="A6406" s="1261"/>
      <c r="B6406" s="260"/>
      <c r="C6406" s="457" t="s">
        <v>2</v>
      </c>
      <c r="D6406" s="440">
        <v>1</v>
      </c>
      <c r="E6406" s="439">
        <v>2</v>
      </c>
      <c r="F6406" s="1350">
        <v>6.95</v>
      </c>
      <c r="G6406" s="1350">
        <v>0.61</v>
      </c>
      <c r="H6406" s="1350">
        <v>0.82299999999999995</v>
      </c>
      <c r="I6406" s="399">
        <f t="shared" si="229"/>
        <v>6.98</v>
      </c>
      <c r="J6406" s="442"/>
      <c r="K6406" s="1263">
        <v>6.978216999999999</v>
      </c>
      <c r="L6406" s="461"/>
      <c r="M6406" s="461"/>
      <c r="N6406" s="461"/>
    </row>
    <row r="6407" spans="1:14" s="462" customFormat="1" hidden="1" outlineLevel="1">
      <c r="A6407" s="1261"/>
      <c r="B6407" s="260"/>
      <c r="C6407" s="457"/>
      <c r="D6407" s="440"/>
      <c r="E6407" s="439"/>
      <c r="F6407" s="1350"/>
      <c r="G6407" s="1350"/>
      <c r="H6407" s="1350"/>
      <c r="I6407" s="399" t="str">
        <f t="shared" si="229"/>
        <v/>
      </c>
      <c r="J6407" s="442"/>
      <c r="K6407" s="1263"/>
      <c r="L6407" s="461"/>
      <c r="M6407" s="461"/>
      <c r="N6407" s="461"/>
    </row>
    <row r="6408" spans="1:14" s="462" customFormat="1" hidden="1" outlineLevel="1">
      <c r="A6408" s="1261"/>
      <c r="B6408" s="260"/>
      <c r="C6408" s="457" t="s">
        <v>2</v>
      </c>
      <c r="D6408" s="440">
        <v>1</v>
      </c>
      <c r="E6408" s="439">
        <v>2</v>
      </c>
      <c r="F6408" s="1350">
        <v>6.12</v>
      </c>
      <c r="G6408" s="1350">
        <v>0.61</v>
      </c>
      <c r="H6408" s="1350">
        <v>0.82299999999999995</v>
      </c>
      <c r="I6408" s="399">
        <f t="shared" si="229"/>
        <v>6.14</v>
      </c>
      <c r="J6408" s="442"/>
      <c r="K6408" s="1263">
        <v>6.1448472000000001</v>
      </c>
      <c r="L6408" s="461"/>
      <c r="M6408" s="461"/>
      <c r="N6408" s="461"/>
    </row>
    <row r="6409" spans="1:14" s="462" customFormat="1" hidden="1" outlineLevel="1">
      <c r="A6409" s="1261"/>
      <c r="B6409" s="260"/>
      <c r="C6409" s="457"/>
      <c r="D6409" s="440"/>
      <c r="E6409" s="439"/>
      <c r="F6409" s="1350"/>
      <c r="G6409" s="1350"/>
      <c r="H6409" s="1350"/>
      <c r="I6409" s="399" t="str">
        <f t="shared" si="229"/>
        <v/>
      </c>
      <c r="J6409" s="442"/>
      <c r="K6409" s="1263"/>
      <c r="L6409" s="461"/>
      <c r="M6409" s="461"/>
      <c r="N6409" s="461"/>
    </row>
    <row r="6410" spans="1:14" s="462" customFormat="1" hidden="1" outlineLevel="1">
      <c r="A6410" s="1261"/>
      <c r="B6410" s="260"/>
      <c r="C6410" s="457" t="s">
        <v>2</v>
      </c>
      <c r="D6410" s="440">
        <v>1</v>
      </c>
      <c r="E6410" s="439">
        <v>2</v>
      </c>
      <c r="F6410" s="1350">
        <v>4.6449999999999996</v>
      </c>
      <c r="G6410" s="1350">
        <v>0.61</v>
      </c>
      <c r="H6410" s="1350">
        <v>0.82299999999999995</v>
      </c>
      <c r="I6410" s="399">
        <f t="shared" si="229"/>
        <v>4.66</v>
      </c>
      <c r="J6410" s="442"/>
      <c r="K6410" s="1263">
        <v>4.6638586999999987</v>
      </c>
      <c r="L6410" s="461"/>
      <c r="M6410" s="461"/>
      <c r="N6410" s="461"/>
    </row>
    <row r="6411" spans="1:14" s="462" customFormat="1" hidden="1" outlineLevel="1">
      <c r="A6411" s="1261"/>
      <c r="B6411" s="260"/>
      <c r="C6411" s="457"/>
      <c r="D6411" s="440"/>
      <c r="E6411" s="439"/>
      <c r="F6411" s="1350"/>
      <c r="G6411" s="1350"/>
      <c r="H6411" s="1350"/>
      <c r="I6411" s="399" t="str">
        <f t="shared" si="229"/>
        <v/>
      </c>
      <c r="J6411" s="442"/>
      <c r="K6411" s="1263"/>
      <c r="L6411" s="461"/>
      <c r="M6411" s="461"/>
      <c r="N6411" s="461"/>
    </row>
    <row r="6412" spans="1:14" s="462" customFormat="1" hidden="1" outlineLevel="1">
      <c r="A6412" s="1261"/>
      <c r="B6412" s="260"/>
      <c r="C6412" s="457" t="s">
        <v>2</v>
      </c>
      <c r="D6412" s="440">
        <v>1</v>
      </c>
      <c r="E6412" s="439">
        <v>2</v>
      </c>
      <c r="F6412" s="1350">
        <v>3</v>
      </c>
      <c r="G6412" s="1350">
        <v>0.61</v>
      </c>
      <c r="H6412" s="1350">
        <v>0.82299999999999995</v>
      </c>
      <c r="I6412" s="399">
        <f t="shared" si="229"/>
        <v>3.01</v>
      </c>
      <c r="J6412" s="442"/>
      <c r="K6412" s="1263">
        <v>3.0121799999999999</v>
      </c>
      <c r="L6412" s="461"/>
      <c r="M6412" s="461"/>
      <c r="N6412" s="461"/>
    </row>
    <row r="6413" spans="1:14" s="462" customFormat="1" hidden="1" outlineLevel="1">
      <c r="A6413" s="1261"/>
      <c r="B6413" s="260"/>
      <c r="C6413" s="457"/>
      <c r="D6413" s="440"/>
      <c r="E6413" s="439"/>
      <c r="F6413" s="1350"/>
      <c r="G6413" s="1350"/>
      <c r="H6413" s="1350"/>
      <c r="I6413" s="399" t="str">
        <f t="shared" si="229"/>
        <v/>
      </c>
      <c r="J6413" s="442"/>
      <c r="K6413" s="1263"/>
      <c r="L6413" s="461"/>
      <c r="M6413" s="461"/>
      <c r="N6413" s="461"/>
    </row>
    <row r="6414" spans="1:14" s="462" customFormat="1" hidden="1" outlineLevel="1">
      <c r="A6414" s="1261"/>
      <c r="B6414" s="260"/>
      <c r="C6414" s="457" t="s">
        <v>2</v>
      </c>
      <c r="D6414" s="440">
        <v>1</v>
      </c>
      <c r="E6414" s="439">
        <v>4</v>
      </c>
      <c r="F6414" s="1350">
        <v>0.61499999999999999</v>
      </c>
      <c r="G6414" s="1350">
        <v>0.61</v>
      </c>
      <c r="H6414" s="1350">
        <v>0.82299999999999995</v>
      </c>
      <c r="I6414" s="399">
        <f t="shared" si="229"/>
        <v>1.23</v>
      </c>
      <c r="J6414" s="442"/>
      <c r="K6414" s="1263">
        <v>1.2349937999999998</v>
      </c>
      <c r="L6414" s="461"/>
      <c r="M6414" s="461"/>
      <c r="N6414" s="461"/>
    </row>
    <row r="6415" spans="1:14" s="462" customFormat="1" hidden="1" outlineLevel="1">
      <c r="A6415" s="1261"/>
      <c r="B6415" s="260"/>
      <c r="C6415" s="457"/>
      <c r="D6415" s="440"/>
      <c r="E6415" s="439"/>
      <c r="F6415" s="1350"/>
      <c r="G6415" s="1350"/>
      <c r="H6415" s="1350"/>
      <c r="I6415" s="399" t="str">
        <f t="shared" si="229"/>
        <v/>
      </c>
      <c r="J6415" s="442"/>
      <c r="K6415" s="1263"/>
      <c r="L6415" s="461"/>
      <c r="M6415" s="461"/>
      <c r="N6415" s="461"/>
    </row>
    <row r="6416" spans="1:14" s="462" customFormat="1" hidden="1" outlineLevel="1">
      <c r="A6416" s="1261"/>
      <c r="B6416" s="260"/>
      <c r="C6416" s="457" t="s">
        <v>2</v>
      </c>
      <c r="D6416" s="440">
        <v>1</v>
      </c>
      <c r="E6416" s="439">
        <v>2</v>
      </c>
      <c r="F6416" s="1350">
        <v>0.61</v>
      </c>
      <c r="G6416" s="1350">
        <v>0.61</v>
      </c>
      <c r="H6416" s="1350">
        <v>0.82299999999999995</v>
      </c>
      <c r="I6416" s="399">
        <f t="shared" si="229"/>
        <v>0.61</v>
      </c>
      <c r="J6416" s="442"/>
      <c r="K6416" s="1263">
        <v>0.61247659999999993</v>
      </c>
      <c r="L6416" s="461"/>
      <c r="M6416" s="461"/>
      <c r="N6416" s="461"/>
    </row>
    <row r="6417" spans="1:14" s="462" customFormat="1" hidden="1" outlineLevel="1">
      <c r="A6417" s="1261"/>
      <c r="B6417" s="260"/>
      <c r="C6417" s="457"/>
      <c r="D6417" s="440"/>
      <c r="E6417" s="439"/>
      <c r="F6417" s="1350"/>
      <c r="G6417" s="1350"/>
      <c r="H6417" s="1350"/>
      <c r="I6417" s="399" t="str">
        <f t="shared" si="229"/>
        <v/>
      </c>
      <c r="J6417" s="442"/>
      <c r="K6417" s="1263"/>
      <c r="L6417" s="461"/>
      <c r="M6417" s="461"/>
      <c r="N6417" s="461"/>
    </row>
    <row r="6418" spans="1:14" s="462" customFormat="1" ht="34.5" hidden="1" outlineLevel="1">
      <c r="A6418" s="1261"/>
      <c r="B6418" s="260" t="s">
        <v>523</v>
      </c>
      <c r="C6418" s="457"/>
      <c r="D6418" s="440"/>
      <c r="E6418" s="439"/>
      <c r="F6418" s="1350"/>
      <c r="G6418" s="1350"/>
      <c r="H6418" s="1350"/>
      <c r="I6418" s="399" t="str">
        <f t="shared" si="229"/>
        <v/>
      </c>
      <c r="J6418" s="442"/>
      <c r="K6418" s="1263"/>
      <c r="L6418" s="461"/>
      <c r="M6418" s="461"/>
      <c r="N6418" s="461"/>
    </row>
    <row r="6419" spans="1:14" s="462" customFormat="1" ht="34.5" hidden="1" outlineLevel="1">
      <c r="A6419" s="1261"/>
      <c r="B6419" s="260" t="s">
        <v>524</v>
      </c>
      <c r="C6419" s="457"/>
      <c r="D6419" s="440"/>
      <c r="E6419" s="439"/>
      <c r="F6419" s="1350"/>
      <c r="G6419" s="1350"/>
      <c r="H6419" s="1350"/>
      <c r="I6419" s="399" t="str">
        <f t="shared" si="229"/>
        <v/>
      </c>
      <c r="J6419" s="442"/>
      <c r="K6419" s="1263"/>
      <c r="L6419" s="461"/>
      <c r="M6419" s="461"/>
      <c r="N6419" s="461"/>
    </row>
    <row r="6420" spans="1:14" s="462" customFormat="1" hidden="1" outlineLevel="1">
      <c r="A6420" s="1261"/>
      <c r="B6420" s="260" t="s">
        <v>243</v>
      </c>
      <c r="C6420" s="457" t="s">
        <v>2</v>
      </c>
      <c r="D6420" s="440">
        <v>1</v>
      </c>
      <c r="E6420" s="439">
        <v>1</v>
      </c>
      <c r="F6420" s="1350">
        <v>8.620000000000001</v>
      </c>
      <c r="G6420" s="1350">
        <v>0.61</v>
      </c>
      <c r="H6420" s="1350">
        <v>0.82299999999999995</v>
      </c>
      <c r="I6420" s="399">
        <f t="shared" si="229"/>
        <v>4.33</v>
      </c>
      <c r="J6420" s="442"/>
      <c r="K6420" s="1263">
        <v>4.3274986000000002</v>
      </c>
      <c r="L6420" s="461"/>
      <c r="M6420" s="461"/>
      <c r="N6420" s="461"/>
    </row>
    <row r="6421" spans="1:14" s="462" customFormat="1" hidden="1" outlineLevel="1">
      <c r="A6421" s="1261"/>
      <c r="B6421" s="260"/>
      <c r="C6421" s="457"/>
      <c r="D6421" s="440"/>
      <c r="E6421" s="439"/>
      <c r="F6421" s="1350"/>
      <c r="G6421" s="1350"/>
      <c r="H6421" s="1350"/>
      <c r="I6421" s="399" t="str">
        <f t="shared" si="229"/>
        <v/>
      </c>
      <c r="J6421" s="442"/>
      <c r="K6421" s="1263"/>
      <c r="L6421" s="461"/>
      <c r="M6421" s="461"/>
      <c r="N6421" s="461"/>
    </row>
    <row r="6422" spans="1:14" s="462" customFormat="1" hidden="1" outlineLevel="1">
      <c r="A6422" s="1261"/>
      <c r="B6422" s="260"/>
      <c r="C6422" s="457" t="s">
        <v>2</v>
      </c>
      <c r="D6422" s="440">
        <v>1</v>
      </c>
      <c r="E6422" s="439">
        <v>1</v>
      </c>
      <c r="F6422" s="1350">
        <v>6.0100000000000007</v>
      </c>
      <c r="G6422" s="1350">
        <v>0.61</v>
      </c>
      <c r="H6422" s="1350">
        <v>0.82299999999999995</v>
      </c>
      <c r="I6422" s="399">
        <f t="shared" si="229"/>
        <v>3.02</v>
      </c>
      <c r="J6422" s="442"/>
      <c r="K6422" s="1263">
        <v>3.0172002999999998</v>
      </c>
      <c r="L6422" s="461"/>
      <c r="M6422" s="461"/>
      <c r="N6422" s="461"/>
    </row>
    <row r="6423" spans="1:14" s="462" customFormat="1" hidden="1" outlineLevel="1">
      <c r="A6423" s="1261"/>
      <c r="B6423" s="260"/>
      <c r="C6423" s="457"/>
      <c r="D6423" s="440"/>
      <c r="E6423" s="439"/>
      <c r="F6423" s="1350"/>
      <c r="G6423" s="1350"/>
      <c r="H6423" s="1350"/>
      <c r="I6423" s="399" t="str">
        <f t="shared" si="229"/>
        <v/>
      </c>
      <c r="J6423" s="442"/>
      <c r="K6423" s="1263"/>
      <c r="L6423" s="461"/>
      <c r="M6423" s="461"/>
      <c r="N6423" s="461"/>
    </row>
    <row r="6424" spans="1:14" s="462" customFormat="1" hidden="1" outlineLevel="1">
      <c r="A6424" s="1261"/>
      <c r="B6424" s="260"/>
      <c r="C6424" s="457" t="s">
        <v>2</v>
      </c>
      <c r="D6424" s="440">
        <v>1</v>
      </c>
      <c r="E6424" s="439">
        <v>2</v>
      </c>
      <c r="F6424" s="1350">
        <v>6.61</v>
      </c>
      <c r="G6424" s="1350">
        <v>0.61</v>
      </c>
      <c r="H6424" s="1350">
        <v>0.82299999999999995</v>
      </c>
      <c r="I6424" s="399">
        <f t="shared" si="229"/>
        <v>6.64</v>
      </c>
      <c r="J6424" s="442"/>
      <c r="K6424" s="1263">
        <v>6.6368365999999996</v>
      </c>
      <c r="L6424" s="461"/>
      <c r="M6424" s="461"/>
      <c r="N6424" s="461"/>
    </row>
    <row r="6425" spans="1:14" s="462" customFormat="1" hidden="1" outlineLevel="1">
      <c r="A6425" s="1261"/>
      <c r="B6425" s="260"/>
      <c r="C6425" s="457"/>
      <c r="D6425" s="440"/>
      <c r="E6425" s="439"/>
      <c r="F6425" s="1350"/>
      <c r="G6425" s="1350"/>
      <c r="H6425" s="1350"/>
      <c r="I6425" s="399" t="str">
        <f t="shared" si="229"/>
        <v/>
      </c>
      <c r="J6425" s="442"/>
      <c r="K6425" s="1263"/>
      <c r="L6425" s="461"/>
      <c r="M6425" s="461"/>
      <c r="N6425" s="461"/>
    </row>
    <row r="6426" spans="1:14" s="462" customFormat="1" hidden="1" outlineLevel="1">
      <c r="A6426" s="1261"/>
      <c r="B6426" s="260"/>
      <c r="C6426" s="457" t="s">
        <v>2</v>
      </c>
      <c r="D6426" s="440">
        <v>1</v>
      </c>
      <c r="E6426" s="439">
        <v>3</v>
      </c>
      <c r="F6426" s="1350">
        <v>5.41</v>
      </c>
      <c r="G6426" s="1350">
        <v>0.61</v>
      </c>
      <c r="H6426" s="1350">
        <v>0.82299999999999995</v>
      </c>
      <c r="I6426" s="399">
        <f t="shared" si="229"/>
        <v>8.15</v>
      </c>
      <c r="J6426" s="442"/>
      <c r="K6426" s="1263">
        <v>8.1479468999999991</v>
      </c>
      <c r="L6426" s="461"/>
      <c r="M6426" s="461"/>
      <c r="N6426" s="461"/>
    </row>
    <row r="6427" spans="1:14" s="462" customFormat="1" hidden="1" outlineLevel="1">
      <c r="A6427" s="1261"/>
      <c r="B6427" s="260"/>
      <c r="C6427" s="457"/>
      <c r="D6427" s="440"/>
      <c r="E6427" s="439"/>
      <c r="F6427" s="1350"/>
      <c r="G6427" s="1350"/>
      <c r="H6427" s="1350"/>
      <c r="I6427" s="399" t="str">
        <f t="shared" si="229"/>
        <v/>
      </c>
      <c r="J6427" s="442"/>
      <c r="K6427" s="1263"/>
      <c r="L6427" s="461"/>
      <c r="M6427" s="461"/>
      <c r="N6427" s="461"/>
    </row>
    <row r="6428" spans="1:14" s="462" customFormat="1" hidden="1" outlineLevel="1">
      <c r="A6428" s="1261"/>
      <c r="B6428" s="260"/>
      <c r="C6428" s="457" t="s">
        <v>2</v>
      </c>
      <c r="D6428" s="440">
        <v>1</v>
      </c>
      <c r="E6428" s="439">
        <v>1</v>
      </c>
      <c r="F6428" s="1350">
        <v>1.81</v>
      </c>
      <c r="G6428" s="1350">
        <v>0.61</v>
      </c>
      <c r="H6428" s="1350">
        <v>0.82299999999999995</v>
      </c>
      <c r="I6428" s="399">
        <f t="shared" si="229"/>
        <v>0.91</v>
      </c>
      <c r="J6428" s="442"/>
      <c r="K6428" s="1263">
        <v>0.90867430000000005</v>
      </c>
      <c r="L6428" s="461"/>
      <c r="M6428" s="461"/>
      <c r="N6428" s="461"/>
    </row>
    <row r="6429" spans="1:14" s="462" customFormat="1" hidden="1" outlineLevel="1">
      <c r="A6429" s="1261"/>
      <c r="B6429" s="260"/>
      <c r="C6429" s="457"/>
      <c r="D6429" s="440"/>
      <c r="E6429" s="439"/>
      <c r="F6429" s="1350"/>
      <c r="G6429" s="1350"/>
      <c r="H6429" s="1350"/>
      <c r="I6429" s="399" t="str">
        <f t="shared" ref="I6429:I6492" si="230">IF(D6429&lt;&gt;0,ROUND(PRODUCT(E6429:H6429)*D6429,2),"")</f>
        <v/>
      </c>
      <c r="J6429" s="442"/>
      <c r="K6429" s="1263"/>
      <c r="L6429" s="461"/>
      <c r="M6429" s="461"/>
      <c r="N6429" s="461"/>
    </row>
    <row r="6430" spans="1:14" s="462" customFormat="1" hidden="1" outlineLevel="1">
      <c r="A6430" s="1261"/>
      <c r="B6430" s="260"/>
      <c r="C6430" s="457" t="s">
        <v>2</v>
      </c>
      <c r="D6430" s="440">
        <v>1</v>
      </c>
      <c r="E6430" s="439">
        <v>1</v>
      </c>
      <c r="F6430" s="1350">
        <v>6.01</v>
      </c>
      <c r="G6430" s="1350">
        <v>0.61</v>
      </c>
      <c r="H6430" s="1350">
        <v>0.82299999999999995</v>
      </c>
      <c r="I6430" s="399">
        <f t="shared" si="230"/>
        <v>3.02</v>
      </c>
      <c r="J6430" s="442"/>
      <c r="K6430" s="1263">
        <v>3.0172002999999994</v>
      </c>
      <c r="L6430" s="461"/>
      <c r="M6430" s="461"/>
      <c r="N6430" s="461"/>
    </row>
    <row r="6431" spans="1:14" s="462" customFormat="1" hidden="1" outlineLevel="1">
      <c r="A6431" s="1261"/>
      <c r="B6431" s="260"/>
      <c r="C6431" s="457"/>
      <c r="D6431" s="440"/>
      <c r="E6431" s="439"/>
      <c r="F6431" s="1350"/>
      <c r="G6431" s="1350"/>
      <c r="H6431" s="1350"/>
      <c r="I6431" s="399" t="str">
        <f t="shared" si="230"/>
        <v/>
      </c>
      <c r="J6431" s="442"/>
      <c r="K6431" s="1263"/>
      <c r="L6431" s="461"/>
      <c r="M6431" s="461"/>
      <c r="N6431" s="461"/>
    </row>
    <row r="6432" spans="1:14" s="462" customFormat="1" hidden="1" outlineLevel="1">
      <c r="A6432" s="1261"/>
      <c r="B6432" s="260"/>
      <c r="C6432" s="457" t="s">
        <v>2</v>
      </c>
      <c r="D6432" s="440">
        <v>1</v>
      </c>
      <c r="E6432" s="439">
        <v>1</v>
      </c>
      <c r="F6432" s="1350">
        <v>1.21</v>
      </c>
      <c r="G6432" s="1350">
        <v>0.61</v>
      </c>
      <c r="H6432" s="1350">
        <v>0.82299999999999995</v>
      </c>
      <c r="I6432" s="399">
        <f t="shared" si="230"/>
        <v>0.61</v>
      </c>
      <c r="J6432" s="442"/>
      <c r="K6432" s="1263">
        <v>0.60745629999999995</v>
      </c>
      <c r="L6432" s="461"/>
      <c r="M6432" s="461"/>
      <c r="N6432" s="461"/>
    </row>
    <row r="6433" spans="1:14" s="462" customFormat="1" hidden="1" outlineLevel="1">
      <c r="A6433" s="1261"/>
      <c r="B6433" s="260"/>
      <c r="C6433" s="457"/>
      <c r="D6433" s="440"/>
      <c r="E6433" s="439"/>
      <c r="F6433" s="1350"/>
      <c r="G6433" s="1350"/>
      <c r="H6433" s="1350"/>
      <c r="I6433" s="399" t="str">
        <f t="shared" si="230"/>
        <v/>
      </c>
      <c r="J6433" s="442"/>
      <c r="K6433" s="1263"/>
      <c r="L6433" s="461"/>
      <c r="M6433" s="461"/>
      <c r="N6433" s="461"/>
    </row>
    <row r="6434" spans="1:14" s="462" customFormat="1" hidden="1" outlineLevel="1">
      <c r="A6434" s="1261"/>
      <c r="B6434" s="260"/>
      <c r="C6434" s="457" t="s">
        <v>2</v>
      </c>
      <c r="D6434" s="440">
        <v>1</v>
      </c>
      <c r="E6434" s="439">
        <v>5</v>
      </c>
      <c r="F6434" s="1350">
        <v>4.8100000000000005</v>
      </c>
      <c r="G6434" s="1350">
        <v>0.61</v>
      </c>
      <c r="H6434" s="1350">
        <v>0.82299999999999995</v>
      </c>
      <c r="I6434" s="399">
        <f t="shared" si="230"/>
        <v>12.07</v>
      </c>
      <c r="J6434" s="442"/>
      <c r="K6434" s="1263">
        <v>14.488585800000001</v>
      </c>
      <c r="L6434" s="461"/>
      <c r="M6434" s="461"/>
      <c r="N6434" s="461"/>
    </row>
    <row r="6435" spans="1:14" s="462" customFormat="1" hidden="1" outlineLevel="1">
      <c r="A6435" s="1261"/>
      <c r="B6435" s="260"/>
      <c r="C6435" s="457"/>
      <c r="D6435" s="440"/>
      <c r="E6435" s="439"/>
      <c r="F6435" s="1350"/>
      <c r="G6435" s="1350"/>
      <c r="H6435" s="1350"/>
      <c r="I6435" s="399" t="str">
        <f t="shared" si="230"/>
        <v/>
      </c>
      <c r="J6435" s="442"/>
      <c r="K6435" s="1263"/>
      <c r="L6435" s="461"/>
      <c r="M6435" s="461"/>
      <c r="N6435" s="461"/>
    </row>
    <row r="6436" spans="1:14" s="462" customFormat="1" hidden="1" outlineLevel="1">
      <c r="A6436" s="1261"/>
      <c r="B6436" s="260"/>
      <c r="C6436" s="457" t="s">
        <v>2</v>
      </c>
      <c r="D6436" s="440">
        <v>1</v>
      </c>
      <c r="E6436" s="439">
        <v>1</v>
      </c>
      <c r="F6436" s="1350">
        <v>1.21</v>
      </c>
      <c r="G6436" s="1350">
        <v>0.61</v>
      </c>
      <c r="H6436" s="1350">
        <v>0.82299999999999995</v>
      </c>
      <c r="I6436" s="399">
        <f t="shared" si="230"/>
        <v>0.61</v>
      </c>
      <c r="J6436" s="442"/>
      <c r="K6436" s="1263">
        <v>0.60745629999999995</v>
      </c>
      <c r="L6436" s="461"/>
      <c r="M6436" s="461"/>
      <c r="N6436" s="461"/>
    </row>
    <row r="6437" spans="1:14" s="462" customFormat="1" hidden="1" outlineLevel="1">
      <c r="A6437" s="1261"/>
      <c r="B6437" s="260"/>
      <c r="C6437" s="457"/>
      <c r="D6437" s="440"/>
      <c r="E6437" s="439"/>
      <c r="F6437" s="1350"/>
      <c r="G6437" s="1350"/>
      <c r="H6437" s="1350"/>
      <c r="I6437" s="399" t="str">
        <f t="shared" si="230"/>
        <v/>
      </c>
      <c r="J6437" s="442"/>
      <c r="K6437" s="1263"/>
      <c r="L6437" s="461"/>
      <c r="M6437" s="461"/>
      <c r="N6437" s="461"/>
    </row>
    <row r="6438" spans="1:14" s="462" customFormat="1" hidden="1" outlineLevel="1">
      <c r="A6438" s="1261"/>
      <c r="B6438" s="260"/>
      <c r="C6438" s="457" t="s">
        <v>2</v>
      </c>
      <c r="D6438" s="440">
        <v>1</v>
      </c>
      <c r="E6438" s="439">
        <v>1</v>
      </c>
      <c r="F6438" s="1350">
        <v>5.41</v>
      </c>
      <c r="G6438" s="1350">
        <v>0.61</v>
      </c>
      <c r="H6438" s="1350">
        <v>0.82299999999999995</v>
      </c>
      <c r="I6438" s="399">
        <f t="shared" si="230"/>
        <v>2.72</v>
      </c>
      <c r="J6438" s="442"/>
      <c r="K6438" s="1263">
        <v>2.7159822999999998</v>
      </c>
      <c r="L6438" s="461"/>
      <c r="M6438" s="461"/>
      <c r="N6438" s="461"/>
    </row>
    <row r="6439" spans="1:14" s="462" customFormat="1" hidden="1" outlineLevel="1">
      <c r="A6439" s="1261"/>
      <c r="B6439" s="260"/>
      <c r="C6439" s="457"/>
      <c r="D6439" s="440"/>
      <c r="E6439" s="439"/>
      <c r="F6439" s="1350"/>
      <c r="G6439" s="1350"/>
      <c r="H6439" s="1350"/>
      <c r="I6439" s="399" t="str">
        <f t="shared" si="230"/>
        <v/>
      </c>
      <c r="J6439" s="442"/>
      <c r="K6439" s="1263"/>
      <c r="L6439" s="461"/>
      <c r="M6439" s="461"/>
      <c r="N6439" s="461"/>
    </row>
    <row r="6440" spans="1:14" s="462" customFormat="1" hidden="1" outlineLevel="1">
      <c r="A6440" s="1261"/>
      <c r="B6440" s="260"/>
      <c r="C6440" s="457" t="s">
        <v>2</v>
      </c>
      <c r="D6440" s="440">
        <v>1</v>
      </c>
      <c r="E6440" s="439">
        <v>1</v>
      </c>
      <c r="F6440" s="1350">
        <v>1.81</v>
      </c>
      <c r="G6440" s="1350">
        <v>0.61</v>
      </c>
      <c r="H6440" s="1350">
        <v>0.82299999999999995</v>
      </c>
      <c r="I6440" s="399">
        <f t="shared" si="230"/>
        <v>0.91</v>
      </c>
      <c r="J6440" s="442"/>
      <c r="K6440" s="1263">
        <v>0.90867430000000005</v>
      </c>
      <c r="L6440" s="461"/>
      <c r="M6440" s="461"/>
      <c r="N6440" s="461"/>
    </row>
    <row r="6441" spans="1:14" s="462" customFormat="1" hidden="1" outlineLevel="1">
      <c r="A6441" s="1261"/>
      <c r="B6441" s="260"/>
      <c r="C6441" s="457"/>
      <c r="D6441" s="440"/>
      <c r="E6441" s="439"/>
      <c r="F6441" s="1350"/>
      <c r="G6441" s="1350"/>
      <c r="H6441" s="1350"/>
      <c r="I6441" s="399" t="str">
        <f t="shared" si="230"/>
        <v/>
      </c>
      <c r="J6441" s="442"/>
      <c r="K6441" s="1263"/>
      <c r="L6441" s="461"/>
      <c r="M6441" s="461"/>
      <c r="N6441" s="461"/>
    </row>
    <row r="6442" spans="1:14" s="462" customFormat="1" hidden="1" outlineLevel="1">
      <c r="A6442" s="1261"/>
      <c r="B6442" s="260" t="s">
        <v>244</v>
      </c>
      <c r="C6442" s="457" t="s">
        <v>2</v>
      </c>
      <c r="D6442" s="440">
        <v>1</v>
      </c>
      <c r="E6442" s="439">
        <v>2</v>
      </c>
      <c r="F6442" s="1350">
        <v>6.61</v>
      </c>
      <c r="G6442" s="1350">
        <v>0.61</v>
      </c>
      <c r="H6442" s="1350">
        <v>0.82299999999999995</v>
      </c>
      <c r="I6442" s="399">
        <f t="shared" si="230"/>
        <v>6.64</v>
      </c>
      <c r="J6442" s="442"/>
      <c r="K6442" s="1263">
        <v>6.6368365999999996</v>
      </c>
      <c r="L6442" s="461"/>
      <c r="M6442" s="461"/>
      <c r="N6442" s="461"/>
    </row>
    <row r="6443" spans="1:14" s="462" customFormat="1" hidden="1" outlineLevel="1">
      <c r="A6443" s="1261"/>
      <c r="B6443" s="260"/>
      <c r="C6443" s="457"/>
      <c r="D6443" s="440"/>
      <c r="E6443" s="439"/>
      <c r="F6443" s="1350"/>
      <c r="G6443" s="1350"/>
      <c r="H6443" s="1350"/>
      <c r="I6443" s="399" t="str">
        <f t="shared" si="230"/>
        <v/>
      </c>
      <c r="J6443" s="442"/>
      <c r="K6443" s="1263"/>
      <c r="L6443" s="461"/>
      <c r="M6443" s="461"/>
      <c r="N6443" s="461"/>
    </row>
    <row r="6444" spans="1:14" s="462" customFormat="1" hidden="1" outlineLevel="1">
      <c r="A6444" s="1261"/>
      <c r="B6444" s="260"/>
      <c r="C6444" s="457" t="s">
        <v>2</v>
      </c>
      <c r="D6444" s="440">
        <v>1</v>
      </c>
      <c r="E6444" s="439">
        <v>1</v>
      </c>
      <c r="F6444" s="1350">
        <v>9.2200000000000006</v>
      </c>
      <c r="G6444" s="1350">
        <v>0.61</v>
      </c>
      <c r="H6444" s="1350">
        <v>0.82299999999999995</v>
      </c>
      <c r="I6444" s="399">
        <f t="shared" si="230"/>
        <v>4.63</v>
      </c>
      <c r="J6444" s="442"/>
      <c r="K6444" s="1263">
        <v>4.6287165999999997</v>
      </c>
      <c r="L6444" s="461"/>
      <c r="M6444" s="461"/>
      <c r="N6444" s="461"/>
    </row>
    <row r="6445" spans="1:14" s="462" customFormat="1" hidden="1" outlineLevel="1">
      <c r="A6445" s="1261"/>
      <c r="B6445" s="260" t="s">
        <v>245</v>
      </c>
      <c r="C6445" s="457" t="s">
        <v>2</v>
      </c>
      <c r="D6445" s="440">
        <v>1</v>
      </c>
      <c r="E6445" s="439">
        <v>8</v>
      </c>
      <c r="F6445" s="1350">
        <v>3.3</v>
      </c>
      <c r="G6445" s="1350">
        <v>0.22</v>
      </c>
      <c r="H6445" s="1350">
        <v>0.82299999999999995</v>
      </c>
      <c r="I6445" s="399">
        <f t="shared" si="230"/>
        <v>4.78</v>
      </c>
      <c r="J6445" s="442"/>
      <c r="K6445" s="1263">
        <v>4.7799839999999998</v>
      </c>
      <c r="L6445" s="461"/>
      <c r="M6445" s="461"/>
      <c r="N6445" s="461"/>
    </row>
    <row r="6446" spans="1:14" s="462" customFormat="1" hidden="1" outlineLevel="1">
      <c r="A6446" s="1261"/>
      <c r="B6446" s="260"/>
      <c r="C6446" s="457"/>
      <c r="D6446" s="440"/>
      <c r="E6446" s="439"/>
      <c r="F6446" s="1350"/>
      <c r="G6446" s="1350"/>
      <c r="H6446" s="1350"/>
      <c r="I6446" s="399" t="str">
        <f t="shared" si="230"/>
        <v/>
      </c>
      <c r="J6446" s="442"/>
      <c r="K6446" s="1263"/>
      <c r="L6446" s="461"/>
      <c r="M6446" s="461"/>
      <c r="N6446" s="461"/>
    </row>
    <row r="6447" spans="1:14" s="462" customFormat="1" hidden="1" outlineLevel="1">
      <c r="A6447" s="1261"/>
      <c r="B6447" s="260" t="s">
        <v>246</v>
      </c>
      <c r="C6447" s="457"/>
      <c r="D6447" s="440"/>
      <c r="E6447" s="439"/>
      <c r="F6447" s="1350"/>
      <c r="G6447" s="1350"/>
      <c r="H6447" s="1350"/>
      <c r="I6447" s="399" t="str">
        <f t="shared" si="230"/>
        <v/>
      </c>
      <c r="J6447" s="442"/>
      <c r="K6447" s="1263"/>
      <c r="L6447" s="461"/>
      <c r="M6447" s="461"/>
      <c r="N6447" s="461"/>
    </row>
    <row r="6448" spans="1:14" s="462" customFormat="1" hidden="1" outlineLevel="1">
      <c r="A6448" s="1261"/>
      <c r="B6448" s="260"/>
      <c r="C6448" s="457" t="s">
        <v>2</v>
      </c>
      <c r="D6448" s="440">
        <v>1</v>
      </c>
      <c r="E6448" s="439">
        <v>6</v>
      </c>
      <c r="F6448" s="1350">
        <v>0.61499999999999999</v>
      </c>
      <c r="G6448" s="1350">
        <v>0.61</v>
      </c>
      <c r="H6448" s="1350">
        <v>0.82299999999999995</v>
      </c>
      <c r="I6448" s="399">
        <f t="shared" si="230"/>
        <v>1.85</v>
      </c>
      <c r="J6448" s="442"/>
      <c r="K6448" s="1263">
        <v>1.8524906999999999</v>
      </c>
      <c r="L6448" s="461"/>
      <c r="M6448" s="461"/>
      <c r="N6448" s="461"/>
    </row>
    <row r="6449" spans="1:14" s="462" customFormat="1" hidden="1" outlineLevel="1">
      <c r="A6449" s="1261"/>
      <c r="B6449" s="260"/>
      <c r="C6449" s="457"/>
      <c r="D6449" s="440"/>
      <c r="E6449" s="439"/>
      <c r="F6449" s="1350"/>
      <c r="G6449" s="1350"/>
      <c r="H6449" s="1350"/>
      <c r="I6449" s="399" t="str">
        <f t="shared" si="230"/>
        <v/>
      </c>
      <c r="J6449" s="442"/>
      <c r="K6449" s="1263"/>
      <c r="L6449" s="461"/>
      <c r="M6449" s="461"/>
      <c r="N6449" s="461"/>
    </row>
    <row r="6450" spans="1:14" s="462" customFormat="1" hidden="1" outlineLevel="1">
      <c r="A6450" s="1261"/>
      <c r="B6450" s="260"/>
      <c r="C6450" s="457" t="s">
        <v>2</v>
      </c>
      <c r="D6450" s="440">
        <v>1</v>
      </c>
      <c r="E6450" s="439">
        <v>4</v>
      </c>
      <c r="F6450" s="1350">
        <v>0.90999999999999992</v>
      </c>
      <c r="G6450" s="1350">
        <v>0.61</v>
      </c>
      <c r="H6450" s="1350">
        <v>0.82299999999999995</v>
      </c>
      <c r="I6450" s="399">
        <f t="shared" si="230"/>
        <v>1.83</v>
      </c>
      <c r="J6450" s="442"/>
      <c r="K6450" s="1263">
        <v>1.8273891999999996</v>
      </c>
      <c r="L6450" s="461"/>
      <c r="M6450" s="461"/>
      <c r="N6450" s="461"/>
    </row>
    <row r="6451" spans="1:14" s="462" customFormat="1" hidden="1" outlineLevel="1">
      <c r="A6451" s="1261"/>
      <c r="B6451" s="260"/>
      <c r="C6451" s="457"/>
      <c r="D6451" s="440"/>
      <c r="E6451" s="439"/>
      <c r="F6451" s="1350"/>
      <c r="G6451" s="1350"/>
      <c r="H6451" s="1350"/>
      <c r="I6451" s="399" t="str">
        <f t="shared" si="230"/>
        <v/>
      </c>
      <c r="J6451" s="442"/>
      <c r="K6451" s="1263"/>
      <c r="L6451" s="461"/>
      <c r="M6451" s="461"/>
      <c r="N6451" s="461"/>
    </row>
    <row r="6452" spans="1:14" s="462" customFormat="1" hidden="1" outlineLevel="1">
      <c r="A6452" s="1261"/>
      <c r="B6452" s="260"/>
      <c r="C6452" s="457" t="s">
        <v>2</v>
      </c>
      <c r="D6452" s="440">
        <v>1</v>
      </c>
      <c r="E6452" s="439">
        <v>2</v>
      </c>
      <c r="F6452" s="1350">
        <v>3.36</v>
      </c>
      <c r="G6452" s="1350">
        <v>0.61</v>
      </c>
      <c r="H6452" s="1350">
        <v>0.82299999999999995</v>
      </c>
      <c r="I6452" s="399">
        <f t="shared" si="230"/>
        <v>3.37</v>
      </c>
      <c r="J6452" s="442"/>
      <c r="K6452" s="1263">
        <v>3.3736415999999996</v>
      </c>
      <c r="L6452" s="461"/>
      <c r="M6452" s="461"/>
      <c r="N6452" s="461"/>
    </row>
    <row r="6453" spans="1:14" s="462" customFormat="1" hidden="1" outlineLevel="1">
      <c r="A6453" s="1261"/>
      <c r="B6453" s="260"/>
      <c r="C6453" s="457"/>
      <c r="D6453" s="440"/>
      <c r="E6453" s="439"/>
      <c r="F6453" s="1350"/>
      <c r="G6453" s="1350"/>
      <c r="H6453" s="1350"/>
      <c r="I6453" s="399" t="str">
        <f t="shared" si="230"/>
        <v/>
      </c>
      <c r="J6453" s="442"/>
      <c r="K6453" s="1263"/>
      <c r="L6453" s="461"/>
      <c r="M6453" s="461"/>
      <c r="N6453" s="461"/>
    </row>
    <row r="6454" spans="1:14" s="462" customFormat="1" hidden="1" outlineLevel="1">
      <c r="A6454" s="1261"/>
      <c r="B6454" s="260"/>
      <c r="C6454" s="457" t="s">
        <v>2</v>
      </c>
      <c r="D6454" s="440">
        <v>1</v>
      </c>
      <c r="E6454" s="439">
        <v>3</v>
      </c>
      <c r="F6454" s="1350">
        <v>0.60499999999999998</v>
      </c>
      <c r="G6454" s="1350">
        <v>0.61</v>
      </c>
      <c r="H6454" s="1350">
        <v>0.82299999999999995</v>
      </c>
      <c r="I6454" s="399">
        <f t="shared" si="230"/>
        <v>0.91</v>
      </c>
      <c r="J6454" s="442"/>
      <c r="K6454" s="1263">
        <v>0.91118444999999981</v>
      </c>
      <c r="L6454" s="461"/>
      <c r="M6454" s="461"/>
      <c r="N6454" s="461"/>
    </row>
    <row r="6455" spans="1:14" s="462" customFormat="1" hidden="1" outlineLevel="1">
      <c r="A6455" s="1261"/>
      <c r="B6455" s="260"/>
      <c r="C6455" s="457"/>
      <c r="D6455" s="440"/>
      <c r="E6455" s="439"/>
      <c r="F6455" s="1350"/>
      <c r="G6455" s="1350"/>
      <c r="H6455" s="1350"/>
      <c r="I6455" s="399" t="str">
        <f t="shared" si="230"/>
        <v/>
      </c>
      <c r="J6455" s="442"/>
      <c r="K6455" s="1263"/>
      <c r="L6455" s="461"/>
      <c r="M6455" s="461"/>
      <c r="N6455" s="461"/>
    </row>
    <row r="6456" spans="1:14" s="462" customFormat="1" hidden="1" outlineLevel="1">
      <c r="A6456" s="1261"/>
      <c r="B6456" s="260"/>
      <c r="C6456" s="457" t="s">
        <v>2</v>
      </c>
      <c r="D6456" s="440">
        <v>1</v>
      </c>
      <c r="E6456" s="439">
        <v>2</v>
      </c>
      <c r="F6456" s="1350">
        <v>1.83</v>
      </c>
      <c r="G6456" s="1350">
        <v>0.61</v>
      </c>
      <c r="H6456" s="1350">
        <v>0.82299999999999995</v>
      </c>
      <c r="I6456" s="399">
        <f t="shared" si="230"/>
        <v>1.84</v>
      </c>
      <c r="J6456" s="442"/>
      <c r="K6456" s="1263">
        <v>1.8374298</v>
      </c>
      <c r="L6456" s="461"/>
      <c r="M6456" s="461"/>
      <c r="N6456" s="461"/>
    </row>
    <row r="6457" spans="1:14" s="462" customFormat="1" hidden="1" outlineLevel="1">
      <c r="A6457" s="1261"/>
      <c r="B6457" s="260"/>
      <c r="C6457" s="457"/>
      <c r="D6457" s="440"/>
      <c r="E6457" s="439"/>
      <c r="F6457" s="1350"/>
      <c r="G6457" s="1350"/>
      <c r="H6457" s="1350"/>
      <c r="I6457" s="399" t="str">
        <f t="shared" si="230"/>
        <v/>
      </c>
      <c r="J6457" s="442"/>
      <c r="K6457" s="1263"/>
      <c r="L6457" s="461"/>
      <c r="M6457" s="461"/>
      <c r="N6457" s="461"/>
    </row>
    <row r="6458" spans="1:14" s="462" customFormat="1" hidden="1" outlineLevel="1">
      <c r="A6458" s="1261"/>
      <c r="B6458" s="260"/>
      <c r="C6458" s="457" t="s">
        <v>2</v>
      </c>
      <c r="D6458" s="440">
        <v>1</v>
      </c>
      <c r="E6458" s="439">
        <v>2</v>
      </c>
      <c r="F6458" s="1350">
        <v>2.1350000000000002</v>
      </c>
      <c r="G6458" s="1350">
        <v>0.61</v>
      </c>
      <c r="H6458" s="1350">
        <v>0.82299999999999995</v>
      </c>
      <c r="I6458" s="399">
        <f t="shared" si="230"/>
        <v>2.14</v>
      </c>
      <c r="J6458" s="442"/>
      <c r="K6458" s="1263">
        <v>2.1436681000000002</v>
      </c>
      <c r="L6458" s="461"/>
      <c r="M6458" s="461"/>
      <c r="N6458" s="461"/>
    </row>
    <row r="6459" spans="1:14" s="462" customFormat="1" hidden="1" outlineLevel="1">
      <c r="A6459" s="1261"/>
      <c r="B6459" s="260"/>
      <c r="C6459" s="457"/>
      <c r="D6459" s="440"/>
      <c r="E6459" s="439"/>
      <c r="F6459" s="1350"/>
      <c r="G6459" s="1350"/>
      <c r="H6459" s="1350"/>
      <c r="I6459" s="399" t="str">
        <f t="shared" si="230"/>
        <v/>
      </c>
      <c r="J6459" s="442"/>
      <c r="K6459" s="1263"/>
      <c r="L6459" s="461"/>
      <c r="M6459" s="461"/>
      <c r="N6459" s="461"/>
    </row>
    <row r="6460" spans="1:14" s="462" customFormat="1" hidden="1" outlineLevel="1">
      <c r="A6460" s="1261"/>
      <c r="B6460" s="260"/>
      <c r="C6460" s="457" t="s">
        <v>2</v>
      </c>
      <c r="D6460" s="440">
        <v>1</v>
      </c>
      <c r="E6460" s="439">
        <v>1</v>
      </c>
      <c r="F6460" s="1350">
        <v>3.0549999999999997</v>
      </c>
      <c r="G6460" s="1350">
        <v>0.61</v>
      </c>
      <c r="H6460" s="1350">
        <v>0.82299999999999995</v>
      </c>
      <c r="I6460" s="399">
        <f t="shared" si="230"/>
        <v>1.53</v>
      </c>
      <c r="J6460" s="442"/>
      <c r="K6460" s="1263">
        <v>1.5337016499999998</v>
      </c>
      <c r="L6460" s="461"/>
      <c r="M6460" s="461"/>
      <c r="N6460" s="461"/>
    </row>
    <row r="6461" spans="1:14" s="462" customFormat="1" hidden="1" outlineLevel="1">
      <c r="A6461" s="1261"/>
      <c r="B6461" s="260"/>
      <c r="C6461" s="457"/>
      <c r="D6461" s="440"/>
      <c r="E6461" s="439"/>
      <c r="F6461" s="1350"/>
      <c r="G6461" s="1350"/>
      <c r="H6461" s="1350"/>
      <c r="I6461" s="399" t="str">
        <f t="shared" si="230"/>
        <v/>
      </c>
      <c r="J6461" s="442"/>
      <c r="K6461" s="1263"/>
      <c r="L6461" s="461"/>
      <c r="M6461" s="461"/>
      <c r="N6461" s="461"/>
    </row>
    <row r="6462" spans="1:14" s="462" customFormat="1" hidden="1" outlineLevel="1">
      <c r="A6462" s="1261"/>
      <c r="B6462" s="260"/>
      <c r="C6462" s="457" t="s">
        <v>2</v>
      </c>
      <c r="D6462" s="440">
        <v>1</v>
      </c>
      <c r="E6462" s="439">
        <v>1</v>
      </c>
      <c r="F6462" s="1350">
        <v>3.165</v>
      </c>
      <c r="G6462" s="1350">
        <v>0.61</v>
      </c>
      <c r="H6462" s="1350">
        <v>0.82299999999999995</v>
      </c>
      <c r="I6462" s="399">
        <f t="shared" si="230"/>
        <v>1.59</v>
      </c>
      <c r="J6462" s="442"/>
      <c r="K6462" s="1263">
        <v>1.58892495</v>
      </c>
      <c r="L6462" s="461"/>
      <c r="M6462" s="461"/>
      <c r="N6462" s="461"/>
    </row>
    <row r="6463" spans="1:14" s="462" customFormat="1" hidden="1" outlineLevel="1">
      <c r="A6463" s="1261"/>
      <c r="B6463" s="260"/>
      <c r="C6463" s="457"/>
      <c r="D6463" s="440"/>
      <c r="E6463" s="439"/>
      <c r="F6463" s="1350"/>
      <c r="G6463" s="1350"/>
      <c r="H6463" s="1350"/>
      <c r="I6463" s="399" t="str">
        <f t="shared" si="230"/>
        <v/>
      </c>
      <c r="J6463" s="442"/>
      <c r="K6463" s="1263"/>
      <c r="L6463" s="461"/>
      <c r="M6463" s="461"/>
      <c r="N6463" s="461"/>
    </row>
    <row r="6464" spans="1:14" s="462" customFormat="1" hidden="1" outlineLevel="1">
      <c r="A6464" s="1261"/>
      <c r="B6464" s="260"/>
      <c r="C6464" s="457" t="s">
        <v>2</v>
      </c>
      <c r="D6464" s="440">
        <v>1</v>
      </c>
      <c r="E6464" s="439">
        <v>1</v>
      </c>
      <c r="F6464" s="1350">
        <v>0.71499999999999986</v>
      </c>
      <c r="G6464" s="1350">
        <v>0.61</v>
      </c>
      <c r="H6464" s="1350">
        <v>0.82299999999999995</v>
      </c>
      <c r="I6464" s="399">
        <f t="shared" si="230"/>
        <v>0.36</v>
      </c>
      <c r="J6464" s="442"/>
      <c r="K6464" s="1263">
        <v>0.35895144999999989</v>
      </c>
      <c r="L6464" s="461"/>
      <c r="M6464" s="461"/>
      <c r="N6464" s="461"/>
    </row>
    <row r="6465" spans="1:14" s="462" customFormat="1" hidden="1" outlineLevel="1">
      <c r="A6465" s="1261"/>
      <c r="B6465" s="260"/>
      <c r="C6465" s="457"/>
      <c r="D6465" s="440"/>
      <c r="E6465" s="439"/>
      <c r="F6465" s="1350"/>
      <c r="G6465" s="1350"/>
      <c r="H6465" s="1350"/>
      <c r="I6465" s="399" t="str">
        <f t="shared" si="230"/>
        <v/>
      </c>
      <c r="J6465" s="442"/>
      <c r="K6465" s="1263"/>
      <c r="L6465" s="461"/>
      <c r="M6465" s="461"/>
      <c r="N6465" s="461"/>
    </row>
    <row r="6466" spans="1:14" s="462" customFormat="1" hidden="1" outlineLevel="1">
      <c r="A6466" s="1261"/>
      <c r="B6466" s="260"/>
      <c r="C6466" s="457"/>
      <c r="D6466" s="440"/>
      <c r="E6466" s="439"/>
      <c r="F6466" s="1350"/>
      <c r="G6466" s="1350"/>
      <c r="H6466" s="1350"/>
      <c r="I6466" s="399" t="str">
        <f t="shared" si="230"/>
        <v/>
      </c>
      <c r="J6466" s="442"/>
      <c r="K6466" s="1263"/>
      <c r="L6466" s="461"/>
      <c r="M6466" s="461"/>
      <c r="N6466" s="461"/>
    </row>
    <row r="6467" spans="1:14" s="462" customFormat="1" ht="34.5" hidden="1" outlineLevel="1">
      <c r="A6467" s="1261"/>
      <c r="B6467" s="260" t="s">
        <v>525</v>
      </c>
      <c r="C6467" s="457"/>
      <c r="D6467" s="440"/>
      <c r="E6467" s="439"/>
      <c r="F6467" s="1350"/>
      <c r="G6467" s="1350"/>
      <c r="H6467" s="1350"/>
      <c r="I6467" s="399" t="str">
        <f t="shared" si="230"/>
        <v/>
      </c>
      <c r="J6467" s="442"/>
      <c r="K6467" s="1263"/>
      <c r="L6467" s="461"/>
      <c r="M6467" s="461"/>
      <c r="N6467" s="461"/>
    </row>
    <row r="6468" spans="1:14" s="462" customFormat="1" ht="34.5" hidden="1" outlineLevel="1">
      <c r="A6468" s="1261"/>
      <c r="B6468" s="260" t="s">
        <v>248</v>
      </c>
      <c r="C6468" s="457" t="s">
        <v>2</v>
      </c>
      <c r="D6468" s="440">
        <v>1</v>
      </c>
      <c r="E6468" s="439">
        <v>1</v>
      </c>
      <c r="F6468" s="1350">
        <v>34.935000000000002</v>
      </c>
      <c r="G6468" s="1350">
        <v>0.61</v>
      </c>
      <c r="H6468" s="1350">
        <v>0.82299999999999995</v>
      </c>
      <c r="I6468" s="399">
        <f t="shared" si="230"/>
        <v>17.54</v>
      </c>
      <c r="J6468" s="442"/>
      <c r="K6468" s="1263">
        <v>17.538418049999997</v>
      </c>
      <c r="L6468" s="461"/>
      <c r="M6468" s="461"/>
      <c r="N6468" s="461"/>
    </row>
    <row r="6469" spans="1:14" s="462" customFormat="1" hidden="1" outlineLevel="1">
      <c r="A6469" s="1261"/>
      <c r="B6469" s="260"/>
      <c r="C6469" s="457"/>
      <c r="D6469" s="440"/>
      <c r="E6469" s="439"/>
      <c r="F6469" s="1350"/>
      <c r="G6469" s="1350"/>
      <c r="H6469" s="1350"/>
      <c r="I6469" s="399" t="str">
        <f t="shared" si="230"/>
        <v/>
      </c>
      <c r="J6469" s="442"/>
      <c r="K6469" s="1263"/>
      <c r="L6469" s="461"/>
      <c r="M6469" s="461"/>
      <c r="N6469" s="461"/>
    </row>
    <row r="6470" spans="1:14" s="462" customFormat="1" ht="34.5" hidden="1" outlineLevel="1">
      <c r="A6470" s="1261"/>
      <c r="B6470" s="260" t="s">
        <v>249</v>
      </c>
      <c r="C6470" s="457" t="s">
        <v>2</v>
      </c>
      <c r="D6470" s="440">
        <v>1</v>
      </c>
      <c r="E6470" s="439">
        <v>1</v>
      </c>
      <c r="F6470" s="1350">
        <v>15</v>
      </c>
      <c r="G6470" s="1350">
        <v>0.61</v>
      </c>
      <c r="H6470" s="1350">
        <v>0.82299999999999995</v>
      </c>
      <c r="I6470" s="399">
        <f t="shared" si="230"/>
        <v>7.53</v>
      </c>
      <c r="J6470" s="442"/>
      <c r="K6470" s="1263">
        <v>7.5304500000000001</v>
      </c>
      <c r="L6470" s="461"/>
      <c r="M6470" s="461"/>
      <c r="N6470" s="461"/>
    </row>
    <row r="6471" spans="1:14" s="462" customFormat="1" hidden="1" outlineLevel="1">
      <c r="A6471" s="1261"/>
      <c r="B6471" s="260"/>
      <c r="C6471" s="457"/>
      <c r="D6471" s="440"/>
      <c r="E6471" s="439"/>
      <c r="F6471" s="1350"/>
      <c r="G6471" s="1350"/>
      <c r="H6471" s="1350"/>
      <c r="I6471" s="399" t="str">
        <f t="shared" si="230"/>
        <v/>
      </c>
      <c r="J6471" s="442"/>
      <c r="K6471" s="1263">
        <v>0</v>
      </c>
      <c r="L6471" s="461"/>
      <c r="M6471" s="461"/>
      <c r="N6471" s="461"/>
    </row>
    <row r="6472" spans="1:14" s="462" customFormat="1" ht="34.5" hidden="1" outlineLevel="1">
      <c r="A6472" s="1261"/>
      <c r="B6472" s="260" t="s">
        <v>526</v>
      </c>
      <c r="C6472" s="457"/>
      <c r="D6472" s="440"/>
      <c r="E6472" s="439"/>
      <c r="F6472" s="1350"/>
      <c r="G6472" s="1350"/>
      <c r="H6472" s="1350">
        <v>0.82299999999999995</v>
      </c>
      <c r="I6472" s="399" t="str">
        <f t="shared" si="230"/>
        <v/>
      </c>
      <c r="J6472" s="442"/>
      <c r="K6472" s="1263">
        <v>0.82299999999999995</v>
      </c>
      <c r="L6472" s="461"/>
      <c r="M6472" s="461"/>
      <c r="N6472" s="461"/>
    </row>
    <row r="6473" spans="1:14" s="462" customFormat="1" hidden="1" outlineLevel="1">
      <c r="A6473" s="1261"/>
      <c r="B6473" s="260" t="s">
        <v>251</v>
      </c>
      <c r="C6473" s="457" t="s">
        <v>2</v>
      </c>
      <c r="D6473" s="440">
        <v>1</v>
      </c>
      <c r="E6473" s="439">
        <v>2</v>
      </c>
      <c r="F6473" s="1350">
        <v>28.759999999999998</v>
      </c>
      <c r="G6473" s="1350">
        <v>0.61</v>
      </c>
      <c r="H6473" s="1350">
        <v>0.82299999999999995</v>
      </c>
      <c r="I6473" s="399">
        <f t="shared" si="230"/>
        <v>28.88</v>
      </c>
      <c r="J6473" s="442"/>
      <c r="K6473" s="1263">
        <v>28.876765599999995</v>
      </c>
      <c r="L6473" s="461"/>
      <c r="M6473" s="461"/>
      <c r="N6473" s="461"/>
    </row>
    <row r="6474" spans="1:14" s="462" customFormat="1" hidden="1" outlineLevel="1">
      <c r="A6474" s="1261"/>
      <c r="B6474" s="260"/>
      <c r="C6474" s="457"/>
      <c r="D6474" s="440"/>
      <c r="E6474" s="439"/>
      <c r="F6474" s="1350"/>
      <c r="G6474" s="1350"/>
      <c r="H6474" s="1350"/>
      <c r="I6474" s="399" t="str">
        <f t="shared" si="230"/>
        <v/>
      </c>
      <c r="J6474" s="442"/>
      <c r="K6474" s="1263">
        <v>0</v>
      </c>
      <c r="L6474" s="461"/>
      <c r="M6474" s="461"/>
      <c r="N6474" s="461"/>
    </row>
    <row r="6475" spans="1:14" s="462" customFormat="1" hidden="1" outlineLevel="1">
      <c r="A6475" s="1261"/>
      <c r="B6475" s="260" t="s">
        <v>131</v>
      </c>
      <c r="C6475" s="457" t="s">
        <v>2</v>
      </c>
      <c r="D6475" s="440">
        <v>1</v>
      </c>
      <c r="E6475" s="439">
        <v>2</v>
      </c>
      <c r="F6475" s="1350">
        <v>14.19</v>
      </c>
      <c r="G6475" s="1350">
        <v>0.61</v>
      </c>
      <c r="H6475" s="1350">
        <v>0.82299999999999995</v>
      </c>
      <c r="I6475" s="399">
        <f t="shared" si="230"/>
        <v>14.25</v>
      </c>
      <c r="J6475" s="442"/>
      <c r="K6475" s="1263">
        <v>14.7998444</v>
      </c>
      <c r="L6475" s="461"/>
      <c r="M6475" s="461"/>
      <c r="N6475" s="461"/>
    </row>
    <row r="6476" spans="1:14" s="462" customFormat="1" hidden="1" outlineLevel="1">
      <c r="A6476" s="1261"/>
      <c r="B6476" s="260"/>
      <c r="C6476" s="457"/>
      <c r="D6476" s="440"/>
      <c r="E6476" s="439"/>
      <c r="F6476" s="1350"/>
      <c r="G6476" s="1350"/>
      <c r="H6476" s="1350"/>
      <c r="I6476" s="399" t="str">
        <f t="shared" si="230"/>
        <v/>
      </c>
      <c r="J6476" s="442"/>
      <c r="K6476" s="1263">
        <v>0</v>
      </c>
      <c r="L6476" s="461"/>
      <c r="M6476" s="461"/>
      <c r="N6476" s="461"/>
    </row>
    <row r="6477" spans="1:14" s="462" customFormat="1" hidden="1" outlineLevel="1">
      <c r="A6477" s="1261"/>
      <c r="B6477" s="260" t="s">
        <v>140</v>
      </c>
      <c r="C6477" s="457" t="s">
        <v>2</v>
      </c>
      <c r="D6477" s="440">
        <v>1</v>
      </c>
      <c r="E6477" s="439">
        <v>2</v>
      </c>
      <c r="F6477" s="1350">
        <v>3.3</v>
      </c>
      <c r="G6477" s="1350">
        <v>0.22</v>
      </c>
      <c r="H6477" s="1350">
        <v>0.82299999999999995</v>
      </c>
      <c r="I6477" s="399">
        <f t="shared" si="230"/>
        <v>1.19</v>
      </c>
      <c r="J6477" s="442"/>
      <c r="K6477" s="1263">
        <v>1.1949959999999999</v>
      </c>
      <c r="L6477" s="461"/>
      <c r="M6477" s="461"/>
      <c r="N6477" s="461"/>
    </row>
    <row r="6478" spans="1:14" s="462" customFormat="1" hidden="1" outlineLevel="1">
      <c r="A6478" s="1261"/>
      <c r="B6478" s="260"/>
      <c r="C6478" s="457"/>
      <c r="D6478" s="440"/>
      <c r="E6478" s="439"/>
      <c r="F6478" s="1350"/>
      <c r="G6478" s="1350"/>
      <c r="H6478" s="1350"/>
      <c r="I6478" s="399" t="str">
        <f t="shared" si="230"/>
        <v/>
      </c>
      <c r="J6478" s="442"/>
      <c r="K6478" s="1263">
        <v>0</v>
      </c>
      <c r="L6478" s="461"/>
      <c r="M6478" s="461"/>
      <c r="N6478" s="461"/>
    </row>
    <row r="6479" spans="1:14" s="462" customFormat="1" hidden="1" outlineLevel="1">
      <c r="A6479" s="1261"/>
      <c r="B6479" s="260"/>
      <c r="C6479" s="457"/>
      <c r="D6479" s="440"/>
      <c r="E6479" s="439"/>
      <c r="F6479" s="1350"/>
      <c r="G6479" s="1350"/>
      <c r="H6479" s="1350"/>
      <c r="I6479" s="399" t="str">
        <f t="shared" si="230"/>
        <v/>
      </c>
      <c r="J6479" s="442"/>
      <c r="K6479" s="1263">
        <v>0</v>
      </c>
      <c r="L6479" s="461"/>
      <c r="M6479" s="461"/>
      <c r="N6479" s="461"/>
    </row>
    <row r="6480" spans="1:14" s="462" customFormat="1" ht="34.5" hidden="1" outlineLevel="1">
      <c r="A6480" s="1261"/>
      <c r="B6480" s="260" t="s">
        <v>527</v>
      </c>
      <c r="C6480" s="457"/>
      <c r="D6480" s="440"/>
      <c r="E6480" s="439"/>
      <c r="F6480" s="1350"/>
      <c r="G6480" s="1350"/>
      <c r="H6480" s="1350"/>
      <c r="I6480" s="399" t="str">
        <f t="shared" si="230"/>
        <v/>
      </c>
      <c r="J6480" s="442"/>
      <c r="K6480" s="1263"/>
      <c r="L6480" s="461"/>
      <c r="M6480" s="461"/>
      <c r="N6480" s="461"/>
    </row>
    <row r="6481" spans="1:14" s="462" customFormat="1" hidden="1" outlineLevel="1">
      <c r="A6481" s="1261"/>
      <c r="B6481" s="260"/>
      <c r="C6481" s="457"/>
      <c r="D6481" s="440"/>
      <c r="E6481" s="439"/>
      <c r="F6481" s="1350"/>
      <c r="G6481" s="1350"/>
      <c r="H6481" s="1350"/>
      <c r="I6481" s="399" t="str">
        <f t="shared" si="230"/>
        <v/>
      </c>
      <c r="J6481" s="442"/>
      <c r="K6481" s="1263">
        <v>0</v>
      </c>
      <c r="L6481" s="461"/>
      <c r="M6481" s="461"/>
      <c r="N6481" s="461"/>
    </row>
    <row r="6482" spans="1:14" s="462" customFormat="1" hidden="1" outlineLevel="1">
      <c r="A6482" s="1261"/>
      <c r="B6482" s="260" t="s">
        <v>146</v>
      </c>
      <c r="C6482" s="457"/>
      <c r="D6482" s="440">
        <v>1</v>
      </c>
      <c r="E6482" s="439">
        <v>1</v>
      </c>
      <c r="F6482" s="1350">
        <v>31.4</v>
      </c>
      <c r="G6482" s="1350">
        <v>0.61</v>
      </c>
      <c r="H6482" s="1350">
        <v>0.82299999999999995</v>
      </c>
      <c r="I6482" s="399">
        <f t="shared" si="230"/>
        <v>15.76</v>
      </c>
      <c r="J6482" s="442"/>
      <c r="K6482" s="1263">
        <v>15.763741999999999</v>
      </c>
      <c r="L6482" s="461"/>
      <c r="M6482" s="461"/>
      <c r="N6482" s="461"/>
    </row>
    <row r="6483" spans="1:14" s="462" customFormat="1" hidden="1" outlineLevel="1">
      <c r="A6483" s="1261"/>
      <c r="B6483" s="260"/>
      <c r="C6483" s="457"/>
      <c r="D6483" s="440"/>
      <c r="E6483" s="439"/>
      <c r="F6483" s="1350"/>
      <c r="G6483" s="1350"/>
      <c r="H6483" s="1350"/>
      <c r="I6483" s="399" t="str">
        <f t="shared" si="230"/>
        <v/>
      </c>
      <c r="J6483" s="442"/>
      <c r="K6483" s="1263">
        <v>0</v>
      </c>
      <c r="L6483" s="461"/>
      <c r="M6483" s="461"/>
      <c r="N6483" s="461"/>
    </row>
    <row r="6484" spans="1:14" s="462" customFormat="1" hidden="1" outlineLevel="1">
      <c r="A6484" s="1261"/>
      <c r="B6484" s="260" t="s">
        <v>147</v>
      </c>
      <c r="C6484" s="457"/>
      <c r="D6484" s="440">
        <v>1</v>
      </c>
      <c r="E6484" s="439">
        <v>1</v>
      </c>
      <c r="F6484" s="1350">
        <v>42.55</v>
      </c>
      <c r="G6484" s="1350">
        <v>0.61</v>
      </c>
      <c r="H6484" s="1350">
        <v>0.82299999999999995</v>
      </c>
      <c r="I6484" s="399">
        <f t="shared" si="230"/>
        <v>21.36</v>
      </c>
      <c r="J6484" s="442"/>
      <c r="K6484" s="1263">
        <v>21.361376499999995</v>
      </c>
      <c r="L6484" s="461"/>
      <c r="M6484" s="461"/>
      <c r="N6484" s="461"/>
    </row>
    <row r="6485" spans="1:14" s="462" customFormat="1" hidden="1" outlineLevel="1">
      <c r="A6485" s="1261"/>
      <c r="B6485" s="260"/>
      <c r="C6485" s="457"/>
      <c r="D6485" s="440"/>
      <c r="E6485" s="439"/>
      <c r="F6485" s="1350"/>
      <c r="G6485" s="1350"/>
      <c r="H6485" s="1350"/>
      <c r="I6485" s="399" t="str">
        <f t="shared" si="230"/>
        <v/>
      </c>
      <c r="J6485" s="442"/>
      <c r="K6485" s="1263">
        <v>0</v>
      </c>
      <c r="L6485" s="461"/>
      <c r="M6485" s="461"/>
      <c r="N6485" s="461"/>
    </row>
    <row r="6486" spans="1:14" s="462" customFormat="1" hidden="1" outlineLevel="1">
      <c r="A6486" s="1261"/>
      <c r="B6486" s="260" t="s">
        <v>528</v>
      </c>
      <c r="C6486" s="457"/>
      <c r="D6486" s="440"/>
      <c r="E6486" s="439"/>
      <c r="F6486" s="1350"/>
      <c r="G6486" s="1350"/>
      <c r="H6486" s="1350"/>
      <c r="I6486" s="399" t="str">
        <f t="shared" si="230"/>
        <v/>
      </c>
      <c r="J6486" s="442"/>
      <c r="K6486" s="1263"/>
      <c r="L6486" s="461"/>
      <c r="M6486" s="461"/>
      <c r="N6486" s="461"/>
    </row>
    <row r="6487" spans="1:14" s="462" customFormat="1" hidden="1" outlineLevel="1">
      <c r="A6487" s="1261"/>
      <c r="B6487" s="260"/>
      <c r="C6487" s="457"/>
      <c r="D6487" s="440"/>
      <c r="E6487" s="439"/>
      <c r="F6487" s="1350"/>
      <c r="G6487" s="1350"/>
      <c r="H6487" s="1350"/>
      <c r="I6487" s="399" t="str">
        <f t="shared" si="230"/>
        <v/>
      </c>
      <c r="J6487" s="442"/>
      <c r="K6487" s="1263">
        <v>0</v>
      </c>
      <c r="L6487" s="461"/>
      <c r="M6487" s="461"/>
      <c r="N6487" s="461"/>
    </row>
    <row r="6488" spans="1:14" s="462" customFormat="1" ht="34.5" hidden="1" outlineLevel="1">
      <c r="A6488" s="1261"/>
      <c r="B6488" s="260" t="s">
        <v>529</v>
      </c>
      <c r="C6488" s="457" t="s">
        <v>2</v>
      </c>
      <c r="D6488" s="440">
        <v>1</v>
      </c>
      <c r="E6488" s="439">
        <v>2</v>
      </c>
      <c r="F6488" s="1350">
        <v>30.54</v>
      </c>
      <c r="G6488" s="1350">
        <v>0.61</v>
      </c>
      <c r="H6488" s="1350">
        <v>0.82299999999999995</v>
      </c>
      <c r="I6488" s="399">
        <f t="shared" si="230"/>
        <v>30.66</v>
      </c>
      <c r="J6488" s="442"/>
      <c r="K6488" s="1263">
        <v>30.663992399999998</v>
      </c>
      <c r="L6488" s="461"/>
      <c r="M6488" s="461"/>
      <c r="N6488" s="461"/>
    </row>
    <row r="6489" spans="1:14" s="462" customFormat="1" hidden="1" outlineLevel="1">
      <c r="A6489" s="1261"/>
      <c r="B6489" s="260"/>
      <c r="C6489" s="457"/>
      <c r="D6489" s="440"/>
      <c r="E6489" s="439"/>
      <c r="F6489" s="1350"/>
      <c r="G6489" s="1350"/>
      <c r="H6489" s="1350"/>
      <c r="I6489" s="399" t="str">
        <f t="shared" si="230"/>
        <v/>
      </c>
      <c r="J6489" s="442"/>
      <c r="K6489" s="1263">
        <v>0</v>
      </c>
      <c r="L6489" s="461"/>
      <c r="M6489" s="461"/>
      <c r="N6489" s="461"/>
    </row>
    <row r="6490" spans="1:14" s="462" customFormat="1" hidden="1" outlineLevel="1">
      <c r="A6490" s="1261"/>
      <c r="B6490" s="260"/>
      <c r="C6490" s="457" t="s">
        <v>2</v>
      </c>
      <c r="D6490" s="440">
        <v>1</v>
      </c>
      <c r="E6490" s="439">
        <v>2</v>
      </c>
      <c r="F6490" s="1350">
        <v>0.67</v>
      </c>
      <c r="G6490" s="1350">
        <v>0.61</v>
      </c>
      <c r="H6490" s="1350">
        <v>0.82299999999999995</v>
      </c>
      <c r="I6490" s="399">
        <f t="shared" si="230"/>
        <v>0.67</v>
      </c>
      <c r="J6490" s="442"/>
      <c r="K6490" s="1263">
        <v>0.67272019999999999</v>
      </c>
      <c r="L6490" s="461"/>
      <c r="M6490" s="461"/>
      <c r="N6490" s="461"/>
    </row>
    <row r="6491" spans="1:14" s="462" customFormat="1" ht="34.5" hidden="1" outlineLevel="1">
      <c r="A6491" s="1261"/>
      <c r="B6491" s="260" t="s">
        <v>530</v>
      </c>
      <c r="C6491" s="457"/>
      <c r="D6491" s="440"/>
      <c r="E6491" s="439"/>
      <c r="F6491" s="1350"/>
      <c r="G6491" s="1350"/>
      <c r="H6491" s="1350"/>
      <c r="I6491" s="399" t="str">
        <f t="shared" si="230"/>
        <v/>
      </c>
      <c r="J6491" s="442"/>
      <c r="K6491" s="1263"/>
      <c r="L6491" s="461"/>
      <c r="M6491" s="461"/>
      <c r="N6491" s="461"/>
    </row>
    <row r="6492" spans="1:14" s="462" customFormat="1" hidden="1" outlineLevel="1">
      <c r="A6492" s="1261"/>
      <c r="B6492" s="260"/>
      <c r="C6492" s="457"/>
      <c r="D6492" s="440"/>
      <c r="E6492" s="439"/>
      <c r="F6492" s="1350"/>
      <c r="G6492" s="1350"/>
      <c r="H6492" s="1350"/>
      <c r="I6492" s="399" t="str">
        <f t="shared" si="230"/>
        <v/>
      </c>
      <c r="J6492" s="442"/>
      <c r="K6492" s="1263"/>
      <c r="L6492" s="461"/>
      <c r="M6492" s="461"/>
      <c r="N6492" s="461"/>
    </row>
    <row r="6493" spans="1:14" s="462" customFormat="1" hidden="1" outlineLevel="1">
      <c r="A6493" s="1261"/>
      <c r="B6493" s="260"/>
      <c r="C6493" s="457" t="s">
        <v>2</v>
      </c>
      <c r="D6493" s="440">
        <v>1</v>
      </c>
      <c r="E6493" s="439">
        <v>2</v>
      </c>
      <c r="F6493" s="1350">
        <v>6.3149999999999995</v>
      </c>
      <c r="G6493" s="1350">
        <v>0.61</v>
      </c>
      <c r="H6493" s="1350">
        <v>0.82299999999999995</v>
      </c>
      <c r="I6493" s="399">
        <f t="shared" ref="I6493:I6556" si="231">IF(D6493&lt;&gt;0,ROUND(PRODUCT(E6493:H6493)*D6493,2),"")</f>
        <v>6.34</v>
      </c>
      <c r="J6493" s="442"/>
      <c r="K6493" s="1263">
        <v>6.3406388999999992</v>
      </c>
      <c r="L6493" s="461"/>
      <c r="M6493" s="461"/>
      <c r="N6493" s="461"/>
    </row>
    <row r="6494" spans="1:14" s="462" customFormat="1" hidden="1" outlineLevel="1">
      <c r="A6494" s="1261"/>
      <c r="B6494" s="260"/>
      <c r="C6494" s="457"/>
      <c r="D6494" s="440"/>
      <c r="E6494" s="439"/>
      <c r="F6494" s="1350"/>
      <c r="G6494" s="1350"/>
      <c r="H6494" s="1350"/>
      <c r="I6494" s="399" t="str">
        <f t="shared" si="231"/>
        <v/>
      </c>
      <c r="J6494" s="442"/>
      <c r="K6494" s="1263"/>
      <c r="L6494" s="461"/>
      <c r="M6494" s="461"/>
      <c r="N6494" s="461"/>
    </row>
    <row r="6495" spans="1:14" s="462" customFormat="1" hidden="1" outlineLevel="1">
      <c r="A6495" s="1261"/>
      <c r="B6495" s="260"/>
      <c r="C6495" s="457" t="s">
        <v>2</v>
      </c>
      <c r="D6495" s="440">
        <v>1</v>
      </c>
      <c r="E6495" s="439">
        <v>2</v>
      </c>
      <c r="F6495" s="1350">
        <v>1.2649999999999999</v>
      </c>
      <c r="G6495" s="1350">
        <v>0.61</v>
      </c>
      <c r="H6495" s="1350">
        <v>0.82299999999999995</v>
      </c>
      <c r="I6495" s="399">
        <f t="shared" si="231"/>
        <v>1.27</v>
      </c>
      <c r="J6495" s="442"/>
      <c r="K6495" s="1263">
        <v>1.2701358999999999</v>
      </c>
      <c r="L6495" s="461"/>
      <c r="M6495" s="461"/>
      <c r="N6495" s="461"/>
    </row>
    <row r="6496" spans="1:14" s="462" customFormat="1" hidden="1" outlineLevel="1">
      <c r="A6496" s="1261"/>
      <c r="B6496" s="260"/>
      <c r="C6496" s="457"/>
      <c r="D6496" s="440"/>
      <c r="E6496" s="439"/>
      <c r="F6496" s="1350"/>
      <c r="G6496" s="1350"/>
      <c r="H6496" s="1350"/>
      <c r="I6496" s="399" t="str">
        <f t="shared" si="231"/>
        <v/>
      </c>
      <c r="J6496" s="442"/>
      <c r="K6496" s="1263"/>
      <c r="L6496" s="461"/>
      <c r="M6496" s="461"/>
      <c r="N6496" s="461"/>
    </row>
    <row r="6497" spans="1:14" s="462" customFormat="1" hidden="1" outlineLevel="1">
      <c r="A6497" s="1261"/>
      <c r="B6497" s="260"/>
      <c r="C6497" s="457" t="s">
        <v>2</v>
      </c>
      <c r="D6497" s="440">
        <v>1</v>
      </c>
      <c r="E6497" s="439">
        <v>2</v>
      </c>
      <c r="F6497" s="1350">
        <v>7.14</v>
      </c>
      <c r="G6497" s="1350">
        <v>0.61</v>
      </c>
      <c r="H6497" s="1350">
        <v>0.82299999999999995</v>
      </c>
      <c r="I6497" s="399">
        <f t="shared" si="231"/>
        <v>7.17</v>
      </c>
      <c r="J6497" s="442"/>
      <c r="K6497" s="1263">
        <v>7.168988399999999</v>
      </c>
      <c r="L6497" s="461"/>
      <c r="M6497" s="461"/>
      <c r="N6497" s="461"/>
    </row>
    <row r="6498" spans="1:14" s="462" customFormat="1" hidden="1" outlineLevel="1">
      <c r="A6498" s="1261"/>
      <c r="B6498" s="260"/>
      <c r="C6498" s="457"/>
      <c r="D6498" s="440"/>
      <c r="E6498" s="439"/>
      <c r="F6498" s="1350"/>
      <c r="G6498" s="1350"/>
      <c r="H6498" s="1350"/>
      <c r="I6498" s="399" t="str">
        <f t="shared" si="231"/>
        <v/>
      </c>
      <c r="J6498" s="442"/>
      <c r="K6498" s="1263"/>
      <c r="L6498" s="461"/>
      <c r="M6498" s="461"/>
      <c r="N6498" s="461"/>
    </row>
    <row r="6499" spans="1:14" s="462" customFormat="1" hidden="1" outlineLevel="1">
      <c r="A6499" s="1261"/>
      <c r="B6499" s="260"/>
      <c r="C6499" s="457" t="s">
        <v>2</v>
      </c>
      <c r="D6499" s="440">
        <v>1</v>
      </c>
      <c r="E6499" s="439">
        <v>2</v>
      </c>
      <c r="F6499" s="1350">
        <v>1.2649999999999999</v>
      </c>
      <c r="G6499" s="1350">
        <v>0.61</v>
      </c>
      <c r="H6499" s="1350">
        <v>0.82299999999999995</v>
      </c>
      <c r="I6499" s="399">
        <f t="shared" si="231"/>
        <v>1.27</v>
      </c>
      <c r="J6499" s="442"/>
      <c r="K6499" s="1263">
        <v>1.2701358999999999</v>
      </c>
      <c r="L6499" s="461"/>
      <c r="M6499" s="461"/>
      <c r="N6499" s="461"/>
    </row>
    <row r="6500" spans="1:14" s="462" customFormat="1" hidden="1" outlineLevel="1">
      <c r="A6500" s="1261"/>
      <c r="B6500" s="260"/>
      <c r="C6500" s="457"/>
      <c r="D6500" s="440"/>
      <c r="E6500" s="439"/>
      <c r="F6500" s="1350"/>
      <c r="G6500" s="1350"/>
      <c r="H6500" s="1350"/>
      <c r="I6500" s="399" t="str">
        <f t="shared" si="231"/>
        <v/>
      </c>
      <c r="J6500" s="442"/>
      <c r="K6500" s="1263"/>
      <c r="L6500" s="461"/>
      <c r="M6500" s="461"/>
      <c r="N6500" s="461"/>
    </row>
    <row r="6501" spans="1:14" s="462" customFormat="1" hidden="1" outlineLevel="1">
      <c r="A6501" s="1261"/>
      <c r="B6501" s="260"/>
      <c r="C6501" s="457"/>
      <c r="D6501" s="440"/>
      <c r="E6501" s="439"/>
      <c r="F6501" s="1350"/>
      <c r="G6501" s="1350"/>
      <c r="H6501" s="1350"/>
      <c r="I6501" s="399" t="str">
        <f t="shared" si="231"/>
        <v/>
      </c>
      <c r="J6501" s="442"/>
      <c r="K6501" s="1263"/>
      <c r="L6501" s="461"/>
      <c r="M6501" s="461"/>
      <c r="N6501" s="461"/>
    </row>
    <row r="6502" spans="1:14" s="462" customFormat="1" ht="34.5" hidden="1" outlineLevel="1">
      <c r="A6502" s="1261"/>
      <c r="B6502" s="260" t="s">
        <v>531</v>
      </c>
      <c r="C6502" s="457"/>
      <c r="D6502" s="440"/>
      <c r="E6502" s="439"/>
      <c r="F6502" s="1350"/>
      <c r="G6502" s="1350"/>
      <c r="H6502" s="1350"/>
      <c r="I6502" s="399" t="str">
        <f t="shared" si="231"/>
        <v/>
      </c>
      <c r="J6502" s="442"/>
      <c r="K6502" s="1263"/>
      <c r="L6502" s="461"/>
      <c r="M6502" s="461"/>
      <c r="N6502" s="461"/>
    </row>
    <row r="6503" spans="1:14" s="462" customFormat="1" hidden="1" outlineLevel="1">
      <c r="A6503" s="1261"/>
      <c r="B6503" s="260"/>
      <c r="C6503" s="457"/>
      <c r="D6503" s="440"/>
      <c r="E6503" s="439"/>
      <c r="F6503" s="1350"/>
      <c r="G6503" s="1350"/>
      <c r="H6503" s="1350"/>
      <c r="I6503" s="399" t="str">
        <f t="shared" si="231"/>
        <v/>
      </c>
      <c r="J6503" s="442"/>
      <c r="K6503" s="1263">
        <v>0</v>
      </c>
      <c r="L6503" s="461"/>
      <c r="M6503" s="461"/>
      <c r="N6503" s="461"/>
    </row>
    <row r="6504" spans="1:14" s="462" customFormat="1" hidden="1" outlineLevel="1">
      <c r="A6504" s="1261"/>
      <c r="B6504" s="260"/>
      <c r="C6504" s="457"/>
      <c r="D6504" s="440">
        <v>1</v>
      </c>
      <c r="E6504" s="439">
        <v>4</v>
      </c>
      <c r="F6504" s="1350">
        <v>7.625</v>
      </c>
      <c r="G6504" s="1350">
        <v>0.61</v>
      </c>
      <c r="H6504" s="1350">
        <v>0.82299999999999995</v>
      </c>
      <c r="I6504" s="399">
        <f t="shared" si="231"/>
        <v>15.31</v>
      </c>
      <c r="J6504" s="442"/>
      <c r="K6504" s="1263">
        <v>15.311914999999999</v>
      </c>
      <c r="L6504" s="461"/>
      <c r="M6504" s="461"/>
      <c r="N6504" s="461"/>
    </row>
    <row r="6505" spans="1:14" s="462" customFormat="1" hidden="1" outlineLevel="1">
      <c r="A6505" s="1261"/>
      <c r="B6505" s="260"/>
      <c r="C6505" s="457"/>
      <c r="D6505" s="440"/>
      <c r="E6505" s="439"/>
      <c r="F6505" s="1350"/>
      <c r="G6505" s="1350"/>
      <c r="H6505" s="1350"/>
      <c r="I6505" s="399" t="str">
        <f t="shared" si="231"/>
        <v/>
      </c>
      <c r="J6505" s="442"/>
      <c r="K6505" s="1263"/>
      <c r="L6505" s="461"/>
      <c r="M6505" s="461"/>
      <c r="N6505" s="461"/>
    </row>
    <row r="6506" spans="1:14" s="462" customFormat="1" ht="34.5" hidden="1" outlineLevel="1">
      <c r="A6506" s="1261"/>
      <c r="B6506" s="260" t="s">
        <v>256</v>
      </c>
      <c r="C6506" s="457"/>
      <c r="D6506" s="440"/>
      <c r="E6506" s="439"/>
      <c r="F6506" s="1350"/>
      <c r="G6506" s="1350"/>
      <c r="H6506" s="1350"/>
      <c r="I6506" s="399" t="str">
        <f t="shared" si="231"/>
        <v/>
      </c>
      <c r="J6506" s="442"/>
      <c r="K6506" s="1263"/>
      <c r="L6506" s="461"/>
      <c r="M6506" s="461"/>
      <c r="N6506" s="461"/>
    </row>
    <row r="6507" spans="1:14" s="462" customFormat="1" hidden="1" outlineLevel="1">
      <c r="A6507" s="1261"/>
      <c r="B6507" s="260"/>
      <c r="C6507" s="457"/>
      <c r="D6507" s="440"/>
      <c r="E6507" s="439"/>
      <c r="F6507" s="1350"/>
      <c r="G6507" s="1350"/>
      <c r="H6507" s="1350"/>
      <c r="I6507" s="399" t="str">
        <f t="shared" si="231"/>
        <v/>
      </c>
      <c r="J6507" s="442"/>
      <c r="K6507" s="1263">
        <v>0</v>
      </c>
      <c r="L6507" s="461"/>
      <c r="M6507" s="461"/>
      <c r="N6507" s="461"/>
    </row>
    <row r="6508" spans="1:14" s="462" customFormat="1" hidden="1" outlineLevel="1">
      <c r="A6508" s="1261"/>
      <c r="B6508" s="260"/>
      <c r="C6508" s="457" t="s">
        <v>2</v>
      </c>
      <c r="D6508" s="440">
        <v>1</v>
      </c>
      <c r="E6508" s="439">
        <v>8</v>
      </c>
      <c r="F6508" s="1350">
        <v>7.625</v>
      </c>
      <c r="G6508" s="1350">
        <v>0.61</v>
      </c>
      <c r="H6508" s="1350">
        <v>0.82299999999999995</v>
      </c>
      <c r="I6508" s="399">
        <f t="shared" si="231"/>
        <v>30.62</v>
      </c>
      <c r="J6508" s="442"/>
      <c r="K6508" s="1263">
        <v>30.623829999999998</v>
      </c>
      <c r="L6508" s="461"/>
      <c r="M6508" s="461"/>
      <c r="N6508" s="461"/>
    </row>
    <row r="6509" spans="1:14" s="462" customFormat="1" hidden="1" outlineLevel="1">
      <c r="A6509" s="1261"/>
      <c r="B6509" s="260"/>
      <c r="C6509" s="457"/>
      <c r="D6509" s="440"/>
      <c r="E6509" s="439"/>
      <c r="F6509" s="1350"/>
      <c r="G6509" s="1350"/>
      <c r="H6509" s="1350"/>
      <c r="I6509" s="399" t="str">
        <f t="shared" si="231"/>
        <v/>
      </c>
      <c r="J6509" s="442"/>
      <c r="K6509" s="1263"/>
      <c r="L6509" s="461"/>
      <c r="M6509" s="461"/>
      <c r="N6509" s="461"/>
    </row>
    <row r="6510" spans="1:14" s="462" customFormat="1" hidden="1" outlineLevel="1">
      <c r="A6510" s="1261"/>
      <c r="B6510" s="260"/>
      <c r="C6510" s="457" t="s">
        <v>2</v>
      </c>
      <c r="D6510" s="440">
        <v>1</v>
      </c>
      <c r="E6510" s="439">
        <v>1</v>
      </c>
      <c r="F6510" s="1350">
        <v>9.35</v>
      </c>
      <c r="G6510" s="1350">
        <v>0.61</v>
      </c>
      <c r="H6510" s="1350">
        <v>0.82299999999999995</v>
      </c>
      <c r="I6510" s="399">
        <f t="shared" si="231"/>
        <v>4.6900000000000004</v>
      </c>
      <c r="J6510" s="442"/>
      <c r="K6510" s="1263">
        <v>4.9951984999999999</v>
      </c>
      <c r="L6510" s="461"/>
      <c r="M6510" s="461"/>
      <c r="N6510" s="461"/>
    </row>
    <row r="6511" spans="1:14" s="462" customFormat="1" hidden="1" outlineLevel="1">
      <c r="A6511" s="1261"/>
      <c r="B6511" s="260"/>
      <c r="C6511" s="457"/>
      <c r="D6511" s="440"/>
      <c r="E6511" s="439"/>
      <c r="F6511" s="1350"/>
      <c r="G6511" s="1350"/>
      <c r="H6511" s="1350"/>
      <c r="I6511" s="399" t="str">
        <f t="shared" si="231"/>
        <v/>
      </c>
      <c r="J6511" s="442"/>
      <c r="K6511" s="1263"/>
      <c r="L6511" s="461"/>
      <c r="M6511" s="461"/>
      <c r="N6511" s="461"/>
    </row>
    <row r="6512" spans="1:14" s="462" customFormat="1" hidden="1" outlineLevel="1">
      <c r="A6512" s="1261"/>
      <c r="B6512" s="260"/>
      <c r="C6512" s="457"/>
      <c r="D6512" s="440"/>
      <c r="E6512" s="439"/>
      <c r="F6512" s="1350"/>
      <c r="G6512" s="1350"/>
      <c r="H6512" s="1350"/>
      <c r="I6512" s="399" t="str">
        <f t="shared" si="231"/>
        <v/>
      </c>
      <c r="J6512" s="442"/>
      <c r="K6512" s="1263"/>
      <c r="L6512" s="461"/>
      <c r="M6512" s="461"/>
      <c r="N6512" s="461"/>
    </row>
    <row r="6513" spans="1:14" s="462" customFormat="1" ht="34.5" hidden="1" outlineLevel="1">
      <c r="A6513" s="1261"/>
      <c r="B6513" s="260" t="s">
        <v>532</v>
      </c>
      <c r="C6513" s="457"/>
      <c r="D6513" s="440"/>
      <c r="E6513" s="439"/>
      <c r="F6513" s="1350"/>
      <c r="G6513" s="1350"/>
      <c r="H6513" s="1350"/>
      <c r="I6513" s="399" t="str">
        <f t="shared" si="231"/>
        <v/>
      </c>
      <c r="J6513" s="442"/>
      <c r="K6513" s="1263"/>
      <c r="L6513" s="461"/>
      <c r="M6513" s="461"/>
      <c r="N6513" s="461"/>
    </row>
    <row r="6514" spans="1:14" s="462" customFormat="1" hidden="1" outlineLevel="1">
      <c r="A6514" s="1261"/>
      <c r="B6514" s="260"/>
      <c r="C6514" s="457"/>
      <c r="D6514" s="440"/>
      <c r="E6514" s="439"/>
      <c r="F6514" s="1350"/>
      <c r="G6514" s="1350"/>
      <c r="H6514" s="1350"/>
      <c r="I6514" s="399" t="str">
        <f t="shared" si="231"/>
        <v/>
      </c>
      <c r="J6514" s="442"/>
      <c r="K6514" s="1263"/>
      <c r="L6514" s="461"/>
      <c r="M6514" s="461"/>
      <c r="N6514" s="461"/>
    </row>
    <row r="6515" spans="1:14" s="462" customFormat="1" hidden="1" outlineLevel="1">
      <c r="A6515" s="1261"/>
      <c r="B6515" s="260" t="s">
        <v>263</v>
      </c>
      <c r="C6515" s="457" t="s">
        <v>2</v>
      </c>
      <c r="D6515" s="440">
        <v>1</v>
      </c>
      <c r="E6515" s="439">
        <v>8</v>
      </c>
      <c r="F6515" s="1350">
        <v>5</v>
      </c>
      <c r="G6515" s="1350">
        <v>1.5</v>
      </c>
      <c r="H6515" s="1350">
        <v>0.82299999999999995</v>
      </c>
      <c r="I6515" s="399">
        <f t="shared" si="231"/>
        <v>49.38</v>
      </c>
      <c r="J6515" s="442"/>
      <c r="K6515" s="1263">
        <v>49.379999999999995</v>
      </c>
      <c r="L6515" s="461"/>
      <c r="M6515" s="461"/>
      <c r="N6515" s="461"/>
    </row>
    <row r="6516" spans="1:14" s="462" customFormat="1" hidden="1" outlineLevel="1">
      <c r="A6516" s="1261"/>
      <c r="B6516" s="260"/>
      <c r="C6516" s="457"/>
      <c r="D6516" s="440"/>
      <c r="E6516" s="439"/>
      <c r="F6516" s="1350"/>
      <c r="G6516" s="1350"/>
      <c r="H6516" s="1350"/>
      <c r="I6516" s="399" t="str">
        <f t="shared" si="231"/>
        <v/>
      </c>
      <c r="J6516" s="442"/>
      <c r="K6516" s="1263">
        <v>0</v>
      </c>
      <c r="L6516" s="461"/>
      <c r="M6516" s="461"/>
      <c r="N6516" s="461"/>
    </row>
    <row r="6517" spans="1:14" s="462" customFormat="1" ht="34.5" hidden="1" outlineLevel="1">
      <c r="A6517" s="1261"/>
      <c r="B6517" s="260" t="s">
        <v>533</v>
      </c>
      <c r="C6517" s="457"/>
      <c r="D6517" s="440"/>
      <c r="E6517" s="439"/>
      <c r="F6517" s="1350"/>
      <c r="G6517" s="1350"/>
      <c r="H6517" s="1350"/>
      <c r="I6517" s="399" t="str">
        <f t="shared" si="231"/>
        <v/>
      </c>
      <c r="J6517" s="442"/>
      <c r="K6517" s="1263"/>
      <c r="L6517" s="461"/>
      <c r="M6517" s="461"/>
      <c r="N6517" s="461"/>
    </row>
    <row r="6518" spans="1:14" s="462" customFormat="1" hidden="1" outlineLevel="1">
      <c r="A6518" s="1261"/>
      <c r="B6518" s="260"/>
      <c r="C6518" s="457"/>
      <c r="D6518" s="440"/>
      <c r="E6518" s="439"/>
      <c r="F6518" s="1350"/>
      <c r="G6518" s="1350"/>
      <c r="H6518" s="1350"/>
      <c r="I6518" s="399" t="str">
        <f t="shared" si="231"/>
        <v/>
      </c>
      <c r="J6518" s="442"/>
      <c r="K6518" s="1263"/>
      <c r="L6518" s="461"/>
      <c r="M6518" s="461"/>
      <c r="N6518" s="461"/>
    </row>
    <row r="6519" spans="1:14" s="462" customFormat="1" hidden="1" outlineLevel="1">
      <c r="A6519" s="1261"/>
      <c r="B6519" s="260" t="s">
        <v>263</v>
      </c>
      <c r="C6519" s="457" t="s">
        <v>2</v>
      </c>
      <c r="D6519" s="440">
        <v>1</v>
      </c>
      <c r="E6519" s="439">
        <v>8</v>
      </c>
      <c r="F6519" s="1350">
        <v>5</v>
      </c>
      <c r="G6519" s="1350">
        <v>1.5</v>
      </c>
      <c r="H6519" s="1350">
        <v>0.82299999999999995</v>
      </c>
      <c r="I6519" s="399">
        <f t="shared" si="231"/>
        <v>49.38</v>
      </c>
      <c r="J6519" s="442"/>
      <c r="K6519" s="1263">
        <v>49.379999999999995</v>
      </c>
      <c r="L6519" s="461"/>
      <c r="M6519" s="461"/>
      <c r="N6519" s="461"/>
    </row>
    <row r="6520" spans="1:14" s="462" customFormat="1" hidden="1" outlineLevel="1">
      <c r="A6520" s="1261"/>
      <c r="B6520" s="260" t="s">
        <v>534</v>
      </c>
      <c r="C6520" s="457" t="s">
        <v>2</v>
      </c>
      <c r="D6520" s="440">
        <v>-1</v>
      </c>
      <c r="E6520" s="439">
        <v>1</v>
      </c>
      <c r="F6520" s="1350">
        <v>716.20999999999992</v>
      </c>
      <c r="G6520" s="1350"/>
      <c r="H6520" s="1350"/>
      <c r="I6520" s="399">
        <f t="shared" si="231"/>
        <v>-716.21</v>
      </c>
      <c r="J6520" s="442"/>
      <c r="K6520" s="1263">
        <v>0</v>
      </c>
      <c r="L6520" s="461"/>
      <c r="M6520" s="461"/>
      <c r="N6520" s="461"/>
    </row>
    <row r="6521" spans="1:14" s="398" customFormat="1" ht="51.75" hidden="1" outlineLevel="1" collapsed="1">
      <c r="A6521" s="1250"/>
      <c r="B6521" s="602" t="s">
        <v>689</v>
      </c>
      <c r="C6521" s="165" t="s">
        <v>2</v>
      </c>
      <c r="D6521" s="302"/>
      <c r="E6521" s="304"/>
      <c r="F6521" s="1205"/>
      <c r="G6521" s="1205"/>
      <c r="H6521" s="1205"/>
      <c r="I6521" s="399" t="str">
        <f t="shared" si="231"/>
        <v/>
      </c>
      <c r="J6521" s="374"/>
      <c r="K6521" s="1237"/>
      <c r="L6521" s="431"/>
      <c r="M6521" s="431"/>
      <c r="N6521" s="431"/>
    </row>
    <row r="6522" spans="1:14" s="398" customFormat="1" hidden="1" outlineLevel="1">
      <c r="A6522" s="1250"/>
      <c r="B6522" s="312" t="s">
        <v>690</v>
      </c>
      <c r="C6522" s="165" t="s">
        <v>2</v>
      </c>
      <c r="D6522" s="302"/>
      <c r="E6522" s="304"/>
      <c r="F6522" s="1205"/>
      <c r="G6522" s="1205"/>
      <c r="H6522" s="1205"/>
      <c r="I6522" s="399" t="str">
        <f t="shared" si="231"/>
        <v/>
      </c>
      <c r="J6522" s="374"/>
      <c r="K6522" s="1237"/>
      <c r="L6522" s="431"/>
      <c r="M6522" s="431"/>
      <c r="N6522" s="431"/>
    </row>
    <row r="6523" spans="1:14" s="398" customFormat="1" hidden="1" outlineLevel="1">
      <c r="A6523" s="1250"/>
      <c r="B6523" s="312" t="s">
        <v>600</v>
      </c>
      <c r="C6523" s="165" t="s">
        <v>2</v>
      </c>
      <c r="D6523" s="302">
        <v>1</v>
      </c>
      <c r="E6523" s="304">
        <v>1</v>
      </c>
      <c r="F6523" s="1205">
        <f>1.4+1.4+1.53+1.53+4.89+G6523*2</f>
        <v>11.97</v>
      </c>
      <c r="G6523" s="1205">
        <f t="shared" ref="G6523:G6541" si="232">0.46+0.15</f>
        <v>0.61</v>
      </c>
      <c r="H6523" s="1205">
        <v>0.82299999999999995</v>
      </c>
      <c r="I6523" s="399">
        <f t="shared" si="231"/>
        <v>6.01</v>
      </c>
      <c r="J6523" s="374"/>
      <c r="K6523" s="1237"/>
      <c r="L6523" s="431"/>
      <c r="M6523" s="431"/>
      <c r="N6523" s="431"/>
    </row>
    <row r="6524" spans="1:14" s="398" customFormat="1" hidden="1" outlineLevel="1">
      <c r="A6524" s="1250"/>
      <c r="B6524" s="313"/>
      <c r="C6524" s="165" t="s">
        <v>2</v>
      </c>
      <c r="D6524" s="302">
        <v>1</v>
      </c>
      <c r="E6524" s="304">
        <v>1</v>
      </c>
      <c r="F6524" s="1205">
        <f>1.4+G6524</f>
        <v>2.0099999999999998</v>
      </c>
      <c r="G6524" s="1205">
        <f t="shared" si="232"/>
        <v>0.61</v>
      </c>
      <c r="H6524" s="1205">
        <v>0.82299999999999995</v>
      </c>
      <c r="I6524" s="399">
        <f t="shared" si="231"/>
        <v>1.01</v>
      </c>
      <c r="J6524" s="374"/>
      <c r="K6524" s="1237"/>
      <c r="L6524" s="431"/>
      <c r="M6524" s="431"/>
      <c r="N6524" s="431"/>
    </row>
    <row r="6525" spans="1:14" s="398" customFormat="1" hidden="1" outlineLevel="1">
      <c r="A6525" s="1250"/>
      <c r="B6525" s="313"/>
      <c r="C6525" s="165" t="s">
        <v>2</v>
      </c>
      <c r="D6525" s="302">
        <v>1</v>
      </c>
      <c r="E6525" s="304">
        <v>1</v>
      </c>
      <c r="F6525" s="1205">
        <f>7.355+G6525</f>
        <v>7.9650000000000007</v>
      </c>
      <c r="G6525" s="1205">
        <f t="shared" si="232"/>
        <v>0.61</v>
      </c>
      <c r="H6525" s="1205">
        <v>0.82299999999999995</v>
      </c>
      <c r="I6525" s="399">
        <f t="shared" si="231"/>
        <v>4</v>
      </c>
      <c r="J6525" s="374"/>
      <c r="K6525" s="1237"/>
      <c r="L6525" s="431"/>
      <c r="M6525" s="431"/>
      <c r="N6525" s="431"/>
    </row>
    <row r="6526" spans="1:14" s="398" customFormat="1" hidden="1" outlineLevel="1">
      <c r="A6526" s="1250"/>
      <c r="B6526" s="312" t="s">
        <v>601</v>
      </c>
      <c r="C6526" s="165" t="s">
        <v>2</v>
      </c>
      <c r="D6526" s="302">
        <v>1</v>
      </c>
      <c r="E6526" s="304">
        <v>1</v>
      </c>
      <c r="F6526" s="1205">
        <f>7.355+G6526</f>
        <v>7.9650000000000007</v>
      </c>
      <c r="G6526" s="1205">
        <f t="shared" si="232"/>
        <v>0.61</v>
      </c>
      <c r="H6526" s="1205">
        <v>0.82299999999999995</v>
      </c>
      <c r="I6526" s="399">
        <f t="shared" si="231"/>
        <v>4</v>
      </c>
      <c r="J6526" s="374"/>
      <c r="K6526" s="1237"/>
      <c r="L6526" s="431"/>
      <c r="M6526" s="431"/>
      <c r="N6526" s="431"/>
    </row>
    <row r="6527" spans="1:14" s="398" customFormat="1" hidden="1" outlineLevel="1">
      <c r="A6527" s="1250"/>
      <c r="B6527" s="313"/>
      <c r="C6527" s="165" t="s">
        <v>2</v>
      </c>
      <c r="D6527" s="302">
        <v>1</v>
      </c>
      <c r="E6527" s="304">
        <v>1</v>
      </c>
      <c r="F6527" s="1205">
        <f>1.4+G6527</f>
        <v>2.0099999999999998</v>
      </c>
      <c r="G6527" s="1205">
        <f t="shared" si="232"/>
        <v>0.61</v>
      </c>
      <c r="H6527" s="1205">
        <v>0.82299999999999995</v>
      </c>
      <c r="I6527" s="399">
        <f t="shared" si="231"/>
        <v>1.01</v>
      </c>
      <c r="J6527" s="374"/>
      <c r="K6527" s="1237"/>
      <c r="L6527" s="431"/>
      <c r="M6527" s="431"/>
      <c r="N6527" s="431"/>
    </row>
    <row r="6528" spans="1:14" s="398" customFormat="1" hidden="1" outlineLevel="1">
      <c r="A6528" s="1250"/>
      <c r="B6528" s="313"/>
      <c r="C6528" s="165" t="s">
        <v>2</v>
      </c>
      <c r="D6528" s="302">
        <v>1</v>
      </c>
      <c r="E6528" s="304">
        <v>1</v>
      </c>
      <c r="F6528" s="1205">
        <f>5.955+G6528</f>
        <v>6.5650000000000004</v>
      </c>
      <c r="G6528" s="1205">
        <f t="shared" si="232"/>
        <v>0.61</v>
      </c>
      <c r="H6528" s="1205">
        <v>0.82299999999999995</v>
      </c>
      <c r="I6528" s="399">
        <f t="shared" si="231"/>
        <v>3.3</v>
      </c>
      <c r="J6528" s="374"/>
      <c r="K6528" s="1237"/>
      <c r="L6528" s="431"/>
      <c r="M6528" s="431"/>
      <c r="N6528" s="431"/>
    </row>
    <row r="6529" spans="1:14" s="398" customFormat="1" hidden="1" outlineLevel="1">
      <c r="A6529" s="1250"/>
      <c r="B6529" s="312" t="s">
        <v>602</v>
      </c>
      <c r="C6529" s="165" t="s">
        <v>2</v>
      </c>
      <c r="D6529" s="302">
        <v>1</v>
      </c>
      <c r="E6529" s="304">
        <v>1</v>
      </c>
      <c r="F6529" s="1205">
        <f>5.955+G6529</f>
        <v>6.5650000000000004</v>
      </c>
      <c r="G6529" s="1205">
        <f t="shared" si="232"/>
        <v>0.61</v>
      </c>
      <c r="H6529" s="1205">
        <v>0.82299999999999995</v>
      </c>
      <c r="I6529" s="399">
        <f t="shared" si="231"/>
        <v>3.3</v>
      </c>
      <c r="J6529" s="374"/>
      <c r="K6529" s="1237"/>
      <c r="L6529" s="431"/>
      <c r="M6529" s="431"/>
      <c r="N6529" s="431"/>
    </row>
    <row r="6530" spans="1:14" s="398" customFormat="1" hidden="1" outlineLevel="1">
      <c r="A6530" s="1250"/>
      <c r="B6530" s="313"/>
      <c r="C6530" s="165" t="s">
        <v>2</v>
      </c>
      <c r="D6530" s="302">
        <v>1</v>
      </c>
      <c r="E6530" s="304">
        <v>1</v>
      </c>
      <c r="F6530" s="1205">
        <f>1.53+G6530</f>
        <v>2.14</v>
      </c>
      <c r="G6530" s="1205">
        <f t="shared" si="232"/>
        <v>0.61</v>
      </c>
      <c r="H6530" s="1205">
        <v>0.82299999999999995</v>
      </c>
      <c r="I6530" s="399">
        <f t="shared" si="231"/>
        <v>1.07</v>
      </c>
      <c r="J6530" s="374"/>
      <c r="K6530" s="1237"/>
      <c r="L6530" s="431"/>
      <c r="M6530" s="431"/>
      <c r="N6530" s="431"/>
    </row>
    <row r="6531" spans="1:14" s="398" customFormat="1" hidden="1" outlineLevel="1">
      <c r="A6531" s="1250"/>
      <c r="B6531" s="313"/>
      <c r="C6531" s="165" t="s">
        <v>2</v>
      </c>
      <c r="D6531" s="302">
        <v>1</v>
      </c>
      <c r="E6531" s="304">
        <v>1</v>
      </c>
      <c r="F6531" s="1205">
        <f>4.425+G6531</f>
        <v>5.0350000000000001</v>
      </c>
      <c r="G6531" s="1205">
        <f t="shared" si="232"/>
        <v>0.61</v>
      </c>
      <c r="H6531" s="1205">
        <v>0.82299999999999995</v>
      </c>
      <c r="I6531" s="399">
        <f t="shared" si="231"/>
        <v>2.5299999999999998</v>
      </c>
      <c r="J6531" s="374"/>
      <c r="K6531" s="1237"/>
      <c r="L6531" s="431"/>
      <c r="M6531" s="431"/>
      <c r="N6531" s="431"/>
    </row>
    <row r="6532" spans="1:14" s="398" customFormat="1" hidden="1" outlineLevel="1">
      <c r="A6532" s="1250"/>
      <c r="B6532" s="312" t="s">
        <v>603</v>
      </c>
      <c r="C6532" s="165" t="s">
        <v>2</v>
      </c>
      <c r="D6532" s="302">
        <v>1</v>
      </c>
      <c r="E6532" s="304">
        <v>1</v>
      </c>
      <c r="F6532" s="1205">
        <f>4.425+G6532</f>
        <v>5.0350000000000001</v>
      </c>
      <c r="G6532" s="1205">
        <f t="shared" si="232"/>
        <v>0.61</v>
      </c>
      <c r="H6532" s="1205">
        <v>0.82299999999999995</v>
      </c>
      <c r="I6532" s="399">
        <f t="shared" si="231"/>
        <v>2.5299999999999998</v>
      </c>
      <c r="J6532" s="374"/>
      <c r="K6532" s="1237"/>
      <c r="L6532" s="431"/>
      <c r="M6532" s="431"/>
      <c r="N6532" s="431"/>
    </row>
    <row r="6533" spans="1:14" s="398" customFormat="1" hidden="1" outlineLevel="1">
      <c r="A6533" s="1250"/>
      <c r="B6533" s="313"/>
      <c r="C6533" s="165" t="s">
        <v>2</v>
      </c>
      <c r="D6533" s="302">
        <v>1</v>
      </c>
      <c r="E6533" s="304">
        <v>1</v>
      </c>
      <c r="F6533" s="1205">
        <f>1.53+G6533</f>
        <v>2.14</v>
      </c>
      <c r="G6533" s="1205">
        <f t="shared" si="232"/>
        <v>0.61</v>
      </c>
      <c r="H6533" s="1205">
        <v>0.82299999999999995</v>
      </c>
      <c r="I6533" s="399">
        <f t="shared" si="231"/>
        <v>1.07</v>
      </c>
      <c r="J6533" s="374"/>
      <c r="K6533" s="1237"/>
      <c r="L6533" s="431"/>
      <c r="M6533" s="431"/>
      <c r="N6533" s="431"/>
    </row>
    <row r="6534" spans="1:14" s="398" customFormat="1" hidden="1" outlineLevel="1">
      <c r="A6534" s="1250"/>
      <c r="B6534" s="313"/>
      <c r="C6534" s="165" t="s">
        <v>2</v>
      </c>
      <c r="D6534" s="302">
        <v>1</v>
      </c>
      <c r="E6534" s="304">
        <v>1</v>
      </c>
      <c r="F6534" s="1205">
        <f>2.89+G6534</f>
        <v>3.5</v>
      </c>
      <c r="G6534" s="1205">
        <f t="shared" si="232"/>
        <v>0.61</v>
      </c>
      <c r="H6534" s="1205">
        <v>0.82299999999999995</v>
      </c>
      <c r="I6534" s="399">
        <f t="shared" si="231"/>
        <v>1.76</v>
      </c>
      <c r="J6534" s="374"/>
      <c r="K6534" s="1237"/>
      <c r="L6534" s="431"/>
      <c r="M6534" s="431"/>
      <c r="N6534" s="431"/>
    </row>
    <row r="6535" spans="1:14" s="398" customFormat="1" hidden="1" outlineLevel="1">
      <c r="A6535" s="1250"/>
      <c r="B6535" s="312" t="s">
        <v>603</v>
      </c>
      <c r="C6535" s="165" t="s">
        <v>2</v>
      </c>
      <c r="D6535" s="302">
        <v>1</v>
      </c>
      <c r="E6535" s="304">
        <v>1</v>
      </c>
      <c r="F6535" s="1205">
        <f>2.89+G6535</f>
        <v>3.5</v>
      </c>
      <c r="G6535" s="1205">
        <f t="shared" si="232"/>
        <v>0.61</v>
      </c>
      <c r="H6535" s="1205">
        <v>0.82299999999999995</v>
      </c>
      <c r="I6535" s="399">
        <f t="shared" si="231"/>
        <v>1.76</v>
      </c>
      <c r="J6535" s="374"/>
      <c r="K6535" s="1237"/>
      <c r="L6535" s="431"/>
      <c r="M6535" s="431"/>
      <c r="N6535" s="431"/>
    </row>
    <row r="6536" spans="1:14" s="398" customFormat="1" hidden="1" outlineLevel="1">
      <c r="A6536" s="1250"/>
      <c r="B6536" s="313"/>
      <c r="C6536" s="165" t="s">
        <v>2</v>
      </c>
      <c r="D6536" s="302">
        <v>1</v>
      </c>
      <c r="E6536" s="304">
        <v>1</v>
      </c>
      <c r="F6536" s="1205">
        <f>4.89+G6536</f>
        <v>5.5</v>
      </c>
      <c r="G6536" s="1205">
        <f t="shared" si="232"/>
        <v>0.61</v>
      </c>
      <c r="H6536" s="1205">
        <v>0.82299999999999995</v>
      </c>
      <c r="I6536" s="399">
        <f t="shared" si="231"/>
        <v>2.76</v>
      </c>
      <c r="J6536" s="374"/>
      <c r="K6536" s="1237"/>
      <c r="L6536" s="431"/>
      <c r="M6536" s="431"/>
      <c r="N6536" s="431"/>
    </row>
    <row r="6537" spans="1:14" s="398" customFormat="1" hidden="1" outlineLevel="1">
      <c r="A6537" s="1250"/>
      <c r="B6537" s="603" t="s">
        <v>604</v>
      </c>
      <c r="C6537" s="165" t="s">
        <v>2</v>
      </c>
      <c r="D6537" s="302">
        <v>1</v>
      </c>
      <c r="E6537" s="304">
        <v>6</v>
      </c>
      <c r="F6537" s="1205">
        <v>0.61499999999999999</v>
      </c>
      <c r="G6537" s="1205">
        <f t="shared" si="232"/>
        <v>0.61</v>
      </c>
      <c r="H6537" s="1205">
        <v>0.82299999999999995</v>
      </c>
      <c r="I6537" s="399">
        <f t="shared" si="231"/>
        <v>1.85</v>
      </c>
      <c r="J6537" s="374"/>
      <c r="K6537" s="1237"/>
      <c r="L6537" s="431"/>
      <c r="M6537" s="431"/>
      <c r="N6537" s="431"/>
    </row>
    <row r="6538" spans="1:14" s="398" customFormat="1" hidden="1" outlineLevel="1">
      <c r="A6538" s="1250"/>
      <c r="B6538" s="313"/>
      <c r="C6538" s="165" t="s">
        <v>2</v>
      </c>
      <c r="D6538" s="302">
        <v>1</v>
      </c>
      <c r="E6538" s="304">
        <v>3</v>
      </c>
      <c r="F6538" s="1205">
        <f>2.745-G6538</f>
        <v>2.1350000000000002</v>
      </c>
      <c r="G6538" s="1205">
        <f t="shared" si="232"/>
        <v>0.61</v>
      </c>
      <c r="H6538" s="1205">
        <v>0.82299999999999995</v>
      </c>
      <c r="I6538" s="399">
        <f t="shared" si="231"/>
        <v>3.22</v>
      </c>
      <c r="J6538" s="374"/>
      <c r="K6538" s="1237"/>
      <c r="L6538" s="431"/>
      <c r="M6538" s="431"/>
      <c r="N6538" s="431"/>
    </row>
    <row r="6539" spans="1:14" s="398" customFormat="1" hidden="1" outlineLevel="1">
      <c r="A6539" s="1250"/>
      <c r="B6539" s="313"/>
      <c r="C6539" s="165" t="s">
        <v>2</v>
      </c>
      <c r="D6539" s="302">
        <v>1</v>
      </c>
      <c r="E6539" s="304">
        <v>1</v>
      </c>
      <c r="F6539" s="1205">
        <f>2.44-G6539</f>
        <v>1.83</v>
      </c>
      <c r="G6539" s="1205">
        <f t="shared" si="232"/>
        <v>0.61</v>
      </c>
      <c r="H6539" s="1205">
        <v>0.82299999999999995</v>
      </c>
      <c r="I6539" s="399">
        <f t="shared" si="231"/>
        <v>0.92</v>
      </c>
      <c r="J6539" s="374"/>
      <c r="K6539" s="1237"/>
      <c r="L6539" s="431"/>
      <c r="M6539" s="431"/>
      <c r="N6539" s="431"/>
    </row>
    <row r="6540" spans="1:14" s="398" customFormat="1" hidden="1" outlineLevel="1">
      <c r="A6540" s="1250"/>
      <c r="B6540" s="313"/>
      <c r="C6540" s="165" t="s">
        <v>2</v>
      </c>
      <c r="D6540" s="302">
        <v>1</v>
      </c>
      <c r="E6540" s="304">
        <v>3</v>
      </c>
      <c r="F6540" s="1205">
        <f>2.13-G6540*2</f>
        <v>0.90999999999999992</v>
      </c>
      <c r="G6540" s="1205">
        <f t="shared" si="232"/>
        <v>0.61</v>
      </c>
      <c r="H6540" s="1205">
        <v>0.82299999999999995</v>
      </c>
      <c r="I6540" s="399">
        <f t="shared" si="231"/>
        <v>1.37</v>
      </c>
      <c r="J6540" s="374"/>
      <c r="K6540" s="1237"/>
      <c r="L6540" s="431"/>
      <c r="M6540" s="431"/>
      <c r="N6540" s="431"/>
    </row>
    <row r="6541" spans="1:14" s="398" customFormat="1" hidden="1" outlineLevel="1">
      <c r="A6541" s="1250"/>
      <c r="B6541" s="313"/>
      <c r="C6541" s="165" t="s">
        <v>2</v>
      </c>
      <c r="D6541" s="302">
        <v>1</v>
      </c>
      <c r="E6541" s="304">
        <v>1</v>
      </c>
      <c r="F6541" s="1205">
        <f>1.825-G6541*2</f>
        <v>0.60499999999999998</v>
      </c>
      <c r="G6541" s="1205">
        <f t="shared" si="232"/>
        <v>0.61</v>
      </c>
      <c r="H6541" s="1205">
        <v>0.82299999999999995</v>
      </c>
      <c r="I6541" s="399">
        <f t="shared" si="231"/>
        <v>0.3</v>
      </c>
      <c r="J6541" s="374"/>
      <c r="K6541" s="1237"/>
      <c r="L6541" s="431"/>
      <c r="M6541" s="431"/>
      <c r="N6541" s="431"/>
    </row>
    <row r="6542" spans="1:14" s="398" customFormat="1" ht="51.75" hidden="1" outlineLevel="1">
      <c r="A6542" s="1250"/>
      <c r="B6542" s="602" t="s">
        <v>691</v>
      </c>
      <c r="C6542" s="165" t="s">
        <v>2</v>
      </c>
      <c r="D6542" s="302"/>
      <c r="E6542" s="304"/>
      <c r="F6542" s="1205"/>
      <c r="G6542" s="1205"/>
      <c r="H6542" s="1205"/>
      <c r="I6542" s="399" t="str">
        <f t="shared" si="231"/>
        <v/>
      </c>
      <c r="J6542" s="374"/>
      <c r="K6542" s="1237"/>
      <c r="L6542" s="431"/>
      <c r="M6542" s="431"/>
      <c r="N6542" s="431"/>
    </row>
    <row r="6543" spans="1:14" s="398" customFormat="1" hidden="1" outlineLevel="1">
      <c r="A6543" s="1250"/>
      <c r="B6543" s="312" t="s">
        <v>692</v>
      </c>
      <c r="C6543" s="165" t="s">
        <v>2</v>
      </c>
      <c r="D6543" s="302"/>
      <c r="E6543" s="304"/>
      <c r="F6543" s="1205"/>
      <c r="G6543" s="1205"/>
      <c r="H6543" s="1205"/>
      <c r="I6543" s="399" t="str">
        <f t="shared" si="231"/>
        <v/>
      </c>
      <c r="J6543" s="374"/>
      <c r="K6543" s="1237"/>
      <c r="L6543" s="431"/>
      <c r="M6543" s="431"/>
      <c r="N6543" s="431"/>
    </row>
    <row r="6544" spans="1:14" s="398" customFormat="1" hidden="1" outlineLevel="1">
      <c r="A6544" s="1250"/>
      <c r="B6544" s="312" t="s">
        <v>607</v>
      </c>
      <c r="C6544" s="165" t="s">
        <v>2</v>
      </c>
      <c r="D6544" s="302">
        <v>1</v>
      </c>
      <c r="E6544" s="304">
        <v>1</v>
      </c>
      <c r="F6544" s="1205">
        <f>29.85</f>
        <v>29.85</v>
      </c>
      <c r="G6544" s="1205">
        <f t="shared" ref="G6544:G6559" si="233">0.46+0.15</f>
        <v>0.61</v>
      </c>
      <c r="H6544" s="1205">
        <v>0.82299999999999995</v>
      </c>
      <c r="I6544" s="399">
        <f t="shared" si="231"/>
        <v>14.99</v>
      </c>
      <c r="J6544" s="374"/>
      <c r="K6544" s="1237"/>
      <c r="L6544" s="431"/>
      <c r="M6544" s="431"/>
      <c r="N6544" s="431"/>
    </row>
    <row r="6545" spans="1:14" s="398" customFormat="1" hidden="1" outlineLevel="1">
      <c r="A6545" s="1250"/>
      <c r="B6545" s="313"/>
      <c r="C6545" s="165" t="s">
        <v>2</v>
      </c>
      <c r="D6545" s="302">
        <v>1</v>
      </c>
      <c r="E6545" s="304">
        <v>1</v>
      </c>
      <c r="F6545" s="1205">
        <f>2.3-G6545*2</f>
        <v>1.0799999999999998</v>
      </c>
      <c r="G6545" s="1205">
        <f t="shared" si="233"/>
        <v>0.61</v>
      </c>
      <c r="H6545" s="1205">
        <v>0.82299999999999995</v>
      </c>
      <c r="I6545" s="399">
        <f t="shared" si="231"/>
        <v>0.54</v>
      </c>
      <c r="J6545" s="374"/>
      <c r="K6545" s="1237"/>
      <c r="L6545" s="431"/>
      <c r="M6545" s="431"/>
      <c r="N6545" s="431"/>
    </row>
    <row r="6546" spans="1:14" s="398" customFormat="1" hidden="1" outlineLevel="1">
      <c r="A6546" s="1250"/>
      <c r="B6546" s="313"/>
      <c r="C6546" s="165" t="s">
        <v>2</v>
      </c>
      <c r="D6546" s="302">
        <v>1</v>
      </c>
      <c r="E6546" s="634">
        <v>6</v>
      </c>
      <c r="F6546" s="1205">
        <f>2-G6546*2</f>
        <v>0.78</v>
      </c>
      <c r="G6546" s="1205">
        <f t="shared" si="233"/>
        <v>0.61</v>
      </c>
      <c r="H6546" s="1205">
        <v>0.82299999999999995</v>
      </c>
      <c r="I6546" s="399">
        <f t="shared" si="231"/>
        <v>2.35</v>
      </c>
      <c r="J6546" s="374"/>
      <c r="K6546" s="1237"/>
      <c r="L6546" s="431"/>
      <c r="M6546" s="431"/>
      <c r="N6546" s="431"/>
    </row>
    <row r="6547" spans="1:14" s="398" customFormat="1" hidden="1" outlineLevel="1">
      <c r="A6547" s="1250"/>
      <c r="B6547" s="313"/>
      <c r="C6547" s="165" t="s">
        <v>2</v>
      </c>
      <c r="D6547" s="302">
        <v>1</v>
      </c>
      <c r="E6547" s="304">
        <v>1</v>
      </c>
      <c r="F6547" s="1205">
        <f>2.25-G6547*2</f>
        <v>1.03</v>
      </c>
      <c r="G6547" s="1205">
        <f t="shared" si="233"/>
        <v>0.61</v>
      </c>
      <c r="H6547" s="1205">
        <v>0.82299999999999995</v>
      </c>
      <c r="I6547" s="399">
        <f t="shared" si="231"/>
        <v>0.52</v>
      </c>
      <c r="J6547" s="374"/>
      <c r="K6547" s="1237"/>
      <c r="L6547" s="431"/>
      <c r="M6547" s="431"/>
      <c r="N6547" s="431"/>
    </row>
    <row r="6548" spans="1:14" s="398" customFormat="1" hidden="1" outlineLevel="1">
      <c r="A6548" s="1250"/>
      <c r="B6548" s="313"/>
      <c r="C6548" s="165" t="s">
        <v>2</v>
      </c>
      <c r="D6548" s="302">
        <v>1</v>
      </c>
      <c r="E6548" s="304">
        <v>1</v>
      </c>
      <c r="F6548" s="1205">
        <f>1.75-G6548*2</f>
        <v>0.53</v>
      </c>
      <c r="G6548" s="1205">
        <f t="shared" si="233"/>
        <v>0.61</v>
      </c>
      <c r="H6548" s="1205">
        <v>0.82299999999999995</v>
      </c>
      <c r="I6548" s="399">
        <f t="shared" si="231"/>
        <v>0.27</v>
      </c>
      <c r="J6548" s="374"/>
      <c r="K6548" s="1237"/>
      <c r="L6548" s="431"/>
      <c r="M6548" s="431"/>
      <c r="N6548" s="431"/>
    </row>
    <row r="6549" spans="1:14" s="398" customFormat="1" hidden="1" outlineLevel="1">
      <c r="A6549" s="1250"/>
      <c r="B6549" s="313"/>
      <c r="C6549" s="165" t="s">
        <v>2</v>
      </c>
      <c r="D6549" s="302">
        <v>1</v>
      </c>
      <c r="E6549" s="304">
        <v>12</v>
      </c>
      <c r="F6549" s="1205">
        <v>0.6</v>
      </c>
      <c r="G6549" s="1205">
        <f t="shared" si="233"/>
        <v>0.61</v>
      </c>
      <c r="H6549" s="1205">
        <v>0.82299999999999995</v>
      </c>
      <c r="I6549" s="399">
        <f t="shared" si="231"/>
        <v>3.61</v>
      </c>
      <c r="J6549" s="374"/>
      <c r="K6549" s="1237"/>
      <c r="L6549" s="431"/>
      <c r="M6549" s="431"/>
      <c r="N6549" s="431"/>
    </row>
    <row r="6550" spans="1:14" s="398" customFormat="1" hidden="1" outlineLevel="1">
      <c r="A6550" s="1250"/>
      <c r="B6550" s="603" t="s">
        <v>608</v>
      </c>
      <c r="C6550" s="165" t="s">
        <v>2</v>
      </c>
      <c r="D6550" s="302">
        <v>1</v>
      </c>
      <c r="E6550" s="304">
        <v>1</v>
      </c>
      <c r="F6550" s="1205">
        <f>10.315+G6550*2</f>
        <v>11.535</v>
      </c>
      <c r="G6550" s="1205">
        <f t="shared" si="233"/>
        <v>0.61</v>
      </c>
      <c r="H6550" s="1205">
        <v>0.82299999999999995</v>
      </c>
      <c r="I6550" s="399">
        <f t="shared" si="231"/>
        <v>5.79</v>
      </c>
      <c r="J6550" s="374"/>
      <c r="K6550" s="1237"/>
      <c r="L6550" s="431"/>
      <c r="M6550" s="431"/>
      <c r="N6550" s="431"/>
    </row>
    <row r="6551" spans="1:14" s="398" customFormat="1" hidden="1" outlineLevel="1">
      <c r="A6551" s="1250"/>
      <c r="B6551" s="313" t="s">
        <v>609</v>
      </c>
      <c r="C6551" s="165" t="s">
        <v>2</v>
      </c>
      <c r="D6551" s="302">
        <v>1</v>
      </c>
      <c r="E6551" s="304">
        <v>1</v>
      </c>
      <c r="F6551" s="1205">
        <f>9.315+G6551</f>
        <v>9.9249999999999989</v>
      </c>
      <c r="G6551" s="1205">
        <f t="shared" si="233"/>
        <v>0.61</v>
      </c>
      <c r="H6551" s="1205">
        <v>0.82299999999999995</v>
      </c>
      <c r="I6551" s="399">
        <f t="shared" si="231"/>
        <v>4.9800000000000004</v>
      </c>
      <c r="J6551" s="374"/>
      <c r="K6551" s="1237"/>
      <c r="L6551" s="431"/>
      <c r="M6551" s="431"/>
      <c r="N6551" s="431"/>
    </row>
    <row r="6552" spans="1:14" s="398" customFormat="1" hidden="1" outlineLevel="1">
      <c r="A6552" s="1250"/>
      <c r="B6552" s="313" t="s">
        <v>610</v>
      </c>
      <c r="C6552" s="165" t="s">
        <v>2</v>
      </c>
      <c r="D6552" s="302">
        <v>1</v>
      </c>
      <c r="E6552" s="304">
        <v>2</v>
      </c>
      <c r="F6552" s="1205">
        <f>7.79+G6552</f>
        <v>8.4</v>
      </c>
      <c r="G6552" s="1205">
        <f t="shared" si="233"/>
        <v>0.61</v>
      </c>
      <c r="H6552" s="1205">
        <v>0.82299999999999995</v>
      </c>
      <c r="I6552" s="399">
        <f t="shared" si="231"/>
        <v>8.43</v>
      </c>
      <c r="J6552" s="374"/>
      <c r="K6552" s="1237"/>
      <c r="L6552" s="431"/>
      <c r="M6552" s="431"/>
      <c r="N6552" s="431"/>
    </row>
    <row r="6553" spans="1:14" s="398" customFormat="1" hidden="1" outlineLevel="1">
      <c r="A6553" s="1250"/>
      <c r="B6553" s="313" t="s">
        <v>611</v>
      </c>
      <c r="C6553" s="165" t="s">
        <v>2</v>
      </c>
      <c r="D6553" s="302">
        <v>1</v>
      </c>
      <c r="E6553" s="304">
        <v>2</v>
      </c>
      <c r="F6553" s="1205">
        <f>6.265+G6553</f>
        <v>6.875</v>
      </c>
      <c r="G6553" s="1205">
        <f t="shared" si="233"/>
        <v>0.61</v>
      </c>
      <c r="H6553" s="1205">
        <v>0.82299999999999995</v>
      </c>
      <c r="I6553" s="399">
        <f t="shared" si="231"/>
        <v>6.9</v>
      </c>
      <c r="J6553" s="374"/>
      <c r="K6553" s="1237"/>
      <c r="L6553" s="431"/>
      <c r="M6553" s="431"/>
      <c r="N6553" s="431"/>
    </row>
    <row r="6554" spans="1:14" s="464" customFormat="1" hidden="1" outlineLevel="1">
      <c r="A6554" s="1264"/>
      <c r="B6554" s="344" t="s">
        <v>612</v>
      </c>
      <c r="C6554" s="345" t="s">
        <v>2</v>
      </c>
      <c r="D6554" s="336">
        <f>1*0</f>
        <v>0</v>
      </c>
      <c r="E6554" s="346">
        <v>2</v>
      </c>
      <c r="F6554" s="1365">
        <f>6.265+G6554</f>
        <v>6.875</v>
      </c>
      <c r="G6554" s="1365">
        <f t="shared" si="233"/>
        <v>0.61</v>
      </c>
      <c r="H6554" s="1365">
        <v>0.82299999999999995</v>
      </c>
      <c r="I6554" s="399" t="str">
        <f t="shared" si="231"/>
        <v/>
      </c>
      <c r="J6554" s="381"/>
      <c r="K6554" s="1317"/>
      <c r="L6554" s="463"/>
      <c r="M6554" s="463"/>
      <c r="N6554" s="463"/>
    </row>
    <row r="6555" spans="1:14" s="398" customFormat="1" hidden="1" outlineLevel="1">
      <c r="A6555" s="1250"/>
      <c r="B6555" s="313"/>
      <c r="C6555" s="165" t="s">
        <v>2</v>
      </c>
      <c r="D6555" s="302">
        <v>1</v>
      </c>
      <c r="E6555" s="304">
        <v>2</v>
      </c>
      <c r="F6555" s="1205">
        <f>4.74+G6555</f>
        <v>5.3500000000000005</v>
      </c>
      <c r="G6555" s="1205">
        <f t="shared" si="233"/>
        <v>0.61</v>
      </c>
      <c r="H6555" s="1205">
        <v>0.82299999999999995</v>
      </c>
      <c r="I6555" s="399">
        <f t="shared" si="231"/>
        <v>5.37</v>
      </c>
      <c r="J6555" s="374"/>
      <c r="K6555" s="1237"/>
      <c r="L6555" s="431"/>
      <c r="M6555" s="431"/>
      <c r="N6555" s="431"/>
    </row>
    <row r="6556" spans="1:14" s="398" customFormat="1" hidden="1" outlineLevel="1">
      <c r="A6556" s="1250"/>
      <c r="B6556" s="313"/>
      <c r="C6556" s="165" t="s">
        <v>2</v>
      </c>
      <c r="D6556" s="302">
        <v>1</v>
      </c>
      <c r="E6556" s="304">
        <v>2</v>
      </c>
      <c r="F6556" s="1205">
        <f>3.52+G6556</f>
        <v>4.13</v>
      </c>
      <c r="G6556" s="1205">
        <f t="shared" si="233"/>
        <v>0.61</v>
      </c>
      <c r="H6556" s="1205">
        <v>0.82299999999999995</v>
      </c>
      <c r="I6556" s="399">
        <f t="shared" si="231"/>
        <v>4.1500000000000004</v>
      </c>
      <c r="J6556" s="374"/>
      <c r="K6556" s="1237"/>
      <c r="L6556" s="431"/>
      <c r="M6556" s="431"/>
      <c r="N6556" s="431"/>
    </row>
    <row r="6557" spans="1:14" s="398" customFormat="1" hidden="1" outlineLevel="1">
      <c r="A6557" s="1250"/>
      <c r="B6557" s="313"/>
      <c r="C6557" s="165" t="s">
        <v>2</v>
      </c>
      <c r="D6557" s="302">
        <v>6</v>
      </c>
      <c r="E6557" s="304">
        <v>2</v>
      </c>
      <c r="F6557" s="1205">
        <f>3.215+G6557</f>
        <v>3.8249999999999997</v>
      </c>
      <c r="G6557" s="1205">
        <f t="shared" si="233"/>
        <v>0.61</v>
      </c>
      <c r="H6557" s="1205">
        <v>0.82299999999999995</v>
      </c>
      <c r="I6557" s="399">
        <f t="shared" ref="I6557:I6620" si="234">IF(D6557&lt;&gt;0,ROUND(PRODUCT(E6557:H6557)*D6557,2),"")</f>
        <v>23.04</v>
      </c>
      <c r="J6557" s="374"/>
      <c r="K6557" s="1237"/>
      <c r="L6557" s="431"/>
      <c r="M6557" s="431"/>
      <c r="N6557" s="431"/>
    </row>
    <row r="6558" spans="1:14" s="398" customFormat="1" hidden="1" outlineLevel="1">
      <c r="A6558" s="1250"/>
      <c r="B6558" s="313"/>
      <c r="C6558" s="165" t="s">
        <v>2</v>
      </c>
      <c r="D6558" s="302">
        <v>1</v>
      </c>
      <c r="E6558" s="304">
        <v>1</v>
      </c>
      <c r="F6558" s="1205">
        <f>3.215+G6558</f>
        <v>3.8249999999999997</v>
      </c>
      <c r="G6558" s="1205">
        <f t="shared" si="233"/>
        <v>0.61</v>
      </c>
      <c r="H6558" s="1205">
        <v>0.82299999999999995</v>
      </c>
      <c r="I6558" s="399">
        <f t="shared" si="234"/>
        <v>1.92</v>
      </c>
      <c r="J6558" s="374"/>
      <c r="K6558" s="1237"/>
      <c r="L6558" s="431"/>
      <c r="M6558" s="431"/>
      <c r="N6558" s="431"/>
    </row>
    <row r="6559" spans="1:14" s="398" customFormat="1" hidden="1" outlineLevel="1">
      <c r="A6559" s="1250"/>
      <c r="B6559" s="313"/>
      <c r="C6559" s="165" t="s">
        <v>2</v>
      </c>
      <c r="D6559" s="302">
        <v>1</v>
      </c>
      <c r="E6559" s="304">
        <v>1</v>
      </c>
      <c r="F6559" s="1205">
        <f>4.215+G6559*2</f>
        <v>5.4349999999999996</v>
      </c>
      <c r="G6559" s="1205">
        <f t="shared" si="233"/>
        <v>0.61</v>
      </c>
      <c r="H6559" s="1205">
        <v>0.82299999999999995</v>
      </c>
      <c r="I6559" s="399">
        <f t="shared" si="234"/>
        <v>2.73</v>
      </c>
      <c r="J6559" s="374"/>
      <c r="K6559" s="1237"/>
      <c r="L6559" s="431"/>
      <c r="M6559" s="431"/>
      <c r="N6559" s="431"/>
    </row>
    <row r="6560" spans="1:14" s="398" customFormat="1" hidden="1" outlineLevel="1">
      <c r="A6560" s="1250"/>
      <c r="B6560" s="313" t="s">
        <v>693</v>
      </c>
      <c r="C6560" s="165" t="s">
        <v>2</v>
      </c>
      <c r="D6560" s="302">
        <v>1</v>
      </c>
      <c r="E6560" s="298">
        <v>11</v>
      </c>
      <c r="F6560" s="1205">
        <v>3</v>
      </c>
      <c r="G6560" s="1205">
        <v>0.115</v>
      </c>
      <c r="H6560" s="1205">
        <v>0.82299999999999995</v>
      </c>
      <c r="I6560" s="399">
        <f t="shared" si="234"/>
        <v>3.12</v>
      </c>
      <c r="J6560" s="374"/>
      <c r="K6560" s="1237"/>
      <c r="L6560" s="431"/>
      <c r="M6560" s="431"/>
      <c r="N6560" s="431"/>
    </row>
    <row r="6561" spans="1:14" s="398" customFormat="1" ht="51.75" hidden="1" outlineLevel="1">
      <c r="A6561" s="1250"/>
      <c r="B6561" s="602" t="s">
        <v>694</v>
      </c>
      <c r="C6561" s="165" t="s">
        <v>2</v>
      </c>
      <c r="D6561" s="302"/>
      <c r="E6561" s="304"/>
      <c r="F6561" s="1205"/>
      <c r="G6561" s="1205"/>
      <c r="H6561" s="1205"/>
      <c r="I6561" s="399" t="str">
        <f t="shared" si="234"/>
        <v/>
      </c>
      <c r="J6561" s="374"/>
      <c r="K6561" s="1237"/>
      <c r="L6561" s="431"/>
      <c r="M6561" s="431"/>
      <c r="N6561" s="431"/>
    </row>
    <row r="6562" spans="1:14" s="398" customFormat="1" hidden="1" outlineLevel="1">
      <c r="A6562" s="1250"/>
      <c r="B6562" s="312" t="s">
        <v>695</v>
      </c>
      <c r="C6562" s="165" t="s">
        <v>2</v>
      </c>
      <c r="D6562" s="302"/>
      <c r="E6562" s="304"/>
      <c r="F6562" s="1205"/>
      <c r="G6562" s="1205"/>
      <c r="H6562" s="1205"/>
      <c r="I6562" s="399" t="str">
        <f t="shared" si="234"/>
        <v/>
      </c>
      <c r="J6562" s="374"/>
      <c r="K6562" s="1237"/>
      <c r="L6562" s="431"/>
      <c r="M6562" s="431"/>
      <c r="N6562" s="431"/>
    </row>
    <row r="6563" spans="1:14" s="398" customFormat="1" hidden="1" outlineLevel="1">
      <c r="A6563" s="1250"/>
      <c r="B6563" s="312" t="s">
        <v>616</v>
      </c>
      <c r="C6563" s="165" t="s">
        <v>2</v>
      </c>
      <c r="D6563" s="302">
        <v>1</v>
      </c>
      <c r="E6563" s="304">
        <v>2</v>
      </c>
      <c r="F6563" s="1205">
        <f>3.59+G6563</f>
        <v>4.2</v>
      </c>
      <c r="G6563" s="1205">
        <f>0.46+0.15</f>
        <v>0.61</v>
      </c>
      <c r="H6563" s="1205">
        <v>0.82299999999999995</v>
      </c>
      <c r="I6563" s="399">
        <f t="shared" si="234"/>
        <v>4.22</v>
      </c>
      <c r="J6563" s="374"/>
      <c r="K6563" s="1237"/>
      <c r="L6563" s="431"/>
      <c r="M6563" s="431"/>
      <c r="N6563" s="431"/>
    </row>
    <row r="6564" spans="1:14" s="398" customFormat="1" hidden="1" outlineLevel="1">
      <c r="A6564" s="1250"/>
      <c r="B6564" s="313"/>
      <c r="C6564" s="165" t="s">
        <v>2</v>
      </c>
      <c r="D6564" s="302">
        <v>1</v>
      </c>
      <c r="E6564" s="304">
        <v>2</v>
      </c>
      <c r="F6564" s="1205">
        <f>5.725+G6564</f>
        <v>6.335</v>
      </c>
      <c r="G6564" s="1205">
        <f>0.46+0.15</f>
        <v>0.61</v>
      </c>
      <c r="H6564" s="1205">
        <v>0.82299999999999995</v>
      </c>
      <c r="I6564" s="399">
        <f t="shared" si="234"/>
        <v>6.36</v>
      </c>
      <c r="J6564" s="374"/>
      <c r="K6564" s="1237"/>
      <c r="L6564" s="431"/>
      <c r="M6564" s="431"/>
      <c r="N6564" s="431"/>
    </row>
    <row r="6565" spans="1:14" s="398" customFormat="1" hidden="1" outlineLevel="1">
      <c r="A6565" s="1250"/>
      <c r="B6565" s="313"/>
      <c r="C6565" s="165" t="s">
        <v>2</v>
      </c>
      <c r="D6565" s="302">
        <v>1</v>
      </c>
      <c r="E6565" s="304">
        <v>2</v>
      </c>
      <c r="F6565" s="1205">
        <f>6.64+G6565</f>
        <v>7.25</v>
      </c>
      <c r="G6565" s="1205">
        <f>0.46+0.15</f>
        <v>0.61</v>
      </c>
      <c r="H6565" s="1205">
        <v>0.82299999999999995</v>
      </c>
      <c r="I6565" s="399">
        <f t="shared" si="234"/>
        <v>7.28</v>
      </c>
      <c r="J6565" s="374"/>
      <c r="K6565" s="1237"/>
      <c r="L6565" s="431"/>
      <c r="M6565" s="431"/>
      <c r="N6565" s="431"/>
    </row>
    <row r="6566" spans="1:14" s="398" customFormat="1" hidden="1" outlineLevel="1">
      <c r="A6566" s="1250"/>
      <c r="B6566" s="313"/>
      <c r="C6566" s="165" t="s">
        <v>2</v>
      </c>
      <c r="D6566" s="302">
        <v>1</v>
      </c>
      <c r="E6566" s="304">
        <v>2</v>
      </c>
      <c r="F6566" s="1205">
        <f>6.03+G6566</f>
        <v>6.6400000000000006</v>
      </c>
      <c r="G6566" s="1205">
        <f>0.46+0.15</f>
        <v>0.61</v>
      </c>
      <c r="H6566" s="1205">
        <v>0.82299999999999995</v>
      </c>
      <c r="I6566" s="399">
        <f t="shared" si="234"/>
        <v>6.67</v>
      </c>
      <c r="J6566" s="374"/>
      <c r="K6566" s="1237"/>
      <c r="L6566" s="431"/>
      <c r="M6566" s="431"/>
      <c r="N6566" s="431"/>
    </row>
    <row r="6567" spans="1:14" s="398" customFormat="1" hidden="1" outlineLevel="1">
      <c r="A6567" s="1250"/>
      <c r="B6567" s="313"/>
      <c r="C6567" s="165" t="s">
        <v>2</v>
      </c>
      <c r="D6567" s="302">
        <v>1</v>
      </c>
      <c r="E6567" s="304">
        <v>5</v>
      </c>
      <c r="F6567" s="1205">
        <v>0.6</v>
      </c>
      <c r="G6567" s="1205">
        <f>0.46+0.15</f>
        <v>0.61</v>
      </c>
      <c r="H6567" s="1205">
        <v>0.82299999999999995</v>
      </c>
      <c r="I6567" s="399">
        <f t="shared" si="234"/>
        <v>1.51</v>
      </c>
      <c r="J6567" s="374"/>
      <c r="K6567" s="1237"/>
      <c r="L6567" s="431"/>
      <c r="M6567" s="431"/>
      <c r="N6567" s="431"/>
    </row>
    <row r="6568" spans="1:14" s="398" customFormat="1" ht="51.75" hidden="1" outlineLevel="1">
      <c r="A6568" s="1250"/>
      <c r="B6568" s="602" t="s">
        <v>696</v>
      </c>
      <c r="C6568" s="165" t="s">
        <v>2</v>
      </c>
      <c r="D6568" s="302"/>
      <c r="E6568" s="298"/>
      <c r="F6568" s="1156"/>
      <c r="G6568" s="1156"/>
      <c r="H6568" s="1156"/>
      <c r="I6568" s="399" t="str">
        <f t="shared" si="234"/>
        <v/>
      </c>
      <c r="J6568" s="374"/>
      <c r="K6568" s="1237"/>
      <c r="L6568" s="431"/>
      <c r="M6568" s="431"/>
      <c r="N6568" s="431"/>
    </row>
    <row r="6569" spans="1:14" s="398" customFormat="1" ht="34.5" hidden="1" outlineLevel="1">
      <c r="A6569" s="1250"/>
      <c r="B6569" s="312" t="s">
        <v>697</v>
      </c>
      <c r="C6569" s="165" t="s">
        <v>2</v>
      </c>
      <c r="D6569" s="302">
        <v>1</v>
      </c>
      <c r="E6569" s="298">
        <v>1</v>
      </c>
      <c r="F6569" s="1156">
        <v>4.6349999999999998</v>
      </c>
      <c r="G6569" s="1205">
        <f t="shared" ref="G6569:G6576" si="235">0.46+0.15</f>
        <v>0.61</v>
      </c>
      <c r="H6569" s="1205">
        <v>0.82299999999999995</v>
      </c>
      <c r="I6569" s="399">
        <f t="shared" si="234"/>
        <v>2.33</v>
      </c>
      <c r="J6569" s="374"/>
      <c r="K6569" s="1237"/>
      <c r="L6569" s="431"/>
      <c r="M6569" s="431"/>
      <c r="N6569" s="431"/>
    </row>
    <row r="6570" spans="1:14" s="398" customFormat="1" hidden="1" outlineLevel="1">
      <c r="A6570" s="1250"/>
      <c r="B6570" s="313"/>
      <c r="C6570" s="165" t="s">
        <v>2</v>
      </c>
      <c r="D6570" s="302">
        <v>1</v>
      </c>
      <c r="E6570" s="329">
        <v>8</v>
      </c>
      <c r="F6570" s="1156">
        <v>7.625</v>
      </c>
      <c r="G6570" s="1205">
        <f t="shared" si="235"/>
        <v>0.61</v>
      </c>
      <c r="H6570" s="1205">
        <v>0.82299999999999995</v>
      </c>
      <c r="I6570" s="399">
        <f t="shared" si="234"/>
        <v>30.62</v>
      </c>
      <c r="J6570" s="374"/>
      <c r="K6570" s="1237"/>
      <c r="L6570" s="431"/>
      <c r="M6570" s="431"/>
      <c r="N6570" s="431"/>
    </row>
    <row r="6571" spans="1:14" s="398" customFormat="1" hidden="1" outlineLevel="1">
      <c r="A6571" s="1250"/>
      <c r="B6571" s="313"/>
      <c r="C6571" s="165" t="s">
        <v>2</v>
      </c>
      <c r="D6571" s="302">
        <v>1</v>
      </c>
      <c r="E6571" s="298">
        <v>1</v>
      </c>
      <c r="F6571" s="1156">
        <v>10.14</v>
      </c>
      <c r="G6571" s="1205">
        <f t="shared" si="235"/>
        <v>0.61</v>
      </c>
      <c r="H6571" s="1205">
        <v>0.82299999999999995</v>
      </c>
      <c r="I6571" s="399">
        <f t="shared" si="234"/>
        <v>5.09</v>
      </c>
      <c r="J6571" s="374"/>
      <c r="K6571" s="1237"/>
      <c r="L6571" s="431"/>
      <c r="M6571" s="431"/>
      <c r="N6571" s="431"/>
    </row>
    <row r="6572" spans="1:14" s="398" customFormat="1" ht="34.5" hidden="1" outlineLevel="1">
      <c r="A6572" s="1250"/>
      <c r="B6572" s="312" t="s">
        <v>698</v>
      </c>
      <c r="C6572" s="165" t="s">
        <v>2</v>
      </c>
      <c r="D6572" s="302">
        <v>1</v>
      </c>
      <c r="E6572" s="298">
        <v>1</v>
      </c>
      <c r="F6572" s="1156">
        <f>14.67-G6572</f>
        <v>14.06</v>
      </c>
      <c r="G6572" s="1205">
        <f t="shared" si="235"/>
        <v>0.61</v>
      </c>
      <c r="H6572" s="1205">
        <v>0.82299999999999995</v>
      </c>
      <c r="I6572" s="399">
        <f t="shared" si="234"/>
        <v>7.06</v>
      </c>
      <c r="J6572" s="374"/>
      <c r="K6572" s="1237"/>
      <c r="L6572" s="431"/>
      <c r="M6572" s="431"/>
      <c r="N6572" s="431"/>
    </row>
    <row r="6573" spans="1:14" s="398" customFormat="1" hidden="1" outlineLevel="1">
      <c r="A6573" s="1250"/>
      <c r="B6573" s="313"/>
      <c r="C6573" s="165" t="s">
        <v>2</v>
      </c>
      <c r="D6573" s="302">
        <v>1</v>
      </c>
      <c r="E6573" s="298">
        <f>13-8</f>
        <v>5</v>
      </c>
      <c r="F6573" s="1156">
        <v>7.625</v>
      </c>
      <c r="G6573" s="1205">
        <f t="shared" si="235"/>
        <v>0.61</v>
      </c>
      <c r="H6573" s="1205">
        <v>0.82299999999999995</v>
      </c>
      <c r="I6573" s="399">
        <f t="shared" si="234"/>
        <v>19.14</v>
      </c>
      <c r="J6573" s="374"/>
      <c r="K6573" s="1237"/>
      <c r="L6573" s="431"/>
      <c r="M6573" s="431"/>
      <c r="N6573" s="431"/>
    </row>
    <row r="6574" spans="1:14" s="398" customFormat="1" hidden="1" outlineLevel="1">
      <c r="A6574" s="1250"/>
      <c r="B6574" s="313"/>
      <c r="C6574" s="165" t="s">
        <v>2</v>
      </c>
      <c r="D6574" s="302">
        <v>1</v>
      </c>
      <c r="E6574" s="298">
        <v>1</v>
      </c>
      <c r="F6574" s="1156">
        <f>10.215-9.95</f>
        <v>0.26500000000000057</v>
      </c>
      <c r="G6574" s="1205">
        <f t="shared" si="235"/>
        <v>0.61</v>
      </c>
      <c r="H6574" s="1205">
        <v>0.82299999999999995</v>
      </c>
      <c r="I6574" s="399">
        <f t="shared" si="234"/>
        <v>0.13</v>
      </c>
      <c r="J6574" s="374"/>
      <c r="K6574" s="1237"/>
      <c r="L6574" s="431"/>
      <c r="M6574" s="431"/>
      <c r="N6574" s="431"/>
    </row>
    <row r="6575" spans="1:14" s="398" customFormat="1" ht="34.5" hidden="1" outlineLevel="1">
      <c r="A6575" s="1250"/>
      <c r="B6575" s="312" t="s">
        <v>699</v>
      </c>
      <c r="C6575" s="165" t="s">
        <v>2</v>
      </c>
      <c r="D6575" s="302">
        <v>1</v>
      </c>
      <c r="E6575" s="298">
        <v>1</v>
      </c>
      <c r="F6575" s="1156">
        <f>8.14-G6575</f>
        <v>7.53</v>
      </c>
      <c r="G6575" s="1205">
        <f t="shared" si="235"/>
        <v>0.61</v>
      </c>
      <c r="H6575" s="1205">
        <v>0.82299999999999995</v>
      </c>
      <c r="I6575" s="399">
        <f t="shared" si="234"/>
        <v>3.78</v>
      </c>
      <c r="J6575" s="374"/>
      <c r="K6575" s="1237"/>
      <c r="L6575" s="431"/>
      <c r="M6575" s="431"/>
      <c r="N6575" s="431"/>
    </row>
    <row r="6576" spans="1:14" s="398" customFormat="1" hidden="1" outlineLevel="1">
      <c r="A6576" s="1250"/>
      <c r="B6576" s="313"/>
      <c r="C6576" s="165" t="s">
        <v>2</v>
      </c>
      <c r="D6576" s="302">
        <v>1</v>
      </c>
      <c r="E6576" s="298">
        <v>2</v>
      </c>
      <c r="F6576" s="1156">
        <v>7.625</v>
      </c>
      <c r="G6576" s="1205">
        <f t="shared" si="235"/>
        <v>0.61</v>
      </c>
      <c r="H6576" s="1205">
        <v>0.82299999999999995</v>
      </c>
      <c r="I6576" s="399">
        <f t="shared" si="234"/>
        <v>7.66</v>
      </c>
      <c r="J6576" s="374"/>
      <c r="K6576" s="1237"/>
      <c r="L6576" s="431"/>
      <c r="M6576" s="431"/>
      <c r="N6576" s="431"/>
    </row>
    <row r="6577" spans="1:16" s="398" customFormat="1" ht="34.5" hidden="1" outlineLevel="1">
      <c r="A6577" s="1250"/>
      <c r="B6577" s="602" t="s">
        <v>700</v>
      </c>
      <c r="C6577" s="165" t="s">
        <v>2</v>
      </c>
      <c r="D6577" s="302"/>
      <c r="E6577" s="298"/>
      <c r="F6577" s="1156"/>
      <c r="G6577" s="1156"/>
      <c r="H6577" s="1156"/>
      <c r="I6577" s="399" t="str">
        <f t="shared" si="234"/>
        <v/>
      </c>
      <c r="J6577" s="374"/>
      <c r="K6577" s="1237"/>
      <c r="L6577" s="431"/>
      <c r="M6577" s="431"/>
      <c r="N6577" s="431"/>
    </row>
    <row r="6578" spans="1:16" s="398" customFormat="1" hidden="1" outlineLevel="1">
      <c r="A6578" s="1250"/>
      <c r="B6578" s="313"/>
      <c r="C6578" s="165" t="s">
        <v>2</v>
      </c>
      <c r="D6578" s="302"/>
      <c r="E6578" s="298"/>
      <c r="F6578" s="1156"/>
      <c r="G6578" s="1156"/>
      <c r="H6578" s="1156"/>
      <c r="I6578" s="399" t="str">
        <f t="shared" si="234"/>
        <v/>
      </c>
      <c r="J6578" s="374"/>
      <c r="K6578" s="1237"/>
      <c r="L6578" s="431"/>
      <c r="M6578" s="431"/>
      <c r="N6578" s="431"/>
    </row>
    <row r="6579" spans="1:16" s="398" customFormat="1" hidden="1" outlineLevel="1">
      <c r="A6579" s="1250"/>
      <c r="B6579" s="313" t="s">
        <v>263</v>
      </c>
      <c r="C6579" s="165" t="s">
        <v>2</v>
      </c>
      <c r="D6579" s="302">
        <v>1</v>
      </c>
      <c r="E6579" s="298">
        <v>9</v>
      </c>
      <c r="F6579" s="1156">
        <f>4.5+0.15+0.15+0.1+0.1</f>
        <v>5</v>
      </c>
      <c r="G6579" s="1156">
        <f>1+0.15+0.15+0.1+0.1</f>
        <v>1.5</v>
      </c>
      <c r="H6579" s="1205">
        <v>0.82299999999999995</v>
      </c>
      <c r="I6579" s="399">
        <f t="shared" si="234"/>
        <v>55.55</v>
      </c>
      <c r="J6579" s="374"/>
      <c r="K6579" s="1237"/>
      <c r="L6579" s="431"/>
      <c r="M6579" s="431"/>
      <c r="N6579" s="431"/>
    </row>
    <row r="6580" spans="1:16" s="398" customFormat="1" ht="34.5" hidden="1" outlineLevel="1">
      <c r="A6580" s="1250"/>
      <c r="B6580" s="602" t="s">
        <v>701</v>
      </c>
      <c r="C6580" s="165" t="s">
        <v>2</v>
      </c>
      <c r="D6580" s="302"/>
      <c r="E6580" s="298"/>
      <c r="F6580" s="1156"/>
      <c r="G6580" s="1156"/>
      <c r="H6580" s="1156"/>
      <c r="I6580" s="399" t="str">
        <f t="shared" si="234"/>
        <v/>
      </c>
      <c r="J6580" s="374"/>
      <c r="K6580" s="1237"/>
      <c r="L6580" s="431"/>
      <c r="M6580" s="431"/>
      <c r="N6580" s="431"/>
    </row>
    <row r="6581" spans="1:16" s="398" customFormat="1" hidden="1" outlineLevel="1">
      <c r="A6581" s="1250"/>
      <c r="B6581" s="313" t="s">
        <v>263</v>
      </c>
      <c r="C6581" s="165" t="s">
        <v>2</v>
      </c>
      <c r="D6581" s="302">
        <v>1</v>
      </c>
      <c r="E6581" s="298">
        <v>8</v>
      </c>
      <c r="F6581" s="1156">
        <f>4.5+0.15+0.15+0.1+0.1</f>
        <v>5</v>
      </c>
      <c r="G6581" s="1156">
        <f>1+0.15+0.15+0.1+0.1</f>
        <v>1.5</v>
      </c>
      <c r="H6581" s="1205">
        <v>0.82299999999999995</v>
      </c>
      <c r="I6581" s="399">
        <f t="shared" si="234"/>
        <v>49.38</v>
      </c>
      <c r="J6581" s="374"/>
      <c r="K6581" s="1237"/>
      <c r="L6581" s="431"/>
      <c r="M6581" s="431"/>
      <c r="N6581" s="431"/>
    </row>
    <row r="6582" spans="1:16" s="398" customFormat="1" ht="69" hidden="1" outlineLevel="1">
      <c r="A6582" s="1250"/>
      <c r="B6582" s="312" t="s">
        <v>702</v>
      </c>
      <c r="C6582" s="165" t="s">
        <v>2</v>
      </c>
      <c r="D6582" s="302"/>
      <c r="E6582" s="298"/>
      <c r="F6582" s="1156" t="s">
        <v>624</v>
      </c>
      <c r="G6582" s="1156"/>
      <c r="H6582" s="1156"/>
      <c r="I6582" s="399" t="str">
        <f t="shared" si="234"/>
        <v/>
      </c>
      <c r="J6582" s="374"/>
      <c r="K6582" s="1237"/>
      <c r="L6582" s="431"/>
      <c r="M6582" s="431"/>
      <c r="N6582" s="431"/>
    </row>
    <row r="6583" spans="1:16" s="398" customFormat="1" hidden="1" outlineLevel="1">
      <c r="A6583" s="1250"/>
      <c r="B6583" s="313"/>
      <c r="C6583" s="165" t="s">
        <v>2</v>
      </c>
      <c r="D6583" s="302">
        <v>1</v>
      </c>
      <c r="E6583" s="298">
        <v>1</v>
      </c>
      <c r="F6583" s="1156">
        <f>3.14*11.06^2</f>
        <v>384.09610400000008</v>
      </c>
      <c r="G6583" s="1156"/>
      <c r="H6583" s="1205">
        <v>0.82299999999999995</v>
      </c>
      <c r="I6583" s="399">
        <f t="shared" si="234"/>
        <v>316.11</v>
      </c>
      <c r="J6583" s="374"/>
      <c r="K6583" s="1237"/>
      <c r="L6583" s="431"/>
      <c r="M6583" s="431"/>
      <c r="N6583" s="431"/>
    </row>
    <row r="6584" spans="1:16" s="398" customFormat="1" hidden="1" outlineLevel="1">
      <c r="A6584" s="1250"/>
      <c r="B6584" s="603" t="s">
        <v>1288</v>
      </c>
      <c r="C6584" s="165"/>
      <c r="D6584" s="368"/>
      <c r="E6584" s="323"/>
      <c r="F6584" s="1160"/>
      <c r="G6584" s="1160"/>
      <c r="H6584" s="1369"/>
      <c r="I6584" s="399" t="str">
        <f t="shared" si="234"/>
        <v/>
      </c>
      <c r="J6584" s="374"/>
      <c r="K6584" s="1237"/>
      <c r="L6584" s="431"/>
      <c r="M6584" s="431"/>
      <c r="N6584" s="431"/>
    </row>
    <row r="6585" spans="1:16" s="342" customFormat="1" ht="34.5" hidden="1" outlineLevel="1">
      <c r="A6585" s="1230"/>
      <c r="B6585" s="607" t="s">
        <v>258</v>
      </c>
      <c r="C6585" s="345"/>
      <c r="D6585" s="608"/>
      <c r="E6585" s="609"/>
      <c r="F6585" s="1356"/>
      <c r="G6585" s="1356"/>
      <c r="H6585" s="1356"/>
      <c r="I6585" s="399" t="str">
        <f t="shared" si="234"/>
        <v/>
      </c>
      <c r="J6585" s="339"/>
      <c r="K6585" s="1231" t="s">
        <v>1286</v>
      </c>
      <c r="L6585" s="341"/>
      <c r="M6585" s="341"/>
      <c r="N6585" s="341"/>
      <c r="O6585" s="341"/>
      <c r="P6585" s="341"/>
    </row>
    <row r="6586" spans="1:16" s="342" customFormat="1" ht="34.5" hidden="1" outlineLevel="1">
      <c r="A6586" s="1230"/>
      <c r="B6586" s="610"/>
      <c r="C6586" s="345" t="s">
        <v>2</v>
      </c>
      <c r="D6586" s="608">
        <f t="shared" ref="D6586:D6649" si="236">1*0</f>
        <v>0</v>
      </c>
      <c r="E6586" s="611">
        <v>1</v>
      </c>
      <c r="F6586" s="1356">
        <v>27.54</v>
      </c>
      <c r="G6586" s="1356">
        <v>14.739999999999998</v>
      </c>
      <c r="H6586" s="1356">
        <v>0.82299999999999995</v>
      </c>
      <c r="I6586" s="399" t="str">
        <f t="shared" si="234"/>
        <v/>
      </c>
      <c r="J6586" s="339"/>
      <c r="K6586" s="1318" t="s">
        <v>1287</v>
      </c>
      <c r="L6586" s="341"/>
      <c r="M6586" s="341"/>
      <c r="N6586" s="341"/>
      <c r="O6586" s="341"/>
      <c r="P6586" s="341"/>
    </row>
    <row r="6587" spans="1:16" s="342" customFormat="1" hidden="1" outlineLevel="1">
      <c r="A6587" s="1230"/>
      <c r="B6587" s="610"/>
      <c r="C6587" s="345"/>
      <c r="D6587" s="608">
        <f t="shared" si="236"/>
        <v>0</v>
      </c>
      <c r="E6587" s="611"/>
      <c r="F6587" s="1356"/>
      <c r="G6587" s="1356"/>
      <c r="H6587" s="1356"/>
      <c r="I6587" s="399" t="str">
        <f t="shared" si="234"/>
        <v/>
      </c>
      <c r="J6587" s="339"/>
      <c r="K6587" s="1318"/>
      <c r="L6587" s="341"/>
      <c r="M6587" s="341"/>
      <c r="N6587" s="341"/>
      <c r="O6587" s="341"/>
      <c r="P6587" s="341"/>
    </row>
    <row r="6588" spans="1:16" s="342" customFormat="1" hidden="1" outlineLevel="1">
      <c r="A6588" s="1230"/>
      <c r="B6588" s="607" t="s">
        <v>259</v>
      </c>
      <c r="C6588" s="345"/>
      <c r="D6588" s="608">
        <f t="shared" si="236"/>
        <v>0</v>
      </c>
      <c r="E6588" s="611"/>
      <c r="F6588" s="1356"/>
      <c r="G6588" s="1356"/>
      <c r="H6588" s="1356"/>
      <c r="I6588" s="399" t="str">
        <f t="shared" si="234"/>
        <v/>
      </c>
      <c r="J6588" s="339"/>
      <c r="K6588" s="1318"/>
      <c r="L6588" s="341"/>
      <c r="M6588" s="341"/>
      <c r="N6588" s="341"/>
      <c r="O6588" s="341"/>
      <c r="P6588" s="341"/>
    </row>
    <row r="6589" spans="1:16" s="342" customFormat="1" hidden="1" outlineLevel="1">
      <c r="A6589" s="1230"/>
      <c r="B6589" s="607" t="s">
        <v>260</v>
      </c>
      <c r="C6589" s="345" t="s">
        <v>2</v>
      </c>
      <c r="D6589" s="608">
        <f t="shared" si="236"/>
        <v>0</v>
      </c>
      <c r="E6589" s="611">
        <v>1</v>
      </c>
      <c r="F6589" s="1356">
        <v>29.2</v>
      </c>
      <c r="G6589" s="1356">
        <v>6</v>
      </c>
      <c r="H6589" s="1356">
        <v>0.82299999999999995</v>
      </c>
      <c r="I6589" s="399" t="str">
        <f t="shared" si="234"/>
        <v/>
      </c>
      <c r="J6589" s="339"/>
      <c r="K6589" s="1318"/>
      <c r="L6589" s="341"/>
      <c r="M6589" s="341"/>
      <c r="N6589" s="341"/>
      <c r="O6589" s="341"/>
      <c r="P6589" s="341"/>
    </row>
    <row r="6590" spans="1:16" s="342" customFormat="1" hidden="1" outlineLevel="1">
      <c r="A6590" s="1230"/>
      <c r="B6590" s="607"/>
      <c r="C6590" s="345" t="s">
        <v>2</v>
      </c>
      <c r="D6590" s="608">
        <f t="shared" si="236"/>
        <v>0</v>
      </c>
      <c r="E6590" s="611">
        <v>1</v>
      </c>
      <c r="F6590" s="1356">
        <v>8.32</v>
      </c>
      <c r="G6590" s="1356">
        <v>6.78</v>
      </c>
      <c r="H6590" s="1356">
        <v>0.82299999999999995</v>
      </c>
      <c r="I6590" s="399" t="str">
        <f t="shared" si="234"/>
        <v/>
      </c>
      <c r="J6590" s="339"/>
      <c r="K6590" s="1318"/>
      <c r="L6590" s="341"/>
      <c r="M6590" s="341"/>
      <c r="N6590" s="341"/>
      <c r="O6590" s="341"/>
      <c r="P6590" s="341"/>
    </row>
    <row r="6591" spans="1:16" s="342" customFormat="1" hidden="1" outlineLevel="1">
      <c r="A6591" s="1230"/>
      <c r="B6591" s="607" t="s">
        <v>261</v>
      </c>
      <c r="C6591" s="345" t="s">
        <v>2</v>
      </c>
      <c r="D6591" s="608">
        <f t="shared" si="236"/>
        <v>0</v>
      </c>
      <c r="E6591" s="611">
        <v>1</v>
      </c>
      <c r="F6591" s="1356">
        <v>23.234999999999999</v>
      </c>
      <c r="G6591" s="1356">
        <v>6</v>
      </c>
      <c r="H6591" s="1356">
        <v>0.82299999999999995</v>
      </c>
      <c r="I6591" s="399" t="str">
        <f t="shared" si="234"/>
        <v/>
      </c>
      <c r="J6591" s="339"/>
      <c r="K6591" s="1318"/>
      <c r="L6591" s="341"/>
      <c r="M6591" s="341"/>
      <c r="N6591" s="341"/>
      <c r="O6591" s="341"/>
      <c r="P6591" s="341"/>
    </row>
    <row r="6592" spans="1:16" s="342" customFormat="1" hidden="1" outlineLevel="1">
      <c r="A6592" s="1230"/>
      <c r="B6592" s="607" t="s">
        <v>261</v>
      </c>
      <c r="C6592" s="345" t="s">
        <v>2</v>
      </c>
      <c r="D6592" s="608">
        <f t="shared" si="236"/>
        <v>0</v>
      </c>
      <c r="E6592" s="611">
        <v>1</v>
      </c>
      <c r="F6592" s="1356">
        <v>2.2749999999999999</v>
      </c>
      <c r="G6592" s="1356">
        <v>6</v>
      </c>
      <c r="H6592" s="1356">
        <v>0.82299999999999995</v>
      </c>
      <c r="I6592" s="399" t="str">
        <f t="shared" si="234"/>
        <v/>
      </c>
      <c r="J6592" s="339"/>
      <c r="K6592" s="1318"/>
      <c r="L6592" s="341"/>
      <c r="M6592" s="341"/>
      <c r="N6592" s="341"/>
      <c r="O6592" s="341"/>
      <c r="P6592" s="341"/>
    </row>
    <row r="6593" spans="1:16" s="342" customFormat="1" hidden="1" outlineLevel="1">
      <c r="A6593" s="1230"/>
      <c r="B6593" s="607" t="s">
        <v>261</v>
      </c>
      <c r="C6593" s="345" t="s">
        <v>2</v>
      </c>
      <c r="D6593" s="608">
        <f t="shared" si="236"/>
        <v>0</v>
      </c>
      <c r="E6593" s="611">
        <v>1</v>
      </c>
      <c r="F6593" s="1356">
        <v>32.39</v>
      </c>
      <c r="G6593" s="1356">
        <v>6</v>
      </c>
      <c r="H6593" s="1356">
        <v>0.82299999999999995</v>
      </c>
      <c r="I6593" s="399" t="str">
        <f t="shared" si="234"/>
        <v/>
      </c>
      <c r="J6593" s="339"/>
      <c r="K6593" s="1318"/>
      <c r="L6593" s="341"/>
      <c r="M6593" s="341"/>
      <c r="N6593" s="341"/>
      <c r="O6593" s="341"/>
      <c r="P6593" s="341"/>
    </row>
    <row r="6594" spans="1:16" s="342" customFormat="1" hidden="1" outlineLevel="1">
      <c r="A6594" s="1230"/>
      <c r="B6594" s="607" t="s">
        <v>261</v>
      </c>
      <c r="C6594" s="345" t="s">
        <v>2</v>
      </c>
      <c r="D6594" s="608">
        <f t="shared" si="236"/>
        <v>0</v>
      </c>
      <c r="E6594" s="611">
        <v>1</v>
      </c>
      <c r="F6594" s="1356">
        <v>5.2949999999999999</v>
      </c>
      <c r="G6594" s="1356">
        <v>6</v>
      </c>
      <c r="H6594" s="1356">
        <v>0.82299999999999995</v>
      </c>
      <c r="I6594" s="399" t="str">
        <f t="shared" si="234"/>
        <v/>
      </c>
      <c r="J6594" s="339"/>
      <c r="K6594" s="1318"/>
      <c r="L6594" s="341"/>
      <c r="M6594" s="341"/>
      <c r="N6594" s="341"/>
      <c r="O6594" s="341"/>
      <c r="P6594" s="341"/>
    </row>
    <row r="6595" spans="1:16" s="342" customFormat="1" hidden="1" outlineLevel="1">
      <c r="A6595" s="1230"/>
      <c r="B6595" s="607"/>
      <c r="C6595" s="345"/>
      <c r="D6595" s="608">
        <f t="shared" si="236"/>
        <v>0</v>
      </c>
      <c r="E6595" s="611"/>
      <c r="F6595" s="1356"/>
      <c r="G6595" s="1356"/>
      <c r="H6595" s="1356"/>
      <c r="I6595" s="399" t="str">
        <f t="shared" si="234"/>
        <v/>
      </c>
      <c r="J6595" s="339"/>
      <c r="K6595" s="1318"/>
      <c r="L6595" s="341"/>
      <c r="M6595" s="341"/>
      <c r="N6595" s="341"/>
      <c r="O6595" s="341"/>
      <c r="P6595" s="341"/>
    </row>
    <row r="6596" spans="1:16" s="342" customFormat="1" ht="34.5" hidden="1" outlineLevel="1">
      <c r="A6596" s="1230"/>
      <c r="B6596" s="607" t="s">
        <v>314</v>
      </c>
      <c r="C6596" s="345" t="s">
        <v>2</v>
      </c>
      <c r="D6596" s="608">
        <f t="shared" si="236"/>
        <v>0</v>
      </c>
      <c r="E6596" s="611">
        <v>1</v>
      </c>
      <c r="F6596" s="1356">
        <v>31.463000000000001</v>
      </c>
      <c r="G6596" s="1356">
        <v>6</v>
      </c>
      <c r="H6596" s="1356">
        <v>0.82299999999999995</v>
      </c>
      <c r="I6596" s="399" t="str">
        <f t="shared" si="234"/>
        <v/>
      </c>
      <c r="J6596" s="339"/>
      <c r="K6596" s="1318"/>
      <c r="L6596" s="341"/>
      <c r="M6596" s="341"/>
      <c r="N6596" s="341"/>
      <c r="O6596" s="341"/>
      <c r="P6596" s="341"/>
    </row>
    <row r="6597" spans="1:16" s="342" customFormat="1" ht="34.5" hidden="1" outlineLevel="1">
      <c r="A6597" s="1230"/>
      <c r="B6597" s="607" t="s">
        <v>315</v>
      </c>
      <c r="C6597" s="345" t="s">
        <v>2</v>
      </c>
      <c r="D6597" s="608">
        <f t="shared" si="236"/>
        <v>0</v>
      </c>
      <c r="E6597" s="611">
        <v>1</v>
      </c>
      <c r="F6597" s="1356">
        <v>33.192999999999998</v>
      </c>
      <c r="G6597" s="1356">
        <v>6</v>
      </c>
      <c r="H6597" s="1356">
        <v>0.82299999999999995</v>
      </c>
      <c r="I6597" s="399" t="str">
        <f t="shared" si="234"/>
        <v/>
      </c>
      <c r="J6597" s="339"/>
      <c r="K6597" s="1318"/>
      <c r="L6597" s="341"/>
      <c r="M6597" s="341"/>
      <c r="N6597" s="341"/>
      <c r="O6597" s="341"/>
      <c r="P6597" s="341"/>
    </row>
    <row r="6598" spans="1:16" s="342" customFormat="1" hidden="1" outlineLevel="1">
      <c r="A6598" s="1230"/>
      <c r="B6598" s="607"/>
      <c r="C6598" s="345" t="s">
        <v>2</v>
      </c>
      <c r="D6598" s="608">
        <f t="shared" si="236"/>
        <v>0</v>
      </c>
      <c r="E6598" s="611">
        <v>1</v>
      </c>
      <c r="F6598" s="1356">
        <v>29.853999999999999</v>
      </c>
      <c r="G6598" s="1356">
        <v>6</v>
      </c>
      <c r="H6598" s="1356">
        <v>0.82299999999999995</v>
      </c>
      <c r="I6598" s="399" t="str">
        <f t="shared" si="234"/>
        <v/>
      </c>
      <c r="J6598" s="339"/>
      <c r="K6598" s="1318"/>
      <c r="L6598" s="341"/>
      <c r="M6598" s="341"/>
      <c r="N6598" s="341"/>
      <c r="O6598" s="341"/>
      <c r="P6598" s="341"/>
    </row>
    <row r="6599" spans="1:16" s="342" customFormat="1" hidden="1" outlineLevel="1">
      <c r="A6599" s="1230"/>
      <c r="B6599" s="607"/>
      <c r="C6599" s="345" t="s">
        <v>2</v>
      </c>
      <c r="D6599" s="608">
        <f t="shared" si="236"/>
        <v>0</v>
      </c>
      <c r="E6599" s="611">
        <v>1</v>
      </c>
      <c r="F6599" s="1356">
        <v>33.667000000000002</v>
      </c>
      <c r="G6599" s="1356">
        <v>6</v>
      </c>
      <c r="H6599" s="1356">
        <v>0.82299999999999995</v>
      </c>
      <c r="I6599" s="399" t="str">
        <f t="shared" si="234"/>
        <v/>
      </c>
      <c r="J6599" s="339"/>
      <c r="K6599" s="1318"/>
      <c r="L6599" s="341"/>
      <c r="M6599" s="341"/>
      <c r="N6599" s="341"/>
      <c r="O6599" s="341"/>
      <c r="P6599" s="341"/>
    </row>
    <row r="6600" spans="1:16" s="342" customFormat="1" hidden="1" outlineLevel="1">
      <c r="A6600" s="1230"/>
      <c r="B6600" s="607"/>
      <c r="C6600" s="345" t="s">
        <v>2</v>
      </c>
      <c r="D6600" s="608">
        <f t="shared" si="236"/>
        <v>0</v>
      </c>
      <c r="E6600" s="611">
        <v>1</v>
      </c>
      <c r="F6600" s="1356">
        <v>12.3</v>
      </c>
      <c r="G6600" s="1356">
        <v>6</v>
      </c>
      <c r="H6600" s="1356">
        <v>0.82299999999999995</v>
      </c>
      <c r="I6600" s="399" t="str">
        <f t="shared" si="234"/>
        <v/>
      </c>
      <c r="J6600" s="339"/>
      <c r="K6600" s="1318"/>
      <c r="L6600" s="341"/>
      <c r="M6600" s="341"/>
      <c r="N6600" s="341"/>
      <c r="O6600" s="341"/>
      <c r="P6600" s="341"/>
    </row>
    <row r="6601" spans="1:16" s="342" customFormat="1" hidden="1" outlineLevel="1">
      <c r="A6601" s="1230"/>
      <c r="B6601" s="607"/>
      <c r="C6601" s="345"/>
      <c r="D6601" s="608">
        <f t="shared" si="236"/>
        <v>0</v>
      </c>
      <c r="E6601" s="611"/>
      <c r="F6601" s="1356"/>
      <c r="G6601" s="1356"/>
      <c r="H6601" s="1356"/>
      <c r="I6601" s="399" t="str">
        <f t="shared" si="234"/>
        <v/>
      </c>
      <c r="J6601" s="339"/>
      <c r="K6601" s="1318"/>
      <c r="L6601" s="341"/>
      <c r="M6601" s="341"/>
      <c r="N6601" s="341"/>
      <c r="O6601" s="341"/>
      <c r="P6601" s="341"/>
    </row>
    <row r="6602" spans="1:16" s="342" customFormat="1" hidden="1" outlineLevel="1">
      <c r="A6602" s="1230"/>
      <c r="B6602" s="607" t="s">
        <v>319</v>
      </c>
      <c r="C6602" s="345"/>
      <c r="D6602" s="608">
        <f t="shared" si="236"/>
        <v>0</v>
      </c>
      <c r="E6602" s="611"/>
      <c r="F6602" s="1356"/>
      <c r="G6602" s="1356"/>
      <c r="H6602" s="1356"/>
      <c r="I6602" s="399" t="str">
        <f t="shared" si="234"/>
        <v/>
      </c>
      <c r="J6602" s="339"/>
      <c r="K6602" s="1318"/>
      <c r="L6602" s="341"/>
      <c r="M6602" s="341"/>
      <c r="N6602" s="341"/>
      <c r="O6602" s="341"/>
      <c r="P6602" s="341"/>
    </row>
    <row r="6603" spans="1:16" s="342" customFormat="1" ht="34.5" hidden="1" outlineLevel="1">
      <c r="A6603" s="1230"/>
      <c r="B6603" s="607" t="s">
        <v>266</v>
      </c>
      <c r="C6603" s="345" t="s">
        <v>2</v>
      </c>
      <c r="D6603" s="608">
        <f t="shared" si="236"/>
        <v>0</v>
      </c>
      <c r="E6603" s="611">
        <v>1</v>
      </c>
      <c r="F6603" s="1356">
        <v>6.38</v>
      </c>
      <c r="G6603" s="1356">
        <v>1.9750000000000001</v>
      </c>
      <c r="H6603" s="1356">
        <v>0.82299999999999995</v>
      </c>
      <c r="I6603" s="399" t="str">
        <f t="shared" si="234"/>
        <v/>
      </c>
      <c r="J6603" s="339"/>
      <c r="K6603" s="1318"/>
      <c r="L6603" s="341"/>
      <c r="M6603" s="341"/>
      <c r="N6603" s="341"/>
      <c r="O6603" s="341"/>
      <c r="P6603" s="341"/>
    </row>
    <row r="6604" spans="1:16" s="342" customFormat="1" hidden="1" outlineLevel="1">
      <c r="A6604" s="1230"/>
      <c r="B6604" s="610"/>
      <c r="C6604" s="345" t="s">
        <v>2</v>
      </c>
      <c r="D6604" s="608">
        <f t="shared" si="236"/>
        <v>0</v>
      </c>
      <c r="E6604" s="611">
        <v>2</v>
      </c>
      <c r="F6604" s="1356">
        <v>6.95</v>
      </c>
      <c r="G6604" s="1356">
        <v>1.9750000000000001</v>
      </c>
      <c r="H6604" s="1356">
        <v>0.82299999999999995</v>
      </c>
      <c r="I6604" s="399" t="str">
        <f t="shared" si="234"/>
        <v/>
      </c>
      <c r="J6604" s="339"/>
      <c r="K6604" s="1318"/>
      <c r="L6604" s="341"/>
      <c r="M6604" s="341"/>
      <c r="N6604" s="341"/>
      <c r="O6604" s="341"/>
      <c r="P6604" s="341"/>
    </row>
    <row r="6605" spans="1:16" s="342" customFormat="1" hidden="1" outlineLevel="1">
      <c r="A6605" s="1230"/>
      <c r="B6605" s="610"/>
      <c r="C6605" s="345" t="s">
        <v>2</v>
      </c>
      <c r="D6605" s="608">
        <f t="shared" si="236"/>
        <v>0</v>
      </c>
      <c r="E6605" s="611">
        <v>1</v>
      </c>
      <c r="F6605" s="1356">
        <v>6.12</v>
      </c>
      <c r="G6605" s="1356">
        <v>1.67</v>
      </c>
      <c r="H6605" s="1356">
        <v>0.82299999999999995</v>
      </c>
      <c r="I6605" s="399" t="str">
        <f t="shared" si="234"/>
        <v/>
      </c>
      <c r="J6605" s="339"/>
      <c r="K6605" s="1318"/>
      <c r="L6605" s="341"/>
      <c r="M6605" s="341"/>
      <c r="N6605" s="341"/>
      <c r="O6605" s="341"/>
      <c r="P6605" s="341"/>
    </row>
    <row r="6606" spans="1:16" s="342" customFormat="1" hidden="1" outlineLevel="1">
      <c r="A6606" s="1230"/>
      <c r="B6606" s="610"/>
      <c r="C6606" s="345" t="s">
        <v>2</v>
      </c>
      <c r="D6606" s="608">
        <f t="shared" si="236"/>
        <v>0</v>
      </c>
      <c r="E6606" s="611">
        <v>1</v>
      </c>
      <c r="F6606" s="1356">
        <v>4.6449999999999996</v>
      </c>
      <c r="G6606" s="1356">
        <v>1.9750000000000001</v>
      </c>
      <c r="H6606" s="1356">
        <v>0.82299999999999995</v>
      </c>
      <c r="I6606" s="399" t="str">
        <f t="shared" si="234"/>
        <v/>
      </c>
      <c r="J6606" s="339"/>
      <c r="K6606" s="1318"/>
      <c r="L6606" s="341"/>
      <c r="M6606" s="341"/>
      <c r="N6606" s="341"/>
      <c r="O6606" s="341"/>
      <c r="P6606" s="341"/>
    </row>
    <row r="6607" spans="1:16" s="342" customFormat="1" hidden="1" outlineLevel="1">
      <c r="A6607" s="1230"/>
      <c r="B6607" s="610"/>
      <c r="C6607" s="345"/>
      <c r="D6607" s="608">
        <f t="shared" si="236"/>
        <v>0</v>
      </c>
      <c r="E6607" s="611"/>
      <c r="F6607" s="1356"/>
      <c r="G6607" s="1356"/>
      <c r="H6607" s="1356"/>
      <c r="I6607" s="399" t="str">
        <f t="shared" si="234"/>
        <v/>
      </c>
      <c r="J6607" s="339"/>
      <c r="K6607" s="1318"/>
      <c r="L6607" s="341"/>
      <c r="M6607" s="341"/>
      <c r="N6607" s="341"/>
      <c r="O6607" s="341"/>
      <c r="P6607" s="341"/>
    </row>
    <row r="6608" spans="1:16" s="342" customFormat="1" hidden="1" outlineLevel="1">
      <c r="A6608" s="1230"/>
      <c r="B6608" s="610"/>
      <c r="C6608" s="345" t="s">
        <v>2</v>
      </c>
      <c r="D6608" s="608">
        <f t="shared" si="236"/>
        <v>0</v>
      </c>
      <c r="E6608" s="611">
        <v>1</v>
      </c>
      <c r="F6608" s="1356">
        <v>6.8849999999999998</v>
      </c>
      <c r="G6608" s="1356">
        <v>1.27</v>
      </c>
      <c r="H6608" s="1356">
        <v>0.82299999999999995</v>
      </c>
      <c r="I6608" s="399" t="str">
        <f t="shared" si="234"/>
        <v/>
      </c>
      <c r="J6608" s="339"/>
      <c r="K6608" s="1318"/>
      <c r="L6608" s="341"/>
      <c r="M6608" s="341"/>
      <c r="N6608" s="341"/>
      <c r="O6608" s="341"/>
      <c r="P6608" s="341"/>
    </row>
    <row r="6609" spans="1:16" s="342" customFormat="1" hidden="1" outlineLevel="1">
      <c r="A6609" s="1230"/>
      <c r="B6609" s="610"/>
      <c r="C6609" s="345" t="s">
        <v>2</v>
      </c>
      <c r="D6609" s="608">
        <f t="shared" si="236"/>
        <v>0</v>
      </c>
      <c r="E6609" s="611">
        <v>1</v>
      </c>
      <c r="F6609" s="1356">
        <v>2.3849999999999998</v>
      </c>
      <c r="G6609" s="1356">
        <v>2.2599999999999998</v>
      </c>
      <c r="H6609" s="1356">
        <v>0.82299999999999995</v>
      </c>
      <c r="I6609" s="399" t="str">
        <f t="shared" si="234"/>
        <v/>
      </c>
      <c r="J6609" s="339"/>
      <c r="K6609" s="1318"/>
      <c r="L6609" s="341"/>
      <c r="M6609" s="341"/>
      <c r="N6609" s="341"/>
      <c r="O6609" s="341"/>
      <c r="P6609" s="341"/>
    </row>
    <row r="6610" spans="1:16" s="342" customFormat="1" hidden="1" outlineLevel="1">
      <c r="A6610" s="1230"/>
      <c r="B6610" s="607" t="s">
        <v>267</v>
      </c>
      <c r="C6610" s="345" t="s">
        <v>2</v>
      </c>
      <c r="D6610" s="608">
        <f t="shared" si="236"/>
        <v>0</v>
      </c>
      <c r="E6610" s="611">
        <v>1</v>
      </c>
      <c r="F6610" s="1356">
        <v>20.170000000000002</v>
      </c>
      <c r="G6610" s="1356">
        <v>2.125</v>
      </c>
      <c r="H6610" s="1356">
        <v>0.82299999999999995</v>
      </c>
      <c r="I6610" s="399" t="str">
        <f t="shared" si="234"/>
        <v/>
      </c>
      <c r="J6610" s="339"/>
      <c r="K6610" s="1318"/>
      <c r="L6610" s="341"/>
      <c r="M6610" s="341"/>
      <c r="N6610" s="341"/>
      <c r="O6610" s="341"/>
      <c r="P6610" s="341"/>
    </row>
    <row r="6611" spans="1:16" s="342" customFormat="1" hidden="1" outlineLevel="1">
      <c r="A6611" s="1230"/>
      <c r="B6611" s="607"/>
      <c r="C6611" s="345"/>
      <c r="D6611" s="608">
        <f t="shared" si="236"/>
        <v>0</v>
      </c>
      <c r="E6611" s="611"/>
      <c r="F6611" s="1356"/>
      <c r="G6611" s="1356"/>
      <c r="H6611" s="1356"/>
      <c r="I6611" s="399" t="str">
        <f t="shared" si="234"/>
        <v/>
      </c>
      <c r="J6611" s="339"/>
      <c r="K6611" s="1318"/>
      <c r="L6611" s="341"/>
      <c r="M6611" s="341"/>
      <c r="N6611" s="341"/>
      <c r="O6611" s="341"/>
      <c r="P6611" s="341"/>
    </row>
    <row r="6612" spans="1:16" s="342" customFormat="1" hidden="1" outlineLevel="1">
      <c r="A6612" s="1230"/>
      <c r="B6612" s="607" t="s">
        <v>268</v>
      </c>
      <c r="C6612" s="345" t="s">
        <v>2</v>
      </c>
      <c r="D6612" s="608">
        <f t="shared" si="236"/>
        <v>0</v>
      </c>
      <c r="E6612" s="611">
        <v>1</v>
      </c>
      <c r="F6612" s="1356">
        <v>12.58</v>
      </c>
      <c r="G6612" s="1356">
        <v>1.19</v>
      </c>
      <c r="H6612" s="1356">
        <v>0.82299999999999995</v>
      </c>
      <c r="I6612" s="399" t="str">
        <f t="shared" si="234"/>
        <v/>
      </c>
      <c r="J6612" s="339"/>
      <c r="K6612" s="1318"/>
      <c r="L6612" s="341"/>
      <c r="M6612" s="341"/>
      <c r="N6612" s="341"/>
      <c r="O6612" s="341"/>
      <c r="P6612" s="341"/>
    </row>
    <row r="6613" spans="1:16" s="342" customFormat="1" hidden="1" outlineLevel="1">
      <c r="A6613" s="1230"/>
      <c r="B6613" s="607"/>
      <c r="C6613" s="345" t="s">
        <v>2</v>
      </c>
      <c r="D6613" s="608">
        <f t="shared" si="236"/>
        <v>0</v>
      </c>
      <c r="E6613" s="611">
        <v>1</v>
      </c>
      <c r="F6613" s="1356">
        <v>7.09</v>
      </c>
      <c r="G6613" s="1356">
        <v>0.9</v>
      </c>
      <c r="H6613" s="1356">
        <v>0.82299999999999995</v>
      </c>
      <c r="I6613" s="399" t="str">
        <f t="shared" si="234"/>
        <v/>
      </c>
      <c r="J6613" s="339"/>
      <c r="K6613" s="1318"/>
      <c r="L6613" s="341"/>
      <c r="M6613" s="341"/>
      <c r="N6613" s="341"/>
      <c r="O6613" s="341"/>
      <c r="P6613" s="341"/>
    </row>
    <row r="6614" spans="1:16" s="342" customFormat="1" hidden="1" outlineLevel="1">
      <c r="A6614" s="1230"/>
      <c r="B6614" s="607"/>
      <c r="C6614" s="345" t="s">
        <v>2</v>
      </c>
      <c r="D6614" s="608">
        <f t="shared" si="236"/>
        <v>0</v>
      </c>
      <c r="E6614" s="611">
        <v>1</v>
      </c>
      <c r="F6614" s="1356">
        <v>1.6</v>
      </c>
      <c r="G6614" s="1356">
        <v>5.98</v>
      </c>
      <c r="H6614" s="1356">
        <v>0.82299999999999995</v>
      </c>
      <c r="I6614" s="399" t="str">
        <f t="shared" si="234"/>
        <v/>
      </c>
      <c r="J6614" s="339"/>
      <c r="K6614" s="1318"/>
      <c r="L6614" s="341"/>
      <c r="M6614" s="341"/>
      <c r="N6614" s="341"/>
      <c r="O6614" s="341"/>
      <c r="P6614" s="341"/>
    </row>
    <row r="6615" spans="1:16" s="342" customFormat="1" hidden="1" outlineLevel="1">
      <c r="A6615" s="1230"/>
      <c r="B6615" s="607"/>
      <c r="C6615" s="345" t="s">
        <v>2</v>
      </c>
      <c r="D6615" s="608">
        <f t="shared" si="236"/>
        <v>0</v>
      </c>
      <c r="E6615" s="611">
        <v>1</v>
      </c>
      <c r="F6615" s="1356">
        <v>1.6</v>
      </c>
      <c r="G6615" s="1356">
        <v>4.18</v>
      </c>
      <c r="H6615" s="1356">
        <v>0.82299999999999995</v>
      </c>
      <c r="I6615" s="399" t="str">
        <f t="shared" si="234"/>
        <v/>
      </c>
      <c r="J6615" s="339"/>
      <c r="K6615" s="1318"/>
      <c r="L6615" s="341"/>
      <c r="M6615" s="341"/>
      <c r="N6615" s="341"/>
      <c r="O6615" s="341"/>
      <c r="P6615" s="341"/>
    </row>
    <row r="6616" spans="1:16" s="342" customFormat="1" hidden="1" outlineLevel="1">
      <c r="A6616" s="1230"/>
      <c r="B6616" s="607"/>
      <c r="C6616" s="345" t="s">
        <v>2</v>
      </c>
      <c r="D6616" s="608">
        <f t="shared" si="236"/>
        <v>0</v>
      </c>
      <c r="E6616" s="611">
        <v>2</v>
      </c>
      <c r="F6616" s="1356">
        <v>1.6</v>
      </c>
      <c r="G6616" s="1356">
        <v>2.38</v>
      </c>
      <c r="H6616" s="1356">
        <v>0.82299999999999995</v>
      </c>
      <c r="I6616" s="399" t="str">
        <f t="shared" si="234"/>
        <v/>
      </c>
      <c r="J6616" s="339"/>
      <c r="K6616" s="1318"/>
      <c r="L6616" s="341"/>
      <c r="M6616" s="341"/>
      <c r="N6616" s="341"/>
      <c r="O6616" s="341"/>
      <c r="P6616" s="341"/>
    </row>
    <row r="6617" spans="1:16" s="342" customFormat="1" hidden="1" outlineLevel="1">
      <c r="A6617" s="1230"/>
      <c r="B6617" s="607"/>
      <c r="C6617" s="345" t="s">
        <v>2</v>
      </c>
      <c r="D6617" s="608">
        <f t="shared" si="236"/>
        <v>0</v>
      </c>
      <c r="E6617" s="611">
        <v>1</v>
      </c>
      <c r="F6617" s="1356">
        <v>1.145</v>
      </c>
      <c r="G6617" s="1356">
        <v>0.9</v>
      </c>
      <c r="H6617" s="1356">
        <v>0.82299999999999995</v>
      </c>
      <c r="I6617" s="399" t="str">
        <f t="shared" si="234"/>
        <v/>
      </c>
      <c r="J6617" s="339"/>
      <c r="K6617" s="1318"/>
      <c r="L6617" s="341"/>
      <c r="M6617" s="341"/>
      <c r="N6617" s="341"/>
      <c r="O6617" s="341"/>
      <c r="P6617" s="341"/>
    </row>
    <row r="6618" spans="1:16" s="342" customFormat="1" hidden="1" outlineLevel="1">
      <c r="A6618" s="1230"/>
      <c r="B6618" s="607"/>
      <c r="C6618" s="345"/>
      <c r="D6618" s="608">
        <f t="shared" si="236"/>
        <v>0</v>
      </c>
      <c r="E6618" s="611"/>
      <c r="F6618" s="1356"/>
      <c r="G6618" s="1356"/>
      <c r="H6618" s="1356"/>
      <c r="I6618" s="399" t="str">
        <f t="shared" si="234"/>
        <v/>
      </c>
      <c r="J6618" s="339"/>
      <c r="K6618" s="1318"/>
      <c r="L6618" s="341"/>
      <c r="M6618" s="341"/>
      <c r="N6618" s="341"/>
      <c r="O6618" s="341"/>
      <c r="P6618" s="341"/>
    </row>
    <row r="6619" spans="1:16" s="342" customFormat="1" hidden="1" outlineLevel="1">
      <c r="A6619" s="1230"/>
      <c r="B6619" s="607"/>
      <c r="C6619" s="345" t="s">
        <v>2</v>
      </c>
      <c r="D6619" s="608">
        <f t="shared" si="236"/>
        <v>0</v>
      </c>
      <c r="E6619" s="611">
        <v>1</v>
      </c>
      <c r="F6619" s="1356">
        <v>2.7450000000000001</v>
      </c>
      <c r="G6619" s="1356">
        <v>1.5</v>
      </c>
      <c r="H6619" s="1356">
        <v>0.82299999999999995</v>
      </c>
      <c r="I6619" s="399" t="str">
        <f t="shared" si="234"/>
        <v/>
      </c>
      <c r="J6619" s="339"/>
      <c r="K6619" s="1318"/>
      <c r="L6619" s="341"/>
      <c r="M6619" s="341"/>
      <c r="N6619" s="341"/>
      <c r="O6619" s="341"/>
      <c r="P6619" s="341"/>
    </row>
    <row r="6620" spans="1:16" s="342" customFormat="1" hidden="1" outlineLevel="1">
      <c r="A6620" s="1230"/>
      <c r="B6620" s="607"/>
      <c r="C6620" s="345" t="s">
        <v>2</v>
      </c>
      <c r="D6620" s="608">
        <f t="shared" si="236"/>
        <v>0</v>
      </c>
      <c r="E6620" s="611">
        <v>1</v>
      </c>
      <c r="F6620" s="1356">
        <v>1.6</v>
      </c>
      <c r="G6620" s="1356">
        <v>6.6749999999999998</v>
      </c>
      <c r="H6620" s="1356">
        <v>0.82299999999999995</v>
      </c>
      <c r="I6620" s="399" t="str">
        <f t="shared" si="234"/>
        <v/>
      </c>
      <c r="J6620" s="339"/>
      <c r="K6620" s="1318"/>
      <c r="L6620" s="341"/>
      <c r="M6620" s="341"/>
      <c r="N6620" s="341"/>
      <c r="O6620" s="341"/>
      <c r="P6620" s="341"/>
    </row>
    <row r="6621" spans="1:16" s="342" customFormat="1" hidden="1" outlineLevel="1">
      <c r="A6621" s="1230"/>
      <c r="B6621" s="607"/>
      <c r="C6621" s="345" t="s">
        <v>2</v>
      </c>
      <c r="D6621" s="608">
        <f t="shared" si="236"/>
        <v>0</v>
      </c>
      <c r="E6621" s="611">
        <v>1</v>
      </c>
      <c r="F6621" s="1356">
        <v>3.07</v>
      </c>
      <c r="G6621" s="1356">
        <v>1.0649999999999999</v>
      </c>
      <c r="H6621" s="1356">
        <v>0.82299999999999995</v>
      </c>
      <c r="I6621" s="399" t="str">
        <f t="shared" ref="I6621:I6684" si="237">IF(D6621&lt;&gt;0,ROUND(PRODUCT(E6621:H6621)*D6621,2),"")</f>
        <v/>
      </c>
      <c r="J6621" s="339"/>
      <c r="K6621" s="1318"/>
      <c r="L6621" s="341"/>
      <c r="M6621" s="341"/>
      <c r="N6621" s="341"/>
      <c r="O6621" s="341"/>
      <c r="P6621" s="341"/>
    </row>
    <row r="6622" spans="1:16" s="342" customFormat="1" hidden="1" outlineLevel="1">
      <c r="A6622" s="1230"/>
      <c r="B6622" s="607"/>
      <c r="C6622" s="345" t="s">
        <v>2</v>
      </c>
      <c r="D6622" s="608">
        <f t="shared" si="236"/>
        <v>0</v>
      </c>
      <c r="E6622" s="611">
        <v>1</v>
      </c>
      <c r="F6622" s="1356">
        <v>1.6</v>
      </c>
      <c r="G6622" s="1356">
        <v>3.9</v>
      </c>
      <c r="H6622" s="1356">
        <v>0.82299999999999995</v>
      </c>
      <c r="I6622" s="399" t="str">
        <f t="shared" si="237"/>
        <v/>
      </c>
      <c r="J6622" s="339"/>
      <c r="K6622" s="1318"/>
      <c r="L6622" s="341"/>
      <c r="M6622" s="341"/>
      <c r="N6622" s="341"/>
      <c r="O6622" s="341"/>
      <c r="P6622" s="341"/>
    </row>
    <row r="6623" spans="1:16" s="342" customFormat="1" hidden="1" outlineLevel="1">
      <c r="A6623" s="1230"/>
      <c r="B6623" s="607"/>
      <c r="C6623" s="345" t="s">
        <v>2</v>
      </c>
      <c r="D6623" s="608">
        <f t="shared" si="236"/>
        <v>0</v>
      </c>
      <c r="E6623" s="611">
        <v>1</v>
      </c>
      <c r="F6623" s="1356">
        <v>2.77</v>
      </c>
      <c r="G6623" s="1356">
        <v>0.96</v>
      </c>
      <c r="H6623" s="1356">
        <v>0.82299999999999995</v>
      </c>
      <c r="I6623" s="399" t="str">
        <f t="shared" si="237"/>
        <v/>
      </c>
      <c r="J6623" s="339"/>
      <c r="K6623" s="1318"/>
      <c r="L6623" s="341"/>
      <c r="M6623" s="341"/>
      <c r="N6623" s="341"/>
      <c r="O6623" s="341"/>
      <c r="P6623" s="341"/>
    </row>
    <row r="6624" spans="1:16" s="342" customFormat="1" hidden="1" outlineLevel="1">
      <c r="A6624" s="1230"/>
      <c r="B6624" s="607"/>
      <c r="C6624" s="345" t="s">
        <v>2</v>
      </c>
      <c r="D6624" s="608">
        <f t="shared" si="236"/>
        <v>0</v>
      </c>
      <c r="E6624" s="611">
        <v>1</v>
      </c>
      <c r="F6624" s="1356">
        <v>1.6</v>
      </c>
      <c r="G6624" s="1356">
        <v>4.09</v>
      </c>
      <c r="H6624" s="1356">
        <v>0.82299999999999995</v>
      </c>
      <c r="I6624" s="399" t="str">
        <f t="shared" si="237"/>
        <v/>
      </c>
      <c r="J6624" s="339"/>
      <c r="K6624" s="1318"/>
      <c r="L6624" s="341"/>
      <c r="M6624" s="341"/>
      <c r="N6624" s="341"/>
      <c r="O6624" s="341"/>
      <c r="P6624" s="341"/>
    </row>
    <row r="6625" spans="1:16" s="342" customFormat="1" hidden="1" outlineLevel="1">
      <c r="A6625" s="1230"/>
      <c r="B6625" s="607"/>
      <c r="C6625" s="345" t="s">
        <v>2</v>
      </c>
      <c r="D6625" s="608">
        <f t="shared" si="236"/>
        <v>0</v>
      </c>
      <c r="E6625" s="611">
        <v>1</v>
      </c>
      <c r="F6625" s="1356">
        <v>3.25</v>
      </c>
      <c r="G6625" s="1356">
        <v>1.095</v>
      </c>
      <c r="H6625" s="1356">
        <v>0.82299999999999995</v>
      </c>
      <c r="I6625" s="399" t="str">
        <f t="shared" si="237"/>
        <v/>
      </c>
      <c r="J6625" s="339"/>
      <c r="K6625" s="1318"/>
      <c r="L6625" s="341"/>
      <c r="M6625" s="341"/>
      <c r="N6625" s="341"/>
      <c r="O6625" s="341"/>
      <c r="P6625" s="341"/>
    </row>
    <row r="6626" spans="1:16" s="342" customFormat="1" hidden="1" outlineLevel="1">
      <c r="A6626" s="1230"/>
      <c r="B6626" s="607"/>
      <c r="C6626" s="345" t="s">
        <v>2</v>
      </c>
      <c r="D6626" s="608">
        <f t="shared" si="236"/>
        <v>0</v>
      </c>
      <c r="E6626" s="611">
        <v>1</v>
      </c>
      <c r="F6626" s="1356">
        <v>8.61</v>
      </c>
      <c r="G6626" s="1356">
        <v>4.6150000000000002</v>
      </c>
      <c r="H6626" s="1356">
        <v>0.82299999999999995</v>
      </c>
      <c r="I6626" s="399" t="str">
        <f t="shared" si="237"/>
        <v/>
      </c>
      <c r="J6626" s="339"/>
      <c r="K6626" s="1318"/>
      <c r="L6626" s="341"/>
      <c r="M6626" s="341"/>
      <c r="N6626" s="341"/>
      <c r="O6626" s="341"/>
      <c r="P6626" s="341"/>
    </row>
    <row r="6627" spans="1:16" s="342" customFormat="1" hidden="1" outlineLevel="1">
      <c r="A6627" s="1230"/>
      <c r="B6627" s="607"/>
      <c r="C6627" s="345"/>
      <c r="D6627" s="608">
        <f t="shared" si="236"/>
        <v>0</v>
      </c>
      <c r="E6627" s="611"/>
      <c r="F6627" s="1356"/>
      <c r="G6627" s="1356"/>
      <c r="H6627" s="1356"/>
      <c r="I6627" s="399" t="str">
        <f t="shared" si="237"/>
        <v/>
      </c>
      <c r="J6627" s="339"/>
      <c r="K6627" s="1318"/>
      <c r="L6627" s="341"/>
      <c r="M6627" s="341"/>
      <c r="N6627" s="341"/>
      <c r="O6627" s="341"/>
      <c r="P6627" s="341"/>
    </row>
    <row r="6628" spans="1:16" s="342" customFormat="1" ht="34.5" hidden="1" outlineLevel="1">
      <c r="A6628" s="1230"/>
      <c r="B6628" s="607" t="s">
        <v>320</v>
      </c>
      <c r="C6628" s="345" t="s">
        <v>2</v>
      </c>
      <c r="D6628" s="608">
        <f t="shared" si="236"/>
        <v>0</v>
      </c>
      <c r="E6628" s="611">
        <v>1</v>
      </c>
      <c r="F6628" s="1356">
        <v>1.6</v>
      </c>
      <c r="G6628" s="1356">
        <v>8.56</v>
      </c>
      <c r="H6628" s="1356">
        <v>0.82299999999999995</v>
      </c>
      <c r="I6628" s="399" t="str">
        <f t="shared" si="237"/>
        <v/>
      </c>
      <c r="J6628" s="339"/>
      <c r="K6628" s="1318"/>
      <c r="L6628" s="341"/>
      <c r="M6628" s="341"/>
      <c r="N6628" s="341"/>
      <c r="O6628" s="341"/>
      <c r="P6628" s="341"/>
    </row>
    <row r="6629" spans="1:16" s="342" customFormat="1" hidden="1" outlineLevel="1">
      <c r="A6629" s="1230"/>
      <c r="B6629" s="607"/>
      <c r="C6629" s="345" t="s">
        <v>2</v>
      </c>
      <c r="D6629" s="608">
        <f t="shared" si="236"/>
        <v>0</v>
      </c>
      <c r="E6629" s="611">
        <v>1</v>
      </c>
      <c r="F6629" s="1356">
        <v>1.6</v>
      </c>
      <c r="G6629" s="1356">
        <v>6.85</v>
      </c>
      <c r="H6629" s="1356">
        <v>0.82299999999999995</v>
      </c>
      <c r="I6629" s="399" t="str">
        <f t="shared" si="237"/>
        <v/>
      </c>
      <c r="J6629" s="339"/>
      <c r="K6629" s="1318"/>
      <c r="L6629" s="341"/>
      <c r="M6629" s="341"/>
      <c r="N6629" s="341"/>
      <c r="O6629" s="341"/>
      <c r="P6629" s="341"/>
    </row>
    <row r="6630" spans="1:16" s="342" customFormat="1" hidden="1" outlineLevel="1">
      <c r="A6630" s="1230"/>
      <c r="B6630" s="607"/>
      <c r="C6630" s="345" t="s">
        <v>2</v>
      </c>
      <c r="D6630" s="608">
        <f t="shared" si="236"/>
        <v>0</v>
      </c>
      <c r="E6630" s="611">
        <v>1</v>
      </c>
      <c r="F6630" s="1356">
        <v>1.6</v>
      </c>
      <c r="G6630" s="1356">
        <v>7.4499999999999993</v>
      </c>
      <c r="H6630" s="1356">
        <v>0.82299999999999995</v>
      </c>
      <c r="I6630" s="399" t="str">
        <f t="shared" si="237"/>
        <v/>
      </c>
      <c r="J6630" s="339"/>
      <c r="K6630" s="1318"/>
      <c r="L6630" s="341"/>
      <c r="M6630" s="341"/>
      <c r="N6630" s="341"/>
      <c r="O6630" s="341"/>
      <c r="P6630" s="341"/>
    </row>
    <row r="6631" spans="1:16" s="342" customFormat="1" hidden="1" outlineLevel="1">
      <c r="A6631" s="1230"/>
      <c r="B6631" s="607"/>
      <c r="C6631" s="345" t="s">
        <v>2</v>
      </c>
      <c r="D6631" s="608">
        <f t="shared" si="236"/>
        <v>0</v>
      </c>
      <c r="E6631" s="611">
        <v>1</v>
      </c>
      <c r="F6631" s="1356">
        <v>0.99</v>
      </c>
      <c r="G6631" s="1356">
        <v>8.85</v>
      </c>
      <c r="H6631" s="1356">
        <v>0.82299999999999995</v>
      </c>
      <c r="I6631" s="399" t="str">
        <f t="shared" si="237"/>
        <v/>
      </c>
      <c r="J6631" s="339"/>
      <c r="K6631" s="1318"/>
      <c r="L6631" s="341"/>
      <c r="M6631" s="341"/>
      <c r="N6631" s="341"/>
      <c r="O6631" s="341"/>
      <c r="P6631" s="341"/>
    </row>
    <row r="6632" spans="1:16" s="342" customFormat="1" hidden="1" outlineLevel="1">
      <c r="A6632" s="1230"/>
      <c r="B6632" s="607"/>
      <c r="C6632" s="345" t="s">
        <v>2</v>
      </c>
      <c r="D6632" s="608">
        <f t="shared" si="236"/>
        <v>0</v>
      </c>
      <c r="E6632" s="611">
        <v>1</v>
      </c>
      <c r="F6632" s="1356">
        <v>1.6</v>
      </c>
      <c r="G6632" s="1356">
        <v>4.8899999999999997</v>
      </c>
      <c r="H6632" s="1356">
        <v>0.82299999999999995</v>
      </c>
      <c r="I6632" s="399" t="str">
        <f t="shared" si="237"/>
        <v/>
      </c>
      <c r="J6632" s="339"/>
      <c r="K6632" s="1318"/>
      <c r="L6632" s="341"/>
      <c r="M6632" s="341"/>
      <c r="N6632" s="341"/>
      <c r="O6632" s="341"/>
      <c r="P6632" s="341"/>
    </row>
    <row r="6633" spans="1:16" s="342" customFormat="1" hidden="1" outlineLevel="1">
      <c r="A6633" s="1230"/>
      <c r="B6633" s="607"/>
      <c r="C6633" s="345" t="s">
        <v>2</v>
      </c>
      <c r="D6633" s="608">
        <f t="shared" si="236"/>
        <v>0</v>
      </c>
      <c r="E6633" s="611">
        <v>1</v>
      </c>
      <c r="F6633" s="1356">
        <v>1.6</v>
      </c>
      <c r="G6633" s="1356">
        <v>5.3299999999999992</v>
      </c>
      <c r="H6633" s="1356">
        <v>0.82299999999999995</v>
      </c>
      <c r="I6633" s="399" t="str">
        <f t="shared" si="237"/>
        <v/>
      </c>
      <c r="J6633" s="339"/>
      <c r="K6633" s="1318"/>
      <c r="L6633" s="341"/>
      <c r="M6633" s="341"/>
      <c r="N6633" s="341"/>
      <c r="O6633" s="341"/>
      <c r="P6633" s="341"/>
    </row>
    <row r="6634" spans="1:16" s="342" customFormat="1" hidden="1" outlineLevel="1">
      <c r="A6634" s="1230"/>
      <c r="B6634" s="607"/>
      <c r="C6634" s="345" t="s">
        <v>2</v>
      </c>
      <c r="D6634" s="608">
        <f t="shared" si="236"/>
        <v>0</v>
      </c>
      <c r="E6634" s="611">
        <v>1</v>
      </c>
      <c r="F6634" s="1356">
        <v>1.6</v>
      </c>
      <c r="G6634" s="1356">
        <v>1.45</v>
      </c>
      <c r="H6634" s="1356">
        <v>0.82299999999999995</v>
      </c>
      <c r="I6634" s="399" t="str">
        <f t="shared" si="237"/>
        <v/>
      </c>
      <c r="J6634" s="339"/>
      <c r="K6634" s="1318"/>
      <c r="L6634" s="341"/>
      <c r="M6634" s="341"/>
      <c r="N6634" s="341"/>
      <c r="O6634" s="341"/>
      <c r="P6634" s="341"/>
    </row>
    <row r="6635" spans="1:16" s="342" customFormat="1" hidden="1" outlineLevel="1">
      <c r="A6635" s="1230"/>
      <c r="B6635" s="607"/>
      <c r="C6635" s="345" t="s">
        <v>2</v>
      </c>
      <c r="D6635" s="608">
        <f t="shared" si="236"/>
        <v>0</v>
      </c>
      <c r="E6635" s="611">
        <v>1</v>
      </c>
      <c r="F6635" s="1356">
        <v>1.6</v>
      </c>
      <c r="G6635" s="1356">
        <v>3.8299999999999996</v>
      </c>
      <c r="H6635" s="1356">
        <v>0.82299999999999995</v>
      </c>
      <c r="I6635" s="399" t="str">
        <f t="shared" si="237"/>
        <v/>
      </c>
      <c r="J6635" s="339"/>
      <c r="K6635" s="1318"/>
      <c r="L6635" s="341"/>
      <c r="M6635" s="341"/>
      <c r="N6635" s="341"/>
      <c r="O6635" s="341"/>
      <c r="P6635" s="341"/>
    </row>
    <row r="6636" spans="1:16" s="342" customFormat="1" hidden="1" outlineLevel="1">
      <c r="A6636" s="1230"/>
      <c r="B6636" s="607"/>
      <c r="C6636" s="345" t="s">
        <v>2</v>
      </c>
      <c r="D6636" s="608">
        <f t="shared" si="236"/>
        <v>0</v>
      </c>
      <c r="E6636" s="611">
        <v>1</v>
      </c>
      <c r="F6636" s="1356">
        <v>1.415</v>
      </c>
      <c r="G6636" s="1356">
        <v>2.4249999999999998</v>
      </c>
      <c r="H6636" s="1356">
        <v>0.82299999999999995</v>
      </c>
      <c r="I6636" s="399" t="str">
        <f t="shared" si="237"/>
        <v/>
      </c>
      <c r="J6636" s="339"/>
      <c r="K6636" s="1318"/>
      <c r="L6636" s="341"/>
      <c r="M6636" s="341"/>
      <c r="N6636" s="341"/>
      <c r="O6636" s="341"/>
      <c r="P6636" s="341"/>
    </row>
    <row r="6637" spans="1:16" s="342" customFormat="1" hidden="1" outlineLevel="1">
      <c r="A6637" s="1230"/>
      <c r="B6637" s="607"/>
      <c r="C6637" s="345" t="s">
        <v>2</v>
      </c>
      <c r="D6637" s="608">
        <f t="shared" si="236"/>
        <v>0</v>
      </c>
      <c r="E6637" s="611">
        <v>1</v>
      </c>
      <c r="F6637" s="1356">
        <v>0.755</v>
      </c>
      <c r="G6637" s="1356">
        <v>1.9650000000000001</v>
      </c>
      <c r="H6637" s="1356">
        <v>0.82299999999999995</v>
      </c>
      <c r="I6637" s="399" t="str">
        <f t="shared" si="237"/>
        <v/>
      </c>
      <c r="J6637" s="339"/>
      <c r="K6637" s="1318"/>
      <c r="L6637" s="341"/>
      <c r="M6637" s="341"/>
      <c r="N6637" s="341"/>
      <c r="O6637" s="341"/>
      <c r="P6637" s="341"/>
    </row>
    <row r="6638" spans="1:16" s="342" customFormat="1" hidden="1" outlineLevel="1">
      <c r="A6638" s="1230"/>
      <c r="B6638" s="607"/>
      <c r="C6638" s="345" t="s">
        <v>2</v>
      </c>
      <c r="D6638" s="608">
        <f t="shared" si="236"/>
        <v>0</v>
      </c>
      <c r="E6638" s="611">
        <v>1</v>
      </c>
      <c r="F6638" s="1356">
        <v>5.4649999999999999</v>
      </c>
      <c r="G6638" s="1356">
        <v>4.2</v>
      </c>
      <c r="H6638" s="1356">
        <v>0.82299999999999995</v>
      </c>
      <c r="I6638" s="399" t="str">
        <f t="shared" si="237"/>
        <v/>
      </c>
      <c r="J6638" s="339"/>
      <c r="K6638" s="1318"/>
      <c r="L6638" s="341"/>
      <c r="M6638" s="341"/>
      <c r="N6638" s="341"/>
      <c r="O6638" s="341"/>
      <c r="P6638" s="341"/>
    </row>
    <row r="6639" spans="1:16" s="342" customFormat="1" hidden="1" outlineLevel="1">
      <c r="A6639" s="1230"/>
      <c r="B6639" s="607"/>
      <c r="C6639" s="345"/>
      <c r="D6639" s="608">
        <f t="shared" si="236"/>
        <v>0</v>
      </c>
      <c r="E6639" s="611"/>
      <c r="F6639" s="1356"/>
      <c r="G6639" s="1356"/>
      <c r="H6639" s="1356"/>
      <c r="I6639" s="399" t="str">
        <f t="shared" si="237"/>
        <v/>
      </c>
      <c r="J6639" s="339"/>
      <c r="K6639" s="1318"/>
      <c r="L6639" s="341"/>
      <c r="M6639" s="341"/>
      <c r="N6639" s="341"/>
      <c r="O6639" s="341"/>
      <c r="P6639" s="341"/>
    </row>
    <row r="6640" spans="1:16" s="342" customFormat="1" ht="34.5" hidden="1" outlineLevel="1">
      <c r="A6640" s="1230"/>
      <c r="B6640" s="607" t="s">
        <v>321</v>
      </c>
      <c r="C6640" s="345" t="s">
        <v>2</v>
      </c>
      <c r="D6640" s="608">
        <f t="shared" si="236"/>
        <v>0</v>
      </c>
      <c r="E6640" s="611">
        <v>1</v>
      </c>
      <c r="F6640" s="1356">
        <v>1.6</v>
      </c>
      <c r="G6640" s="1356">
        <v>4</v>
      </c>
      <c r="H6640" s="1356">
        <v>0.82299999999999995</v>
      </c>
      <c r="I6640" s="399" t="str">
        <f t="shared" si="237"/>
        <v/>
      </c>
      <c r="J6640" s="339"/>
      <c r="K6640" s="1318"/>
      <c r="L6640" s="341"/>
      <c r="M6640" s="341"/>
      <c r="N6640" s="341"/>
      <c r="O6640" s="341"/>
      <c r="P6640" s="341"/>
    </row>
    <row r="6641" spans="1:16" s="342" customFormat="1" hidden="1" outlineLevel="1">
      <c r="A6641" s="1230"/>
      <c r="B6641" s="607"/>
      <c r="C6641" s="345" t="s">
        <v>2</v>
      </c>
      <c r="D6641" s="608">
        <f t="shared" si="236"/>
        <v>0</v>
      </c>
      <c r="E6641" s="611">
        <v>1</v>
      </c>
      <c r="F6641" s="1356">
        <v>1.6</v>
      </c>
      <c r="G6641" s="1356">
        <v>1</v>
      </c>
      <c r="H6641" s="1356">
        <v>0.82299999999999995</v>
      </c>
      <c r="I6641" s="399" t="str">
        <f t="shared" si="237"/>
        <v/>
      </c>
      <c r="J6641" s="339"/>
      <c r="K6641" s="1318"/>
      <c r="L6641" s="341"/>
      <c r="M6641" s="341"/>
      <c r="N6641" s="341"/>
      <c r="O6641" s="341"/>
      <c r="P6641" s="341"/>
    </row>
    <row r="6642" spans="1:16" s="342" customFormat="1" hidden="1" outlineLevel="1">
      <c r="A6642" s="1230"/>
      <c r="B6642" s="607"/>
      <c r="C6642" s="345" t="s">
        <v>2</v>
      </c>
      <c r="D6642" s="608">
        <f t="shared" si="236"/>
        <v>0</v>
      </c>
      <c r="E6642" s="611">
        <v>1</v>
      </c>
      <c r="F6642" s="1356">
        <v>5.49</v>
      </c>
      <c r="G6642" s="1356">
        <v>0.96499999999999997</v>
      </c>
      <c r="H6642" s="1356">
        <v>0.82299999999999995</v>
      </c>
      <c r="I6642" s="399" t="str">
        <f t="shared" si="237"/>
        <v/>
      </c>
      <c r="J6642" s="339"/>
      <c r="K6642" s="1318"/>
      <c r="L6642" s="341"/>
      <c r="M6642" s="341"/>
      <c r="N6642" s="341"/>
      <c r="O6642" s="341"/>
      <c r="P6642" s="341"/>
    </row>
    <row r="6643" spans="1:16" s="342" customFormat="1" hidden="1" outlineLevel="1">
      <c r="A6643" s="1230"/>
      <c r="B6643" s="607"/>
      <c r="C6643" s="345" t="s">
        <v>2</v>
      </c>
      <c r="D6643" s="608">
        <f t="shared" si="236"/>
        <v>0</v>
      </c>
      <c r="E6643" s="611">
        <v>1</v>
      </c>
      <c r="F6643" s="1356">
        <v>7.09</v>
      </c>
      <c r="G6643" s="1356">
        <v>1</v>
      </c>
      <c r="H6643" s="1356">
        <v>0.82299999999999995</v>
      </c>
      <c r="I6643" s="399" t="str">
        <f t="shared" si="237"/>
        <v/>
      </c>
      <c r="J6643" s="339"/>
      <c r="K6643" s="1318"/>
      <c r="L6643" s="341"/>
      <c r="M6643" s="341"/>
      <c r="N6643" s="341"/>
      <c r="O6643" s="341"/>
      <c r="P6643" s="341"/>
    </row>
    <row r="6644" spans="1:16" s="342" customFormat="1" hidden="1" outlineLevel="1">
      <c r="A6644" s="1230"/>
      <c r="B6644" s="607"/>
      <c r="C6644" s="345" t="s">
        <v>2</v>
      </c>
      <c r="D6644" s="608">
        <f t="shared" si="236"/>
        <v>0</v>
      </c>
      <c r="E6644" s="611">
        <v>1</v>
      </c>
      <c r="F6644" s="1356">
        <v>1.6</v>
      </c>
      <c r="G6644" s="1356">
        <v>3</v>
      </c>
      <c r="H6644" s="1356">
        <v>0.82299999999999995</v>
      </c>
      <c r="I6644" s="399" t="str">
        <f t="shared" si="237"/>
        <v/>
      </c>
      <c r="J6644" s="339"/>
      <c r="K6644" s="1318"/>
      <c r="L6644" s="341"/>
      <c r="M6644" s="341"/>
      <c r="N6644" s="341"/>
      <c r="O6644" s="341"/>
      <c r="P6644" s="341"/>
    </row>
    <row r="6645" spans="1:16" s="342" customFormat="1" hidden="1" outlineLevel="1">
      <c r="A6645" s="1230"/>
      <c r="B6645" s="607"/>
      <c r="C6645" s="345" t="s">
        <v>2</v>
      </c>
      <c r="D6645" s="608">
        <f t="shared" si="236"/>
        <v>0</v>
      </c>
      <c r="E6645" s="611">
        <v>1</v>
      </c>
      <c r="F6645" s="1356">
        <v>4.3449999999999998</v>
      </c>
      <c r="G6645" s="1356">
        <v>1</v>
      </c>
      <c r="H6645" s="1356">
        <v>0.82299999999999995</v>
      </c>
      <c r="I6645" s="399" t="str">
        <f t="shared" si="237"/>
        <v/>
      </c>
      <c r="J6645" s="339"/>
      <c r="K6645" s="1318"/>
      <c r="L6645" s="341"/>
      <c r="M6645" s="341"/>
      <c r="N6645" s="341"/>
      <c r="O6645" s="341"/>
      <c r="P6645" s="341"/>
    </row>
    <row r="6646" spans="1:16" s="342" customFormat="1" hidden="1" outlineLevel="1">
      <c r="A6646" s="1230"/>
      <c r="B6646" s="607"/>
      <c r="C6646" s="345" t="s">
        <v>2</v>
      </c>
      <c r="D6646" s="608">
        <f t="shared" si="236"/>
        <v>0</v>
      </c>
      <c r="E6646" s="611">
        <v>1</v>
      </c>
      <c r="F6646" s="1356">
        <v>1.6</v>
      </c>
      <c r="G6646" s="1356">
        <v>4</v>
      </c>
      <c r="H6646" s="1356">
        <v>0.82299999999999995</v>
      </c>
      <c r="I6646" s="399" t="str">
        <f t="shared" si="237"/>
        <v/>
      </c>
      <c r="J6646" s="339"/>
      <c r="K6646" s="1318"/>
      <c r="L6646" s="341"/>
      <c r="M6646" s="341"/>
      <c r="N6646" s="341"/>
      <c r="O6646" s="341"/>
      <c r="P6646" s="341"/>
    </row>
    <row r="6647" spans="1:16" s="342" customFormat="1" hidden="1" outlineLevel="1">
      <c r="A6647" s="1230"/>
      <c r="B6647" s="607"/>
      <c r="C6647" s="345" t="s">
        <v>2</v>
      </c>
      <c r="D6647" s="608">
        <f t="shared" si="236"/>
        <v>0</v>
      </c>
      <c r="E6647" s="611">
        <v>2</v>
      </c>
      <c r="F6647" s="1356">
        <v>1.6</v>
      </c>
      <c r="G6647" s="1356">
        <v>3</v>
      </c>
      <c r="H6647" s="1356">
        <v>0.82299999999999995</v>
      </c>
      <c r="I6647" s="399" t="str">
        <f t="shared" si="237"/>
        <v/>
      </c>
      <c r="J6647" s="339"/>
      <c r="K6647" s="1318"/>
      <c r="L6647" s="341"/>
      <c r="M6647" s="341"/>
      <c r="N6647" s="341"/>
      <c r="O6647" s="341"/>
      <c r="P6647" s="341"/>
    </row>
    <row r="6648" spans="1:16" s="342" customFormat="1" hidden="1" outlineLevel="1">
      <c r="A6648" s="1230"/>
      <c r="B6648" s="607"/>
      <c r="C6648" s="345"/>
      <c r="D6648" s="608">
        <f t="shared" si="236"/>
        <v>0</v>
      </c>
      <c r="E6648" s="611"/>
      <c r="F6648" s="1356"/>
      <c r="G6648" s="1356"/>
      <c r="H6648" s="1356"/>
      <c r="I6648" s="399" t="str">
        <f t="shared" si="237"/>
        <v/>
      </c>
      <c r="J6648" s="339"/>
      <c r="K6648" s="1318"/>
      <c r="L6648" s="341"/>
      <c r="M6648" s="341"/>
      <c r="N6648" s="341"/>
      <c r="O6648" s="341"/>
      <c r="P6648" s="341"/>
    </row>
    <row r="6649" spans="1:16" s="342" customFormat="1" hidden="1" outlineLevel="1">
      <c r="A6649" s="1230"/>
      <c r="B6649" s="607"/>
      <c r="C6649" s="345" t="s">
        <v>2</v>
      </c>
      <c r="D6649" s="608">
        <f t="shared" si="236"/>
        <v>0</v>
      </c>
      <c r="E6649" s="611">
        <v>1</v>
      </c>
      <c r="F6649" s="1356">
        <v>20.145</v>
      </c>
      <c r="G6649" s="1356">
        <v>2.2349999999999999</v>
      </c>
      <c r="H6649" s="1356">
        <v>0.82299999999999995</v>
      </c>
      <c r="I6649" s="399" t="str">
        <f t="shared" si="237"/>
        <v/>
      </c>
      <c r="J6649" s="339"/>
      <c r="K6649" s="1318"/>
      <c r="L6649" s="341"/>
      <c r="M6649" s="341"/>
      <c r="N6649" s="341"/>
      <c r="O6649" s="341"/>
      <c r="P6649" s="341"/>
    </row>
    <row r="6650" spans="1:16" s="342" customFormat="1" hidden="1" outlineLevel="1">
      <c r="A6650" s="1230"/>
      <c r="B6650" s="607"/>
      <c r="C6650" s="345" t="s">
        <v>2</v>
      </c>
      <c r="D6650" s="608">
        <f t="shared" ref="D6650:D6683" si="238">1*0</f>
        <v>0</v>
      </c>
      <c r="E6650" s="611">
        <v>1</v>
      </c>
      <c r="F6650" s="1356">
        <v>1.845</v>
      </c>
      <c r="G6650" s="1356">
        <v>4.07</v>
      </c>
      <c r="H6650" s="1356">
        <v>0.82299999999999995</v>
      </c>
      <c r="I6650" s="399" t="str">
        <f t="shared" si="237"/>
        <v/>
      </c>
      <c r="J6650" s="339"/>
      <c r="K6650" s="1318"/>
      <c r="L6650" s="341"/>
      <c r="M6650" s="341"/>
      <c r="N6650" s="341"/>
      <c r="O6650" s="341"/>
      <c r="P6650" s="341"/>
    </row>
    <row r="6651" spans="1:16" s="342" customFormat="1" hidden="1" outlineLevel="1">
      <c r="A6651" s="1230"/>
      <c r="B6651" s="607"/>
      <c r="C6651" s="345"/>
      <c r="D6651" s="608">
        <f t="shared" si="238"/>
        <v>0</v>
      </c>
      <c r="E6651" s="611"/>
      <c r="F6651" s="1356"/>
      <c r="G6651" s="1356"/>
      <c r="H6651" s="1356"/>
      <c r="I6651" s="399" t="str">
        <f t="shared" si="237"/>
        <v/>
      </c>
      <c r="J6651" s="339"/>
      <c r="K6651" s="1318"/>
      <c r="L6651" s="341"/>
      <c r="M6651" s="341"/>
      <c r="N6651" s="341"/>
      <c r="O6651" s="341"/>
      <c r="P6651" s="341"/>
    </row>
    <row r="6652" spans="1:16" s="342" customFormat="1" hidden="1" outlineLevel="1">
      <c r="A6652" s="1230"/>
      <c r="B6652" s="607"/>
      <c r="C6652" s="345" t="s">
        <v>2</v>
      </c>
      <c r="D6652" s="608">
        <f t="shared" si="238"/>
        <v>0</v>
      </c>
      <c r="E6652" s="611">
        <v>1</v>
      </c>
      <c r="F6652" s="1356">
        <v>0.68500000000000005</v>
      </c>
      <c r="G6652" s="1356">
        <v>4.13</v>
      </c>
      <c r="H6652" s="1356">
        <v>0.82299999999999995</v>
      </c>
      <c r="I6652" s="399" t="str">
        <f t="shared" si="237"/>
        <v/>
      </c>
      <c r="J6652" s="339"/>
      <c r="K6652" s="1318"/>
      <c r="L6652" s="341"/>
      <c r="M6652" s="341"/>
      <c r="N6652" s="341"/>
      <c r="O6652" s="341"/>
      <c r="P6652" s="341"/>
    </row>
    <row r="6653" spans="1:16" s="342" customFormat="1" hidden="1" outlineLevel="1">
      <c r="A6653" s="1230"/>
      <c r="B6653" s="607"/>
      <c r="C6653" s="345" t="s">
        <v>2</v>
      </c>
      <c r="D6653" s="608">
        <f t="shared" si="238"/>
        <v>0</v>
      </c>
      <c r="E6653" s="611">
        <v>1</v>
      </c>
      <c r="F6653" s="1356">
        <v>3.43</v>
      </c>
      <c r="G6653" s="1356">
        <v>1.2</v>
      </c>
      <c r="H6653" s="1356">
        <v>0.82299999999999995</v>
      </c>
      <c r="I6653" s="399" t="str">
        <f t="shared" si="237"/>
        <v/>
      </c>
      <c r="J6653" s="339"/>
      <c r="K6653" s="1318"/>
      <c r="L6653" s="341"/>
      <c r="M6653" s="341"/>
      <c r="N6653" s="341"/>
      <c r="O6653" s="341"/>
      <c r="P6653" s="341"/>
    </row>
    <row r="6654" spans="1:16" s="342" customFormat="1" hidden="1" outlineLevel="1">
      <c r="A6654" s="1230"/>
      <c r="B6654" s="607"/>
      <c r="C6654" s="345" t="s">
        <v>2</v>
      </c>
      <c r="D6654" s="608">
        <f t="shared" si="238"/>
        <v>0</v>
      </c>
      <c r="E6654" s="611">
        <v>1</v>
      </c>
      <c r="F6654" s="1356">
        <v>1.6</v>
      </c>
      <c r="G6654" s="1356">
        <v>3</v>
      </c>
      <c r="H6654" s="1356">
        <v>0.82299999999999995</v>
      </c>
      <c r="I6654" s="399" t="str">
        <f t="shared" si="237"/>
        <v/>
      </c>
      <c r="J6654" s="339"/>
      <c r="K6654" s="1318"/>
      <c r="L6654" s="341"/>
      <c r="M6654" s="341"/>
      <c r="N6654" s="341"/>
      <c r="O6654" s="341"/>
      <c r="P6654" s="341"/>
    </row>
    <row r="6655" spans="1:16" s="342" customFormat="1" hidden="1" outlineLevel="1">
      <c r="A6655" s="1230"/>
      <c r="B6655" s="607"/>
      <c r="C6655" s="345" t="s">
        <v>2</v>
      </c>
      <c r="D6655" s="608">
        <f t="shared" si="238"/>
        <v>0</v>
      </c>
      <c r="E6655" s="611">
        <v>1</v>
      </c>
      <c r="F6655" s="1356">
        <v>3.7349999999999999</v>
      </c>
      <c r="G6655" s="1356">
        <v>1.2</v>
      </c>
      <c r="H6655" s="1356">
        <v>0.82299999999999995</v>
      </c>
      <c r="I6655" s="399" t="str">
        <f t="shared" si="237"/>
        <v/>
      </c>
      <c r="J6655" s="339"/>
      <c r="K6655" s="1318"/>
      <c r="L6655" s="341"/>
      <c r="M6655" s="341"/>
      <c r="N6655" s="341"/>
      <c r="O6655" s="341"/>
      <c r="P6655" s="341"/>
    </row>
    <row r="6656" spans="1:16" s="342" customFormat="1" hidden="1" outlineLevel="1">
      <c r="A6656" s="1230"/>
      <c r="B6656" s="607"/>
      <c r="C6656" s="345" t="s">
        <v>2</v>
      </c>
      <c r="D6656" s="608">
        <f t="shared" si="238"/>
        <v>0</v>
      </c>
      <c r="E6656" s="611">
        <v>1</v>
      </c>
      <c r="F6656" s="1356">
        <v>3.43</v>
      </c>
      <c r="G6656" s="1356">
        <v>4.2350000000000003</v>
      </c>
      <c r="H6656" s="1356">
        <v>0.82299999999999995</v>
      </c>
      <c r="I6656" s="399" t="str">
        <f t="shared" si="237"/>
        <v/>
      </c>
      <c r="J6656" s="339"/>
      <c r="K6656" s="1318"/>
      <c r="L6656" s="341"/>
      <c r="M6656" s="341"/>
      <c r="N6656" s="341"/>
      <c r="O6656" s="341"/>
      <c r="P6656" s="341"/>
    </row>
    <row r="6657" spans="1:16" s="342" customFormat="1" hidden="1" outlineLevel="1">
      <c r="A6657" s="1230"/>
      <c r="B6657" s="607"/>
      <c r="C6657" s="345" t="s">
        <v>2</v>
      </c>
      <c r="D6657" s="608">
        <f t="shared" si="238"/>
        <v>0</v>
      </c>
      <c r="E6657" s="611">
        <v>1</v>
      </c>
      <c r="F6657" s="1356">
        <v>1.6</v>
      </c>
      <c r="G6657" s="1356">
        <v>1.8</v>
      </c>
      <c r="H6657" s="1356">
        <v>0.82299999999999995</v>
      </c>
      <c r="I6657" s="399" t="str">
        <f t="shared" si="237"/>
        <v/>
      </c>
      <c r="J6657" s="339"/>
      <c r="K6657" s="1318"/>
      <c r="L6657" s="341"/>
      <c r="M6657" s="341"/>
      <c r="N6657" s="341"/>
      <c r="O6657" s="341"/>
      <c r="P6657" s="341"/>
    </row>
    <row r="6658" spans="1:16" s="342" customFormat="1" hidden="1" outlineLevel="1">
      <c r="A6658" s="1230"/>
      <c r="B6658" s="607"/>
      <c r="C6658" s="345" t="s">
        <v>2</v>
      </c>
      <c r="D6658" s="608">
        <f t="shared" si="238"/>
        <v>0</v>
      </c>
      <c r="E6658" s="611">
        <v>1</v>
      </c>
      <c r="F6658" s="1356">
        <v>1.6</v>
      </c>
      <c r="G6658" s="1356">
        <v>4.2</v>
      </c>
      <c r="H6658" s="1356">
        <v>0.82299999999999995</v>
      </c>
      <c r="I6658" s="399" t="str">
        <f t="shared" si="237"/>
        <v/>
      </c>
      <c r="J6658" s="339"/>
      <c r="K6658" s="1318"/>
      <c r="L6658" s="341"/>
      <c r="M6658" s="341"/>
      <c r="N6658" s="341"/>
      <c r="O6658" s="341"/>
      <c r="P6658" s="341"/>
    </row>
    <row r="6659" spans="1:16" s="342" customFormat="1" hidden="1" outlineLevel="1">
      <c r="A6659" s="1230"/>
      <c r="B6659" s="607"/>
      <c r="C6659" s="345" t="s">
        <v>2</v>
      </c>
      <c r="D6659" s="608">
        <f t="shared" si="238"/>
        <v>0</v>
      </c>
      <c r="E6659" s="611">
        <v>1</v>
      </c>
      <c r="F6659" s="1356">
        <v>1.6</v>
      </c>
      <c r="G6659" s="1356">
        <v>5</v>
      </c>
      <c r="H6659" s="1356">
        <v>0.82299999999999995</v>
      </c>
      <c r="I6659" s="399" t="str">
        <f t="shared" si="237"/>
        <v/>
      </c>
      <c r="J6659" s="339"/>
      <c r="K6659" s="1318"/>
      <c r="L6659" s="341"/>
      <c r="M6659" s="341"/>
      <c r="N6659" s="341"/>
      <c r="O6659" s="341"/>
      <c r="P6659" s="341"/>
    </row>
    <row r="6660" spans="1:16" s="342" customFormat="1" hidden="1" outlineLevel="1">
      <c r="A6660" s="1230"/>
      <c r="B6660" s="607"/>
      <c r="C6660" s="345" t="s">
        <v>2</v>
      </c>
      <c r="D6660" s="608">
        <f t="shared" si="238"/>
        <v>0</v>
      </c>
      <c r="E6660" s="611">
        <v>1</v>
      </c>
      <c r="F6660" s="1356">
        <v>2.1349999999999998</v>
      </c>
      <c r="G6660" s="1356">
        <v>3.2349999999999999</v>
      </c>
      <c r="H6660" s="1356">
        <v>0.82299999999999995</v>
      </c>
      <c r="I6660" s="399" t="str">
        <f t="shared" si="237"/>
        <v/>
      </c>
      <c r="J6660" s="339"/>
      <c r="K6660" s="1318"/>
      <c r="L6660" s="341"/>
      <c r="M6660" s="341"/>
      <c r="N6660" s="341"/>
      <c r="O6660" s="341"/>
      <c r="P6660" s="341"/>
    </row>
    <row r="6661" spans="1:16" s="342" customFormat="1" hidden="1" outlineLevel="1">
      <c r="A6661" s="1230"/>
      <c r="B6661" s="607"/>
      <c r="C6661" s="345" t="s">
        <v>2</v>
      </c>
      <c r="D6661" s="608">
        <f t="shared" si="238"/>
        <v>0</v>
      </c>
      <c r="E6661" s="611">
        <v>1</v>
      </c>
      <c r="F6661" s="1356">
        <v>3.7349999999999999</v>
      </c>
      <c r="G6661" s="1356">
        <v>3.2</v>
      </c>
      <c r="H6661" s="1356">
        <v>0.82299999999999995</v>
      </c>
      <c r="I6661" s="399" t="str">
        <f t="shared" si="237"/>
        <v/>
      </c>
      <c r="J6661" s="339"/>
      <c r="K6661" s="1318"/>
      <c r="L6661" s="341"/>
      <c r="M6661" s="341"/>
      <c r="N6661" s="341"/>
      <c r="O6661" s="341"/>
      <c r="P6661" s="341"/>
    </row>
    <row r="6662" spans="1:16" s="342" customFormat="1" hidden="1" outlineLevel="1">
      <c r="A6662" s="1230"/>
      <c r="B6662" s="607"/>
      <c r="C6662" s="345" t="s">
        <v>2</v>
      </c>
      <c r="D6662" s="608">
        <f t="shared" si="238"/>
        <v>0</v>
      </c>
      <c r="E6662" s="611">
        <v>1</v>
      </c>
      <c r="F6662" s="1356">
        <v>12.12</v>
      </c>
      <c r="G6662" s="1356">
        <v>1.5</v>
      </c>
      <c r="H6662" s="1356">
        <v>0.82299999999999995</v>
      </c>
      <c r="I6662" s="399" t="str">
        <f t="shared" si="237"/>
        <v/>
      </c>
      <c r="J6662" s="339"/>
      <c r="K6662" s="1318"/>
      <c r="L6662" s="341"/>
      <c r="M6662" s="341"/>
      <c r="N6662" s="341"/>
      <c r="O6662" s="341"/>
      <c r="P6662" s="341"/>
    </row>
    <row r="6663" spans="1:16" s="342" customFormat="1" hidden="1" outlineLevel="1">
      <c r="A6663" s="1230"/>
      <c r="B6663" s="607"/>
      <c r="C6663" s="345" t="s">
        <v>2</v>
      </c>
      <c r="D6663" s="608">
        <f t="shared" si="238"/>
        <v>0</v>
      </c>
      <c r="E6663" s="611">
        <v>1</v>
      </c>
      <c r="F6663" s="1356">
        <v>0.99</v>
      </c>
      <c r="G6663" s="1356">
        <v>4.13</v>
      </c>
      <c r="H6663" s="1356">
        <v>0.82299999999999995</v>
      </c>
      <c r="I6663" s="399" t="str">
        <f t="shared" si="237"/>
        <v/>
      </c>
      <c r="J6663" s="339"/>
      <c r="K6663" s="1318"/>
      <c r="L6663" s="341"/>
      <c r="M6663" s="341"/>
      <c r="N6663" s="341"/>
      <c r="O6663" s="341"/>
      <c r="P6663" s="341"/>
    </row>
    <row r="6664" spans="1:16" s="342" customFormat="1" hidden="1" outlineLevel="1">
      <c r="A6664" s="1230"/>
      <c r="B6664" s="607"/>
      <c r="C6664" s="345" t="s">
        <v>2</v>
      </c>
      <c r="D6664" s="608">
        <f t="shared" si="238"/>
        <v>0</v>
      </c>
      <c r="E6664" s="611">
        <v>1</v>
      </c>
      <c r="F6664" s="1356">
        <v>1.6</v>
      </c>
      <c r="G6664" s="1356">
        <v>4.5</v>
      </c>
      <c r="H6664" s="1356">
        <v>0.82299999999999995</v>
      </c>
      <c r="I6664" s="399" t="str">
        <f t="shared" si="237"/>
        <v/>
      </c>
      <c r="J6664" s="339"/>
      <c r="K6664" s="1318"/>
      <c r="L6664" s="341"/>
      <c r="M6664" s="341"/>
      <c r="N6664" s="341"/>
      <c r="O6664" s="341"/>
      <c r="P6664" s="341"/>
    </row>
    <row r="6665" spans="1:16" s="342" customFormat="1" hidden="1" outlineLevel="1">
      <c r="A6665" s="1230"/>
      <c r="B6665" s="607"/>
      <c r="C6665" s="345" t="s">
        <v>2</v>
      </c>
      <c r="D6665" s="608">
        <f t="shared" si="238"/>
        <v>0</v>
      </c>
      <c r="E6665" s="611">
        <v>1</v>
      </c>
      <c r="F6665" s="1356">
        <v>1.46</v>
      </c>
      <c r="G6665" s="1356">
        <v>2.7</v>
      </c>
      <c r="H6665" s="1356">
        <v>0.82299999999999995</v>
      </c>
      <c r="I6665" s="399" t="str">
        <f t="shared" si="237"/>
        <v/>
      </c>
      <c r="J6665" s="339"/>
      <c r="K6665" s="1318"/>
      <c r="L6665" s="341"/>
      <c r="M6665" s="341"/>
      <c r="N6665" s="341"/>
      <c r="O6665" s="341"/>
      <c r="P6665" s="341"/>
    </row>
    <row r="6666" spans="1:16" s="342" customFormat="1" hidden="1" outlineLevel="1">
      <c r="A6666" s="1230"/>
      <c r="B6666" s="607"/>
      <c r="C6666" s="345" t="s">
        <v>2</v>
      </c>
      <c r="D6666" s="608">
        <f t="shared" si="238"/>
        <v>0</v>
      </c>
      <c r="E6666" s="611">
        <v>1</v>
      </c>
      <c r="F6666" s="1356">
        <v>1.6</v>
      </c>
      <c r="G6666" s="1356">
        <v>6</v>
      </c>
      <c r="H6666" s="1356">
        <v>0.82299999999999995</v>
      </c>
      <c r="I6666" s="399" t="str">
        <f t="shared" si="237"/>
        <v/>
      </c>
      <c r="J6666" s="339"/>
      <c r="K6666" s="1318"/>
      <c r="L6666" s="341"/>
      <c r="M6666" s="341"/>
      <c r="N6666" s="341"/>
      <c r="O6666" s="341"/>
      <c r="P6666" s="341"/>
    </row>
    <row r="6667" spans="1:16" s="342" customFormat="1" hidden="1" outlineLevel="1">
      <c r="A6667" s="1230"/>
      <c r="B6667" s="607"/>
      <c r="C6667" s="345"/>
      <c r="D6667" s="608">
        <f t="shared" si="238"/>
        <v>0</v>
      </c>
      <c r="E6667" s="611"/>
      <c r="F6667" s="1356"/>
      <c r="G6667" s="1356"/>
      <c r="H6667" s="1356"/>
      <c r="I6667" s="399" t="str">
        <f t="shared" si="237"/>
        <v/>
      </c>
      <c r="J6667" s="339"/>
      <c r="K6667" s="1318"/>
      <c r="L6667" s="341"/>
      <c r="M6667" s="341"/>
      <c r="N6667" s="341"/>
      <c r="O6667" s="341"/>
      <c r="P6667" s="341"/>
    </row>
    <row r="6668" spans="1:16" s="342" customFormat="1" hidden="1" outlineLevel="1">
      <c r="A6668" s="1230"/>
      <c r="B6668" s="607"/>
      <c r="C6668" s="345" t="s">
        <v>2</v>
      </c>
      <c r="D6668" s="608">
        <f t="shared" si="238"/>
        <v>0</v>
      </c>
      <c r="E6668" s="611">
        <v>1</v>
      </c>
      <c r="F6668" s="1356">
        <v>20.97</v>
      </c>
      <c r="G6668" s="1356">
        <v>2</v>
      </c>
      <c r="H6668" s="1356">
        <v>0.82299999999999995</v>
      </c>
      <c r="I6668" s="399" t="str">
        <f t="shared" si="237"/>
        <v/>
      </c>
      <c r="J6668" s="339"/>
      <c r="K6668" s="1318"/>
      <c r="L6668" s="341"/>
      <c r="M6668" s="341"/>
      <c r="N6668" s="341"/>
      <c r="O6668" s="341"/>
      <c r="P6668" s="341"/>
    </row>
    <row r="6669" spans="1:16" s="342" customFormat="1" hidden="1" outlineLevel="1">
      <c r="A6669" s="1230"/>
      <c r="B6669" s="607"/>
      <c r="C6669" s="345" t="s">
        <v>2</v>
      </c>
      <c r="D6669" s="608">
        <f t="shared" si="238"/>
        <v>0</v>
      </c>
      <c r="E6669" s="611">
        <v>1</v>
      </c>
      <c r="F6669" s="1356">
        <v>1.905</v>
      </c>
      <c r="G6669" s="1356">
        <v>6.2350000000000003</v>
      </c>
      <c r="H6669" s="1356">
        <v>0.82299999999999995</v>
      </c>
      <c r="I6669" s="399" t="str">
        <f t="shared" si="237"/>
        <v/>
      </c>
      <c r="J6669" s="339"/>
      <c r="K6669" s="1318"/>
      <c r="L6669" s="341"/>
      <c r="M6669" s="341"/>
      <c r="N6669" s="341"/>
      <c r="O6669" s="341"/>
      <c r="P6669" s="341"/>
    </row>
    <row r="6670" spans="1:16" s="342" customFormat="1" hidden="1" outlineLevel="1">
      <c r="A6670" s="1230"/>
      <c r="B6670" s="607"/>
      <c r="C6670" s="345" t="s">
        <v>2</v>
      </c>
      <c r="D6670" s="608">
        <f t="shared" si="238"/>
        <v>0</v>
      </c>
      <c r="E6670" s="611">
        <v>1</v>
      </c>
      <c r="F6670" s="1356">
        <v>1.145</v>
      </c>
      <c r="G6670" s="1356">
        <v>2</v>
      </c>
      <c r="H6670" s="1356">
        <v>0.82299999999999995</v>
      </c>
      <c r="I6670" s="399" t="str">
        <f t="shared" si="237"/>
        <v/>
      </c>
      <c r="J6670" s="339"/>
      <c r="K6670" s="1318"/>
      <c r="L6670" s="341"/>
      <c r="M6670" s="341"/>
      <c r="N6670" s="341"/>
      <c r="O6670" s="341"/>
      <c r="P6670" s="341"/>
    </row>
    <row r="6671" spans="1:16" s="342" customFormat="1" hidden="1" outlineLevel="1">
      <c r="A6671" s="1230"/>
      <c r="B6671" s="607"/>
      <c r="C6671" s="345"/>
      <c r="D6671" s="608">
        <f t="shared" si="238"/>
        <v>0</v>
      </c>
      <c r="E6671" s="611"/>
      <c r="F6671" s="1356"/>
      <c r="G6671" s="1356"/>
      <c r="H6671" s="1356"/>
      <c r="I6671" s="399" t="str">
        <f t="shared" si="237"/>
        <v/>
      </c>
      <c r="J6671" s="339"/>
      <c r="K6671" s="1318"/>
      <c r="L6671" s="341"/>
      <c r="M6671" s="341"/>
      <c r="N6671" s="341"/>
      <c r="O6671" s="341"/>
      <c r="P6671" s="341"/>
    </row>
    <row r="6672" spans="1:16" s="342" customFormat="1" hidden="1" outlineLevel="1">
      <c r="A6672" s="1230"/>
      <c r="B6672" s="607"/>
      <c r="C6672" s="345" t="s">
        <v>2</v>
      </c>
      <c r="D6672" s="608">
        <f t="shared" si="238"/>
        <v>0</v>
      </c>
      <c r="E6672" s="611">
        <v>1</v>
      </c>
      <c r="F6672" s="1356">
        <v>4.3449999999999998</v>
      </c>
      <c r="G6672" s="1356">
        <v>1.2</v>
      </c>
      <c r="H6672" s="1356">
        <v>0.82299999999999995</v>
      </c>
      <c r="I6672" s="399" t="str">
        <f t="shared" si="237"/>
        <v/>
      </c>
      <c r="J6672" s="339"/>
      <c r="K6672" s="1318"/>
      <c r="L6672" s="341"/>
      <c r="M6672" s="341"/>
      <c r="N6672" s="341"/>
      <c r="O6672" s="341"/>
      <c r="P6672" s="341"/>
    </row>
    <row r="6673" spans="1:16" s="342" customFormat="1" hidden="1" outlineLevel="1">
      <c r="A6673" s="1230"/>
      <c r="B6673" s="607"/>
      <c r="C6673" s="345" t="s">
        <v>2</v>
      </c>
      <c r="D6673" s="608">
        <f t="shared" si="238"/>
        <v>0</v>
      </c>
      <c r="E6673" s="611">
        <v>1</v>
      </c>
      <c r="F6673" s="1356">
        <v>1.6</v>
      </c>
      <c r="G6673" s="1356">
        <v>1.8</v>
      </c>
      <c r="H6673" s="1356">
        <v>0.82299999999999995</v>
      </c>
      <c r="I6673" s="399" t="str">
        <f t="shared" si="237"/>
        <v/>
      </c>
      <c r="J6673" s="339"/>
      <c r="K6673" s="1318"/>
      <c r="L6673" s="341"/>
      <c r="M6673" s="341"/>
      <c r="N6673" s="341"/>
      <c r="O6673" s="341"/>
      <c r="P6673" s="341"/>
    </row>
    <row r="6674" spans="1:16" s="342" customFormat="1" hidden="1" outlineLevel="1">
      <c r="A6674" s="1230"/>
      <c r="B6674" s="607"/>
      <c r="C6674" s="345" t="s">
        <v>2</v>
      </c>
      <c r="D6674" s="608">
        <f t="shared" si="238"/>
        <v>0</v>
      </c>
      <c r="E6674" s="611">
        <v>1</v>
      </c>
      <c r="F6674" s="1356">
        <v>4.6500000000000004</v>
      </c>
      <c r="G6674" s="1356">
        <v>1</v>
      </c>
      <c r="H6674" s="1356">
        <v>0.82299999999999995</v>
      </c>
      <c r="I6674" s="399" t="str">
        <f t="shared" si="237"/>
        <v/>
      </c>
      <c r="J6674" s="339"/>
      <c r="K6674" s="1318"/>
      <c r="L6674" s="341"/>
      <c r="M6674" s="341"/>
      <c r="N6674" s="341"/>
      <c r="O6674" s="341"/>
      <c r="P6674" s="341"/>
    </row>
    <row r="6675" spans="1:16" s="342" customFormat="1" hidden="1" outlineLevel="1">
      <c r="A6675" s="1230"/>
      <c r="B6675" s="607"/>
      <c r="C6675" s="345" t="s">
        <v>2</v>
      </c>
      <c r="D6675" s="608">
        <f t="shared" si="238"/>
        <v>0</v>
      </c>
      <c r="E6675" s="611">
        <v>1</v>
      </c>
      <c r="F6675" s="1356">
        <v>1.905</v>
      </c>
      <c r="G6675" s="1356">
        <v>1.8</v>
      </c>
      <c r="H6675" s="1356">
        <v>0.82299999999999995</v>
      </c>
      <c r="I6675" s="399" t="str">
        <f t="shared" si="237"/>
        <v/>
      </c>
      <c r="J6675" s="339"/>
      <c r="K6675" s="1318"/>
      <c r="L6675" s="341"/>
      <c r="M6675" s="341"/>
      <c r="N6675" s="341"/>
      <c r="O6675" s="341"/>
      <c r="P6675" s="341"/>
    </row>
    <row r="6676" spans="1:16" s="342" customFormat="1" ht="34.5" hidden="1" outlineLevel="1">
      <c r="A6676" s="1230"/>
      <c r="B6676" s="607" t="s">
        <v>322</v>
      </c>
      <c r="C6676" s="345"/>
      <c r="D6676" s="608">
        <f t="shared" si="238"/>
        <v>0</v>
      </c>
      <c r="E6676" s="611"/>
      <c r="F6676" s="1356"/>
      <c r="G6676" s="1356"/>
      <c r="H6676" s="1356"/>
      <c r="I6676" s="399" t="str">
        <f t="shared" si="237"/>
        <v/>
      </c>
      <c r="J6676" s="339"/>
      <c r="K6676" s="1318"/>
      <c r="L6676" s="341"/>
      <c r="M6676" s="341"/>
      <c r="N6676" s="341"/>
      <c r="O6676" s="341"/>
      <c r="P6676" s="341"/>
    </row>
    <row r="6677" spans="1:16" s="342" customFormat="1" hidden="1" outlineLevel="1">
      <c r="A6677" s="1230"/>
      <c r="B6677" s="610"/>
      <c r="C6677" s="345" t="s">
        <v>2</v>
      </c>
      <c r="D6677" s="608">
        <f t="shared" si="238"/>
        <v>0</v>
      </c>
      <c r="E6677" s="611">
        <v>1</v>
      </c>
      <c r="F6677" s="1356">
        <v>24.135000000000002</v>
      </c>
      <c r="G6677" s="1356">
        <v>6.2</v>
      </c>
      <c r="H6677" s="1356">
        <v>0.82299999999999995</v>
      </c>
      <c r="I6677" s="399" t="str">
        <f t="shared" si="237"/>
        <v/>
      </c>
      <c r="J6677" s="339"/>
      <c r="K6677" s="1318"/>
      <c r="L6677" s="341"/>
      <c r="M6677" s="341"/>
      <c r="N6677" s="341"/>
      <c r="O6677" s="341"/>
      <c r="P6677" s="341"/>
    </row>
    <row r="6678" spans="1:16" s="342" customFormat="1" hidden="1" outlineLevel="1">
      <c r="A6678" s="1230"/>
      <c r="B6678" s="612" t="s">
        <v>1291</v>
      </c>
      <c r="C6678" s="345"/>
      <c r="D6678" s="608">
        <f t="shared" si="238"/>
        <v>0</v>
      </c>
      <c r="E6678" s="611"/>
      <c r="F6678" s="1356"/>
      <c r="G6678" s="1356"/>
      <c r="H6678" s="1356"/>
      <c r="I6678" s="399" t="str">
        <f t="shared" si="237"/>
        <v/>
      </c>
      <c r="J6678" s="339"/>
      <c r="K6678" s="1318"/>
      <c r="L6678" s="341"/>
      <c r="M6678" s="341"/>
      <c r="N6678" s="341"/>
      <c r="O6678" s="341"/>
      <c r="P6678" s="341"/>
    </row>
    <row r="6679" spans="1:16" s="464" customFormat="1" hidden="1" outlineLevel="1">
      <c r="A6679" s="1279"/>
      <c r="B6679" s="591" t="s">
        <v>929</v>
      </c>
      <c r="C6679" s="346" t="s">
        <v>2</v>
      </c>
      <c r="D6679" s="613">
        <f t="shared" si="238"/>
        <v>0</v>
      </c>
      <c r="E6679" s="481"/>
      <c r="F6679" s="614"/>
      <c r="G6679" s="614"/>
      <c r="H6679" s="614"/>
      <c r="I6679" s="399" t="str">
        <f t="shared" si="237"/>
        <v/>
      </c>
      <c r="J6679" s="482"/>
      <c r="K6679" s="1283"/>
      <c r="L6679" s="463"/>
      <c r="M6679" s="463"/>
      <c r="N6679" s="463"/>
    </row>
    <row r="6680" spans="1:16" s="464" customFormat="1" ht="34.5" hidden="1" outlineLevel="1">
      <c r="A6680" s="1279"/>
      <c r="B6680" s="605" t="s">
        <v>1298</v>
      </c>
      <c r="C6680" s="346" t="s">
        <v>2</v>
      </c>
      <c r="D6680" s="613">
        <f t="shared" si="238"/>
        <v>0</v>
      </c>
      <c r="E6680" s="481">
        <v>1</v>
      </c>
      <c r="F6680" s="614">
        <f>45526849.9/1000000</f>
        <v>45.526849900000002</v>
      </c>
      <c r="G6680" s="614"/>
      <c r="H6680" s="614">
        <v>0.125</v>
      </c>
      <c r="I6680" s="399" t="str">
        <f t="shared" si="237"/>
        <v/>
      </c>
      <c r="J6680" s="482"/>
      <c r="K6680" s="1319" t="s">
        <v>624</v>
      </c>
      <c r="L6680" s="463"/>
      <c r="M6680" s="463"/>
      <c r="N6680" s="463"/>
    </row>
    <row r="6681" spans="1:16" s="464" customFormat="1" hidden="1" outlineLevel="1">
      <c r="A6681" s="1279"/>
      <c r="B6681" s="605" t="s">
        <v>1299</v>
      </c>
      <c r="C6681" s="346" t="s">
        <v>2</v>
      </c>
      <c r="D6681" s="613">
        <f t="shared" si="238"/>
        <v>0</v>
      </c>
      <c r="E6681" s="481">
        <v>1</v>
      </c>
      <c r="F6681" s="614">
        <f>235971026/1000000</f>
        <v>235.97102599999999</v>
      </c>
      <c r="G6681" s="614"/>
      <c r="H6681" s="614">
        <v>0.125</v>
      </c>
      <c r="I6681" s="399" t="str">
        <f t="shared" si="237"/>
        <v/>
      </c>
      <c r="J6681" s="482"/>
      <c r="K6681" s="1319" t="s">
        <v>624</v>
      </c>
      <c r="L6681" s="463"/>
      <c r="M6681" s="463"/>
      <c r="N6681" s="463"/>
    </row>
    <row r="6682" spans="1:16" s="464" customFormat="1" hidden="1" outlineLevel="1">
      <c r="A6682" s="1279"/>
      <c r="B6682" s="605" t="s">
        <v>1300</v>
      </c>
      <c r="C6682" s="346" t="s">
        <v>2</v>
      </c>
      <c r="D6682" s="613">
        <f t="shared" si="238"/>
        <v>0</v>
      </c>
      <c r="E6682" s="481">
        <v>1</v>
      </c>
      <c r="F6682" s="614">
        <f>229385941/1000000</f>
        <v>229.385941</v>
      </c>
      <c r="G6682" s="614"/>
      <c r="H6682" s="614">
        <v>0.125</v>
      </c>
      <c r="I6682" s="399" t="str">
        <f t="shared" si="237"/>
        <v/>
      </c>
      <c r="J6682" s="482"/>
      <c r="K6682" s="1319" t="s">
        <v>624</v>
      </c>
      <c r="L6682" s="463"/>
      <c r="M6682" s="463"/>
      <c r="N6682" s="463"/>
    </row>
    <row r="6683" spans="1:16" s="464" customFormat="1" hidden="1" outlineLevel="1">
      <c r="A6683" s="1279"/>
      <c r="B6683" s="605" t="s">
        <v>1301</v>
      </c>
      <c r="C6683" s="346" t="s">
        <v>2</v>
      </c>
      <c r="D6683" s="613">
        <f t="shared" si="238"/>
        <v>0</v>
      </c>
      <c r="E6683" s="481">
        <v>1</v>
      </c>
      <c r="F6683" s="614">
        <f>161301156/1000000</f>
        <v>161.30115599999999</v>
      </c>
      <c r="G6683" s="614"/>
      <c r="H6683" s="614">
        <v>0.125</v>
      </c>
      <c r="I6683" s="399" t="str">
        <f t="shared" si="237"/>
        <v/>
      </c>
      <c r="J6683" s="482"/>
      <c r="K6683" s="1319" t="s">
        <v>624</v>
      </c>
      <c r="L6683" s="463"/>
      <c r="M6683" s="463"/>
      <c r="N6683" s="463"/>
    </row>
    <row r="6684" spans="1:16" hidden="1" outlineLevel="1">
      <c r="A6684" s="1228"/>
      <c r="B6684" s="588" t="s">
        <v>1292</v>
      </c>
      <c r="C6684" s="165"/>
      <c r="D6684" s="308"/>
      <c r="E6684" s="309"/>
      <c r="F6684" s="401"/>
      <c r="G6684" s="401"/>
      <c r="H6684" s="401"/>
      <c r="I6684" s="399" t="str">
        <f t="shared" si="237"/>
        <v/>
      </c>
      <c r="J6684" s="162"/>
      <c r="K6684" s="1239"/>
      <c r="O6684" s="169"/>
      <c r="P6684" s="169"/>
    </row>
    <row r="6685" spans="1:16" s="398" customFormat="1" ht="51.75" hidden="1" outlineLevel="1">
      <c r="A6685" s="1248"/>
      <c r="B6685" s="592" t="s">
        <v>1078</v>
      </c>
      <c r="C6685" s="388"/>
      <c r="D6685" s="548"/>
      <c r="E6685" s="307"/>
      <c r="F6685" s="401"/>
      <c r="G6685" s="401"/>
      <c r="H6685" s="401"/>
      <c r="I6685" s="399" t="str">
        <f t="shared" ref="I6685:I6748" si="239">IF(D6685&lt;&gt;0,ROUND(PRODUCT(E6685:H6685)*D6685,2),"")</f>
        <v/>
      </c>
      <c r="J6685" s="403"/>
      <c r="K6685" s="1234"/>
      <c r="L6685" s="431"/>
      <c r="M6685" s="431"/>
      <c r="N6685" s="431"/>
      <c r="O6685" s="431"/>
      <c r="P6685" s="431"/>
    </row>
    <row r="6686" spans="1:16" s="526" customFormat="1" hidden="1" outlineLevel="1">
      <c r="A6686" s="1235"/>
      <c r="B6686" s="395" t="s">
        <v>692</v>
      </c>
      <c r="C6686" s="530"/>
      <c r="D6686" s="389"/>
      <c r="E6686" s="356"/>
      <c r="F6686" s="1203"/>
      <c r="G6686" s="1203"/>
      <c r="H6686" s="1203"/>
      <c r="I6686" s="399" t="str">
        <f t="shared" si="239"/>
        <v/>
      </c>
      <c r="J6686" s="396"/>
      <c r="K6686" s="1236"/>
    </row>
    <row r="6687" spans="1:16" s="526" customFormat="1" hidden="1" outlineLevel="1">
      <c r="A6687" s="1235"/>
      <c r="B6687" s="395" t="s">
        <v>810</v>
      </c>
      <c r="C6687" s="530" t="s">
        <v>2</v>
      </c>
      <c r="D6687" s="389">
        <v>1</v>
      </c>
      <c r="E6687" s="356">
        <v>1</v>
      </c>
      <c r="F6687" s="1202">
        <v>10.57</v>
      </c>
      <c r="G6687" s="1203">
        <f t="shared" ref="G6687:G6693" si="240">0.46+0.15</f>
        <v>0.61</v>
      </c>
      <c r="H6687" s="1203">
        <v>0.82299999999999995</v>
      </c>
      <c r="I6687" s="399">
        <f t="shared" si="239"/>
        <v>5.31</v>
      </c>
      <c r="J6687" s="396"/>
      <c r="K6687" s="1236"/>
    </row>
    <row r="6688" spans="1:16" s="398" customFormat="1" hidden="1" outlineLevel="1">
      <c r="A6688" s="1248"/>
      <c r="B6688" s="161"/>
      <c r="C6688" s="530" t="s">
        <v>2</v>
      </c>
      <c r="D6688" s="389">
        <v>1</v>
      </c>
      <c r="E6688" s="356">
        <v>1</v>
      </c>
      <c r="F6688" s="1203">
        <f>9.395+G6688+0.15</f>
        <v>10.154999999999999</v>
      </c>
      <c r="G6688" s="1203">
        <f t="shared" si="240"/>
        <v>0.61</v>
      </c>
      <c r="H6688" s="1203">
        <v>0.82299999999999995</v>
      </c>
      <c r="I6688" s="399">
        <f t="shared" si="239"/>
        <v>5.0999999999999996</v>
      </c>
      <c r="J6688" s="403"/>
      <c r="K6688" s="1234"/>
      <c r="L6688" s="431"/>
      <c r="M6688" s="431"/>
      <c r="N6688" s="431"/>
      <c r="O6688" s="431"/>
      <c r="P6688" s="431"/>
    </row>
    <row r="6689" spans="1:16" s="526" customFormat="1" hidden="1" outlineLevel="1">
      <c r="A6689" s="1235"/>
      <c r="B6689" s="395" t="s">
        <v>811</v>
      </c>
      <c r="C6689" s="530" t="s">
        <v>2</v>
      </c>
      <c r="D6689" s="389">
        <v>1</v>
      </c>
      <c r="E6689" s="356">
        <v>2</v>
      </c>
      <c r="F6689" s="1203">
        <f>8.175+G6689+0.15</f>
        <v>8.9350000000000005</v>
      </c>
      <c r="G6689" s="1203">
        <f t="shared" si="240"/>
        <v>0.61</v>
      </c>
      <c r="H6689" s="1203">
        <v>0.82299999999999995</v>
      </c>
      <c r="I6689" s="399">
        <f t="shared" si="239"/>
        <v>8.9700000000000006</v>
      </c>
      <c r="J6689" s="396"/>
      <c r="K6689" s="1236"/>
    </row>
    <row r="6690" spans="1:16" s="526" customFormat="1" hidden="1" outlineLevel="1">
      <c r="A6690" s="1235"/>
      <c r="B6690" s="395" t="s">
        <v>812</v>
      </c>
      <c r="C6690" s="530" t="s">
        <v>2</v>
      </c>
      <c r="D6690" s="389">
        <v>1</v>
      </c>
      <c r="E6690" s="356">
        <v>2</v>
      </c>
      <c r="F6690" s="1203">
        <f>6.65+G6690+0.15</f>
        <v>7.410000000000001</v>
      </c>
      <c r="G6690" s="1203">
        <f t="shared" si="240"/>
        <v>0.61</v>
      </c>
      <c r="H6690" s="1203">
        <v>0.82299999999999995</v>
      </c>
      <c r="I6690" s="399">
        <f t="shared" si="239"/>
        <v>7.44</v>
      </c>
      <c r="J6690" s="396"/>
      <c r="K6690" s="1236"/>
    </row>
    <row r="6691" spans="1:16" s="526" customFormat="1" hidden="1" outlineLevel="1">
      <c r="A6691" s="1235"/>
      <c r="B6691" s="395" t="s">
        <v>813</v>
      </c>
      <c r="C6691" s="530" t="s">
        <v>2</v>
      </c>
      <c r="D6691" s="389">
        <v>1</v>
      </c>
      <c r="E6691" s="356">
        <v>2</v>
      </c>
      <c r="F6691" s="1203">
        <f>4.82+G6691+0.15</f>
        <v>5.580000000000001</v>
      </c>
      <c r="G6691" s="1203">
        <f t="shared" si="240"/>
        <v>0.61</v>
      </c>
      <c r="H6691" s="1203">
        <v>0.82299999999999995</v>
      </c>
      <c r="I6691" s="399">
        <f t="shared" si="239"/>
        <v>5.6</v>
      </c>
      <c r="J6691" s="396"/>
      <c r="K6691" s="1236"/>
    </row>
    <row r="6692" spans="1:16" s="526" customFormat="1" hidden="1" outlineLevel="1">
      <c r="A6692" s="1235"/>
      <c r="B6692" s="395" t="s">
        <v>814</v>
      </c>
      <c r="C6692" s="530" t="s">
        <v>2</v>
      </c>
      <c r="D6692" s="389">
        <v>1</v>
      </c>
      <c r="E6692" s="356">
        <v>1</v>
      </c>
      <c r="F6692" s="1203">
        <f>3.295+G6692+0.15</f>
        <v>4.0549999999999997</v>
      </c>
      <c r="G6692" s="1203">
        <f t="shared" si="240"/>
        <v>0.61</v>
      </c>
      <c r="H6692" s="1203">
        <v>0.82299999999999995</v>
      </c>
      <c r="I6692" s="399">
        <f t="shared" si="239"/>
        <v>2.04</v>
      </c>
      <c r="J6692" s="396"/>
      <c r="K6692" s="1236"/>
    </row>
    <row r="6693" spans="1:16" s="398" customFormat="1" hidden="1" outlineLevel="1">
      <c r="A6693" s="1248"/>
      <c r="B6693" s="161"/>
      <c r="C6693" s="530" t="s">
        <v>2</v>
      </c>
      <c r="D6693" s="389">
        <v>1</v>
      </c>
      <c r="E6693" s="356">
        <v>1</v>
      </c>
      <c r="F6693" s="1203">
        <f>3.33+G6693*2+0.15*2</f>
        <v>4.8499999999999996</v>
      </c>
      <c r="G6693" s="1203">
        <f t="shared" si="240"/>
        <v>0.61</v>
      </c>
      <c r="H6693" s="1203">
        <v>0.82299999999999995</v>
      </c>
      <c r="I6693" s="399">
        <f t="shared" si="239"/>
        <v>2.4300000000000002</v>
      </c>
      <c r="J6693" s="403"/>
      <c r="K6693" s="1234"/>
      <c r="L6693" s="431"/>
      <c r="M6693" s="431"/>
      <c r="N6693" s="431"/>
      <c r="O6693" s="431"/>
      <c r="P6693" s="431"/>
    </row>
    <row r="6694" spans="1:16" s="398" customFormat="1" hidden="1" outlineLevel="1">
      <c r="A6694" s="1248"/>
      <c r="B6694" s="161"/>
      <c r="C6694" s="388"/>
      <c r="D6694" s="548"/>
      <c r="E6694" s="307"/>
      <c r="F6694" s="401"/>
      <c r="G6694" s="401"/>
      <c r="H6694" s="401"/>
      <c r="I6694" s="399" t="str">
        <f t="shared" si="239"/>
        <v/>
      </c>
      <c r="J6694" s="403"/>
      <c r="K6694" s="1234"/>
      <c r="L6694" s="431"/>
      <c r="M6694" s="431"/>
      <c r="N6694" s="431"/>
    </row>
    <row r="6695" spans="1:16" s="398" customFormat="1" hidden="1" outlineLevel="1">
      <c r="A6695" s="1248"/>
      <c r="B6695" s="592" t="s">
        <v>815</v>
      </c>
      <c r="C6695" s="530" t="s">
        <v>2</v>
      </c>
      <c r="D6695" s="389">
        <v>1</v>
      </c>
      <c r="E6695" s="397">
        <v>5</v>
      </c>
      <c r="F6695" s="1202">
        <v>0.6</v>
      </c>
      <c r="G6695" s="1203">
        <f>0.46+0.15</f>
        <v>0.61</v>
      </c>
      <c r="H6695" s="1203">
        <v>0.82299999999999995</v>
      </c>
      <c r="I6695" s="399">
        <f t="shared" si="239"/>
        <v>1.51</v>
      </c>
      <c r="J6695" s="404"/>
      <c r="K6695" s="1234"/>
      <c r="L6695" s="431"/>
      <c r="M6695" s="431"/>
      <c r="N6695" s="431"/>
    </row>
    <row r="6696" spans="1:16" s="398" customFormat="1" hidden="1" outlineLevel="1">
      <c r="A6696" s="1248"/>
      <c r="B6696" s="161"/>
      <c r="C6696" s="388"/>
      <c r="D6696" s="400"/>
      <c r="E6696" s="170"/>
      <c r="F6696" s="401"/>
      <c r="G6696" s="401"/>
      <c r="H6696" s="401"/>
      <c r="I6696" s="399" t="str">
        <f t="shared" si="239"/>
        <v/>
      </c>
      <c r="J6696" s="404"/>
      <c r="K6696" s="1234"/>
      <c r="L6696" s="431"/>
      <c r="M6696" s="431"/>
      <c r="N6696" s="431"/>
    </row>
    <row r="6697" spans="1:16" s="398" customFormat="1" ht="51.75" hidden="1" outlineLevel="1">
      <c r="A6697" s="1248"/>
      <c r="B6697" s="592" t="s">
        <v>1079</v>
      </c>
      <c r="C6697" s="165"/>
      <c r="D6697" s="400"/>
      <c r="E6697" s="170"/>
      <c r="F6697" s="527"/>
      <c r="G6697" s="527"/>
      <c r="H6697" s="527"/>
      <c r="I6697" s="399" t="str">
        <f t="shared" si="239"/>
        <v/>
      </c>
      <c r="J6697" s="404"/>
      <c r="K6697" s="1234"/>
      <c r="L6697" s="431"/>
      <c r="M6697" s="431"/>
      <c r="N6697" s="431"/>
    </row>
    <row r="6698" spans="1:16" s="398" customFormat="1" hidden="1" outlineLevel="1">
      <c r="A6698" s="1248"/>
      <c r="B6698" s="311"/>
      <c r="C6698" s="530" t="s">
        <v>2</v>
      </c>
      <c r="D6698" s="389">
        <v>1</v>
      </c>
      <c r="E6698" s="397">
        <v>2</v>
      </c>
      <c r="F6698" s="401">
        <v>6</v>
      </c>
      <c r="G6698" s="401">
        <f>0.345+0.15*2</f>
        <v>0.64500000000000002</v>
      </c>
      <c r="H6698" s="1203">
        <v>0.82299999999999995</v>
      </c>
      <c r="I6698" s="399">
        <f t="shared" si="239"/>
        <v>6.37</v>
      </c>
      <c r="J6698" s="404"/>
      <c r="K6698" s="1234"/>
      <c r="L6698" s="431"/>
      <c r="M6698" s="431"/>
      <c r="N6698" s="431"/>
    </row>
    <row r="6699" spans="1:16" s="398" customFormat="1" hidden="1" outlineLevel="1">
      <c r="A6699" s="1248"/>
      <c r="B6699" s="311"/>
      <c r="C6699" s="530" t="s">
        <v>2</v>
      </c>
      <c r="D6699" s="400">
        <v>1</v>
      </c>
      <c r="E6699" s="402">
        <v>1</v>
      </c>
      <c r="F6699" s="662">
        <v>2.9249999999999998</v>
      </c>
      <c r="G6699" s="401">
        <f>0.345+0.15*2</f>
        <v>0.64500000000000002</v>
      </c>
      <c r="H6699" s="1203">
        <v>0.82299999999999995</v>
      </c>
      <c r="I6699" s="399">
        <f t="shared" si="239"/>
        <v>1.55</v>
      </c>
      <c r="J6699" s="404"/>
      <c r="K6699" s="1234"/>
      <c r="L6699" s="431"/>
      <c r="M6699" s="431"/>
      <c r="N6699" s="431"/>
    </row>
    <row r="6700" spans="1:16" s="398" customFormat="1" hidden="1" outlineLevel="1">
      <c r="A6700" s="1248"/>
      <c r="B6700" s="311"/>
      <c r="C6700" s="530" t="s">
        <v>2</v>
      </c>
      <c r="D6700" s="400">
        <v>1</v>
      </c>
      <c r="E6700" s="402">
        <v>1</v>
      </c>
      <c r="F6700" s="401">
        <v>1.08</v>
      </c>
      <c r="G6700" s="401">
        <f>0.345+0.15*2</f>
        <v>0.64500000000000002</v>
      </c>
      <c r="H6700" s="1203">
        <v>0.82299999999999995</v>
      </c>
      <c r="I6700" s="399">
        <f t="shared" si="239"/>
        <v>0.56999999999999995</v>
      </c>
      <c r="J6700" s="404"/>
      <c r="K6700" s="1234"/>
      <c r="L6700" s="431"/>
      <c r="M6700" s="431"/>
      <c r="N6700" s="431"/>
    </row>
    <row r="6701" spans="1:16" s="398" customFormat="1" hidden="1" outlineLevel="1">
      <c r="A6701" s="1248"/>
      <c r="B6701" s="311"/>
      <c r="C6701" s="530" t="s">
        <v>2</v>
      </c>
      <c r="D6701" s="400">
        <v>1</v>
      </c>
      <c r="E6701" s="402">
        <v>1</v>
      </c>
      <c r="F6701" s="401">
        <v>2</v>
      </c>
      <c r="G6701" s="401">
        <f>0.345+0.15*2</f>
        <v>0.64500000000000002</v>
      </c>
      <c r="H6701" s="1203">
        <v>0.82299999999999995</v>
      </c>
      <c r="I6701" s="399">
        <f t="shared" si="239"/>
        <v>1.06</v>
      </c>
      <c r="J6701" s="404"/>
      <c r="K6701" s="1234"/>
      <c r="L6701" s="431"/>
      <c r="M6701" s="431"/>
      <c r="N6701" s="431"/>
    </row>
    <row r="6702" spans="1:16" s="398" customFormat="1" hidden="1" outlineLevel="1">
      <c r="A6702" s="1248"/>
      <c r="B6702" s="311" t="s">
        <v>1080</v>
      </c>
      <c r="C6702" s="530" t="s">
        <v>2</v>
      </c>
      <c r="D6702" s="400">
        <v>1</v>
      </c>
      <c r="E6702" s="170">
        <v>1</v>
      </c>
      <c r="F6702" s="401">
        <v>3</v>
      </c>
      <c r="G6702" s="401">
        <f>0.9+0.15*2</f>
        <v>1.2</v>
      </c>
      <c r="H6702" s="1203">
        <v>0.82299999999999995</v>
      </c>
      <c r="I6702" s="399">
        <f t="shared" si="239"/>
        <v>2.96</v>
      </c>
      <c r="J6702" s="404"/>
      <c r="K6702" s="1234"/>
      <c r="L6702" s="431"/>
      <c r="M6702" s="431"/>
      <c r="N6702" s="431"/>
    </row>
    <row r="6703" spans="1:16" s="398" customFormat="1" ht="34.5" hidden="1" outlineLevel="1">
      <c r="A6703" s="1248"/>
      <c r="B6703" s="311" t="s">
        <v>1081</v>
      </c>
      <c r="C6703" s="530" t="s">
        <v>2</v>
      </c>
      <c r="D6703" s="400">
        <v>1</v>
      </c>
      <c r="E6703" s="170">
        <v>1</v>
      </c>
      <c r="F6703" s="401">
        <v>0.6</v>
      </c>
      <c r="G6703" s="401">
        <f>0.345+0.15*2</f>
        <v>0.64500000000000002</v>
      </c>
      <c r="H6703" s="1203">
        <v>0.82299999999999995</v>
      </c>
      <c r="I6703" s="399">
        <f t="shared" si="239"/>
        <v>0.32</v>
      </c>
      <c r="J6703" s="404"/>
      <c r="K6703" s="1234"/>
      <c r="L6703" s="431"/>
      <c r="M6703" s="431"/>
      <c r="N6703" s="431"/>
    </row>
    <row r="6704" spans="1:16" s="398" customFormat="1" hidden="1" outlineLevel="1">
      <c r="A6704" s="1248"/>
      <c r="B6704" s="311"/>
      <c r="C6704" s="530"/>
      <c r="D6704" s="400"/>
      <c r="E6704" s="170"/>
      <c r="F6704" s="401"/>
      <c r="G6704" s="401"/>
      <c r="H6704" s="401"/>
      <c r="I6704" s="399" t="str">
        <f t="shared" si="239"/>
        <v/>
      </c>
      <c r="J6704" s="404"/>
      <c r="K6704" s="1234"/>
      <c r="L6704" s="431"/>
      <c r="M6704" s="431"/>
      <c r="N6704" s="431"/>
    </row>
    <row r="6705" spans="1:14" s="398" customFormat="1" ht="34.5" hidden="1" outlineLevel="1">
      <c r="A6705" s="1248"/>
      <c r="B6705" s="592" t="s">
        <v>1082</v>
      </c>
      <c r="C6705" s="165"/>
      <c r="D6705" s="400"/>
      <c r="E6705" s="170"/>
      <c r="F6705" s="401"/>
      <c r="G6705" s="401"/>
      <c r="H6705" s="401"/>
      <c r="I6705" s="399" t="str">
        <f t="shared" si="239"/>
        <v/>
      </c>
      <c r="J6705" s="404"/>
      <c r="K6705" s="1234"/>
      <c r="L6705" s="431"/>
      <c r="M6705" s="431"/>
      <c r="N6705" s="431"/>
    </row>
    <row r="6706" spans="1:14" s="398" customFormat="1" hidden="1" outlineLevel="1">
      <c r="A6706" s="1248"/>
      <c r="B6706" s="311"/>
      <c r="C6706" s="530" t="s">
        <v>2</v>
      </c>
      <c r="D6706" s="389">
        <v>1</v>
      </c>
      <c r="E6706" s="397">
        <v>2</v>
      </c>
      <c r="F6706" s="401">
        <v>6</v>
      </c>
      <c r="G6706" s="401">
        <f>0.345+0.15*2</f>
        <v>0.64500000000000002</v>
      </c>
      <c r="H6706" s="1203">
        <v>0.82299999999999995</v>
      </c>
      <c r="I6706" s="399">
        <f t="shared" si="239"/>
        <v>6.37</v>
      </c>
      <c r="J6706" s="404"/>
      <c r="K6706" s="1234"/>
      <c r="L6706" s="431"/>
      <c r="M6706" s="431"/>
      <c r="N6706" s="431"/>
    </row>
    <row r="6707" spans="1:14" s="398" customFormat="1" hidden="1" outlineLevel="1">
      <c r="A6707" s="1248"/>
      <c r="B6707" s="311"/>
      <c r="C6707" s="530" t="s">
        <v>2</v>
      </c>
      <c r="D6707" s="400">
        <v>1</v>
      </c>
      <c r="E6707" s="402">
        <v>1</v>
      </c>
      <c r="F6707" s="662">
        <v>2.9249999999999998</v>
      </c>
      <c r="G6707" s="401">
        <f>0.345+0.15*2</f>
        <v>0.64500000000000002</v>
      </c>
      <c r="H6707" s="1203">
        <v>0.82299999999999995</v>
      </c>
      <c r="I6707" s="399">
        <f t="shared" si="239"/>
        <v>1.55</v>
      </c>
      <c r="J6707" s="404"/>
      <c r="K6707" s="1234"/>
      <c r="L6707" s="431"/>
      <c r="M6707" s="431"/>
      <c r="N6707" s="431"/>
    </row>
    <row r="6708" spans="1:14" s="398" customFormat="1" hidden="1" outlineLevel="1">
      <c r="A6708" s="1248"/>
      <c r="B6708" s="311"/>
      <c r="C6708" s="530" t="s">
        <v>2</v>
      </c>
      <c r="D6708" s="400">
        <v>1</v>
      </c>
      <c r="E6708" s="402">
        <v>1</v>
      </c>
      <c r="F6708" s="401">
        <v>1.08</v>
      </c>
      <c r="G6708" s="401">
        <f>0.345+0.15*2</f>
        <v>0.64500000000000002</v>
      </c>
      <c r="H6708" s="1203">
        <v>0.82299999999999995</v>
      </c>
      <c r="I6708" s="399">
        <f t="shared" si="239"/>
        <v>0.56999999999999995</v>
      </c>
      <c r="J6708" s="404"/>
      <c r="K6708" s="1234"/>
      <c r="L6708" s="431"/>
      <c r="M6708" s="431"/>
      <c r="N6708" s="431"/>
    </row>
    <row r="6709" spans="1:14" s="398" customFormat="1" hidden="1" outlineLevel="1">
      <c r="A6709" s="1248"/>
      <c r="B6709" s="311"/>
      <c r="C6709" s="530" t="s">
        <v>2</v>
      </c>
      <c r="D6709" s="400">
        <v>1</v>
      </c>
      <c r="E6709" s="402">
        <v>1</v>
      </c>
      <c r="F6709" s="401">
        <v>2</v>
      </c>
      <c r="G6709" s="401">
        <f>0.345+0.15*2</f>
        <v>0.64500000000000002</v>
      </c>
      <c r="H6709" s="1203">
        <v>0.82299999999999995</v>
      </c>
      <c r="I6709" s="399">
        <f t="shared" si="239"/>
        <v>1.06</v>
      </c>
      <c r="J6709" s="404"/>
      <c r="K6709" s="1234"/>
      <c r="L6709" s="431"/>
      <c r="M6709" s="431"/>
      <c r="N6709" s="431"/>
    </row>
    <row r="6710" spans="1:14" s="398" customFormat="1" hidden="1" outlineLevel="1">
      <c r="A6710" s="1248"/>
      <c r="B6710" s="311" t="s">
        <v>1080</v>
      </c>
      <c r="C6710" s="530" t="s">
        <v>2</v>
      </c>
      <c r="D6710" s="400">
        <v>1</v>
      </c>
      <c r="E6710" s="170">
        <v>1</v>
      </c>
      <c r="F6710" s="401">
        <v>3</v>
      </c>
      <c r="G6710" s="401">
        <f>0.9+0.15*2</f>
        <v>1.2</v>
      </c>
      <c r="H6710" s="1203">
        <v>0.82299999999999995</v>
      </c>
      <c r="I6710" s="399">
        <f t="shared" si="239"/>
        <v>2.96</v>
      </c>
      <c r="J6710" s="404"/>
      <c r="K6710" s="1234"/>
      <c r="L6710" s="431"/>
      <c r="M6710" s="431"/>
      <c r="N6710" s="431"/>
    </row>
    <row r="6711" spans="1:14" s="398" customFormat="1" ht="34.5" hidden="1" outlineLevel="1">
      <c r="A6711" s="1248"/>
      <c r="B6711" s="311" t="s">
        <v>1083</v>
      </c>
      <c r="C6711" s="530" t="s">
        <v>2</v>
      </c>
      <c r="D6711" s="400">
        <v>1</v>
      </c>
      <c r="E6711" s="170">
        <v>1</v>
      </c>
      <c r="F6711" s="401">
        <v>0.6</v>
      </c>
      <c r="G6711" s="401">
        <f>0.345+0.15*2</f>
        <v>0.64500000000000002</v>
      </c>
      <c r="H6711" s="1203">
        <v>0.82299999999999995</v>
      </c>
      <c r="I6711" s="399">
        <f t="shared" si="239"/>
        <v>0.32</v>
      </c>
      <c r="J6711" s="404"/>
      <c r="K6711" s="1234"/>
      <c r="L6711" s="431"/>
      <c r="M6711" s="431"/>
      <c r="N6711" s="431"/>
    </row>
    <row r="6712" spans="1:14" s="398" customFormat="1" hidden="1" outlineLevel="1">
      <c r="A6712" s="1248"/>
      <c r="B6712" s="311"/>
      <c r="C6712" s="530"/>
      <c r="D6712" s="400"/>
      <c r="E6712" s="170"/>
      <c r="F6712" s="401"/>
      <c r="G6712" s="401"/>
      <c r="H6712" s="401"/>
      <c r="I6712" s="399" t="str">
        <f t="shared" si="239"/>
        <v/>
      </c>
      <c r="J6712" s="404"/>
      <c r="K6712" s="1234"/>
      <c r="L6712" s="431"/>
      <c r="M6712" s="431"/>
      <c r="N6712" s="431"/>
    </row>
    <row r="6713" spans="1:14" s="398" customFormat="1" ht="34.5" hidden="1" outlineLevel="1">
      <c r="A6713" s="1248"/>
      <c r="B6713" s="592" t="s">
        <v>1084</v>
      </c>
      <c r="C6713" s="165"/>
      <c r="D6713" s="400"/>
      <c r="E6713" s="170"/>
      <c r="F6713" s="401"/>
      <c r="G6713" s="401"/>
      <c r="H6713" s="401"/>
      <c r="I6713" s="399" t="str">
        <f t="shared" si="239"/>
        <v/>
      </c>
      <c r="J6713" s="404"/>
      <c r="K6713" s="1234"/>
      <c r="L6713" s="431"/>
      <c r="M6713" s="431"/>
      <c r="N6713" s="431"/>
    </row>
    <row r="6714" spans="1:14" s="398" customFormat="1" hidden="1" outlineLevel="1">
      <c r="A6714" s="1248"/>
      <c r="B6714" s="311"/>
      <c r="C6714" s="530" t="s">
        <v>2</v>
      </c>
      <c r="D6714" s="389">
        <v>1</v>
      </c>
      <c r="E6714" s="397">
        <v>2</v>
      </c>
      <c r="F6714" s="401">
        <v>6</v>
      </c>
      <c r="G6714" s="401">
        <f>0.345+0.15*2</f>
        <v>0.64500000000000002</v>
      </c>
      <c r="H6714" s="1203">
        <v>0.82299999999999995</v>
      </c>
      <c r="I6714" s="399">
        <f t="shared" si="239"/>
        <v>6.37</v>
      </c>
      <c r="J6714" s="404"/>
      <c r="K6714" s="1234"/>
      <c r="L6714" s="431"/>
      <c r="M6714" s="431"/>
      <c r="N6714" s="431"/>
    </row>
    <row r="6715" spans="1:14" s="398" customFormat="1" hidden="1" outlineLevel="1">
      <c r="A6715" s="1248"/>
      <c r="B6715" s="311"/>
      <c r="C6715" s="530" t="s">
        <v>2</v>
      </c>
      <c r="D6715" s="400">
        <v>1</v>
      </c>
      <c r="E6715" s="402">
        <v>1</v>
      </c>
      <c r="F6715" s="662">
        <v>2.9249999999999998</v>
      </c>
      <c r="G6715" s="401">
        <f>0.345+0.15*2</f>
        <v>0.64500000000000002</v>
      </c>
      <c r="H6715" s="1203">
        <v>0.82299999999999995</v>
      </c>
      <c r="I6715" s="399">
        <f t="shared" si="239"/>
        <v>1.55</v>
      </c>
      <c r="J6715" s="404"/>
      <c r="K6715" s="1234"/>
      <c r="L6715" s="431"/>
      <c r="M6715" s="431"/>
      <c r="N6715" s="431"/>
    </row>
    <row r="6716" spans="1:14" s="398" customFormat="1" hidden="1" outlineLevel="1">
      <c r="A6716" s="1248"/>
      <c r="B6716" s="311"/>
      <c r="C6716" s="530" t="s">
        <v>2</v>
      </c>
      <c r="D6716" s="400">
        <v>1</v>
      </c>
      <c r="E6716" s="402">
        <v>1</v>
      </c>
      <c r="F6716" s="401">
        <v>1.08</v>
      </c>
      <c r="G6716" s="401">
        <f>0.345+0.15*2</f>
        <v>0.64500000000000002</v>
      </c>
      <c r="H6716" s="1203">
        <v>0.82299999999999995</v>
      </c>
      <c r="I6716" s="399">
        <f t="shared" si="239"/>
        <v>0.56999999999999995</v>
      </c>
      <c r="J6716" s="404"/>
      <c r="K6716" s="1234"/>
      <c r="L6716" s="431"/>
      <c r="M6716" s="431"/>
      <c r="N6716" s="431"/>
    </row>
    <row r="6717" spans="1:14" s="398" customFormat="1" hidden="1" outlineLevel="1">
      <c r="A6717" s="1248"/>
      <c r="B6717" s="311"/>
      <c r="C6717" s="530" t="s">
        <v>2</v>
      </c>
      <c r="D6717" s="400">
        <v>1</v>
      </c>
      <c r="E6717" s="402">
        <v>1</v>
      </c>
      <c r="F6717" s="401">
        <v>2</v>
      </c>
      <c r="G6717" s="401">
        <f>0.345+0.15*2</f>
        <v>0.64500000000000002</v>
      </c>
      <c r="H6717" s="1203">
        <v>0.82299999999999995</v>
      </c>
      <c r="I6717" s="399">
        <f t="shared" si="239"/>
        <v>1.06</v>
      </c>
      <c r="J6717" s="404"/>
      <c r="K6717" s="1234"/>
      <c r="L6717" s="431"/>
      <c r="M6717" s="431"/>
      <c r="N6717" s="431"/>
    </row>
    <row r="6718" spans="1:14" s="398" customFormat="1" hidden="1" outlineLevel="1">
      <c r="A6718" s="1248"/>
      <c r="B6718" s="311" t="s">
        <v>1080</v>
      </c>
      <c r="C6718" s="530" t="s">
        <v>2</v>
      </c>
      <c r="D6718" s="400">
        <v>1</v>
      </c>
      <c r="E6718" s="170">
        <v>1</v>
      </c>
      <c r="F6718" s="401">
        <v>3</v>
      </c>
      <c r="G6718" s="401">
        <f>0.9+0.15*2</f>
        <v>1.2</v>
      </c>
      <c r="H6718" s="1203">
        <v>0.82299999999999995</v>
      </c>
      <c r="I6718" s="399">
        <f t="shared" si="239"/>
        <v>2.96</v>
      </c>
      <c r="J6718" s="404"/>
      <c r="K6718" s="1234"/>
      <c r="L6718" s="431"/>
      <c r="M6718" s="431"/>
      <c r="N6718" s="431"/>
    </row>
    <row r="6719" spans="1:14" s="398" customFormat="1" ht="34.5" hidden="1" outlineLevel="1">
      <c r="A6719" s="1248"/>
      <c r="B6719" s="311" t="s">
        <v>1083</v>
      </c>
      <c r="C6719" s="530" t="s">
        <v>2</v>
      </c>
      <c r="D6719" s="400">
        <v>1</v>
      </c>
      <c r="E6719" s="170">
        <v>1</v>
      </c>
      <c r="F6719" s="401">
        <v>0.6</v>
      </c>
      <c r="G6719" s="401">
        <f>0.345+0.15*2</f>
        <v>0.64500000000000002</v>
      </c>
      <c r="H6719" s="1203">
        <v>0.82299999999999995</v>
      </c>
      <c r="I6719" s="399">
        <f t="shared" si="239"/>
        <v>0.32</v>
      </c>
      <c r="J6719" s="404"/>
      <c r="K6719" s="1234"/>
      <c r="L6719" s="431"/>
      <c r="M6719" s="431"/>
      <c r="N6719" s="431"/>
    </row>
    <row r="6720" spans="1:14" s="398" customFormat="1" hidden="1" outlineLevel="1">
      <c r="A6720" s="1248"/>
      <c r="B6720" s="311"/>
      <c r="C6720" s="530"/>
      <c r="D6720" s="400"/>
      <c r="E6720" s="170"/>
      <c r="F6720" s="401"/>
      <c r="G6720" s="401"/>
      <c r="H6720" s="401"/>
      <c r="I6720" s="399" t="str">
        <f t="shared" si="239"/>
        <v/>
      </c>
      <c r="J6720" s="404"/>
      <c r="K6720" s="1234"/>
      <c r="L6720" s="431"/>
      <c r="M6720" s="431"/>
      <c r="N6720" s="431"/>
    </row>
    <row r="6721" spans="1:14" s="398" customFormat="1" ht="34.5" hidden="1" outlineLevel="1">
      <c r="A6721" s="1248"/>
      <c r="B6721" s="592" t="s">
        <v>1085</v>
      </c>
      <c r="C6721" s="165"/>
      <c r="D6721" s="400"/>
      <c r="E6721" s="170"/>
      <c r="F6721" s="401"/>
      <c r="G6721" s="401"/>
      <c r="H6721" s="401"/>
      <c r="I6721" s="399" t="str">
        <f t="shared" si="239"/>
        <v/>
      </c>
      <c r="J6721" s="404"/>
      <c r="K6721" s="1234"/>
      <c r="L6721" s="431"/>
      <c r="M6721" s="431"/>
      <c r="N6721" s="431"/>
    </row>
    <row r="6722" spans="1:14" s="398" customFormat="1" hidden="1" outlineLevel="1">
      <c r="A6722" s="1248"/>
      <c r="B6722" s="311"/>
      <c r="C6722" s="530" t="s">
        <v>2</v>
      </c>
      <c r="D6722" s="389">
        <v>1</v>
      </c>
      <c r="E6722" s="397">
        <v>2</v>
      </c>
      <c r="F6722" s="401">
        <v>6</v>
      </c>
      <c r="G6722" s="401">
        <f>0.345+0.15*2</f>
        <v>0.64500000000000002</v>
      </c>
      <c r="H6722" s="1203">
        <v>0.82299999999999995</v>
      </c>
      <c r="I6722" s="399">
        <f t="shared" si="239"/>
        <v>6.37</v>
      </c>
      <c r="J6722" s="404"/>
      <c r="K6722" s="1234"/>
      <c r="L6722" s="431"/>
      <c r="M6722" s="431"/>
      <c r="N6722" s="431"/>
    </row>
    <row r="6723" spans="1:14" s="398" customFormat="1" hidden="1" outlineLevel="1">
      <c r="A6723" s="1248"/>
      <c r="B6723" s="311"/>
      <c r="C6723" s="530" t="s">
        <v>2</v>
      </c>
      <c r="D6723" s="400">
        <v>1</v>
      </c>
      <c r="E6723" s="402">
        <v>1</v>
      </c>
      <c r="F6723" s="662">
        <v>2.9249999999999998</v>
      </c>
      <c r="G6723" s="401">
        <f>0.345+0.15*2</f>
        <v>0.64500000000000002</v>
      </c>
      <c r="H6723" s="1203">
        <v>0.82299999999999995</v>
      </c>
      <c r="I6723" s="399">
        <f t="shared" si="239"/>
        <v>1.55</v>
      </c>
      <c r="J6723" s="404"/>
      <c r="K6723" s="1234"/>
      <c r="L6723" s="431"/>
      <c r="M6723" s="431"/>
      <c r="N6723" s="431"/>
    </row>
    <row r="6724" spans="1:14" s="398" customFormat="1" hidden="1" outlineLevel="1">
      <c r="A6724" s="1248"/>
      <c r="B6724" s="311"/>
      <c r="C6724" s="530" t="s">
        <v>2</v>
      </c>
      <c r="D6724" s="400">
        <v>1</v>
      </c>
      <c r="E6724" s="402">
        <v>1</v>
      </c>
      <c r="F6724" s="401">
        <v>1.08</v>
      </c>
      <c r="G6724" s="401">
        <f>0.345+0.15*2</f>
        <v>0.64500000000000002</v>
      </c>
      <c r="H6724" s="1203">
        <v>0.82299999999999995</v>
      </c>
      <c r="I6724" s="399">
        <f t="shared" si="239"/>
        <v>0.56999999999999995</v>
      </c>
      <c r="J6724" s="404"/>
      <c r="K6724" s="1234"/>
      <c r="L6724" s="431"/>
      <c r="M6724" s="431"/>
      <c r="N6724" s="431"/>
    </row>
    <row r="6725" spans="1:14" s="398" customFormat="1" hidden="1" outlineLevel="1">
      <c r="A6725" s="1248"/>
      <c r="B6725" s="311"/>
      <c r="C6725" s="530" t="s">
        <v>2</v>
      </c>
      <c r="D6725" s="400">
        <v>1</v>
      </c>
      <c r="E6725" s="402">
        <v>1</v>
      </c>
      <c r="F6725" s="401">
        <v>2</v>
      </c>
      <c r="G6725" s="401">
        <f>0.345+0.15*2</f>
        <v>0.64500000000000002</v>
      </c>
      <c r="H6725" s="1203">
        <v>0.82299999999999995</v>
      </c>
      <c r="I6725" s="399">
        <f t="shared" si="239"/>
        <v>1.06</v>
      </c>
      <c r="J6725" s="404"/>
      <c r="K6725" s="1234"/>
      <c r="L6725" s="431"/>
      <c r="M6725" s="431"/>
      <c r="N6725" s="431"/>
    </row>
    <row r="6726" spans="1:14" s="398" customFormat="1" hidden="1" outlineLevel="1">
      <c r="A6726" s="1248"/>
      <c r="B6726" s="311" t="s">
        <v>1080</v>
      </c>
      <c r="C6726" s="530" t="s">
        <v>2</v>
      </c>
      <c r="D6726" s="400">
        <v>1</v>
      </c>
      <c r="E6726" s="170">
        <v>1</v>
      </c>
      <c r="F6726" s="401">
        <v>3</v>
      </c>
      <c r="G6726" s="401">
        <f>0.9+0.15*2</f>
        <v>1.2</v>
      </c>
      <c r="H6726" s="1203">
        <v>0.82299999999999995</v>
      </c>
      <c r="I6726" s="399">
        <f t="shared" si="239"/>
        <v>2.96</v>
      </c>
      <c r="J6726" s="404"/>
      <c r="K6726" s="1234"/>
      <c r="L6726" s="431"/>
      <c r="M6726" s="431"/>
      <c r="N6726" s="431"/>
    </row>
    <row r="6727" spans="1:14" s="398" customFormat="1" ht="34.5" hidden="1" outlineLevel="1">
      <c r="A6727" s="1248"/>
      <c r="B6727" s="311" t="s">
        <v>1083</v>
      </c>
      <c r="C6727" s="530" t="s">
        <v>2</v>
      </c>
      <c r="D6727" s="400">
        <v>1</v>
      </c>
      <c r="E6727" s="170">
        <v>1</v>
      </c>
      <c r="F6727" s="401">
        <v>0.6</v>
      </c>
      <c r="G6727" s="401">
        <f>0.345+0.15*2</f>
        <v>0.64500000000000002</v>
      </c>
      <c r="H6727" s="1203">
        <v>0.82299999999999995</v>
      </c>
      <c r="I6727" s="399">
        <f t="shared" si="239"/>
        <v>0.32</v>
      </c>
      <c r="J6727" s="404"/>
      <c r="K6727" s="1234"/>
      <c r="L6727" s="431"/>
      <c r="M6727" s="431"/>
      <c r="N6727" s="431"/>
    </row>
    <row r="6728" spans="1:14" s="398" customFormat="1" hidden="1" outlineLevel="1">
      <c r="A6728" s="1248"/>
      <c r="B6728" s="311"/>
      <c r="C6728" s="530"/>
      <c r="D6728" s="400"/>
      <c r="E6728" s="170"/>
      <c r="F6728" s="401"/>
      <c r="G6728" s="401"/>
      <c r="H6728" s="401"/>
      <c r="I6728" s="399" t="str">
        <f t="shared" si="239"/>
        <v/>
      </c>
      <c r="J6728" s="404"/>
      <c r="K6728" s="1234"/>
      <c r="L6728" s="431"/>
      <c r="M6728" s="431"/>
      <c r="N6728" s="431"/>
    </row>
    <row r="6729" spans="1:14" s="398" customFormat="1" ht="34.5" hidden="1" outlineLevel="1">
      <c r="A6729" s="1248"/>
      <c r="B6729" s="593" t="s">
        <v>831</v>
      </c>
      <c r="C6729" s="530"/>
      <c r="D6729" s="400"/>
      <c r="E6729" s="170"/>
      <c r="F6729" s="401"/>
      <c r="G6729" s="401"/>
      <c r="H6729" s="401"/>
      <c r="I6729" s="399" t="str">
        <f t="shared" si="239"/>
        <v/>
      </c>
      <c r="J6729" s="404"/>
      <c r="K6729" s="1234"/>
      <c r="L6729" s="431"/>
      <c r="M6729" s="431"/>
      <c r="N6729" s="431"/>
    </row>
    <row r="6730" spans="1:14" s="322" customFormat="1" hidden="1" outlineLevel="1">
      <c r="A6730" s="1235"/>
      <c r="B6730" s="356"/>
      <c r="C6730" s="530" t="s">
        <v>2</v>
      </c>
      <c r="D6730" s="389">
        <v>1</v>
      </c>
      <c r="E6730" s="386">
        <v>1</v>
      </c>
      <c r="F6730" s="1353">
        <v>7.625</v>
      </c>
      <c r="G6730" s="1353">
        <f>0.46+0.15+0.15</f>
        <v>0.76</v>
      </c>
      <c r="H6730" s="1203">
        <v>0.82299999999999995</v>
      </c>
      <c r="I6730" s="399">
        <f t="shared" si="239"/>
        <v>4.7699999999999996</v>
      </c>
      <c r="J6730" s="396"/>
      <c r="K6730" s="1236"/>
    </row>
    <row r="6731" spans="1:14" s="322" customFormat="1" hidden="1" outlineLevel="1">
      <c r="A6731" s="1235"/>
      <c r="B6731" s="356"/>
      <c r="C6731" s="530" t="s">
        <v>2</v>
      </c>
      <c r="D6731" s="389">
        <v>1</v>
      </c>
      <c r="E6731" s="386">
        <v>1</v>
      </c>
      <c r="F6731" s="1353">
        <v>1.1000000000000001</v>
      </c>
      <c r="G6731" s="1353">
        <f>0.46+0.15+0.15</f>
        <v>0.76</v>
      </c>
      <c r="H6731" s="1203">
        <v>0.82299999999999995</v>
      </c>
      <c r="I6731" s="399">
        <f t="shared" si="239"/>
        <v>0.69</v>
      </c>
      <c r="J6731" s="396"/>
      <c r="K6731" s="1236"/>
    </row>
    <row r="6732" spans="1:14" s="398" customFormat="1" ht="51.75" hidden="1" outlineLevel="1">
      <c r="A6732" s="1248"/>
      <c r="B6732" s="593" t="s">
        <v>1086</v>
      </c>
      <c r="C6732" s="530"/>
      <c r="D6732" s="400"/>
      <c r="E6732" s="170"/>
      <c r="F6732" s="401"/>
      <c r="G6732" s="401"/>
      <c r="H6732" s="401"/>
      <c r="I6732" s="399" t="str">
        <f t="shared" si="239"/>
        <v/>
      </c>
      <c r="J6732" s="404"/>
      <c r="K6732" s="1234"/>
      <c r="L6732" s="431"/>
      <c r="M6732" s="431"/>
      <c r="N6732" s="431"/>
    </row>
    <row r="6733" spans="1:14" s="322" customFormat="1" hidden="1" outlineLevel="1">
      <c r="A6733" s="1235"/>
      <c r="B6733" s="356"/>
      <c r="C6733" s="530"/>
      <c r="D6733" s="389"/>
      <c r="E6733" s="386"/>
      <c r="F6733" s="1353"/>
      <c r="G6733" s="1353"/>
      <c r="H6733" s="1353"/>
      <c r="I6733" s="399" t="str">
        <f t="shared" si="239"/>
        <v/>
      </c>
      <c r="J6733" s="396"/>
      <c r="K6733" s="1236"/>
    </row>
    <row r="6734" spans="1:14" s="322" customFormat="1" hidden="1" outlineLevel="1">
      <c r="A6734" s="1235"/>
      <c r="B6734" s="356"/>
      <c r="C6734" s="530" t="s">
        <v>2</v>
      </c>
      <c r="D6734" s="389">
        <v>1</v>
      </c>
      <c r="E6734" s="386">
        <v>1</v>
      </c>
      <c r="F6734" s="1353">
        <v>7.625</v>
      </c>
      <c r="G6734" s="1353">
        <f>0.46+0.15+0.15</f>
        <v>0.76</v>
      </c>
      <c r="H6734" s="1203">
        <v>0.82299999999999995</v>
      </c>
      <c r="I6734" s="399">
        <f t="shared" si="239"/>
        <v>4.7699999999999996</v>
      </c>
      <c r="J6734" s="396"/>
      <c r="K6734" s="1236"/>
    </row>
    <row r="6735" spans="1:14" s="322" customFormat="1" hidden="1" outlineLevel="1">
      <c r="A6735" s="1235"/>
      <c r="B6735" s="356"/>
      <c r="C6735" s="530" t="s">
        <v>2</v>
      </c>
      <c r="D6735" s="389">
        <v>1</v>
      </c>
      <c r="E6735" s="386">
        <v>1</v>
      </c>
      <c r="F6735" s="1353">
        <v>7.125</v>
      </c>
      <c r="G6735" s="1353">
        <f>0.46+0.15+0.15</f>
        <v>0.76</v>
      </c>
      <c r="H6735" s="1203">
        <v>0.82299999999999995</v>
      </c>
      <c r="I6735" s="399">
        <f t="shared" si="239"/>
        <v>4.46</v>
      </c>
      <c r="J6735" s="396"/>
      <c r="K6735" s="1236"/>
    </row>
    <row r="6736" spans="1:14" s="322" customFormat="1" hidden="1" outlineLevel="1">
      <c r="A6736" s="1235"/>
      <c r="B6736" s="356"/>
      <c r="C6736" s="530"/>
      <c r="D6736" s="389"/>
      <c r="E6736" s="386"/>
      <c r="F6736" s="1353"/>
      <c r="G6736" s="1353"/>
      <c r="H6736" s="1353"/>
      <c r="I6736" s="399" t="str">
        <f t="shared" si="239"/>
        <v/>
      </c>
      <c r="J6736" s="396"/>
      <c r="K6736" s="1236"/>
    </row>
    <row r="6737" spans="1:14" s="398" customFormat="1" ht="34.5" hidden="1" outlineLevel="1">
      <c r="A6737" s="1248"/>
      <c r="B6737" s="592" t="s">
        <v>1087</v>
      </c>
      <c r="C6737" s="530"/>
      <c r="D6737" s="400"/>
      <c r="E6737" s="170"/>
      <c r="F6737" s="401"/>
      <c r="G6737" s="401"/>
      <c r="H6737" s="401"/>
      <c r="I6737" s="399" t="str">
        <f t="shared" si="239"/>
        <v/>
      </c>
      <c r="J6737" s="404"/>
      <c r="K6737" s="1234"/>
      <c r="L6737" s="431"/>
      <c r="M6737" s="431"/>
      <c r="N6737" s="431"/>
    </row>
    <row r="6738" spans="1:14" s="398" customFormat="1" ht="51.75" hidden="1" outlineLevel="1">
      <c r="A6738" s="1248"/>
      <c r="B6738" s="311" t="s">
        <v>834</v>
      </c>
      <c r="C6738" s="530"/>
      <c r="D6738" s="400"/>
      <c r="E6738" s="170"/>
      <c r="F6738" s="401"/>
      <c r="G6738" s="401"/>
      <c r="H6738" s="401"/>
      <c r="I6738" s="399" t="str">
        <f t="shared" si="239"/>
        <v/>
      </c>
      <c r="J6738" s="404"/>
      <c r="K6738" s="1234"/>
      <c r="L6738" s="431"/>
      <c r="M6738" s="431"/>
      <c r="N6738" s="431"/>
    </row>
    <row r="6739" spans="1:14" s="398" customFormat="1" hidden="1" outlineLevel="1">
      <c r="A6739" s="1248"/>
      <c r="B6739" s="311" t="s">
        <v>835</v>
      </c>
      <c r="C6739" s="530" t="s">
        <v>2</v>
      </c>
      <c r="D6739" s="389">
        <v>1</v>
      </c>
      <c r="E6739" s="386">
        <v>7</v>
      </c>
      <c r="F6739" s="1354">
        <v>3.5259999999999998</v>
      </c>
      <c r="G6739" s="1353">
        <f>0.46+0.15+0.15</f>
        <v>0.76</v>
      </c>
      <c r="H6739" s="1203">
        <v>0.82299999999999995</v>
      </c>
      <c r="I6739" s="399">
        <f t="shared" si="239"/>
        <v>15.44</v>
      </c>
      <c r="J6739" s="404"/>
      <c r="K6739" s="1234"/>
      <c r="L6739" s="431"/>
      <c r="M6739" s="431"/>
      <c r="N6739" s="431"/>
    </row>
    <row r="6740" spans="1:14" s="398" customFormat="1" hidden="1" outlineLevel="1">
      <c r="A6740" s="1248"/>
      <c r="B6740" s="311"/>
      <c r="C6740" s="530"/>
      <c r="D6740" s="400"/>
      <c r="E6740" s="170"/>
      <c r="F6740" s="401"/>
      <c r="G6740" s="401"/>
      <c r="H6740" s="401"/>
      <c r="I6740" s="399" t="str">
        <f t="shared" si="239"/>
        <v/>
      </c>
      <c r="J6740" s="404"/>
      <c r="K6740" s="1234"/>
      <c r="L6740" s="431"/>
      <c r="M6740" s="431"/>
      <c r="N6740" s="431"/>
    </row>
    <row r="6741" spans="1:14" s="398" customFormat="1" ht="34.5" hidden="1" outlineLevel="1">
      <c r="A6741" s="1248"/>
      <c r="B6741" s="311" t="s">
        <v>1088</v>
      </c>
      <c r="C6741" s="530"/>
      <c r="D6741" s="400"/>
      <c r="E6741" s="170"/>
      <c r="F6741" s="401"/>
      <c r="G6741" s="401"/>
      <c r="H6741" s="401"/>
      <c r="I6741" s="399" t="str">
        <f t="shared" si="239"/>
        <v/>
      </c>
      <c r="J6741" s="404"/>
      <c r="K6741" s="1234"/>
      <c r="L6741" s="431"/>
      <c r="M6741" s="431"/>
      <c r="N6741" s="431"/>
    </row>
    <row r="6742" spans="1:14" s="398" customFormat="1" hidden="1" outlineLevel="1">
      <c r="A6742" s="1248"/>
      <c r="B6742" s="311" t="s">
        <v>835</v>
      </c>
      <c r="C6742" s="530" t="s">
        <v>2</v>
      </c>
      <c r="D6742" s="389">
        <v>1</v>
      </c>
      <c r="E6742" s="386">
        <v>8</v>
      </c>
      <c r="F6742" s="1354">
        <v>3.5259999999999998</v>
      </c>
      <c r="G6742" s="1353">
        <f>0.46+0.15+0.15</f>
        <v>0.76</v>
      </c>
      <c r="H6742" s="1203">
        <v>0.82299999999999995</v>
      </c>
      <c r="I6742" s="399">
        <f t="shared" si="239"/>
        <v>17.64</v>
      </c>
      <c r="J6742" s="404"/>
      <c r="K6742" s="1234"/>
      <c r="L6742" s="431"/>
      <c r="M6742" s="431"/>
      <c r="N6742" s="431"/>
    </row>
    <row r="6743" spans="1:14" s="398" customFormat="1" hidden="1" outlineLevel="1">
      <c r="A6743" s="1248"/>
      <c r="B6743" s="311"/>
      <c r="C6743" s="530"/>
      <c r="D6743" s="400"/>
      <c r="E6743" s="170"/>
      <c r="F6743" s="401"/>
      <c r="G6743" s="401"/>
      <c r="H6743" s="401"/>
      <c r="I6743" s="399" t="str">
        <f t="shared" si="239"/>
        <v/>
      </c>
      <c r="J6743" s="404"/>
      <c r="K6743" s="1234"/>
      <c r="L6743" s="431"/>
      <c r="M6743" s="431"/>
      <c r="N6743" s="431"/>
    </row>
    <row r="6744" spans="1:14" s="398" customFormat="1" ht="51.75" hidden="1" outlineLevel="1">
      <c r="A6744" s="1248"/>
      <c r="B6744" s="311" t="s">
        <v>1089</v>
      </c>
      <c r="C6744" s="530"/>
      <c r="D6744" s="400"/>
      <c r="E6744" s="170"/>
      <c r="F6744" s="401"/>
      <c r="G6744" s="401"/>
      <c r="H6744" s="401"/>
      <c r="I6744" s="399" t="str">
        <f t="shared" si="239"/>
        <v/>
      </c>
      <c r="J6744" s="404"/>
      <c r="K6744" s="1234"/>
      <c r="L6744" s="431"/>
      <c r="M6744" s="431"/>
      <c r="N6744" s="431"/>
    </row>
    <row r="6745" spans="1:14" s="398" customFormat="1" hidden="1" outlineLevel="1">
      <c r="A6745" s="1248"/>
      <c r="B6745" s="311" t="s">
        <v>835</v>
      </c>
      <c r="C6745" s="530" t="s">
        <v>2</v>
      </c>
      <c r="D6745" s="389">
        <v>1</v>
      </c>
      <c r="E6745" s="386">
        <v>6</v>
      </c>
      <c r="F6745" s="1354">
        <v>3.5259999999999998</v>
      </c>
      <c r="G6745" s="1353">
        <f>0.46+0.15+0.15</f>
        <v>0.76</v>
      </c>
      <c r="H6745" s="1203">
        <v>0.82299999999999995</v>
      </c>
      <c r="I6745" s="399">
        <f t="shared" si="239"/>
        <v>13.23</v>
      </c>
      <c r="J6745" s="404"/>
      <c r="K6745" s="1234"/>
      <c r="L6745" s="431"/>
      <c r="M6745" s="431"/>
      <c r="N6745" s="431"/>
    </row>
    <row r="6746" spans="1:14" s="398" customFormat="1" hidden="1" outlineLevel="1">
      <c r="A6746" s="1248"/>
      <c r="B6746" s="311"/>
      <c r="C6746" s="530"/>
      <c r="D6746" s="400"/>
      <c r="E6746" s="170"/>
      <c r="F6746" s="401"/>
      <c r="G6746" s="401"/>
      <c r="H6746" s="401"/>
      <c r="I6746" s="399" t="str">
        <f t="shared" si="239"/>
        <v/>
      </c>
      <c r="J6746" s="404"/>
      <c r="K6746" s="1234"/>
      <c r="L6746" s="431"/>
      <c r="M6746" s="431"/>
      <c r="N6746" s="431"/>
    </row>
    <row r="6747" spans="1:14" s="398" customFormat="1" ht="34.5" hidden="1" outlineLevel="1">
      <c r="A6747" s="1248"/>
      <c r="B6747" s="311" t="s">
        <v>1090</v>
      </c>
      <c r="C6747" s="530"/>
      <c r="D6747" s="389"/>
      <c r="E6747" s="386"/>
      <c r="F6747" s="1353"/>
      <c r="G6747" s="1353"/>
      <c r="H6747" s="1353"/>
      <c r="I6747" s="399" t="str">
        <f t="shared" si="239"/>
        <v/>
      </c>
      <c r="J6747" s="404"/>
      <c r="K6747" s="1234"/>
      <c r="L6747" s="431"/>
      <c r="M6747" s="431"/>
      <c r="N6747" s="431"/>
    </row>
    <row r="6748" spans="1:14" s="398" customFormat="1" hidden="1" outlineLevel="1">
      <c r="A6748" s="1248"/>
      <c r="B6748" s="311" t="s">
        <v>839</v>
      </c>
      <c r="C6748" s="165" t="s">
        <v>2</v>
      </c>
      <c r="D6748" s="392">
        <v>1</v>
      </c>
      <c r="E6748" s="165">
        <v>1</v>
      </c>
      <c r="F6748" s="1353">
        <v>24.945</v>
      </c>
      <c r="G6748" s="401">
        <f t="shared" ref="G6748:G6776" si="241">0.46+0.15+0.15</f>
        <v>0.76</v>
      </c>
      <c r="H6748" s="1203">
        <v>0.82299999999999995</v>
      </c>
      <c r="I6748" s="399">
        <f t="shared" si="239"/>
        <v>15.6</v>
      </c>
      <c r="J6748" s="404"/>
      <c r="K6748" s="1234"/>
      <c r="L6748" s="431"/>
      <c r="M6748" s="431"/>
      <c r="N6748" s="431"/>
    </row>
    <row r="6749" spans="1:14" s="398" customFormat="1" hidden="1" outlineLevel="1">
      <c r="A6749" s="1248"/>
      <c r="B6749" s="311"/>
      <c r="C6749" s="165" t="s">
        <v>2</v>
      </c>
      <c r="D6749" s="392">
        <v>1</v>
      </c>
      <c r="E6749" s="165">
        <v>1</v>
      </c>
      <c r="F6749" s="1354">
        <v>13.605</v>
      </c>
      <c r="G6749" s="401">
        <f t="shared" si="241"/>
        <v>0.76</v>
      </c>
      <c r="H6749" s="1203">
        <v>0.82299999999999995</v>
      </c>
      <c r="I6749" s="399">
        <f t="shared" ref="I6749:I6812" si="242">IF(D6749&lt;&gt;0,ROUND(PRODUCT(E6749:H6749)*D6749,2),"")</f>
        <v>8.51</v>
      </c>
      <c r="J6749" s="404"/>
      <c r="K6749" s="1234"/>
      <c r="L6749" s="431"/>
      <c r="M6749" s="431"/>
      <c r="N6749" s="431"/>
    </row>
    <row r="6750" spans="1:14" s="398" customFormat="1" hidden="1" outlineLevel="1">
      <c r="A6750" s="1248"/>
      <c r="B6750" s="311"/>
      <c r="C6750" s="165" t="s">
        <v>2</v>
      </c>
      <c r="D6750" s="392">
        <v>1</v>
      </c>
      <c r="E6750" s="165">
        <v>1</v>
      </c>
      <c r="F6750" s="1353">
        <v>4.343</v>
      </c>
      <c r="G6750" s="401">
        <f t="shared" si="241"/>
        <v>0.76</v>
      </c>
      <c r="H6750" s="1203">
        <v>0.82299999999999995</v>
      </c>
      <c r="I6750" s="399">
        <f t="shared" si="242"/>
        <v>2.72</v>
      </c>
      <c r="J6750" s="404"/>
      <c r="K6750" s="1234"/>
      <c r="L6750" s="431"/>
      <c r="M6750" s="431"/>
      <c r="N6750" s="431"/>
    </row>
    <row r="6751" spans="1:14" s="398" customFormat="1" hidden="1" outlineLevel="1">
      <c r="A6751" s="1248"/>
      <c r="B6751" s="311"/>
      <c r="C6751" s="165" t="s">
        <v>2</v>
      </c>
      <c r="D6751" s="392">
        <v>1</v>
      </c>
      <c r="E6751" s="165">
        <v>1</v>
      </c>
      <c r="F6751" s="1353">
        <v>4.7480000000000002</v>
      </c>
      <c r="G6751" s="401">
        <f t="shared" si="241"/>
        <v>0.76</v>
      </c>
      <c r="H6751" s="1203">
        <v>0.82299999999999995</v>
      </c>
      <c r="I6751" s="399">
        <f t="shared" si="242"/>
        <v>2.97</v>
      </c>
      <c r="J6751" s="404"/>
      <c r="K6751" s="1234"/>
      <c r="L6751" s="431"/>
      <c r="M6751" s="431"/>
      <c r="N6751" s="431"/>
    </row>
    <row r="6752" spans="1:14" s="398" customFormat="1" hidden="1" outlineLevel="1">
      <c r="A6752" s="1248"/>
      <c r="B6752" s="311"/>
      <c r="C6752" s="165" t="s">
        <v>2</v>
      </c>
      <c r="D6752" s="392">
        <v>1</v>
      </c>
      <c r="E6752" s="165">
        <v>1</v>
      </c>
      <c r="F6752" s="1353">
        <f>(0.374)</f>
        <v>0.374</v>
      </c>
      <c r="G6752" s="401">
        <f t="shared" si="241"/>
        <v>0.76</v>
      </c>
      <c r="H6752" s="1203">
        <v>0.82299999999999995</v>
      </c>
      <c r="I6752" s="399">
        <f t="shared" si="242"/>
        <v>0.23</v>
      </c>
      <c r="J6752" s="404"/>
      <c r="K6752" s="1234"/>
      <c r="L6752" s="431"/>
      <c r="M6752" s="431"/>
      <c r="N6752" s="431"/>
    </row>
    <row r="6753" spans="1:14" s="398" customFormat="1" ht="34.5" hidden="1" outlineLevel="1">
      <c r="A6753" s="1248"/>
      <c r="B6753" s="311" t="s">
        <v>1091</v>
      </c>
      <c r="C6753" s="165" t="s">
        <v>2</v>
      </c>
      <c r="D6753" s="392">
        <v>1</v>
      </c>
      <c r="E6753" s="165">
        <v>1</v>
      </c>
      <c r="F6753" s="1353">
        <v>1.359</v>
      </c>
      <c r="G6753" s="401">
        <f t="shared" si="241"/>
        <v>0.76</v>
      </c>
      <c r="H6753" s="1203">
        <v>0.82299999999999995</v>
      </c>
      <c r="I6753" s="399">
        <f t="shared" si="242"/>
        <v>0.85</v>
      </c>
      <c r="J6753" s="404"/>
      <c r="K6753" s="1234"/>
      <c r="L6753" s="431"/>
      <c r="M6753" s="431"/>
      <c r="N6753" s="431"/>
    </row>
    <row r="6754" spans="1:14" s="398" customFormat="1" hidden="1" outlineLevel="1">
      <c r="A6754" s="1248"/>
      <c r="B6754" s="311"/>
      <c r="C6754" s="165" t="s">
        <v>2</v>
      </c>
      <c r="D6754" s="392">
        <v>1</v>
      </c>
      <c r="E6754" s="165">
        <v>1</v>
      </c>
      <c r="F6754" s="1353">
        <v>26.228999999999999</v>
      </c>
      <c r="G6754" s="401">
        <f t="shared" si="241"/>
        <v>0.76</v>
      </c>
      <c r="H6754" s="1203">
        <v>0.82299999999999995</v>
      </c>
      <c r="I6754" s="399">
        <f t="shared" si="242"/>
        <v>16.41</v>
      </c>
      <c r="J6754" s="404"/>
      <c r="K6754" s="1234"/>
      <c r="L6754" s="431"/>
      <c r="M6754" s="431"/>
      <c r="N6754" s="431"/>
    </row>
    <row r="6755" spans="1:14" s="398" customFormat="1" hidden="1" outlineLevel="1">
      <c r="A6755" s="1248"/>
      <c r="B6755" s="311" t="s">
        <v>841</v>
      </c>
      <c r="C6755" s="165" t="s">
        <v>2</v>
      </c>
      <c r="D6755" s="392">
        <v>1</v>
      </c>
      <c r="E6755" s="165">
        <v>1</v>
      </c>
      <c r="F6755" s="1353">
        <v>10.507999999999999</v>
      </c>
      <c r="G6755" s="401">
        <f t="shared" si="241"/>
        <v>0.76</v>
      </c>
      <c r="H6755" s="1203">
        <v>0.82299999999999995</v>
      </c>
      <c r="I6755" s="399">
        <f t="shared" si="242"/>
        <v>6.57</v>
      </c>
      <c r="J6755" s="404"/>
      <c r="K6755" s="1234"/>
      <c r="L6755" s="431"/>
      <c r="M6755" s="431"/>
      <c r="N6755" s="431"/>
    </row>
    <row r="6756" spans="1:14" s="398" customFormat="1" hidden="1" outlineLevel="1">
      <c r="A6756" s="1248"/>
      <c r="B6756" s="311"/>
      <c r="C6756" s="165" t="s">
        <v>2</v>
      </c>
      <c r="D6756" s="392">
        <v>1</v>
      </c>
      <c r="E6756" s="165">
        <v>1</v>
      </c>
      <c r="F6756" s="1353">
        <v>1.639</v>
      </c>
      <c r="G6756" s="401">
        <f t="shared" si="241"/>
        <v>0.76</v>
      </c>
      <c r="H6756" s="1203">
        <v>0.82299999999999995</v>
      </c>
      <c r="I6756" s="399">
        <f t="shared" si="242"/>
        <v>1.03</v>
      </c>
      <c r="J6756" s="404"/>
      <c r="K6756" s="1234"/>
      <c r="L6756" s="431"/>
      <c r="M6756" s="431"/>
      <c r="N6756" s="431"/>
    </row>
    <row r="6757" spans="1:14" s="398" customFormat="1" hidden="1" outlineLevel="1">
      <c r="A6757" s="1248"/>
      <c r="B6757" s="311"/>
      <c r="C6757" s="165" t="s">
        <v>2</v>
      </c>
      <c r="D6757" s="392">
        <v>1</v>
      </c>
      <c r="E6757" s="165">
        <v>1</v>
      </c>
      <c r="F6757" s="1354">
        <v>2.0590000000000002</v>
      </c>
      <c r="G6757" s="401">
        <f t="shared" si="241"/>
        <v>0.76</v>
      </c>
      <c r="H6757" s="1203">
        <v>0.82299999999999995</v>
      </c>
      <c r="I6757" s="399">
        <f t="shared" si="242"/>
        <v>1.29</v>
      </c>
      <c r="J6757" s="404"/>
      <c r="K6757" s="1234"/>
      <c r="L6757" s="431"/>
      <c r="M6757" s="431"/>
      <c r="N6757" s="431"/>
    </row>
    <row r="6758" spans="1:14" s="398" customFormat="1" hidden="1" outlineLevel="1">
      <c r="A6758" s="1248"/>
      <c r="B6758" s="311"/>
      <c r="C6758" s="165" t="s">
        <v>2</v>
      </c>
      <c r="D6758" s="392">
        <v>1</v>
      </c>
      <c r="E6758" s="165">
        <v>1</v>
      </c>
      <c r="F6758" s="1354">
        <v>2.9380000000000002</v>
      </c>
      <c r="G6758" s="401">
        <f t="shared" si="241"/>
        <v>0.76</v>
      </c>
      <c r="H6758" s="1203">
        <v>0.82299999999999995</v>
      </c>
      <c r="I6758" s="399">
        <f t="shared" si="242"/>
        <v>1.84</v>
      </c>
      <c r="J6758" s="404"/>
      <c r="K6758" s="1234"/>
      <c r="L6758" s="431"/>
      <c r="M6758" s="431"/>
      <c r="N6758" s="431"/>
    </row>
    <row r="6759" spans="1:14" s="398" customFormat="1" hidden="1" outlineLevel="1">
      <c r="A6759" s="1248"/>
      <c r="B6759" s="311"/>
      <c r="C6759" s="165" t="s">
        <v>2</v>
      </c>
      <c r="D6759" s="392">
        <v>1</v>
      </c>
      <c r="E6759" s="165">
        <v>1</v>
      </c>
      <c r="F6759" s="1354">
        <v>7.7949999999999999</v>
      </c>
      <c r="G6759" s="401">
        <f t="shared" si="241"/>
        <v>0.76</v>
      </c>
      <c r="H6759" s="1203">
        <v>0.82299999999999995</v>
      </c>
      <c r="I6759" s="399">
        <f t="shared" si="242"/>
        <v>4.88</v>
      </c>
      <c r="J6759" s="404"/>
      <c r="K6759" s="1234"/>
      <c r="L6759" s="431"/>
      <c r="M6759" s="431"/>
      <c r="N6759" s="431"/>
    </row>
    <row r="6760" spans="1:14" s="398" customFormat="1" hidden="1" outlineLevel="1">
      <c r="A6760" s="1248"/>
      <c r="B6760" s="311"/>
      <c r="C6760" s="165" t="s">
        <v>2</v>
      </c>
      <c r="D6760" s="392">
        <v>1</v>
      </c>
      <c r="E6760" s="165">
        <v>1</v>
      </c>
      <c r="F6760" s="1354">
        <v>2.0630000000000002</v>
      </c>
      <c r="G6760" s="401">
        <f t="shared" si="241"/>
        <v>0.76</v>
      </c>
      <c r="H6760" s="1203">
        <v>0.82299999999999995</v>
      </c>
      <c r="I6760" s="399">
        <f t="shared" si="242"/>
        <v>1.29</v>
      </c>
      <c r="J6760" s="404"/>
      <c r="K6760" s="1234"/>
      <c r="L6760" s="431"/>
      <c r="M6760" s="431"/>
      <c r="N6760" s="431"/>
    </row>
    <row r="6761" spans="1:14" s="398" customFormat="1" hidden="1" outlineLevel="1">
      <c r="A6761" s="1248"/>
      <c r="B6761" s="311"/>
      <c r="C6761" s="165" t="s">
        <v>2</v>
      </c>
      <c r="D6761" s="392">
        <v>1</v>
      </c>
      <c r="E6761" s="165">
        <v>1</v>
      </c>
      <c r="F6761" s="1354">
        <v>1.079</v>
      </c>
      <c r="G6761" s="401">
        <f t="shared" si="241"/>
        <v>0.76</v>
      </c>
      <c r="H6761" s="1203">
        <v>0.82299999999999995</v>
      </c>
      <c r="I6761" s="399">
        <f t="shared" si="242"/>
        <v>0.67</v>
      </c>
      <c r="J6761" s="404"/>
      <c r="K6761" s="1234"/>
      <c r="L6761" s="431"/>
      <c r="M6761" s="431"/>
      <c r="N6761" s="431"/>
    </row>
    <row r="6762" spans="1:14" s="398" customFormat="1" hidden="1" outlineLevel="1">
      <c r="A6762" s="1248"/>
      <c r="B6762" s="311"/>
      <c r="C6762" s="165" t="s">
        <v>2</v>
      </c>
      <c r="D6762" s="392">
        <v>1</v>
      </c>
      <c r="E6762" s="165">
        <v>1</v>
      </c>
      <c r="F6762" s="1354">
        <v>3.2730000000000001</v>
      </c>
      <c r="G6762" s="401">
        <f t="shared" si="241"/>
        <v>0.76</v>
      </c>
      <c r="H6762" s="1203">
        <v>0.82299999999999995</v>
      </c>
      <c r="I6762" s="399">
        <f t="shared" si="242"/>
        <v>2.0499999999999998</v>
      </c>
      <c r="J6762" s="404"/>
      <c r="K6762" s="1234"/>
      <c r="L6762" s="431"/>
      <c r="M6762" s="431"/>
      <c r="N6762" s="431"/>
    </row>
    <row r="6763" spans="1:14" s="398" customFormat="1" hidden="1" outlineLevel="1">
      <c r="A6763" s="1248"/>
      <c r="B6763" s="311"/>
      <c r="C6763" s="165" t="s">
        <v>2</v>
      </c>
      <c r="D6763" s="392">
        <v>1</v>
      </c>
      <c r="E6763" s="165">
        <v>1</v>
      </c>
      <c r="F6763" s="1354">
        <v>5.0839999999999996</v>
      </c>
      <c r="G6763" s="401">
        <f t="shared" si="241"/>
        <v>0.76</v>
      </c>
      <c r="H6763" s="1203">
        <v>0.82299999999999995</v>
      </c>
      <c r="I6763" s="399">
        <f t="shared" si="242"/>
        <v>3.18</v>
      </c>
      <c r="J6763" s="404"/>
      <c r="K6763" s="1234"/>
      <c r="L6763" s="431"/>
      <c r="M6763" s="431"/>
      <c r="N6763" s="431"/>
    </row>
    <row r="6764" spans="1:14" s="398" customFormat="1" ht="51.75" hidden="1" outlineLevel="1">
      <c r="A6764" s="1248"/>
      <c r="B6764" s="592" t="s">
        <v>842</v>
      </c>
      <c r="C6764" s="345" t="s">
        <v>2</v>
      </c>
      <c r="D6764" s="665">
        <f t="shared" ref="D6764:D6767" si="243">1*0</f>
        <v>0</v>
      </c>
      <c r="E6764" s="345">
        <v>1</v>
      </c>
      <c r="F6764" s="1355">
        <v>1.3979999999999999</v>
      </c>
      <c r="G6764" s="1356">
        <f t="shared" si="241"/>
        <v>0.76</v>
      </c>
      <c r="H6764" s="1390">
        <v>0.82299999999999995</v>
      </c>
      <c r="I6764" s="399" t="str">
        <f t="shared" si="242"/>
        <v/>
      </c>
      <c r="J6764" s="404"/>
      <c r="K6764" s="1234"/>
      <c r="L6764" s="431"/>
      <c r="M6764" s="431"/>
      <c r="N6764" s="431"/>
    </row>
    <row r="6765" spans="1:14" s="398" customFormat="1" hidden="1" outlineLevel="1">
      <c r="A6765" s="1248"/>
      <c r="B6765" s="311"/>
      <c r="C6765" s="345" t="s">
        <v>2</v>
      </c>
      <c r="D6765" s="665">
        <f t="shared" si="243"/>
        <v>0</v>
      </c>
      <c r="E6765" s="345">
        <v>1</v>
      </c>
      <c r="F6765" s="1355">
        <v>6.1820000000000004</v>
      </c>
      <c r="G6765" s="1356">
        <f t="shared" si="241"/>
        <v>0.76</v>
      </c>
      <c r="H6765" s="1390">
        <v>0.82299999999999995</v>
      </c>
      <c r="I6765" s="399" t="str">
        <f t="shared" si="242"/>
        <v/>
      </c>
      <c r="J6765" s="404"/>
      <c r="K6765" s="1234"/>
      <c r="L6765" s="431"/>
      <c r="M6765" s="431"/>
      <c r="N6765" s="431"/>
    </row>
    <row r="6766" spans="1:14" s="398" customFormat="1" hidden="1" outlineLevel="1">
      <c r="A6766" s="1248"/>
      <c r="B6766" s="311"/>
      <c r="C6766" s="345" t="s">
        <v>2</v>
      </c>
      <c r="D6766" s="665">
        <f t="shared" si="243"/>
        <v>0</v>
      </c>
      <c r="E6766" s="345">
        <v>1</v>
      </c>
      <c r="F6766" s="1355">
        <v>0.23</v>
      </c>
      <c r="G6766" s="1356">
        <f t="shared" si="241"/>
        <v>0.76</v>
      </c>
      <c r="H6766" s="1390">
        <v>0.82299999999999995</v>
      </c>
      <c r="I6766" s="399" t="str">
        <f t="shared" si="242"/>
        <v/>
      </c>
      <c r="J6766" s="404"/>
      <c r="K6766" s="1234"/>
      <c r="L6766" s="431"/>
      <c r="M6766" s="431"/>
      <c r="N6766" s="431"/>
    </row>
    <row r="6767" spans="1:14" s="398" customFormat="1" hidden="1" outlineLevel="1">
      <c r="A6767" s="1248"/>
      <c r="B6767" s="311"/>
      <c r="C6767" s="345" t="s">
        <v>2</v>
      </c>
      <c r="D6767" s="665">
        <f t="shared" si="243"/>
        <v>0</v>
      </c>
      <c r="E6767" s="345">
        <v>1</v>
      </c>
      <c r="F6767" s="1355">
        <v>8.6950000000000003</v>
      </c>
      <c r="G6767" s="1356">
        <f t="shared" si="241"/>
        <v>0.76</v>
      </c>
      <c r="H6767" s="1390">
        <v>0.82299999999999995</v>
      </c>
      <c r="I6767" s="399" t="str">
        <f t="shared" si="242"/>
        <v/>
      </c>
      <c r="J6767" s="404"/>
      <c r="K6767" s="1234"/>
      <c r="L6767" s="431"/>
      <c r="M6767" s="431"/>
      <c r="N6767" s="431"/>
    </row>
    <row r="6768" spans="1:14" s="398" customFormat="1" hidden="1" outlineLevel="1">
      <c r="A6768" s="1248"/>
      <c r="B6768" s="311"/>
      <c r="C6768" s="165" t="s">
        <v>167</v>
      </c>
      <c r="D6768" s="438">
        <v>1</v>
      </c>
      <c r="E6768" s="333">
        <v>1</v>
      </c>
      <c r="F6768" s="1354">
        <v>16.408999999999999</v>
      </c>
      <c r="G6768" s="662">
        <v>0.76</v>
      </c>
      <c r="H6768" s="1202">
        <v>0.82299999999999995</v>
      </c>
      <c r="I6768" s="399">
        <f t="shared" si="242"/>
        <v>10.26</v>
      </c>
      <c r="J6768" s="404"/>
      <c r="K6768" s="1234"/>
      <c r="L6768" s="431"/>
      <c r="M6768" s="431"/>
      <c r="N6768" s="431"/>
    </row>
    <row r="6769" spans="1:14" s="398" customFormat="1" ht="34.5" hidden="1" outlineLevel="1">
      <c r="A6769" s="1248"/>
      <c r="B6769" s="592" t="s">
        <v>1092</v>
      </c>
      <c r="C6769" s="345" t="s">
        <v>2</v>
      </c>
      <c r="D6769" s="665">
        <f t="shared" ref="D6769:D6776" si="244">1*0</f>
        <v>0</v>
      </c>
      <c r="E6769" s="345">
        <v>1</v>
      </c>
      <c r="F6769" s="1355">
        <v>0.89800000000000002</v>
      </c>
      <c r="G6769" s="1356">
        <f t="shared" si="241"/>
        <v>0.76</v>
      </c>
      <c r="H6769" s="1390">
        <v>0.82299999999999995</v>
      </c>
      <c r="I6769" s="399" t="str">
        <f t="shared" si="242"/>
        <v/>
      </c>
      <c r="J6769" s="404"/>
      <c r="K6769" s="1234"/>
      <c r="L6769" s="431"/>
      <c r="M6769" s="431"/>
      <c r="N6769" s="431"/>
    </row>
    <row r="6770" spans="1:14" s="398" customFormat="1" hidden="1" outlineLevel="1">
      <c r="A6770" s="1248"/>
      <c r="B6770" s="311"/>
      <c r="C6770" s="345" t="s">
        <v>2</v>
      </c>
      <c r="D6770" s="665">
        <f t="shared" si="244"/>
        <v>0</v>
      </c>
      <c r="E6770" s="345">
        <v>1</v>
      </c>
      <c r="F6770" s="1355">
        <v>1.4970000000000001</v>
      </c>
      <c r="G6770" s="1356">
        <f t="shared" si="241"/>
        <v>0.76</v>
      </c>
      <c r="H6770" s="1390">
        <v>0.82299999999999995</v>
      </c>
      <c r="I6770" s="399" t="str">
        <f t="shared" si="242"/>
        <v/>
      </c>
      <c r="J6770" s="404"/>
      <c r="K6770" s="1234"/>
      <c r="L6770" s="431"/>
      <c r="M6770" s="431"/>
      <c r="N6770" s="431"/>
    </row>
    <row r="6771" spans="1:14" s="398" customFormat="1" hidden="1" outlineLevel="1">
      <c r="A6771" s="1248"/>
      <c r="B6771" s="311"/>
      <c r="C6771" s="345" t="s">
        <v>2</v>
      </c>
      <c r="D6771" s="665">
        <f t="shared" si="244"/>
        <v>0</v>
      </c>
      <c r="E6771" s="345">
        <v>1</v>
      </c>
      <c r="F6771" s="1355">
        <v>1.6020000000000001</v>
      </c>
      <c r="G6771" s="1356">
        <f t="shared" si="241"/>
        <v>0.76</v>
      </c>
      <c r="H6771" s="1390">
        <v>0.82299999999999995</v>
      </c>
      <c r="I6771" s="399" t="str">
        <f t="shared" si="242"/>
        <v/>
      </c>
      <c r="J6771" s="404"/>
      <c r="K6771" s="1234"/>
      <c r="L6771" s="431"/>
      <c r="M6771" s="431"/>
      <c r="N6771" s="431"/>
    </row>
    <row r="6772" spans="1:14" s="398" customFormat="1" hidden="1" outlineLevel="1">
      <c r="A6772" s="1248"/>
      <c r="B6772" s="311"/>
      <c r="C6772" s="345" t="s">
        <v>2</v>
      </c>
      <c r="D6772" s="665">
        <f t="shared" si="244"/>
        <v>0</v>
      </c>
      <c r="E6772" s="345">
        <v>1</v>
      </c>
      <c r="F6772" s="1355">
        <v>1.012</v>
      </c>
      <c r="G6772" s="1356">
        <f t="shared" si="241"/>
        <v>0.76</v>
      </c>
      <c r="H6772" s="1390">
        <v>0.82299999999999995</v>
      </c>
      <c r="I6772" s="399" t="str">
        <f t="shared" si="242"/>
        <v/>
      </c>
      <c r="J6772" s="404"/>
      <c r="K6772" s="1234"/>
      <c r="L6772" s="431"/>
      <c r="M6772" s="431"/>
      <c r="N6772" s="431"/>
    </row>
    <row r="6773" spans="1:14" s="398" customFormat="1" hidden="1" outlineLevel="1">
      <c r="A6773" s="1248"/>
      <c r="B6773" s="311"/>
      <c r="C6773" s="345" t="s">
        <v>2</v>
      </c>
      <c r="D6773" s="665">
        <f t="shared" si="244"/>
        <v>0</v>
      </c>
      <c r="E6773" s="345">
        <v>1</v>
      </c>
      <c r="F6773" s="1355">
        <v>4.1719999999999997</v>
      </c>
      <c r="G6773" s="1356">
        <f t="shared" si="241"/>
        <v>0.76</v>
      </c>
      <c r="H6773" s="1390">
        <v>0.82299999999999995</v>
      </c>
      <c r="I6773" s="399" t="str">
        <f t="shared" si="242"/>
        <v/>
      </c>
      <c r="J6773" s="404"/>
      <c r="K6773" s="1234"/>
      <c r="L6773" s="431"/>
      <c r="M6773" s="431"/>
      <c r="N6773" s="431"/>
    </row>
    <row r="6774" spans="1:14" s="398" customFormat="1" hidden="1" outlineLevel="1">
      <c r="A6774" s="1248"/>
      <c r="B6774" s="311"/>
      <c r="C6774" s="345" t="s">
        <v>2</v>
      </c>
      <c r="D6774" s="665">
        <f t="shared" si="244"/>
        <v>0</v>
      </c>
      <c r="E6774" s="345">
        <v>1</v>
      </c>
      <c r="F6774" s="1355">
        <v>10.42</v>
      </c>
      <c r="G6774" s="1356">
        <f t="shared" si="241"/>
        <v>0.76</v>
      </c>
      <c r="H6774" s="1390">
        <v>0.82299999999999995</v>
      </c>
      <c r="I6774" s="399" t="str">
        <f t="shared" si="242"/>
        <v/>
      </c>
      <c r="J6774" s="404"/>
      <c r="K6774" s="1234"/>
      <c r="L6774" s="431"/>
      <c r="M6774" s="431"/>
      <c r="N6774" s="431"/>
    </row>
    <row r="6775" spans="1:14" s="398" customFormat="1" hidden="1" outlineLevel="1">
      <c r="A6775" s="1248"/>
      <c r="B6775" s="311"/>
      <c r="C6775" s="345" t="s">
        <v>2</v>
      </c>
      <c r="D6775" s="665">
        <f t="shared" si="244"/>
        <v>0</v>
      </c>
      <c r="E6775" s="345">
        <v>1</v>
      </c>
      <c r="F6775" s="1355">
        <v>0.217</v>
      </c>
      <c r="G6775" s="1356">
        <f t="shared" si="241"/>
        <v>0.76</v>
      </c>
      <c r="H6775" s="1390">
        <v>0.82299999999999995</v>
      </c>
      <c r="I6775" s="399" t="str">
        <f t="shared" si="242"/>
        <v/>
      </c>
      <c r="J6775" s="404"/>
      <c r="K6775" s="1234"/>
      <c r="L6775" s="431"/>
      <c r="M6775" s="431"/>
      <c r="N6775" s="431"/>
    </row>
    <row r="6776" spans="1:14" s="398" customFormat="1" hidden="1" outlineLevel="1">
      <c r="A6776" s="1248"/>
      <c r="B6776" s="311"/>
      <c r="C6776" s="345" t="s">
        <v>2</v>
      </c>
      <c r="D6776" s="665">
        <f t="shared" si="244"/>
        <v>0</v>
      </c>
      <c r="E6776" s="345">
        <v>1</v>
      </c>
      <c r="F6776" s="1355">
        <v>4.0110000000000001</v>
      </c>
      <c r="G6776" s="1356">
        <f t="shared" si="241"/>
        <v>0.76</v>
      </c>
      <c r="H6776" s="1390">
        <v>0.82299999999999995</v>
      </c>
      <c r="I6776" s="399" t="str">
        <f t="shared" si="242"/>
        <v/>
      </c>
      <c r="J6776" s="404"/>
      <c r="K6776" s="1234"/>
      <c r="L6776" s="431"/>
      <c r="M6776" s="431"/>
      <c r="N6776" s="431"/>
    </row>
    <row r="6777" spans="1:14" s="398" customFormat="1" hidden="1" outlineLevel="1">
      <c r="A6777" s="1248"/>
      <c r="B6777" s="311"/>
      <c r="C6777" s="530" t="s">
        <v>167</v>
      </c>
      <c r="D6777" s="848">
        <v>1</v>
      </c>
      <c r="E6777" s="637">
        <v>1</v>
      </c>
      <c r="F6777" s="1354">
        <v>23.472000000000001</v>
      </c>
      <c r="G6777" s="1354">
        <v>0.76</v>
      </c>
      <c r="H6777" s="1354">
        <v>0.82299999999999995</v>
      </c>
      <c r="I6777" s="399">
        <f t="shared" si="242"/>
        <v>14.68</v>
      </c>
      <c r="J6777" s="404"/>
      <c r="K6777" s="1234"/>
      <c r="L6777" s="431"/>
      <c r="M6777" s="431"/>
      <c r="N6777" s="431"/>
    </row>
    <row r="6778" spans="1:14" s="398" customFormat="1" ht="51.75" hidden="1" outlineLevel="1">
      <c r="A6778" s="1248"/>
      <c r="B6778" s="592" t="s">
        <v>844</v>
      </c>
      <c r="C6778" s="165" t="s">
        <v>2</v>
      </c>
      <c r="D6778" s="392">
        <v>1</v>
      </c>
      <c r="E6778" s="165">
        <v>1</v>
      </c>
      <c r="F6778" s="1353">
        <v>15.694000000000001</v>
      </c>
      <c r="G6778" s="401">
        <f t="shared" ref="G6778:G6791" si="245">0.46+0.15+0.15</f>
        <v>0.76</v>
      </c>
      <c r="H6778" s="1203">
        <v>0.82299999999999995</v>
      </c>
      <c r="I6778" s="399">
        <f t="shared" si="242"/>
        <v>9.82</v>
      </c>
      <c r="J6778" s="404"/>
      <c r="K6778" s="1234"/>
      <c r="L6778" s="431"/>
      <c r="M6778" s="431"/>
      <c r="N6778" s="431"/>
    </row>
    <row r="6779" spans="1:14" s="398" customFormat="1" hidden="1" outlineLevel="1">
      <c r="A6779" s="1248"/>
      <c r="B6779" s="311"/>
      <c r="C6779" s="165" t="s">
        <v>2</v>
      </c>
      <c r="D6779" s="392">
        <v>1</v>
      </c>
      <c r="E6779" s="165">
        <v>1</v>
      </c>
      <c r="F6779" s="1353">
        <v>0.22500000000000001</v>
      </c>
      <c r="G6779" s="401">
        <f t="shared" si="245"/>
        <v>0.76</v>
      </c>
      <c r="H6779" s="1203">
        <v>0.82299999999999995</v>
      </c>
      <c r="I6779" s="399">
        <f t="shared" si="242"/>
        <v>0.14000000000000001</v>
      </c>
      <c r="J6779" s="404"/>
      <c r="K6779" s="1234"/>
      <c r="L6779" s="431"/>
      <c r="M6779" s="431"/>
      <c r="N6779" s="431"/>
    </row>
    <row r="6780" spans="1:14" s="398" customFormat="1" ht="51.75" hidden="1" outlineLevel="1">
      <c r="A6780" s="1248"/>
      <c r="B6780" s="592" t="s">
        <v>1093</v>
      </c>
      <c r="C6780" s="165" t="s">
        <v>2</v>
      </c>
      <c r="D6780" s="392">
        <v>1</v>
      </c>
      <c r="E6780" s="165">
        <v>1</v>
      </c>
      <c r="F6780" s="1353">
        <v>1.4970000000000001</v>
      </c>
      <c r="G6780" s="401">
        <f t="shared" si="245"/>
        <v>0.76</v>
      </c>
      <c r="H6780" s="1203">
        <v>0.82299999999999995</v>
      </c>
      <c r="I6780" s="399">
        <f t="shared" si="242"/>
        <v>0.94</v>
      </c>
      <c r="J6780" s="404"/>
      <c r="K6780" s="1234"/>
      <c r="L6780" s="431"/>
      <c r="M6780" s="431"/>
      <c r="N6780" s="431"/>
    </row>
    <row r="6781" spans="1:14" s="398" customFormat="1" hidden="1" outlineLevel="1">
      <c r="A6781" s="1248"/>
      <c r="B6781" s="311"/>
      <c r="C6781" s="165" t="s">
        <v>2</v>
      </c>
      <c r="D6781" s="392">
        <v>1</v>
      </c>
      <c r="E6781" s="165">
        <v>1</v>
      </c>
      <c r="F6781" s="1353">
        <v>1.6</v>
      </c>
      <c r="G6781" s="401">
        <f t="shared" si="245"/>
        <v>0.76</v>
      </c>
      <c r="H6781" s="1203">
        <v>0.82299999999999995</v>
      </c>
      <c r="I6781" s="399">
        <f t="shared" si="242"/>
        <v>1</v>
      </c>
      <c r="J6781" s="404"/>
      <c r="K6781" s="1234"/>
      <c r="L6781" s="431"/>
      <c r="M6781" s="431"/>
      <c r="N6781" s="431"/>
    </row>
    <row r="6782" spans="1:14" s="398" customFormat="1" hidden="1" outlineLevel="1">
      <c r="A6782" s="1248"/>
      <c r="B6782" s="311"/>
      <c r="C6782" s="165" t="s">
        <v>2</v>
      </c>
      <c r="D6782" s="392">
        <v>1</v>
      </c>
      <c r="E6782" s="165">
        <v>1</v>
      </c>
      <c r="F6782" s="1353">
        <v>3.43</v>
      </c>
      <c r="G6782" s="401">
        <f t="shared" si="245"/>
        <v>0.76</v>
      </c>
      <c r="H6782" s="1203">
        <v>0.82299999999999995</v>
      </c>
      <c r="I6782" s="399">
        <f t="shared" si="242"/>
        <v>2.15</v>
      </c>
      <c r="J6782" s="404"/>
      <c r="K6782" s="1234"/>
      <c r="L6782" s="431"/>
      <c r="M6782" s="431"/>
      <c r="N6782" s="431"/>
    </row>
    <row r="6783" spans="1:14" s="398" customFormat="1" hidden="1" outlineLevel="1">
      <c r="A6783" s="1248"/>
      <c r="B6783" s="311"/>
      <c r="C6783" s="165" t="s">
        <v>2</v>
      </c>
      <c r="D6783" s="392">
        <v>1</v>
      </c>
      <c r="E6783" s="165">
        <v>1</v>
      </c>
      <c r="F6783" s="1353">
        <v>1.4970000000000001</v>
      </c>
      <c r="G6783" s="401">
        <f t="shared" si="245"/>
        <v>0.76</v>
      </c>
      <c r="H6783" s="1203">
        <v>0.82299999999999995</v>
      </c>
      <c r="I6783" s="399">
        <f t="shared" si="242"/>
        <v>0.94</v>
      </c>
      <c r="J6783" s="404"/>
      <c r="K6783" s="1234"/>
      <c r="L6783" s="431"/>
      <c r="M6783" s="431"/>
      <c r="N6783" s="431"/>
    </row>
    <row r="6784" spans="1:14" s="398" customFormat="1" hidden="1" outlineLevel="1">
      <c r="A6784" s="1248"/>
      <c r="B6784" s="311"/>
      <c r="C6784" s="165" t="s">
        <v>2</v>
      </c>
      <c r="D6784" s="392">
        <v>1</v>
      </c>
      <c r="E6784" s="165">
        <v>1</v>
      </c>
      <c r="F6784" s="1353">
        <v>3.7349999999999999</v>
      </c>
      <c r="G6784" s="401">
        <f t="shared" si="245"/>
        <v>0.76</v>
      </c>
      <c r="H6784" s="1203">
        <v>0.82299999999999995</v>
      </c>
      <c r="I6784" s="399">
        <f t="shared" si="242"/>
        <v>2.34</v>
      </c>
      <c r="J6784" s="404"/>
      <c r="K6784" s="1234"/>
      <c r="L6784" s="431"/>
      <c r="M6784" s="431"/>
      <c r="N6784" s="431"/>
    </row>
    <row r="6785" spans="1:14" s="398" customFormat="1" hidden="1" outlineLevel="1">
      <c r="A6785" s="1248"/>
      <c r="B6785" s="311"/>
      <c r="C6785" s="165" t="s">
        <v>2</v>
      </c>
      <c r="D6785" s="392">
        <v>1</v>
      </c>
      <c r="E6785" s="165">
        <v>1</v>
      </c>
      <c r="F6785" s="1353">
        <v>4.3449999999999998</v>
      </c>
      <c r="G6785" s="401">
        <f t="shared" si="245"/>
        <v>0.76</v>
      </c>
      <c r="H6785" s="1203">
        <v>0.82299999999999995</v>
      </c>
      <c r="I6785" s="399">
        <f t="shared" si="242"/>
        <v>2.72</v>
      </c>
      <c r="J6785" s="404"/>
      <c r="K6785" s="1234"/>
      <c r="L6785" s="431"/>
      <c r="M6785" s="431"/>
      <c r="N6785" s="431"/>
    </row>
    <row r="6786" spans="1:14" s="398" customFormat="1" ht="51.75" hidden="1" outlineLevel="1">
      <c r="A6786" s="1248"/>
      <c r="B6786" s="592" t="s">
        <v>846</v>
      </c>
      <c r="C6786" s="165" t="s">
        <v>2</v>
      </c>
      <c r="D6786" s="392">
        <v>1</v>
      </c>
      <c r="E6786" s="165">
        <v>1</v>
      </c>
      <c r="F6786" s="1353">
        <v>2.3860000000000001</v>
      </c>
      <c r="G6786" s="401">
        <f t="shared" si="245"/>
        <v>0.76</v>
      </c>
      <c r="H6786" s="1203">
        <v>0.82299999999999995</v>
      </c>
      <c r="I6786" s="399">
        <f t="shared" si="242"/>
        <v>1.49</v>
      </c>
      <c r="J6786" s="404"/>
      <c r="K6786" s="1234"/>
      <c r="L6786" s="431"/>
      <c r="M6786" s="431"/>
      <c r="N6786" s="431"/>
    </row>
    <row r="6787" spans="1:14" s="398" customFormat="1" hidden="1" outlineLevel="1">
      <c r="A6787" s="1248"/>
      <c r="B6787" s="311"/>
      <c r="C6787" s="165" t="s">
        <v>2</v>
      </c>
      <c r="D6787" s="392">
        <v>1</v>
      </c>
      <c r="E6787" s="165">
        <v>1</v>
      </c>
      <c r="F6787" s="1353">
        <f>8.255+4.207+7.541</f>
        <v>20.003</v>
      </c>
      <c r="G6787" s="401">
        <f t="shared" si="245"/>
        <v>0.76</v>
      </c>
      <c r="H6787" s="1203">
        <v>0.82299999999999995</v>
      </c>
      <c r="I6787" s="399">
        <f t="shared" si="242"/>
        <v>12.51</v>
      </c>
      <c r="J6787" s="404"/>
      <c r="K6787" s="1234"/>
      <c r="L6787" s="431"/>
      <c r="M6787" s="431"/>
      <c r="N6787" s="431"/>
    </row>
    <row r="6788" spans="1:14" s="398" customFormat="1" hidden="1" outlineLevel="1">
      <c r="A6788" s="1248"/>
      <c r="B6788" s="311" t="s">
        <v>847</v>
      </c>
      <c r="C6788" s="165" t="s">
        <v>2</v>
      </c>
      <c r="D6788" s="392">
        <v>1</v>
      </c>
      <c r="E6788" s="165">
        <v>1</v>
      </c>
      <c r="F6788" s="1353">
        <f>33.791-G6788</f>
        <v>33.030999999999999</v>
      </c>
      <c r="G6788" s="401">
        <f t="shared" si="245"/>
        <v>0.76</v>
      </c>
      <c r="H6788" s="1203">
        <v>0.82299999999999995</v>
      </c>
      <c r="I6788" s="399">
        <f t="shared" si="242"/>
        <v>20.66</v>
      </c>
      <c r="J6788" s="404"/>
      <c r="K6788" s="1234"/>
      <c r="L6788" s="431"/>
      <c r="M6788" s="431"/>
      <c r="N6788" s="431"/>
    </row>
    <row r="6789" spans="1:14" s="398" customFormat="1" ht="34.5" hidden="1" outlineLevel="1">
      <c r="A6789" s="1248"/>
      <c r="B6789" s="311" t="s">
        <v>848</v>
      </c>
      <c r="C6789" s="165" t="s">
        <v>2</v>
      </c>
      <c r="D6789" s="392">
        <v>1</v>
      </c>
      <c r="E6789" s="165">
        <v>1</v>
      </c>
      <c r="F6789" s="1354">
        <v>31.771000000000001</v>
      </c>
      <c r="G6789" s="401">
        <f t="shared" si="245"/>
        <v>0.76</v>
      </c>
      <c r="H6789" s="1203">
        <v>0.82299999999999995</v>
      </c>
      <c r="I6789" s="399">
        <f t="shared" si="242"/>
        <v>19.87</v>
      </c>
      <c r="J6789" s="404"/>
      <c r="K6789" s="1234"/>
      <c r="L6789" s="431"/>
      <c r="M6789" s="431"/>
      <c r="N6789" s="431"/>
    </row>
    <row r="6790" spans="1:14" s="398" customFormat="1" hidden="1" outlineLevel="1">
      <c r="A6790" s="1248"/>
      <c r="B6790" s="311"/>
      <c r="C6790" s="165" t="s">
        <v>2</v>
      </c>
      <c r="D6790" s="392">
        <v>1</v>
      </c>
      <c r="E6790" s="165">
        <v>1</v>
      </c>
      <c r="F6790" s="1354">
        <v>4.375</v>
      </c>
      <c r="G6790" s="401">
        <f t="shared" si="245"/>
        <v>0.76</v>
      </c>
      <c r="H6790" s="1203">
        <v>0.82299999999999995</v>
      </c>
      <c r="I6790" s="399">
        <f t="shared" si="242"/>
        <v>2.74</v>
      </c>
      <c r="J6790" s="404"/>
      <c r="K6790" s="1234"/>
      <c r="L6790" s="431"/>
      <c r="M6790" s="431"/>
      <c r="N6790" s="431"/>
    </row>
    <row r="6791" spans="1:14" s="398" customFormat="1" hidden="1" outlineLevel="1">
      <c r="A6791" s="1248"/>
      <c r="B6791" s="311"/>
      <c r="C6791" s="165" t="s">
        <v>2</v>
      </c>
      <c r="D6791" s="392">
        <v>1</v>
      </c>
      <c r="E6791" s="165">
        <v>1</v>
      </c>
      <c r="F6791" s="1354">
        <v>0.17</v>
      </c>
      <c r="G6791" s="401">
        <f t="shared" si="245"/>
        <v>0.76</v>
      </c>
      <c r="H6791" s="1203">
        <v>0.82299999999999995</v>
      </c>
      <c r="I6791" s="399">
        <f t="shared" si="242"/>
        <v>0.11</v>
      </c>
      <c r="J6791" s="404"/>
      <c r="K6791" s="1234"/>
      <c r="L6791" s="431"/>
      <c r="M6791" s="431"/>
      <c r="N6791" s="431"/>
    </row>
    <row r="6792" spans="1:14" s="398" customFormat="1" ht="34.5" hidden="1" outlineLevel="1">
      <c r="A6792" s="1248"/>
      <c r="B6792" s="592" t="s">
        <v>849</v>
      </c>
      <c r="C6792" s="165"/>
      <c r="D6792" s="392"/>
      <c r="E6792" s="165"/>
      <c r="F6792" s="1353"/>
      <c r="G6792" s="401"/>
      <c r="H6792" s="401"/>
      <c r="I6792" s="399" t="str">
        <f t="shared" si="242"/>
        <v/>
      </c>
      <c r="J6792" s="404"/>
      <c r="K6792" s="1234"/>
      <c r="L6792" s="431"/>
      <c r="M6792" s="431"/>
      <c r="N6792" s="431"/>
    </row>
    <row r="6793" spans="1:14" s="398" customFormat="1" ht="34.5" hidden="1" outlineLevel="1">
      <c r="A6793" s="1248"/>
      <c r="B6793" s="311" t="s">
        <v>850</v>
      </c>
      <c r="C6793" s="165" t="s">
        <v>2</v>
      </c>
      <c r="D6793" s="392">
        <v>1</v>
      </c>
      <c r="E6793" s="165">
        <v>1</v>
      </c>
      <c r="F6793" s="1354">
        <v>18.472999999999999</v>
      </c>
      <c r="G6793" s="401">
        <f>0.46+0.15+0.15</f>
        <v>0.76</v>
      </c>
      <c r="H6793" s="1203">
        <v>0.82299999999999995</v>
      </c>
      <c r="I6793" s="399">
        <f t="shared" si="242"/>
        <v>11.55</v>
      </c>
      <c r="J6793" s="404"/>
      <c r="K6793" s="1234"/>
      <c r="L6793" s="431"/>
      <c r="M6793" s="431"/>
      <c r="N6793" s="431"/>
    </row>
    <row r="6794" spans="1:14" s="398" customFormat="1" hidden="1" outlineLevel="1">
      <c r="A6794" s="1248"/>
      <c r="B6794" s="311"/>
      <c r="C6794" s="165" t="s">
        <v>2</v>
      </c>
      <c r="D6794" s="392">
        <v>1</v>
      </c>
      <c r="E6794" s="165">
        <v>1</v>
      </c>
      <c r="F6794" s="1353">
        <f>0.168+9.528+0.172</f>
        <v>9.8680000000000003</v>
      </c>
      <c r="G6794" s="401">
        <f>0.46+0.15+0.15</f>
        <v>0.76</v>
      </c>
      <c r="H6794" s="1203">
        <v>0.82299999999999995</v>
      </c>
      <c r="I6794" s="399">
        <f t="shared" si="242"/>
        <v>6.17</v>
      </c>
      <c r="J6794" s="404"/>
      <c r="K6794" s="1234"/>
      <c r="L6794" s="431"/>
      <c r="M6794" s="431"/>
      <c r="N6794" s="431"/>
    </row>
    <row r="6795" spans="1:14" s="398" customFormat="1" hidden="1" outlineLevel="1">
      <c r="A6795" s="1248"/>
      <c r="B6795" s="311"/>
      <c r="C6795" s="165" t="s">
        <v>2</v>
      </c>
      <c r="D6795" s="392">
        <v>1</v>
      </c>
      <c r="E6795" s="165">
        <v>1</v>
      </c>
      <c r="F6795" s="1354">
        <v>7.05</v>
      </c>
      <c r="G6795" s="401">
        <f>0.46+0.15+0.15</f>
        <v>0.76</v>
      </c>
      <c r="H6795" s="1203">
        <v>0.82299999999999995</v>
      </c>
      <c r="I6795" s="399">
        <f t="shared" si="242"/>
        <v>4.41</v>
      </c>
      <c r="J6795" s="404"/>
      <c r="K6795" s="1234"/>
      <c r="L6795" s="431"/>
      <c r="M6795" s="431"/>
      <c r="N6795" s="431"/>
    </row>
    <row r="6796" spans="1:14" s="398" customFormat="1" ht="51.75" hidden="1" outlineLevel="1">
      <c r="A6796" s="1248"/>
      <c r="B6796" s="311" t="s">
        <v>851</v>
      </c>
      <c r="C6796" s="165"/>
      <c r="D6796" s="392"/>
      <c r="E6796" s="165"/>
      <c r="F6796" s="1353"/>
      <c r="G6796" s="401"/>
      <c r="H6796" s="401"/>
      <c r="I6796" s="399" t="str">
        <f t="shared" si="242"/>
        <v/>
      </c>
      <c r="J6796" s="404"/>
      <c r="K6796" s="1234"/>
      <c r="L6796" s="431"/>
      <c r="M6796" s="431"/>
      <c r="N6796" s="431"/>
    </row>
    <row r="6797" spans="1:14" s="398" customFormat="1" hidden="1" outlineLevel="1">
      <c r="A6797" s="1248"/>
      <c r="B6797" s="311"/>
      <c r="C6797" s="165" t="s">
        <v>167</v>
      </c>
      <c r="D6797" s="438">
        <v>1</v>
      </c>
      <c r="E6797" s="333">
        <v>1</v>
      </c>
      <c r="F6797" s="1354">
        <v>36.695999999999998</v>
      </c>
      <c r="G6797" s="662">
        <v>0.76</v>
      </c>
      <c r="H6797" s="662">
        <v>0.82299999999999995</v>
      </c>
      <c r="I6797" s="399">
        <f t="shared" si="242"/>
        <v>22.95</v>
      </c>
      <c r="J6797" s="404"/>
      <c r="K6797" s="1234"/>
      <c r="L6797" s="431"/>
      <c r="M6797" s="431"/>
      <c r="N6797" s="431"/>
    </row>
    <row r="6798" spans="1:14" s="464" customFormat="1" hidden="1" outlineLevel="1">
      <c r="A6798" s="1279"/>
      <c r="B6798" s="607"/>
      <c r="C6798" s="345" t="s">
        <v>2</v>
      </c>
      <c r="D6798" s="665">
        <f t="shared" ref="D6798:D6800" si="246">1*0</f>
        <v>0</v>
      </c>
      <c r="E6798" s="345">
        <v>1</v>
      </c>
      <c r="F6798" s="1355">
        <f>0.337</f>
        <v>0.33700000000000002</v>
      </c>
      <c r="G6798" s="1356">
        <f>0.46+0.15+0.15</f>
        <v>0.76</v>
      </c>
      <c r="H6798" s="1390">
        <v>0.82299999999999995</v>
      </c>
      <c r="I6798" s="399" t="str">
        <f t="shared" si="242"/>
        <v/>
      </c>
      <c r="J6798" s="482"/>
      <c r="K6798" s="1283"/>
      <c r="L6798" s="463"/>
      <c r="M6798" s="463"/>
      <c r="N6798" s="463"/>
    </row>
    <row r="6799" spans="1:14" s="464" customFormat="1" hidden="1" outlineLevel="1">
      <c r="A6799" s="1279"/>
      <c r="B6799" s="607"/>
      <c r="C6799" s="345" t="s">
        <v>2</v>
      </c>
      <c r="D6799" s="665">
        <f t="shared" si="246"/>
        <v>0</v>
      </c>
      <c r="E6799" s="345">
        <v>1</v>
      </c>
      <c r="F6799" s="1355">
        <v>3.1829999999999998</v>
      </c>
      <c r="G6799" s="1356">
        <f>0.46+0.15+0.15</f>
        <v>0.76</v>
      </c>
      <c r="H6799" s="1390">
        <v>0.82299999999999995</v>
      </c>
      <c r="I6799" s="399" t="str">
        <f t="shared" si="242"/>
        <v/>
      </c>
      <c r="J6799" s="482"/>
      <c r="K6799" s="1283"/>
      <c r="L6799" s="463"/>
      <c r="M6799" s="463"/>
      <c r="N6799" s="463"/>
    </row>
    <row r="6800" spans="1:14" s="464" customFormat="1" hidden="1" outlineLevel="1">
      <c r="A6800" s="1279"/>
      <c r="B6800" s="607"/>
      <c r="C6800" s="345" t="s">
        <v>2</v>
      </c>
      <c r="D6800" s="665">
        <f t="shared" si="246"/>
        <v>0</v>
      </c>
      <c r="E6800" s="345">
        <v>1</v>
      </c>
      <c r="F6800" s="1355">
        <f>3.841+4.613+3.637+1.626+2.824+2.413+3.614+11.064</f>
        <v>33.632000000000005</v>
      </c>
      <c r="G6800" s="1356">
        <f>0.46+0.15+0.15</f>
        <v>0.76</v>
      </c>
      <c r="H6800" s="1390">
        <v>0.82299999999999995</v>
      </c>
      <c r="I6800" s="399" t="str">
        <f t="shared" si="242"/>
        <v/>
      </c>
      <c r="J6800" s="482"/>
      <c r="K6800" s="1283"/>
      <c r="L6800" s="463"/>
      <c r="M6800" s="463"/>
      <c r="N6800" s="463"/>
    </row>
    <row r="6801" spans="1:14" s="398" customFormat="1" hidden="1" outlineLevel="1">
      <c r="A6801" s="1248"/>
      <c r="B6801" s="311" t="s">
        <v>852</v>
      </c>
      <c r="C6801" s="165" t="s">
        <v>2</v>
      </c>
      <c r="D6801" s="392">
        <v>1</v>
      </c>
      <c r="E6801" s="165">
        <v>1</v>
      </c>
      <c r="F6801" s="1354">
        <v>8.0530000000000008</v>
      </c>
      <c r="G6801" s="401">
        <f>0.46+0.15+0.15</f>
        <v>0.76</v>
      </c>
      <c r="H6801" s="1203">
        <v>0.82299999999999995</v>
      </c>
      <c r="I6801" s="399">
        <f t="shared" si="242"/>
        <v>5.04</v>
      </c>
      <c r="J6801" s="404"/>
      <c r="K6801" s="1234"/>
      <c r="L6801" s="431"/>
      <c r="M6801" s="431"/>
      <c r="N6801" s="431"/>
    </row>
    <row r="6802" spans="1:14" s="398" customFormat="1" hidden="1" outlineLevel="1">
      <c r="A6802" s="1248"/>
      <c r="B6802" s="311" t="s">
        <v>853</v>
      </c>
      <c r="C6802" s="165" t="s">
        <v>2</v>
      </c>
      <c r="D6802" s="392">
        <v>1</v>
      </c>
      <c r="E6802" s="165">
        <v>1</v>
      </c>
      <c r="F6802" s="1354">
        <v>14.555</v>
      </c>
      <c r="G6802" s="401">
        <f>0.46+0.15+0.15</f>
        <v>0.76</v>
      </c>
      <c r="H6802" s="1203">
        <v>0.82299999999999995</v>
      </c>
      <c r="I6802" s="399">
        <f t="shared" si="242"/>
        <v>9.1</v>
      </c>
      <c r="J6802" s="404"/>
      <c r="K6802" s="1234"/>
      <c r="L6802" s="431"/>
      <c r="M6802" s="431"/>
      <c r="N6802" s="431"/>
    </row>
    <row r="6803" spans="1:14" s="398" customFormat="1" ht="34.5" hidden="1" outlineLevel="1">
      <c r="A6803" s="1248"/>
      <c r="B6803" s="592" t="s">
        <v>854</v>
      </c>
      <c r="C6803" s="530"/>
      <c r="D6803" s="389"/>
      <c r="E6803" s="386"/>
      <c r="F6803" s="1353"/>
      <c r="G6803" s="1353"/>
      <c r="H6803" s="1353"/>
      <c r="I6803" s="399" t="str">
        <f t="shared" si="242"/>
        <v/>
      </c>
      <c r="J6803" s="404"/>
      <c r="K6803" s="1234"/>
      <c r="L6803" s="431"/>
      <c r="M6803" s="431"/>
      <c r="N6803" s="431"/>
    </row>
    <row r="6804" spans="1:14" s="398" customFormat="1" hidden="1" outlineLevel="1">
      <c r="A6804" s="1248"/>
      <c r="B6804" s="311"/>
      <c r="C6804" s="165" t="s">
        <v>2</v>
      </c>
      <c r="D6804" s="392">
        <v>1</v>
      </c>
      <c r="E6804" s="165">
        <v>1</v>
      </c>
      <c r="F6804" s="1354">
        <v>14.343</v>
      </c>
      <c r="G6804" s="401">
        <f>0.46+0.15+0.15</f>
        <v>0.76</v>
      </c>
      <c r="H6804" s="1203">
        <v>0.82299999999999995</v>
      </c>
      <c r="I6804" s="399">
        <f t="shared" si="242"/>
        <v>8.9700000000000006</v>
      </c>
      <c r="J6804" s="404"/>
      <c r="K6804" s="1234"/>
      <c r="L6804" s="431"/>
      <c r="M6804" s="431"/>
      <c r="N6804" s="431"/>
    </row>
    <row r="6805" spans="1:14" s="398" customFormat="1" ht="51.75" hidden="1" outlineLevel="1">
      <c r="A6805" s="1248"/>
      <c r="B6805" s="592" t="s">
        <v>855</v>
      </c>
      <c r="C6805" s="530"/>
      <c r="D6805" s="389"/>
      <c r="E6805" s="386"/>
      <c r="F6805" s="1353"/>
      <c r="G6805" s="1353"/>
      <c r="H6805" s="1353"/>
      <c r="I6805" s="399" t="str">
        <f t="shared" si="242"/>
        <v/>
      </c>
      <c r="J6805" s="404"/>
      <c r="K6805" s="1234"/>
      <c r="L6805" s="431"/>
      <c r="M6805" s="431"/>
      <c r="N6805" s="431"/>
    </row>
    <row r="6806" spans="1:14" s="398" customFormat="1" hidden="1" outlineLevel="1">
      <c r="A6806" s="1248"/>
      <c r="B6806" s="311"/>
      <c r="C6806" s="165" t="s">
        <v>2</v>
      </c>
      <c r="D6806" s="392">
        <v>1</v>
      </c>
      <c r="E6806" s="165">
        <v>1</v>
      </c>
      <c r="F6806" s="1353">
        <f>12.275+11.813+4.624+2.625+2.854+1.637+7.303+5.741+2.446+2.704+0.725+6.033</f>
        <v>60.78</v>
      </c>
      <c r="G6806" s="401">
        <f>0.46+0.15+0.15</f>
        <v>0.76</v>
      </c>
      <c r="H6806" s="1203">
        <v>0.82299999999999995</v>
      </c>
      <c r="I6806" s="399">
        <f t="shared" si="242"/>
        <v>38.020000000000003</v>
      </c>
      <c r="J6806" s="404"/>
      <c r="K6806" s="1234"/>
      <c r="L6806" s="431"/>
      <c r="M6806" s="431"/>
      <c r="N6806" s="431"/>
    </row>
    <row r="6807" spans="1:14" s="398" customFormat="1" ht="34.5" hidden="1" outlineLevel="1">
      <c r="A6807" s="1248"/>
      <c r="B6807" s="311" t="s">
        <v>856</v>
      </c>
      <c r="C6807" s="165" t="s">
        <v>2</v>
      </c>
      <c r="D6807" s="392">
        <v>1</v>
      </c>
      <c r="E6807" s="165">
        <v>1</v>
      </c>
      <c r="F6807" s="1353">
        <v>35.253</v>
      </c>
      <c r="G6807" s="401">
        <f>0.46+0.15+0.15</f>
        <v>0.76</v>
      </c>
      <c r="H6807" s="1203">
        <v>0.82299999999999995</v>
      </c>
      <c r="I6807" s="399">
        <f t="shared" si="242"/>
        <v>22.05</v>
      </c>
      <c r="J6807" s="404"/>
      <c r="K6807" s="1234"/>
      <c r="L6807" s="431"/>
      <c r="M6807" s="431"/>
      <c r="N6807" s="431"/>
    </row>
    <row r="6808" spans="1:14" s="398" customFormat="1" hidden="1" outlineLevel="1">
      <c r="A6808" s="1248"/>
      <c r="B6808" s="311"/>
      <c r="C6808" s="165"/>
      <c r="D6808" s="392"/>
      <c r="E6808" s="165"/>
      <c r="F6808" s="1353"/>
      <c r="G6808" s="401"/>
      <c r="H6808" s="1353"/>
      <c r="I6808" s="399" t="str">
        <f t="shared" si="242"/>
        <v/>
      </c>
      <c r="J6808" s="404"/>
      <c r="K6808" s="1234"/>
      <c r="L6808" s="431"/>
      <c r="M6808" s="431"/>
      <c r="N6808" s="431"/>
    </row>
    <row r="6809" spans="1:14" s="398" customFormat="1" hidden="1" outlineLevel="1">
      <c r="A6809" s="1248"/>
      <c r="B6809" s="592" t="s">
        <v>857</v>
      </c>
      <c r="C6809" s="165"/>
      <c r="D6809" s="392"/>
      <c r="E6809" s="165"/>
      <c r="F6809" s="1353"/>
      <c r="G6809" s="401"/>
      <c r="H6809" s="401"/>
      <c r="I6809" s="399" t="str">
        <f t="shared" si="242"/>
        <v/>
      </c>
      <c r="J6809" s="404"/>
      <c r="K6809" s="1234"/>
      <c r="L6809" s="431"/>
      <c r="M6809" s="431"/>
      <c r="N6809" s="431"/>
    </row>
    <row r="6810" spans="1:14" s="462" customFormat="1" ht="34.5" hidden="1" outlineLevel="1">
      <c r="A6810" s="1248"/>
      <c r="B6810" s="311" t="s">
        <v>1094</v>
      </c>
      <c r="C6810" s="165"/>
      <c r="D6810" s="392"/>
      <c r="E6810" s="165"/>
      <c r="F6810" s="401"/>
      <c r="G6810" s="401"/>
      <c r="H6810" s="401"/>
      <c r="I6810" s="399" t="str">
        <f t="shared" si="242"/>
        <v/>
      </c>
      <c r="J6810" s="374"/>
      <c r="K6810" s="1237"/>
      <c r="L6810" s="461"/>
      <c r="M6810" s="461"/>
      <c r="N6810" s="461"/>
    </row>
    <row r="6811" spans="1:14" s="263" customFormat="1" hidden="1" outlineLevel="1">
      <c r="A6811" s="1228"/>
      <c r="B6811" s="311"/>
      <c r="C6811" s="319"/>
      <c r="D6811" s="392"/>
      <c r="E6811" s="165"/>
      <c r="F6811" s="401"/>
      <c r="G6811" s="401"/>
      <c r="H6811" s="401"/>
      <c r="I6811" s="399" t="str">
        <f t="shared" si="242"/>
        <v/>
      </c>
      <c r="J6811" s="162"/>
      <c r="K6811" s="1239"/>
      <c r="L6811" s="262"/>
      <c r="M6811" s="262"/>
      <c r="N6811" s="262"/>
    </row>
    <row r="6812" spans="1:14" s="263" customFormat="1" hidden="1" outlineLevel="1">
      <c r="A6812" s="1228"/>
      <c r="B6812" s="311" t="s">
        <v>146</v>
      </c>
      <c r="C6812" s="319"/>
      <c r="D6812" s="392">
        <v>-1</v>
      </c>
      <c r="E6812" s="165">
        <v>1</v>
      </c>
      <c r="F6812" s="401">
        <v>31.4</v>
      </c>
      <c r="G6812" s="401">
        <v>0.61</v>
      </c>
      <c r="H6812" s="1203">
        <v>0.82299999999999995</v>
      </c>
      <c r="I6812" s="399">
        <f t="shared" si="242"/>
        <v>-15.76</v>
      </c>
      <c r="J6812" s="162"/>
      <c r="K6812" s="1239"/>
      <c r="L6812" s="262"/>
      <c r="M6812" s="262"/>
      <c r="N6812" s="262"/>
    </row>
    <row r="6813" spans="1:14" s="263" customFormat="1" hidden="1" outlineLevel="1">
      <c r="A6813" s="1228"/>
      <c r="B6813" s="311"/>
      <c r="C6813" s="319"/>
      <c r="D6813" s="392"/>
      <c r="E6813" s="165"/>
      <c r="F6813" s="401"/>
      <c r="G6813" s="401"/>
      <c r="H6813" s="401"/>
      <c r="I6813" s="399" t="str">
        <f t="shared" ref="I6813:I6876" si="247">IF(D6813&lt;&gt;0,ROUND(PRODUCT(E6813:H6813)*D6813,2),"")</f>
        <v/>
      </c>
      <c r="J6813" s="162"/>
      <c r="K6813" s="1239"/>
      <c r="L6813" s="262"/>
      <c r="M6813" s="262"/>
      <c r="N6813" s="262"/>
    </row>
    <row r="6814" spans="1:14" s="263" customFormat="1" hidden="1" outlineLevel="1">
      <c r="A6814" s="1228"/>
      <c r="B6814" s="311" t="s">
        <v>147</v>
      </c>
      <c r="C6814" s="319"/>
      <c r="D6814" s="392">
        <v>-1</v>
      </c>
      <c r="E6814" s="165">
        <v>1</v>
      </c>
      <c r="F6814" s="401">
        <v>42.55</v>
      </c>
      <c r="G6814" s="401">
        <v>0.61</v>
      </c>
      <c r="H6814" s="1203">
        <v>0.82299999999999995</v>
      </c>
      <c r="I6814" s="399">
        <f t="shared" si="247"/>
        <v>-21.36</v>
      </c>
      <c r="J6814" s="162"/>
      <c r="K6814" s="1239"/>
      <c r="L6814" s="262"/>
      <c r="M6814" s="262"/>
      <c r="N6814" s="262"/>
    </row>
    <row r="6815" spans="1:14" s="398" customFormat="1" hidden="1" outlineLevel="1">
      <c r="A6815" s="1248"/>
      <c r="B6815" s="311"/>
      <c r="C6815" s="530"/>
      <c r="D6815" s="389"/>
      <c r="E6815" s="386"/>
      <c r="F6815" s="1353"/>
      <c r="G6815" s="1353"/>
      <c r="H6815" s="1353"/>
      <c r="I6815" s="399" t="str">
        <f t="shared" si="247"/>
        <v/>
      </c>
      <c r="J6815" s="404"/>
      <c r="K6815" s="1234"/>
      <c r="L6815" s="431"/>
      <c r="M6815" s="431"/>
      <c r="N6815" s="431"/>
    </row>
    <row r="6816" spans="1:14" ht="51.75" hidden="1" outlineLevel="1">
      <c r="A6816" s="1320"/>
      <c r="B6816" s="594" t="s">
        <v>1095</v>
      </c>
      <c r="C6816" s="386" t="s">
        <v>2</v>
      </c>
      <c r="D6816" s="390"/>
      <c r="E6816" s="386"/>
      <c r="F6816" s="1353"/>
      <c r="G6816" s="1353"/>
      <c r="H6816" s="1353"/>
      <c r="I6816" s="399" t="str">
        <f t="shared" si="247"/>
        <v/>
      </c>
      <c r="J6816" s="162"/>
      <c r="K6816" s="1229"/>
    </row>
    <row r="6817" spans="1:14" ht="34.5" hidden="1" outlineLevel="1">
      <c r="A6817" s="1228"/>
      <c r="B6817" s="391" t="s">
        <v>1096</v>
      </c>
      <c r="C6817" s="386"/>
      <c r="D6817" s="390"/>
      <c r="E6817" s="386"/>
      <c r="F6817" s="1353"/>
      <c r="G6817" s="1353"/>
      <c r="H6817" s="1353"/>
      <c r="I6817" s="399" t="str">
        <f t="shared" si="247"/>
        <v/>
      </c>
      <c r="J6817" s="162"/>
      <c r="K6817" s="1229"/>
    </row>
    <row r="6818" spans="1:14" hidden="1" outlineLevel="1">
      <c r="A6818" s="1228"/>
      <c r="B6818" s="389" t="s">
        <v>884</v>
      </c>
      <c r="C6818" s="386" t="s">
        <v>2</v>
      </c>
      <c r="D6818" s="390">
        <v>1</v>
      </c>
      <c r="E6818" s="627">
        <f>10-8</f>
        <v>2</v>
      </c>
      <c r="F6818" s="1353">
        <v>7.625</v>
      </c>
      <c r="G6818" s="1353">
        <f>0.46+0.15+0.15</f>
        <v>0.76</v>
      </c>
      <c r="H6818" s="1203">
        <v>0.82299999999999995</v>
      </c>
      <c r="I6818" s="399">
        <f t="shared" si="247"/>
        <v>9.5399999999999991</v>
      </c>
      <c r="J6818" s="162"/>
      <c r="K6818" s="1229"/>
    </row>
    <row r="6819" spans="1:14" hidden="1" outlineLevel="1">
      <c r="A6819" s="1228"/>
      <c r="B6819" s="389"/>
      <c r="C6819" s="386"/>
      <c r="D6819" s="390"/>
      <c r="E6819" s="390"/>
      <c r="F6819" s="1353"/>
      <c r="G6819" s="1353"/>
      <c r="H6819" s="1353"/>
      <c r="I6819" s="399" t="str">
        <f t="shared" si="247"/>
        <v/>
      </c>
      <c r="J6819" s="162"/>
      <c r="K6819" s="1229"/>
    </row>
    <row r="6820" spans="1:14" hidden="1" outlineLevel="1">
      <c r="A6820" s="1228"/>
      <c r="B6820" s="389"/>
      <c r="C6820" s="386"/>
      <c r="D6820" s="390"/>
      <c r="E6820" s="390"/>
      <c r="F6820" s="1353"/>
      <c r="G6820" s="1353"/>
      <c r="H6820" s="1353"/>
      <c r="I6820" s="399" t="str">
        <f t="shared" si="247"/>
        <v/>
      </c>
      <c r="J6820" s="162"/>
      <c r="K6820" s="1229"/>
    </row>
    <row r="6821" spans="1:14" hidden="1" outlineLevel="1">
      <c r="A6821" s="1320"/>
      <c r="B6821" s="595" t="s">
        <v>1097</v>
      </c>
      <c r="C6821" s="386"/>
      <c r="D6821" s="390"/>
      <c r="E6821" s="390"/>
      <c r="F6821" s="1353"/>
      <c r="G6821" s="1353"/>
      <c r="H6821" s="1353"/>
      <c r="I6821" s="399" t="str">
        <f t="shared" si="247"/>
        <v/>
      </c>
      <c r="J6821" s="162"/>
      <c r="K6821" s="1229"/>
    </row>
    <row r="6822" spans="1:14" s="263" customFormat="1" ht="34.5" hidden="1" outlineLevel="1">
      <c r="A6822" s="1241"/>
      <c r="B6822" s="311" t="s">
        <v>1098</v>
      </c>
      <c r="C6822" s="319"/>
      <c r="D6822" s="392"/>
      <c r="E6822" s="165"/>
      <c r="F6822" s="401"/>
      <c r="G6822" s="401"/>
      <c r="H6822" s="401"/>
      <c r="I6822" s="399" t="str">
        <f t="shared" si="247"/>
        <v/>
      </c>
      <c r="J6822" s="393"/>
      <c r="K6822" s="1239"/>
      <c r="L6822" s="262"/>
      <c r="M6822" s="262"/>
      <c r="N6822" s="262"/>
    </row>
    <row r="6823" spans="1:14" s="263" customFormat="1" hidden="1" outlineLevel="1">
      <c r="A6823" s="1241"/>
      <c r="B6823" s="311"/>
      <c r="C6823" s="319"/>
      <c r="D6823" s="392"/>
      <c r="E6823" s="165"/>
      <c r="F6823" s="401"/>
      <c r="G6823" s="401"/>
      <c r="H6823" s="401"/>
      <c r="I6823" s="399" t="str">
        <f t="shared" si="247"/>
        <v/>
      </c>
      <c r="J6823" s="393"/>
      <c r="K6823" s="1239"/>
      <c r="L6823" s="262"/>
      <c r="M6823" s="262"/>
      <c r="N6823" s="262"/>
    </row>
    <row r="6824" spans="1:14" s="263" customFormat="1" hidden="1" outlineLevel="1">
      <c r="A6824" s="1241"/>
      <c r="B6824" s="311"/>
      <c r="C6824" s="319"/>
      <c r="D6824" s="392">
        <v>1</v>
      </c>
      <c r="E6824" s="165">
        <v>3</v>
      </c>
      <c r="F6824" s="401">
        <v>7.625</v>
      </c>
      <c r="G6824" s="1353">
        <f>0.46+0.15+0.15</f>
        <v>0.76</v>
      </c>
      <c r="H6824" s="1203">
        <v>0.82299999999999995</v>
      </c>
      <c r="I6824" s="399">
        <f t="shared" si="247"/>
        <v>14.31</v>
      </c>
      <c r="J6824" s="393"/>
      <c r="K6824" s="1239"/>
      <c r="L6824" s="262"/>
      <c r="M6824" s="262"/>
      <c r="N6824" s="262"/>
    </row>
    <row r="6825" spans="1:14" s="263" customFormat="1" ht="34.5" hidden="1" outlineLevel="1">
      <c r="A6825" s="1241"/>
      <c r="B6825" s="311" t="s">
        <v>256</v>
      </c>
      <c r="C6825" s="319"/>
      <c r="D6825" s="392"/>
      <c r="E6825" s="165"/>
      <c r="F6825" s="401"/>
      <c r="G6825" s="401"/>
      <c r="H6825" s="401"/>
      <c r="I6825" s="399" t="str">
        <f t="shared" si="247"/>
        <v/>
      </c>
      <c r="J6825" s="393"/>
      <c r="K6825" s="1239"/>
      <c r="L6825" s="262"/>
      <c r="M6825" s="262"/>
      <c r="N6825" s="262"/>
    </row>
    <row r="6826" spans="1:14" s="263" customFormat="1" hidden="1" outlineLevel="1">
      <c r="A6826" s="1241"/>
      <c r="B6826" s="311"/>
      <c r="C6826" s="319" t="s">
        <v>2</v>
      </c>
      <c r="D6826" s="392">
        <v>1</v>
      </c>
      <c r="E6826" s="165">
        <v>8</v>
      </c>
      <c r="F6826" s="401">
        <v>7.625</v>
      </c>
      <c r="G6826" s="1353">
        <f>0.46+0.15+0.15</f>
        <v>0.76</v>
      </c>
      <c r="H6826" s="1203">
        <v>0.82299999999999995</v>
      </c>
      <c r="I6826" s="399">
        <f t="shared" si="247"/>
        <v>38.15</v>
      </c>
      <c r="J6826" s="393"/>
      <c r="K6826" s="1239"/>
      <c r="L6826" s="262"/>
      <c r="M6826" s="262"/>
      <c r="N6826" s="262"/>
    </row>
    <row r="6827" spans="1:14" s="263" customFormat="1" hidden="1" outlineLevel="1">
      <c r="A6827" s="1241"/>
      <c r="B6827" s="311"/>
      <c r="C6827" s="319" t="s">
        <v>2</v>
      </c>
      <c r="D6827" s="392">
        <v>1</v>
      </c>
      <c r="E6827" s="165">
        <v>1</v>
      </c>
      <c r="F6827" s="401">
        <v>9.35</v>
      </c>
      <c r="G6827" s="1353">
        <f>0.46+0.15+0.15</f>
        <v>0.76</v>
      </c>
      <c r="H6827" s="1203">
        <v>0.82299999999999995</v>
      </c>
      <c r="I6827" s="399">
        <f t="shared" si="247"/>
        <v>5.85</v>
      </c>
      <c r="J6827" s="393"/>
      <c r="K6827" s="1239"/>
      <c r="L6827" s="262"/>
      <c r="M6827" s="262"/>
      <c r="N6827" s="262"/>
    </row>
    <row r="6828" spans="1:14" hidden="1" outlineLevel="1">
      <c r="A6828" s="1241"/>
      <c r="B6828" s="389"/>
      <c r="C6828" s="386"/>
      <c r="D6828" s="390"/>
      <c r="E6828" s="386"/>
      <c r="F6828" s="1353"/>
      <c r="G6828" s="1353"/>
      <c r="H6828" s="1353"/>
      <c r="I6828" s="399" t="str">
        <f t="shared" si="247"/>
        <v/>
      </c>
      <c r="J6828" s="393"/>
      <c r="K6828" s="1229"/>
    </row>
    <row r="6829" spans="1:14" ht="51.75" hidden="1" outlineLevel="1">
      <c r="A6829" s="1241"/>
      <c r="B6829" s="391" t="s">
        <v>1095</v>
      </c>
      <c r="C6829" s="386" t="s">
        <v>2</v>
      </c>
      <c r="D6829" s="390"/>
      <c r="E6829" s="386"/>
      <c r="F6829" s="1353"/>
      <c r="G6829" s="1353"/>
      <c r="H6829" s="1353"/>
      <c r="I6829" s="399" t="str">
        <f t="shared" si="247"/>
        <v/>
      </c>
      <c r="J6829" s="393"/>
      <c r="K6829" s="1229"/>
    </row>
    <row r="6830" spans="1:14" hidden="1" outlineLevel="1">
      <c r="A6830" s="1241"/>
      <c r="B6830" s="391" t="s">
        <v>883</v>
      </c>
      <c r="C6830" s="386" t="s">
        <v>2</v>
      </c>
      <c r="D6830" s="390">
        <v>1</v>
      </c>
      <c r="E6830" s="386">
        <v>1</v>
      </c>
      <c r="F6830" s="1353">
        <v>4.6349999999999998</v>
      </c>
      <c r="G6830" s="1353">
        <f t="shared" ref="G6830:G6837" si="248">0.46+0.15+0.15</f>
        <v>0.76</v>
      </c>
      <c r="H6830" s="1203">
        <v>0.82299999999999995</v>
      </c>
      <c r="I6830" s="399">
        <f t="shared" si="247"/>
        <v>2.9</v>
      </c>
      <c r="J6830" s="393"/>
      <c r="K6830" s="1229"/>
    </row>
    <row r="6831" spans="1:14" hidden="1" outlineLevel="1">
      <c r="A6831" s="1241"/>
      <c r="B6831" s="389"/>
      <c r="C6831" s="386" t="s">
        <v>2</v>
      </c>
      <c r="D6831" s="390">
        <v>1</v>
      </c>
      <c r="E6831" s="386">
        <v>8</v>
      </c>
      <c r="F6831" s="1353">
        <v>7.625</v>
      </c>
      <c r="G6831" s="1353">
        <f t="shared" si="248"/>
        <v>0.76</v>
      </c>
      <c r="H6831" s="1203">
        <v>0.82299999999999995</v>
      </c>
      <c r="I6831" s="399">
        <f t="shared" si="247"/>
        <v>38.15</v>
      </c>
      <c r="J6831" s="393"/>
      <c r="K6831" s="1229"/>
    </row>
    <row r="6832" spans="1:14" hidden="1" outlineLevel="1">
      <c r="A6832" s="1241"/>
      <c r="B6832" s="389"/>
      <c r="C6832" s="386" t="s">
        <v>2</v>
      </c>
      <c r="D6832" s="390">
        <v>1</v>
      </c>
      <c r="E6832" s="386">
        <v>1</v>
      </c>
      <c r="F6832" s="1353">
        <v>10.14</v>
      </c>
      <c r="G6832" s="1353">
        <f t="shared" si="248"/>
        <v>0.76</v>
      </c>
      <c r="H6832" s="1203">
        <v>0.82299999999999995</v>
      </c>
      <c r="I6832" s="399">
        <f t="shared" si="247"/>
        <v>6.34</v>
      </c>
      <c r="J6832" s="393"/>
      <c r="K6832" s="1229"/>
    </row>
    <row r="6833" spans="1:14" ht="34.5" hidden="1" outlineLevel="1">
      <c r="A6833" s="1241"/>
      <c r="B6833" s="391" t="s">
        <v>698</v>
      </c>
      <c r="C6833" s="386" t="s">
        <v>2</v>
      </c>
      <c r="D6833" s="390">
        <v>1</v>
      </c>
      <c r="E6833" s="386">
        <v>1</v>
      </c>
      <c r="F6833" s="1354">
        <v>8.0969999999999995</v>
      </c>
      <c r="G6833" s="1353">
        <f t="shared" si="248"/>
        <v>0.76</v>
      </c>
      <c r="H6833" s="1203">
        <v>0.82299999999999995</v>
      </c>
      <c r="I6833" s="399">
        <f t="shared" si="247"/>
        <v>5.0599999999999996</v>
      </c>
      <c r="J6833" s="393"/>
      <c r="K6833" s="1229"/>
    </row>
    <row r="6834" spans="1:14" hidden="1" outlineLevel="1">
      <c r="A6834" s="1241"/>
      <c r="B6834" s="389"/>
      <c r="C6834" s="386" t="s">
        <v>2</v>
      </c>
      <c r="D6834" s="390">
        <v>1</v>
      </c>
      <c r="E6834" s="386">
        <f>13-8</f>
        <v>5</v>
      </c>
      <c r="F6834" s="1353">
        <v>7.625</v>
      </c>
      <c r="G6834" s="1353">
        <f t="shared" si="248"/>
        <v>0.76</v>
      </c>
      <c r="H6834" s="1203">
        <v>0.82299999999999995</v>
      </c>
      <c r="I6834" s="399">
        <f t="shared" si="247"/>
        <v>23.85</v>
      </c>
      <c r="J6834" s="393"/>
      <c r="K6834" s="1229"/>
    </row>
    <row r="6835" spans="1:14" hidden="1" outlineLevel="1">
      <c r="A6835" s="1241"/>
      <c r="B6835" s="389"/>
      <c r="C6835" s="386" t="s">
        <v>2</v>
      </c>
      <c r="D6835" s="390">
        <v>1</v>
      </c>
      <c r="E6835" s="386">
        <v>1</v>
      </c>
      <c r="F6835" s="1353">
        <f>10.215-9.95</f>
        <v>0.26500000000000057</v>
      </c>
      <c r="G6835" s="1353">
        <f t="shared" si="248"/>
        <v>0.76</v>
      </c>
      <c r="H6835" s="1203">
        <v>0.82299999999999995</v>
      </c>
      <c r="I6835" s="399">
        <f t="shared" si="247"/>
        <v>0.17</v>
      </c>
      <c r="J6835" s="393"/>
      <c r="K6835" s="1229"/>
    </row>
    <row r="6836" spans="1:14" ht="34.5" hidden="1" outlineLevel="1">
      <c r="A6836" s="1241"/>
      <c r="B6836" s="391" t="s">
        <v>1099</v>
      </c>
      <c r="C6836" s="386" t="s">
        <v>2</v>
      </c>
      <c r="D6836" s="390">
        <v>1</v>
      </c>
      <c r="E6836" s="386">
        <v>1</v>
      </c>
      <c r="F6836" s="1353">
        <f>8.14-G6836</f>
        <v>7.3800000000000008</v>
      </c>
      <c r="G6836" s="1353">
        <f t="shared" si="248"/>
        <v>0.76</v>
      </c>
      <c r="H6836" s="1203">
        <v>0.82299999999999995</v>
      </c>
      <c r="I6836" s="399">
        <f t="shared" si="247"/>
        <v>4.62</v>
      </c>
      <c r="J6836" s="393"/>
      <c r="K6836" s="1229"/>
    </row>
    <row r="6837" spans="1:14" hidden="1" outlineLevel="1">
      <c r="A6837" s="1241"/>
      <c r="B6837" s="389"/>
      <c r="C6837" s="386" t="s">
        <v>2</v>
      </c>
      <c r="D6837" s="390">
        <v>1</v>
      </c>
      <c r="E6837" s="386">
        <v>2</v>
      </c>
      <c r="F6837" s="1353">
        <v>7.625</v>
      </c>
      <c r="G6837" s="1353">
        <f t="shared" si="248"/>
        <v>0.76</v>
      </c>
      <c r="H6837" s="1203">
        <v>0.82299999999999995</v>
      </c>
      <c r="I6837" s="399">
        <f t="shared" si="247"/>
        <v>9.5399999999999991</v>
      </c>
      <c r="J6837" s="393"/>
      <c r="K6837" s="1229"/>
    </row>
    <row r="6838" spans="1:14" hidden="1" outlineLevel="1">
      <c r="A6838" s="1241"/>
      <c r="B6838" s="389"/>
      <c r="C6838" s="386"/>
      <c r="D6838" s="390"/>
      <c r="E6838" s="390"/>
      <c r="F6838" s="1353"/>
      <c r="G6838" s="1353"/>
      <c r="H6838" s="1353"/>
      <c r="I6838" s="399" t="str">
        <f t="shared" si="247"/>
        <v/>
      </c>
      <c r="J6838" s="393"/>
      <c r="K6838" s="1229"/>
    </row>
    <row r="6839" spans="1:14" s="263" customFormat="1" hidden="1" outlineLevel="1">
      <c r="A6839" s="1228"/>
      <c r="B6839" s="592" t="s">
        <v>886</v>
      </c>
      <c r="C6839" s="319"/>
      <c r="D6839" s="392"/>
      <c r="E6839" s="165"/>
      <c r="F6839" s="401"/>
      <c r="G6839" s="401"/>
      <c r="H6839" s="401"/>
      <c r="I6839" s="399" t="str">
        <f t="shared" si="247"/>
        <v/>
      </c>
      <c r="J6839" s="162"/>
      <c r="K6839" s="1239"/>
      <c r="L6839" s="262"/>
      <c r="M6839" s="262"/>
      <c r="N6839" s="262"/>
    </row>
    <row r="6840" spans="1:14" s="263" customFormat="1" ht="34.5" hidden="1" outlineLevel="1">
      <c r="A6840" s="1228"/>
      <c r="B6840" s="311" t="s">
        <v>1098</v>
      </c>
      <c r="C6840" s="319"/>
      <c r="D6840" s="392"/>
      <c r="E6840" s="165"/>
      <c r="F6840" s="401"/>
      <c r="G6840" s="401"/>
      <c r="H6840" s="401"/>
      <c r="I6840" s="399" t="str">
        <f t="shared" si="247"/>
        <v/>
      </c>
      <c r="J6840" s="162"/>
      <c r="K6840" s="1239"/>
      <c r="L6840" s="262"/>
      <c r="M6840" s="262"/>
      <c r="N6840" s="262"/>
    </row>
    <row r="6841" spans="1:14" s="263" customFormat="1" hidden="1" outlineLevel="1">
      <c r="A6841" s="1228"/>
      <c r="B6841" s="311"/>
      <c r="C6841" s="319"/>
      <c r="D6841" s="392"/>
      <c r="E6841" s="165"/>
      <c r="F6841" s="401"/>
      <c r="G6841" s="401"/>
      <c r="H6841" s="401"/>
      <c r="I6841" s="399" t="str">
        <f t="shared" si="247"/>
        <v/>
      </c>
      <c r="J6841" s="162"/>
      <c r="K6841" s="1239"/>
      <c r="L6841" s="262"/>
      <c r="M6841" s="262"/>
      <c r="N6841" s="262"/>
    </row>
    <row r="6842" spans="1:14" s="263" customFormat="1" hidden="1" outlineLevel="1">
      <c r="A6842" s="1228"/>
      <c r="B6842" s="311"/>
      <c r="C6842" s="319"/>
      <c r="D6842" s="392">
        <v>-1</v>
      </c>
      <c r="E6842" s="165">
        <v>3</v>
      </c>
      <c r="F6842" s="401">
        <v>7.625</v>
      </c>
      <c r="G6842" s="401">
        <v>0.61</v>
      </c>
      <c r="H6842" s="1203">
        <v>0.82299999999999995</v>
      </c>
      <c r="I6842" s="399">
        <f t="shared" si="247"/>
        <v>-11.48</v>
      </c>
      <c r="J6842" s="162"/>
      <c r="K6842" s="1239"/>
      <c r="L6842" s="262"/>
      <c r="M6842" s="262"/>
      <c r="N6842" s="262"/>
    </row>
    <row r="6843" spans="1:14" s="263" customFormat="1" ht="34.5" hidden="1" outlineLevel="1">
      <c r="A6843" s="1228"/>
      <c r="B6843" s="311" t="s">
        <v>256</v>
      </c>
      <c r="C6843" s="319"/>
      <c r="D6843" s="392"/>
      <c r="E6843" s="165"/>
      <c r="F6843" s="401"/>
      <c r="G6843" s="401"/>
      <c r="H6843" s="401"/>
      <c r="I6843" s="399" t="str">
        <f t="shared" si="247"/>
        <v/>
      </c>
      <c r="J6843" s="162"/>
      <c r="K6843" s="1239"/>
      <c r="L6843" s="262"/>
      <c r="M6843" s="262"/>
      <c r="N6843" s="262"/>
    </row>
    <row r="6844" spans="1:14" s="263" customFormat="1" hidden="1" outlineLevel="1">
      <c r="A6844" s="1228"/>
      <c r="B6844" s="311"/>
      <c r="C6844" s="319" t="s">
        <v>2</v>
      </c>
      <c r="D6844" s="392">
        <v>-1</v>
      </c>
      <c r="E6844" s="165">
        <v>8</v>
      </c>
      <c r="F6844" s="401">
        <v>7.625</v>
      </c>
      <c r="G6844" s="401">
        <v>0.61</v>
      </c>
      <c r="H6844" s="1203">
        <v>0.82299999999999995</v>
      </c>
      <c r="I6844" s="399">
        <f t="shared" si="247"/>
        <v>-30.62</v>
      </c>
      <c r="J6844" s="162"/>
      <c r="K6844" s="1239"/>
      <c r="L6844" s="262"/>
      <c r="M6844" s="262"/>
      <c r="N6844" s="262"/>
    </row>
    <row r="6845" spans="1:14" s="263" customFormat="1" hidden="1" outlineLevel="1">
      <c r="A6845" s="1228"/>
      <c r="B6845" s="311"/>
      <c r="C6845" s="319" t="s">
        <v>2</v>
      </c>
      <c r="D6845" s="392">
        <v>-1</v>
      </c>
      <c r="E6845" s="165">
        <v>1</v>
      </c>
      <c r="F6845" s="401">
        <v>9.35</v>
      </c>
      <c r="G6845" s="401">
        <v>0.61</v>
      </c>
      <c r="H6845" s="1203">
        <v>0.82299999999999995</v>
      </c>
      <c r="I6845" s="399">
        <f t="shared" si="247"/>
        <v>-4.6900000000000004</v>
      </c>
      <c r="J6845" s="162"/>
      <c r="K6845" s="1239"/>
      <c r="L6845" s="262"/>
      <c r="M6845" s="262"/>
      <c r="N6845" s="262"/>
    </row>
    <row r="6846" spans="1:14" s="263" customFormat="1" hidden="1" outlineLevel="1">
      <c r="A6846" s="1228"/>
      <c r="B6846" s="311"/>
      <c r="C6846" s="319"/>
      <c r="D6846" s="392"/>
      <c r="E6846" s="165"/>
      <c r="F6846" s="401"/>
      <c r="G6846" s="401"/>
      <c r="H6846" s="401"/>
      <c r="I6846" s="399" t="str">
        <f t="shared" si="247"/>
        <v/>
      </c>
      <c r="J6846" s="162"/>
      <c r="K6846" s="1239"/>
      <c r="L6846" s="262"/>
      <c r="M6846" s="262"/>
      <c r="N6846" s="262"/>
    </row>
    <row r="6847" spans="1:14" ht="51.75" hidden="1" outlineLevel="1">
      <c r="A6847" s="1228"/>
      <c r="B6847" s="594" t="s">
        <v>1095</v>
      </c>
      <c r="C6847" s="386" t="s">
        <v>2</v>
      </c>
      <c r="D6847" s="390"/>
      <c r="E6847" s="386"/>
      <c r="F6847" s="1353"/>
      <c r="G6847" s="1353"/>
      <c r="H6847" s="1353"/>
      <c r="I6847" s="399" t="str">
        <f t="shared" si="247"/>
        <v/>
      </c>
      <c r="J6847" s="162"/>
      <c r="K6847" s="1229"/>
    </row>
    <row r="6848" spans="1:14" ht="34.5" hidden="1" outlineLevel="1">
      <c r="A6848" s="1228"/>
      <c r="B6848" s="391" t="s">
        <v>1096</v>
      </c>
      <c r="C6848" s="386" t="s">
        <v>2</v>
      </c>
      <c r="D6848" s="390">
        <v>-1</v>
      </c>
      <c r="E6848" s="386">
        <v>1</v>
      </c>
      <c r="F6848" s="1353">
        <v>4.6349999999999998</v>
      </c>
      <c r="G6848" s="1353">
        <f t="shared" ref="G6848:G6855" si="249">0.46+0.15</f>
        <v>0.61</v>
      </c>
      <c r="H6848" s="1203">
        <v>0.82299999999999995</v>
      </c>
      <c r="I6848" s="399">
        <f t="shared" si="247"/>
        <v>-2.33</v>
      </c>
      <c r="J6848" s="162"/>
      <c r="K6848" s="1229"/>
    </row>
    <row r="6849" spans="1:16" hidden="1" outlineLevel="1">
      <c r="A6849" s="1228"/>
      <c r="B6849" s="389"/>
      <c r="C6849" s="386" t="s">
        <v>2</v>
      </c>
      <c r="D6849" s="390">
        <v>-1</v>
      </c>
      <c r="E6849" s="386">
        <v>8</v>
      </c>
      <c r="F6849" s="1353">
        <v>7.625</v>
      </c>
      <c r="G6849" s="1353">
        <f t="shared" si="249"/>
        <v>0.61</v>
      </c>
      <c r="H6849" s="1203">
        <v>0.82299999999999995</v>
      </c>
      <c r="I6849" s="399">
        <f t="shared" si="247"/>
        <v>-30.62</v>
      </c>
      <c r="J6849" s="162"/>
      <c r="K6849" s="1229"/>
    </row>
    <row r="6850" spans="1:16" hidden="1" outlineLevel="1">
      <c r="A6850" s="1228"/>
      <c r="B6850" s="389"/>
      <c r="C6850" s="386" t="s">
        <v>2</v>
      </c>
      <c r="D6850" s="390">
        <v>-1</v>
      </c>
      <c r="E6850" s="386">
        <v>1</v>
      </c>
      <c r="F6850" s="1353">
        <v>10.14</v>
      </c>
      <c r="G6850" s="1353">
        <f t="shared" si="249"/>
        <v>0.61</v>
      </c>
      <c r="H6850" s="1203">
        <v>0.82299999999999995</v>
      </c>
      <c r="I6850" s="399">
        <f t="shared" si="247"/>
        <v>-5.09</v>
      </c>
      <c r="J6850" s="162"/>
      <c r="K6850" s="1229"/>
    </row>
    <row r="6851" spans="1:16" ht="34.5" hidden="1" outlineLevel="1">
      <c r="A6851" s="1228"/>
      <c r="B6851" s="391" t="s">
        <v>1100</v>
      </c>
      <c r="C6851" s="386" t="s">
        <v>2</v>
      </c>
      <c r="D6851" s="390">
        <v>-1</v>
      </c>
      <c r="E6851" s="386">
        <v>1</v>
      </c>
      <c r="F6851" s="1353">
        <f>14.67-G6851</f>
        <v>14.06</v>
      </c>
      <c r="G6851" s="1353">
        <f t="shared" si="249"/>
        <v>0.61</v>
      </c>
      <c r="H6851" s="1203">
        <v>0.82299999999999995</v>
      </c>
      <c r="I6851" s="399">
        <f t="shared" si="247"/>
        <v>-7.06</v>
      </c>
      <c r="J6851" s="162"/>
      <c r="K6851" s="1229"/>
    </row>
    <row r="6852" spans="1:16" hidden="1" outlineLevel="1">
      <c r="A6852" s="1228"/>
      <c r="B6852" s="389"/>
      <c r="C6852" s="386" t="s">
        <v>2</v>
      </c>
      <c r="D6852" s="390">
        <v>-1</v>
      </c>
      <c r="E6852" s="386">
        <f>13-8</f>
        <v>5</v>
      </c>
      <c r="F6852" s="1353">
        <v>7.625</v>
      </c>
      <c r="G6852" s="1353">
        <f t="shared" si="249"/>
        <v>0.61</v>
      </c>
      <c r="H6852" s="1203">
        <v>0.82299999999999995</v>
      </c>
      <c r="I6852" s="399">
        <f t="shared" si="247"/>
        <v>-19.14</v>
      </c>
      <c r="J6852" s="162"/>
      <c r="K6852" s="1229"/>
    </row>
    <row r="6853" spans="1:16" hidden="1" outlineLevel="1">
      <c r="A6853" s="1228"/>
      <c r="B6853" s="389"/>
      <c r="C6853" s="386" t="s">
        <v>2</v>
      </c>
      <c r="D6853" s="390">
        <v>-1</v>
      </c>
      <c r="E6853" s="386">
        <v>1</v>
      </c>
      <c r="F6853" s="1353">
        <f>10.215-9.95</f>
        <v>0.26500000000000057</v>
      </c>
      <c r="G6853" s="1353">
        <f t="shared" si="249"/>
        <v>0.61</v>
      </c>
      <c r="H6853" s="1203">
        <v>0.82299999999999995</v>
      </c>
      <c r="I6853" s="399">
        <f t="shared" si="247"/>
        <v>-0.13</v>
      </c>
      <c r="J6853" s="162"/>
      <c r="K6853" s="1229"/>
    </row>
    <row r="6854" spans="1:16" ht="34.5" hidden="1" outlineLevel="1">
      <c r="A6854" s="1228"/>
      <c r="B6854" s="391" t="s">
        <v>1101</v>
      </c>
      <c r="C6854" s="386" t="s">
        <v>2</v>
      </c>
      <c r="D6854" s="390">
        <v>-1</v>
      </c>
      <c r="E6854" s="386">
        <v>1</v>
      </c>
      <c r="F6854" s="1353">
        <f>8.14-G6854</f>
        <v>7.53</v>
      </c>
      <c r="G6854" s="1353">
        <f t="shared" si="249"/>
        <v>0.61</v>
      </c>
      <c r="H6854" s="1203">
        <v>0.82299999999999995</v>
      </c>
      <c r="I6854" s="399">
        <f t="shared" si="247"/>
        <v>-3.78</v>
      </c>
      <c r="J6854" s="162"/>
      <c r="K6854" s="1229"/>
    </row>
    <row r="6855" spans="1:16" hidden="1" outlineLevel="1">
      <c r="A6855" s="1228"/>
      <c r="B6855" s="389"/>
      <c r="C6855" s="386" t="s">
        <v>2</v>
      </c>
      <c r="D6855" s="390">
        <v>-1</v>
      </c>
      <c r="E6855" s="386">
        <v>2</v>
      </c>
      <c r="F6855" s="1353">
        <v>7.625</v>
      </c>
      <c r="G6855" s="1353">
        <f t="shared" si="249"/>
        <v>0.61</v>
      </c>
      <c r="H6855" s="1203">
        <v>0.82299999999999995</v>
      </c>
      <c r="I6855" s="399">
        <f t="shared" si="247"/>
        <v>-7.66</v>
      </c>
      <c r="J6855" s="162"/>
      <c r="K6855" s="1229"/>
    </row>
    <row r="6856" spans="1:16" hidden="1" outlineLevel="1">
      <c r="A6856" s="1232"/>
      <c r="B6856" s="311"/>
      <c r="C6856" s="165"/>
      <c r="D6856" s="392"/>
      <c r="E6856" s="165"/>
      <c r="F6856" s="401"/>
      <c r="G6856" s="401"/>
      <c r="H6856" s="401"/>
      <c r="I6856" s="399" t="str">
        <f t="shared" si="247"/>
        <v/>
      </c>
      <c r="J6856" s="294"/>
      <c r="K6856" s="1242"/>
    </row>
    <row r="6857" spans="1:16" hidden="1" outlineLevel="1">
      <c r="A6857" s="1232"/>
      <c r="B6857" s="592" t="s">
        <v>1102</v>
      </c>
      <c r="C6857" s="165"/>
      <c r="D6857" s="392"/>
      <c r="E6857" s="165"/>
      <c r="F6857" s="401"/>
      <c r="G6857" s="401"/>
      <c r="H6857" s="401"/>
      <c r="I6857" s="399" t="str">
        <f t="shared" si="247"/>
        <v/>
      </c>
      <c r="J6857" s="294"/>
      <c r="K6857" s="1242"/>
    </row>
    <row r="6858" spans="1:16" ht="34.5" hidden="1" outlineLevel="1">
      <c r="A6858" s="1232"/>
      <c r="B6858" s="311" t="s">
        <v>1307</v>
      </c>
      <c r="C6858" s="165" t="s">
        <v>2</v>
      </c>
      <c r="D6858" s="392">
        <v>1</v>
      </c>
      <c r="E6858" s="165">
        <v>5</v>
      </c>
      <c r="F6858" s="401">
        <f>0.9+0.2+0.2+0.3+0.3</f>
        <v>1.9000000000000001</v>
      </c>
      <c r="G6858" s="401">
        <f>0.9+0.2+0.2+0.3+0.3</f>
        <v>1.9000000000000001</v>
      </c>
      <c r="H6858" s="401">
        <v>0.85</v>
      </c>
      <c r="I6858" s="399">
        <f t="shared" si="247"/>
        <v>15.34</v>
      </c>
      <c r="J6858" s="294"/>
      <c r="K6858" s="1242"/>
    </row>
    <row r="6859" spans="1:16" ht="51.75" hidden="1" outlineLevel="1">
      <c r="A6859" s="1232"/>
      <c r="B6859" s="311" t="s">
        <v>1308</v>
      </c>
      <c r="C6859" s="165" t="s">
        <v>2</v>
      </c>
      <c r="D6859" s="392">
        <v>1</v>
      </c>
      <c r="E6859" s="165">
        <v>1</v>
      </c>
      <c r="F6859" s="401">
        <f>2+0.2+0.2+0.115+0.115+0.1+0.1</f>
        <v>2.830000000000001</v>
      </c>
      <c r="G6859" s="401">
        <f>2+0.2+0.2+0.115+0.115+0.1+0.1</f>
        <v>2.830000000000001</v>
      </c>
      <c r="H6859" s="401">
        <f>1.8+0.2+0.1</f>
        <v>2.1</v>
      </c>
      <c r="I6859" s="399">
        <f t="shared" si="247"/>
        <v>16.82</v>
      </c>
      <c r="J6859" s="294"/>
      <c r="K6859" s="1242"/>
    </row>
    <row r="6860" spans="1:16" s="870" customFormat="1" ht="69" hidden="1" outlineLevel="1" collapsed="1">
      <c r="A6860" s="1321">
        <v>1</v>
      </c>
      <c r="B6860" s="855" t="s">
        <v>1468</v>
      </c>
      <c r="C6860" s="854"/>
      <c r="D6860" s="872"/>
      <c r="E6860" s="901"/>
      <c r="F6860" s="859"/>
      <c r="G6860" s="859"/>
      <c r="H6860" s="859"/>
      <c r="I6860" s="399" t="str">
        <f t="shared" si="247"/>
        <v/>
      </c>
      <c r="J6860" s="874"/>
      <c r="K6860" s="1322"/>
      <c r="L6860" s="869"/>
      <c r="M6860" s="869"/>
      <c r="N6860" s="869"/>
    </row>
    <row r="6861" spans="1:16" s="858" customFormat="1" hidden="1" outlineLevel="1">
      <c r="A6861" s="1321"/>
      <c r="B6861" s="855"/>
      <c r="C6861" s="854"/>
      <c r="D6861" s="872"/>
      <c r="E6861" s="901"/>
      <c r="F6861" s="859"/>
      <c r="G6861" s="859"/>
      <c r="H6861" s="859"/>
      <c r="I6861" s="399" t="str">
        <f t="shared" si="247"/>
        <v/>
      </c>
      <c r="J6861" s="874"/>
      <c r="K6861" s="1322"/>
      <c r="L6861" s="875"/>
      <c r="M6861" s="875"/>
      <c r="N6861" s="875"/>
      <c r="O6861" s="875"/>
      <c r="P6861" s="875"/>
    </row>
    <row r="6862" spans="1:16" s="858" customFormat="1" hidden="1" outlineLevel="1">
      <c r="A6862" s="1321">
        <v>1.1000000000000001</v>
      </c>
      <c r="B6862" s="855" t="s">
        <v>1310</v>
      </c>
      <c r="C6862" s="854" t="s">
        <v>2</v>
      </c>
      <c r="D6862" s="872">
        <v>1</v>
      </c>
      <c r="E6862" s="901">
        <v>2</v>
      </c>
      <c r="F6862" s="859">
        <f>5.85+0.46+0.46+0.15+0.15</f>
        <v>7.07</v>
      </c>
      <c r="G6862" s="863">
        <v>0.76</v>
      </c>
      <c r="H6862" s="859">
        <v>0.15</v>
      </c>
      <c r="I6862" s="399">
        <f t="shared" si="247"/>
        <v>1.61</v>
      </c>
      <c r="J6862" s="874"/>
      <c r="K6862" s="1322"/>
      <c r="L6862" s="875"/>
      <c r="M6862" s="875"/>
      <c r="N6862" s="875"/>
      <c r="O6862" s="875"/>
      <c r="P6862" s="875"/>
    </row>
    <row r="6863" spans="1:16" s="858" customFormat="1" hidden="1" outlineLevel="1">
      <c r="A6863" s="1321">
        <v>1.2</v>
      </c>
      <c r="B6863" s="855" t="s">
        <v>1310</v>
      </c>
      <c r="C6863" s="854" t="s">
        <v>2</v>
      </c>
      <c r="D6863" s="872">
        <v>1</v>
      </c>
      <c r="E6863" s="901">
        <v>2</v>
      </c>
      <c r="F6863" s="859">
        <f>5.025+0.46+0.46+0.15+0.15</f>
        <v>6.245000000000001</v>
      </c>
      <c r="G6863" s="863">
        <v>0.76</v>
      </c>
      <c r="H6863" s="859">
        <v>0.15</v>
      </c>
      <c r="I6863" s="399">
        <f t="shared" si="247"/>
        <v>1.42</v>
      </c>
      <c r="J6863" s="874"/>
      <c r="K6863" s="1322"/>
      <c r="L6863" s="875"/>
      <c r="M6863" s="875"/>
      <c r="N6863" s="875"/>
      <c r="O6863" s="875"/>
      <c r="P6863" s="875"/>
    </row>
    <row r="6864" spans="1:16" s="858" customFormat="1" ht="69" hidden="1" outlineLevel="1">
      <c r="A6864" s="1321">
        <v>2</v>
      </c>
      <c r="B6864" s="855" t="s">
        <v>1469</v>
      </c>
      <c r="C6864" s="854"/>
      <c r="D6864" s="872"/>
      <c r="E6864" s="901"/>
      <c r="F6864" s="859"/>
      <c r="G6864" s="859"/>
      <c r="H6864" s="859"/>
      <c r="I6864" s="399" t="str">
        <f t="shared" si="247"/>
        <v/>
      </c>
      <c r="J6864" s="874"/>
      <c r="K6864" s="1322"/>
      <c r="L6864" s="875"/>
      <c r="M6864" s="875"/>
      <c r="N6864" s="875"/>
      <c r="O6864" s="875"/>
      <c r="P6864" s="875"/>
    </row>
    <row r="6865" spans="1:16" s="858" customFormat="1" hidden="1" outlineLevel="1">
      <c r="A6865" s="1321">
        <v>2.1</v>
      </c>
      <c r="B6865" s="855" t="s">
        <v>1310</v>
      </c>
      <c r="C6865" s="854" t="s">
        <v>2</v>
      </c>
      <c r="D6865" s="872">
        <v>1</v>
      </c>
      <c r="E6865" s="901">
        <v>2</v>
      </c>
      <c r="F6865" s="859">
        <f>5.85+0.46+0.46+0.15+0.15</f>
        <v>7.07</v>
      </c>
      <c r="G6865" s="863">
        <v>0.76</v>
      </c>
      <c r="H6865" s="859">
        <v>0.15</v>
      </c>
      <c r="I6865" s="399">
        <f t="shared" si="247"/>
        <v>1.61</v>
      </c>
      <c r="J6865" s="874"/>
      <c r="K6865" s="1322"/>
      <c r="L6865" s="875"/>
      <c r="M6865" s="875"/>
      <c r="N6865" s="875"/>
      <c r="O6865" s="875"/>
      <c r="P6865" s="875"/>
    </row>
    <row r="6866" spans="1:16" s="858" customFormat="1" hidden="1" outlineLevel="1">
      <c r="A6866" s="1321">
        <v>2.2000000000000002</v>
      </c>
      <c r="B6866" s="855" t="s">
        <v>1310</v>
      </c>
      <c r="C6866" s="854" t="s">
        <v>2</v>
      </c>
      <c r="D6866" s="872">
        <v>1</v>
      </c>
      <c r="E6866" s="901">
        <v>2</v>
      </c>
      <c r="F6866" s="859">
        <f>5.025+0.46+0.46+0.15+0.15</f>
        <v>6.245000000000001</v>
      </c>
      <c r="G6866" s="863">
        <v>0.76</v>
      </c>
      <c r="H6866" s="859">
        <v>0.15</v>
      </c>
      <c r="I6866" s="399">
        <f t="shared" si="247"/>
        <v>1.42</v>
      </c>
      <c r="J6866" s="874"/>
      <c r="K6866" s="1322"/>
      <c r="L6866" s="875"/>
      <c r="M6866" s="875"/>
      <c r="N6866" s="875"/>
      <c r="O6866" s="875"/>
      <c r="P6866" s="875"/>
    </row>
    <row r="6867" spans="1:16" s="858" customFormat="1" ht="69" hidden="1" outlineLevel="1">
      <c r="A6867" s="1321">
        <v>3</v>
      </c>
      <c r="B6867" s="855" t="s">
        <v>1470</v>
      </c>
      <c r="C6867" s="854"/>
      <c r="D6867" s="872"/>
      <c r="E6867" s="901"/>
      <c r="F6867" s="859"/>
      <c r="G6867" s="859"/>
      <c r="H6867" s="859"/>
      <c r="I6867" s="399" t="str">
        <f t="shared" si="247"/>
        <v/>
      </c>
      <c r="J6867" s="874"/>
      <c r="K6867" s="1322"/>
      <c r="L6867" s="875"/>
      <c r="M6867" s="875"/>
      <c r="N6867" s="875"/>
      <c r="O6867" s="875"/>
      <c r="P6867" s="875"/>
    </row>
    <row r="6868" spans="1:16" s="858" customFormat="1" hidden="1" outlineLevel="1">
      <c r="A6868" s="1321">
        <v>3.1</v>
      </c>
      <c r="B6868" s="855" t="s">
        <v>1310</v>
      </c>
      <c r="C6868" s="854" t="s">
        <v>2</v>
      </c>
      <c r="D6868" s="872">
        <v>1</v>
      </c>
      <c r="E6868" s="901">
        <v>2</v>
      </c>
      <c r="F6868" s="859">
        <f>5.85+0.46+0.46+0.15+0.15</f>
        <v>7.07</v>
      </c>
      <c r="G6868" s="863">
        <v>0.76</v>
      </c>
      <c r="H6868" s="859">
        <v>0.15</v>
      </c>
      <c r="I6868" s="399">
        <f t="shared" si="247"/>
        <v>1.61</v>
      </c>
      <c r="J6868" s="874"/>
      <c r="K6868" s="1322"/>
      <c r="L6868" s="875"/>
      <c r="M6868" s="875"/>
      <c r="N6868" s="875"/>
      <c r="O6868" s="875"/>
      <c r="P6868" s="875"/>
    </row>
    <row r="6869" spans="1:16" s="858" customFormat="1" hidden="1" outlineLevel="1">
      <c r="A6869" s="1321">
        <v>3.2</v>
      </c>
      <c r="B6869" s="855" t="s">
        <v>1310</v>
      </c>
      <c r="C6869" s="854" t="s">
        <v>2</v>
      </c>
      <c r="D6869" s="872">
        <v>1</v>
      </c>
      <c r="E6869" s="901">
        <v>2</v>
      </c>
      <c r="F6869" s="859">
        <f>5.025+0.46+0.46+0.15+0.15</f>
        <v>6.245000000000001</v>
      </c>
      <c r="G6869" s="863">
        <v>0.76</v>
      </c>
      <c r="H6869" s="859">
        <v>0.15</v>
      </c>
      <c r="I6869" s="399">
        <f t="shared" si="247"/>
        <v>1.42</v>
      </c>
      <c r="J6869" s="874"/>
      <c r="K6869" s="1322"/>
      <c r="L6869" s="875"/>
      <c r="M6869" s="875"/>
      <c r="N6869" s="875"/>
      <c r="O6869" s="875"/>
      <c r="P6869" s="875"/>
    </row>
    <row r="6870" spans="1:16" s="858" customFormat="1" hidden="1" outlineLevel="1">
      <c r="A6870" s="1321">
        <v>3.3</v>
      </c>
      <c r="B6870" s="855" t="s">
        <v>1310</v>
      </c>
      <c r="C6870" s="854" t="s">
        <v>2</v>
      </c>
      <c r="D6870" s="872">
        <v>1</v>
      </c>
      <c r="E6870" s="901">
        <v>2</v>
      </c>
      <c r="F6870" s="859">
        <f>2.625+0.46+0.46+0.15+0.15</f>
        <v>3.8449999999999998</v>
      </c>
      <c r="G6870" s="863">
        <v>0.76</v>
      </c>
      <c r="H6870" s="859">
        <v>0.15</v>
      </c>
      <c r="I6870" s="399">
        <f t="shared" si="247"/>
        <v>0.88</v>
      </c>
      <c r="J6870" s="874"/>
      <c r="K6870" s="1322"/>
      <c r="L6870" s="875"/>
      <c r="M6870" s="875"/>
      <c r="N6870" s="875"/>
      <c r="O6870" s="875"/>
      <c r="P6870" s="875"/>
    </row>
    <row r="6871" spans="1:16" s="858" customFormat="1" hidden="1" outlineLevel="1">
      <c r="A6871" s="1321">
        <v>3.4</v>
      </c>
      <c r="B6871" s="855" t="s">
        <v>1310</v>
      </c>
      <c r="C6871" s="854" t="s">
        <v>2</v>
      </c>
      <c r="D6871" s="872">
        <v>1</v>
      </c>
      <c r="E6871" s="901">
        <v>2</v>
      </c>
      <c r="F6871" s="859">
        <f>2.4+0.46+0.46+0.15+0.15</f>
        <v>3.6199999999999997</v>
      </c>
      <c r="G6871" s="863">
        <v>0.76</v>
      </c>
      <c r="H6871" s="859">
        <v>0.15</v>
      </c>
      <c r="I6871" s="399">
        <f t="shared" si="247"/>
        <v>0.83</v>
      </c>
      <c r="J6871" s="874"/>
      <c r="K6871" s="1322"/>
      <c r="L6871" s="875"/>
      <c r="M6871" s="875"/>
      <c r="N6871" s="875"/>
      <c r="O6871" s="875"/>
      <c r="P6871" s="875"/>
    </row>
    <row r="6872" spans="1:16" s="858" customFormat="1" hidden="1" outlineLevel="1">
      <c r="A6872" s="1323"/>
      <c r="B6872" s="855"/>
      <c r="C6872" s="854"/>
      <c r="D6872" s="872"/>
      <c r="E6872" s="901"/>
      <c r="F6872" s="859"/>
      <c r="G6872" s="859"/>
      <c r="H6872" s="859"/>
      <c r="I6872" s="399" t="str">
        <f t="shared" si="247"/>
        <v/>
      </c>
      <c r="J6872" s="894"/>
      <c r="K6872" s="1322"/>
      <c r="L6872" s="875"/>
      <c r="M6872" s="875"/>
      <c r="N6872" s="875"/>
      <c r="O6872" s="875"/>
      <c r="P6872" s="875"/>
    </row>
    <row r="6873" spans="1:16" s="870" customFormat="1" hidden="1" outlineLevel="1">
      <c r="A6873" s="1324"/>
      <c r="B6873" s="904" t="s">
        <v>1288</v>
      </c>
      <c r="C6873" s="854"/>
      <c r="D6873" s="905"/>
      <c r="E6873" s="879"/>
      <c r="F6873" s="1374"/>
      <c r="G6873" s="1374"/>
      <c r="H6873" s="1366"/>
      <c r="I6873" s="399" t="str">
        <f t="shared" si="247"/>
        <v/>
      </c>
      <c r="J6873" s="880"/>
      <c r="K6873" s="1325"/>
      <c r="L6873" s="869"/>
      <c r="M6873" s="869"/>
      <c r="N6873" s="869"/>
    </row>
    <row r="6874" spans="1:16" s="858" customFormat="1" ht="34.5" hidden="1" outlineLevel="1">
      <c r="A6874" s="1323"/>
      <c r="B6874" s="855" t="s">
        <v>258</v>
      </c>
      <c r="C6874" s="854"/>
      <c r="D6874" s="872"/>
      <c r="E6874" s="902"/>
      <c r="F6874" s="859"/>
      <c r="G6874" s="859"/>
      <c r="H6874" s="859"/>
      <c r="I6874" s="399" t="str">
        <f t="shared" si="247"/>
        <v/>
      </c>
      <c r="J6874" s="894"/>
      <c r="K6874" s="1326" t="s">
        <v>1286</v>
      </c>
      <c r="L6874" s="875"/>
      <c r="M6874" s="875"/>
      <c r="N6874" s="875"/>
      <c r="O6874" s="875"/>
      <c r="P6874" s="875"/>
    </row>
    <row r="6875" spans="1:16" s="858" customFormat="1" ht="34.5" hidden="1" outlineLevel="1">
      <c r="A6875" s="1323"/>
      <c r="B6875" s="871"/>
      <c r="C6875" s="854" t="s">
        <v>2</v>
      </c>
      <c r="D6875" s="872">
        <v>1</v>
      </c>
      <c r="E6875" s="901">
        <v>1</v>
      </c>
      <c r="F6875" s="859">
        <v>27.54</v>
      </c>
      <c r="G6875" s="859">
        <v>14.739999999999998</v>
      </c>
      <c r="H6875" s="859">
        <v>0.82299999999999995</v>
      </c>
      <c r="I6875" s="399">
        <f t="shared" si="247"/>
        <v>334.09</v>
      </c>
      <c r="J6875" s="894"/>
      <c r="K6875" s="1322" t="s">
        <v>1287</v>
      </c>
      <c r="L6875" s="875"/>
      <c r="M6875" s="875"/>
      <c r="N6875" s="875"/>
      <c r="O6875" s="875"/>
      <c r="P6875" s="875"/>
    </row>
    <row r="6876" spans="1:16" s="858" customFormat="1" hidden="1" outlineLevel="1">
      <c r="A6876" s="1323"/>
      <c r="B6876" s="871"/>
      <c r="C6876" s="854"/>
      <c r="D6876" s="872">
        <f t="shared" ref="D6876:D6937" si="250">1*0</f>
        <v>0</v>
      </c>
      <c r="E6876" s="901"/>
      <c r="F6876" s="859"/>
      <c r="G6876" s="859"/>
      <c r="H6876" s="859"/>
      <c r="I6876" s="399" t="str">
        <f t="shared" si="247"/>
        <v/>
      </c>
      <c r="J6876" s="894"/>
      <c r="K6876" s="1322"/>
      <c r="L6876" s="875"/>
      <c r="M6876" s="875"/>
      <c r="N6876" s="875"/>
      <c r="O6876" s="875"/>
      <c r="P6876" s="875"/>
    </row>
    <row r="6877" spans="1:16" s="858" customFormat="1" hidden="1" outlineLevel="1">
      <c r="A6877" s="1323"/>
      <c r="B6877" s="855" t="s">
        <v>259</v>
      </c>
      <c r="C6877" s="854"/>
      <c r="D6877" s="872">
        <f t="shared" si="250"/>
        <v>0</v>
      </c>
      <c r="E6877" s="901"/>
      <c r="F6877" s="859"/>
      <c r="G6877" s="859"/>
      <c r="H6877" s="859"/>
      <c r="I6877" s="399" t="str">
        <f t="shared" ref="I6877:I6940" si="251">IF(D6877&lt;&gt;0,ROUND(PRODUCT(E6877:H6877)*D6877,2),"")</f>
        <v/>
      </c>
      <c r="J6877" s="894"/>
      <c r="K6877" s="1322"/>
      <c r="L6877" s="875"/>
      <c r="M6877" s="875"/>
      <c r="N6877" s="875"/>
      <c r="O6877" s="875"/>
      <c r="P6877" s="875"/>
    </row>
    <row r="6878" spans="1:16" s="858" customFormat="1" hidden="1" outlineLevel="1">
      <c r="A6878" s="1323"/>
      <c r="B6878" s="855" t="s">
        <v>260</v>
      </c>
      <c r="C6878" s="854" t="s">
        <v>2</v>
      </c>
      <c r="D6878" s="872">
        <v>1</v>
      </c>
      <c r="E6878" s="901">
        <v>1</v>
      </c>
      <c r="F6878" s="859">
        <v>29.2</v>
      </c>
      <c r="G6878" s="859">
        <v>6</v>
      </c>
      <c r="H6878" s="859">
        <v>0.82299999999999995</v>
      </c>
      <c r="I6878" s="399">
        <f t="shared" si="251"/>
        <v>144.19</v>
      </c>
      <c r="J6878" s="894"/>
      <c r="K6878" s="1322"/>
      <c r="L6878" s="875"/>
      <c r="M6878" s="875"/>
      <c r="N6878" s="875"/>
      <c r="O6878" s="875"/>
      <c r="P6878" s="875"/>
    </row>
    <row r="6879" spans="1:16" s="858" customFormat="1" hidden="1" outlineLevel="1">
      <c r="A6879" s="1323"/>
      <c r="B6879" s="855"/>
      <c r="C6879" s="854" t="s">
        <v>2</v>
      </c>
      <c r="D6879" s="872">
        <v>1</v>
      </c>
      <c r="E6879" s="901">
        <v>1</v>
      </c>
      <c r="F6879" s="859">
        <v>8.32</v>
      </c>
      <c r="G6879" s="859">
        <v>6.78</v>
      </c>
      <c r="H6879" s="859">
        <v>0.82299999999999995</v>
      </c>
      <c r="I6879" s="399">
        <f t="shared" si="251"/>
        <v>46.43</v>
      </c>
      <c r="J6879" s="894"/>
      <c r="K6879" s="1322"/>
      <c r="L6879" s="875"/>
      <c r="M6879" s="875"/>
      <c r="N6879" s="875"/>
      <c r="O6879" s="875"/>
      <c r="P6879" s="875"/>
    </row>
    <row r="6880" spans="1:16" s="858" customFormat="1" hidden="1" outlineLevel="1">
      <c r="A6880" s="1323"/>
      <c r="B6880" s="855" t="s">
        <v>261</v>
      </c>
      <c r="C6880" s="854" t="s">
        <v>2</v>
      </c>
      <c r="D6880" s="872">
        <v>1</v>
      </c>
      <c r="E6880" s="901">
        <v>1</v>
      </c>
      <c r="F6880" s="859">
        <v>23.234999999999999</v>
      </c>
      <c r="G6880" s="859">
        <v>6</v>
      </c>
      <c r="H6880" s="859">
        <v>0.82299999999999995</v>
      </c>
      <c r="I6880" s="399">
        <f t="shared" si="251"/>
        <v>114.73</v>
      </c>
      <c r="J6880" s="894"/>
      <c r="K6880" s="1322"/>
      <c r="L6880" s="875"/>
      <c r="M6880" s="875"/>
      <c r="N6880" s="875"/>
      <c r="O6880" s="875"/>
      <c r="P6880" s="875"/>
    </row>
    <row r="6881" spans="1:16" s="858" customFormat="1" hidden="1" outlineLevel="1">
      <c r="A6881" s="1323"/>
      <c r="B6881" s="855" t="s">
        <v>261</v>
      </c>
      <c r="C6881" s="854" t="s">
        <v>2</v>
      </c>
      <c r="D6881" s="872">
        <v>1</v>
      </c>
      <c r="E6881" s="901">
        <v>1</v>
      </c>
      <c r="F6881" s="859">
        <v>2.2749999999999999</v>
      </c>
      <c r="G6881" s="859">
        <v>6</v>
      </c>
      <c r="H6881" s="859">
        <v>0.82299999999999995</v>
      </c>
      <c r="I6881" s="399">
        <f t="shared" si="251"/>
        <v>11.23</v>
      </c>
      <c r="J6881" s="894"/>
      <c r="K6881" s="1322"/>
      <c r="L6881" s="875"/>
      <c r="M6881" s="875"/>
      <c r="N6881" s="875"/>
      <c r="O6881" s="875"/>
      <c r="P6881" s="875"/>
    </row>
    <row r="6882" spans="1:16" s="858" customFormat="1" hidden="1" outlineLevel="1">
      <c r="A6882" s="1323"/>
      <c r="B6882" s="855" t="s">
        <v>261</v>
      </c>
      <c r="C6882" s="854" t="s">
        <v>2</v>
      </c>
      <c r="D6882" s="872">
        <v>1</v>
      </c>
      <c r="E6882" s="901">
        <v>1</v>
      </c>
      <c r="F6882" s="859">
        <v>32.39</v>
      </c>
      <c r="G6882" s="859">
        <v>6</v>
      </c>
      <c r="H6882" s="859">
        <v>0.82299999999999995</v>
      </c>
      <c r="I6882" s="399">
        <f t="shared" si="251"/>
        <v>159.94</v>
      </c>
      <c r="J6882" s="894"/>
      <c r="K6882" s="1322"/>
      <c r="L6882" s="875"/>
      <c r="M6882" s="875"/>
      <c r="N6882" s="875"/>
      <c r="O6882" s="875"/>
      <c r="P6882" s="875"/>
    </row>
    <row r="6883" spans="1:16" s="858" customFormat="1" hidden="1" outlineLevel="1">
      <c r="A6883" s="1323"/>
      <c r="B6883" s="855" t="s">
        <v>261</v>
      </c>
      <c r="C6883" s="854" t="s">
        <v>2</v>
      </c>
      <c r="D6883" s="872">
        <v>1</v>
      </c>
      <c r="E6883" s="901">
        <v>1</v>
      </c>
      <c r="F6883" s="859">
        <v>5.2949999999999999</v>
      </c>
      <c r="G6883" s="859">
        <v>6</v>
      </c>
      <c r="H6883" s="859">
        <v>0.82299999999999995</v>
      </c>
      <c r="I6883" s="399">
        <f t="shared" si="251"/>
        <v>26.15</v>
      </c>
      <c r="J6883" s="894"/>
      <c r="K6883" s="1322"/>
      <c r="L6883" s="875"/>
      <c r="M6883" s="875"/>
      <c r="N6883" s="875"/>
      <c r="O6883" s="875"/>
      <c r="P6883" s="875"/>
    </row>
    <row r="6884" spans="1:16" s="858" customFormat="1" hidden="1" outlineLevel="1">
      <c r="A6884" s="1323"/>
      <c r="B6884" s="855"/>
      <c r="C6884" s="854"/>
      <c r="D6884" s="872">
        <f t="shared" si="250"/>
        <v>0</v>
      </c>
      <c r="E6884" s="901"/>
      <c r="F6884" s="859"/>
      <c r="G6884" s="859"/>
      <c r="H6884" s="859"/>
      <c r="I6884" s="399" t="str">
        <f t="shared" si="251"/>
        <v/>
      </c>
      <c r="J6884" s="894"/>
      <c r="K6884" s="1322"/>
      <c r="L6884" s="875"/>
      <c r="M6884" s="875"/>
      <c r="N6884" s="875"/>
      <c r="O6884" s="875"/>
      <c r="P6884" s="875"/>
    </row>
    <row r="6885" spans="1:16" s="858" customFormat="1" ht="34.5" hidden="1" outlineLevel="1">
      <c r="A6885" s="1323"/>
      <c r="B6885" s="855" t="s">
        <v>314</v>
      </c>
      <c r="C6885" s="854" t="s">
        <v>2</v>
      </c>
      <c r="D6885" s="872">
        <v>1</v>
      </c>
      <c r="E6885" s="901">
        <v>1</v>
      </c>
      <c r="F6885" s="859">
        <v>31.463000000000001</v>
      </c>
      <c r="G6885" s="859">
        <v>6</v>
      </c>
      <c r="H6885" s="859">
        <v>0.82299999999999995</v>
      </c>
      <c r="I6885" s="399">
        <f t="shared" si="251"/>
        <v>155.36000000000001</v>
      </c>
      <c r="J6885" s="894"/>
      <c r="K6885" s="1322"/>
      <c r="L6885" s="875"/>
      <c r="M6885" s="875"/>
      <c r="N6885" s="875"/>
      <c r="O6885" s="875"/>
      <c r="P6885" s="875"/>
    </row>
    <row r="6886" spans="1:16" s="858" customFormat="1" ht="34.5" hidden="1" outlineLevel="1">
      <c r="A6886" s="1323"/>
      <c r="B6886" s="855" t="s">
        <v>315</v>
      </c>
      <c r="C6886" s="854" t="s">
        <v>2</v>
      </c>
      <c r="D6886" s="872">
        <v>1</v>
      </c>
      <c r="E6886" s="901">
        <v>1</v>
      </c>
      <c r="F6886" s="859">
        <v>33.192999999999998</v>
      </c>
      <c r="G6886" s="859">
        <v>6</v>
      </c>
      <c r="H6886" s="859">
        <v>0.82299999999999995</v>
      </c>
      <c r="I6886" s="399">
        <f t="shared" si="251"/>
        <v>163.91</v>
      </c>
      <c r="J6886" s="894"/>
      <c r="K6886" s="1322"/>
      <c r="L6886" s="875"/>
      <c r="M6886" s="875"/>
      <c r="N6886" s="875"/>
      <c r="O6886" s="875"/>
      <c r="P6886" s="875"/>
    </row>
    <row r="6887" spans="1:16" s="858" customFormat="1" hidden="1" outlineLevel="1">
      <c r="A6887" s="1323"/>
      <c r="B6887" s="855"/>
      <c r="C6887" s="854" t="s">
        <v>2</v>
      </c>
      <c r="D6887" s="872">
        <v>1</v>
      </c>
      <c r="E6887" s="901">
        <v>1</v>
      </c>
      <c r="F6887" s="859">
        <v>29.853999999999999</v>
      </c>
      <c r="G6887" s="859">
        <v>6</v>
      </c>
      <c r="H6887" s="859">
        <v>0.82299999999999995</v>
      </c>
      <c r="I6887" s="399">
        <f t="shared" si="251"/>
        <v>147.41999999999999</v>
      </c>
      <c r="J6887" s="894"/>
      <c r="K6887" s="1322"/>
      <c r="L6887" s="875"/>
      <c r="M6887" s="875"/>
      <c r="N6887" s="875"/>
      <c r="O6887" s="875"/>
      <c r="P6887" s="875"/>
    </row>
    <row r="6888" spans="1:16" s="858" customFormat="1" hidden="1" outlineLevel="1">
      <c r="A6888" s="1323"/>
      <c r="B6888" s="855"/>
      <c r="C6888" s="854" t="s">
        <v>2</v>
      </c>
      <c r="D6888" s="872">
        <v>1</v>
      </c>
      <c r="E6888" s="901">
        <v>1</v>
      </c>
      <c r="F6888" s="859">
        <v>33.667000000000002</v>
      </c>
      <c r="G6888" s="859">
        <v>6</v>
      </c>
      <c r="H6888" s="859">
        <v>0.82299999999999995</v>
      </c>
      <c r="I6888" s="399">
        <f t="shared" si="251"/>
        <v>166.25</v>
      </c>
      <c r="J6888" s="894"/>
      <c r="K6888" s="1322"/>
      <c r="L6888" s="875"/>
      <c r="M6888" s="875"/>
      <c r="N6888" s="875"/>
      <c r="O6888" s="875"/>
      <c r="P6888" s="875"/>
    </row>
    <row r="6889" spans="1:16" s="858" customFormat="1" hidden="1" outlineLevel="1">
      <c r="A6889" s="1323"/>
      <c r="B6889" s="855"/>
      <c r="C6889" s="854" t="s">
        <v>2</v>
      </c>
      <c r="D6889" s="872">
        <v>1</v>
      </c>
      <c r="E6889" s="901">
        <v>1</v>
      </c>
      <c r="F6889" s="859">
        <v>12.3</v>
      </c>
      <c r="G6889" s="859">
        <v>6</v>
      </c>
      <c r="H6889" s="859">
        <v>0.82299999999999995</v>
      </c>
      <c r="I6889" s="399">
        <f t="shared" si="251"/>
        <v>60.74</v>
      </c>
      <c r="J6889" s="894"/>
      <c r="K6889" s="1322"/>
      <c r="L6889" s="875"/>
      <c r="M6889" s="875"/>
      <c r="N6889" s="875"/>
      <c r="O6889" s="875"/>
      <c r="P6889" s="875"/>
    </row>
    <row r="6890" spans="1:16" s="858" customFormat="1" hidden="1" outlineLevel="1">
      <c r="A6890" s="1323"/>
      <c r="B6890" s="855"/>
      <c r="C6890" s="854"/>
      <c r="D6890" s="872">
        <f t="shared" si="250"/>
        <v>0</v>
      </c>
      <c r="E6890" s="901"/>
      <c r="F6890" s="859"/>
      <c r="G6890" s="859"/>
      <c r="H6890" s="859"/>
      <c r="I6890" s="399" t="str">
        <f t="shared" si="251"/>
        <v/>
      </c>
      <c r="J6890" s="894"/>
      <c r="K6890" s="1322"/>
      <c r="L6890" s="875"/>
      <c r="M6890" s="875"/>
      <c r="N6890" s="875"/>
      <c r="O6890" s="875"/>
      <c r="P6890" s="875"/>
    </row>
    <row r="6891" spans="1:16" s="858" customFormat="1" hidden="1" outlineLevel="1">
      <c r="A6891" s="1323"/>
      <c r="B6891" s="855" t="s">
        <v>319</v>
      </c>
      <c r="C6891" s="854"/>
      <c r="D6891" s="872">
        <f t="shared" si="250"/>
        <v>0</v>
      </c>
      <c r="E6891" s="901"/>
      <c r="F6891" s="859"/>
      <c r="G6891" s="859"/>
      <c r="H6891" s="859"/>
      <c r="I6891" s="399" t="str">
        <f t="shared" si="251"/>
        <v/>
      </c>
      <c r="J6891" s="894"/>
      <c r="K6891" s="1322"/>
      <c r="L6891" s="875"/>
      <c r="M6891" s="875"/>
      <c r="N6891" s="875"/>
      <c r="O6891" s="875"/>
      <c r="P6891" s="875"/>
    </row>
    <row r="6892" spans="1:16" s="858" customFormat="1" ht="34.5" hidden="1" outlineLevel="1">
      <c r="A6892" s="1323"/>
      <c r="B6892" s="855" t="s">
        <v>266</v>
      </c>
      <c r="C6892" s="854" t="s">
        <v>2</v>
      </c>
      <c r="D6892" s="872">
        <v>1</v>
      </c>
      <c r="E6892" s="901">
        <v>1</v>
      </c>
      <c r="F6892" s="859">
        <v>6.38</v>
      </c>
      <c r="G6892" s="859">
        <v>1.9750000000000001</v>
      </c>
      <c r="H6892" s="859">
        <v>0.82299999999999995</v>
      </c>
      <c r="I6892" s="399">
        <f t="shared" si="251"/>
        <v>10.37</v>
      </c>
      <c r="J6892" s="894"/>
      <c r="K6892" s="1322"/>
      <c r="L6892" s="875"/>
      <c r="M6892" s="875"/>
      <c r="N6892" s="875"/>
      <c r="O6892" s="875"/>
      <c r="P6892" s="875"/>
    </row>
    <row r="6893" spans="1:16" s="858" customFormat="1" hidden="1" outlineLevel="1">
      <c r="A6893" s="1323"/>
      <c r="B6893" s="871"/>
      <c r="C6893" s="854" t="s">
        <v>2</v>
      </c>
      <c r="D6893" s="872">
        <v>1</v>
      </c>
      <c r="E6893" s="901">
        <v>2</v>
      </c>
      <c r="F6893" s="859">
        <v>6.95</v>
      </c>
      <c r="G6893" s="859">
        <v>1.9750000000000001</v>
      </c>
      <c r="H6893" s="859">
        <v>0.82299999999999995</v>
      </c>
      <c r="I6893" s="399">
        <f t="shared" si="251"/>
        <v>22.59</v>
      </c>
      <c r="J6893" s="894"/>
      <c r="K6893" s="1322"/>
      <c r="L6893" s="875"/>
      <c r="M6893" s="875"/>
      <c r="N6893" s="875"/>
      <c r="O6893" s="875"/>
      <c r="P6893" s="875"/>
    </row>
    <row r="6894" spans="1:16" s="858" customFormat="1" hidden="1" outlineLevel="1">
      <c r="A6894" s="1323"/>
      <c r="B6894" s="871"/>
      <c r="C6894" s="854" t="s">
        <v>2</v>
      </c>
      <c r="D6894" s="872">
        <v>1</v>
      </c>
      <c r="E6894" s="901">
        <v>1</v>
      </c>
      <c r="F6894" s="859">
        <v>6.12</v>
      </c>
      <c r="G6894" s="859">
        <v>1.67</v>
      </c>
      <c r="H6894" s="859">
        <v>0.82299999999999995</v>
      </c>
      <c r="I6894" s="399">
        <f t="shared" si="251"/>
        <v>8.41</v>
      </c>
      <c r="J6894" s="894"/>
      <c r="K6894" s="1322"/>
      <c r="L6894" s="875"/>
      <c r="M6894" s="875"/>
      <c r="N6894" s="875"/>
      <c r="O6894" s="875"/>
      <c r="P6894" s="875"/>
    </row>
    <row r="6895" spans="1:16" s="858" customFormat="1" hidden="1" outlineLevel="1">
      <c r="A6895" s="1323"/>
      <c r="B6895" s="871"/>
      <c r="C6895" s="854" t="s">
        <v>2</v>
      </c>
      <c r="D6895" s="872">
        <v>1</v>
      </c>
      <c r="E6895" s="901">
        <v>1</v>
      </c>
      <c r="F6895" s="859">
        <v>4.6449999999999996</v>
      </c>
      <c r="G6895" s="859">
        <v>1.9750000000000001</v>
      </c>
      <c r="H6895" s="859">
        <v>0.82299999999999995</v>
      </c>
      <c r="I6895" s="399">
        <f t="shared" si="251"/>
        <v>7.55</v>
      </c>
      <c r="J6895" s="894"/>
      <c r="K6895" s="1322"/>
      <c r="L6895" s="875"/>
      <c r="M6895" s="875"/>
      <c r="N6895" s="875"/>
      <c r="O6895" s="875"/>
      <c r="P6895" s="875"/>
    </row>
    <row r="6896" spans="1:16" s="858" customFormat="1" hidden="1" outlineLevel="1">
      <c r="A6896" s="1323"/>
      <c r="B6896" s="871"/>
      <c r="C6896" s="854"/>
      <c r="D6896" s="872">
        <f t="shared" si="250"/>
        <v>0</v>
      </c>
      <c r="E6896" s="901"/>
      <c r="F6896" s="859"/>
      <c r="G6896" s="859"/>
      <c r="H6896" s="859"/>
      <c r="I6896" s="399" t="str">
        <f t="shared" si="251"/>
        <v/>
      </c>
      <c r="J6896" s="894"/>
      <c r="K6896" s="1322"/>
      <c r="L6896" s="875"/>
      <c r="M6896" s="875"/>
      <c r="N6896" s="875"/>
      <c r="O6896" s="875"/>
      <c r="P6896" s="875"/>
    </row>
    <row r="6897" spans="1:16" s="858" customFormat="1" hidden="1" outlineLevel="1">
      <c r="A6897" s="1323"/>
      <c r="B6897" s="871"/>
      <c r="C6897" s="854" t="s">
        <v>2</v>
      </c>
      <c r="D6897" s="872">
        <v>1</v>
      </c>
      <c r="E6897" s="901">
        <v>1</v>
      </c>
      <c r="F6897" s="859">
        <v>6.8849999999999998</v>
      </c>
      <c r="G6897" s="859">
        <v>1.27</v>
      </c>
      <c r="H6897" s="859">
        <v>0.82299999999999995</v>
      </c>
      <c r="I6897" s="399">
        <f t="shared" si="251"/>
        <v>7.2</v>
      </c>
      <c r="J6897" s="894"/>
      <c r="K6897" s="1322"/>
      <c r="L6897" s="875"/>
      <c r="M6897" s="875"/>
      <c r="N6897" s="875"/>
      <c r="O6897" s="875"/>
      <c r="P6897" s="875"/>
    </row>
    <row r="6898" spans="1:16" s="858" customFormat="1" hidden="1" outlineLevel="1">
      <c r="A6898" s="1323"/>
      <c r="B6898" s="871"/>
      <c r="C6898" s="854" t="s">
        <v>2</v>
      </c>
      <c r="D6898" s="872">
        <v>1</v>
      </c>
      <c r="E6898" s="901">
        <v>1</v>
      </c>
      <c r="F6898" s="859">
        <v>2.3849999999999998</v>
      </c>
      <c r="G6898" s="859">
        <v>2.2599999999999998</v>
      </c>
      <c r="H6898" s="859">
        <v>0.82299999999999995</v>
      </c>
      <c r="I6898" s="399">
        <f t="shared" si="251"/>
        <v>4.4400000000000004</v>
      </c>
      <c r="J6898" s="894"/>
      <c r="K6898" s="1322"/>
      <c r="L6898" s="875"/>
      <c r="M6898" s="875"/>
      <c r="N6898" s="875"/>
      <c r="O6898" s="875"/>
      <c r="P6898" s="875"/>
    </row>
    <row r="6899" spans="1:16" s="858" customFormat="1" hidden="1" outlineLevel="1">
      <c r="A6899" s="1323"/>
      <c r="B6899" s="855" t="s">
        <v>267</v>
      </c>
      <c r="C6899" s="854" t="s">
        <v>2</v>
      </c>
      <c r="D6899" s="872">
        <v>1</v>
      </c>
      <c r="E6899" s="901">
        <v>1</v>
      </c>
      <c r="F6899" s="859">
        <v>20.170000000000002</v>
      </c>
      <c r="G6899" s="859">
        <v>2.125</v>
      </c>
      <c r="H6899" s="859">
        <v>0.82299999999999995</v>
      </c>
      <c r="I6899" s="399">
        <f t="shared" si="251"/>
        <v>35.270000000000003</v>
      </c>
      <c r="J6899" s="894"/>
      <c r="K6899" s="1322"/>
      <c r="L6899" s="875"/>
      <c r="M6899" s="875"/>
      <c r="N6899" s="875"/>
      <c r="O6899" s="875"/>
      <c r="P6899" s="875"/>
    </row>
    <row r="6900" spans="1:16" s="858" customFormat="1" hidden="1" outlineLevel="1">
      <c r="A6900" s="1323"/>
      <c r="B6900" s="855"/>
      <c r="C6900" s="854"/>
      <c r="D6900" s="872">
        <f t="shared" si="250"/>
        <v>0</v>
      </c>
      <c r="E6900" s="901"/>
      <c r="F6900" s="859"/>
      <c r="G6900" s="859"/>
      <c r="H6900" s="859"/>
      <c r="I6900" s="399" t="str">
        <f t="shared" si="251"/>
        <v/>
      </c>
      <c r="J6900" s="894"/>
      <c r="K6900" s="1322"/>
      <c r="L6900" s="875"/>
      <c r="M6900" s="875"/>
      <c r="N6900" s="875"/>
      <c r="O6900" s="875"/>
      <c r="P6900" s="875"/>
    </row>
    <row r="6901" spans="1:16" s="858" customFormat="1" hidden="1" outlineLevel="1">
      <c r="A6901" s="1323"/>
      <c r="B6901" s="855" t="s">
        <v>268</v>
      </c>
      <c r="C6901" s="854" t="s">
        <v>2</v>
      </c>
      <c r="D6901" s="872">
        <v>1</v>
      </c>
      <c r="E6901" s="901">
        <v>1</v>
      </c>
      <c r="F6901" s="859">
        <v>12.58</v>
      </c>
      <c r="G6901" s="859">
        <v>1.19</v>
      </c>
      <c r="H6901" s="859">
        <v>0.82299999999999995</v>
      </c>
      <c r="I6901" s="399">
        <f t="shared" si="251"/>
        <v>12.32</v>
      </c>
      <c r="J6901" s="894"/>
      <c r="K6901" s="1322"/>
      <c r="L6901" s="875"/>
      <c r="M6901" s="875"/>
      <c r="N6901" s="875"/>
      <c r="O6901" s="875"/>
      <c r="P6901" s="875"/>
    </row>
    <row r="6902" spans="1:16" s="858" customFormat="1" hidden="1" outlineLevel="1">
      <c r="A6902" s="1323"/>
      <c r="B6902" s="855"/>
      <c r="C6902" s="854" t="s">
        <v>2</v>
      </c>
      <c r="D6902" s="872">
        <v>1</v>
      </c>
      <c r="E6902" s="901">
        <v>1</v>
      </c>
      <c r="F6902" s="859">
        <v>7.09</v>
      </c>
      <c r="G6902" s="859">
        <v>0.9</v>
      </c>
      <c r="H6902" s="859">
        <v>0.82299999999999995</v>
      </c>
      <c r="I6902" s="399">
        <f t="shared" si="251"/>
        <v>5.25</v>
      </c>
      <c r="J6902" s="894"/>
      <c r="K6902" s="1322"/>
      <c r="L6902" s="875"/>
      <c r="M6902" s="875"/>
      <c r="N6902" s="875"/>
      <c r="O6902" s="875"/>
      <c r="P6902" s="875"/>
    </row>
    <row r="6903" spans="1:16" s="858" customFormat="1" hidden="1" outlineLevel="1">
      <c r="A6903" s="1323"/>
      <c r="B6903" s="855"/>
      <c r="C6903" s="854" t="s">
        <v>2</v>
      </c>
      <c r="D6903" s="872">
        <v>1</v>
      </c>
      <c r="E6903" s="901">
        <v>1</v>
      </c>
      <c r="F6903" s="859">
        <v>1.6</v>
      </c>
      <c r="G6903" s="859">
        <v>5.98</v>
      </c>
      <c r="H6903" s="859">
        <v>0.82299999999999995</v>
      </c>
      <c r="I6903" s="399">
        <f t="shared" si="251"/>
        <v>7.87</v>
      </c>
      <c r="J6903" s="894"/>
      <c r="K6903" s="1322"/>
      <c r="L6903" s="875"/>
      <c r="M6903" s="875"/>
      <c r="N6903" s="875"/>
      <c r="O6903" s="875"/>
      <c r="P6903" s="875"/>
    </row>
    <row r="6904" spans="1:16" s="858" customFormat="1" hidden="1" outlineLevel="1">
      <c r="A6904" s="1323"/>
      <c r="B6904" s="855"/>
      <c r="C6904" s="854" t="s">
        <v>2</v>
      </c>
      <c r="D6904" s="872">
        <v>1</v>
      </c>
      <c r="E6904" s="901">
        <v>1</v>
      </c>
      <c r="F6904" s="859">
        <v>1.6</v>
      </c>
      <c r="G6904" s="859">
        <v>4.18</v>
      </c>
      <c r="H6904" s="859">
        <v>0.82299999999999995</v>
      </c>
      <c r="I6904" s="399">
        <f t="shared" si="251"/>
        <v>5.5</v>
      </c>
      <c r="J6904" s="894"/>
      <c r="K6904" s="1322"/>
      <c r="L6904" s="875"/>
      <c r="M6904" s="875"/>
      <c r="N6904" s="875"/>
      <c r="O6904" s="875"/>
      <c r="P6904" s="875"/>
    </row>
    <row r="6905" spans="1:16" s="858" customFormat="1" hidden="1" outlineLevel="1">
      <c r="A6905" s="1323"/>
      <c r="B6905" s="855"/>
      <c r="C6905" s="854" t="s">
        <v>2</v>
      </c>
      <c r="D6905" s="872">
        <v>1</v>
      </c>
      <c r="E6905" s="901">
        <v>2</v>
      </c>
      <c r="F6905" s="859">
        <v>1.6</v>
      </c>
      <c r="G6905" s="859">
        <v>2.38</v>
      </c>
      <c r="H6905" s="859">
        <v>0.82299999999999995</v>
      </c>
      <c r="I6905" s="399">
        <f t="shared" si="251"/>
        <v>6.27</v>
      </c>
      <c r="J6905" s="894"/>
      <c r="K6905" s="1322"/>
      <c r="L6905" s="875"/>
      <c r="M6905" s="875"/>
      <c r="N6905" s="875"/>
      <c r="O6905" s="875"/>
      <c r="P6905" s="875"/>
    </row>
    <row r="6906" spans="1:16" s="858" customFormat="1" hidden="1" outlineLevel="1">
      <c r="A6906" s="1323"/>
      <c r="B6906" s="855"/>
      <c r="C6906" s="854" t="s">
        <v>2</v>
      </c>
      <c r="D6906" s="872">
        <v>1</v>
      </c>
      <c r="E6906" s="901">
        <v>1</v>
      </c>
      <c r="F6906" s="859">
        <v>1.145</v>
      </c>
      <c r="G6906" s="859">
        <v>0.9</v>
      </c>
      <c r="H6906" s="859">
        <v>0.82299999999999995</v>
      </c>
      <c r="I6906" s="399">
        <f t="shared" si="251"/>
        <v>0.85</v>
      </c>
      <c r="J6906" s="894"/>
      <c r="K6906" s="1322"/>
      <c r="L6906" s="875"/>
      <c r="M6906" s="875"/>
      <c r="N6906" s="875"/>
      <c r="O6906" s="875"/>
      <c r="P6906" s="875"/>
    </row>
    <row r="6907" spans="1:16" s="858" customFormat="1" hidden="1" outlineLevel="1">
      <c r="A6907" s="1323"/>
      <c r="B6907" s="855"/>
      <c r="C6907" s="854"/>
      <c r="D6907" s="872">
        <f t="shared" si="250"/>
        <v>0</v>
      </c>
      <c r="E6907" s="901"/>
      <c r="F6907" s="859"/>
      <c r="G6907" s="859"/>
      <c r="H6907" s="859"/>
      <c r="I6907" s="399" t="str">
        <f t="shared" si="251"/>
        <v/>
      </c>
      <c r="J6907" s="894"/>
      <c r="K6907" s="1322"/>
      <c r="L6907" s="875"/>
      <c r="M6907" s="875"/>
      <c r="N6907" s="875"/>
      <c r="O6907" s="875"/>
      <c r="P6907" s="875"/>
    </row>
    <row r="6908" spans="1:16" s="858" customFormat="1" hidden="1" outlineLevel="1">
      <c r="A6908" s="1323"/>
      <c r="B6908" s="855"/>
      <c r="C6908" s="854" t="s">
        <v>2</v>
      </c>
      <c r="D6908" s="872">
        <v>1</v>
      </c>
      <c r="E6908" s="901">
        <v>1</v>
      </c>
      <c r="F6908" s="859">
        <v>2.7450000000000001</v>
      </c>
      <c r="G6908" s="859">
        <v>1.5</v>
      </c>
      <c r="H6908" s="859">
        <v>0.82299999999999995</v>
      </c>
      <c r="I6908" s="399">
        <f t="shared" si="251"/>
        <v>3.39</v>
      </c>
      <c r="J6908" s="894"/>
      <c r="K6908" s="1322"/>
      <c r="L6908" s="875"/>
      <c r="M6908" s="875"/>
      <c r="N6908" s="875"/>
      <c r="O6908" s="875"/>
      <c r="P6908" s="875"/>
    </row>
    <row r="6909" spans="1:16" s="858" customFormat="1" hidden="1" outlineLevel="1">
      <c r="A6909" s="1323"/>
      <c r="B6909" s="855"/>
      <c r="C6909" s="854" t="s">
        <v>2</v>
      </c>
      <c r="D6909" s="872">
        <v>1</v>
      </c>
      <c r="E6909" s="901">
        <v>1</v>
      </c>
      <c r="F6909" s="859">
        <v>1.6</v>
      </c>
      <c r="G6909" s="859">
        <v>6.6749999999999998</v>
      </c>
      <c r="H6909" s="859">
        <v>0.82299999999999995</v>
      </c>
      <c r="I6909" s="399">
        <f t="shared" si="251"/>
        <v>8.7899999999999991</v>
      </c>
      <c r="J6909" s="894"/>
      <c r="K6909" s="1322"/>
      <c r="L6909" s="875"/>
      <c r="M6909" s="875"/>
      <c r="N6909" s="875"/>
      <c r="O6909" s="875"/>
      <c r="P6909" s="875"/>
    </row>
    <row r="6910" spans="1:16" s="858" customFormat="1" hidden="1" outlineLevel="1">
      <c r="A6910" s="1323"/>
      <c r="B6910" s="855"/>
      <c r="C6910" s="854" t="s">
        <v>2</v>
      </c>
      <c r="D6910" s="872">
        <v>1</v>
      </c>
      <c r="E6910" s="901">
        <v>1</v>
      </c>
      <c r="F6910" s="859">
        <v>3.07</v>
      </c>
      <c r="G6910" s="859">
        <v>1.0649999999999999</v>
      </c>
      <c r="H6910" s="859">
        <v>0.82299999999999995</v>
      </c>
      <c r="I6910" s="399">
        <f t="shared" si="251"/>
        <v>2.69</v>
      </c>
      <c r="J6910" s="894"/>
      <c r="K6910" s="1322"/>
      <c r="L6910" s="875"/>
      <c r="M6910" s="875"/>
      <c r="N6910" s="875"/>
      <c r="O6910" s="875"/>
      <c r="P6910" s="875"/>
    </row>
    <row r="6911" spans="1:16" s="858" customFormat="1" hidden="1" outlineLevel="1">
      <c r="A6911" s="1323"/>
      <c r="B6911" s="855"/>
      <c r="C6911" s="854" t="s">
        <v>2</v>
      </c>
      <c r="D6911" s="872">
        <v>1</v>
      </c>
      <c r="E6911" s="901">
        <v>1</v>
      </c>
      <c r="F6911" s="859">
        <v>1.6</v>
      </c>
      <c r="G6911" s="859">
        <v>3.9</v>
      </c>
      <c r="H6911" s="859">
        <v>0.82299999999999995</v>
      </c>
      <c r="I6911" s="399">
        <f t="shared" si="251"/>
        <v>5.14</v>
      </c>
      <c r="J6911" s="894"/>
      <c r="K6911" s="1322"/>
      <c r="L6911" s="875"/>
      <c r="M6911" s="875"/>
      <c r="N6911" s="875"/>
      <c r="O6911" s="875"/>
      <c r="P6911" s="875"/>
    </row>
    <row r="6912" spans="1:16" s="858" customFormat="1" hidden="1" outlineLevel="1">
      <c r="A6912" s="1323"/>
      <c r="B6912" s="855"/>
      <c r="C6912" s="854" t="s">
        <v>2</v>
      </c>
      <c r="D6912" s="872">
        <v>1</v>
      </c>
      <c r="E6912" s="901">
        <v>1</v>
      </c>
      <c r="F6912" s="859">
        <v>2.77</v>
      </c>
      <c r="G6912" s="859">
        <v>0.96</v>
      </c>
      <c r="H6912" s="859">
        <v>0.82299999999999995</v>
      </c>
      <c r="I6912" s="399">
        <f t="shared" si="251"/>
        <v>2.19</v>
      </c>
      <c r="J6912" s="894"/>
      <c r="K6912" s="1322"/>
      <c r="L6912" s="875"/>
      <c r="M6912" s="875"/>
      <c r="N6912" s="875"/>
      <c r="O6912" s="875"/>
      <c r="P6912" s="875"/>
    </row>
    <row r="6913" spans="1:16" s="858" customFormat="1" hidden="1" outlineLevel="1">
      <c r="A6913" s="1323"/>
      <c r="B6913" s="855"/>
      <c r="C6913" s="854" t="s">
        <v>2</v>
      </c>
      <c r="D6913" s="872">
        <v>1</v>
      </c>
      <c r="E6913" s="901">
        <v>1</v>
      </c>
      <c r="F6913" s="859">
        <v>1.6</v>
      </c>
      <c r="G6913" s="859">
        <v>4.09</v>
      </c>
      <c r="H6913" s="859">
        <v>0.82299999999999995</v>
      </c>
      <c r="I6913" s="399">
        <f t="shared" si="251"/>
        <v>5.39</v>
      </c>
      <c r="J6913" s="894"/>
      <c r="K6913" s="1322"/>
      <c r="L6913" s="875"/>
      <c r="M6913" s="875"/>
      <c r="N6913" s="875"/>
      <c r="O6913" s="875"/>
      <c r="P6913" s="875"/>
    </row>
    <row r="6914" spans="1:16" s="858" customFormat="1" hidden="1" outlineLevel="1">
      <c r="A6914" s="1323"/>
      <c r="B6914" s="855"/>
      <c r="C6914" s="854" t="s">
        <v>2</v>
      </c>
      <c r="D6914" s="872">
        <v>1</v>
      </c>
      <c r="E6914" s="901">
        <v>1</v>
      </c>
      <c r="F6914" s="859">
        <v>3.25</v>
      </c>
      <c r="G6914" s="859">
        <v>1.095</v>
      </c>
      <c r="H6914" s="859">
        <v>0.82299999999999995</v>
      </c>
      <c r="I6914" s="399">
        <f t="shared" si="251"/>
        <v>2.93</v>
      </c>
      <c r="J6914" s="894"/>
      <c r="K6914" s="1322"/>
      <c r="L6914" s="875"/>
      <c r="M6914" s="875"/>
      <c r="N6914" s="875"/>
      <c r="O6914" s="875"/>
      <c r="P6914" s="875"/>
    </row>
    <row r="6915" spans="1:16" s="858" customFormat="1" hidden="1" outlineLevel="1">
      <c r="A6915" s="1323"/>
      <c r="B6915" s="855"/>
      <c r="C6915" s="854" t="s">
        <v>2</v>
      </c>
      <c r="D6915" s="872">
        <v>1</v>
      </c>
      <c r="E6915" s="901">
        <v>1</v>
      </c>
      <c r="F6915" s="859">
        <v>8.61</v>
      </c>
      <c r="G6915" s="859">
        <v>4.6150000000000002</v>
      </c>
      <c r="H6915" s="859">
        <v>0.82299999999999995</v>
      </c>
      <c r="I6915" s="399">
        <f t="shared" si="251"/>
        <v>32.700000000000003</v>
      </c>
      <c r="J6915" s="894"/>
      <c r="K6915" s="1322"/>
      <c r="L6915" s="875"/>
      <c r="M6915" s="875"/>
      <c r="N6915" s="875"/>
      <c r="O6915" s="875"/>
      <c r="P6915" s="875"/>
    </row>
    <row r="6916" spans="1:16" s="858" customFormat="1" hidden="1" outlineLevel="1">
      <c r="A6916" s="1323"/>
      <c r="B6916" s="855"/>
      <c r="C6916" s="854"/>
      <c r="D6916" s="872">
        <f t="shared" si="250"/>
        <v>0</v>
      </c>
      <c r="E6916" s="901"/>
      <c r="F6916" s="859"/>
      <c r="G6916" s="859"/>
      <c r="H6916" s="859"/>
      <c r="I6916" s="399" t="str">
        <f t="shared" si="251"/>
        <v/>
      </c>
      <c r="J6916" s="894"/>
      <c r="K6916" s="1322"/>
      <c r="L6916" s="875"/>
      <c r="M6916" s="875"/>
      <c r="N6916" s="875"/>
      <c r="O6916" s="875"/>
      <c r="P6916" s="875"/>
    </row>
    <row r="6917" spans="1:16" s="858" customFormat="1" ht="34.5" hidden="1" outlineLevel="1">
      <c r="A6917" s="1323"/>
      <c r="B6917" s="855" t="s">
        <v>320</v>
      </c>
      <c r="C6917" s="854" t="s">
        <v>2</v>
      </c>
      <c r="D6917" s="872">
        <v>1</v>
      </c>
      <c r="E6917" s="901">
        <v>1</v>
      </c>
      <c r="F6917" s="859">
        <v>1.6</v>
      </c>
      <c r="G6917" s="859">
        <v>8.56</v>
      </c>
      <c r="H6917" s="859">
        <v>0.82299999999999995</v>
      </c>
      <c r="I6917" s="399">
        <f t="shared" si="251"/>
        <v>11.27</v>
      </c>
      <c r="J6917" s="894"/>
      <c r="K6917" s="1322"/>
      <c r="L6917" s="875"/>
      <c r="M6917" s="875"/>
      <c r="N6917" s="875"/>
      <c r="O6917" s="875"/>
      <c r="P6917" s="875"/>
    </row>
    <row r="6918" spans="1:16" s="858" customFormat="1" hidden="1" outlineLevel="1">
      <c r="A6918" s="1323"/>
      <c r="B6918" s="855"/>
      <c r="C6918" s="854" t="s">
        <v>2</v>
      </c>
      <c r="D6918" s="872">
        <v>1</v>
      </c>
      <c r="E6918" s="901">
        <v>1</v>
      </c>
      <c r="F6918" s="859">
        <v>1.6</v>
      </c>
      <c r="G6918" s="859">
        <v>6.85</v>
      </c>
      <c r="H6918" s="859">
        <v>0.82299999999999995</v>
      </c>
      <c r="I6918" s="399">
        <f t="shared" si="251"/>
        <v>9.02</v>
      </c>
      <c r="J6918" s="894"/>
      <c r="K6918" s="1322"/>
      <c r="L6918" s="875"/>
      <c r="M6918" s="875"/>
      <c r="N6918" s="875"/>
      <c r="O6918" s="875"/>
      <c r="P6918" s="875"/>
    </row>
    <row r="6919" spans="1:16" s="858" customFormat="1" hidden="1" outlineLevel="1">
      <c r="A6919" s="1323"/>
      <c r="B6919" s="855"/>
      <c r="C6919" s="854" t="s">
        <v>2</v>
      </c>
      <c r="D6919" s="872">
        <v>1</v>
      </c>
      <c r="E6919" s="901">
        <v>1</v>
      </c>
      <c r="F6919" s="859">
        <v>1.6</v>
      </c>
      <c r="G6919" s="859">
        <v>7.4499999999999993</v>
      </c>
      <c r="H6919" s="859">
        <v>0.82299999999999995</v>
      </c>
      <c r="I6919" s="399">
        <f t="shared" si="251"/>
        <v>9.81</v>
      </c>
      <c r="J6919" s="894"/>
      <c r="K6919" s="1322"/>
      <c r="L6919" s="875"/>
      <c r="M6919" s="875"/>
      <c r="N6919" s="875"/>
      <c r="O6919" s="875"/>
      <c r="P6919" s="875"/>
    </row>
    <row r="6920" spans="1:16" s="858" customFormat="1" hidden="1" outlineLevel="1">
      <c r="A6920" s="1323"/>
      <c r="B6920" s="855"/>
      <c r="C6920" s="854" t="s">
        <v>2</v>
      </c>
      <c r="D6920" s="872">
        <v>1</v>
      </c>
      <c r="E6920" s="901">
        <v>1</v>
      </c>
      <c r="F6920" s="859">
        <v>0.99</v>
      </c>
      <c r="G6920" s="859">
        <v>8.85</v>
      </c>
      <c r="H6920" s="859">
        <v>0.82299999999999995</v>
      </c>
      <c r="I6920" s="399">
        <f t="shared" si="251"/>
        <v>7.21</v>
      </c>
      <c r="J6920" s="894"/>
      <c r="K6920" s="1322"/>
      <c r="L6920" s="875"/>
      <c r="M6920" s="875"/>
      <c r="N6920" s="875"/>
      <c r="O6920" s="875"/>
      <c r="P6920" s="875"/>
    </row>
    <row r="6921" spans="1:16" s="858" customFormat="1" hidden="1" outlineLevel="1">
      <c r="A6921" s="1323"/>
      <c r="B6921" s="855"/>
      <c r="C6921" s="854" t="s">
        <v>2</v>
      </c>
      <c r="D6921" s="872">
        <v>1</v>
      </c>
      <c r="E6921" s="901">
        <v>1</v>
      </c>
      <c r="F6921" s="859">
        <v>1.6</v>
      </c>
      <c r="G6921" s="859">
        <v>4.8899999999999997</v>
      </c>
      <c r="H6921" s="859">
        <v>0.82299999999999995</v>
      </c>
      <c r="I6921" s="399">
        <f t="shared" si="251"/>
        <v>6.44</v>
      </c>
      <c r="J6921" s="894"/>
      <c r="K6921" s="1322"/>
      <c r="L6921" s="875"/>
      <c r="M6921" s="875"/>
      <c r="N6921" s="875"/>
      <c r="O6921" s="875"/>
      <c r="P6921" s="875"/>
    </row>
    <row r="6922" spans="1:16" s="858" customFormat="1" hidden="1" outlineLevel="1">
      <c r="A6922" s="1323"/>
      <c r="B6922" s="855"/>
      <c r="C6922" s="854" t="s">
        <v>2</v>
      </c>
      <c r="D6922" s="872">
        <v>1</v>
      </c>
      <c r="E6922" s="901">
        <v>1</v>
      </c>
      <c r="F6922" s="859">
        <v>1.6</v>
      </c>
      <c r="G6922" s="859">
        <v>5.3299999999999992</v>
      </c>
      <c r="H6922" s="859">
        <v>0.82299999999999995</v>
      </c>
      <c r="I6922" s="399">
        <f t="shared" si="251"/>
        <v>7.02</v>
      </c>
      <c r="J6922" s="894"/>
      <c r="K6922" s="1322"/>
      <c r="L6922" s="875"/>
      <c r="M6922" s="875"/>
      <c r="N6922" s="875"/>
      <c r="O6922" s="875"/>
      <c r="P6922" s="875"/>
    </row>
    <row r="6923" spans="1:16" s="858" customFormat="1" hidden="1" outlineLevel="1">
      <c r="A6923" s="1323"/>
      <c r="B6923" s="855"/>
      <c r="C6923" s="854" t="s">
        <v>2</v>
      </c>
      <c r="D6923" s="872">
        <v>1</v>
      </c>
      <c r="E6923" s="901">
        <v>1</v>
      </c>
      <c r="F6923" s="859">
        <v>1.6</v>
      </c>
      <c r="G6923" s="859">
        <v>1.45</v>
      </c>
      <c r="H6923" s="859">
        <v>0.82299999999999995</v>
      </c>
      <c r="I6923" s="399">
        <f t="shared" si="251"/>
        <v>1.91</v>
      </c>
      <c r="J6923" s="894"/>
      <c r="K6923" s="1322"/>
      <c r="L6923" s="875"/>
      <c r="M6923" s="875"/>
      <c r="N6923" s="875"/>
      <c r="O6923" s="875"/>
      <c r="P6923" s="875"/>
    </row>
    <row r="6924" spans="1:16" s="858" customFormat="1" hidden="1" outlineLevel="1">
      <c r="A6924" s="1323"/>
      <c r="B6924" s="855"/>
      <c r="C6924" s="854" t="s">
        <v>2</v>
      </c>
      <c r="D6924" s="872">
        <v>1</v>
      </c>
      <c r="E6924" s="901">
        <v>1</v>
      </c>
      <c r="F6924" s="859">
        <v>1.6</v>
      </c>
      <c r="G6924" s="859">
        <v>3.8299999999999996</v>
      </c>
      <c r="H6924" s="859">
        <v>0.82299999999999995</v>
      </c>
      <c r="I6924" s="399">
        <f t="shared" si="251"/>
        <v>5.04</v>
      </c>
      <c r="J6924" s="894"/>
      <c r="K6924" s="1322"/>
      <c r="L6924" s="875"/>
      <c r="M6924" s="875"/>
      <c r="N6924" s="875"/>
      <c r="O6924" s="875"/>
      <c r="P6924" s="875"/>
    </row>
    <row r="6925" spans="1:16" s="858" customFormat="1" hidden="1" outlineLevel="1">
      <c r="A6925" s="1323"/>
      <c r="B6925" s="855"/>
      <c r="C6925" s="854" t="s">
        <v>2</v>
      </c>
      <c r="D6925" s="872">
        <v>1</v>
      </c>
      <c r="E6925" s="901">
        <v>1</v>
      </c>
      <c r="F6925" s="859">
        <v>1.415</v>
      </c>
      <c r="G6925" s="859">
        <v>2.4249999999999998</v>
      </c>
      <c r="H6925" s="859">
        <v>0.82299999999999995</v>
      </c>
      <c r="I6925" s="399">
        <f t="shared" si="251"/>
        <v>2.82</v>
      </c>
      <c r="J6925" s="894"/>
      <c r="K6925" s="1322"/>
      <c r="L6925" s="875"/>
      <c r="M6925" s="875"/>
      <c r="N6925" s="875"/>
      <c r="O6925" s="875"/>
      <c r="P6925" s="875"/>
    </row>
    <row r="6926" spans="1:16" s="858" customFormat="1" hidden="1" outlineLevel="1">
      <c r="A6926" s="1323"/>
      <c r="B6926" s="855"/>
      <c r="C6926" s="854" t="s">
        <v>2</v>
      </c>
      <c r="D6926" s="872">
        <v>1</v>
      </c>
      <c r="E6926" s="901">
        <v>1</v>
      </c>
      <c r="F6926" s="859">
        <v>0.755</v>
      </c>
      <c r="G6926" s="859">
        <v>1.9650000000000001</v>
      </c>
      <c r="H6926" s="859">
        <v>0.82299999999999995</v>
      </c>
      <c r="I6926" s="399">
        <f t="shared" si="251"/>
        <v>1.22</v>
      </c>
      <c r="J6926" s="894"/>
      <c r="K6926" s="1322"/>
      <c r="L6926" s="875"/>
      <c r="M6926" s="875"/>
      <c r="N6926" s="875"/>
      <c r="O6926" s="875"/>
      <c r="P6926" s="875"/>
    </row>
    <row r="6927" spans="1:16" s="858" customFormat="1" hidden="1" outlineLevel="1">
      <c r="A6927" s="1323"/>
      <c r="B6927" s="855"/>
      <c r="C6927" s="854" t="s">
        <v>2</v>
      </c>
      <c r="D6927" s="872">
        <v>1</v>
      </c>
      <c r="E6927" s="901">
        <v>1</v>
      </c>
      <c r="F6927" s="859">
        <v>5.4649999999999999</v>
      </c>
      <c r="G6927" s="859">
        <v>4.2</v>
      </c>
      <c r="H6927" s="859">
        <v>0.82299999999999995</v>
      </c>
      <c r="I6927" s="399">
        <f t="shared" si="251"/>
        <v>18.89</v>
      </c>
      <c r="J6927" s="894"/>
      <c r="K6927" s="1322"/>
      <c r="L6927" s="875"/>
      <c r="M6927" s="875"/>
      <c r="N6927" s="875"/>
      <c r="O6927" s="875"/>
      <c r="P6927" s="875"/>
    </row>
    <row r="6928" spans="1:16" s="858" customFormat="1" hidden="1" outlineLevel="1">
      <c r="A6928" s="1323"/>
      <c r="B6928" s="855"/>
      <c r="C6928" s="854"/>
      <c r="D6928" s="872">
        <f t="shared" si="250"/>
        <v>0</v>
      </c>
      <c r="E6928" s="901"/>
      <c r="F6928" s="859"/>
      <c r="G6928" s="859"/>
      <c r="H6928" s="859"/>
      <c r="I6928" s="399" t="str">
        <f t="shared" si="251"/>
        <v/>
      </c>
      <c r="J6928" s="894"/>
      <c r="K6928" s="1322"/>
      <c r="L6928" s="875"/>
      <c r="M6928" s="875"/>
      <c r="N6928" s="875"/>
      <c r="O6928" s="875"/>
      <c r="P6928" s="875"/>
    </row>
    <row r="6929" spans="1:16" s="858" customFormat="1" ht="34.5" hidden="1" outlineLevel="1">
      <c r="A6929" s="1323"/>
      <c r="B6929" s="855" t="s">
        <v>321</v>
      </c>
      <c r="C6929" s="854" t="s">
        <v>2</v>
      </c>
      <c r="D6929" s="872">
        <v>1</v>
      </c>
      <c r="E6929" s="901">
        <v>1</v>
      </c>
      <c r="F6929" s="859">
        <v>1.6</v>
      </c>
      <c r="G6929" s="859">
        <v>4</v>
      </c>
      <c r="H6929" s="859">
        <v>0.82299999999999995</v>
      </c>
      <c r="I6929" s="399">
        <f t="shared" si="251"/>
        <v>5.27</v>
      </c>
      <c r="J6929" s="894"/>
      <c r="K6929" s="1322"/>
      <c r="L6929" s="875"/>
      <c r="M6929" s="875"/>
      <c r="N6929" s="875"/>
      <c r="O6929" s="875"/>
      <c r="P6929" s="875"/>
    </row>
    <row r="6930" spans="1:16" s="858" customFormat="1" hidden="1" outlineLevel="1">
      <c r="A6930" s="1323"/>
      <c r="B6930" s="855"/>
      <c r="C6930" s="854" t="s">
        <v>2</v>
      </c>
      <c r="D6930" s="872">
        <v>1</v>
      </c>
      <c r="E6930" s="901">
        <v>1</v>
      </c>
      <c r="F6930" s="859">
        <v>1.6</v>
      </c>
      <c r="G6930" s="859">
        <v>1</v>
      </c>
      <c r="H6930" s="859">
        <v>0.82299999999999995</v>
      </c>
      <c r="I6930" s="399">
        <f t="shared" si="251"/>
        <v>1.32</v>
      </c>
      <c r="J6930" s="894"/>
      <c r="K6930" s="1322"/>
      <c r="L6930" s="875"/>
      <c r="M6930" s="875"/>
      <c r="N6930" s="875"/>
      <c r="O6930" s="875"/>
      <c r="P6930" s="875"/>
    </row>
    <row r="6931" spans="1:16" s="858" customFormat="1" hidden="1" outlineLevel="1">
      <c r="A6931" s="1323"/>
      <c r="B6931" s="855"/>
      <c r="C6931" s="854" t="s">
        <v>2</v>
      </c>
      <c r="D6931" s="872">
        <v>1</v>
      </c>
      <c r="E6931" s="901">
        <v>1</v>
      </c>
      <c r="F6931" s="859">
        <v>5.49</v>
      </c>
      <c r="G6931" s="859">
        <v>0.96499999999999997</v>
      </c>
      <c r="H6931" s="859">
        <v>0.82299999999999995</v>
      </c>
      <c r="I6931" s="399">
        <f t="shared" si="251"/>
        <v>4.3600000000000003</v>
      </c>
      <c r="J6931" s="894"/>
      <c r="K6931" s="1322"/>
      <c r="L6931" s="875"/>
      <c r="M6931" s="875"/>
      <c r="N6931" s="875"/>
      <c r="O6931" s="875"/>
      <c r="P6931" s="875"/>
    </row>
    <row r="6932" spans="1:16" s="858" customFormat="1" hidden="1" outlineLevel="1">
      <c r="A6932" s="1323"/>
      <c r="B6932" s="855"/>
      <c r="C6932" s="854" t="s">
        <v>2</v>
      </c>
      <c r="D6932" s="872">
        <v>1</v>
      </c>
      <c r="E6932" s="901">
        <v>1</v>
      </c>
      <c r="F6932" s="859">
        <v>7.09</v>
      </c>
      <c r="G6932" s="859">
        <v>1</v>
      </c>
      <c r="H6932" s="859">
        <v>0.82299999999999995</v>
      </c>
      <c r="I6932" s="399">
        <f t="shared" si="251"/>
        <v>5.84</v>
      </c>
      <c r="J6932" s="894"/>
      <c r="K6932" s="1322"/>
      <c r="L6932" s="875"/>
      <c r="M6932" s="875"/>
      <c r="N6932" s="875"/>
      <c r="O6932" s="875"/>
      <c r="P6932" s="875"/>
    </row>
    <row r="6933" spans="1:16" s="858" customFormat="1" hidden="1" outlineLevel="1">
      <c r="A6933" s="1323"/>
      <c r="B6933" s="855"/>
      <c r="C6933" s="854" t="s">
        <v>2</v>
      </c>
      <c r="D6933" s="872">
        <v>1</v>
      </c>
      <c r="E6933" s="901">
        <v>1</v>
      </c>
      <c r="F6933" s="859">
        <v>1.6</v>
      </c>
      <c r="G6933" s="859">
        <v>3</v>
      </c>
      <c r="H6933" s="859">
        <v>0.82299999999999995</v>
      </c>
      <c r="I6933" s="399">
        <f t="shared" si="251"/>
        <v>3.95</v>
      </c>
      <c r="J6933" s="894"/>
      <c r="K6933" s="1322"/>
      <c r="L6933" s="875"/>
      <c r="M6933" s="875"/>
      <c r="N6933" s="875"/>
      <c r="O6933" s="875"/>
      <c r="P6933" s="875"/>
    </row>
    <row r="6934" spans="1:16" s="858" customFormat="1" hidden="1" outlineLevel="1">
      <c r="A6934" s="1323"/>
      <c r="B6934" s="855"/>
      <c r="C6934" s="854" t="s">
        <v>2</v>
      </c>
      <c r="D6934" s="872">
        <v>1</v>
      </c>
      <c r="E6934" s="901">
        <v>1</v>
      </c>
      <c r="F6934" s="859">
        <v>4.3449999999999998</v>
      </c>
      <c r="G6934" s="859">
        <v>1</v>
      </c>
      <c r="H6934" s="859">
        <v>0.82299999999999995</v>
      </c>
      <c r="I6934" s="399">
        <f t="shared" si="251"/>
        <v>3.58</v>
      </c>
      <c r="J6934" s="894"/>
      <c r="K6934" s="1322"/>
      <c r="L6934" s="875"/>
      <c r="M6934" s="875"/>
      <c r="N6934" s="875"/>
      <c r="O6934" s="875"/>
      <c r="P6934" s="875"/>
    </row>
    <row r="6935" spans="1:16" s="858" customFormat="1" hidden="1" outlineLevel="1">
      <c r="A6935" s="1323"/>
      <c r="B6935" s="855"/>
      <c r="C6935" s="854" t="s">
        <v>2</v>
      </c>
      <c r="D6935" s="872">
        <v>1</v>
      </c>
      <c r="E6935" s="901">
        <v>1</v>
      </c>
      <c r="F6935" s="859">
        <v>1.6</v>
      </c>
      <c r="G6935" s="859">
        <v>4</v>
      </c>
      <c r="H6935" s="859">
        <v>0.82299999999999995</v>
      </c>
      <c r="I6935" s="399">
        <f t="shared" si="251"/>
        <v>5.27</v>
      </c>
      <c r="J6935" s="894"/>
      <c r="K6935" s="1322"/>
      <c r="L6935" s="875"/>
      <c r="M6935" s="875"/>
      <c r="N6935" s="875"/>
      <c r="O6935" s="875"/>
      <c r="P6935" s="875"/>
    </row>
    <row r="6936" spans="1:16" s="858" customFormat="1" hidden="1" outlineLevel="1">
      <c r="A6936" s="1323"/>
      <c r="B6936" s="855"/>
      <c r="C6936" s="854" t="s">
        <v>2</v>
      </c>
      <c r="D6936" s="872">
        <v>1</v>
      </c>
      <c r="E6936" s="901">
        <v>2</v>
      </c>
      <c r="F6936" s="859">
        <v>1.6</v>
      </c>
      <c r="G6936" s="859">
        <v>3</v>
      </c>
      <c r="H6936" s="859">
        <v>0.82299999999999995</v>
      </c>
      <c r="I6936" s="399">
        <f t="shared" si="251"/>
        <v>7.9</v>
      </c>
      <c r="J6936" s="894"/>
      <c r="K6936" s="1322"/>
      <c r="L6936" s="875"/>
      <c r="M6936" s="875"/>
      <c r="N6936" s="875"/>
      <c r="O6936" s="875"/>
      <c r="P6936" s="875"/>
    </row>
    <row r="6937" spans="1:16" s="858" customFormat="1" hidden="1" outlineLevel="1">
      <c r="A6937" s="1323"/>
      <c r="B6937" s="855"/>
      <c r="C6937" s="854"/>
      <c r="D6937" s="872">
        <f t="shared" si="250"/>
        <v>0</v>
      </c>
      <c r="E6937" s="901"/>
      <c r="F6937" s="859"/>
      <c r="G6937" s="859"/>
      <c r="H6937" s="859"/>
      <c r="I6937" s="399" t="str">
        <f t="shared" si="251"/>
        <v/>
      </c>
      <c r="J6937" s="894"/>
      <c r="K6937" s="1322"/>
      <c r="L6937" s="875"/>
      <c r="M6937" s="875"/>
      <c r="N6937" s="875"/>
      <c r="O6937" s="875"/>
      <c r="P6937" s="875"/>
    </row>
    <row r="6938" spans="1:16" s="858" customFormat="1" hidden="1" outlineLevel="1">
      <c r="A6938" s="1323"/>
      <c r="B6938" s="855"/>
      <c r="C6938" s="854" t="s">
        <v>2</v>
      </c>
      <c r="D6938" s="872">
        <v>1</v>
      </c>
      <c r="E6938" s="901">
        <v>1</v>
      </c>
      <c r="F6938" s="859">
        <v>20.145</v>
      </c>
      <c r="G6938" s="859">
        <v>2.2349999999999999</v>
      </c>
      <c r="H6938" s="859">
        <v>0.82299999999999995</v>
      </c>
      <c r="I6938" s="399">
        <f t="shared" si="251"/>
        <v>37.049999999999997</v>
      </c>
      <c r="J6938" s="894"/>
      <c r="K6938" s="1322"/>
      <c r="L6938" s="875"/>
      <c r="M6938" s="875"/>
      <c r="N6938" s="875"/>
      <c r="O6938" s="875"/>
      <c r="P6938" s="875"/>
    </row>
    <row r="6939" spans="1:16" s="858" customFormat="1" hidden="1" outlineLevel="1">
      <c r="A6939" s="1323"/>
      <c r="B6939" s="855"/>
      <c r="C6939" s="854" t="s">
        <v>2</v>
      </c>
      <c r="D6939" s="872">
        <v>1</v>
      </c>
      <c r="E6939" s="901">
        <v>1</v>
      </c>
      <c r="F6939" s="859">
        <v>1.845</v>
      </c>
      <c r="G6939" s="859">
        <v>4.07</v>
      </c>
      <c r="H6939" s="859">
        <v>0.82299999999999995</v>
      </c>
      <c r="I6939" s="399">
        <f t="shared" si="251"/>
        <v>6.18</v>
      </c>
      <c r="J6939" s="894"/>
      <c r="K6939" s="1322"/>
      <c r="L6939" s="875"/>
      <c r="M6939" s="875"/>
      <c r="N6939" s="875"/>
      <c r="O6939" s="875"/>
      <c r="P6939" s="875"/>
    </row>
    <row r="6940" spans="1:16" s="858" customFormat="1" hidden="1" outlineLevel="1">
      <c r="A6940" s="1323"/>
      <c r="B6940" s="855"/>
      <c r="C6940" s="854"/>
      <c r="D6940" s="872">
        <f t="shared" ref="D6940:D6967" si="252">1*0</f>
        <v>0</v>
      </c>
      <c r="E6940" s="901"/>
      <c r="F6940" s="859"/>
      <c r="G6940" s="859"/>
      <c r="H6940" s="859"/>
      <c r="I6940" s="399" t="str">
        <f t="shared" si="251"/>
        <v/>
      </c>
      <c r="J6940" s="894"/>
      <c r="K6940" s="1322"/>
      <c r="L6940" s="875"/>
      <c r="M6940" s="875"/>
      <c r="N6940" s="875"/>
      <c r="O6940" s="875"/>
      <c r="P6940" s="875"/>
    </row>
    <row r="6941" spans="1:16" s="858" customFormat="1" hidden="1" outlineLevel="1">
      <c r="A6941" s="1323"/>
      <c r="B6941" s="855"/>
      <c r="C6941" s="854" t="s">
        <v>2</v>
      </c>
      <c r="D6941" s="872">
        <v>1</v>
      </c>
      <c r="E6941" s="901">
        <v>1</v>
      </c>
      <c r="F6941" s="859">
        <v>0.68500000000000005</v>
      </c>
      <c r="G6941" s="859">
        <v>4.13</v>
      </c>
      <c r="H6941" s="859">
        <v>0.82299999999999995</v>
      </c>
      <c r="I6941" s="399">
        <f t="shared" ref="I6941:I6978" si="253">IF(D6941&lt;&gt;0,ROUND(PRODUCT(E6941:H6941)*D6941,2),"")</f>
        <v>2.33</v>
      </c>
      <c r="J6941" s="894"/>
      <c r="K6941" s="1322"/>
      <c r="L6941" s="875"/>
      <c r="M6941" s="875"/>
      <c r="N6941" s="875"/>
      <c r="O6941" s="875"/>
      <c r="P6941" s="875"/>
    </row>
    <row r="6942" spans="1:16" s="858" customFormat="1" hidden="1" outlineLevel="1">
      <c r="A6942" s="1323"/>
      <c r="B6942" s="855"/>
      <c r="C6942" s="854" t="s">
        <v>2</v>
      </c>
      <c r="D6942" s="872">
        <v>1</v>
      </c>
      <c r="E6942" s="901">
        <v>1</v>
      </c>
      <c r="F6942" s="859">
        <v>3.43</v>
      </c>
      <c r="G6942" s="859">
        <v>1.2</v>
      </c>
      <c r="H6942" s="859">
        <v>0.82299999999999995</v>
      </c>
      <c r="I6942" s="399">
        <f t="shared" si="253"/>
        <v>3.39</v>
      </c>
      <c r="J6942" s="894"/>
      <c r="K6942" s="1322"/>
      <c r="L6942" s="875"/>
      <c r="M6942" s="875"/>
      <c r="N6942" s="875"/>
      <c r="O6942" s="875"/>
      <c r="P6942" s="875"/>
    </row>
    <row r="6943" spans="1:16" s="858" customFormat="1" hidden="1" outlineLevel="1">
      <c r="A6943" s="1323"/>
      <c r="B6943" s="855"/>
      <c r="C6943" s="854" t="s">
        <v>2</v>
      </c>
      <c r="D6943" s="872">
        <v>1</v>
      </c>
      <c r="E6943" s="901">
        <v>1</v>
      </c>
      <c r="F6943" s="859">
        <v>1.6</v>
      </c>
      <c r="G6943" s="859">
        <v>3</v>
      </c>
      <c r="H6943" s="859">
        <v>0.82299999999999995</v>
      </c>
      <c r="I6943" s="399">
        <f t="shared" si="253"/>
        <v>3.95</v>
      </c>
      <c r="J6943" s="894"/>
      <c r="K6943" s="1322"/>
      <c r="L6943" s="875"/>
      <c r="M6943" s="875"/>
      <c r="N6943" s="875"/>
      <c r="O6943" s="875"/>
      <c r="P6943" s="875"/>
    </row>
    <row r="6944" spans="1:16" s="858" customFormat="1" hidden="1" outlineLevel="1">
      <c r="A6944" s="1323"/>
      <c r="B6944" s="855"/>
      <c r="C6944" s="854" t="s">
        <v>2</v>
      </c>
      <c r="D6944" s="872">
        <v>1</v>
      </c>
      <c r="E6944" s="901">
        <v>1</v>
      </c>
      <c r="F6944" s="859">
        <v>3.7349999999999999</v>
      </c>
      <c r="G6944" s="859">
        <v>1.2</v>
      </c>
      <c r="H6944" s="859">
        <v>0.82299999999999995</v>
      </c>
      <c r="I6944" s="399">
        <f t="shared" si="253"/>
        <v>3.69</v>
      </c>
      <c r="J6944" s="894"/>
      <c r="K6944" s="1322"/>
      <c r="L6944" s="875"/>
      <c r="M6944" s="875"/>
      <c r="N6944" s="875"/>
      <c r="O6944" s="875"/>
      <c r="P6944" s="875"/>
    </row>
    <row r="6945" spans="1:16" s="858" customFormat="1" hidden="1" outlineLevel="1">
      <c r="A6945" s="1323"/>
      <c r="B6945" s="855"/>
      <c r="C6945" s="854" t="s">
        <v>2</v>
      </c>
      <c r="D6945" s="872">
        <v>1</v>
      </c>
      <c r="E6945" s="901">
        <v>1</v>
      </c>
      <c r="F6945" s="859">
        <v>3.43</v>
      </c>
      <c r="G6945" s="859">
        <v>4.2350000000000003</v>
      </c>
      <c r="H6945" s="859">
        <v>0.82299999999999995</v>
      </c>
      <c r="I6945" s="399">
        <f t="shared" si="253"/>
        <v>11.95</v>
      </c>
      <c r="J6945" s="894"/>
      <c r="K6945" s="1322"/>
      <c r="L6945" s="875"/>
      <c r="M6945" s="875"/>
      <c r="N6945" s="875"/>
      <c r="O6945" s="875"/>
      <c r="P6945" s="875"/>
    </row>
    <row r="6946" spans="1:16" s="858" customFormat="1" hidden="1" outlineLevel="1">
      <c r="A6946" s="1323"/>
      <c r="B6946" s="855"/>
      <c r="C6946" s="854" t="s">
        <v>2</v>
      </c>
      <c r="D6946" s="872">
        <v>1</v>
      </c>
      <c r="E6946" s="901">
        <v>1</v>
      </c>
      <c r="F6946" s="859">
        <v>1.6</v>
      </c>
      <c r="G6946" s="859">
        <v>1.8</v>
      </c>
      <c r="H6946" s="859">
        <v>0.82299999999999995</v>
      </c>
      <c r="I6946" s="399">
        <f t="shared" si="253"/>
        <v>2.37</v>
      </c>
      <c r="J6946" s="894"/>
      <c r="K6946" s="1322"/>
      <c r="L6946" s="875"/>
      <c r="M6946" s="875"/>
      <c r="N6946" s="875"/>
      <c r="O6946" s="875"/>
      <c r="P6946" s="875"/>
    </row>
    <row r="6947" spans="1:16" s="858" customFormat="1" hidden="1" outlineLevel="1">
      <c r="A6947" s="1323"/>
      <c r="B6947" s="855"/>
      <c r="C6947" s="854" t="s">
        <v>2</v>
      </c>
      <c r="D6947" s="872">
        <v>1</v>
      </c>
      <c r="E6947" s="901">
        <v>1</v>
      </c>
      <c r="F6947" s="859">
        <v>1.6</v>
      </c>
      <c r="G6947" s="859">
        <v>4.2</v>
      </c>
      <c r="H6947" s="859">
        <v>0.82299999999999995</v>
      </c>
      <c r="I6947" s="399">
        <f t="shared" si="253"/>
        <v>5.53</v>
      </c>
      <c r="J6947" s="894"/>
      <c r="K6947" s="1322"/>
      <c r="L6947" s="875"/>
      <c r="M6947" s="875"/>
      <c r="N6947" s="875"/>
      <c r="O6947" s="875"/>
      <c r="P6947" s="875"/>
    </row>
    <row r="6948" spans="1:16" s="858" customFormat="1" hidden="1" outlineLevel="1">
      <c r="A6948" s="1323"/>
      <c r="B6948" s="855"/>
      <c r="C6948" s="854" t="s">
        <v>2</v>
      </c>
      <c r="D6948" s="872">
        <v>1</v>
      </c>
      <c r="E6948" s="901">
        <v>1</v>
      </c>
      <c r="F6948" s="859">
        <v>1.6</v>
      </c>
      <c r="G6948" s="859">
        <v>5</v>
      </c>
      <c r="H6948" s="859">
        <v>0.82299999999999995</v>
      </c>
      <c r="I6948" s="399">
        <f t="shared" si="253"/>
        <v>6.58</v>
      </c>
      <c r="J6948" s="894"/>
      <c r="K6948" s="1322"/>
      <c r="L6948" s="875"/>
      <c r="M6948" s="875"/>
      <c r="N6948" s="875"/>
      <c r="O6948" s="875"/>
      <c r="P6948" s="875"/>
    </row>
    <row r="6949" spans="1:16" s="858" customFormat="1" hidden="1" outlineLevel="1">
      <c r="A6949" s="1323"/>
      <c r="B6949" s="855"/>
      <c r="C6949" s="854" t="s">
        <v>2</v>
      </c>
      <c r="D6949" s="872">
        <v>1</v>
      </c>
      <c r="E6949" s="901">
        <v>1</v>
      </c>
      <c r="F6949" s="859">
        <v>2.1349999999999998</v>
      </c>
      <c r="G6949" s="859">
        <v>3.2349999999999999</v>
      </c>
      <c r="H6949" s="859">
        <v>0.82299999999999995</v>
      </c>
      <c r="I6949" s="399">
        <f t="shared" si="253"/>
        <v>5.68</v>
      </c>
      <c r="J6949" s="894"/>
      <c r="K6949" s="1322"/>
      <c r="L6949" s="875"/>
      <c r="M6949" s="875"/>
      <c r="N6949" s="875"/>
      <c r="O6949" s="875"/>
      <c r="P6949" s="875"/>
    </row>
    <row r="6950" spans="1:16" s="858" customFormat="1" hidden="1" outlineLevel="1">
      <c r="A6950" s="1323"/>
      <c r="B6950" s="855"/>
      <c r="C6950" s="854" t="s">
        <v>2</v>
      </c>
      <c r="D6950" s="872">
        <v>1</v>
      </c>
      <c r="E6950" s="901">
        <v>1</v>
      </c>
      <c r="F6950" s="859">
        <v>3.7349999999999999</v>
      </c>
      <c r="G6950" s="859">
        <v>3.2</v>
      </c>
      <c r="H6950" s="859">
        <v>0.82299999999999995</v>
      </c>
      <c r="I6950" s="399">
        <f t="shared" si="253"/>
        <v>9.84</v>
      </c>
      <c r="J6950" s="894"/>
      <c r="K6950" s="1322"/>
      <c r="L6950" s="875"/>
      <c r="M6950" s="875"/>
      <c r="N6950" s="875"/>
      <c r="O6950" s="875"/>
      <c r="P6950" s="875"/>
    </row>
    <row r="6951" spans="1:16" s="858" customFormat="1" hidden="1" outlineLevel="1">
      <c r="A6951" s="1323"/>
      <c r="B6951" s="855"/>
      <c r="C6951" s="854" t="s">
        <v>2</v>
      </c>
      <c r="D6951" s="872">
        <v>1</v>
      </c>
      <c r="E6951" s="901">
        <v>1</v>
      </c>
      <c r="F6951" s="859">
        <v>12.12</v>
      </c>
      <c r="G6951" s="859">
        <v>1.5</v>
      </c>
      <c r="H6951" s="859">
        <v>0.82299999999999995</v>
      </c>
      <c r="I6951" s="399">
        <f t="shared" si="253"/>
        <v>14.96</v>
      </c>
      <c r="J6951" s="894"/>
      <c r="K6951" s="1322"/>
      <c r="L6951" s="875"/>
      <c r="M6951" s="875"/>
      <c r="N6951" s="875"/>
      <c r="O6951" s="875"/>
      <c r="P6951" s="875"/>
    </row>
    <row r="6952" spans="1:16" s="858" customFormat="1" hidden="1" outlineLevel="1">
      <c r="A6952" s="1323"/>
      <c r="B6952" s="855"/>
      <c r="C6952" s="854" t="s">
        <v>2</v>
      </c>
      <c r="D6952" s="872">
        <v>1</v>
      </c>
      <c r="E6952" s="901">
        <v>1</v>
      </c>
      <c r="F6952" s="859">
        <v>0.99</v>
      </c>
      <c r="G6952" s="859">
        <v>4.13</v>
      </c>
      <c r="H6952" s="859">
        <v>0.82299999999999995</v>
      </c>
      <c r="I6952" s="399">
        <f t="shared" si="253"/>
        <v>3.37</v>
      </c>
      <c r="J6952" s="894"/>
      <c r="K6952" s="1322"/>
      <c r="L6952" s="875"/>
      <c r="M6952" s="875"/>
      <c r="N6952" s="875"/>
      <c r="O6952" s="875"/>
      <c r="P6952" s="875"/>
    </row>
    <row r="6953" spans="1:16" s="858" customFormat="1" hidden="1" outlineLevel="1">
      <c r="A6953" s="1323"/>
      <c r="B6953" s="855"/>
      <c r="C6953" s="854" t="s">
        <v>2</v>
      </c>
      <c r="D6953" s="872">
        <v>1</v>
      </c>
      <c r="E6953" s="901">
        <v>1</v>
      </c>
      <c r="F6953" s="859">
        <v>1.6</v>
      </c>
      <c r="G6953" s="859">
        <v>4.5</v>
      </c>
      <c r="H6953" s="859">
        <v>0.82299999999999995</v>
      </c>
      <c r="I6953" s="399">
        <f t="shared" si="253"/>
        <v>5.93</v>
      </c>
      <c r="J6953" s="894"/>
      <c r="K6953" s="1322"/>
      <c r="L6953" s="875"/>
      <c r="M6953" s="875"/>
      <c r="N6953" s="875"/>
      <c r="O6953" s="875"/>
      <c r="P6953" s="875"/>
    </row>
    <row r="6954" spans="1:16" s="858" customFormat="1" hidden="1" outlineLevel="1">
      <c r="A6954" s="1323"/>
      <c r="B6954" s="855"/>
      <c r="C6954" s="854" t="s">
        <v>2</v>
      </c>
      <c r="D6954" s="872">
        <v>1</v>
      </c>
      <c r="E6954" s="901">
        <v>1</v>
      </c>
      <c r="F6954" s="859">
        <v>1.46</v>
      </c>
      <c r="G6954" s="859">
        <v>2.7</v>
      </c>
      <c r="H6954" s="859">
        <v>0.82299999999999995</v>
      </c>
      <c r="I6954" s="399">
        <f t="shared" si="253"/>
        <v>3.24</v>
      </c>
      <c r="J6954" s="894"/>
      <c r="K6954" s="1322"/>
      <c r="L6954" s="875"/>
      <c r="M6954" s="875"/>
      <c r="N6954" s="875"/>
      <c r="O6954" s="875"/>
      <c r="P6954" s="875"/>
    </row>
    <row r="6955" spans="1:16" s="858" customFormat="1" hidden="1" outlineLevel="1">
      <c r="A6955" s="1323"/>
      <c r="B6955" s="855"/>
      <c r="C6955" s="854" t="s">
        <v>2</v>
      </c>
      <c r="D6955" s="872">
        <v>1</v>
      </c>
      <c r="E6955" s="901">
        <v>1</v>
      </c>
      <c r="F6955" s="859">
        <v>1.6</v>
      </c>
      <c r="G6955" s="859">
        <v>6</v>
      </c>
      <c r="H6955" s="859">
        <v>0.82299999999999995</v>
      </c>
      <c r="I6955" s="399">
        <f t="shared" si="253"/>
        <v>7.9</v>
      </c>
      <c r="J6955" s="894"/>
      <c r="K6955" s="1322"/>
      <c r="L6955" s="875"/>
      <c r="M6955" s="875"/>
      <c r="N6955" s="875"/>
      <c r="O6955" s="875"/>
      <c r="P6955" s="875"/>
    </row>
    <row r="6956" spans="1:16" s="858" customFormat="1" hidden="1" outlineLevel="1">
      <c r="A6956" s="1323"/>
      <c r="B6956" s="855"/>
      <c r="C6956" s="854"/>
      <c r="D6956" s="872">
        <f t="shared" si="252"/>
        <v>0</v>
      </c>
      <c r="E6956" s="901"/>
      <c r="F6956" s="859"/>
      <c r="G6956" s="859"/>
      <c r="H6956" s="859"/>
      <c r="I6956" s="399" t="str">
        <f t="shared" si="253"/>
        <v/>
      </c>
      <c r="J6956" s="894"/>
      <c r="K6956" s="1322"/>
      <c r="L6956" s="875"/>
      <c r="M6956" s="875"/>
      <c r="N6956" s="875"/>
      <c r="O6956" s="875"/>
      <c r="P6956" s="875"/>
    </row>
    <row r="6957" spans="1:16" s="858" customFormat="1" hidden="1" outlineLevel="1">
      <c r="A6957" s="1323"/>
      <c r="B6957" s="855"/>
      <c r="C6957" s="854" t="s">
        <v>2</v>
      </c>
      <c r="D6957" s="872">
        <v>1</v>
      </c>
      <c r="E6957" s="901">
        <v>1</v>
      </c>
      <c r="F6957" s="859">
        <v>20.97</v>
      </c>
      <c r="G6957" s="859">
        <v>2</v>
      </c>
      <c r="H6957" s="859">
        <v>0.82299999999999995</v>
      </c>
      <c r="I6957" s="399">
        <f t="shared" si="253"/>
        <v>34.520000000000003</v>
      </c>
      <c r="J6957" s="894"/>
      <c r="K6957" s="1322"/>
      <c r="L6957" s="875"/>
      <c r="M6957" s="875"/>
      <c r="N6957" s="875"/>
      <c r="O6957" s="875"/>
      <c r="P6957" s="875"/>
    </row>
    <row r="6958" spans="1:16" s="858" customFormat="1" hidden="1" outlineLevel="1">
      <c r="A6958" s="1323"/>
      <c r="B6958" s="855"/>
      <c r="C6958" s="854" t="s">
        <v>2</v>
      </c>
      <c r="D6958" s="872">
        <v>1</v>
      </c>
      <c r="E6958" s="901">
        <v>1</v>
      </c>
      <c r="F6958" s="859">
        <v>1.905</v>
      </c>
      <c r="G6958" s="859">
        <v>6.2350000000000003</v>
      </c>
      <c r="H6958" s="859">
        <v>0.82299999999999995</v>
      </c>
      <c r="I6958" s="399">
        <f t="shared" si="253"/>
        <v>9.7799999999999994</v>
      </c>
      <c r="J6958" s="894"/>
      <c r="K6958" s="1322"/>
      <c r="L6958" s="875"/>
      <c r="M6958" s="875"/>
      <c r="N6958" s="875"/>
      <c r="O6958" s="875"/>
      <c r="P6958" s="875"/>
    </row>
    <row r="6959" spans="1:16" s="858" customFormat="1" hidden="1" outlineLevel="1">
      <c r="A6959" s="1323"/>
      <c r="B6959" s="855"/>
      <c r="C6959" s="854" t="s">
        <v>2</v>
      </c>
      <c r="D6959" s="872">
        <f t="shared" si="252"/>
        <v>0</v>
      </c>
      <c r="E6959" s="901">
        <v>1</v>
      </c>
      <c r="F6959" s="859">
        <v>1.145</v>
      </c>
      <c r="G6959" s="859">
        <v>2</v>
      </c>
      <c r="H6959" s="859">
        <v>0.82299999999999995</v>
      </c>
      <c r="I6959" s="399" t="str">
        <f t="shared" si="253"/>
        <v/>
      </c>
      <c r="J6959" s="894"/>
      <c r="K6959" s="1322"/>
      <c r="L6959" s="875"/>
      <c r="M6959" s="875"/>
      <c r="N6959" s="875"/>
      <c r="O6959" s="875"/>
      <c r="P6959" s="875"/>
    </row>
    <row r="6960" spans="1:16" s="858" customFormat="1" hidden="1" outlineLevel="1">
      <c r="A6960" s="1323"/>
      <c r="B6960" s="855"/>
      <c r="C6960" s="854"/>
      <c r="D6960" s="872">
        <f t="shared" si="252"/>
        <v>0</v>
      </c>
      <c r="E6960" s="901"/>
      <c r="F6960" s="859"/>
      <c r="G6960" s="859"/>
      <c r="H6960" s="859"/>
      <c r="I6960" s="399" t="str">
        <f t="shared" si="253"/>
        <v/>
      </c>
      <c r="J6960" s="894"/>
      <c r="K6960" s="1322"/>
      <c r="L6960" s="875"/>
      <c r="M6960" s="875"/>
      <c r="N6960" s="875"/>
      <c r="O6960" s="875"/>
      <c r="P6960" s="875"/>
    </row>
    <row r="6961" spans="1:16" s="858" customFormat="1" hidden="1" outlineLevel="1">
      <c r="A6961" s="1323"/>
      <c r="B6961" s="855"/>
      <c r="C6961" s="854" t="s">
        <v>2</v>
      </c>
      <c r="D6961" s="872">
        <v>1</v>
      </c>
      <c r="E6961" s="901">
        <v>1</v>
      </c>
      <c r="F6961" s="859">
        <v>4.3449999999999998</v>
      </c>
      <c r="G6961" s="859">
        <v>1.2</v>
      </c>
      <c r="H6961" s="859">
        <v>0.82299999999999995</v>
      </c>
      <c r="I6961" s="399">
        <f t="shared" si="253"/>
        <v>4.29</v>
      </c>
      <c r="J6961" s="894"/>
      <c r="K6961" s="1322"/>
      <c r="L6961" s="875"/>
      <c r="M6961" s="875"/>
      <c r="N6961" s="875"/>
      <c r="O6961" s="875"/>
      <c r="P6961" s="875"/>
    </row>
    <row r="6962" spans="1:16" s="858" customFormat="1" hidden="1" outlineLevel="1">
      <c r="A6962" s="1323"/>
      <c r="B6962" s="855"/>
      <c r="C6962" s="854" t="s">
        <v>2</v>
      </c>
      <c r="D6962" s="872">
        <v>1</v>
      </c>
      <c r="E6962" s="901">
        <v>1</v>
      </c>
      <c r="F6962" s="859">
        <v>1.6</v>
      </c>
      <c r="G6962" s="859">
        <v>1.8</v>
      </c>
      <c r="H6962" s="859">
        <v>0.82299999999999995</v>
      </c>
      <c r="I6962" s="399">
        <f t="shared" si="253"/>
        <v>2.37</v>
      </c>
      <c r="J6962" s="894"/>
      <c r="K6962" s="1322"/>
      <c r="L6962" s="875"/>
      <c r="M6962" s="875"/>
      <c r="N6962" s="875"/>
      <c r="O6962" s="875"/>
      <c r="P6962" s="875"/>
    </row>
    <row r="6963" spans="1:16" s="858" customFormat="1" hidden="1" outlineLevel="1">
      <c r="A6963" s="1323"/>
      <c r="B6963" s="855"/>
      <c r="C6963" s="854" t="s">
        <v>2</v>
      </c>
      <c r="D6963" s="872">
        <v>1</v>
      </c>
      <c r="E6963" s="901">
        <v>1</v>
      </c>
      <c r="F6963" s="859">
        <v>4.6500000000000004</v>
      </c>
      <c r="G6963" s="859">
        <v>1</v>
      </c>
      <c r="H6963" s="859">
        <v>0.82299999999999995</v>
      </c>
      <c r="I6963" s="399">
        <f t="shared" si="253"/>
        <v>3.83</v>
      </c>
      <c r="J6963" s="894"/>
      <c r="K6963" s="1322"/>
      <c r="L6963" s="875"/>
      <c r="M6963" s="875"/>
      <c r="N6963" s="875"/>
      <c r="O6963" s="875"/>
      <c r="P6963" s="875"/>
    </row>
    <row r="6964" spans="1:16" s="858" customFormat="1" hidden="1" outlineLevel="1">
      <c r="A6964" s="1323"/>
      <c r="B6964" s="855"/>
      <c r="C6964" s="854" t="s">
        <v>2</v>
      </c>
      <c r="D6964" s="872">
        <v>1</v>
      </c>
      <c r="E6964" s="901">
        <v>1</v>
      </c>
      <c r="F6964" s="859">
        <v>1.905</v>
      </c>
      <c r="G6964" s="859">
        <v>1.8</v>
      </c>
      <c r="H6964" s="859">
        <v>0.82299999999999995</v>
      </c>
      <c r="I6964" s="399">
        <f t="shared" si="253"/>
        <v>2.82</v>
      </c>
      <c r="J6964" s="894"/>
      <c r="K6964" s="1322"/>
      <c r="L6964" s="875"/>
      <c r="M6964" s="875"/>
      <c r="N6964" s="875"/>
      <c r="O6964" s="875"/>
      <c r="P6964" s="875"/>
    </row>
    <row r="6965" spans="1:16" s="858" customFormat="1" ht="34.5" hidden="1" outlineLevel="1">
      <c r="A6965" s="1323"/>
      <c r="B6965" s="855" t="s">
        <v>322</v>
      </c>
      <c r="C6965" s="854"/>
      <c r="D6965" s="872">
        <f t="shared" si="252"/>
        <v>0</v>
      </c>
      <c r="E6965" s="901"/>
      <c r="F6965" s="859"/>
      <c r="G6965" s="859"/>
      <c r="H6965" s="859"/>
      <c r="I6965" s="399" t="str">
        <f t="shared" si="253"/>
        <v/>
      </c>
      <c r="J6965" s="894"/>
      <c r="K6965" s="1322"/>
      <c r="L6965" s="875"/>
      <c r="M6965" s="875"/>
      <c r="N6965" s="875"/>
      <c r="O6965" s="875"/>
      <c r="P6965" s="875"/>
    </row>
    <row r="6966" spans="1:16" s="858" customFormat="1" hidden="1" outlineLevel="1">
      <c r="A6966" s="1323"/>
      <c r="B6966" s="871"/>
      <c r="C6966" s="854" t="s">
        <v>2</v>
      </c>
      <c r="D6966" s="872">
        <v>1</v>
      </c>
      <c r="E6966" s="901">
        <v>1</v>
      </c>
      <c r="F6966" s="859">
        <v>24.135000000000002</v>
      </c>
      <c r="G6966" s="859">
        <v>6.2</v>
      </c>
      <c r="H6966" s="859">
        <v>0.82299999999999995</v>
      </c>
      <c r="I6966" s="399">
        <f t="shared" si="253"/>
        <v>123.15</v>
      </c>
      <c r="J6966" s="894"/>
      <c r="K6966" s="1322"/>
      <c r="L6966" s="875"/>
      <c r="M6966" s="875"/>
      <c r="N6966" s="875"/>
      <c r="O6966" s="875"/>
      <c r="P6966" s="875"/>
    </row>
    <row r="6967" spans="1:16" s="858" customFormat="1" hidden="1" outlineLevel="1">
      <c r="A6967" s="1323"/>
      <c r="B6967" s="907" t="s">
        <v>1291</v>
      </c>
      <c r="C6967" s="854"/>
      <c r="D6967" s="872">
        <f t="shared" si="252"/>
        <v>0</v>
      </c>
      <c r="E6967" s="901"/>
      <c r="F6967" s="859"/>
      <c r="G6967" s="859"/>
      <c r="H6967" s="859"/>
      <c r="I6967" s="399" t="str">
        <f t="shared" si="253"/>
        <v/>
      </c>
      <c r="J6967" s="894"/>
      <c r="K6967" s="1322"/>
      <c r="L6967" s="875"/>
      <c r="M6967" s="875"/>
      <c r="N6967" s="875"/>
      <c r="O6967" s="875"/>
      <c r="P6967" s="875"/>
    </row>
    <row r="6968" spans="1:16" s="870" customFormat="1" hidden="1" outlineLevel="1">
      <c r="A6968" s="1287"/>
      <c r="B6968" s="908" t="s">
        <v>929</v>
      </c>
      <c r="C6968" s="909" t="s">
        <v>2</v>
      </c>
      <c r="D6968" s="910"/>
      <c r="E6968" s="911"/>
      <c r="F6968" s="912"/>
      <c r="G6968" s="912"/>
      <c r="H6968" s="912"/>
      <c r="I6968" s="399" t="str">
        <f t="shared" si="253"/>
        <v/>
      </c>
      <c r="J6968" s="860"/>
      <c r="K6968" s="1247"/>
      <c r="L6968" s="869"/>
      <c r="M6968" s="869"/>
      <c r="N6968" s="869"/>
    </row>
    <row r="6969" spans="1:16" s="870" customFormat="1" ht="34.5" hidden="1" outlineLevel="1">
      <c r="A6969" s="1287"/>
      <c r="B6969" s="886" t="s">
        <v>1718</v>
      </c>
      <c r="C6969" s="909" t="s">
        <v>2</v>
      </c>
      <c r="D6969" s="910">
        <v>1</v>
      </c>
      <c r="E6969" s="911">
        <v>1</v>
      </c>
      <c r="F6969" s="912">
        <f>45526849.9/1000000</f>
        <v>45.526849900000002</v>
      </c>
      <c r="G6969" s="912"/>
      <c r="H6969" s="912">
        <v>0.125</v>
      </c>
      <c r="I6969" s="399">
        <f t="shared" si="253"/>
        <v>5.69</v>
      </c>
      <c r="J6969" s="860"/>
      <c r="K6969" s="1327" t="s">
        <v>624</v>
      </c>
      <c r="L6969" s="869"/>
      <c r="M6969" s="869"/>
      <c r="N6969" s="869"/>
    </row>
    <row r="6970" spans="1:16" s="870" customFormat="1" hidden="1" outlineLevel="1">
      <c r="A6970" s="1287"/>
      <c r="B6970" s="886" t="s">
        <v>1719</v>
      </c>
      <c r="C6970" s="909" t="s">
        <v>2</v>
      </c>
      <c r="D6970" s="910">
        <v>1</v>
      </c>
      <c r="E6970" s="911">
        <v>1</v>
      </c>
      <c r="F6970" s="912">
        <f>235971026/1000000</f>
        <v>235.97102599999999</v>
      </c>
      <c r="G6970" s="912"/>
      <c r="H6970" s="912">
        <v>0.125</v>
      </c>
      <c r="I6970" s="399">
        <f t="shared" si="253"/>
        <v>29.5</v>
      </c>
      <c r="J6970" s="860"/>
      <c r="K6970" s="1327" t="s">
        <v>624</v>
      </c>
      <c r="L6970" s="869"/>
      <c r="M6970" s="869"/>
      <c r="N6970" s="869"/>
    </row>
    <row r="6971" spans="1:16" s="870" customFormat="1" hidden="1" outlineLevel="1">
      <c r="A6971" s="1287"/>
      <c r="B6971" s="886" t="s">
        <v>1720</v>
      </c>
      <c r="C6971" s="909" t="s">
        <v>2</v>
      </c>
      <c r="D6971" s="910">
        <v>1</v>
      </c>
      <c r="E6971" s="911">
        <v>1</v>
      </c>
      <c r="F6971" s="912">
        <f>229385941/1000000</f>
        <v>229.385941</v>
      </c>
      <c r="G6971" s="912"/>
      <c r="H6971" s="912">
        <v>0.125</v>
      </c>
      <c r="I6971" s="399">
        <f t="shared" si="253"/>
        <v>28.67</v>
      </c>
      <c r="J6971" s="860"/>
      <c r="K6971" s="1327" t="s">
        <v>624</v>
      </c>
      <c r="L6971" s="869"/>
      <c r="M6971" s="869"/>
      <c r="N6971" s="869"/>
    </row>
    <row r="6972" spans="1:16" s="870" customFormat="1" hidden="1" outlineLevel="1">
      <c r="A6972" s="1287"/>
      <c r="B6972" s="886" t="s">
        <v>1721</v>
      </c>
      <c r="C6972" s="909" t="s">
        <v>2</v>
      </c>
      <c r="D6972" s="910">
        <v>1</v>
      </c>
      <c r="E6972" s="911">
        <v>1</v>
      </c>
      <c r="F6972" s="912">
        <f>161301156/1000000</f>
        <v>161.30115599999999</v>
      </c>
      <c r="G6972" s="912"/>
      <c r="H6972" s="912">
        <v>0.125</v>
      </c>
      <c r="I6972" s="399">
        <f t="shared" si="253"/>
        <v>20.16</v>
      </c>
      <c r="J6972" s="860"/>
      <c r="K6972" s="1327" t="s">
        <v>624</v>
      </c>
      <c r="L6972" s="869"/>
      <c r="M6972" s="869"/>
      <c r="N6972" s="869"/>
    </row>
    <row r="6973" spans="1:16" s="870" customFormat="1" hidden="1" outlineLevel="1">
      <c r="A6973" s="1306"/>
      <c r="B6973" s="890" t="s">
        <v>1671</v>
      </c>
      <c r="C6973" s="913" t="s">
        <v>2</v>
      </c>
      <c r="D6973" s="889">
        <v>-1</v>
      </c>
      <c r="E6973" s="895"/>
      <c r="F6973" s="863">
        <f>SUM(I6875:I6972)</f>
        <v>2244.41</v>
      </c>
      <c r="G6973" s="863"/>
      <c r="H6973" s="863"/>
      <c r="I6973" s="399">
        <f t="shared" si="253"/>
        <v>-2244.41</v>
      </c>
      <c r="J6973" s="914"/>
      <c r="K6973" s="1328"/>
      <c r="L6973" s="869"/>
      <c r="M6973" s="869"/>
      <c r="N6973" s="869"/>
    </row>
    <row r="6974" spans="1:16" s="464" customFormat="1" collapsed="1">
      <c r="A6974" s="1264"/>
      <c r="B6974" s="669" t="s">
        <v>85</v>
      </c>
      <c r="C6974" s="465" t="s">
        <v>2</v>
      </c>
      <c r="D6974" s="444"/>
      <c r="E6974" s="345"/>
      <c r="F6974" s="1356"/>
      <c r="G6974" s="1356"/>
      <c r="H6974" s="1356"/>
      <c r="I6974" s="399" t="str">
        <f t="shared" si="253"/>
        <v/>
      </c>
      <c r="J6974" s="381">
        <f>SUM(I5812:I6974)</f>
        <v>2106.3299999999981</v>
      </c>
      <c r="K6974" s="1258"/>
      <c r="L6974" s="463"/>
      <c r="M6974" s="463"/>
      <c r="N6974" s="463"/>
    </row>
    <row r="6975" spans="1:16">
      <c r="A6975" s="1221"/>
      <c r="I6975" s="399" t="str">
        <f t="shared" si="253"/>
        <v/>
      </c>
      <c r="K6975" s="1222"/>
    </row>
    <row r="6976" spans="1:16" s="398" customFormat="1" ht="34.5">
      <c r="A6976" s="1248"/>
      <c r="B6976" s="425" t="s">
        <v>1841</v>
      </c>
      <c r="C6976" s="498" t="s">
        <v>2</v>
      </c>
      <c r="D6976" s="485">
        <v>2</v>
      </c>
      <c r="E6976" s="408">
        <v>1</v>
      </c>
      <c r="F6976" s="1110">
        <v>1.1000000000000001</v>
      </c>
      <c r="G6976" s="1110">
        <v>1.1000000000000001</v>
      </c>
      <c r="H6976" s="486">
        <v>1.2</v>
      </c>
      <c r="I6976" s="399">
        <f t="shared" si="253"/>
        <v>2.9</v>
      </c>
      <c r="J6976" s="404"/>
      <c r="K6976" s="1240"/>
      <c r="L6976" s="431"/>
      <c r="M6976" s="431"/>
      <c r="N6976" s="431"/>
    </row>
    <row r="6977" spans="1:16" s="398" customFormat="1">
      <c r="A6977" s="1248"/>
      <c r="B6977" s="425"/>
      <c r="C6977" s="498"/>
      <c r="D6977" s="485"/>
      <c r="E6977" s="408"/>
      <c r="F6977" s="486"/>
      <c r="G6977" s="486"/>
      <c r="H6977" s="486"/>
      <c r="I6977" s="399" t="str">
        <f t="shared" si="253"/>
        <v/>
      </c>
      <c r="J6977" s="404"/>
      <c r="K6977" s="1240"/>
      <c r="L6977" s="431"/>
      <c r="M6977" s="431"/>
      <c r="N6977" s="431"/>
    </row>
    <row r="6978" spans="1:16" s="398" customFormat="1" ht="34.5">
      <c r="A6978" s="1248"/>
      <c r="B6978" s="425" t="s">
        <v>1842</v>
      </c>
      <c r="C6978" s="498" t="s">
        <v>2</v>
      </c>
      <c r="D6978" s="485">
        <v>2</v>
      </c>
      <c r="E6978" s="408">
        <v>1</v>
      </c>
      <c r="F6978" s="1110">
        <v>1.7</v>
      </c>
      <c r="G6978" s="1110">
        <v>1.7</v>
      </c>
      <c r="H6978" s="486">
        <v>1.9750000000000001</v>
      </c>
      <c r="I6978" s="399">
        <f t="shared" si="253"/>
        <v>11.42</v>
      </c>
      <c r="J6978" s="404"/>
      <c r="K6978" s="1240"/>
      <c r="L6978" s="431"/>
      <c r="M6978" s="431"/>
      <c r="N6978" s="431"/>
    </row>
    <row r="6979" spans="1:16" s="398" customFormat="1">
      <c r="A6979" s="1248"/>
      <c r="B6979" s="425"/>
      <c r="C6979" s="498" t="s">
        <v>2</v>
      </c>
      <c r="D6979" s="485"/>
      <c r="E6979" s="408"/>
      <c r="F6979" s="486"/>
      <c r="G6979" s="486"/>
      <c r="H6979" s="486"/>
      <c r="I6979" s="938" t="str">
        <f t="shared" ref="I6979" si="254">IF(D6979&lt;&gt;0,ROUND(PRODUCT(E6979:H6979)*D6979,2),"")</f>
        <v/>
      </c>
      <c r="J6979" s="404"/>
      <c r="K6979" s="1240"/>
      <c r="L6979" s="431"/>
      <c r="M6979" s="431"/>
      <c r="N6979" s="431"/>
    </row>
    <row r="6980" spans="1:16" s="398" customFormat="1">
      <c r="A6980" s="1250"/>
      <c r="B6980" s="161" t="s">
        <v>928</v>
      </c>
      <c r="C6980" s="165" t="s">
        <v>2</v>
      </c>
      <c r="D6980" s="392"/>
      <c r="E6980" s="165"/>
      <c r="F6980" s="401"/>
      <c r="G6980" s="401"/>
      <c r="H6980" s="401"/>
      <c r="I6980" s="938" t="str">
        <f t="shared" ref="I6980:I8318" si="255">IF(D6980&lt;&gt;0,ROUND(PRODUCT(E6980:H6980)*D6980,2),"")</f>
        <v/>
      </c>
      <c r="J6980" s="403">
        <f>SUM(I6976:I6979)</f>
        <v>14.32</v>
      </c>
      <c r="K6980" s="1329"/>
      <c r="L6980" s="431"/>
      <c r="M6980" s="431"/>
      <c r="N6980" s="431"/>
    </row>
    <row r="6981" spans="1:16">
      <c r="A6981" s="1221"/>
      <c r="B6981" s="408"/>
      <c r="I6981" s="938" t="str">
        <f t="shared" si="255"/>
        <v/>
      </c>
      <c r="J6981" s="469">
        <f>SUM(J6974:J6980)</f>
        <v>2120.6499999999983</v>
      </c>
      <c r="K6981" s="1237"/>
    </row>
    <row r="6982" spans="1:16">
      <c r="A6982" s="1219" t="s">
        <v>2140</v>
      </c>
      <c r="B6982" s="768" t="s">
        <v>1290</v>
      </c>
      <c r="C6982" s="422"/>
      <c r="D6982" s="436"/>
      <c r="E6982" s="436"/>
      <c r="F6982" s="1359"/>
      <c r="G6982" s="1359"/>
      <c r="H6982" s="1359"/>
      <c r="I6982" s="1185"/>
      <c r="J6982" s="423"/>
      <c r="K6982" s="1220"/>
      <c r="M6982" s="170"/>
      <c r="N6982" s="170"/>
    </row>
    <row r="6983" spans="1:16" s="464" customFormat="1">
      <c r="A6983" s="1264"/>
      <c r="B6983" s="669" t="s">
        <v>85</v>
      </c>
      <c r="C6983" s="465" t="s">
        <v>2</v>
      </c>
      <c r="D6983" s="444"/>
      <c r="E6983" s="345"/>
      <c r="F6983" s="1356"/>
      <c r="G6983" s="1356"/>
      <c r="H6983" s="1356"/>
      <c r="I6983" s="1170" t="str">
        <f t="shared" ref="I6983" si="256">IF(D6983&lt;&gt;0,ROUND(PRODUCT(E6983:H6983)*D6983,2),"")</f>
        <v/>
      </c>
      <c r="J6983" s="482">
        <f>SUM(I6982:I6983)</f>
        <v>0</v>
      </c>
      <c r="K6983" s="1258"/>
      <c r="L6983" s="463"/>
      <c r="M6983" s="463"/>
      <c r="N6983" s="463"/>
    </row>
    <row r="6984" spans="1:16" s="464" customFormat="1">
      <c r="A6984" s="1264"/>
      <c r="B6984" s="669" t="s">
        <v>1723</v>
      </c>
      <c r="C6984" s="345"/>
      <c r="D6984" s="658"/>
      <c r="E6984" s="363"/>
      <c r="F6984" s="1355"/>
      <c r="G6984" s="1355"/>
      <c r="H6984" s="1390"/>
      <c r="I6984" s="1170" t="str">
        <f t="shared" ref="I6984" si="257">IF(D6984&lt;&gt;0,ROUND(PRODUCT(E6984:H6984)*D6984,2),"")</f>
        <v/>
      </c>
      <c r="J6984" s="381"/>
      <c r="K6984" s="1317"/>
      <c r="L6984" s="463"/>
      <c r="M6984" s="463"/>
      <c r="N6984" s="463"/>
    </row>
    <row r="6985" spans="1:16" s="342" customFormat="1" ht="34.5">
      <c r="A6985" s="1230"/>
      <c r="B6985" s="607" t="s">
        <v>258</v>
      </c>
      <c r="C6985" s="345"/>
      <c r="D6985" s="608"/>
      <c r="E6985" s="609"/>
      <c r="F6985" s="1356"/>
      <c r="G6985" s="1356"/>
      <c r="H6985" s="1356"/>
      <c r="I6985" s="937"/>
      <c r="J6985" s="339"/>
      <c r="K6985" s="1231"/>
      <c r="L6985" s="341"/>
      <c r="M6985" s="341"/>
      <c r="N6985" s="341"/>
      <c r="O6985" s="341"/>
      <c r="P6985" s="341"/>
    </row>
    <row r="6986" spans="1:16" s="342" customFormat="1">
      <c r="A6986" s="1230"/>
      <c r="B6986" s="610"/>
      <c r="C6986" s="345" t="s">
        <v>2</v>
      </c>
      <c r="D6986" s="608">
        <v>1</v>
      </c>
      <c r="E6986" s="611">
        <v>0</v>
      </c>
      <c r="F6986" s="1356">
        <v>27.54</v>
      </c>
      <c r="G6986" s="1356">
        <v>14.739999999999998</v>
      </c>
      <c r="H6986" s="1422">
        <v>0.3</v>
      </c>
      <c r="I6986" s="1423">
        <f t="shared" ref="I6986:I7013" si="258">IF(D6986&lt;&gt;0,ROUND(PRODUCT(E6986:H6986)*D6986,2),"")</f>
        <v>0</v>
      </c>
      <c r="J6986" s="339"/>
      <c r="K6986" s="1318"/>
      <c r="L6986" s="341"/>
      <c r="M6986" s="341"/>
      <c r="N6986" s="341"/>
      <c r="O6986" s="341"/>
      <c r="P6986" s="341"/>
    </row>
    <row r="6987" spans="1:16" s="342" customFormat="1">
      <c r="A6987" s="1230"/>
      <c r="B6987" s="607" t="s">
        <v>259</v>
      </c>
      <c r="C6987" s="345"/>
      <c r="D6987" s="608">
        <f t="shared" ref="D6987:D7000" si="259">-1*0</f>
        <v>0</v>
      </c>
      <c r="E6987" s="611"/>
      <c r="F6987" s="1356"/>
      <c r="G6987" s="1356"/>
      <c r="H6987" s="1356"/>
      <c r="I6987" s="1423" t="str">
        <f t="shared" si="258"/>
        <v/>
      </c>
      <c r="J6987" s="339"/>
      <c r="K6987" s="1318"/>
      <c r="L6987" s="341"/>
      <c r="M6987" s="341"/>
      <c r="N6987" s="341"/>
      <c r="O6987" s="341"/>
      <c r="P6987" s="341"/>
    </row>
    <row r="6988" spans="1:16" s="342" customFormat="1">
      <c r="A6988" s="1230"/>
      <c r="B6988" s="607" t="s">
        <v>260</v>
      </c>
      <c r="C6988" s="345" t="s">
        <v>2</v>
      </c>
      <c r="D6988" s="608">
        <v>1</v>
      </c>
      <c r="E6988" s="611">
        <v>0</v>
      </c>
      <c r="F6988" s="1356">
        <v>29.2</v>
      </c>
      <c r="G6988" s="1356">
        <v>6</v>
      </c>
      <c r="H6988" s="1422">
        <v>0.3</v>
      </c>
      <c r="I6988" s="1423">
        <f t="shared" si="258"/>
        <v>0</v>
      </c>
      <c r="J6988" s="339"/>
      <c r="K6988" s="1318"/>
      <c r="L6988" s="341"/>
      <c r="M6988" s="341"/>
      <c r="N6988" s="341"/>
      <c r="O6988" s="341"/>
      <c r="P6988" s="341"/>
    </row>
    <row r="6989" spans="1:16" s="342" customFormat="1">
      <c r="A6989" s="1230"/>
      <c r="B6989" s="607"/>
      <c r="C6989" s="345" t="s">
        <v>2</v>
      </c>
      <c r="D6989" s="608">
        <v>1</v>
      </c>
      <c r="E6989" s="611">
        <v>0</v>
      </c>
      <c r="F6989" s="1356">
        <v>8.32</v>
      </c>
      <c r="G6989" s="1356">
        <v>6.78</v>
      </c>
      <c r="H6989" s="1422">
        <v>0.3</v>
      </c>
      <c r="I6989" s="1423">
        <f t="shared" si="258"/>
        <v>0</v>
      </c>
      <c r="J6989" s="339"/>
      <c r="K6989" s="1318"/>
      <c r="L6989" s="341"/>
      <c r="M6989" s="341"/>
      <c r="N6989" s="341"/>
      <c r="O6989" s="341"/>
      <c r="P6989" s="341"/>
    </row>
    <row r="6990" spans="1:16" s="342" customFormat="1">
      <c r="A6990" s="1230"/>
      <c r="B6990" s="607" t="s">
        <v>261</v>
      </c>
      <c r="C6990" s="345" t="s">
        <v>2</v>
      </c>
      <c r="D6990" s="608">
        <v>1</v>
      </c>
      <c r="E6990" s="611">
        <v>0</v>
      </c>
      <c r="F6990" s="1356">
        <v>23.234999999999999</v>
      </c>
      <c r="G6990" s="1356">
        <v>6</v>
      </c>
      <c r="H6990" s="1422">
        <v>0.3</v>
      </c>
      <c r="I6990" s="1423">
        <f t="shared" si="258"/>
        <v>0</v>
      </c>
      <c r="J6990" s="339"/>
      <c r="K6990" s="1318"/>
      <c r="L6990" s="341"/>
      <c r="M6990" s="341"/>
      <c r="N6990" s="341"/>
      <c r="O6990" s="341"/>
      <c r="P6990" s="341"/>
    </row>
    <row r="6991" spans="1:16" s="342" customFormat="1">
      <c r="A6991" s="1230"/>
      <c r="B6991" s="607" t="s">
        <v>261</v>
      </c>
      <c r="C6991" s="345" t="s">
        <v>2</v>
      </c>
      <c r="D6991" s="608">
        <v>1</v>
      </c>
      <c r="E6991" s="611">
        <v>0</v>
      </c>
      <c r="F6991" s="1356">
        <v>2.2749999999999999</v>
      </c>
      <c r="G6991" s="1356">
        <v>6</v>
      </c>
      <c r="H6991" s="1422">
        <v>0.3</v>
      </c>
      <c r="I6991" s="1423">
        <f t="shared" si="258"/>
        <v>0</v>
      </c>
      <c r="J6991" s="339"/>
      <c r="K6991" s="1318"/>
      <c r="L6991" s="341"/>
      <c r="M6991" s="341"/>
      <c r="N6991" s="341"/>
      <c r="O6991" s="341"/>
      <c r="P6991" s="341"/>
    </row>
    <row r="6992" spans="1:16" s="342" customFormat="1">
      <c r="A6992" s="1230"/>
      <c r="B6992" s="607" t="s">
        <v>261</v>
      </c>
      <c r="C6992" s="345" t="s">
        <v>2</v>
      </c>
      <c r="D6992" s="608">
        <v>1</v>
      </c>
      <c r="E6992" s="611">
        <v>0</v>
      </c>
      <c r="F6992" s="1356">
        <v>32.39</v>
      </c>
      <c r="G6992" s="1356">
        <v>6</v>
      </c>
      <c r="H6992" s="1422">
        <v>0.3</v>
      </c>
      <c r="I6992" s="1423">
        <f t="shared" si="258"/>
        <v>0</v>
      </c>
      <c r="J6992" s="339"/>
      <c r="K6992" s="1318"/>
      <c r="L6992" s="341"/>
      <c r="M6992" s="341"/>
      <c r="N6992" s="341"/>
      <c r="O6992" s="341"/>
      <c r="P6992" s="341"/>
    </row>
    <row r="6993" spans="1:16" s="342" customFormat="1">
      <c r="A6993" s="1230"/>
      <c r="B6993" s="607" t="s">
        <v>261</v>
      </c>
      <c r="C6993" s="345" t="s">
        <v>2</v>
      </c>
      <c r="D6993" s="608">
        <v>1</v>
      </c>
      <c r="E6993" s="611">
        <v>0</v>
      </c>
      <c r="F6993" s="1356">
        <v>5.2949999999999999</v>
      </c>
      <c r="G6993" s="1356">
        <v>6</v>
      </c>
      <c r="H6993" s="1422">
        <v>0.3</v>
      </c>
      <c r="I6993" s="1423">
        <f t="shared" si="258"/>
        <v>0</v>
      </c>
      <c r="J6993" s="339"/>
      <c r="K6993" s="1318"/>
      <c r="L6993" s="341"/>
      <c r="M6993" s="341"/>
      <c r="N6993" s="341"/>
      <c r="O6993" s="341"/>
      <c r="P6993" s="341"/>
    </row>
    <row r="6994" spans="1:16" s="342" customFormat="1">
      <c r="A6994" s="1230"/>
      <c r="B6994" s="607"/>
      <c r="C6994" s="345"/>
      <c r="D6994" s="608">
        <f t="shared" si="259"/>
        <v>0</v>
      </c>
      <c r="E6994" s="611"/>
      <c r="F6994" s="1356"/>
      <c r="G6994" s="1356"/>
      <c r="H6994" s="1356"/>
      <c r="I6994" s="1423" t="str">
        <f t="shared" si="258"/>
        <v/>
      </c>
      <c r="J6994" s="339"/>
      <c r="K6994" s="1318"/>
      <c r="L6994" s="341"/>
      <c r="M6994" s="341"/>
      <c r="N6994" s="341"/>
      <c r="O6994" s="341"/>
      <c r="P6994" s="341"/>
    </row>
    <row r="6995" spans="1:16" s="342" customFormat="1" ht="34.5">
      <c r="A6995" s="1230"/>
      <c r="B6995" s="607" t="s">
        <v>314</v>
      </c>
      <c r="C6995" s="345" t="s">
        <v>2</v>
      </c>
      <c r="D6995" s="608">
        <v>1</v>
      </c>
      <c r="E6995" s="611">
        <v>0</v>
      </c>
      <c r="F6995" s="1356">
        <v>31.463000000000001</v>
      </c>
      <c r="G6995" s="1356">
        <v>6</v>
      </c>
      <c r="H6995" s="1422">
        <v>0.3</v>
      </c>
      <c r="I6995" s="1423">
        <f t="shared" si="258"/>
        <v>0</v>
      </c>
      <c r="J6995" s="339"/>
      <c r="K6995" s="1318"/>
      <c r="L6995" s="341"/>
      <c r="M6995" s="341"/>
      <c r="N6995" s="341"/>
      <c r="O6995" s="341"/>
      <c r="P6995" s="341"/>
    </row>
    <row r="6996" spans="1:16" s="342" customFormat="1" ht="34.5">
      <c r="A6996" s="1230"/>
      <c r="B6996" s="607" t="s">
        <v>315</v>
      </c>
      <c r="C6996" s="345" t="s">
        <v>2</v>
      </c>
      <c r="D6996" s="608">
        <v>1</v>
      </c>
      <c r="E6996" s="611">
        <v>0</v>
      </c>
      <c r="F6996" s="1356">
        <v>33.192999999999998</v>
      </c>
      <c r="G6996" s="1356">
        <v>6</v>
      </c>
      <c r="H6996" s="1422">
        <v>0.3</v>
      </c>
      <c r="I6996" s="1423">
        <f t="shared" si="258"/>
        <v>0</v>
      </c>
      <c r="J6996" s="339"/>
      <c r="K6996" s="1318"/>
      <c r="L6996" s="341"/>
      <c r="M6996" s="341"/>
      <c r="N6996" s="341"/>
      <c r="O6996" s="341"/>
      <c r="P6996" s="341"/>
    </row>
    <row r="6997" spans="1:16" s="342" customFormat="1">
      <c r="A6997" s="1230"/>
      <c r="B6997" s="607"/>
      <c r="C6997" s="345" t="s">
        <v>2</v>
      </c>
      <c r="D6997" s="608">
        <v>1</v>
      </c>
      <c r="E6997" s="611">
        <v>0</v>
      </c>
      <c r="F6997" s="1356">
        <v>29.853999999999999</v>
      </c>
      <c r="G6997" s="1356">
        <v>6</v>
      </c>
      <c r="H6997" s="1422">
        <v>0.3</v>
      </c>
      <c r="I6997" s="1423">
        <f t="shared" si="258"/>
        <v>0</v>
      </c>
      <c r="J6997" s="339"/>
      <c r="K6997" s="1318"/>
      <c r="L6997" s="341"/>
      <c r="M6997" s="341"/>
      <c r="N6997" s="341"/>
      <c r="O6997" s="341"/>
      <c r="P6997" s="341"/>
    </row>
    <row r="6998" spans="1:16" s="342" customFormat="1">
      <c r="A6998" s="1230"/>
      <c r="B6998" s="607"/>
      <c r="C6998" s="345" t="s">
        <v>2</v>
      </c>
      <c r="D6998" s="608">
        <v>1</v>
      </c>
      <c r="E6998" s="611">
        <v>0</v>
      </c>
      <c r="F6998" s="1356">
        <v>33.667000000000002</v>
      </c>
      <c r="G6998" s="1356">
        <v>6</v>
      </c>
      <c r="H6998" s="1422">
        <v>0.3</v>
      </c>
      <c r="I6998" s="1423">
        <f t="shared" si="258"/>
        <v>0</v>
      </c>
      <c r="J6998" s="339"/>
      <c r="K6998" s="1318"/>
      <c r="L6998" s="341"/>
      <c r="M6998" s="341"/>
      <c r="N6998" s="341"/>
      <c r="O6998" s="341"/>
      <c r="P6998" s="341"/>
    </row>
    <row r="6999" spans="1:16" s="342" customFormat="1">
      <c r="A6999" s="1230"/>
      <c r="B6999" s="607"/>
      <c r="C6999" s="345" t="s">
        <v>2</v>
      </c>
      <c r="D6999" s="608">
        <v>1</v>
      </c>
      <c r="E6999" s="611">
        <v>0</v>
      </c>
      <c r="F6999" s="1356">
        <v>12.3</v>
      </c>
      <c r="G6999" s="1356">
        <v>6</v>
      </c>
      <c r="H6999" s="1422">
        <v>0.3</v>
      </c>
      <c r="I6999" s="1423">
        <f t="shared" si="258"/>
        <v>0</v>
      </c>
      <c r="J6999" s="339"/>
      <c r="K6999" s="1318"/>
      <c r="L6999" s="341"/>
      <c r="M6999" s="341"/>
      <c r="N6999" s="341"/>
      <c r="O6999" s="341"/>
      <c r="P6999" s="341"/>
    </row>
    <row r="7000" spans="1:16" s="342" customFormat="1">
      <c r="A7000" s="1230"/>
      <c r="B7000" s="607"/>
      <c r="C7000" s="345"/>
      <c r="D7000" s="608">
        <f t="shared" si="259"/>
        <v>0</v>
      </c>
      <c r="E7000" s="611"/>
      <c r="F7000" s="1356"/>
      <c r="G7000" s="1356"/>
      <c r="H7000" s="1356"/>
      <c r="I7000" s="1423" t="str">
        <f t="shared" si="258"/>
        <v/>
      </c>
      <c r="J7000" s="339"/>
      <c r="K7000" s="1318"/>
      <c r="L7000" s="341"/>
      <c r="M7000" s="341"/>
      <c r="N7000" s="341"/>
      <c r="O7000" s="341"/>
      <c r="P7000" s="341"/>
    </row>
    <row r="7001" spans="1:16" s="342" customFormat="1">
      <c r="A7001" s="1230"/>
      <c r="B7001" s="607"/>
      <c r="C7001" s="345"/>
      <c r="D7001" s="608">
        <f t="shared" ref="D7001" si="260">-1*0</f>
        <v>0</v>
      </c>
      <c r="E7001" s="611"/>
      <c r="F7001" s="1356"/>
      <c r="G7001" s="1356"/>
      <c r="H7001" s="1356"/>
      <c r="I7001" s="1423" t="str">
        <f t="shared" si="258"/>
        <v/>
      </c>
      <c r="J7001" s="339"/>
      <c r="K7001" s="1318"/>
      <c r="L7001" s="341"/>
      <c r="M7001" s="341"/>
      <c r="N7001" s="341"/>
      <c r="O7001" s="341"/>
      <c r="P7001" s="341"/>
    </row>
    <row r="7002" spans="1:16" s="342" customFormat="1">
      <c r="A7002" s="1230"/>
      <c r="B7002" s="610"/>
      <c r="C7002" s="345" t="s">
        <v>2</v>
      </c>
      <c r="D7002" s="608">
        <v>1</v>
      </c>
      <c r="E7002" s="611">
        <v>1</v>
      </c>
      <c r="F7002" s="1356">
        <v>14.5</v>
      </c>
      <c r="G7002" s="1356">
        <v>4.7</v>
      </c>
      <c r="H7002" s="1356">
        <v>0.4</v>
      </c>
      <c r="I7002" s="1430"/>
      <c r="J7002" s="339"/>
      <c r="K7002" s="1318"/>
      <c r="L7002" s="341"/>
      <c r="M7002" s="341"/>
      <c r="N7002" s="341"/>
      <c r="O7002" s="341"/>
      <c r="P7002" s="341"/>
    </row>
    <row r="7003" spans="1:16" s="342" customFormat="1">
      <c r="A7003" s="1230"/>
      <c r="B7003" s="307" t="s">
        <v>2191</v>
      </c>
      <c r="C7003" s="345"/>
      <c r="D7003" s="608"/>
      <c r="E7003" s="611"/>
      <c r="F7003" s="1356"/>
      <c r="G7003" s="1356"/>
      <c r="H7003" s="1356"/>
      <c r="I7003" s="1423"/>
      <c r="J7003" s="339"/>
      <c r="K7003" s="1318"/>
      <c r="L7003" s="341"/>
      <c r="M7003" s="341"/>
      <c r="N7003" s="341"/>
      <c r="O7003" s="341"/>
      <c r="P7003" s="341"/>
    </row>
    <row r="7004" spans="1:16">
      <c r="A7004" s="1228"/>
      <c r="B7004" s="1428" t="s">
        <v>2181</v>
      </c>
      <c r="C7004" s="165" t="s">
        <v>167</v>
      </c>
      <c r="D7004" s="308">
        <v>1</v>
      </c>
      <c r="E7004" s="309">
        <v>1</v>
      </c>
      <c r="F7004" s="1429">
        <v>19.475999999999999</v>
      </c>
      <c r="G7004" s="1429">
        <v>6</v>
      </c>
      <c r="H7004" s="1429">
        <v>0.3</v>
      </c>
      <c r="I7004" s="1430">
        <f t="shared" si="258"/>
        <v>35.06</v>
      </c>
      <c r="J7004" s="162"/>
      <c r="K7004" s="1239"/>
      <c r="O7004" s="169"/>
      <c r="P7004" s="169"/>
    </row>
    <row r="7005" spans="1:16">
      <c r="A7005" s="1228"/>
      <c r="B7005" s="1428" t="s">
        <v>2182</v>
      </c>
      <c r="C7005" s="165" t="s">
        <v>167</v>
      </c>
      <c r="D7005" s="308">
        <v>1</v>
      </c>
      <c r="E7005" s="309">
        <v>1</v>
      </c>
      <c r="F7005" s="1429">
        <v>50.243000000000002</v>
      </c>
      <c r="G7005" s="1429">
        <v>6</v>
      </c>
      <c r="H7005" s="1429">
        <v>0.3</v>
      </c>
      <c r="I7005" s="1430">
        <f t="shared" si="258"/>
        <v>90.44</v>
      </c>
      <c r="J7005" s="162"/>
      <c r="K7005" s="1239"/>
      <c r="O7005" s="169"/>
      <c r="P7005" s="169"/>
    </row>
    <row r="7006" spans="1:16">
      <c r="A7006" s="1228"/>
      <c r="B7006" s="1428" t="s">
        <v>2183</v>
      </c>
      <c r="C7006" s="165" t="s">
        <v>167</v>
      </c>
      <c r="D7006" s="308">
        <v>1</v>
      </c>
      <c r="E7006" s="309">
        <v>1</v>
      </c>
      <c r="F7006" s="1429">
        <v>67.397000000000006</v>
      </c>
      <c r="G7006" s="1429">
        <v>6</v>
      </c>
      <c r="H7006" s="1429">
        <v>0.3</v>
      </c>
      <c r="I7006" s="1430">
        <f t="shared" si="258"/>
        <v>121.31</v>
      </c>
      <c r="J7006" s="162"/>
      <c r="K7006" s="1239"/>
      <c r="O7006" s="169"/>
      <c r="P7006" s="169"/>
    </row>
    <row r="7007" spans="1:16">
      <c r="A7007" s="1228"/>
      <c r="B7007" s="1428" t="s">
        <v>2184</v>
      </c>
      <c r="C7007" s="165" t="s">
        <v>167</v>
      </c>
      <c r="D7007" s="308">
        <v>1</v>
      </c>
      <c r="E7007" s="309">
        <v>1</v>
      </c>
      <c r="F7007" s="1429">
        <v>149.30199999999999</v>
      </c>
      <c r="G7007" s="1429">
        <v>6</v>
      </c>
      <c r="H7007" s="1429">
        <v>0.3</v>
      </c>
      <c r="I7007" s="1430">
        <f t="shared" si="258"/>
        <v>268.74</v>
      </c>
      <c r="J7007" s="162"/>
      <c r="K7007" s="1239"/>
      <c r="O7007" s="169"/>
      <c r="P7007" s="169"/>
    </row>
    <row r="7008" spans="1:16">
      <c r="A7008" s="1228"/>
      <c r="B7008" s="1428" t="s">
        <v>2185</v>
      </c>
      <c r="C7008" s="165" t="s">
        <v>167</v>
      </c>
      <c r="D7008" s="308">
        <v>1</v>
      </c>
      <c r="E7008" s="309">
        <v>1</v>
      </c>
      <c r="F7008" s="1429">
        <v>33.761000000000003</v>
      </c>
      <c r="G7008" s="1429">
        <v>1</v>
      </c>
      <c r="H7008" s="1429">
        <v>0.3</v>
      </c>
      <c r="I7008" s="1430">
        <f t="shared" si="258"/>
        <v>10.130000000000001</v>
      </c>
      <c r="J7008" s="162"/>
      <c r="K7008" s="1239"/>
      <c r="O7008" s="169"/>
      <c r="P7008" s="169"/>
    </row>
    <row r="7009" spans="1:16">
      <c r="A7009" s="1228"/>
      <c r="B7009" s="1428" t="s">
        <v>2186</v>
      </c>
      <c r="C7009" s="165" t="s">
        <v>167</v>
      </c>
      <c r="D7009" s="308">
        <v>1</v>
      </c>
      <c r="E7009" s="309">
        <v>1</v>
      </c>
      <c r="F7009" s="1429">
        <v>45.213999999999999</v>
      </c>
      <c r="G7009" s="1429">
        <v>1</v>
      </c>
      <c r="H7009" s="1429">
        <v>0.3</v>
      </c>
      <c r="I7009" s="1430">
        <f t="shared" si="258"/>
        <v>13.56</v>
      </c>
      <c r="J7009" s="162"/>
      <c r="K7009" s="1239"/>
      <c r="O7009" s="169"/>
      <c r="P7009" s="169"/>
    </row>
    <row r="7010" spans="1:16">
      <c r="A7010" s="1228"/>
      <c r="B7010" s="1428" t="s">
        <v>2187</v>
      </c>
      <c r="C7010" s="165" t="s">
        <v>167</v>
      </c>
      <c r="D7010" s="308">
        <v>1</v>
      </c>
      <c r="E7010" s="309">
        <v>1</v>
      </c>
      <c r="F7010" s="1429">
        <v>45.514000000000003</v>
      </c>
      <c r="G7010" s="1429">
        <v>1</v>
      </c>
      <c r="H7010" s="1429">
        <v>0.3</v>
      </c>
      <c r="I7010" s="1430">
        <f t="shared" si="258"/>
        <v>13.65</v>
      </c>
      <c r="J7010" s="162"/>
      <c r="K7010" s="1239"/>
      <c r="O7010" s="169"/>
      <c r="P7010" s="169"/>
    </row>
    <row r="7011" spans="1:16">
      <c r="A7011" s="1228"/>
      <c r="B7011" s="1428" t="s">
        <v>2188</v>
      </c>
      <c r="C7011" s="165" t="s">
        <v>167</v>
      </c>
      <c r="D7011" s="308">
        <v>1</v>
      </c>
      <c r="E7011" s="309">
        <v>1</v>
      </c>
      <c r="F7011" s="1429">
        <v>11.750999999999999</v>
      </c>
      <c r="G7011" s="1429">
        <v>1</v>
      </c>
      <c r="H7011" s="1429">
        <v>0.3</v>
      </c>
      <c r="I7011" s="1430">
        <f t="shared" si="258"/>
        <v>3.53</v>
      </c>
      <c r="J7011" s="162"/>
      <c r="K7011" s="1239"/>
      <c r="O7011" s="169"/>
      <c r="P7011" s="169"/>
    </row>
    <row r="7012" spans="1:16">
      <c r="A7012" s="1228"/>
      <c r="B7012" s="1431" t="s">
        <v>2192</v>
      </c>
      <c r="C7012" s="165" t="s">
        <v>167</v>
      </c>
      <c r="D7012" s="308">
        <v>1</v>
      </c>
      <c r="E7012" s="309">
        <v>1</v>
      </c>
      <c r="F7012" s="1429">
        <v>14.5</v>
      </c>
      <c r="G7012" s="1429">
        <v>4.7</v>
      </c>
      <c r="H7012" s="1429">
        <v>0.4</v>
      </c>
      <c r="I7012" s="1430">
        <f t="shared" si="258"/>
        <v>27.26</v>
      </c>
      <c r="J7012" s="162"/>
      <c r="K7012" s="1239"/>
      <c r="O7012" s="169"/>
      <c r="P7012" s="169"/>
    </row>
    <row r="7013" spans="1:16">
      <c r="A7013" s="1228"/>
      <c r="B7013" s="1428"/>
      <c r="C7013" s="165" t="s">
        <v>167</v>
      </c>
      <c r="D7013" s="308">
        <v>1</v>
      </c>
      <c r="E7013" s="309">
        <v>1</v>
      </c>
      <c r="F7013" s="1429">
        <v>44</v>
      </c>
      <c r="G7013" s="1429">
        <v>13</v>
      </c>
      <c r="H7013" s="1429">
        <v>0.4</v>
      </c>
      <c r="I7013" s="1430">
        <f t="shared" si="258"/>
        <v>228.8</v>
      </c>
      <c r="J7013" s="162"/>
      <c r="K7013" s="1239"/>
      <c r="O7013" s="169"/>
      <c r="P7013" s="169"/>
    </row>
    <row r="7014" spans="1:16" s="398" customFormat="1">
      <c r="A7014" s="1250"/>
      <c r="B7014" s="161" t="s">
        <v>928</v>
      </c>
      <c r="C7014" s="388" t="s">
        <v>2</v>
      </c>
      <c r="D7014" s="437"/>
      <c r="E7014" s="165"/>
      <c r="F7014" s="401"/>
      <c r="G7014" s="401"/>
      <c r="H7014" s="401"/>
      <c r="I7014" s="938" t="str">
        <f t="shared" ref="I7014" si="261">IF(D7014&lt;&gt;0,ROUND(PRODUCT(E7014:H7014)*D7014,2),"")</f>
        <v/>
      </c>
      <c r="J7014" s="403">
        <f>SUM(I6986:I7013)</f>
        <v>812.47999999999979</v>
      </c>
      <c r="K7014" s="1277" t="s">
        <v>1690</v>
      </c>
      <c r="L7014" s="431"/>
      <c r="M7014" s="431"/>
      <c r="N7014" s="431"/>
    </row>
    <row r="7015" spans="1:16">
      <c r="A7015" s="1341"/>
      <c r="B7015" s="1342"/>
      <c r="C7015" s="1343"/>
      <c r="D7015" s="1344"/>
      <c r="E7015" s="1345"/>
      <c r="F7015" s="1394"/>
      <c r="G7015" s="1394"/>
      <c r="H7015" s="1394"/>
      <c r="I7015" s="1346"/>
      <c r="J7015" s="1347">
        <f>SUM(J6983:J7014)</f>
        <v>812.47999999999979</v>
      </c>
      <c r="K7015" s="1348"/>
    </row>
    <row r="7016" spans="1:16">
      <c r="A7016" s="1219" t="s">
        <v>1921</v>
      </c>
      <c r="B7016" s="768" t="s">
        <v>728</v>
      </c>
      <c r="C7016" s="422"/>
      <c r="D7016" s="436"/>
      <c r="E7016" s="628"/>
      <c r="F7016" s="1391"/>
      <c r="G7016" s="1391"/>
      <c r="H7016" s="1391"/>
      <c r="I7016" s="1172"/>
      <c r="J7016" s="423"/>
      <c r="K7016" s="1220"/>
      <c r="M7016" s="170"/>
      <c r="N7016" s="170"/>
    </row>
    <row r="7017" spans="1:16" s="464" customFormat="1">
      <c r="A7017" s="1264"/>
      <c r="B7017" s="669" t="s">
        <v>85</v>
      </c>
      <c r="C7017" s="465" t="s">
        <v>1</v>
      </c>
      <c r="D7017" s="444"/>
      <c r="E7017" s="345"/>
      <c r="F7017" s="1356"/>
      <c r="G7017" s="1356"/>
      <c r="H7017" s="1356"/>
      <c r="I7017" s="1170" t="str">
        <f t="shared" ref="I7017:I7292" si="262">IF(D7017&lt;&gt;0,ROUND(PRODUCT(E7017:H7017)*D7017,2),"")</f>
        <v/>
      </c>
      <c r="J7017" s="482">
        <f>SUM(I7016:I7017)</f>
        <v>0</v>
      </c>
      <c r="K7017" s="1258"/>
      <c r="L7017" s="463"/>
      <c r="M7017" s="463"/>
      <c r="N7017" s="463"/>
    </row>
    <row r="7018" spans="1:16">
      <c r="A7018" s="1221"/>
      <c r="B7018" s="370"/>
      <c r="C7018" s="325"/>
      <c r="D7018" s="368"/>
      <c r="E7018" s="323"/>
      <c r="F7018" s="1160"/>
      <c r="G7018" s="1160"/>
      <c r="H7018" s="1160"/>
      <c r="I7018" s="938" t="str">
        <f t="shared" si="262"/>
        <v/>
      </c>
      <c r="K7018" s="1222"/>
    </row>
    <row r="7019" spans="1:16">
      <c r="A7019" s="1221"/>
      <c r="B7019" s="371" t="s">
        <v>1850</v>
      </c>
      <c r="C7019" s="325" t="s">
        <v>1</v>
      </c>
      <c r="D7019" s="368"/>
      <c r="E7019" s="323"/>
      <c r="F7019" s="1160"/>
      <c r="G7019" s="1160"/>
      <c r="H7019" s="1160"/>
      <c r="I7019" s="938" t="str">
        <f t="shared" si="262"/>
        <v/>
      </c>
      <c r="K7019" s="1222"/>
    </row>
    <row r="7020" spans="1:16" ht="34.5">
      <c r="A7020" s="1221"/>
      <c r="B7020" s="371" t="s">
        <v>1851</v>
      </c>
      <c r="C7020" s="325" t="s">
        <v>1</v>
      </c>
      <c r="D7020" s="368"/>
      <c r="E7020" s="323"/>
      <c r="F7020" s="1160"/>
      <c r="G7020" s="1160"/>
      <c r="H7020" s="1160"/>
      <c r="I7020" s="938" t="str">
        <f t="shared" si="262"/>
        <v/>
      </c>
      <c r="K7020" s="1222"/>
    </row>
    <row r="7021" spans="1:16">
      <c r="A7021" s="1221"/>
      <c r="B7021" s="371"/>
      <c r="C7021" s="325" t="s">
        <v>1</v>
      </c>
      <c r="D7021" s="368">
        <v>1</v>
      </c>
      <c r="E7021" s="323">
        <v>1</v>
      </c>
      <c r="F7021" s="1160">
        <v>27.54</v>
      </c>
      <c r="G7021" s="1160">
        <v>14.19</v>
      </c>
      <c r="H7021" s="1160"/>
      <c r="I7021" s="1163">
        <f t="shared" si="262"/>
        <v>390.79</v>
      </c>
      <c r="K7021" s="1222"/>
    </row>
    <row r="7022" spans="1:16">
      <c r="A7022" s="1221"/>
      <c r="B7022" s="371"/>
      <c r="C7022" s="325"/>
      <c r="D7022" s="368"/>
      <c r="E7022" s="323"/>
      <c r="F7022" s="1160"/>
      <c r="G7022" s="1160"/>
      <c r="H7022" s="1160"/>
      <c r="I7022" s="1163" t="str">
        <f t="shared" si="262"/>
        <v/>
      </c>
      <c r="K7022" s="1222"/>
    </row>
    <row r="7023" spans="1:16">
      <c r="A7023" s="1221"/>
      <c r="B7023" s="371" t="s">
        <v>1852</v>
      </c>
      <c r="C7023" s="325" t="s">
        <v>1</v>
      </c>
      <c r="D7023" s="368"/>
      <c r="E7023" s="323"/>
      <c r="F7023" s="1160"/>
      <c r="G7023" s="1160"/>
      <c r="H7023" s="1160"/>
      <c r="I7023" s="1163" t="str">
        <f t="shared" si="262"/>
        <v/>
      </c>
      <c r="K7023" s="1222"/>
    </row>
    <row r="7024" spans="1:16" ht="34.5">
      <c r="A7024" s="1221"/>
      <c r="B7024" s="371" t="s">
        <v>266</v>
      </c>
      <c r="C7024" s="325" t="s">
        <v>1</v>
      </c>
      <c r="D7024" s="368">
        <v>1</v>
      </c>
      <c r="E7024" s="323">
        <v>1</v>
      </c>
      <c r="F7024" s="1160">
        <v>6.38</v>
      </c>
      <c r="G7024" s="1160">
        <v>1.605</v>
      </c>
      <c r="H7024" s="1160"/>
      <c r="I7024" s="1163">
        <f t="shared" si="262"/>
        <v>10.24</v>
      </c>
      <c r="K7024" s="1222"/>
    </row>
    <row r="7025" spans="1:11">
      <c r="A7025" s="1221"/>
      <c r="B7025" s="371"/>
      <c r="C7025" s="325" t="s">
        <v>1</v>
      </c>
      <c r="D7025" s="368">
        <v>1</v>
      </c>
      <c r="E7025" s="323">
        <v>2</v>
      </c>
      <c r="F7025" s="1160">
        <v>6.64</v>
      </c>
      <c r="G7025" s="1160">
        <v>1.605</v>
      </c>
      <c r="H7025" s="1160"/>
      <c r="I7025" s="1163">
        <f t="shared" si="262"/>
        <v>21.31</v>
      </c>
      <c r="K7025" s="1222"/>
    </row>
    <row r="7026" spans="1:11">
      <c r="A7026" s="1221"/>
      <c r="B7026" s="371"/>
      <c r="C7026" s="325" t="s">
        <v>1</v>
      </c>
      <c r="D7026" s="368">
        <v>1</v>
      </c>
      <c r="E7026" s="323">
        <v>1</v>
      </c>
      <c r="F7026" s="1160">
        <v>5.0949999999999998</v>
      </c>
      <c r="G7026" s="1160">
        <v>1.6</v>
      </c>
      <c r="H7026" s="1160"/>
      <c r="I7026" s="1163">
        <f t="shared" si="262"/>
        <v>8.15</v>
      </c>
      <c r="K7026" s="1222"/>
    </row>
    <row r="7027" spans="1:11">
      <c r="A7027" s="1221"/>
      <c r="B7027" s="371"/>
      <c r="C7027" s="325" t="s">
        <v>1</v>
      </c>
      <c r="D7027" s="368">
        <v>1</v>
      </c>
      <c r="E7027" s="323">
        <v>1</v>
      </c>
      <c r="F7027" s="1160">
        <v>3.52</v>
      </c>
      <c r="G7027" s="1160">
        <v>1.605</v>
      </c>
      <c r="H7027" s="1160"/>
      <c r="I7027" s="1163">
        <f t="shared" si="262"/>
        <v>5.65</v>
      </c>
      <c r="K7027" s="1222"/>
    </row>
    <row r="7028" spans="1:11">
      <c r="A7028" s="1221"/>
      <c r="B7028" s="371"/>
      <c r="C7028" s="325" t="s">
        <v>1</v>
      </c>
      <c r="D7028" s="368"/>
      <c r="E7028" s="323"/>
      <c r="F7028" s="1160"/>
      <c r="G7028" s="1160"/>
      <c r="H7028" s="1160"/>
      <c r="I7028" s="1163" t="str">
        <f t="shared" si="262"/>
        <v/>
      </c>
      <c r="K7028" s="1222"/>
    </row>
    <row r="7029" spans="1:11">
      <c r="A7029" s="1221"/>
      <c r="B7029" s="371"/>
      <c r="C7029" s="325" t="s">
        <v>1</v>
      </c>
      <c r="D7029" s="368">
        <v>1</v>
      </c>
      <c r="E7029" s="323">
        <v>1</v>
      </c>
      <c r="F7029" s="1160">
        <v>6.8849999999999998</v>
      </c>
      <c r="G7029" s="1160">
        <v>1.27</v>
      </c>
      <c r="H7029" s="1160"/>
      <c r="I7029" s="1163">
        <f t="shared" si="262"/>
        <v>8.74</v>
      </c>
      <c r="K7029" s="1222"/>
    </row>
    <row r="7030" spans="1:11">
      <c r="A7030" s="1221"/>
      <c r="B7030" s="371"/>
      <c r="C7030" s="325" t="s">
        <v>1</v>
      </c>
      <c r="D7030" s="368">
        <v>1</v>
      </c>
      <c r="E7030" s="323">
        <v>1</v>
      </c>
      <c r="F7030" s="1160">
        <v>2.3849999999999998</v>
      </c>
      <c r="G7030" s="1160">
        <v>2.2599999999999998</v>
      </c>
      <c r="H7030" s="1160"/>
      <c r="I7030" s="1163">
        <f t="shared" si="262"/>
        <v>5.39</v>
      </c>
      <c r="K7030" s="1222"/>
    </row>
    <row r="7031" spans="1:11">
      <c r="A7031" s="1221"/>
      <c r="B7031" s="371" t="s">
        <v>267</v>
      </c>
      <c r="C7031" s="325" t="s">
        <v>1</v>
      </c>
      <c r="D7031" s="368">
        <v>1</v>
      </c>
      <c r="E7031" s="323">
        <v>1</v>
      </c>
      <c r="F7031" s="1160">
        <v>18.79</v>
      </c>
      <c r="G7031" s="1160">
        <v>2.125</v>
      </c>
      <c r="H7031" s="1160"/>
      <c r="I7031" s="1163">
        <f t="shared" si="262"/>
        <v>39.93</v>
      </c>
      <c r="K7031" s="1222"/>
    </row>
    <row r="7032" spans="1:11">
      <c r="A7032" s="1221"/>
      <c r="B7032" s="371"/>
      <c r="C7032" s="325" t="s">
        <v>1</v>
      </c>
      <c r="D7032" s="368"/>
      <c r="E7032" s="323"/>
      <c r="F7032" s="1160"/>
      <c r="G7032" s="1160"/>
      <c r="H7032" s="1160"/>
      <c r="I7032" s="1163" t="str">
        <f t="shared" si="262"/>
        <v/>
      </c>
      <c r="K7032" s="1222"/>
    </row>
    <row r="7033" spans="1:11">
      <c r="A7033" s="1221"/>
      <c r="B7033" s="371" t="s">
        <v>268</v>
      </c>
      <c r="C7033" s="325" t="s">
        <v>1</v>
      </c>
      <c r="D7033" s="368">
        <v>1</v>
      </c>
      <c r="E7033" s="323">
        <v>1</v>
      </c>
      <c r="F7033" s="1160">
        <v>12.58</v>
      </c>
      <c r="G7033" s="1160">
        <v>1.19</v>
      </c>
      <c r="H7033" s="1160"/>
      <c r="I7033" s="1163">
        <f t="shared" si="262"/>
        <v>14.97</v>
      </c>
      <c r="K7033" s="1222"/>
    </row>
    <row r="7034" spans="1:11">
      <c r="A7034" s="1221"/>
      <c r="B7034" s="371"/>
      <c r="C7034" s="325" t="s">
        <v>1</v>
      </c>
      <c r="D7034" s="368">
        <v>1</v>
      </c>
      <c r="E7034" s="323">
        <v>1</v>
      </c>
      <c r="F7034" s="1160">
        <v>7.09</v>
      </c>
      <c r="G7034" s="1160">
        <v>0.9</v>
      </c>
      <c r="H7034" s="1160"/>
      <c r="I7034" s="1163">
        <f t="shared" si="262"/>
        <v>6.38</v>
      </c>
      <c r="K7034" s="1222"/>
    </row>
    <row r="7035" spans="1:11">
      <c r="A7035" s="1221"/>
      <c r="B7035" s="371"/>
      <c r="C7035" s="325" t="s">
        <v>1</v>
      </c>
      <c r="D7035" s="368">
        <v>1</v>
      </c>
      <c r="E7035" s="323">
        <v>1</v>
      </c>
      <c r="F7035" s="1160">
        <v>1.6</v>
      </c>
      <c r="G7035" s="1160">
        <v>5.98</v>
      </c>
      <c r="H7035" s="1160"/>
      <c r="I7035" s="1163">
        <f t="shared" si="262"/>
        <v>9.57</v>
      </c>
      <c r="K7035" s="1222"/>
    </row>
    <row r="7036" spans="1:11">
      <c r="A7036" s="1221"/>
      <c r="B7036" s="371"/>
      <c r="C7036" s="325" t="s">
        <v>1</v>
      </c>
      <c r="D7036" s="368">
        <v>1</v>
      </c>
      <c r="E7036" s="323">
        <v>1</v>
      </c>
      <c r="F7036" s="1160">
        <v>1.6</v>
      </c>
      <c r="G7036" s="1160">
        <v>4.18</v>
      </c>
      <c r="H7036" s="1160"/>
      <c r="I7036" s="1163">
        <f t="shared" si="262"/>
        <v>6.69</v>
      </c>
      <c r="K7036" s="1222"/>
    </row>
    <row r="7037" spans="1:11">
      <c r="A7037" s="1221"/>
      <c r="B7037" s="371"/>
      <c r="C7037" s="325" t="s">
        <v>1</v>
      </c>
      <c r="D7037" s="368">
        <v>1</v>
      </c>
      <c r="E7037" s="323">
        <v>2</v>
      </c>
      <c r="F7037" s="1160">
        <v>1.6</v>
      </c>
      <c r="G7037" s="1160">
        <v>2.38</v>
      </c>
      <c r="H7037" s="1160"/>
      <c r="I7037" s="1163">
        <f t="shared" si="262"/>
        <v>7.62</v>
      </c>
      <c r="K7037" s="1222"/>
    </row>
    <row r="7038" spans="1:11">
      <c r="A7038" s="1221"/>
      <c r="B7038" s="371"/>
      <c r="C7038" s="325" t="s">
        <v>1</v>
      </c>
      <c r="D7038" s="368">
        <v>1</v>
      </c>
      <c r="E7038" s="323">
        <v>1</v>
      </c>
      <c r="F7038" s="1160">
        <v>1.145</v>
      </c>
      <c r="G7038" s="1160">
        <v>0.46</v>
      </c>
      <c r="H7038" s="1160"/>
      <c r="I7038" s="1163">
        <f t="shared" si="262"/>
        <v>0.53</v>
      </c>
      <c r="K7038" s="1222"/>
    </row>
    <row r="7039" spans="1:11">
      <c r="A7039" s="1221"/>
      <c r="B7039" s="371"/>
      <c r="C7039" s="325" t="s">
        <v>1</v>
      </c>
      <c r="D7039" s="368"/>
      <c r="E7039" s="323"/>
      <c r="F7039" s="1160"/>
      <c r="G7039" s="1160"/>
      <c r="H7039" s="1160"/>
      <c r="I7039" s="1163" t="str">
        <f t="shared" si="262"/>
        <v/>
      </c>
      <c r="K7039" s="1222"/>
    </row>
    <row r="7040" spans="1:11">
      <c r="A7040" s="1221"/>
      <c r="B7040" s="371"/>
      <c r="C7040" s="325" t="s">
        <v>1</v>
      </c>
      <c r="D7040" s="368">
        <v>1</v>
      </c>
      <c r="E7040" s="323">
        <v>1</v>
      </c>
      <c r="F7040" s="1160">
        <v>2.7450000000000001</v>
      </c>
      <c r="G7040" s="1160">
        <v>1.1950000000000001</v>
      </c>
      <c r="H7040" s="1160"/>
      <c r="I7040" s="1163">
        <f t="shared" si="262"/>
        <v>3.28</v>
      </c>
      <c r="K7040" s="1222"/>
    </row>
    <row r="7041" spans="1:11">
      <c r="A7041" s="1221"/>
      <c r="B7041" s="371"/>
      <c r="C7041" s="325" t="s">
        <v>1</v>
      </c>
      <c r="D7041" s="368">
        <v>1</v>
      </c>
      <c r="E7041" s="323">
        <v>1</v>
      </c>
      <c r="F7041" s="1160">
        <v>1.6</v>
      </c>
      <c r="G7041" s="1160">
        <v>6.4240000000000004</v>
      </c>
      <c r="H7041" s="1160"/>
      <c r="I7041" s="1163">
        <f t="shared" si="262"/>
        <v>10.28</v>
      </c>
      <c r="K7041" s="1222"/>
    </row>
    <row r="7042" spans="1:11">
      <c r="A7042" s="1221"/>
      <c r="B7042" s="371"/>
      <c r="C7042" s="325" t="s">
        <v>1</v>
      </c>
      <c r="D7042" s="368">
        <v>0.5</v>
      </c>
      <c r="E7042" s="323">
        <v>1</v>
      </c>
      <c r="F7042" s="1160">
        <v>3.07</v>
      </c>
      <c r="G7042" s="1160">
        <v>1.0649999999999999</v>
      </c>
      <c r="H7042" s="1160"/>
      <c r="I7042" s="1163">
        <f t="shared" si="262"/>
        <v>1.63</v>
      </c>
      <c r="K7042" s="1222"/>
    </row>
    <row r="7043" spans="1:11">
      <c r="A7043" s="1221"/>
      <c r="B7043" s="371"/>
      <c r="C7043" s="325" t="s">
        <v>1</v>
      </c>
      <c r="D7043" s="368">
        <v>1</v>
      </c>
      <c r="E7043" s="323">
        <v>1</v>
      </c>
      <c r="F7043" s="1160">
        <v>1.6</v>
      </c>
      <c r="G7043" s="1160">
        <v>3.62</v>
      </c>
      <c r="H7043" s="1160"/>
      <c r="I7043" s="1163">
        <f t="shared" si="262"/>
        <v>5.79</v>
      </c>
      <c r="K7043" s="1222"/>
    </row>
    <row r="7044" spans="1:11">
      <c r="A7044" s="1221"/>
      <c r="B7044" s="371"/>
      <c r="C7044" s="325" t="s">
        <v>1</v>
      </c>
      <c r="D7044" s="368">
        <v>0.5</v>
      </c>
      <c r="E7044" s="323">
        <v>1</v>
      </c>
      <c r="F7044" s="1160">
        <v>2.77</v>
      </c>
      <c r="G7044" s="1160">
        <v>0.96</v>
      </c>
      <c r="H7044" s="1160"/>
      <c r="I7044" s="1163">
        <f t="shared" si="262"/>
        <v>1.33</v>
      </c>
      <c r="K7044" s="1222"/>
    </row>
    <row r="7045" spans="1:11">
      <c r="A7045" s="1221"/>
      <c r="B7045" s="371"/>
      <c r="C7045" s="325" t="s">
        <v>1</v>
      </c>
      <c r="D7045" s="368">
        <v>1</v>
      </c>
      <c r="E7045" s="323">
        <v>1</v>
      </c>
      <c r="F7045" s="1160">
        <v>1.6</v>
      </c>
      <c r="G7045" s="1160">
        <v>3.8149999999999999</v>
      </c>
      <c r="H7045" s="1160"/>
      <c r="I7045" s="1163">
        <f t="shared" si="262"/>
        <v>6.1</v>
      </c>
      <c r="K7045" s="1222"/>
    </row>
    <row r="7046" spans="1:11">
      <c r="A7046" s="1221"/>
      <c r="B7046" s="371"/>
      <c r="C7046" s="325" t="s">
        <v>1</v>
      </c>
      <c r="D7046" s="368">
        <v>0.5</v>
      </c>
      <c r="E7046" s="323">
        <v>1</v>
      </c>
      <c r="F7046" s="1160">
        <v>3.25</v>
      </c>
      <c r="G7046" s="1160">
        <v>0.57999999999999996</v>
      </c>
      <c r="H7046" s="1160"/>
      <c r="I7046" s="1163">
        <f t="shared" si="262"/>
        <v>0.94</v>
      </c>
      <c r="K7046" s="1222"/>
    </row>
    <row r="7047" spans="1:11">
      <c r="A7047" s="1221"/>
      <c r="B7047" s="371"/>
      <c r="C7047" s="325" t="s">
        <v>1</v>
      </c>
      <c r="D7047" s="368">
        <v>0</v>
      </c>
      <c r="E7047" s="323">
        <v>1</v>
      </c>
      <c r="F7047" s="1160">
        <v>8.61</v>
      </c>
      <c r="G7047" s="1160">
        <v>4.6150000000000002</v>
      </c>
      <c r="H7047" s="1160"/>
      <c r="I7047" s="1163" t="str">
        <f t="shared" si="262"/>
        <v/>
      </c>
      <c r="K7047" s="1222"/>
    </row>
    <row r="7048" spans="1:11">
      <c r="A7048" s="1221"/>
      <c r="B7048" s="371"/>
      <c r="C7048" s="325" t="s">
        <v>1</v>
      </c>
      <c r="D7048" s="368"/>
      <c r="E7048" s="323"/>
      <c r="F7048" s="1160"/>
      <c r="G7048" s="1160"/>
      <c r="H7048" s="1160"/>
      <c r="I7048" s="1163" t="str">
        <f t="shared" si="262"/>
        <v/>
      </c>
      <c r="K7048" s="1222"/>
    </row>
    <row r="7049" spans="1:11" ht="34.5">
      <c r="A7049" s="1221"/>
      <c r="B7049" s="371" t="s">
        <v>1853</v>
      </c>
      <c r="C7049" s="325" t="s">
        <v>1</v>
      </c>
      <c r="D7049" s="368">
        <v>1</v>
      </c>
      <c r="E7049" s="323">
        <v>1</v>
      </c>
      <c r="F7049" s="1160">
        <v>1.6</v>
      </c>
      <c r="G7049" s="1160">
        <v>8.11</v>
      </c>
      <c r="H7049" s="1160"/>
      <c r="I7049" s="1163">
        <f t="shared" si="262"/>
        <v>12.98</v>
      </c>
      <c r="K7049" s="1222"/>
    </row>
    <row r="7050" spans="1:11">
      <c r="A7050" s="1221"/>
      <c r="B7050" s="371"/>
      <c r="C7050" s="325" t="s">
        <v>1</v>
      </c>
      <c r="D7050" s="368">
        <v>1</v>
      </c>
      <c r="E7050" s="323">
        <v>1</v>
      </c>
      <c r="F7050" s="1160">
        <v>1.6</v>
      </c>
      <c r="G7050" s="1160">
        <v>6.39</v>
      </c>
      <c r="H7050" s="1160"/>
      <c r="I7050" s="1163">
        <f t="shared" si="262"/>
        <v>10.220000000000001</v>
      </c>
      <c r="K7050" s="1222"/>
    </row>
    <row r="7051" spans="1:11">
      <c r="A7051" s="1221"/>
      <c r="B7051" s="371"/>
      <c r="C7051" s="325" t="s">
        <v>1</v>
      </c>
      <c r="D7051" s="368">
        <v>1</v>
      </c>
      <c r="E7051" s="323">
        <v>1</v>
      </c>
      <c r="F7051" s="1160">
        <v>1.6</v>
      </c>
      <c r="G7051" s="1160">
        <v>6.92</v>
      </c>
      <c r="H7051" s="1160"/>
      <c r="I7051" s="1163">
        <f t="shared" si="262"/>
        <v>11.07</v>
      </c>
      <c r="K7051" s="1222"/>
    </row>
    <row r="7052" spans="1:11">
      <c r="A7052" s="1221"/>
      <c r="B7052" s="371"/>
      <c r="C7052" s="325" t="s">
        <v>1</v>
      </c>
      <c r="D7052" s="368">
        <v>1</v>
      </c>
      <c r="E7052" s="323">
        <v>1</v>
      </c>
      <c r="F7052" s="1160">
        <v>0.99</v>
      </c>
      <c r="G7052" s="1160">
        <v>8.85</v>
      </c>
      <c r="H7052" s="1160"/>
      <c r="I7052" s="1163">
        <f t="shared" si="262"/>
        <v>8.76</v>
      </c>
      <c r="K7052" s="1222"/>
    </row>
    <row r="7053" spans="1:11">
      <c r="A7053" s="1221"/>
      <c r="B7053" s="371"/>
      <c r="C7053" s="325" t="s">
        <v>1</v>
      </c>
      <c r="D7053" s="368">
        <v>1</v>
      </c>
      <c r="E7053" s="323">
        <v>1</v>
      </c>
      <c r="F7053" s="1160">
        <v>1.6</v>
      </c>
      <c r="G7053" s="1160">
        <v>4.8899999999999997</v>
      </c>
      <c r="H7053" s="1160"/>
      <c r="I7053" s="1163">
        <f t="shared" si="262"/>
        <v>7.82</v>
      </c>
      <c r="K7053" s="1222"/>
    </row>
    <row r="7054" spans="1:11">
      <c r="A7054" s="1221"/>
      <c r="B7054" s="371"/>
      <c r="C7054" s="325" t="s">
        <v>1</v>
      </c>
      <c r="D7054" s="368">
        <v>0</v>
      </c>
      <c r="E7054" s="323">
        <v>1</v>
      </c>
      <c r="F7054" s="1160">
        <v>1.6</v>
      </c>
      <c r="G7054" s="1160">
        <v>5.3299999999999992</v>
      </c>
      <c r="H7054" s="1160"/>
      <c r="I7054" s="1163" t="str">
        <f t="shared" si="262"/>
        <v/>
      </c>
      <c r="K7054" s="1222"/>
    </row>
    <row r="7055" spans="1:11">
      <c r="A7055" s="1221"/>
      <c r="B7055" s="371"/>
      <c r="C7055" s="325" t="s">
        <v>1</v>
      </c>
      <c r="D7055" s="368">
        <v>0</v>
      </c>
      <c r="E7055" s="323">
        <v>1</v>
      </c>
      <c r="F7055" s="1160">
        <v>1.6</v>
      </c>
      <c r="G7055" s="1160">
        <v>1.45</v>
      </c>
      <c r="H7055" s="1160"/>
      <c r="I7055" s="1163" t="str">
        <f t="shared" si="262"/>
        <v/>
      </c>
      <c r="K7055" s="1222"/>
    </row>
    <row r="7056" spans="1:11">
      <c r="A7056" s="1221"/>
      <c r="B7056" s="371"/>
      <c r="C7056" s="325" t="s">
        <v>1</v>
      </c>
      <c r="D7056" s="368">
        <v>1</v>
      </c>
      <c r="E7056" s="323">
        <v>1</v>
      </c>
      <c r="F7056" s="1160">
        <v>1.6</v>
      </c>
      <c r="G7056" s="1160">
        <v>3.8299999999999996</v>
      </c>
      <c r="H7056" s="1160"/>
      <c r="I7056" s="1163">
        <f t="shared" si="262"/>
        <v>6.13</v>
      </c>
      <c r="K7056" s="1222"/>
    </row>
    <row r="7057" spans="1:11">
      <c r="A7057" s="1221"/>
      <c r="B7057" s="371"/>
      <c r="C7057" s="325" t="s">
        <v>1</v>
      </c>
      <c r="D7057" s="368">
        <v>1</v>
      </c>
      <c r="E7057" s="323">
        <v>1</v>
      </c>
      <c r="F7057" s="1160">
        <v>1.415</v>
      </c>
      <c r="G7057" s="1160">
        <v>2.4249999999999998</v>
      </c>
      <c r="H7057" s="1160"/>
      <c r="I7057" s="1163">
        <f t="shared" si="262"/>
        <v>3.43</v>
      </c>
      <c r="K7057" s="1222"/>
    </row>
    <row r="7058" spans="1:11">
      <c r="A7058" s="1221"/>
      <c r="B7058" s="371"/>
      <c r="C7058" s="325" t="s">
        <v>1</v>
      </c>
      <c r="D7058" s="368">
        <v>1</v>
      </c>
      <c r="E7058" s="323">
        <v>1</v>
      </c>
      <c r="F7058" s="1160">
        <v>0.68500000000000005</v>
      </c>
      <c r="G7058" s="1160">
        <v>1.9650000000000001</v>
      </c>
      <c r="H7058" s="1160"/>
      <c r="I7058" s="1163">
        <f t="shared" si="262"/>
        <v>1.35</v>
      </c>
      <c r="K7058" s="1222"/>
    </row>
    <row r="7059" spans="1:11">
      <c r="A7059" s="1221"/>
      <c r="B7059" s="371"/>
      <c r="C7059" s="325" t="s">
        <v>1</v>
      </c>
      <c r="D7059" s="368">
        <v>0.5</v>
      </c>
      <c r="E7059" s="323">
        <v>1</v>
      </c>
      <c r="F7059" s="1160">
        <v>5.4649999999999999</v>
      </c>
      <c r="G7059" s="1160">
        <v>4.2</v>
      </c>
      <c r="H7059" s="1160"/>
      <c r="I7059" s="1163">
        <f t="shared" si="262"/>
        <v>11.48</v>
      </c>
      <c r="K7059" s="1222"/>
    </row>
    <row r="7060" spans="1:11">
      <c r="A7060" s="1221"/>
      <c r="B7060" s="371"/>
      <c r="C7060" s="325" t="s">
        <v>1</v>
      </c>
      <c r="D7060" s="368"/>
      <c r="E7060" s="323"/>
      <c r="F7060" s="1160"/>
      <c r="G7060" s="1160"/>
      <c r="H7060" s="1160"/>
      <c r="I7060" s="1163" t="str">
        <f t="shared" si="262"/>
        <v/>
      </c>
      <c r="K7060" s="1222"/>
    </row>
    <row r="7061" spans="1:11" ht="34.5">
      <c r="A7061" s="1221"/>
      <c r="B7061" s="371" t="s">
        <v>1854</v>
      </c>
      <c r="C7061" s="325" t="s">
        <v>1</v>
      </c>
      <c r="D7061" s="368">
        <v>1</v>
      </c>
      <c r="E7061" s="323">
        <v>1</v>
      </c>
      <c r="F7061" s="1160">
        <v>1.6</v>
      </c>
      <c r="G7061" s="1160">
        <v>4</v>
      </c>
      <c r="H7061" s="1160"/>
      <c r="I7061" s="1163">
        <f t="shared" si="262"/>
        <v>6.4</v>
      </c>
      <c r="K7061" s="1222"/>
    </row>
    <row r="7062" spans="1:11">
      <c r="A7062" s="1221"/>
      <c r="B7062" s="371"/>
      <c r="C7062" s="325" t="s">
        <v>1</v>
      </c>
      <c r="D7062" s="368">
        <v>1</v>
      </c>
      <c r="E7062" s="323">
        <v>1</v>
      </c>
      <c r="F7062" s="1160">
        <v>1.6</v>
      </c>
      <c r="G7062" s="1160">
        <v>1</v>
      </c>
      <c r="H7062" s="1160"/>
      <c r="I7062" s="1163">
        <f t="shared" si="262"/>
        <v>1.6</v>
      </c>
      <c r="K7062" s="1222"/>
    </row>
    <row r="7063" spans="1:11">
      <c r="A7063" s="1221"/>
      <c r="B7063" s="371"/>
      <c r="C7063" s="325" t="s">
        <v>1</v>
      </c>
      <c r="D7063" s="368">
        <v>1</v>
      </c>
      <c r="E7063" s="323">
        <v>1</v>
      </c>
      <c r="F7063" s="1160">
        <v>5.49</v>
      </c>
      <c r="G7063" s="1160">
        <v>0.96499999999999997</v>
      </c>
      <c r="H7063" s="1160"/>
      <c r="I7063" s="1163">
        <f t="shared" si="262"/>
        <v>5.3</v>
      </c>
      <c r="K7063" s="1222"/>
    </row>
    <row r="7064" spans="1:11">
      <c r="A7064" s="1221"/>
      <c r="B7064" s="371"/>
      <c r="C7064" s="325" t="s">
        <v>1</v>
      </c>
      <c r="D7064" s="368">
        <v>1</v>
      </c>
      <c r="E7064" s="323">
        <v>1</v>
      </c>
      <c r="F7064" s="1160">
        <v>7.09</v>
      </c>
      <c r="G7064" s="1160">
        <v>1</v>
      </c>
      <c r="H7064" s="1160"/>
      <c r="I7064" s="1163">
        <f t="shared" si="262"/>
        <v>7.09</v>
      </c>
      <c r="K7064" s="1222"/>
    </row>
    <row r="7065" spans="1:11">
      <c r="A7065" s="1221"/>
      <c r="B7065" s="371"/>
      <c r="C7065" s="325" t="s">
        <v>1</v>
      </c>
      <c r="D7065" s="368">
        <v>1</v>
      </c>
      <c r="E7065" s="323">
        <v>1</v>
      </c>
      <c r="F7065" s="1160">
        <v>1.6</v>
      </c>
      <c r="G7065" s="1160">
        <v>3</v>
      </c>
      <c r="H7065" s="1160"/>
      <c r="I7065" s="1163">
        <f t="shared" si="262"/>
        <v>4.8</v>
      </c>
      <c r="K7065" s="1222"/>
    </row>
    <row r="7066" spans="1:11">
      <c r="A7066" s="1221"/>
      <c r="B7066" s="371"/>
      <c r="C7066" s="325" t="s">
        <v>1</v>
      </c>
      <c r="D7066" s="368">
        <v>1</v>
      </c>
      <c r="E7066" s="323">
        <v>1</v>
      </c>
      <c r="F7066" s="1160">
        <v>4.3449999999999998</v>
      </c>
      <c r="G7066" s="1160">
        <v>1</v>
      </c>
      <c r="H7066" s="1160"/>
      <c r="I7066" s="1163">
        <f t="shared" si="262"/>
        <v>4.3499999999999996</v>
      </c>
      <c r="K7066" s="1222"/>
    </row>
    <row r="7067" spans="1:11">
      <c r="A7067" s="1221"/>
      <c r="B7067" s="371"/>
      <c r="C7067" s="325" t="s">
        <v>1</v>
      </c>
      <c r="D7067" s="368">
        <v>0</v>
      </c>
      <c r="E7067" s="323">
        <v>1</v>
      </c>
      <c r="F7067" s="1160">
        <v>1.6</v>
      </c>
      <c r="G7067" s="1160">
        <v>4</v>
      </c>
      <c r="H7067" s="1160"/>
      <c r="I7067" s="1163" t="str">
        <f t="shared" si="262"/>
        <v/>
      </c>
      <c r="K7067" s="1222"/>
    </row>
    <row r="7068" spans="1:11">
      <c r="A7068" s="1221"/>
      <c r="B7068" s="371"/>
      <c r="C7068" s="325" t="s">
        <v>1</v>
      </c>
      <c r="D7068" s="368">
        <v>1</v>
      </c>
      <c r="E7068" s="323">
        <v>2</v>
      </c>
      <c r="F7068" s="1160">
        <v>1.6</v>
      </c>
      <c r="G7068" s="1160">
        <v>3</v>
      </c>
      <c r="H7068" s="1160"/>
      <c r="I7068" s="1163">
        <f t="shared" si="262"/>
        <v>9.6</v>
      </c>
      <c r="K7068" s="1222"/>
    </row>
    <row r="7069" spans="1:11">
      <c r="A7069" s="1221"/>
      <c r="B7069" s="371"/>
      <c r="C7069" s="325" t="s">
        <v>1</v>
      </c>
      <c r="D7069" s="368"/>
      <c r="E7069" s="323"/>
      <c r="F7069" s="1160"/>
      <c r="G7069" s="1160"/>
      <c r="H7069" s="1160"/>
      <c r="I7069" s="1163" t="str">
        <f t="shared" si="262"/>
        <v/>
      </c>
      <c r="K7069" s="1222"/>
    </row>
    <row r="7070" spans="1:11">
      <c r="A7070" s="1221"/>
      <c r="B7070" s="371"/>
      <c r="C7070" s="325" t="s">
        <v>1</v>
      </c>
      <c r="D7070" s="368">
        <v>1</v>
      </c>
      <c r="E7070" s="323">
        <v>1</v>
      </c>
      <c r="F7070" s="1160">
        <v>20.145</v>
      </c>
      <c r="G7070" s="1160">
        <v>2.2349999999999999</v>
      </c>
      <c r="H7070" s="1160"/>
      <c r="I7070" s="1163">
        <f t="shared" si="262"/>
        <v>45.02</v>
      </c>
      <c r="K7070" s="1222"/>
    </row>
    <row r="7071" spans="1:11">
      <c r="A7071" s="1221"/>
      <c r="B7071" s="371"/>
      <c r="C7071" s="325" t="s">
        <v>1</v>
      </c>
      <c r="D7071" s="368">
        <v>1</v>
      </c>
      <c r="E7071" s="323">
        <v>1</v>
      </c>
      <c r="F7071" s="1160">
        <v>1.845</v>
      </c>
      <c r="G7071" s="1160">
        <v>4.07</v>
      </c>
      <c r="H7071" s="1160"/>
      <c r="I7071" s="1163">
        <f t="shared" si="262"/>
        <v>7.51</v>
      </c>
      <c r="K7071" s="1222"/>
    </row>
    <row r="7072" spans="1:11">
      <c r="A7072" s="1221"/>
      <c r="B7072" s="371"/>
      <c r="C7072" s="325" t="s">
        <v>1</v>
      </c>
      <c r="D7072" s="368"/>
      <c r="E7072" s="323"/>
      <c r="F7072" s="1160"/>
      <c r="G7072" s="1160"/>
      <c r="H7072" s="1160"/>
      <c r="I7072" s="1163" t="str">
        <f t="shared" si="262"/>
        <v/>
      </c>
      <c r="K7072" s="1222"/>
    </row>
    <row r="7073" spans="1:11">
      <c r="A7073" s="1221"/>
      <c r="B7073" s="371"/>
      <c r="C7073" s="325" t="s">
        <v>1</v>
      </c>
      <c r="D7073" s="368">
        <v>1</v>
      </c>
      <c r="E7073" s="323">
        <v>1</v>
      </c>
      <c r="F7073" s="1160">
        <v>0.68500000000000005</v>
      </c>
      <c r="G7073" s="1160">
        <v>4.13</v>
      </c>
      <c r="H7073" s="1160"/>
      <c r="I7073" s="1163">
        <f t="shared" si="262"/>
        <v>2.83</v>
      </c>
      <c r="K7073" s="1222"/>
    </row>
    <row r="7074" spans="1:11">
      <c r="A7074" s="1221"/>
      <c r="B7074" s="371"/>
      <c r="C7074" s="325" t="s">
        <v>1</v>
      </c>
      <c r="D7074" s="368">
        <v>1</v>
      </c>
      <c r="E7074" s="323">
        <v>1</v>
      </c>
      <c r="F7074" s="1160">
        <v>3.43</v>
      </c>
      <c r="G7074" s="1160">
        <v>1.2</v>
      </c>
      <c r="H7074" s="1160"/>
      <c r="I7074" s="1163">
        <f t="shared" si="262"/>
        <v>4.12</v>
      </c>
      <c r="K7074" s="1222"/>
    </row>
    <row r="7075" spans="1:11">
      <c r="A7075" s="1221"/>
      <c r="B7075" s="371"/>
      <c r="C7075" s="325" t="s">
        <v>1</v>
      </c>
      <c r="D7075" s="368">
        <v>1</v>
      </c>
      <c r="E7075" s="323">
        <v>1</v>
      </c>
      <c r="F7075" s="1160">
        <v>1.6</v>
      </c>
      <c r="G7075" s="1160">
        <v>3</v>
      </c>
      <c r="H7075" s="1160"/>
      <c r="I7075" s="1163">
        <f t="shared" si="262"/>
        <v>4.8</v>
      </c>
      <c r="K7075" s="1222"/>
    </row>
    <row r="7076" spans="1:11">
      <c r="A7076" s="1221"/>
      <c r="B7076" s="371"/>
      <c r="C7076" s="325" t="s">
        <v>1</v>
      </c>
      <c r="D7076" s="368">
        <v>1</v>
      </c>
      <c r="E7076" s="323">
        <v>1</v>
      </c>
      <c r="F7076" s="1160">
        <v>3.7349999999999999</v>
      </c>
      <c r="G7076" s="1160">
        <v>1.2</v>
      </c>
      <c r="H7076" s="1160"/>
      <c r="I7076" s="1163">
        <f t="shared" si="262"/>
        <v>4.4800000000000004</v>
      </c>
      <c r="K7076" s="1222"/>
    </row>
    <row r="7077" spans="1:11">
      <c r="A7077" s="1221"/>
      <c r="B7077" s="371"/>
      <c r="C7077" s="325" t="s">
        <v>1</v>
      </c>
      <c r="D7077" s="368">
        <v>1</v>
      </c>
      <c r="E7077" s="323">
        <v>1</v>
      </c>
      <c r="F7077" s="1160">
        <v>3.43</v>
      </c>
      <c r="G7077" s="1160">
        <v>4.2</v>
      </c>
      <c r="H7077" s="1160"/>
      <c r="I7077" s="1163">
        <f t="shared" si="262"/>
        <v>14.41</v>
      </c>
      <c r="K7077" s="1222"/>
    </row>
    <row r="7078" spans="1:11">
      <c r="A7078" s="1221"/>
      <c r="B7078" s="371"/>
      <c r="C7078" s="325" t="s">
        <v>1</v>
      </c>
      <c r="D7078" s="368">
        <v>1</v>
      </c>
      <c r="E7078" s="323">
        <v>1</v>
      </c>
      <c r="F7078" s="1160">
        <v>1.6</v>
      </c>
      <c r="G7078" s="1160">
        <v>1.8</v>
      </c>
      <c r="H7078" s="1160"/>
      <c r="I7078" s="1163">
        <f t="shared" si="262"/>
        <v>2.88</v>
      </c>
      <c r="K7078" s="1222"/>
    </row>
    <row r="7079" spans="1:11">
      <c r="A7079" s="1221"/>
      <c r="B7079" s="371"/>
      <c r="C7079" s="325" t="s">
        <v>1</v>
      </c>
      <c r="D7079" s="368">
        <v>1</v>
      </c>
      <c r="E7079" s="323">
        <v>1</v>
      </c>
      <c r="F7079" s="1160">
        <v>1.6</v>
      </c>
      <c r="G7079" s="1160">
        <v>4.2</v>
      </c>
      <c r="H7079" s="1160"/>
      <c r="I7079" s="1163">
        <f t="shared" si="262"/>
        <v>6.72</v>
      </c>
      <c r="K7079" s="1222"/>
    </row>
    <row r="7080" spans="1:11">
      <c r="A7080" s="1221"/>
      <c r="B7080" s="371"/>
      <c r="C7080" s="325" t="s">
        <v>1</v>
      </c>
      <c r="D7080" s="368">
        <v>1</v>
      </c>
      <c r="E7080" s="323">
        <v>1</v>
      </c>
      <c r="F7080" s="1160">
        <v>1.6</v>
      </c>
      <c r="G7080" s="1160">
        <v>5</v>
      </c>
      <c r="H7080" s="1160"/>
      <c r="I7080" s="1163">
        <f t="shared" si="262"/>
        <v>8</v>
      </c>
      <c r="K7080" s="1222"/>
    </row>
    <row r="7081" spans="1:11">
      <c r="A7081" s="1221"/>
      <c r="B7081" s="371"/>
      <c r="C7081" s="325" t="s">
        <v>1</v>
      </c>
      <c r="D7081" s="368">
        <v>0</v>
      </c>
      <c r="E7081" s="323">
        <v>1</v>
      </c>
      <c r="F7081" s="1160">
        <v>2.1349999999999998</v>
      </c>
      <c r="G7081" s="1160">
        <v>3.2349999999999999</v>
      </c>
      <c r="H7081" s="1160"/>
      <c r="I7081" s="1163" t="str">
        <f t="shared" si="262"/>
        <v/>
      </c>
      <c r="K7081" s="1222"/>
    </row>
    <row r="7082" spans="1:11">
      <c r="A7082" s="1221"/>
      <c r="B7082" s="371"/>
      <c r="C7082" s="325" t="s">
        <v>1</v>
      </c>
      <c r="D7082" s="368">
        <v>1</v>
      </c>
      <c r="E7082" s="323">
        <v>1</v>
      </c>
      <c r="F7082" s="1160">
        <v>3.7349999999999999</v>
      </c>
      <c r="G7082" s="1160">
        <v>3.2</v>
      </c>
      <c r="H7082" s="1160"/>
      <c r="I7082" s="1163">
        <f t="shared" si="262"/>
        <v>11.95</v>
      </c>
      <c r="K7082" s="1222"/>
    </row>
    <row r="7083" spans="1:11">
      <c r="A7083" s="1221"/>
      <c r="B7083" s="371"/>
      <c r="C7083" s="325" t="s">
        <v>1</v>
      </c>
      <c r="D7083" s="368">
        <v>1</v>
      </c>
      <c r="E7083" s="323">
        <v>1</v>
      </c>
      <c r="F7083" s="1160">
        <v>12.12</v>
      </c>
      <c r="G7083" s="1160">
        <v>1.5</v>
      </c>
      <c r="H7083" s="1160"/>
      <c r="I7083" s="1163">
        <f t="shared" si="262"/>
        <v>18.18</v>
      </c>
      <c r="K7083" s="1222"/>
    </row>
    <row r="7084" spans="1:11">
      <c r="A7084" s="1221"/>
      <c r="B7084" s="371"/>
      <c r="C7084" s="325" t="s">
        <v>1</v>
      </c>
      <c r="D7084" s="368">
        <v>1</v>
      </c>
      <c r="E7084" s="323">
        <v>1</v>
      </c>
      <c r="F7084" s="1160">
        <v>0.99</v>
      </c>
      <c r="G7084" s="1160">
        <v>4.13</v>
      </c>
      <c r="H7084" s="1160"/>
      <c r="I7084" s="1163">
        <f t="shared" si="262"/>
        <v>4.09</v>
      </c>
      <c r="K7084" s="1222"/>
    </row>
    <row r="7085" spans="1:11">
      <c r="A7085" s="1221"/>
      <c r="B7085" s="371"/>
      <c r="C7085" s="325" t="s">
        <v>1</v>
      </c>
      <c r="D7085" s="368">
        <v>1</v>
      </c>
      <c r="E7085" s="323">
        <v>1</v>
      </c>
      <c r="F7085" s="1160">
        <v>1.6</v>
      </c>
      <c r="G7085" s="1160">
        <v>4.5</v>
      </c>
      <c r="H7085" s="1160"/>
      <c r="I7085" s="1163">
        <f t="shared" si="262"/>
        <v>7.2</v>
      </c>
      <c r="K7085" s="1222"/>
    </row>
    <row r="7086" spans="1:11">
      <c r="A7086" s="1221"/>
      <c r="B7086" s="371"/>
      <c r="C7086" s="325" t="s">
        <v>1</v>
      </c>
      <c r="D7086" s="368">
        <v>1</v>
      </c>
      <c r="E7086" s="323">
        <v>1</v>
      </c>
      <c r="F7086" s="1160">
        <v>1.46</v>
      </c>
      <c r="G7086" s="1160">
        <v>2.7</v>
      </c>
      <c r="H7086" s="1160"/>
      <c r="I7086" s="1163">
        <f t="shared" si="262"/>
        <v>3.94</v>
      </c>
      <c r="K7086" s="1222"/>
    </row>
    <row r="7087" spans="1:11">
      <c r="A7087" s="1221"/>
      <c r="B7087" s="371"/>
      <c r="C7087" s="325" t="s">
        <v>1</v>
      </c>
      <c r="D7087" s="368">
        <v>1</v>
      </c>
      <c r="E7087" s="323">
        <v>1</v>
      </c>
      <c r="F7087" s="1160">
        <v>1.6</v>
      </c>
      <c r="G7087" s="1160">
        <v>6</v>
      </c>
      <c r="H7087" s="1160"/>
      <c r="I7087" s="1163">
        <f t="shared" si="262"/>
        <v>9.6</v>
      </c>
      <c r="K7087" s="1222"/>
    </row>
    <row r="7088" spans="1:11">
      <c r="A7088" s="1221"/>
      <c r="B7088" s="371"/>
      <c r="C7088" s="325" t="s">
        <v>1</v>
      </c>
      <c r="D7088" s="368"/>
      <c r="E7088" s="323"/>
      <c r="F7088" s="1160"/>
      <c r="G7088" s="1160"/>
      <c r="H7088" s="1160"/>
      <c r="I7088" s="1163" t="str">
        <f t="shared" si="262"/>
        <v/>
      </c>
      <c r="K7088" s="1222"/>
    </row>
    <row r="7089" spans="1:11">
      <c r="A7089" s="1221"/>
      <c r="B7089" s="371"/>
      <c r="C7089" s="325" t="s">
        <v>1</v>
      </c>
      <c r="D7089" s="368">
        <v>1</v>
      </c>
      <c r="E7089" s="323">
        <v>1</v>
      </c>
      <c r="F7089" s="1160">
        <v>20.97</v>
      </c>
      <c r="G7089" s="1160">
        <v>2</v>
      </c>
      <c r="H7089" s="1160"/>
      <c r="I7089" s="1163">
        <f t="shared" si="262"/>
        <v>41.94</v>
      </c>
      <c r="K7089" s="1222"/>
    </row>
    <row r="7090" spans="1:11">
      <c r="A7090" s="1221"/>
      <c r="B7090" s="371"/>
      <c r="C7090" s="325" t="s">
        <v>1</v>
      </c>
      <c r="D7090" s="368">
        <v>1</v>
      </c>
      <c r="E7090" s="323">
        <v>1</v>
      </c>
      <c r="F7090" s="1160">
        <v>1.905</v>
      </c>
      <c r="G7090" s="1160">
        <v>6.2350000000000003</v>
      </c>
      <c r="H7090" s="1160"/>
      <c r="I7090" s="1163">
        <f t="shared" si="262"/>
        <v>11.88</v>
      </c>
      <c r="K7090" s="1222"/>
    </row>
    <row r="7091" spans="1:11">
      <c r="A7091" s="1221"/>
      <c r="B7091" s="371"/>
      <c r="C7091" s="325" t="s">
        <v>1</v>
      </c>
      <c r="D7091" s="368">
        <v>1</v>
      </c>
      <c r="E7091" s="323">
        <v>1</v>
      </c>
      <c r="F7091" s="1160">
        <v>0.70599999999999996</v>
      </c>
      <c r="G7091" s="1160">
        <v>2</v>
      </c>
      <c r="H7091" s="1160"/>
      <c r="I7091" s="1163">
        <f t="shared" si="262"/>
        <v>1.41</v>
      </c>
      <c r="K7091" s="1222"/>
    </row>
    <row r="7092" spans="1:11">
      <c r="A7092" s="1221"/>
      <c r="B7092" s="371"/>
      <c r="C7092" s="325" t="s">
        <v>1</v>
      </c>
      <c r="D7092" s="368"/>
      <c r="E7092" s="323"/>
      <c r="F7092" s="1160"/>
      <c r="G7092" s="1160"/>
      <c r="H7092" s="1160"/>
      <c r="I7092" s="1163" t="str">
        <f t="shared" si="262"/>
        <v/>
      </c>
      <c r="K7092" s="1222"/>
    </row>
    <row r="7093" spans="1:11">
      <c r="A7093" s="1221"/>
      <c r="B7093" s="371"/>
      <c r="C7093" s="325" t="s">
        <v>1</v>
      </c>
      <c r="D7093" s="368">
        <v>1</v>
      </c>
      <c r="E7093" s="323">
        <v>1</v>
      </c>
      <c r="F7093" s="1160">
        <v>4.3449999999999998</v>
      </c>
      <c r="G7093" s="1160">
        <v>1.2</v>
      </c>
      <c r="H7093" s="1160"/>
      <c r="I7093" s="1163">
        <f t="shared" si="262"/>
        <v>5.21</v>
      </c>
      <c r="K7093" s="1222"/>
    </row>
    <row r="7094" spans="1:11">
      <c r="A7094" s="1221"/>
      <c r="B7094" s="371"/>
      <c r="C7094" s="325" t="s">
        <v>1</v>
      </c>
      <c r="D7094" s="368">
        <v>1</v>
      </c>
      <c r="E7094" s="323">
        <v>1</v>
      </c>
      <c r="F7094" s="1160">
        <v>1.6</v>
      </c>
      <c r="G7094" s="1160">
        <v>1.8</v>
      </c>
      <c r="H7094" s="1160"/>
      <c r="I7094" s="1163">
        <f t="shared" si="262"/>
        <v>2.88</v>
      </c>
      <c r="K7094" s="1222"/>
    </row>
    <row r="7095" spans="1:11">
      <c r="A7095" s="1221"/>
      <c r="B7095" s="371"/>
      <c r="C7095" s="325" t="s">
        <v>1</v>
      </c>
      <c r="D7095" s="368">
        <v>1</v>
      </c>
      <c r="E7095" s="323">
        <v>1</v>
      </c>
      <c r="F7095" s="1160">
        <v>4.6500000000000004</v>
      </c>
      <c r="G7095" s="1160">
        <v>1</v>
      </c>
      <c r="H7095" s="1160"/>
      <c r="I7095" s="1163">
        <f t="shared" si="262"/>
        <v>4.6500000000000004</v>
      </c>
      <c r="K7095" s="1222"/>
    </row>
    <row r="7096" spans="1:11">
      <c r="A7096" s="1221"/>
      <c r="B7096" s="371"/>
      <c r="C7096" s="325" t="s">
        <v>1</v>
      </c>
      <c r="D7096" s="368">
        <v>1</v>
      </c>
      <c r="E7096" s="323">
        <v>1</v>
      </c>
      <c r="F7096" s="1160">
        <v>1.905</v>
      </c>
      <c r="G7096" s="1160">
        <v>1.8</v>
      </c>
      <c r="H7096" s="1160"/>
      <c r="I7096" s="1163">
        <f t="shared" si="262"/>
        <v>3.43</v>
      </c>
      <c r="K7096" s="1222"/>
    </row>
    <row r="7097" spans="1:11" ht="34.5">
      <c r="A7097" s="1221"/>
      <c r="B7097" s="371" t="s">
        <v>1855</v>
      </c>
      <c r="C7097" s="325" t="s">
        <v>1</v>
      </c>
      <c r="D7097" s="368"/>
      <c r="E7097" s="323"/>
      <c r="F7097" s="1160"/>
      <c r="G7097" s="1160"/>
      <c r="H7097" s="1160"/>
      <c r="I7097" s="1163" t="str">
        <f t="shared" si="262"/>
        <v/>
      </c>
      <c r="K7097" s="1222"/>
    </row>
    <row r="7098" spans="1:11">
      <c r="A7098" s="1221"/>
      <c r="B7098" s="371"/>
      <c r="C7098" s="325" t="s">
        <v>1</v>
      </c>
      <c r="D7098" s="368">
        <v>1</v>
      </c>
      <c r="E7098" s="323">
        <v>1</v>
      </c>
      <c r="F7098" s="1160">
        <v>24.135000000000002</v>
      </c>
      <c r="G7098" s="1160">
        <v>6.2</v>
      </c>
      <c r="H7098" s="1160"/>
      <c r="I7098" s="1163">
        <f t="shared" si="262"/>
        <v>149.63999999999999</v>
      </c>
      <c r="K7098" s="1222"/>
    </row>
    <row r="7099" spans="1:11" ht="69">
      <c r="A7099" s="1221"/>
      <c r="B7099" s="371" t="s">
        <v>1856</v>
      </c>
      <c r="C7099" s="325" t="s">
        <v>1</v>
      </c>
      <c r="D7099" s="368"/>
      <c r="E7099" s="323"/>
      <c r="F7099" s="1160" t="s">
        <v>624</v>
      </c>
      <c r="G7099" s="1160"/>
      <c r="H7099" s="1160"/>
      <c r="I7099" s="1163" t="str">
        <f t="shared" si="262"/>
        <v/>
      </c>
      <c r="K7099" s="1222"/>
    </row>
    <row r="7100" spans="1:11">
      <c r="A7100" s="1221"/>
      <c r="B7100" s="371"/>
      <c r="C7100" s="325" t="s">
        <v>1</v>
      </c>
      <c r="D7100" s="368">
        <v>1</v>
      </c>
      <c r="E7100" s="323">
        <v>1</v>
      </c>
      <c r="F7100" s="1160">
        <v>384.09610400000008</v>
      </c>
      <c r="G7100" s="1160"/>
      <c r="H7100" s="1160"/>
      <c r="I7100" s="1163">
        <f t="shared" si="262"/>
        <v>384.1</v>
      </c>
      <c r="K7100" s="1222"/>
    </row>
    <row r="7101" spans="1:11">
      <c r="A7101" s="1221"/>
      <c r="B7101" s="371"/>
      <c r="C7101" s="325" t="s">
        <v>1</v>
      </c>
      <c r="D7101" s="368"/>
      <c r="E7101" s="323"/>
      <c r="F7101" s="1160"/>
      <c r="G7101" s="1160"/>
      <c r="H7101" s="1160"/>
      <c r="I7101" s="1163" t="str">
        <f t="shared" si="262"/>
        <v/>
      </c>
      <c r="K7101" s="1222"/>
    </row>
    <row r="7102" spans="1:11">
      <c r="A7102" s="1221"/>
      <c r="B7102" s="371" t="s">
        <v>1857</v>
      </c>
      <c r="C7102" s="325" t="s">
        <v>1</v>
      </c>
      <c r="D7102" s="368"/>
      <c r="E7102" s="323"/>
      <c r="F7102" s="1160"/>
      <c r="G7102" s="1160"/>
      <c r="H7102" s="1160"/>
      <c r="I7102" s="1163" t="str">
        <f t="shared" si="262"/>
        <v/>
      </c>
      <c r="K7102" s="1222"/>
    </row>
    <row r="7103" spans="1:11">
      <c r="A7103" s="1221"/>
      <c r="B7103" s="371" t="s">
        <v>626</v>
      </c>
      <c r="C7103" s="325" t="s">
        <v>1</v>
      </c>
      <c r="D7103" s="368">
        <v>1</v>
      </c>
      <c r="E7103" s="323">
        <v>1</v>
      </c>
      <c r="F7103" s="1160">
        <v>514.70000000000005</v>
      </c>
      <c r="G7103" s="1160"/>
      <c r="H7103" s="1160"/>
      <c r="I7103" s="1163">
        <f t="shared" si="262"/>
        <v>514.70000000000005</v>
      </c>
      <c r="K7103" s="1222"/>
    </row>
    <row r="7104" spans="1:11" ht="34.5">
      <c r="A7104" s="1221"/>
      <c r="B7104" s="371" t="s">
        <v>627</v>
      </c>
      <c r="C7104" s="325" t="s">
        <v>1</v>
      </c>
      <c r="D7104" s="368">
        <v>1</v>
      </c>
      <c r="E7104" s="323">
        <v>1</v>
      </c>
      <c r="F7104" s="1160">
        <v>169.79</v>
      </c>
      <c r="G7104" s="1160"/>
      <c r="H7104" s="1160"/>
      <c r="I7104" s="1163">
        <f t="shared" si="262"/>
        <v>169.79</v>
      </c>
      <c r="K7104" s="1222"/>
    </row>
    <row r="7105" spans="1:11">
      <c r="A7105" s="1221"/>
      <c r="B7105" s="371" t="s">
        <v>628</v>
      </c>
      <c r="C7105" s="325" t="s">
        <v>1</v>
      </c>
      <c r="D7105" s="368">
        <v>-1</v>
      </c>
      <c r="E7105" s="323">
        <v>1</v>
      </c>
      <c r="F7105" s="1160">
        <v>6.5449999999999999</v>
      </c>
      <c r="G7105" s="1160">
        <v>6</v>
      </c>
      <c r="H7105" s="1160"/>
      <c r="I7105" s="1163">
        <f t="shared" si="262"/>
        <v>-39.270000000000003</v>
      </c>
      <c r="K7105" s="1222"/>
    </row>
    <row r="7106" spans="1:11" ht="34.5">
      <c r="A7106" s="1221"/>
      <c r="B7106" s="371" t="s">
        <v>629</v>
      </c>
      <c r="C7106" s="325" t="s">
        <v>1</v>
      </c>
      <c r="D7106" s="368">
        <v>1</v>
      </c>
      <c r="E7106" s="323">
        <v>1</v>
      </c>
      <c r="F7106" s="1160">
        <v>580.42999999999995</v>
      </c>
      <c r="G7106" s="1160"/>
      <c r="H7106" s="1160"/>
      <c r="I7106" s="1163">
        <f t="shared" si="262"/>
        <v>580.42999999999995</v>
      </c>
      <c r="K7106" s="1222"/>
    </row>
    <row r="7107" spans="1:11">
      <c r="A7107" s="1221"/>
      <c r="B7107" s="371" t="s">
        <v>630</v>
      </c>
      <c r="C7107" s="325" t="s">
        <v>1</v>
      </c>
      <c r="D7107" s="368">
        <v>1</v>
      </c>
      <c r="E7107" s="323">
        <v>1</v>
      </c>
      <c r="F7107" s="1160">
        <v>628.19000000000005</v>
      </c>
      <c r="G7107" s="1160"/>
      <c r="H7107" s="1160"/>
      <c r="I7107" s="1163">
        <f t="shared" si="262"/>
        <v>628.19000000000005</v>
      </c>
      <c r="K7107" s="1222"/>
    </row>
    <row r="7108" spans="1:11" ht="34.5">
      <c r="A7108" s="1221"/>
      <c r="B7108" s="371" t="s">
        <v>631</v>
      </c>
      <c r="C7108" s="325" t="s">
        <v>1</v>
      </c>
      <c r="D7108" s="368">
        <v>1</v>
      </c>
      <c r="E7108" s="323">
        <v>1</v>
      </c>
      <c r="F7108" s="1160">
        <v>303.47000000000003</v>
      </c>
      <c r="G7108" s="1160"/>
      <c r="H7108" s="1160"/>
      <c r="I7108" s="1163">
        <f t="shared" si="262"/>
        <v>303.47000000000003</v>
      </c>
      <c r="K7108" s="1222"/>
    </row>
    <row r="7109" spans="1:11">
      <c r="A7109" s="1221"/>
      <c r="B7109" s="371" t="s">
        <v>632</v>
      </c>
      <c r="C7109" s="325" t="s">
        <v>1</v>
      </c>
      <c r="D7109" s="368">
        <v>1</v>
      </c>
      <c r="E7109" s="323">
        <v>1</v>
      </c>
      <c r="F7109" s="1160">
        <v>165.9</v>
      </c>
      <c r="G7109" s="1160"/>
      <c r="H7109" s="1160"/>
      <c r="I7109" s="1163">
        <f t="shared" si="262"/>
        <v>165.9</v>
      </c>
      <c r="K7109" s="1222"/>
    </row>
    <row r="7110" spans="1:11">
      <c r="A7110" s="1221"/>
      <c r="B7110" s="371"/>
      <c r="C7110" s="325" t="s">
        <v>1</v>
      </c>
      <c r="D7110" s="368"/>
      <c r="E7110" s="323"/>
      <c r="F7110" s="1160" t="s">
        <v>48</v>
      </c>
      <c r="G7110" s="1160" t="s">
        <v>33</v>
      </c>
      <c r="H7110" s="1160"/>
      <c r="I7110" s="1163" t="str">
        <f t="shared" si="262"/>
        <v/>
      </c>
      <c r="K7110" s="1222"/>
    </row>
    <row r="7111" spans="1:11" ht="34.5">
      <c r="A7111" s="1221"/>
      <c r="B7111" s="371" t="s">
        <v>1858</v>
      </c>
      <c r="C7111" s="325" t="s">
        <v>1</v>
      </c>
      <c r="D7111" s="368">
        <v>1</v>
      </c>
      <c r="E7111" s="323">
        <v>1</v>
      </c>
      <c r="F7111" s="1160">
        <v>36.715000000000003</v>
      </c>
      <c r="G7111" s="1160">
        <v>8.48</v>
      </c>
      <c r="H7111" s="1160"/>
      <c r="I7111" s="1163">
        <f t="shared" si="262"/>
        <v>311.33999999999997</v>
      </c>
      <c r="K7111" s="1222"/>
    </row>
    <row r="7112" spans="1:11" ht="34.5">
      <c r="A7112" s="1221"/>
      <c r="B7112" s="371" t="s">
        <v>1859</v>
      </c>
      <c r="C7112" s="325" t="s">
        <v>1</v>
      </c>
      <c r="D7112" s="368">
        <v>1</v>
      </c>
      <c r="E7112" s="323">
        <v>1</v>
      </c>
      <c r="F7112" s="1160">
        <v>18.100000000000001</v>
      </c>
      <c r="G7112" s="1160">
        <v>33.615000000000002</v>
      </c>
      <c r="H7112" s="1160"/>
      <c r="I7112" s="1163">
        <f t="shared" si="262"/>
        <v>608.42999999999995</v>
      </c>
      <c r="K7112" s="1222"/>
    </row>
    <row r="7113" spans="1:11">
      <c r="A7113" s="1221"/>
      <c r="B7113" s="371"/>
      <c r="C7113" s="325" t="s">
        <v>1</v>
      </c>
      <c r="D7113" s="368"/>
      <c r="E7113" s="323"/>
      <c r="F7113" s="1160" t="s">
        <v>624</v>
      </c>
      <c r="G7113" s="1160"/>
      <c r="H7113" s="1160"/>
      <c r="I7113" s="1163" t="str">
        <f t="shared" si="262"/>
        <v/>
      </c>
      <c r="K7113" s="1222"/>
    </row>
    <row r="7114" spans="1:11" ht="34.5">
      <c r="A7114" s="1221"/>
      <c r="B7114" s="371" t="s">
        <v>636</v>
      </c>
      <c r="C7114" s="325" t="s">
        <v>1</v>
      </c>
      <c r="D7114" s="368">
        <v>1</v>
      </c>
      <c r="E7114" s="323">
        <v>1</v>
      </c>
      <c r="F7114" s="1160">
        <v>40.53</v>
      </c>
      <c r="G7114" s="1160"/>
      <c r="H7114" s="1160"/>
      <c r="I7114" s="1163">
        <f t="shared" si="262"/>
        <v>40.53</v>
      </c>
      <c r="K7114" s="1222"/>
    </row>
    <row r="7115" spans="1:11">
      <c r="A7115" s="1221"/>
      <c r="B7115" s="371" t="s">
        <v>637</v>
      </c>
      <c r="C7115" s="325" t="s">
        <v>1</v>
      </c>
      <c r="D7115" s="368">
        <v>-1</v>
      </c>
      <c r="E7115" s="323">
        <v>5</v>
      </c>
      <c r="F7115" s="1160">
        <v>4.6399999999999997</v>
      </c>
      <c r="G7115" s="1160"/>
      <c r="H7115" s="1160"/>
      <c r="I7115" s="1163">
        <f t="shared" si="262"/>
        <v>-23.2</v>
      </c>
      <c r="K7115" s="1222"/>
    </row>
    <row r="7116" spans="1:11">
      <c r="A7116" s="1221"/>
      <c r="B7116" s="371" t="s">
        <v>638</v>
      </c>
      <c r="C7116" s="325" t="s">
        <v>1</v>
      </c>
      <c r="D7116" s="368">
        <v>-1</v>
      </c>
      <c r="E7116" s="323">
        <v>6</v>
      </c>
      <c r="F7116" s="1160">
        <v>4.49</v>
      </c>
      <c r="G7116" s="1160"/>
      <c r="H7116" s="1160"/>
      <c r="I7116" s="1163">
        <f t="shared" si="262"/>
        <v>-26.94</v>
      </c>
      <c r="K7116" s="1222"/>
    </row>
    <row r="7117" spans="1:11">
      <c r="A7117" s="1221"/>
      <c r="B7117" s="371"/>
      <c r="C7117" s="325" t="s">
        <v>1</v>
      </c>
      <c r="D7117" s="368">
        <v>-1</v>
      </c>
      <c r="E7117" s="323">
        <v>3</v>
      </c>
      <c r="F7117" s="1160">
        <v>4.5</v>
      </c>
      <c r="G7117" s="1160"/>
      <c r="H7117" s="1160"/>
      <c r="I7117" s="1163">
        <f t="shared" si="262"/>
        <v>-13.5</v>
      </c>
      <c r="K7117" s="1222"/>
    </row>
    <row r="7118" spans="1:11">
      <c r="A7118" s="1221"/>
      <c r="B7118" s="371" t="s">
        <v>639</v>
      </c>
      <c r="C7118" s="325" t="s">
        <v>1</v>
      </c>
      <c r="D7118" s="368">
        <v>-1</v>
      </c>
      <c r="E7118" s="323">
        <v>6</v>
      </c>
      <c r="F7118" s="1160">
        <v>1.349</v>
      </c>
      <c r="G7118" s="1160"/>
      <c r="H7118" s="1160"/>
      <c r="I7118" s="1163">
        <f t="shared" si="262"/>
        <v>-8.09</v>
      </c>
      <c r="K7118" s="1222"/>
    </row>
    <row r="7119" spans="1:11">
      <c r="A7119" s="1221"/>
      <c r="B7119" s="371" t="s">
        <v>640</v>
      </c>
      <c r="C7119" s="325" t="s">
        <v>1</v>
      </c>
      <c r="D7119" s="368">
        <v>-1</v>
      </c>
      <c r="E7119" s="323">
        <v>2</v>
      </c>
      <c r="F7119" s="1160">
        <v>1.47</v>
      </c>
      <c r="G7119" s="1160">
        <v>5.5549999999999997</v>
      </c>
      <c r="H7119" s="1160"/>
      <c r="I7119" s="1163">
        <f t="shared" si="262"/>
        <v>-16.329999999999998</v>
      </c>
      <c r="K7119" s="1222"/>
    </row>
    <row r="7120" spans="1:11">
      <c r="A7120" s="1221"/>
      <c r="B7120" s="371"/>
      <c r="C7120" s="325" t="s">
        <v>1</v>
      </c>
      <c r="D7120" s="368"/>
      <c r="E7120" s="323"/>
      <c r="F7120" s="1160"/>
      <c r="G7120" s="1160"/>
      <c r="H7120" s="1160"/>
      <c r="I7120" s="1163" t="str">
        <f t="shared" si="262"/>
        <v/>
      </c>
      <c r="K7120" s="1222"/>
    </row>
    <row r="7121" spans="1:11" ht="34.5">
      <c r="A7121" s="1221"/>
      <c r="B7121" s="371" t="s">
        <v>1860</v>
      </c>
      <c r="C7121" s="325" t="s">
        <v>1</v>
      </c>
      <c r="D7121" s="368">
        <v>1</v>
      </c>
      <c r="E7121" s="323">
        <v>1</v>
      </c>
      <c r="F7121" s="1160">
        <v>364.85</v>
      </c>
      <c r="G7121" s="1160"/>
      <c r="H7121" s="1160"/>
      <c r="I7121" s="1163">
        <f t="shared" si="262"/>
        <v>364.85</v>
      </c>
      <c r="K7121" s="1222"/>
    </row>
    <row r="7122" spans="1:11">
      <c r="A7122" s="1221"/>
      <c r="B7122" s="371" t="s">
        <v>642</v>
      </c>
      <c r="C7122" s="325" t="s">
        <v>1</v>
      </c>
      <c r="D7122" s="368">
        <v>-1</v>
      </c>
      <c r="E7122" s="323">
        <v>1</v>
      </c>
      <c r="F7122" s="1160">
        <v>34.049999999999997</v>
      </c>
      <c r="G7122" s="1160"/>
      <c r="H7122" s="1160"/>
      <c r="I7122" s="1163">
        <f t="shared" si="262"/>
        <v>-34.049999999999997</v>
      </c>
      <c r="K7122" s="1222"/>
    </row>
    <row r="7123" spans="1:11">
      <c r="A7123" s="1221"/>
      <c r="B7123" s="371"/>
      <c r="C7123" s="325" t="s">
        <v>1</v>
      </c>
      <c r="D7123" s="368">
        <v>-1</v>
      </c>
      <c r="E7123" s="323">
        <v>1</v>
      </c>
      <c r="F7123" s="1160">
        <v>70.8</v>
      </c>
      <c r="G7123" s="1160"/>
      <c r="H7123" s="1160"/>
      <c r="I7123" s="1163">
        <f t="shared" si="262"/>
        <v>-70.8</v>
      </c>
      <c r="K7123" s="1222"/>
    </row>
    <row r="7124" spans="1:11">
      <c r="A7124" s="1221"/>
      <c r="B7124" s="371"/>
      <c r="C7124" s="325" t="s">
        <v>1</v>
      </c>
      <c r="D7124" s="368"/>
      <c r="E7124" s="323"/>
      <c r="F7124" s="1160" t="s">
        <v>624</v>
      </c>
      <c r="G7124" s="1160"/>
      <c r="H7124" s="1160"/>
      <c r="I7124" s="1163" t="str">
        <f t="shared" si="262"/>
        <v/>
      </c>
      <c r="K7124" s="1222"/>
    </row>
    <row r="7125" spans="1:11" ht="34.5">
      <c r="A7125" s="1221"/>
      <c r="B7125" s="371" t="s">
        <v>1861</v>
      </c>
      <c r="C7125" s="325" t="s">
        <v>1</v>
      </c>
      <c r="D7125" s="368">
        <v>1</v>
      </c>
      <c r="E7125" s="323">
        <v>1</v>
      </c>
      <c r="F7125" s="1160">
        <v>478.10300000000001</v>
      </c>
      <c r="G7125" s="1160"/>
      <c r="H7125" s="1160"/>
      <c r="I7125" s="1163">
        <f t="shared" si="262"/>
        <v>478.1</v>
      </c>
      <c r="K7125" s="1222"/>
    </row>
    <row r="7126" spans="1:11">
      <c r="A7126" s="1221"/>
      <c r="B7126" s="371" t="s">
        <v>644</v>
      </c>
      <c r="C7126" s="325" t="s">
        <v>1</v>
      </c>
      <c r="D7126" s="368">
        <v>-1</v>
      </c>
      <c r="E7126" s="323">
        <v>6</v>
      </c>
      <c r="F7126" s="1160">
        <v>1.35</v>
      </c>
      <c r="G7126" s="1160"/>
      <c r="H7126" s="1160"/>
      <c r="I7126" s="1163">
        <f t="shared" si="262"/>
        <v>-8.1</v>
      </c>
      <c r="K7126" s="1222"/>
    </row>
    <row r="7127" spans="1:11">
      <c r="A7127" s="1221"/>
      <c r="B7127" s="371"/>
      <c r="C7127" s="325" t="s">
        <v>1</v>
      </c>
      <c r="D7127" s="368"/>
      <c r="E7127" s="323"/>
      <c r="F7127" s="1160" t="s">
        <v>48</v>
      </c>
      <c r="G7127" s="1160" t="s">
        <v>33</v>
      </c>
      <c r="H7127" s="1160"/>
      <c r="I7127" s="1163" t="str">
        <f t="shared" si="262"/>
        <v/>
      </c>
      <c r="K7127" s="1222"/>
    </row>
    <row r="7128" spans="1:11">
      <c r="A7128" s="1221"/>
      <c r="B7128" s="371" t="s">
        <v>645</v>
      </c>
      <c r="C7128" s="325" t="s">
        <v>1</v>
      </c>
      <c r="D7128" s="368">
        <v>-1</v>
      </c>
      <c r="E7128" s="323">
        <v>1</v>
      </c>
      <c r="F7128" s="1160">
        <v>2.625</v>
      </c>
      <c r="G7128" s="1160">
        <v>1.2</v>
      </c>
      <c r="H7128" s="1160"/>
      <c r="I7128" s="1163">
        <f t="shared" si="262"/>
        <v>-3.15</v>
      </c>
      <c r="K7128" s="1222"/>
    </row>
    <row r="7129" spans="1:11">
      <c r="A7129" s="1221"/>
      <c r="B7129" s="371"/>
      <c r="C7129" s="325" t="s">
        <v>1</v>
      </c>
      <c r="D7129" s="368">
        <v>-1</v>
      </c>
      <c r="E7129" s="323">
        <v>1</v>
      </c>
      <c r="F7129" s="1160">
        <v>5.85</v>
      </c>
      <c r="G7129" s="1160">
        <v>1.2</v>
      </c>
      <c r="H7129" s="1160"/>
      <c r="I7129" s="1163">
        <f t="shared" si="262"/>
        <v>-7.02</v>
      </c>
      <c r="K7129" s="1222"/>
    </row>
    <row r="7130" spans="1:11">
      <c r="A7130" s="1221"/>
      <c r="B7130" s="371"/>
      <c r="C7130" s="325" t="s">
        <v>1</v>
      </c>
      <c r="D7130" s="368">
        <v>-1</v>
      </c>
      <c r="E7130" s="323">
        <v>1</v>
      </c>
      <c r="F7130" s="1160">
        <v>5.0250000000000004</v>
      </c>
      <c r="G7130" s="1160">
        <v>1.2</v>
      </c>
      <c r="H7130" s="1160"/>
      <c r="I7130" s="1163">
        <f t="shared" si="262"/>
        <v>-6.03</v>
      </c>
      <c r="K7130" s="1222"/>
    </row>
    <row r="7131" spans="1:11">
      <c r="A7131" s="1221"/>
      <c r="B7131" s="371"/>
      <c r="C7131" s="325" t="s">
        <v>1</v>
      </c>
      <c r="D7131" s="368">
        <v>-1</v>
      </c>
      <c r="E7131" s="323">
        <v>1</v>
      </c>
      <c r="F7131" s="1160">
        <v>2.4</v>
      </c>
      <c r="G7131" s="1160">
        <v>1.2</v>
      </c>
      <c r="H7131" s="1160"/>
      <c r="I7131" s="1163">
        <f t="shared" si="262"/>
        <v>-2.88</v>
      </c>
      <c r="K7131" s="1222"/>
    </row>
    <row r="7132" spans="1:11">
      <c r="A7132" s="1221"/>
      <c r="B7132" s="371"/>
      <c r="C7132" s="325"/>
      <c r="D7132" s="368"/>
      <c r="E7132" s="323"/>
      <c r="F7132" s="1160"/>
      <c r="G7132" s="1160"/>
      <c r="H7132" s="1160"/>
      <c r="I7132" s="1163" t="str">
        <f t="shared" si="262"/>
        <v/>
      </c>
      <c r="K7132" s="1222"/>
    </row>
    <row r="7133" spans="1:11">
      <c r="A7133" s="1221"/>
      <c r="B7133" s="371" t="s">
        <v>1862</v>
      </c>
      <c r="C7133" s="325"/>
      <c r="D7133" s="368"/>
      <c r="E7133" s="323"/>
      <c r="F7133" s="1160"/>
      <c r="G7133" s="1160"/>
      <c r="H7133" s="1160"/>
      <c r="I7133" s="1163" t="str">
        <f t="shared" si="262"/>
        <v/>
      </c>
      <c r="K7133" s="1222"/>
    </row>
    <row r="7134" spans="1:11">
      <c r="A7134" s="1221"/>
      <c r="B7134" s="371"/>
      <c r="C7134" s="325"/>
      <c r="D7134" s="368"/>
      <c r="E7134" s="323"/>
      <c r="F7134" s="1160"/>
      <c r="G7134" s="1160"/>
      <c r="H7134" s="1160"/>
      <c r="I7134" s="1163" t="str">
        <f t="shared" ref="I7134:I7197" si="263">IF(D7134&lt;&gt;0,ROUND(PRODUCT(E7134:H7134)*D7134,2),"")</f>
        <v/>
      </c>
      <c r="K7134" s="1222"/>
    </row>
    <row r="7135" spans="1:11" ht="34.5">
      <c r="A7135" s="1221">
        <v>2</v>
      </c>
      <c r="B7135" s="371" t="s">
        <v>1863</v>
      </c>
      <c r="C7135" s="325"/>
      <c r="D7135" s="368"/>
      <c r="E7135" s="323"/>
      <c r="F7135" s="1160"/>
      <c r="G7135" s="1160"/>
      <c r="H7135" s="1160"/>
      <c r="I7135" s="1163" t="str">
        <f t="shared" si="263"/>
        <v/>
      </c>
      <c r="K7135" s="1222"/>
    </row>
    <row r="7136" spans="1:11">
      <c r="A7136" s="1221"/>
      <c r="B7136" s="371"/>
      <c r="C7136" s="325" t="s">
        <v>1</v>
      </c>
      <c r="D7136" s="368">
        <v>1</v>
      </c>
      <c r="E7136" s="323">
        <v>1</v>
      </c>
      <c r="F7136" s="1160">
        <v>6</v>
      </c>
      <c r="G7136" s="1160">
        <v>1.54</v>
      </c>
      <c r="H7136" s="1160"/>
      <c r="I7136" s="1163">
        <f t="shared" si="263"/>
        <v>9.24</v>
      </c>
      <c r="K7136" s="1222"/>
    </row>
    <row r="7137" spans="1:11">
      <c r="A7137" s="1221"/>
      <c r="B7137" s="371"/>
      <c r="C7137" s="325" t="s">
        <v>1</v>
      </c>
      <c r="D7137" s="368">
        <v>1</v>
      </c>
      <c r="E7137" s="323">
        <v>1</v>
      </c>
      <c r="F7137" s="1160">
        <v>3.2250000000000001</v>
      </c>
      <c r="G7137" s="1160">
        <v>3</v>
      </c>
      <c r="H7137" s="1160"/>
      <c r="I7137" s="1163">
        <f t="shared" si="263"/>
        <v>9.68</v>
      </c>
      <c r="K7137" s="1222"/>
    </row>
    <row r="7138" spans="1:11">
      <c r="A7138" s="1221"/>
      <c r="B7138" s="371"/>
      <c r="C7138" s="325"/>
      <c r="D7138" s="368"/>
      <c r="E7138" s="323"/>
      <c r="F7138" s="1160"/>
      <c r="G7138" s="1160"/>
      <c r="H7138" s="1160"/>
      <c r="I7138" s="1163" t="str">
        <f t="shared" si="263"/>
        <v/>
      </c>
      <c r="K7138" s="1222"/>
    </row>
    <row r="7139" spans="1:11">
      <c r="A7139" s="1221">
        <v>2.1</v>
      </c>
      <c r="B7139" s="371" t="s">
        <v>1864</v>
      </c>
      <c r="C7139" s="325"/>
      <c r="D7139" s="368"/>
      <c r="E7139" s="323"/>
      <c r="F7139" s="1160"/>
      <c r="G7139" s="1160"/>
      <c r="H7139" s="1160"/>
      <c r="I7139" s="1163" t="str">
        <f t="shared" si="263"/>
        <v/>
      </c>
      <c r="K7139" s="1222"/>
    </row>
    <row r="7140" spans="1:11">
      <c r="A7140" s="1221"/>
      <c r="B7140" s="371" t="s">
        <v>822</v>
      </c>
      <c r="C7140" s="325" t="s">
        <v>1</v>
      </c>
      <c r="D7140" s="368">
        <v>1</v>
      </c>
      <c r="E7140" s="323">
        <v>1</v>
      </c>
      <c r="F7140" s="1160">
        <v>5.42</v>
      </c>
      <c r="G7140" s="1160">
        <v>4.26</v>
      </c>
      <c r="H7140" s="1160"/>
      <c r="I7140" s="1163">
        <f t="shared" si="263"/>
        <v>23.09</v>
      </c>
      <c r="K7140" s="1222"/>
    </row>
    <row r="7141" spans="1:11">
      <c r="A7141" s="1221"/>
      <c r="B7141" s="371"/>
      <c r="C7141" s="325"/>
      <c r="D7141" s="368"/>
      <c r="E7141" s="323"/>
      <c r="F7141" s="1160" t="s">
        <v>624</v>
      </c>
      <c r="G7141" s="1160"/>
      <c r="H7141" s="1160"/>
      <c r="I7141" s="1163" t="str">
        <f t="shared" si="263"/>
        <v/>
      </c>
      <c r="K7141" s="1222"/>
    </row>
    <row r="7142" spans="1:11">
      <c r="A7142" s="1221"/>
      <c r="B7142" s="371" t="s">
        <v>1865</v>
      </c>
      <c r="C7142" s="325" t="s">
        <v>1</v>
      </c>
      <c r="D7142" s="368">
        <v>1</v>
      </c>
      <c r="E7142" s="323">
        <v>1</v>
      </c>
      <c r="F7142" s="1160">
        <v>16</v>
      </c>
      <c r="G7142" s="1160"/>
      <c r="H7142" s="1160"/>
      <c r="I7142" s="1163">
        <f t="shared" si="263"/>
        <v>16</v>
      </c>
      <c r="K7142" s="1222"/>
    </row>
    <row r="7143" spans="1:11">
      <c r="A7143" s="1221"/>
      <c r="B7143" s="371"/>
      <c r="C7143" s="325"/>
      <c r="D7143" s="368"/>
      <c r="E7143" s="323"/>
      <c r="F7143" s="1160"/>
      <c r="G7143" s="1160"/>
      <c r="H7143" s="1160"/>
      <c r="I7143" s="1163" t="str">
        <f t="shared" si="263"/>
        <v/>
      </c>
      <c r="K7143" s="1222"/>
    </row>
    <row r="7144" spans="1:11" ht="34.5">
      <c r="A7144" s="1221">
        <v>3</v>
      </c>
      <c r="B7144" s="371" t="s">
        <v>1866</v>
      </c>
      <c r="C7144" s="325"/>
      <c r="D7144" s="368"/>
      <c r="E7144" s="323"/>
      <c r="F7144" s="1160"/>
      <c r="G7144" s="1160"/>
      <c r="H7144" s="1160"/>
      <c r="I7144" s="1163" t="str">
        <f t="shared" si="263"/>
        <v/>
      </c>
      <c r="K7144" s="1222"/>
    </row>
    <row r="7145" spans="1:11">
      <c r="A7145" s="1221"/>
      <c r="B7145" s="371"/>
      <c r="C7145" s="325" t="s">
        <v>1</v>
      </c>
      <c r="D7145" s="368">
        <v>1</v>
      </c>
      <c r="E7145" s="323">
        <v>1</v>
      </c>
      <c r="F7145" s="1160">
        <v>6</v>
      </c>
      <c r="G7145" s="1160">
        <v>1.54</v>
      </c>
      <c r="H7145" s="1160"/>
      <c r="I7145" s="1163">
        <f t="shared" si="263"/>
        <v>9.24</v>
      </c>
      <c r="K7145" s="1222"/>
    </row>
    <row r="7146" spans="1:11">
      <c r="A7146" s="1221"/>
      <c r="B7146" s="371"/>
      <c r="C7146" s="325" t="s">
        <v>1</v>
      </c>
      <c r="D7146" s="368">
        <v>1</v>
      </c>
      <c r="E7146" s="323">
        <v>1</v>
      </c>
      <c r="F7146" s="1160">
        <v>3.2250000000000001</v>
      </c>
      <c r="G7146" s="1160">
        <v>3</v>
      </c>
      <c r="H7146" s="1160"/>
      <c r="I7146" s="1163">
        <f t="shared" si="263"/>
        <v>9.68</v>
      </c>
      <c r="K7146" s="1222"/>
    </row>
    <row r="7147" spans="1:11">
      <c r="A7147" s="1221"/>
      <c r="B7147" s="371"/>
      <c r="C7147" s="325"/>
      <c r="D7147" s="368"/>
      <c r="E7147" s="323"/>
      <c r="F7147" s="1160"/>
      <c r="G7147" s="1160"/>
      <c r="H7147" s="1160"/>
      <c r="I7147" s="1163" t="str">
        <f t="shared" si="263"/>
        <v/>
      </c>
      <c r="K7147" s="1222"/>
    </row>
    <row r="7148" spans="1:11">
      <c r="A7148" s="1221">
        <v>3.1</v>
      </c>
      <c r="B7148" s="371" t="s">
        <v>1867</v>
      </c>
      <c r="C7148" s="325"/>
      <c r="D7148" s="368"/>
      <c r="E7148" s="323"/>
      <c r="F7148" s="1160"/>
      <c r="G7148" s="1160"/>
      <c r="H7148" s="1160"/>
      <c r="I7148" s="1163" t="str">
        <f t="shared" si="263"/>
        <v/>
      </c>
      <c r="K7148" s="1222"/>
    </row>
    <row r="7149" spans="1:11">
      <c r="A7149" s="1221"/>
      <c r="B7149" s="371" t="s">
        <v>822</v>
      </c>
      <c r="C7149" s="325" t="s">
        <v>1</v>
      </c>
      <c r="D7149" s="368">
        <v>1</v>
      </c>
      <c r="E7149" s="323">
        <v>1</v>
      </c>
      <c r="F7149" s="1160">
        <v>5.42</v>
      </c>
      <c r="G7149" s="1160">
        <v>4.26</v>
      </c>
      <c r="H7149" s="1160"/>
      <c r="I7149" s="1163">
        <f t="shared" si="263"/>
        <v>23.09</v>
      </c>
      <c r="K7149" s="1222"/>
    </row>
    <row r="7150" spans="1:11">
      <c r="A7150" s="1221"/>
      <c r="B7150" s="371"/>
      <c r="C7150" s="325"/>
      <c r="D7150" s="368"/>
      <c r="E7150" s="323"/>
      <c r="F7150" s="1160" t="s">
        <v>624</v>
      </c>
      <c r="G7150" s="1160"/>
      <c r="H7150" s="1160"/>
      <c r="I7150" s="1163" t="str">
        <f t="shared" si="263"/>
        <v/>
      </c>
      <c r="K7150" s="1222"/>
    </row>
    <row r="7151" spans="1:11">
      <c r="A7151" s="1221"/>
      <c r="B7151" s="371" t="s">
        <v>1865</v>
      </c>
      <c r="C7151" s="325" t="s">
        <v>1</v>
      </c>
      <c r="D7151" s="368">
        <v>1</v>
      </c>
      <c r="E7151" s="323">
        <v>1</v>
      </c>
      <c r="F7151" s="1160">
        <v>16</v>
      </c>
      <c r="G7151" s="1160"/>
      <c r="H7151" s="1160"/>
      <c r="I7151" s="1163">
        <f t="shared" si="263"/>
        <v>16</v>
      </c>
      <c r="K7151" s="1222"/>
    </row>
    <row r="7152" spans="1:11">
      <c r="A7152" s="1221"/>
      <c r="B7152" s="371"/>
      <c r="C7152" s="325"/>
      <c r="D7152" s="368"/>
      <c r="E7152" s="323"/>
      <c r="F7152" s="1160"/>
      <c r="G7152" s="1160"/>
      <c r="H7152" s="1160"/>
      <c r="I7152" s="1163" t="str">
        <f t="shared" si="263"/>
        <v/>
      </c>
      <c r="K7152" s="1222"/>
    </row>
    <row r="7153" spans="1:11" ht="34.5">
      <c r="A7153" s="1221">
        <v>4</v>
      </c>
      <c r="B7153" s="371" t="s">
        <v>1868</v>
      </c>
      <c r="C7153" s="325"/>
      <c r="D7153" s="368"/>
      <c r="E7153" s="323"/>
      <c r="F7153" s="1160"/>
      <c r="G7153" s="1160"/>
      <c r="H7153" s="1160"/>
      <c r="I7153" s="1163" t="str">
        <f t="shared" si="263"/>
        <v/>
      </c>
      <c r="K7153" s="1222"/>
    </row>
    <row r="7154" spans="1:11">
      <c r="A7154" s="1221"/>
      <c r="B7154" s="371"/>
      <c r="C7154" s="325" t="s">
        <v>1</v>
      </c>
      <c r="D7154" s="368">
        <v>1</v>
      </c>
      <c r="E7154" s="323">
        <v>1</v>
      </c>
      <c r="F7154" s="1160">
        <v>6</v>
      </c>
      <c r="G7154" s="1160">
        <v>1.54</v>
      </c>
      <c r="H7154" s="1160"/>
      <c r="I7154" s="1163">
        <f t="shared" si="263"/>
        <v>9.24</v>
      </c>
      <c r="K7154" s="1222"/>
    </row>
    <row r="7155" spans="1:11">
      <c r="A7155" s="1221"/>
      <c r="B7155" s="371"/>
      <c r="C7155" s="325" t="s">
        <v>1</v>
      </c>
      <c r="D7155" s="368">
        <v>1</v>
      </c>
      <c r="E7155" s="323">
        <v>1</v>
      </c>
      <c r="F7155" s="1160">
        <v>3.2250000000000001</v>
      </c>
      <c r="G7155" s="1160">
        <v>3</v>
      </c>
      <c r="H7155" s="1160"/>
      <c r="I7155" s="1163">
        <f t="shared" si="263"/>
        <v>9.68</v>
      </c>
      <c r="K7155" s="1222"/>
    </row>
    <row r="7156" spans="1:11">
      <c r="A7156" s="1221"/>
      <c r="B7156" s="371"/>
      <c r="C7156" s="325"/>
      <c r="D7156" s="368"/>
      <c r="E7156" s="323"/>
      <c r="F7156" s="1160"/>
      <c r="G7156" s="1160"/>
      <c r="H7156" s="1160"/>
      <c r="I7156" s="1163" t="str">
        <f t="shared" si="263"/>
        <v/>
      </c>
      <c r="K7156" s="1222"/>
    </row>
    <row r="7157" spans="1:11">
      <c r="A7157" s="1221">
        <v>4.0999999999999996</v>
      </c>
      <c r="B7157" s="371" t="s">
        <v>1869</v>
      </c>
      <c r="C7157" s="325"/>
      <c r="D7157" s="368"/>
      <c r="E7157" s="323"/>
      <c r="F7157" s="1160"/>
      <c r="G7157" s="1160"/>
      <c r="H7157" s="1160"/>
      <c r="I7157" s="1163" t="str">
        <f t="shared" si="263"/>
        <v/>
      </c>
      <c r="K7157" s="1222"/>
    </row>
    <row r="7158" spans="1:11">
      <c r="A7158" s="1221"/>
      <c r="B7158" s="371" t="s">
        <v>822</v>
      </c>
      <c r="C7158" s="325" t="s">
        <v>1</v>
      </c>
      <c r="D7158" s="368">
        <v>1</v>
      </c>
      <c r="E7158" s="323">
        <v>1</v>
      </c>
      <c r="F7158" s="1160">
        <v>5.42</v>
      </c>
      <c r="G7158" s="1160">
        <v>4.26</v>
      </c>
      <c r="H7158" s="1160"/>
      <c r="I7158" s="1163">
        <f t="shared" si="263"/>
        <v>23.09</v>
      </c>
      <c r="K7158" s="1222"/>
    </row>
    <row r="7159" spans="1:11">
      <c r="A7159" s="1221"/>
      <c r="B7159" s="371"/>
      <c r="C7159" s="325"/>
      <c r="D7159" s="368"/>
      <c r="E7159" s="323"/>
      <c r="F7159" s="1160" t="s">
        <v>624</v>
      </c>
      <c r="G7159" s="1160"/>
      <c r="H7159" s="1160"/>
      <c r="I7159" s="1163" t="str">
        <f t="shared" si="263"/>
        <v/>
      </c>
      <c r="K7159" s="1222"/>
    </row>
    <row r="7160" spans="1:11">
      <c r="A7160" s="1221"/>
      <c r="B7160" s="371" t="s">
        <v>1865</v>
      </c>
      <c r="C7160" s="325" t="s">
        <v>1</v>
      </c>
      <c r="D7160" s="368">
        <v>1</v>
      </c>
      <c r="E7160" s="323">
        <v>1</v>
      </c>
      <c r="F7160" s="1160">
        <v>16</v>
      </c>
      <c r="G7160" s="1160"/>
      <c r="H7160" s="1160"/>
      <c r="I7160" s="1163">
        <f t="shared" si="263"/>
        <v>16</v>
      </c>
      <c r="K7160" s="1222"/>
    </row>
    <row r="7161" spans="1:11">
      <c r="A7161" s="1221"/>
      <c r="B7161" s="371"/>
      <c r="C7161" s="325"/>
      <c r="D7161" s="368"/>
      <c r="E7161" s="323"/>
      <c r="F7161" s="1160"/>
      <c r="G7161" s="1160"/>
      <c r="H7161" s="1160"/>
      <c r="I7161" s="1163" t="str">
        <f t="shared" si="263"/>
        <v/>
      </c>
      <c r="K7161" s="1222"/>
    </row>
    <row r="7162" spans="1:11">
      <c r="A7162" s="1221"/>
      <c r="B7162" s="371"/>
      <c r="C7162" s="325"/>
      <c r="D7162" s="368"/>
      <c r="E7162" s="323"/>
      <c r="F7162" s="1160"/>
      <c r="G7162" s="1160"/>
      <c r="H7162" s="1160"/>
      <c r="I7162" s="1163" t="str">
        <f t="shared" si="263"/>
        <v/>
      </c>
      <c r="K7162" s="1222"/>
    </row>
    <row r="7163" spans="1:11" ht="34.5">
      <c r="A7163" s="1221">
        <v>5</v>
      </c>
      <c r="B7163" s="371" t="s">
        <v>1870</v>
      </c>
      <c r="C7163" s="325"/>
      <c r="D7163" s="368"/>
      <c r="E7163" s="323"/>
      <c r="F7163" s="1160"/>
      <c r="G7163" s="1160"/>
      <c r="H7163" s="1160"/>
      <c r="I7163" s="1163" t="str">
        <f t="shared" si="263"/>
        <v/>
      </c>
      <c r="K7163" s="1222"/>
    </row>
    <row r="7164" spans="1:11">
      <c r="A7164" s="1221"/>
      <c r="B7164" s="371"/>
      <c r="C7164" s="325" t="s">
        <v>1</v>
      </c>
      <c r="D7164" s="368">
        <v>1</v>
      </c>
      <c r="E7164" s="323">
        <v>1</v>
      </c>
      <c r="F7164" s="1160">
        <v>6</v>
      </c>
      <c r="G7164" s="1160">
        <v>1.54</v>
      </c>
      <c r="H7164" s="1160"/>
      <c r="I7164" s="1163">
        <f t="shared" si="263"/>
        <v>9.24</v>
      </c>
      <c r="K7164" s="1222"/>
    </row>
    <row r="7165" spans="1:11">
      <c r="A7165" s="1221"/>
      <c r="B7165" s="371"/>
      <c r="C7165" s="325" t="s">
        <v>1</v>
      </c>
      <c r="D7165" s="368">
        <v>1</v>
      </c>
      <c r="E7165" s="323">
        <v>1</v>
      </c>
      <c r="F7165" s="1160">
        <v>3.2250000000000001</v>
      </c>
      <c r="G7165" s="1160">
        <v>3</v>
      </c>
      <c r="H7165" s="1160"/>
      <c r="I7165" s="1163">
        <f t="shared" si="263"/>
        <v>9.68</v>
      </c>
      <c r="K7165" s="1222"/>
    </row>
    <row r="7166" spans="1:11">
      <c r="A7166" s="1221"/>
      <c r="B7166" s="371"/>
      <c r="C7166" s="325"/>
      <c r="D7166" s="368"/>
      <c r="E7166" s="323"/>
      <c r="F7166" s="1160"/>
      <c r="G7166" s="1160"/>
      <c r="H7166" s="1160"/>
      <c r="I7166" s="1163" t="str">
        <f t="shared" si="263"/>
        <v/>
      </c>
      <c r="K7166" s="1222"/>
    </row>
    <row r="7167" spans="1:11">
      <c r="A7167" s="1221">
        <v>5.0999999999999996</v>
      </c>
      <c r="B7167" s="371" t="s">
        <v>1871</v>
      </c>
      <c r="C7167" s="325"/>
      <c r="D7167" s="368"/>
      <c r="E7167" s="323"/>
      <c r="F7167" s="1160"/>
      <c r="G7167" s="1160"/>
      <c r="H7167" s="1160"/>
      <c r="I7167" s="1163" t="str">
        <f t="shared" si="263"/>
        <v/>
      </c>
      <c r="K7167" s="1222"/>
    </row>
    <row r="7168" spans="1:11">
      <c r="A7168" s="1221"/>
      <c r="B7168" s="371" t="s">
        <v>822</v>
      </c>
      <c r="C7168" s="325" t="s">
        <v>1</v>
      </c>
      <c r="D7168" s="368">
        <v>1</v>
      </c>
      <c r="E7168" s="323">
        <v>1</v>
      </c>
      <c r="F7168" s="1160">
        <v>5.42</v>
      </c>
      <c r="G7168" s="1160">
        <v>4.26</v>
      </c>
      <c r="H7168" s="1160"/>
      <c r="I7168" s="1163">
        <f t="shared" si="263"/>
        <v>23.09</v>
      </c>
      <c r="K7168" s="1222"/>
    </row>
    <row r="7169" spans="1:11">
      <c r="A7169" s="1221"/>
      <c r="B7169" s="371"/>
      <c r="C7169" s="325"/>
      <c r="D7169" s="368"/>
      <c r="E7169" s="323"/>
      <c r="F7169" s="1160" t="s">
        <v>624</v>
      </c>
      <c r="G7169" s="1160"/>
      <c r="H7169" s="1160"/>
      <c r="I7169" s="1163" t="str">
        <f t="shared" si="263"/>
        <v/>
      </c>
      <c r="K7169" s="1222"/>
    </row>
    <row r="7170" spans="1:11">
      <c r="A7170" s="1221"/>
      <c r="B7170" s="371" t="s">
        <v>1865</v>
      </c>
      <c r="C7170" s="325" t="s">
        <v>1</v>
      </c>
      <c r="D7170" s="368">
        <v>1</v>
      </c>
      <c r="E7170" s="323">
        <v>1</v>
      </c>
      <c r="F7170" s="1160">
        <v>16</v>
      </c>
      <c r="G7170" s="1160"/>
      <c r="H7170" s="1160"/>
      <c r="I7170" s="1163">
        <f t="shared" si="263"/>
        <v>16</v>
      </c>
      <c r="K7170" s="1222"/>
    </row>
    <row r="7171" spans="1:11">
      <c r="A7171" s="1221"/>
      <c r="B7171" s="371"/>
      <c r="C7171" s="325"/>
      <c r="D7171" s="368"/>
      <c r="E7171" s="323"/>
      <c r="F7171" s="1160"/>
      <c r="G7171" s="1160"/>
      <c r="H7171" s="1160"/>
      <c r="I7171" s="1163" t="str">
        <f t="shared" si="263"/>
        <v/>
      </c>
      <c r="K7171" s="1222"/>
    </row>
    <row r="7172" spans="1:11">
      <c r="A7172" s="1221"/>
      <c r="B7172" s="371"/>
      <c r="C7172" s="325"/>
      <c r="D7172" s="368"/>
      <c r="E7172" s="323"/>
      <c r="F7172" s="1160"/>
      <c r="G7172" s="1160"/>
      <c r="H7172" s="1160"/>
      <c r="I7172" s="1163" t="str">
        <f t="shared" si="263"/>
        <v/>
      </c>
      <c r="K7172" s="1222"/>
    </row>
    <row r="7173" spans="1:11" ht="34.5">
      <c r="A7173" s="1221">
        <v>9</v>
      </c>
      <c r="B7173" s="371" t="s">
        <v>1872</v>
      </c>
      <c r="C7173" s="325"/>
      <c r="D7173" s="368"/>
      <c r="E7173" s="323"/>
      <c r="F7173" s="1160" t="s">
        <v>860</v>
      </c>
      <c r="G7173" s="1160"/>
      <c r="H7173" s="1160"/>
      <c r="I7173" s="1163" t="str">
        <f t="shared" si="263"/>
        <v/>
      </c>
      <c r="K7173" s="1222"/>
    </row>
    <row r="7174" spans="1:11" ht="34.5">
      <c r="A7174" s="1221"/>
      <c r="B7174" s="371" t="s">
        <v>1873</v>
      </c>
      <c r="C7174" s="325" t="s">
        <v>1</v>
      </c>
      <c r="D7174" s="368">
        <v>1</v>
      </c>
      <c r="E7174" s="323">
        <v>1</v>
      </c>
      <c r="F7174" s="1160">
        <v>300.078641</v>
      </c>
      <c r="G7174" s="1160"/>
      <c r="H7174" s="1160"/>
      <c r="I7174" s="1163">
        <f t="shared" si="263"/>
        <v>300.08</v>
      </c>
      <c r="K7174" s="1222"/>
    </row>
    <row r="7175" spans="1:11">
      <c r="A7175" s="1221"/>
      <c r="B7175" s="371" t="s">
        <v>1874</v>
      </c>
      <c r="C7175" s="325" t="s">
        <v>1</v>
      </c>
      <c r="D7175" s="368">
        <v>1</v>
      </c>
      <c r="E7175" s="323">
        <v>1</v>
      </c>
      <c r="F7175" s="1160">
        <v>160.086783</v>
      </c>
      <c r="G7175" s="1160"/>
      <c r="H7175" s="1160"/>
      <c r="I7175" s="1163">
        <f t="shared" si="263"/>
        <v>160.09</v>
      </c>
      <c r="K7175" s="1222"/>
    </row>
    <row r="7176" spans="1:11">
      <c r="A7176" s="1221"/>
      <c r="B7176" s="371" t="s">
        <v>861</v>
      </c>
      <c r="C7176" s="325" t="s">
        <v>1</v>
      </c>
      <c r="D7176" s="368">
        <v>-1</v>
      </c>
      <c r="E7176" s="323">
        <v>1</v>
      </c>
      <c r="F7176" s="1160">
        <v>19.47</v>
      </c>
      <c r="G7176" s="1160"/>
      <c r="H7176" s="1160"/>
      <c r="I7176" s="1163">
        <f t="shared" si="263"/>
        <v>-19.47</v>
      </c>
      <c r="K7176" s="1222"/>
    </row>
    <row r="7177" spans="1:11">
      <c r="A7177" s="1221"/>
      <c r="B7177" s="371" t="s">
        <v>1875</v>
      </c>
      <c r="C7177" s="325" t="s">
        <v>1</v>
      </c>
      <c r="D7177" s="368">
        <v>1</v>
      </c>
      <c r="E7177" s="323">
        <v>1</v>
      </c>
      <c r="F7177" s="1160">
        <v>45.521786799999994</v>
      </c>
      <c r="G7177" s="1160"/>
      <c r="H7177" s="1160"/>
      <c r="I7177" s="1163">
        <f t="shared" si="263"/>
        <v>45.52</v>
      </c>
      <c r="K7177" s="1222"/>
    </row>
    <row r="7178" spans="1:11">
      <c r="A7178" s="1221"/>
      <c r="B7178" s="371" t="s">
        <v>1876</v>
      </c>
      <c r="C7178" s="325" t="s">
        <v>1</v>
      </c>
      <c r="D7178" s="368">
        <v>1</v>
      </c>
      <c r="E7178" s="323">
        <v>1</v>
      </c>
      <c r="F7178" s="1160">
        <v>241.898921</v>
      </c>
      <c r="G7178" s="1160"/>
      <c r="H7178" s="1160"/>
      <c r="I7178" s="1163">
        <f t="shared" si="263"/>
        <v>241.9</v>
      </c>
      <c r="K7178" s="1222"/>
    </row>
    <row r="7179" spans="1:11">
      <c r="A7179" s="1221"/>
      <c r="B7179" s="371" t="s">
        <v>861</v>
      </c>
      <c r="C7179" s="325" t="s">
        <v>1</v>
      </c>
      <c r="D7179" s="368">
        <v>-1</v>
      </c>
      <c r="E7179" s="323">
        <v>1</v>
      </c>
      <c r="F7179" s="1160">
        <v>50.760387899999998</v>
      </c>
      <c r="G7179" s="1160"/>
      <c r="H7179" s="1160"/>
      <c r="I7179" s="1163">
        <f t="shared" si="263"/>
        <v>-50.76</v>
      </c>
      <c r="K7179" s="1222"/>
    </row>
    <row r="7180" spans="1:11">
      <c r="A7180" s="1221"/>
      <c r="B7180" s="371" t="s">
        <v>861</v>
      </c>
      <c r="C7180" s="325" t="s">
        <v>1</v>
      </c>
      <c r="D7180" s="368">
        <v>-1</v>
      </c>
      <c r="E7180" s="323">
        <v>1</v>
      </c>
      <c r="F7180" s="1160">
        <v>43.291964799999995</v>
      </c>
      <c r="G7180" s="1160"/>
      <c r="H7180" s="1160"/>
      <c r="I7180" s="1163">
        <f t="shared" si="263"/>
        <v>-43.29</v>
      </c>
      <c r="K7180" s="1222"/>
    </row>
    <row r="7181" spans="1:11">
      <c r="A7181" s="1221"/>
      <c r="B7181" s="371" t="s">
        <v>1877</v>
      </c>
      <c r="C7181" s="325" t="s">
        <v>1</v>
      </c>
      <c r="D7181" s="368">
        <v>1</v>
      </c>
      <c r="E7181" s="323">
        <v>1</v>
      </c>
      <c r="F7181" s="1160">
        <v>61.015457099999999</v>
      </c>
      <c r="G7181" s="1160"/>
      <c r="H7181" s="1160"/>
      <c r="I7181" s="1163">
        <f t="shared" si="263"/>
        <v>61.02</v>
      </c>
      <c r="K7181" s="1222"/>
    </row>
    <row r="7182" spans="1:11">
      <c r="A7182" s="1221"/>
      <c r="B7182" s="371" t="s">
        <v>861</v>
      </c>
      <c r="C7182" s="325" t="s">
        <v>1</v>
      </c>
      <c r="D7182" s="368">
        <v>-1</v>
      </c>
      <c r="E7182" s="323">
        <v>1</v>
      </c>
      <c r="F7182" s="1160">
        <v>12.2754808</v>
      </c>
      <c r="G7182" s="1160"/>
      <c r="H7182" s="1160"/>
      <c r="I7182" s="1163">
        <f t="shared" si="263"/>
        <v>-12.28</v>
      </c>
      <c r="K7182" s="1222"/>
    </row>
    <row r="7183" spans="1:11">
      <c r="A7183" s="1221"/>
      <c r="B7183" s="371"/>
      <c r="C7183" s="325"/>
      <c r="D7183" s="368"/>
      <c r="E7183" s="323"/>
      <c r="F7183" s="1160"/>
      <c r="G7183" s="1160"/>
      <c r="H7183" s="1160"/>
      <c r="I7183" s="1163" t="str">
        <f t="shared" si="263"/>
        <v/>
      </c>
      <c r="K7183" s="1222"/>
    </row>
    <row r="7184" spans="1:11" ht="34.5">
      <c r="A7184" s="1221"/>
      <c r="B7184" s="371" t="s">
        <v>1878</v>
      </c>
      <c r="C7184" s="325" t="s">
        <v>1</v>
      </c>
      <c r="D7184" s="368">
        <v>1</v>
      </c>
      <c r="E7184" s="323">
        <v>1</v>
      </c>
      <c r="F7184" s="1160">
        <v>628.524269</v>
      </c>
      <c r="G7184" s="1160"/>
      <c r="H7184" s="1160"/>
      <c r="I7184" s="1163">
        <f t="shared" si="263"/>
        <v>628.52</v>
      </c>
      <c r="K7184" s="1222"/>
    </row>
    <row r="7185" spans="1:11">
      <c r="A7185" s="1221"/>
      <c r="B7185" s="371" t="s">
        <v>862</v>
      </c>
      <c r="C7185" s="325" t="s">
        <v>1</v>
      </c>
      <c r="D7185" s="368">
        <v>-1</v>
      </c>
      <c r="E7185" s="323">
        <v>1</v>
      </c>
      <c r="F7185" s="1160">
        <v>341.75784299999998</v>
      </c>
      <c r="G7185" s="1160"/>
      <c r="H7185" s="1160"/>
      <c r="I7185" s="1163">
        <f t="shared" si="263"/>
        <v>-341.76</v>
      </c>
      <c r="K7185" s="1222"/>
    </row>
    <row r="7186" spans="1:11">
      <c r="A7186" s="1221"/>
      <c r="B7186" s="371" t="s">
        <v>863</v>
      </c>
      <c r="C7186" s="325" t="s">
        <v>1</v>
      </c>
      <c r="D7186" s="368">
        <v>-1</v>
      </c>
      <c r="E7186" s="323">
        <v>8</v>
      </c>
      <c r="F7186" s="1160">
        <v>2.8359999999999999</v>
      </c>
      <c r="G7186" s="1160">
        <v>0.28599999999999998</v>
      </c>
      <c r="H7186" s="1160"/>
      <c r="I7186" s="1163">
        <f t="shared" si="263"/>
        <v>-6.49</v>
      </c>
      <c r="K7186" s="1222"/>
    </row>
    <row r="7187" spans="1:11">
      <c r="A7187" s="1221"/>
      <c r="B7187" s="371"/>
      <c r="C7187" s="325"/>
      <c r="D7187" s="368"/>
      <c r="E7187" s="323"/>
      <c r="F7187" s="1160"/>
      <c r="G7187" s="1160"/>
      <c r="H7187" s="1160"/>
      <c r="I7187" s="1163" t="str">
        <f t="shared" si="263"/>
        <v/>
      </c>
      <c r="K7187" s="1222"/>
    </row>
    <row r="7188" spans="1:11" ht="34.5">
      <c r="A7188" s="1221"/>
      <c r="B7188" s="371" t="s">
        <v>1879</v>
      </c>
      <c r="C7188" s="325" t="s">
        <v>1</v>
      </c>
      <c r="D7188" s="368">
        <v>1</v>
      </c>
      <c r="E7188" s="323">
        <v>1</v>
      </c>
      <c r="F7188" s="1160">
        <v>615.41197199999999</v>
      </c>
      <c r="G7188" s="1160"/>
      <c r="H7188" s="1160"/>
      <c r="I7188" s="1163">
        <f t="shared" si="263"/>
        <v>615.41</v>
      </c>
      <c r="K7188" s="1222"/>
    </row>
    <row r="7189" spans="1:11">
      <c r="A7189" s="1221"/>
      <c r="B7189" s="371" t="s">
        <v>864</v>
      </c>
      <c r="C7189" s="325" t="s">
        <v>1</v>
      </c>
      <c r="D7189" s="368">
        <v>-1</v>
      </c>
      <c r="E7189" s="323">
        <v>1</v>
      </c>
      <c r="F7189" s="1160">
        <v>3.1549999999999998</v>
      </c>
      <c r="G7189" s="1160">
        <v>1.7989999999999999</v>
      </c>
      <c r="H7189" s="1160"/>
      <c r="I7189" s="1163">
        <f t="shared" si="263"/>
        <v>-5.68</v>
      </c>
      <c r="K7189" s="1222"/>
    </row>
    <row r="7190" spans="1:11">
      <c r="A7190" s="1221"/>
      <c r="B7190" s="371"/>
      <c r="C7190" s="325" t="s">
        <v>1</v>
      </c>
      <c r="D7190" s="368">
        <v>-1</v>
      </c>
      <c r="E7190" s="323">
        <v>1</v>
      </c>
      <c r="F7190" s="1160">
        <v>5.85</v>
      </c>
      <c r="G7190" s="1160">
        <v>1.7989999999999999</v>
      </c>
      <c r="H7190" s="1160"/>
      <c r="I7190" s="1163">
        <f t="shared" si="263"/>
        <v>-10.52</v>
      </c>
      <c r="K7190" s="1222"/>
    </row>
    <row r="7191" spans="1:11">
      <c r="A7191" s="1221"/>
      <c r="B7191" s="371"/>
      <c r="C7191" s="325" t="s">
        <v>1</v>
      </c>
      <c r="D7191" s="368">
        <v>-1</v>
      </c>
      <c r="E7191" s="323">
        <v>1</v>
      </c>
      <c r="F7191" s="1160">
        <v>5.0250000000000004</v>
      </c>
      <c r="G7191" s="1160">
        <v>1.7989999999999999</v>
      </c>
      <c r="H7191" s="1160"/>
      <c r="I7191" s="1163">
        <f t="shared" si="263"/>
        <v>-9.0399999999999991</v>
      </c>
      <c r="K7191" s="1222"/>
    </row>
    <row r="7192" spans="1:11">
      <c r="A7192" s="1221"/>
      <c r="B7192" s="371" t="s">
        <v>865</v>
      </c>
      <c r="C7192" s="325" t="s">
        <v>1</v>
      </c>
      <c r="D7192" s="368">
        <v>-1</v>
      </c>
      <c r="E7192" s="323">
        <v>1</v>
      </c>
      <c r="F7192" s="1160">
        <v>3.823</v>
      </c>
      <c r="G7192" s="1160">
        <v>3</v>
      </c>
      <c r="H7192" s="1160"/>
      <c r="I7192" s="1163">
        <f t="shared" si="263"/>
        <v>-11.47</v>
      </c>
      <c r="K7192" s="1222"/>
    </row>
    <row r="7193" spans="1:11">
      <c r="A7193" s="1221"/>
      <c r="B7193" s="371" t="s">
        <v>865</v>
      </c>
      <c r="C7193" s="325" t="s">
        <v>1</v>
      </c>
      <c r="D7193" s="368">
        <v>-1</v>
      </c>
      <c r="E7193" s="323">
        <v>1</v>
      </c>
      <c r="F7193" s="1160">
        <v>6</v>
      </c>
      <c r="G7193" s="1160">
        <v>2</v>
      </c>
      <c r="H7193" s="1160"/>
      <c r="I7193" s="1163">
        <f t="shared" si="263"/>
        <v>-12</v>
      </c>
      <c r="K7193" s="1222"/>
    </row>
    <row r="7194" spans="1:11">
      <c r="A7194" s="1221"/>
      <c r="B7194" s="371" t="s">
        <v>866</v>
      </c>
      <c r="C7194" s="325" t="s">
        <v>1</v>
      </c>
      <c r="D7194" s="368">
        <v>-1</v>
      </c>
      <c r="E7194" s="323">
        <v>5</v>
      </c>
      <c r="F7194" s="1160">
        <v>5.8</v>
      </c>
      <c r="G7194" s="1160">
        <v>0.8</v>
      </c>
      <c r="H7194" s="1160"/>
      <c r="I7194" s="1163">
        <f t="shared" si="263"/>
        <v>-23.2</v>
      </c>
      <c r="K7194" s="1222"/>
    </row>
    <row r="7195" spans="1:11">
      <c r="A7195" s="1221"/>
      <c r="B7195" s="371"/>
      <c r="C7195" s="325" t="s">
        <v>1</v>
      </c>
      <c r="D7195" s="368">
        <v>-1</v>
      </c>
      <c r="E7195" s="323">
        <v>8</v>
      </c>
      <c r="F7195" s="1160">
        <v>4.5</v>
      </c>
      <c r="G7195" s="1160">
        <v>1</v>
      </c>
      <c r="H7195" s="1160"/>
      <c r="I7195" s="1163">
        <f t="shared" si="263"/>
        <v>-36</v>
      </c>
      <c r="K7195" s="1222"/>
    </row>
    <row r="7196" spans="1:11">
      <c r="A7196" s="1221"/>
      <c r="B7196" s="371" t="s">
        <v>863</v>
      </c>
      <c r="C7196" s="325" t="s">
        <v>1</v>
      </c>
      <c r="D7196" s="368">
        <v>-1</v>
      </c>
      <c r="E7196" s="323">
        <v>7</v>
      </c>
      <c r="F7196" s="1160">
        <v>2.8359999999999999</v>
      </c>
      <c r="G7196" s="1160">
        <v>0.28599999999999998</v>
      </c>
      <c r="H7196" s="1160"/>
      <c r="I7196" s="1163">
        <f t="shared" si="263"/>
        <v>-5.68</v>
      </c>
      <c r="K7196" s="1222"/>
    </row>
    <row r="7197" spans="1:11">
      <c r="A7197" s="1221"/>
      <c r="B7197" s="371"/>
      <c r="C7197" s="325"/>
      <c r="D7197" s="368"/>
      <c r="E7197" s="323"/>
      <c r="F7197" s="1160" t="s">
        <v>624</v>
      </c>
      <c r="G7197" s="1160"/>
      <c r="H7197" s="1160"/>
      <c r="I7197" s="1163" t="str">
        <f t="shared" si="263"/>
        <v/>
      </c>
      <c r="K7197" s="1222"/>
    </row>
    <row r="7198" spans="1:11" ht="34.5">
      <c r="A7198" s="1221"/>
      <c r="B7198" s="371" t="s">
        <v>867</v>
      </c>
      <c r="C7198" s="325" t="s">
        <v>1</v>
      </c>
      <c r="D7198" s="368">
        <v>-1</v>
      </c>
      <c r="E7198" s="323">
        <v>1</v>
      </c>
      <c r="F7198" s="1160">
        <v>40.616728000000002</v>
      </c>
      <c r="G7198" s="1160"/>
      <c r="H7198" s="1160"/>
      <c r="I7198" s="1163">
        <f t="shared" ref="I7198:I7261" si="264">IF(D7198&lt;&gt;0,ROUND(PRODUCT(E7198:H7198)*D7198,2),"")</f>
        <v>-40.619999999999997</v>
      </c>
      <c r="K7198" s="1222"/>
    </row>
    <row r="7199" spans="1:11" ht="34.5">
      <c r="A7199" s="1221"/>
      <c r="B7199" s="371" t="s">
        <v>1880</v>
      </c>
      <c r="C7199" s="325" t="s">
        <v>1</v>
      </c>
      <c r="D7199" s="368">
        <v>1</v>
      </c>
      <c r="E7199" s="323">
        <v>1</v>
      </c>
      <c r="F7199" s="1160">
        <v>23.307549999999999</v>
      </c>
      <c r="G7199" s="1160"/>
      <c r="H7199" s="1160"/>
      <c r="I7199" s="1163">
        <f t="shared" si="264"/>
        <v>23.31</v>
      </c>
      <c r="K7199" s="1222"/>
    </row>
    <row r="7200" spans="1:11">
      <c r="A7200" s="1221"/>
      <c r="B7200" s="371" t="s">
        <v>1881</v>
      </c>
      <c r="C7200" s="325" t="s">
        <v>1</v>
      </c>
      <c r="D7200" s="368">
        <v>1</v>
      </c>
      <c r="E7200" s="323">
        <v>1</v>
      </c>
      <c r="F7200" s="1160">
        <v>68.856294599999998</v>
      </c>
      <c r="G7200" s="1160"/>
      <c r="H7200" s="1160"/>
      <c r="I7200" s="1163">
        <f t="shared" si="264"/>
        <v>68.86</v>
      </c>
      <c r="K7200" s="1222"/>
    </row>
    <row r="7201" spans="1:11">
      <c r="A7201" s="1221"/>
      <c r="B7201" s="371" t="s">
        <v>864</v>
      </c>
      <c r="C7201" s="325" t="s">
        <v>1</v>
      </c>
      <c r="D7201" s="368">
        <v>-1</v>
      </c>
      <c r="E7201" s="323">
        <v>1</v>
      </c>
      <c r="F7201" s="1160">
        <v>9.36</v>
      </c>
      <c r="G7201" s="1160">
        <v>0.6</v>
      </c>
      <c r="H7201" s="1160"/>
      <c r="I7201" s="1163">
        <f t="shared" si="264"/>
        <v>-5.62</v>
      </c>
      <c r="K7201" s="1222"/>
    </row>
    <row r="7202" spans="1:11">
      <c r="A7202" s="1221"/>
      <c r="B7202" s="371"/>
      <c r="C7202" s="325" t="s">
        <v>1</v>
      </c>
      <c r="D7202" s="368">
        <v>-1</v>
      </c>
      <c r="E7202" s="323">
        <v>1</v>
      </c>
      <c r="F7202" s="1160">
        <v>8.14</v>
      </c>
      <c r="G7202" s="1160">
        <v>0.6</v>
      </c>
      <c r="H7202" s="1160"/>
      <c r="I7202" s="1163">
        <f t="shared" si="264"/>
        <v>-4.88</v>
      </c>
      <c r="K7202" s="1222"/>
    </row>
    <row r="7203" spans="1:11">
      <c r="A7203" s="1221"/>
      <c r="B7203" s="371"/>
      <c r="C7203" s="325" t="s">
        <v>1</v>
      </c>
      <c r="D7203" s="368">
        <v>-1</v>
      </c>
      <c r="E7203" s="323">
        <v>1</v>
      </c>
      <c r="F7203" s="1160">
        <v>6.6159999999999997</v>
      </c>
      <c r="G7203" s="1160">
        <v>0.6</v>
      </c>
      <c r="H7203" s="1160"/>
      <c r="I7203" s="1163">
        <f t="shared" si="264"/>
        <v>-3.97</v>
      </c>
      <c r="K7203" s="1222"/>
    </row>
    <row r="7204" spans="1:11">
      <c r="A7204" s="1221"/>
      <c r="B7204" s="371"/>
      <c r="C7204" s="325" t="s">
        <v>1</v>
      </c>
      <c r="D7204" s="368">
        <v>-1</v>
      </c>
      <c r="E7204" s="323">
        <v>1</v>
      </c>
      <c r="F7204" s="1160">
        <v>4.7850000000000001</v>
      </c>
      <c r="G7204" s="1160">
        <v>0.6</v>
      </c>
      <c r="H7204" s="1160"/>
      <c r="I7204" s="1163">
        <f t="shared" si="264"/>
        <v>-2.87</v>
      </c>
      <c r="K7204" s="1222"/>
    </row>
    <row r="7205" spans="1:11">
      <c r="A7205" s="1221"/>
      <c r="B7205" s="371"/>
      <c r="C7205" s="325" t="s">
        <v>1</v>
      </c>
      <c r="D7205" s="368">
        <v>-1</v>
      </c>
      <c r="E7205" s="323">
        <v>1</v>
      </c>
      <c r="F7205" s="1160">
        <v>3.26</v>
      </c>
      <c r="G7205" s="1160">
        <v>0.6</v>
      </c>
      <c r="H7205" s="1160"/>
      <c r="I7205" s="1163">
        <f t="shared" si="264"/>
        <v>-1.96</v>
      </c>
      <c r="K7205" s="1222"/>
    </row>
    <row r="7206" spans="1:11">
      <c r="A7206" s="1221"/>
      <c r="B7206" s="371"/>
      <c r="C7206" s="325"/>
      <c r="D7206" s="368"/>
      <c r="E7206" s="323"/>
      <c r="F7206" s="1160"/>
      <c r="G7206" s="1160"/>
      <c r="H7206" s="1160"/>
      <c r="I7206" s="1163" t="str">
        <f t="shared" si="264"/>
        <v/>
      </c>
      <c r="K7206" s="1222"/>
    </row>
    <row r="7207" spans="1:11" ht="34.5">
      <c r="A7207" s="1221"/>
      <c r="B7207" s="371" t="s">
        <v>1882</v>
      </c>
      <c r="C7207" s="325" t="s">
        <v>1</v>
      </c>
      <c r="D7207" s="368">
        <v>1</v>
      </c>
      <c r="E7207" s="323">
        <v>1</v>
      </c>
      <c r="F7207" s="1160">
        <v>608.43149700000004</v>
      </c>
      <c r="G7207" s="1160"/>
      <c r="H7207" s="1160"/>
      <c r="I7207" s="1163">
        <f t="shared" si="264"/>
        <v>608.42999999999995</v>
      </c>
      <c r="K7207" s="1222"/>
    </row>
    <row r="7208" spans="1:11">
      <c r="A7208" s="1221"/>
      <c r="B7208" s="371" t="s">
        <v>868</v>
      </c>
      <c r="C7208" s="325" t="s">
        <v>1</v>
      </c>
      <c r="D7208" s="368">
        <v>-1</v>
      </c>
      <c r="E7208" s="323">
        <v>1</v>
      </c>
      <c r="F7208" s="1160">
        <v>5.0250000000000004</v>
      </c>
      <c r="G7208" s="1160">
        <v>1.194</v>
      </c>
      <c r="H7208" s="1160"/>
      <c r="I7208" s="1163">
        <f t="shared" si="264"/>
        <v>-6</v>
      </c>
      <c r="K7208" s="1222"/>
    </row>
    <row r="7209" spans="1:11">
      <c r="A7209" s="1221"/>
      <c r="B7209" s="371"/>
      <c r="C7209" s="325" t="s">
        <v>1</v>
      </c>
      <c r="D7209" s="368">
        <v>-1</v>
      </c>
      <c r="E7209" s="323">
        <v>1</v>
      </c>
      <c r="F7209" s="1160">
        <v>5.85</v>
      </c>
      <c r="G7209" s="1160">
        <v>1.1970000000000001</v>
      </c>
      <c r="H7209" s="1160"/>
      <c r="I7209" s="1163">
        <f t="shared" si="264"/>
        <v>-7</v>
      </c>
      <c r="K7209" s="1222"/>
    </row>
    <row r="7210" spans="1:11" ht="34.5">
      <c r="A7210" s="1221"/>
      <c r="B7210" s="371" t="s">
        <v>869</v>
      </c>
      <c r="C7210" s="325" t="s">
        <v>1</v>
      </c>
      <c r="D7210" s="368">
        <v>-1</v>
      </c>
      <c r="E7210" s="323">
        <v>9</v>
      </c>
      <c r="F7210" s="1160">
        <v>4.5</v>
      </c>
      <c r="G7210" s="1160">
        <v>1</v>
      </c>
      <c r="H7210" s="1160"/>
      <c r="I7210" s="1163">
        <f t="shared" si="264"/>
        <v>-40.5</v>
      </c>
      <c r="K7210" s="1222"/>
    </row>
    <row r="7211" spans="1:11">
      <c r="A7211" s="1221"/>
      <c r="B7211" s="371" t="s">
        <v>870</v>
      </c>
      <c r="C7211" s="325" t="s">
        <v>1</v>
      </c>
      <c r="D7211" s="368">
        <v>-1</v>
      </c>
      <c r="E7211" s="323">
        <v>5</v>
      </c>
      <c r="F7211" s="1160">
        <v>5</v>
      </c>
      <c r="G7211" s="1160">
        <v>0.8</v>
      </c>
      <c r="H7211" s="1160"/>
      <c r="I7211" s="1163">
        <f t="shared" si="264"/>
        <v>-20</v>
      </c>
      <c r="K7211" s="1222"/>
    </row>
    <row r="7212" spans="1:11">
      <c r="A7212" s="1221"/>
      <c r="B7212" s="371" t="s">
        <v>863</v>
      </c>
      <c r="C7212" s="325" t="s">
        <v>1</v>
      </c>
      <c r="D7212" s="368">
        <v>-1</v>
      </c>
      <c r="E7212" s="323">
        <v>6</v>
      </c>
      <c r="F7212" s="1160">
        <v>2.8359999999999999</v>
      </c>
      <c r="G7212" s="1160">
        <v>0.28599999999999998</v>
      </c>
      <c r="H7212" s="1160"/>
      <c r="I7212" s="1163">
        <f t="shared" si="264"/>
        <v>-4.87</v>
      </c>
      <c r="K7212" s="1222"/>
    </row>
    <row r="7213" spans="1:11">
      <c r="A7213" s="1221"/>
      <c r="B7213" s="371"/>
      <c r="C7213" s="325" t="s">
        <v>1</v>
      </c>
      <c r="D7213" s="368">
        <v>-1</v>
      </c>
      <c r="E7213" s="323">
        <v>3</v>
      </c>
      <c r="F7213" s="1160">
        <v>1.2</v>
      </c>
      <c r="G7213" s="1160">
        <v>0.375</v>
      </c>
      <c r="H7213" s="1160"/>
      <c r="I7213" s="1163">
        <f t="shared" si="264"/>
        <v>-1.35</v>
      </c>
      <c r="K7213" s="1222"/>
    </row>
    <row r="7214" spans="1:11">
      <c r="A7214" s="1221"/>
      <c r="B7214" s="371" t="s">
        <v>865</v>
      </c>
      <c r="C7214" s="325" t="s">
        <v>1</v>
      </c>
      <c r="D7214" s="368">
        <v>-1</v>
      </c>
      <c r="E7214" s="323">
        <v>1</v>
      </c>
      <c r="F7214" s="1160">
        <v>3.823</v>
      </c>
      <c r="G7214" s="1160">
        <v>3</v>
      </c>
      <c r="H7214" s="1160"/>
      <c r="I7214" s="1163">
        <f t="shared" si="264"/>
        <v>-11.47</v>
      </c>
      <c r="K7214" s="1222"/>
    </row>
    <row r="7215" spans="1:11">
      <c r="A7215" s="1221"/>
      <c r="B7215" s="371" t="s">
        <v>865</v>
      </c>
      <c r="C7215" s="325" t="s">
        <v>1</v>
      </c>
      <c r="D7215" s="368">
        <v>-1</v>
      </c>
      <c r="E7215" s="323">
        <v>1</v>
      </c>
      <c r="F7215" s="1160">
        <v>6</v>
      </c>
      <c r="G7215" s="1160">
        <v>2</v>
      </c>
      <c r="H7215" s="1160"/>
      <c r="I7215" s="1163">
        <f t="shared" si="264"/>
        <v>-12</v>
      </c>
      <c r="K7215" s="1222"/>
    </row>
    <row r="7216" spans="1:11">
      <c r="A7216" s="1221"/>
      <c r="B7216" s="371"/>
      <c r="C7216" s="325"/>
      <c r="D7216" s="368"/>
      <c r="E7216" s="323"/>
      <c r="F7216" s="1160" t="s">
        <v>624</v>
      </c>
      <c r="G7216" s="1160"/>
      <c r="H7216" s="1160"/>
      <c r="I7216" s="1163" t="str">
        <f t="shared" si="264"/>
        <v/>
      </c>
      <c r="K7216" s="1222"/>
    </row>
    <row r="7217" spans="1:11" ht="34.5">
      <c r="A7217" s="1221"/>
      <c r="B7217" s="371" t="s">
        <v>1883</v>
      </c>
      <c r="C7217" s="325" t="s">
        <v>1</v>
      </c>
      <c r="D7217" s="368">
        <v>1</v>
      </c>
      <c r="E7217" s="323">
        <v>1</v>
      </c>
      <c r="F7217" s="1160">
        <v>77.167523299999999</v>
      </c>
      <c r="G7217" s="1160"/>
      <c r="H7217" s="1160"/>
      <c r="I7217" s="1163">
        <f t="shared" si="264"/>
        <v>77.17</v>
      </c>
      <c r="K7217" s="1222"/>
    </row>
    <row r="7218" spans="1:11">
      <c r="A7218" s="1221"/>
      <c r="B7218" s="371" t="s">
        <v>1884</v>
      </c>
      <c r="C7218" s="325" t="s">
        <v>1</v>
      </c>
      <c r="D7218" s="368">
        <v>1</v>
      </c>
      <c r="E7218" s="323">
        <v>1</v>
      </c>
      <c r="F7218" s="1160">
        <v>294.17102799999998</v>
      </c>
      <c r="G7218" s="1160"/>
      <c r="H7218" s="1160"/>
      <c r="I7218" s="1163">
        <f t="shared" si="264"/>
        <v>294.17</v>
      </c>
      <c r="K7218" s="1222"/>
    </row>
    <row r="7219" spans="1:11">
      <c r="A7219" s="1221"/>
      <c r="B7219" s="371" t="s">
        <v>871</v>
      </c>
      <c r="C7219" s="325" t="s">
        <v>1</v>
      </c>
      <c r="D7219" s="368">
        <v>-1</v>
      </c>
      <c r="E7219" s="323">
        <v>1</v>
      </c>
      <c r="F7219" s="1160">
        <v>28.784981600000002</v>
      </c>
      <c r="G7219" s="1160"/>
      <c r="H7219" s="1160"/>
      <c r="I7219" s="1163">
        <f t="shared" si="264"/>
        <v>-28.78</v>
      </c>
      <c r="K7219" s="1222"/>
    </row>
    <row r="7220" spans="1:11">
      <c r="A7220" s="1221"/>
      <c r="B7220" s="371"/>
      <c r="C7220" s="325" t="s">
        <v>1</v>
      </c>
      <c r="D7220" s="368">
        <v>-1</v>
      </c>
      <c r="E7220" s="323">
        <v>1</v>
      </c>
      <c r="F7220" s="1160">
        <v>23.245155699999998</v>
      </c>
      <c r="G7220" s="1160"/>
      <c r="H7220" s="1160"/>
      <c r="I7220" s="1163">
        <f t="shared" si="264"/>
        <v>-23.25</v>
      </c>
      <c r="K7220" s="1222"/>
    </row>
    <row r="7221" spans="1:11" ht="34.5">
      <c r="A7221" s="1221"/>
      <c r="B7221" s="371" t="s">
        <v>1885</v>
      </c>
      <c r="C7221" s="325" t="s">
        <v>1</v>
      </c>
      <c r="D7221" s="368">
        <v>1</v>
      </c>
      <c r="E7221" s="323">
        <v>3</v>
      </c>
      <c r="F7221" s="1160">
        <v>2.9870000000000001</v>
      </c>
      <c r="G7221" s="1160">
        <v>1.55</v>
      </c>
      <c r="H7221" s="1160"/>
      <c r="I7221" s="1163">
        <f t="shared" si="264"/>
        <v>13.89</v>
      </c>
      <c r="K7221" s="1222"/>
    </row>
    <row r="7222" spans="1:11">
      <c r="A7222" s="1221"/>
      <c r="B7222" s="371"/>
      <c r="C7222" s="325" t="s">
        <v>1</v>
      </c>
      <c r="D7222" s="368">
        <v>1</v>
      </c>
      <c r="E7222" s="323">
        <v>1</v>
      </c>
      <c r="F7222" s="1160">
        <v>2.9870000000000001</v>
      </c>
      <c r="G7222" s="1160">
        <v>2</v>
      </c>
      <c r="H7222" s="1160"/>
      <c r="I7222" s="1163">
        <f t="shared" si="264"/>
        <v>5.97</v>
      </c>
      <c r="K7222" s="1222"/>
    </row>
    <row r="7223" spans="1:11">
      <c r="A7223" s="1221"/>
      <c r="B7223" s="371"/>
      <c r="C7223" s="325" t="s">
        <v>1</v>
      </c>
      <c r="D7223" s="368">
        <v>1</v>
      </c>
      <c r="E7223" s="323">
        <v>1</v>
      </c>
      <c r="F7223" s="1160">
        <v>2.9870000000000001</v>
      </c>
      <c r="G7223" s="1160">
        <v>1.3</v>
      </c>
      <c r="H7223" s="1160"/>
      <c r="I7223" s="1163">
        <f t="shared" si="264"/>
        <v>3.88</v>
      </c>
      <c r="K7223" s="1222"/>
    </row>
    <row r="7224" spans="1:11">
      <c r="A7224" s="1221"/>
      <c r="B7224" s="371"/>
      <c r="C7224" s="325" t="s">
        <v>1</v>
      </c>
      <c r="D7224" s="368">
        <v>1</v>
      </c>
      <c r="E7224" s="323">
        <v>1</v>
      </c>
      <c r="F7224" s="1160">
        <v>2.9870000000000001</v>
      </c>
      <c r="G7224" s="1160">
        <v>1.8</v>
      </c>
      <c r="H7224" s="1160"/>
      <c r="I7224" s="1163">
        <f t="shared" si="264"/>
        <v>5.38</v>
      </c>
      <c r="K7224" s="1222"/>
    </row>
    <row r="7225" spans="1:11">
      <c r="A7225" s="1221"/>
      <c r="B7225" s="371"/>
      <c r="C7225" s="325" t="s">
        <v>1</v>
      </c>
      <c r="D7225" s="368">
        <v>1</v>
      </c>
      <c r="E7225" s="323">
        <v>1</v>
      </c>
      <c r="F7225" s="1160">
        <v>5.1077227993551695</v>
      </c>
      <c r="G7225" s="1160"/>
      <c r="H7225" s="1160"/>
      <c r="I7225" s="1163">
        <f t="shared" si="264"/>
        <v>5.1100000000000003</v>
      </c>
      <c r="K7225" s="1222"/>
    </row>
    <row r="7226" spans="1:11">
      <c r="A7226" s="1221"/>
      <c r="B7226" s="371"/>
      <c r="C7226" s="325" t="s">
        <v>1</v>
      </c>
      <c r="D7226" s="368">
        <v>1</v>
      </c>
      <c r="E7226" s="323">
        <v>1</v>
      </c>
      <c r="F7226" s="1160">
        <v>7.1940235621890496</v>
      </c>
      <c r="G7226" s="1160"/>
      <c r="H7226" s="1160"/>
      <c r="I7226" s="1163">
        <f t="shared" si="264"/>
        <v>7.19</v>
      </c>
      <c r="K7226" s="1222"/>
    </row>
    <row r="7227" spans="1:11">
      <c r="A7227" s="1221"/>
      <c r="B7227" s="371"/>
      <c r="C7227" s="325" t="s">
        <v>1</v>
      </c>
      <c r="D7227" s="368">
        <v>1</v>
      </c>
      <c r="E7227" s="323">
        <v>1</v>
      </c>
      <c r="F7227" s="1160">
        <v>10.7680583</v>
      </c>
      <c r="G7227" s="1160"/>
      <c r="H7227" s="1160"/>
      <c r="I7227" s="1163">
        <f t="shared" si="264"/>
        <v>10.77</v>
      </c>
      <c r="K7227" s="1222"/>
    </row>
    <row r="7228" spans="1:11">
      <c r="A7228" s="1221"/>
      <c r="B7228" s="371"/>
      <c r="C7228" s="325" t="s">
        <v>1</v>
      </c>
      <c r="D7228" s="368">
        <v>1</v>
      </c>
      <c r="E7228" s="323">
        <v>1</v>
      </c>
      <c r="F7228" s="1158">
        <v>10.941000000000001</v>
      </c>
      <c r="G7228" s="1160"/>
      <c r="H7228" s="1160"/>
      <c r="I7228" s="1163">
        <f t="shared" si="264"/>
        <v>10.94</v>
      </c>
      <c r="K7228" s="1222"/>
    </row>
    <row r="7229" spans="1:11">
      <c r="A7229" s="1221"/>
      <c r="B7229" s="371"/>
      <c r="C7229" s="325" t="s">
        <v>1</v>
      </c>
      <c r="D7229" s="368">
        <v>1</v>
      </c>
      <c r="E7229" s="323">
        <v>1</v>
      </c>
      <c r="F7229" s="1160">
        <v>17.500558300000002</v>
      </c>
      <c r="G7229" s="1160"/>
      <c r="H7229" s="1160"/>
      <c r="I7229" s="1163">
        <f t="shared" si="264"/>
        <v>17.5</v>
      </c>
      <c r="K7229" s="1222"/>
    </row>
    <row r="7230" spans="1:11" ht="34.5">
      <c r="A7230" s="1221"/>
      <c r="B7230" s="371" t="s">
        <v>1886</v>
      </c>
      <c r="C7230" s="325" t="s">
        <v>1</v>
      </c>
      <c r="D7230" s="368">
        <v>1</v>
      </c>
      <c r="E7230" s="323">
        <v>1</v>
      </c>
      <c r="F7230" s="1160">
        <v>67.218918500000001</v>
      </c>
      <c r="G7230" s="1160"/>
      <c r="H7230" s="1160"/>
      <c r="I7230" s="1163">
        <f t="shared" si="264"/>
        <v>67.22</v>
      </c>
      <c r="K7230" s="1222"/>
    </row>
    <row r="7231" spans="1:11">
      <c r="A7231" s="1221"/>
      <c r="B7231" s="371" t="s">
        <v>864</v>
      </c>
      <c r="C7231" s="325" t="s">
        <v>1</v>
      </c>
      <c r="D7231" s="368">
        <v>-1</v>
      </c>
      <c r="E7231" s="323">
        <v>2</v>
      </c>
      <c r="F7231" s="1160">
        <v>6.6390000000000002</v>
      </c>
      <c r="G7231" s="1160">
        <v>0.6</v>
      </c>
      <c r="H7231" s="1160"/>
      <c r="I7231" s="1163">
        <f t="shared" si="264"/>
        <v>-7.97</v>
      </c>
      <c r="K7231" s="1222"/>
    </row>
    <row r="7232" spans="1:11">
      <c r="A7232" s="1221"/>
      <c r="B7232" s="371"/>
      <c r="C7232" s="325" t="s">
        <v>1</v>
      </c>
      <c r="D7232" s="368">
        <v>-1</v>
      </c>
      <c r="E7232" s="323">
        <v>1</v>
      </c>
      <c r="F7232" s="1160">
        <v>5.7249999999999996</v>
      </c>
      <c r="G7232" s="1160">
        <v>0.6</v>
      </c>
      <c r="H7232" s="1160"/>
      <c r="I7232" s="1163">
        <f t="shared" si="264"/>
        <v>-3.44</v>
      </c>
      <c r="K7232" s="1222"/>
    </row>
    <row r="7233" spans="1:11">
      <c r="A7233" s="1221"/>
      <c r="B7233" s="371"/>
      <c r="C7233" s="325" t="s">
        <v>1</v>
      </c>
      <c r="D7233" s="368">
        <v>-1</v>
      </c>
      <c r="E7233" s="323">
        <v>1</v>
      </c>
      <c r="F7233" s="1160">
        <v>3.589</v>
      </c>
      <c r="G7233" s="1160">
        <v>0.6</v>
      </c>
      <c r="H7233" s="1160"/>
      <c r="I7233" s="1163">
        <f t="shared" si="264"/>
        <v>-2.15</v>
      </c>
      <c r="K7233" s="1222"/>
    </row>
    <row r="7234" spans="1:11" ht="34.5">
      <c r="A7234" s="1221"/>
      <c r="B7234" s="371" t="s">
        <v>1887</v>
      </c>
      <c r="C7234" s="325" t="s">
        <v>1</v>
      </c>
      <c r="D7234" s="368">
        <v>1</v>
      </c>
      <c r="E7234" s="323">
        <v>1</v>
      </c>
      <c r="F7234" s="1160">
        <v>135.07028299999999</v>
      </c>
      <c r="G7234" s="1160"/>
      <c r="H7234" s="1160"/>
      <c r="I7234" s="1163">
        <f t="shared" si="264"/>
        <v>135.07</v>
      </c>
      <c r="K7234" s="1222"/>
    </row>
    <row r="7235" spans="1:11" ht="34.5">
      <c r="A7235" s="1221"/>
      <c r="B7235" s="371" t="s">
        <v>1888</v>
      </c>
      <c r="C7235" s="325" t="s">
        <v>1</v>
      </c>
      <c r="D7235" s="368">
        <v>1</v>
      </c>
      <c r="E7235" s="323">
        <v>1</v>
      </c>
      <c r="F7235" s="1160">
        <v>500.22989699999999</v>
      </c>
      <c r="G7235" s="1160"/>
      <c r="H7235" s="1160"/>
      <c r="I7235" s="1163">
        <f t="shared" si="264"/>
        <v>500.23</v>
      </c>
      <c r="K7235" s="1222"/>
    </row>
    <row r="7236" spans="1:11">
      <c r="A7236" s="1221"/>
      <c r="B7236" s="371" t="s">
        <v>872</v>
      </c>
      <c r="C7236" s="325" t="s">
        <v>1</v>
      </c>
      <c r="D7236" s="368">
        <v>-1</v>
      </c>
      <c r="E7236" s="323">
        <v>1</v>
      </c>
      <c r="F7236" s="1160">
        <v>0.999</v>
      </c>
      <c r="G7236" s="1160">
        <v>1.2</v>
      </c>
      <c r="H7236" s="1160"/>
      <c r="I7236" s="1163">
        <f t="shared" si="264"/>
        <v>-1.2</v>
      </c>
      <c r="K7236" s="1222"/>
    </row>
    <row r="7237" spans="1:11">
      <c r="A7237" s="1221"/>
      <c r="B7237" s="371"/>
      <c r="C7237" s="325" t="s">
        <v>1</v>
      </c>
      <c r="D7237" s="368">
        <v>-1</v>
      </c>
      <c r="E7237" s="323">
        <v>1</v>
      </c>
      <c r="F7237" s="1160">
        <v>5.85</v>
      </c>
      <c r="G7237" s="1160">
        <v>1.2</v>
      </c>
      <c r="H7237" s="1160"/>
      <c r="I7237" s="1163">
        <f t="shared" si="264"/>
        <v>-7.02</v>
      </c>
      <c r="K7237" s="1222"/>
    </row>
    <row r="7238" spans="1:11">
      <c r="A7238" s="1221"/>
      <c r="B7238" s="371"/>
      <c r="C7238" s="325" t="s">
        <v>1</v>
      </c>
      <c r="D7238" s="368">
        <v>-1</v>
      </c>
      <c r="E7238" s="323">
        <v>1</v>
      </c>
      <c r="F7238" s="1160">
        <v>5.024</v>
      </c>
      <c r="G7238" s="1160">
        <v>1.2</v>
      </c>
      <c r="H7238" s="1160"/>
      <c r="I7238" s="1163">
        <f t="shared" si="264"/>
        <v>-6.03</v>
      </c>
      <c r="K7238" s="1222"/>
    </row>
    <row r="7239" spans="1:11">
      <c r="A7239" s="1221"/>
      <c r="B7239" s="371"/>
      <c r="C7239" s="325" t="s">
        <v>1</v>
      </c>
      <c r="D7239" s="368">
        <v>-1</v>
      </c>
      <c r="E7239" s="323">
        <v>1</v>
      </c>
      <c r="F7239" s="1160">
        <v>2.399</v>
      </c>
      <c r="G7239" s="1160">
        <v>1.2</v>
      </c>
      <c r="H7239" s="1160"/>
      <c r="I7239" s="1163">
        <f t="shared" si="264"/>
        <v>-2.88</v>
      </c>
      <c r="K7239" s="1222"/>
    </row>
    <row r="7240" spans="1:11">
      <c r="A7240" s="1221"/>
      <c r="B7240" s="371" t="s">
        <v>865</v>
      </c>
      <c r="C7240" s="325" t="s">
        <v>1</v>
      </c>
      <c r="D7240" s="368">
        <v>-1</v>
      </c>
      <c r="E7240" s="323">
        <v>1</v>
      </c>
      <c r="F7240" s="1160">
        <v>3.823</v>
      </c>
      <c r="G7240" s="1160">
        <v>3</v>
      </c>
      <c r="H7240" s="1160"/>
      <c r="I7240" s="1163">
        <f t="shared" si="264"/>
        <v>-11.47</v>
      </c>
      <c r="K7240" s="1222"/>
    </row>
    <row r="7241" spans="1:11">
      <c r="A7241" s="1221"/>
      <c r="B7241" s="371" t="s">
        <v>865</v>
      </c>
      <c r="C7241" s="325" t="s">
        <v>1</v>
      </c>
      <c r="D7241" s="368">
        <v>-1</v>
      </c>
      <c r="E7241" s="323">
        <v>1</v>
      </c>
      <c r="F7241" s="1160">
        <v>6</v>
      </c>
      <c r="G7241" s="1160">
        <v>2</v>
      </c>
      <c r="H7241" s="1160"/>
      <c r="I7241" s="1163">
        <f t="shared" si="264"/>
        <v>-12</v>
      </c>
      <c r="K7241" s="1222"/>
    </row>
    <row r="7242" spans="1:11">
      <c r="A7242" s="1221"/>
      <c r="B7242" s="371" t="s">
        <v>873</v>
      </c>
      <c r="C7242" s="325" t="s">
        <v>1</v>
      </c>
      <c r="D7242" s="368">
        <v>-1</v>
      </c>
      <c r="E7242" s="323">
        <v>5</v>
      </c>
      <c r="F7242" s="1160">
        <v>5.8</v>
      </c>
      <c r="G7242" s="1160">
        <v>0.8</v>
      </c>
      <c r="H7242" s="1160"/>
      <c r="I7242" s="1163">
        <f t="shared" si="264"/>
        <v>-23.2</v>
      </c>
      <c r="K7242" s="1222"/>
    </row>
    <row r="7243" spans="1:11" ht="34.5">
      <c r="A7243" s="1221"/>
      <c r="B7243" s="371" t="s">
        <v>874</v>
      </c>
      <c r="C7243" s="325" t="s">
        <v>1</v>
      </c>
      <c r="D7243" s="368">
        <v>-1</v>
      </c>
      <c r="E7243" s="323">
        <v>8</v>
      </c>
      <c r="F7243" s="1160">
        <v>4.5</v>
      </c>
      <c r="G7243" s="1160">
        <v>1</v>
      </c>
      <c r="H7243" s="1160"/>
      <c r="I7243" s="1163">
        <f t="shared" si="264"/>
        <v>-36</v>
      </c>
      <c r="K7243" s="1222"/>
    </row>
    <row r="7244" spans="1:11">
      <c r="A7244" s="1221"/>
      <c r="B7244" s="371" t="s">
        <v>863</v>
      </c>
      <c r="C7244" s="325" t="s">
        <v>1</v>
      </c>
      <c r="D7244" s="368">
        <v>-1</v>
      </c>
      <c r="E7244" s="323">
        <v>6</v>
      </c>
      <c r="F7244" s="1160">
        <v>2.8359999999999999</v>
      </c>
      <c r="G7244" s="1160">
        <v>0.28599999999999998</v>
      </c>
      <c r="H7244" s="1160"/>
      <c r="I7244" s="1163">
        <f t="shared" si="264"/>
        <v>-4.87</v>
      </c>
      <c r="K7244" s="1222"/>
    </row>
    <row r="7245" spans="1:11">
      <c r="A7245" s="1221"/>
      <c r="B7245" s="371" t="s">
        <v>1889</v>
      </c>
      <c r="C7245" s="325" t="s">
        <v>1</v>
      </c>
      <c r="D7245" s="368">
        <v>1</v>
      </c>
      <c r="E7245" s="323">
        <v>1</v>
      </c>
      <c r="F7245" s="1160">
        <v>293.78888699999999</v>
      </c>
      <c r="G7245" s="1160"/>
      <c r="H7245" s="1160"/>
      <c r="I7245" s="1163">
        <f t="shared" si="264"/>
        <v>293.79000000000002</v>
      </c>
      <c r="K7245" s="1222"/>
    </row>
    <row r="7246" spans="1:11">
      <c r="A7246" s="1221"/>
      <c r="B7246" s="371" t="s">
        <v>875</v>
      </c>
      <c r="C7246" s="325" t="s">
        <v>1</v>
      </c>
      <c r="D7246" s="368">
        <v>-1</v>
      </c>
      <c r="E7246" s="323">
        <v>1</v>
      </c>
      <c r="F7246" s="1160">
        <v>61.388476900000001</v>
      </c>
      <c r="G7246" s="1160"/>
      <c r="H7246" s="1160"/>
      <c r="I7246" s="1163">
        <f t="shared" si="264"/>
        <v>-61.39</v>
      </c>
      <c r="K7246" s="1222"/>
    </row>
    <row r="7247" spans="1:11">
      <c r="A7247" s="1221"/>
      <c r="B7247" s="371"/>
      <c r="C7247" s="325"/>
      <c r="D7247" s="368"/>
      <c r="E7247" s="323"/>
      <c r="F7247" s="1160"/>
      <c r="G7247" s="1160"/>
      <c r="H7247" s="1160"/>
      <c r="I7247" s="1163" t="str">
        <f t="shared" si="264"/>
        <v/>
      </c>
      <c r="K7247" s="1222"/>
    </row>
    <row r="7248" spans="1:11" ht="34.5">
      <c r="A7248" s="1221"/>
      <c r="B7248" s="371" t="s">
        <v>1890</v>
      </c>
      <c r="C7248" s="325" t="s">
        <v>1</v>
      </c>
      <c r="D7248" s="368">
        <v>1</v>
      </c>
      <c r="E7248" s="323">
        <v>1</v>
      </c>
      <c r="F7248" s="1160">
        <v>31.5</v>
      </c>
      <c r="G7248" s="1158">
        <v>1.9850000000000001</v>
      </c>
      <c r="H7248" s="1160"/>
      <c r="I7248" s="1163">
        <f t="shared" si="264"/>
        <v>62.53</v>
      </c>
      <c r="K7248" s="1222"/>
    </row>
    <row r="7249" spans="1:11">
      <c r="A7249" s="1221"/>
      <c r="B7249" s="371" t="s">
        <v>684</v>
      </c>
      <c r="C7249" s="325" t="s">
        <v>1</v>
      </c>
      <c r="D7249" s="368">
        <v>-1</v>
      </c>
      <c r="E7249" s="323">
        <v>4</v>
      </c>
      <c r="F7249" s="1160">
        <v>1.2</v>
      </c>
      <c r="G7249" s="1160">
        <v>0.375</v>
      </c>
      <c r="H7249" s="1160"/>
      <c r="I7249" s="1163">
        <f t="shared" si="264"/>
        <v>-1.8</v>
      </c>
      <c r="K7249" s="1222"/>
    </row>
    <row r="7250" spans="1:11" ht="34.5">
      <c r="A7250" s="1221"/>
      <c r="B7250" s="371" t="s">
        <v>1891</v>
      </c>
      <c r="C7250" s="325" t="s">
        <v>1</v>
      </c>
      <c r="D7250" s="368">
        <v>1</v>
      </c>
      <c r="E7250" s="323">
        <v>1</v>
      </c>
      <c r="F7250" s="1160">
        <v>37.9</v>
      </c>
      <c r="G7250" s="1160">
        <v>4.5049999999999999</v>
      </c>
      <c r="H7250" s="1160"/>
      <c r="I7250" s="1163">
        <f t="shared" si="264"/>
        <v>170.74</v>
      </c>
      <c r="K7250" s="1222"/>
    </row>
    <row r="7251" spans="1:11">
      <c r="A7251" s="1221"/>
      <c r="B7251" s="371" t="s">
        <v>684</v>
      </c>
      <c r="C7251" s="325" t="s">
        <v>1</v>
      </c>
      <c r="D7251" s="368">
        <v>-1</v>
      </c>
      <c r="E7251" s="323">
        <v>5</v>
      </c>
      <c r="F7251" s="1160">
        <v>1.2</v>
      </c>
      <c r="G7251" s="1160">
        <v>0.375</v>
      </c>
      <c r="H7251" s="1160"/>
      <c r="I7251" s="1163">
        <f t="shared" si="264"/>
        <v>-2.25</v>
      </c>
      <c r="K7251" s="1222"/>
    </row>
    <row r="7252" spans="1:11" ht="34.5">
      <c r="A7252" s="1221"/>
      <c r="B7252" s="371" t="s">
        <v>1892</v>
      </c>
      <c r="C7252" s="325" t="s">
        <v>1</v>
      </c>
      <c r="D7252" s="368">
        <v>1</v>
      </c>
      <c r="E7252" s="323">
        <v>1</v>
      </c>
      <c r="F7252" s="1160">
        <v>24.628499999999999</v>
      </c>
      <c r="G7252" s="1160">
        <v>13.365</v>
      </c>
      <c r="H7252" s="1160"/>
      <c r="I7252" s="1163">
        <f t="shared" si="264"/>
        <v>329.16</v>
      </c>
      <c r="K7252" s="1222"/>
    </row>
    <row r="7253" spans="1:11">
      <c r="A7253" s="1221"/>
      <c r="B7253" s="371" t="s">
        <v>684</v>
      </c>
      <c r="C7253" s="325" t="s">
        <v>1</v>
      </c>
      <c r="D7253" s="368">
        <v>-1</v>
      </c>
      <c r="E7253" s="323">
        <v>5</v>
      </c>
      <c r="F7253" s="1160">
        <v>1.2</v>
      </c>
      <c r="G7253" s="1160">
        <v>0.375</v>
      </c>
      <c r="H7253" s="1160"/>
      <c r="I7253" s="1163">
        <f t="shared" si="264"/>
        <v>-2.25</v>
      </c>
      <c r="K7253" s="1222"/>
    </row>
    <row r="7254" spans="1:11">
      <c r="A7254" s="1221"/>
      <c r="B7254" s="371" t="s">
        <v>872</v>
      </c>
      <c r="C7254" s="325" t="s">
        <v>1</v>
      </c>
      <c r="D7254" s="368">
        <v>-1</v>
      </c>
      <c r="E7254" s="323">
        <v>1</v>
      </c>
      <c r="F7254" s="1160">
        <v>82.662326300000004</v>
      </c>
      <c r="G7254" s="1160"/>
      <c r="H7254" s="1160"/>
      <c r="I7254" s="1163">
        <f t="shared" si="264"/>
        <v>-82.66</v>
      </c>
      <c r="K7254" s="1222"/>
    </row>
    <row r="7255" spans="1:11">
      <c r="A7255" s="1221"/>
      <c r="B7255" s="371" t="s">
        <v>1893</v>
      </c>
      <c r="C7255" s="325" t="s">
        <v>1</v>
      </c>
      <c r="D7255" s="368">
        <v>1</v>
      </c>
      <c r="E7255" s="323">
        <v>1</v>
      </c>
      <c r="F7255" s="1158">
        <v>93.578000000000003</v>
      </c>
      <c r="G7255" s="1160"/>
      <c r="H7255" s="1160"/>
      <c r="I7255" s="1163">
        <f t="shared" si="264"/>
        <v>93.58</v>
      </c>
      <c r="K7255" s="1222"/>
    </row>
    <row r="7256" spans="1:11" ht="34.5">
      <c r="A7256" s="1221"/>
      <c r="B7256" s="371" t="s">
        <v>1894</v>
      </c>
      <c r="C7256" s="325" t="s">
        <v>1</v>
      </c>
      <c r="D7256" s="368">
        <v>1</v>
      </c>
      <c r="E7256" s="323">
        <v>1</v>
      </c>
      <c r="F7256" s="1160">
        <v>508.59711900000002</v>
      </c>
      <c r="G7256" s="1160"/>
      <c r="H7256" s="1160"/>
      <c r="I7256" s="1163">
        <f t="shared" si="264"/>
        <v>508.6</v>
      </c>
      <c r="K7256" s="1222"/>
    </row>
    <row r="7257" spans="1:11">
      <c r="A7257" s="1221"/>
      <c r="B7257" s="371" t="s">
        <v>876</v>
      </c>
      <c r="C7257" s="325" t="s">
        <v>1</v>
      </c>
      <c r="D7257" s="368">
        <v>1</v>
      </c>
      <c r="E7257" s="323">
        <v>1</v>
      </c>
      <c r="F7257" s="1160">
        <v>47.996548600000004</v>
      </c>
      <c r="G7257" s="1160"/>
      <c r="H7257" s="1160"/>
      <c r="I7257" s="1163">
        <f t="shared" si="264"/>
        <v>48</v>
      </c>
      <c r="K7257" s="1222"/>
    </row>
    <row r="7258" spans="1:11">
      <c r="A7258" s="1221"/>
      <c r="B7258" s="371" t="s">
        <v>872</v>
      </c>
      <c r="C7258" s="325" t="s">
        <v>1</v>
      </c>
      <c r="D7258" s="368">
        <v>-1</v>
      </c>
      <c r="E7258" s="323">
        <v>1</v>
      </c>
      <c r="F7258" s="1160">
        <v>5.0250000000000004</v>
      </c>
      <c r="G7258" s="1160">
        <v>1.2</v>
      </c>
      <c r="H7258" s="1160"/>
      <c r="I7258" s="1163">
        <f t="shared" si="264"/>
        <v>-6.03</v>
      </c>
      <c r="K7258" s="1222"/>
    </row>
    <row r="7259" spans="1:11">
      <c r="A7259" s="1221"/>
      <c r="B7259" s="371"/>
      <c r="C7259" s="325" t="s">
        <v>1</v>
      </c>
      <c r="D7259" s="368">
        <v>-1</v>
      </c>
      <c r="E7259" s="323">
        <v>1</v>
      </c>
      <c r="F7259" s="1160">
        <v>5.85</v>
      </c>
      <c r="G7259" s="1160">
        <v>1.2</v>
      </c>
      <c r="H7259" s="1160"/>
      <c r="I7259" s="1163">
        <f t="shared" si="264"/>
        <v>-7.02</v>
      </c>
      <c r="K7259" s="1222"/>
    </row>
    <row r="7260" spans="1:11">
      <c r="A7260" s="1221"/>
      <c r="B7260" s="371" t="s">
        <v>865</v>
      </c>
      <c r="C7260" s="325" t="s">
        <v>1</v>
      </c>
      <c r="D7260" s="368">
        <v>-1</v>
      </c>
      <c r="E7260" s="323">
        <v>1</v>
      </c>
      <c r="F7260" s="1160">
        <v>3.823</v>
      </c>
      <c r="G7260" s="1160">
        <v>3</v>
      </c>
      <c r="H7260" s="1160"/>
      <c r="I7260" s="1163">
        <f t="shared" si="264"/>
        <v>-11.47</v>
      </c>
      <c r="K7260" s="1222"/>
    </row>
    <row r="7261" spans="1:11">
      <c r="A7261" s="1221"/>
      <c r="B7261" s="371" t="s">
        <v>865</v>
      </c>
      <c r="C7261" s="325" t="s">
        <v>1</v>
      </c>
      <c r="D7261" s="368">
        <v>-1</v>
      </c>
      <c r="E7261" s="323">
        <v>1</v>
      </c>
      <c r="F7261" s="1160">
        <v>6</v>
      </c>
      <c r="G7261" s="1160">
        <v>2</v>
      </c>
      <c r="H7261" s="1160"/>
      <c r="I7261" s="1163">
        <f t="shared" si="264"/>
        <v>-12</v>
      </c>
      <c r="K7261" s="1222"/>
    </row>
    <row r="7262" spans="1:11">
      <c r="A7262" s="1221"/>
      <c r="B7262" s="371" t="s">
        <v>873</v>
      </c>
      <c r="C7262" s="325" t="s">
        <v>1</v>
      </c>
      <c r="D7262" s="368">
        <v>-1</v>
      </c>
      <c r="E7262" s="323">
        <v>5</v>
      </c>
      <c r="F7262" s="1160">
        <v>5.8</v>
      </c>
      <c r="G7262" s="1160">
        <v>0.8</v>
      </c>
      <c r="H7262" s="1160"/>
      <c r="I7262" s="1163">
        <f t="shared" ref="I7262:I7290" si="265">IF(D7262&lt;&gt;0,ROUND(PRODUCT(E7262:H7262)*D7262,2),"")</f>
        <v>-23.2</v>
      </c>
      <c r="K7262" s="1222"/>
    </row>
    <row r="7263" spans="1:11" ht="34.5">
      <c r="A7263" s="1221"/>
      <c r="B7263" s="371" t="s">
        <v>874</v>
      </c>
      <c r="C7263" s="325" t="s">
        <v>1</v>
      </c>
      <c r="D7263" s="368">
        <v>-1</v>
      </c>
      <c r="E7263" s="323">
        <v>8</v>
      </c>
      <c r="F7263" s="1160">
        <v>4.5</v>
      </c>
      <c r="G7263" s="1160">
        <v>1</v>
      </c>
      <c r="H7263" s="1160"/>
      <c r="I7263" s="1163">
        <f t="shared" si="265"/>
        <v>-36</v>
      </c>
      <c r="K7263" s="1222"/>
    </row>
    <row r="7264" spans="1:11">
      <c r="A7264" s="1221"/>
      <c r="B7264" s="371" t="s">
        <v>863</v>
      </c>
      <c r="C7264" s="325" t="s">
        <v>1</v>
      </c>
      <c r="D7264" s="368">
        <v>-1</v>
      </c>
      <c r="E7264" s="323">
        <v>4</v>
      </c>
      <c r="F7264" s="1160">
        <v>2.8359999999999999</v>
      </c>
      <c r="G7264" s="1160">
        <v>0.28599999999999998</v>
      </c>
      <c r="H7264" s="1160"/>
      <c r="I7264" s="1163">
        <f t="shared" si="265"/>
        <v>-3.24</v>
      </c>
      <c r="K7264" s="1222"/>
    </row>
    <row r="7265" spans="1:11">
      <c r="A7265" s="1221"/>
      <c r="B7265" s="371" t="s">
        <v>684</v>
      </c>
      <c r="C7265" s="325" t="s">
        <v>1</v>
      </c>
      <c r="D7265" s="368">
        <v>-1</v>
      </c>
      <c r="E7265" s="323">
        <v>2</v>
      </c>
      <c r="F7265" s="1160">
        <v>1.2</v>
      </c>
      <c r="G7265" s="1160">
        <v>0.375</v>
      </c>
      <c r="H7265" s="1160"/>
      <c r="I7265" s="1163">
        <f t="shared" si="265"/>
        <v>-0.9</v>
      </c>
      <c r="K7265" s="1222"/>
    </row>
    <row r="7266" spans="1:11" ht="34.5">
      <c r="A7266" s="1221"/>
      <c r="B7266" s="371" t="s">
        <v>1895</v>
      </c>
      <c r="C7266" s="325" t="s">
        <v>1</v>
      </c>
      <c r="D7266" s="368">
        <v>1</v>
      </c>
      <c r="E7266" s="323">
        <v>1</v>
      </c>
      <c r="F7266" s="1160">
        <v>103.5326</v>
      </c>
      <c r="G7266" s="1160"/>
      <c r="H7266" s="1160"/>
      <c r="I7266" s="1163">
        <f t="shared" si="265"/>
        <v>103.53</v>
      </c>
      <c r="K7266" s="1222"/>
    </row>
    <row r="7267" spans="1:11" ht="34.5">
      <c r="A7267" s="1221"/>
      <c r="B7267" s="371" t="s">
        <v>1896</v>
      </c>
      <c r="C7267" s="325" t="s">
        <v>1</v>
      </c>
      <c r="D7267" s="368">
        <v>1</v>
      </c>
      <c r="E7267" s="323">
        <v>1</v>
      </c>
      <c r="F7267" s="1160">
        <v>60.369247899999998</v>
      </c>
      <c r="G7267" s="1160"/>
      <c r="H7267" s="1160"/>
      <c r="I7267" s="1163">
        <f t="shared" si="265"/>
        <v>60.37</v>
      </c>
      <c r="K7267" s="1222"/>
    </row>
    <row r="7268" spans="1:11" ht="34.5">
      <c r="A7268" s="1221"/>
      <c r="B7268" s="371" t="s">
        <v>877</v>
      </c>
      <c r="C7268" s="325" t="s">
        <v>1</v>
      </c>
      <c r="D7268" s="368">
        <v>1</v>
      </c>
      <c r="E7268" s="323">
        <v>1</v>
      </c>
      <c r="F7268" s="1160">
        <v>17.981775199999998</v>
      </c>
      <c r="G7268" s="1160"/>
      <c r="H7268" s="1160"/>
      <c r="I7268" s="1163">
        <f t="shared" si="265"/>
        <v>17.98</v>
      </c>
      <c r="K7268" s="1222"/>
    </row>
    <row r="7269" spans="1:11" ht="34.5">
      <c r="A7269" s="1221"/>
      <c r="B7269" s="371" t="s">
        <v>1897</v>
      </c>
      <c r="C7269" s="325" t="s">
        <v>1</v>
      </c>
      <c r="D7269" s="368">
        <v>1</v>
      </c>
      <c r="E7269" s="323">
        <v>1</v>
      </c>
      <c r="F7269" s="1158">
        <v>82.808999999999997</v>
      </c>
      <c r="G7269" s="1160"/>
      <c r="H7269" s="1160"/>
      <c r="I7269" s="1163">
        <f t="shared" si="265"/>
        <v>82.81</v>
      </c>
      <c r="K7269" s="1222"/>
    </row>
    <row r="7270" spans="1:11">
      <c r="A7270" s="1221"/>
      <c r="B7270" s="371"/>
      <c r="C7270" s="325"/>
      <c r="D7270" s="368"/>
      <c r="E7270" s="323"/>
      <c r="F7270" s="1160"/>
      <c r="G7270" s="1160"/>
      <c r="H7270" s="1160"/>
      <c r="I7270" s="1163" t="str">
        <f t="shared" si="265"/>
        <v/>
      </c>
      <c r="K7270" s="1222"/>
    </row>
    <row r="7271" spans="1:11">
      <c r="A7271" s="1221"/>
      <c r="B7271" s="371" t="s">
        <v>1898</v>
      </c>
      <c r="C7271" s="325"/>
      <c r="D7271" s="368"/>
      <c r="E7271" s="323"/>
      <c r="F7271" s="1160"/>
      <c r="G7271" s="1160"/>
      <c r="H7271" s="1160"/>
      <c r="I7271" s="1163" t="str">
        <f t="shared" si="265"/>
        <v/>
      </c>
      <c r="K7271" s="1222"/>
    </row>
    <row r="7272" spans="1:11">
      <c r="A7272" s="1221"/>
      <c r="B7272" s="371"/>
      <c r="C7272" s="325"/>
      <c r="D7272" s="368"/>
      <c r="E7272" s="323"/>
      <c r="F7272" s="1160"/>
      <c r="G7272" s="1160"/>
      <c r="H7272" s="1160"/>
      <c r="I7272" s="1163" t="str">
        <f t="shared" si="265"/>
        <v/>
      </c>
      <c r="K7272" s="1222"/>
    </row>
    <row r="7273" spans="1:11" ht="34.5">
      <c r="A7273" s="1221"/>
      <c r="B7273" s="371" t="s">
        <v>1899</v>
      </c>
      <c r="C7273" s="325" t="s">
        <v>1</v>
      </c>
      <c r="D7273" s="368">
        <v>1</v>
      </c>
      <c r="E7273" s="323">
        <v>1</v>
      </c>
      <c r="F7273" s="1158">
        <v>43.026000000000003</v>
      </c>
      <c r="G7273" s="1160"/>
      <c r="H7273" s="1160"/>
      <c r="I7273" s="1163">
        <f t="shared" si="265"/>
        <v>43.03</v>
      </c>
      <c r="K7273" s="1222"/>
    </row>
    <row r="7274" spans="1:11">
      <c r="A7274" s="1221"/>
      <c r="B7274" s="371" t="s">
        <v>1900</v>
      </c>
      <c r="C7274" s="325" t="s">
        <v>1</v>
      </c>
      <c r="D7274" s="368">
        <v>1</v>
      </c>
      <c r="E7274" s="323">
        <v>1</v>
      </c>
      <c r="F7274" s="1160">
        <v>235.97102599999999</v>
      </c>
      <c r="G7274" s="1160"/>
      <c r="H7274" s="1160"/>
      <c r="I7274" s="1163">
        <f t="shared" si="265"/>
        <v>235.97</v>
      </c>
      <c r="K7274" s="1222"/>
    </row>
    <row r="7275" spans="1:11">
      <c r="A7275" s="1221"/>
      <c r="B7275" s="371" t="s">
        <v>1901</v>
      </c>
      <c r="C7275" s="325" t="s">
        <v>1</v>
      </c>
      <c r="D7275" s="368">
        <v>1</v>
      </c>
      <c r="E7275" s="323">
        <v>1</v>
      </c>
      <c r="F7275" s="1160">
        <v>229.385941</v>
      </c>
      <c r="G7275" s="1160"/>
      <c r="H7275" s="1160"/>
      <c r="I7275" s="1163">
        <f t="shared" si="265"/>
        <v>229.39</v>
      </c>
      <c r="K7275" s="1222"/>
    </row>
    <row r="7276" spans="1:11">
      <c r="A7276" s="1221"/>
      <c r="B7276" s="371" t="s">
        <v>1902</v>
      </c>
      <c r="C7276" s="325" t="s">
        <v>1</v>
      </c>
      <c r="D7276" s="368">
        <v>1</v>
      </c>
      <c r="E7276" s="323">
        <v>1</v>
      </c>
      <c r="F7276" s="1160">
        <v>161.30115599999999</v>
      </c>
      <c r="G7276" s="1160"/>
      <c r="H7276" s="1160"/>
      <c r="I7276" s="1163">
        <f t="shared" si="265"/>
        <v>161.30000000000001</v>
      </c>
      <c r="K7276" s="1222"/>
    </row>
    <row r="7277" spans="1:11">
      <c r="A7277" s="1221"/>
      <c r="B7277" s="371"/>
      <c r="C7277" s="325"/>
      <c r="D7277" s="368"/>
      <c r="E7277" s="323"/>
      <c r="F7277" s="1160"/>
      <c r="G7277" s="1160"/>
      <c r="H7277" s="1160"/>
      <c r="I7277" s="1163" t="str">
        <f t="shared" si="265"/>
        <v/>
      </c>
      <c r="K7277" s="1222"/>
    </row>
    <row r="7278" spans="1:11" ht="34.5">
      <c r="A7278" s="1221"/>
      <c r="B7278" s="371" t="s">
        <v>892</v>
      </c>
      <c r="C7278" s="325"/>
      <c r="D7278" s="368"/>
      <c r="E7278" s="323"/>
      <c r="F7278" s="1160"/>
      <c r="G7278" s="1160"/>
      <c r="H7278" s="1160"/>
      <c r="I7278" s="1163" t="str">
        <f t="shared" si="265"/>
        <v/>
      </c>
      <c r="K7278" s="1222"/>
    </row>
    <row r="7279" spans="1:11" ht="34.5">
      <c r="A7279" s="1221"/>
      <c r="B7279" s="371" t="s">
        <v>627</v>
      </c>
      <c r="C7279" s="325" t="s">
        <v>1</v>
      </c>
      <c r="D7279" s="368">
        <v>0</v>
      </c>
      <c r="E7279" s="323">
        <v>1</v>
      </c>
      <c r="F7279" s="1160">
        <v>169.79</v>
      </c>
      <c r="G7279" s="1160"/>
      <c r="H7279" s="1160"/>
      <c r="I7279" s="1163" t="str">
        <f t="shared" si="265"/>
        <v/>
      </c>
      <c r="K7279" s="1222"/>
    </row>
    <row r="7280" spans="1:11">
      <c r="A7280" s="1221"/>
      <c r="B7280" s="371" t="s">
        <v>930</v>
      </c>
      <c r="C7280" s="325" t="s">
        <v>1</v>
      </c>
      <c r="D7280" s="368">
        <v>1</v>
      </c>
      <c r="E7280" s="323">
        <v>1</v>
      </c>
      <c r="F7280" s="1160">
        <v>6.5449999999999999</v>
      </c>
      <c r="G7280" s="1160">
        <v>6</v>
      </c>
      <c r="H7280" s="1160"/>
      <c r="I7280" s="1163">
        <f t="shared" si="265"/>
        <v>39.270000000000003</v>
      </c>
      <c r="K7280" s="1222"/>
    </row>
    <row r="7281" spans="1:14" ht="34.5">
      <c r="A7281" s="1221"/>
      <c r="B7281" s="371" t="s">
        <v>931</v>
      </c>
      <c r="C7281" s="325" t="s">
        <v>1</v>
      </c>
      <c r="D7281" s="368">
        <v>-1</v>
      </c>
      <c r="E7281" s="323">
        <v>1</v>
      </c>
      <c r="F7281" s="1160">
        <v>4.798</v>
      </c>
      <c r="G7281" s="1160">
        <v>6</v>
      </c>
      <c r="H7281" s="1160"/>
      <c r="I7281" s="1163">
        <f t="shared" si="265"/>
        <v>-28.79</v>
      </c>
      <c r="K7281" s="1222"/>
    </row>
    <row r="7282" spans="1:14">
      <c r="A7282" s="1221"/>
      <c r="B7282" s="371"/>
      <c r="C7282" s="325"/>
      <c r="D7282" s="368"/>
      <c r="E7282" s="323"/>
      <c r="F7282" s="1160"/>
      <c r="G7282" s="1160"/>
      <c r="H7282" s="1160"/>
      <c r="I7282" s="1163" t="str">
        <f t="shared" si="265"/>
        <v/>
      </c>
      <c r="K7282" s="1222"/>
    </row>
    <row r="7283" spans="1:14" ht="34.5">
      <c r="A7283" s="1221">
        <v>1</v>
      </c>
      <c r="B7283" s="371" t="s">
        <v>1903</v>
      </c>
      <c r="C7283" s="325"/>
      <c r="D7283" s="368"/>
      <c r="E7283" s="323"/>
      <c r="F7283" s="1160"/>
      <c r="G7283" s="1160"/>
      <c r="H7283" s="1160"/>
      <c r="I7283" s="1163" t="str">
        <f t="shared" si="265"/>
        <v/>
      </c>
      <c r="K7283" s="1222"/>
    </row>
    <row r="7284" spans="1:14">
      <c r="A7284" s="1221"/>
      <c r="B7284" s="371"/>
      <c r="C7284" s="325" t="s">
        <v>1</v>
      </c>
      <c r="D7284" s="368">
        <v>1</v>
      </c>
      <c r="E7284" s="323">
        <v>1</v>
      </c>
      <c r="F7284" s="1160">
        <v>14.677</v>
      </c>
      <c r="G7284" s="1158">
        <v>0.97</v>
      </c>
      <c r="H7284" s="1160"/>
      <c r="I7284" s="1163">
        <f t="shared" si="265"/>
        <v>14.24</v>
      </c>
      <c r="K7284" s="1222"/>
    </row>
    <row r="7285" spans="1:14">
      <c r="A7285" s="1221"/>
      <c r="B7285" s="371" t="s">
        <v>1315</v>
      </c>
      <c r="C7285" s="325" t="s">
        <v>1</v>
      </c>
      <c r="D7285" s="368">
        <v>-1</v>
      </c>
      <c r="E7285" s="323">
        <v>2</v>
      </c>
      <c r="F7285" s="1160">
        <v>1.2</v>
      </c>
      <c r="G7285" s="1160">
        <v>0.375</v>
      </c>
      <c r="H7285" s="1160"/>
      <c r="I7285" s="1163">
        <f t="shared" si="265"/>
        <v>-0.9</v>
      </c>
      <c r="K7285" s="1222"/>
    </row>
    <row r="7286" spans="1:14">
      <c r="A7286" s="1221"/>
      <c r="B7286" s="371"/>
      <c r="C7286" s="325"/>
      <c r="D7286" s="368"/>
      <c r="E7286" s="323"/>
      <c r="F7286" s="1160"/>
      <c r="G7286" s="1160"/>
      <c r="H7286" s="1160"/>
      <c r="I7286" s="1163" t="str">
        <f t="shared" si="265"/>
        <v/>
      </c>
      <c r="K7286" s="1222"/>
    </row>
    <row r="7287" spans="1:14" ht="51.75">
      <c r="A7287" s="1221">
        <v>2</v>
      </c>
      <c r="B7287" s="371" t="s">
        <v>1904</v>
      </c>
      <c r="C7287" s="325"/>
      <c r="D7287" s="368"/>
      <c r="E7287" s="323"/>
      <c r="F7287" s="1160"/>
      <c r="G7287" s="1160"/>
      <c r="H7287" s="1160"/>
      <c r="I7287" s="1163" t="str">
        <f t="shared" si="265"/>
        <v/>
      </c>
      <c r="K7287" s="1222"/>
    </row>
    <row r="7288" spans="1:14">
      <c r="A7288" s="1221"/>
      <c r="B7288" s="371"/>
      <c r="C7288" s="325" t="s">
        <v>1</v>
      </c>
      <c r="D7288" s="368">
        <v>1</v>
      </c>
      <c r="E7288" s="323">
        <v>1</v>
      </c>
      <c r="F7288" s="1160">
        <v>15</v>
      </c>
      <c r="G7288" s="1160">
        <v>0.6</v>
      </c>
      <c r="H7288" s="1160"/>
      <c r="I7288" s="1163">
        <f t="shared" si="265"/>
        <v>9</v>
      </c>
      <c r="K7288" s="1222"/>
    </row>
    <row r="7289" spans="1:14" ht="51.75">
      <c r="A7289" s="1221">
        <v>3</v>
      </c>
      <c r="B7289" s="371" t="s">
        <v>1905</v>
      </c>
      <c r="C7289" s="325"/>
      <c r="D7289" s="368"/>
      <c r="E7289" s="323"/>
      <c r="F7289" s="1160"/>
      <c r="G7289" s="1160"/>
      <c r="H7289" s="1160"/>
      <c r="I7289" s="1163" t="str">
        <f t="shared" si="265"/>
        <v/>
      </c>
      <c r="K7289" s="1222"/>
    </row>
    <row r="7290" spans="1:14">
      <c r="A7290" s="1221"/>
      <c r="B7290" s="371"/>
      <c r="C7290" s="325" t="s">
        <v>1</v>
      </c>
      <c r="D7290" s="368">
        <v>1</v>
      </c>
      <c r="E7290" s="323">
        <v>1</v>
      </c>
      <c r="F7290" s="1160">
        <v>15</v>
      </c>
      <c r="G7290" s="1160">
        <v>0.6</v>
      </c>
      <c r="H7290" s="1160"/>
      <c r="I7290" s="1163">
        <f t="shared" si="265"/>
        <v>9</v>
      </c>
      <c r="K7290" s="1222"/>
    </row>
    <row r="7291" spans="1:14">
      <c r="A7291" s="1221"/>
      <c r="B7291" s="370"/>
      <c r="C7291" s="325"/>
      <c r="D7291" s="368"/>
      <c r="E7291" s="323"/>
      <c r="F7291" s="1160"/>
      <c r="G7291" s="1160"/>
      <c r="H7291" s="1160"/>
      <c r="I7291" s="938" t="str">
        <f t="shared" ref="I7291" si="266">IF(D7291&lt;&gt;0,ROUND(PRODUCT(E7291:H7291)*D7291,2),"")</f>
        <v/>
      </c>
      <c r="K7291" s="1222"/>
    </row>
    <row r="7292" spans="1:14" s="398" customFormat="1">
      <c r="A7292" s="1250"/>
      <c r="B7292" s="161" t="s">
        <v>928</v>
      </c>
      <c r="C7292" s="388" t="s">
        <v>1</v>
      </c>
      <c r="D7292" s="392"/>
      <c r="E7292" s="165"/>
      <c r="F7292" s="401"/>
      <c r="G7292" s="401"/>
      <c r="H7292" s="401"/>
      <c r="I7292" s="938" t="str">
        <f t="shared" si="262"/>
        <v/>
      </c>
      <c r="J7292" s="403">
        <f>SUM(I7018:I7292)</f>
        <v>10795.980000000001</v>
      </c>
      <c r="K7292" s="1277" t="s">
        <v>1690</v>
      </c>
      <c r="L7292" s="431"/>
      <c r="M7292" s="431"/>
      <c r="N7292" s="431"/>
    </row>
    <row r="7293" spans="1:14">
      <c r="A7293" s="1250"/>
      <c r="D7293" s="392"/>
      <c r="E7293" s="165"/>
      <c r="F7293" s="401"/>
      <c r="G7293" s="401"/>
      <c r="H7293" s="401"/>
      <c r="I7293" s="1182"/>
      <c r="J7293" s="432">
        <f>SUM(J7017:J7292)</f>
        <v>10795.980000000001</v>
      </c>
      <c r="K7293" s="1242"/>
    </row>
    <row r="7294" spans="1:14">
      <c r="A7294" s="1250"/>
      <c r="D7294" s="392"/>
      <c r="E7294" s="165"/>
      <c r="F7294" s="401"/>
      <c r="G7294" s="401"/>
      <c r="H7294" s="401"/>
      <c r="I7294" s="1182"/>
      <c r="K7294" s="1242"/>
    </row>
    <row r="7295" spans="1:14">
      <c r="A7295" s="1330" t="s">
        <v>2143</v>
      </c>
      <c r="B7295" s="768" t="s">
        <v>8</v>
      </c>
      <c r="C7295" s="422"/>
      <c r="D7295" s="436"/>
      <c r="E7295" s="628"/>
      <c r="F7295" s="1391"/>
      <c r="G7295" s="1391"/>
      <c r="H7295" s="1391"/>
      <c r="I7295" s="1172" t="str">
        <f t="shared" si="255"/>
        <v/>
      </c>
      <c r="J7295" s="423"/>
      <c r="K7295" s="1331"/>
    </row>
    <row r="7296" spans="1:14" s="398" customFormat="1" hidden="1" outlineLevel="1">
      <c r="A7296" s="1221"/>
      <c r="B7296" s="425" t="s">
        <v>156</v>
      </c>
      <c r="C7296" s="165" t="s">
        <v>1</v>
      </c>
      <c r="D7296" s="437">
        <v>2</v>
      </c>
      <c r="E7296" s="414"/>
      <c r="F7296" s="486">
        <f>5.69+3+2+0.23*2</f>
        <v>11.150000000000002</v>
      </c>
      <c r="G7296" s="486"/>
      <c r="H7296" s="486">
        <v>0.2</v>
      </c>
      <c r="I7296" s="1129">
        <f t="shared" ref="I7296:I7392" si="267">IF(D7296&lt;&gt;0,ROUND(PRODUCT(E7296:H7296)*D7296,2),"")</f>
        <v>4.46</v>
      </c>
      <c r="J7296" s="399"/>
      <c r="K7296" s="1237" t="s">
        <v>2167</v>
      </c>
      <c r="L7296" s="431"/>
      <c r="M7296" s="431"/>
      <c r="N7296" s="431"/>
    </row>
    <row r="7297" spans="1:14" s="398" customFormat="1" hidden="1" outlineLevel="1">
      <c r="A7297" s="1221"/>
      <c r="B7297" s="425" t="s">
        <v>105</v>
      </c>
      <c r="C7297" s="165" t="s">
        <v>1</v>
      </c>
      <c r="D7297" s="437">
        <f>2+2</f>
        <v>4</v>
      </c>
      <c r="E7297" s="414"/>
      <c r="F7297" s="486">
        <f>5.69+3+0.23</f>
        <v>8.9200000000000017</v>
      </c>
      <c r="G7297" s="486"/>
      <c r="H7297" s="486">
        <v>0.2</v>
      </c>
      <c r="I7297" s="1129">
        <f t="shared" si="267"/>
        <v>7.14</v>
      </c>
      <c r="J7297" s="399"/>
      <c r="K7297" s="1237" t="s">
        <v>2167</v>
      </c>
      <c r="L7297" s="431"/>
      <c r="M7297" s="431"/>
      <c r="N7297" s="431"/>
    </row>
    <row r="7298" spans="1:14" s="398" customFormat="1" hidden="1" outlineLevel="1">
      <c r="A7298" s="1221"/>
      <c r="B7298" s="425"/>
      <c r="C7298" s="165" t="s">
        <v>1</v>
      </c>
      <c r="D7298" s="437">
        <v>2</v>
      </c>
      <c r="E7298" s="414"/>
      <c r="F7298" s="486">
        <f>1.8+3+3.92+0.6+0.23*2</f>
        <v>9.7799999999999994</v>
      </c>
      <c r="G7298" s="486"/>
      <c r="H7298" s="486">
        <v>0.2</v>
      </c>
      <c r="I7298" s="1129">
        <f t="shared" si="267"/>
        <v>3.91</v>
      </c>
      <c r="J7298" s="399"/>
      <c r="K7298" s="1237" t="s">
        <v>2167</v>
      </c>
      <c r="L7298" s="431"/>
      <c r="M7298" s="431"/>
      <c r="N7298" s="431"/>
    </row>
    <row r="7299" spans="1:14" s="398" customFormat="1" hidden="1" outlineLevel="1">
      <c r="A7299" s="1221"/>
      <c r="B7299" s="425"/>
      <c r="C7299" s="165" t="s">
        <v>1</v>
      </c>
      <c r="D7299" s="437">
        <v>2</v>
      </c>
      <c r="E7299" s="414"/>
      <c r="F7299" s="486">
        <f>3.29+3+0.23</f>
        <v>6.5200000000000005</v>
      </c>
      <c r="G7299" s="486"/>
      <c r="H7299" s="486">
        <v>0.2</v>
      </c>
      <c r="I7299" s="1129">
        <f t="shared" si="267"/>
        <v>2.61</v>
      </c>
      <c r="J7299" s="399"/>
      <c r="K7299" s="1237" t="s">
        <v>2167</v>
      </c>
      <c r="L7299" s="431"/>
      <c r="M7299" s="431"/>
      <c r="N7299" s="431"/>
    </row>
    <row r="7300" spans="1:14" s="398" customFormat="1" hidden="1" outlineLevel="1">
      <c r="A7300" s="1221"/>
      <c r="B7300" s="425"/>
      <c r="C7300" s="165" t="s">
        <v>1</v>
      </c>
      <c r="D7300" s="437">
        <f>1+1</f>
        <v>2</v>
      </c>
      <c r="E7300" s="414"/>
      <c r="F7300" s="486">
        <f>1.56+2+4.43-2+0.23</f>
        <v>6.2200000000000006</v>
      </c>
      <c r="G7300" s="486"/>
      <c r="H7300" s="486">
        <v>0.2</v>
      </c>
      <c r="I7300" s="1129">
        <f t="shared" si="267"/>
        <v>2.4900000000000002</v>
      </c>
      <c r="J7300" s="399"/>
      <c r="K7300" s="1237" t="s">
        <v>2167</v>
      </c>
      <c r="L7300" s="431"/>
      <c r="M7300" s="431"/>
      <c r="N7300" s="431"/>
    </row>
    <row r="7301" spans="1:14" s="398" customFormat="1" hidden="1" outlineLevel="1">
      <c r="A7301" s="1221"/>
      <c r="B7301" s="425"/>
      <c r="C7301" s="165" t="s">
        <v>1</v>
      </c>
      <c r="D7301" s="437">
        <f>1+1</f>
        <v>2</v>
      </c>
      <c r="E7301" s="414"/>
      <c r="F7301" s="486">
        <f>1.56+4.43+0.23*2</f>
        <v>6.45</v>
      </c>
      <c r="G7301" s="486"/>
      <c r="H7301" s="486">
        <v>0.2</v>
      </c>
      <c r="I7301" s="1129">
        <f t="shared" si="267"/>
        <v>2.58</v>
      </c>
      <c r="J7301" s="399"/>
      <c r="K7301" s="1237" t="s">
        <v>2167</v>
      </c>
      <c r="L7301" s="431"/>
      <c r="M7301" s="431"/>
      <c r="N7301" s="431"/>
    </row>
    <row r="7302" spans="1:14" s="398" customFormat="1" hidden="1" outlineLevel="1">
      <c r="A7302" s="1221"/>
      <c r="B7302" s="425"/>
      <c r="C7302" s="165" t="s">
        <v>1</v>
      </c>
      <c r="D7302" s="437">
        <f>1+1</f>
        <v>2</v>
      </c>
      <c r="E7302" s="414"/>
      <c r="F7302" s="486">
        <f>4.43+0.23</f>
        <v>4.66</v>
      </c>
      <c r="G7302" s="486"/>
      <c r="H7302" s="486">
        <v>0.2</v>
      </c>
      <c r="I7302" s="1129">
        <f t="shared" si="267"/>
        <v>1.86</v>
      </c>
      <c r="J7302" s="399"/>
      <c r="K7302" s="1237" t="s">
        <v>2167</v>
      </c>
      <c r="L7302" s="431"/>
      <c r="M7302" s="431"/>
      <c r="N7302" s="431"/>
    </row>
    <row r="7303" spans="1:14" s="398" customFormat="1" hidden="1" outlineLevel="1">
      <c r="A7303" s="1221"/>
      <c r="B7303" s="425"/>
      <c r="C7303" s="165" t="s">
        <v>1</v>
      </c>
      <c r="D7303" s="437">
        <f>1+1</f>
        <v>2</v>
      </c>
      <c r="E7303" s="414"/>
      <c r="F7303" s="486">
        <f>6.43+0.23*2</f>
        <v>6.89</v>
      </c>
      <c r="G7303" s="486"/>
      <c r="H7303" s="486">
        <v>0.2</v>
      </c>
      <c r="I7303" s="1129">
        <f t="shared" si="267"/>
        <v>2.76</v>
      </c>
      <c r="J7303" s="399"/>
      <c r="K7303" s="1237" t="s">
        <v>2167</v>
      </c>
      <c r="L7303" s="431"/>
      <c r="M7303" s="431"/>
      <c r="N7303" s="431"/>
    </row>
    <row r="7304" spans="1:14" s="398" customFormat="1" hidden="1" outlineLevel="1">
      <c r="A7304" s="1221"/>
      <c r="B7304" s="425" t="s">
        <v>157</v>
      </c>
      <c r="C7304" s="165" t="s">
        <v>1</v>
      </c>
      <c r="D7304" s="437">
        <f>5*2</f>
        <v>10</v>
      </c>
      <c r="E7304" s="414"/>
      <c r="F7304" s="486">
        <v>0.61499999999999999</v>
      </c>
      <c r="G7304" s="486"/>
      <c r="H7304" s="486">
        <v>0.2</v>
      </c>
      <c r="I7304" s="1129">
        <f t="shared" si="267"/>
        <v>1.23</v>
      </c>
      <c r="J7304" s="399"/>
      <c r="K7304" s="1237" t="s">
        <v>2167</v>
      </c>
      <c r="L7304" s="431"/>
      <c r="M7304" s="431"/>
      <c r="N7304" s="431"/>
    </row>
    <row r="7305" spans="1:14" s="398" customFormat="1" hidden="1" outlineLevel="1">
      <c r="A7305" s="1221"/>
      <c r="B7305" s="425"/>
      <c r="C7305" s="165" t="s">
        <v>1</v>
      </c>
      <c r="D7305" s="437">
        <f>1+1</f>
        <v>2</v>
      </c>
      <c r="E7305" s="414"/>
      <c r="F7305" s="486">
        <f>3.36+0.23*2</f>
        <v>3.82</v>
      </c>
      <c r="G7305" s="486"/>
      <c r="H7305" s="486">
        <v>0.2</v>
      </c>
      <c r="I7305" s="1129">
        <f t="shared" si="267"/>
        <v>1.53</v>
      </c>
      <c r="J7305" s="399"/>
      <c r="K7305" s="1237" t="s">
        <v>2167</v>
      </c>
      <c r="L7305" s="431"/>
      <c r="M7305" s="431"/>
      <c r="N7305" s="431"/>
    </row>
    <row r="7306" spans="1:14" s="398" customFormat="1" hidden="1" outlineLevel="1">
      <c r="A7306" s="1221"/>
      <c r="B7306" s="425"/>
      <c r="C7306" s="165" t="s">
        <v>1</v>
      </c>
      <c r="D7306" s="437">
        <f>4+4</f>
        <v>8</v>
      </c>
      <c r="E7306" s="414"/>
      <c r="F7306" s="486">
        <f>2.13-0.23*2</f>
        <v>1.67</v>
      </c>
      <c r="G7306" s="486"/>
      <c r="H7306" s="486">
        <v>0.2</v>
      </c>
      <c r="I7306" s="1129">
        <f t="shared" si="267"/>
        <v>2.67</v>
      </c>
      <c r="J7306" s="399"/>
      <c r="K7306" s="1237" t="s">
        <v>2167</v>
      </c>
      <c r="L7306" s="431"/>
      <c r="M7306" s="431"/>
      <c r="N7306" s="431"/>
    </row>
    <row r="7307" spans="1:14" s="398" customFormat="1" hidden="1" outlineLevel="1">
      <c r="A7307" s="1221"/>
      <c r="B7307" s="425"/>
      <c r="C7307" s="165" t="s">
        <v>1</v>
      </c>
      <c r="D7307" s="437">
        <f>3+3</f>
        <v>6</v>
      </c>
      <c r="E7307" s="414"/>
      <c r="F7307" s="662">
        <v>2.5150000000000001</v>
      </c>
      <c r="G7307" s="486"/>
      <c r="H7307" s="486">
        <v>0.2</v>
      </c>
      <c r="I7307" s="1129">
        <f t="shared" si="267"/>
        <v>3.02</v>
      </c>
      <c r="J7307" s="399"/>
      <c r="K7307" s="1237" t="s">
        <v>2167</v>
      </c>
      <c r="L7307" s="431"/>
      <c r="M7307" s="431"/>
      <c r="N7307" s="431"/>
    </row>
    <row r="7308" spans="1:14" s="398" customFormat="1" hidden="1" outlineLevel="1">
      <c r="A7308" s="1221"/>
      <c r="B7308" s="425" t="s">
        <v>106</v>
      </c>
      <c r="C7308" s="165" t="s">
        <v>1</v>
      </c>
      <c r="D7308" s="437">
        <f>1+1</f>
        <v>2</v>
      </c>
      <c r="E7308" s="414"/>
      <c r="F7308" s="486">
        <f>5.53+0.23*2</f>
        <v>5.99</v>
      </c>
      <c r="G7308" s="486"/>
      <c r="H7308" s="486">
        <v>0.2</v>
      </c>
      <c r="I7308" s="1129">
        <f t="shared" si="267"/>
        <v>2.4</v>
      </c>
      <c r="J7308" s="399"/>
      <c r="K7308" s="1237" t="s">
        <v>2167</v>
      </c>
      <c r="L7308" s="431"/>
      <c r="M7308" s="431"/>
      <c r="N7308" s="431"/>
    </row>
    <row r="7309" spans="1:14" s="398" customFormat="1" hidden="1" outlineLevel="1">
      <c r="A7309" s="1221"/>
      <c r="B7309" s="425" t="s">
        <v>107</v>
      </c>
      <c r="C7309" s="165" t="s">
        <v>1</v>
      </c>
      <c r="D7309" s="437">
        <f>1+1</f>
        <v>2</v>
      </c>
      <c r="E7309" s="414"/>
      <c r="F7309" s="486">
        <f>1.2+2.33+0.23*2</f>
        <v>3.99</v>
      </c>
      <c r="G7309" s="486"/>
      <c r="H7309" s="486">
        <v>0.2</v>
      </c>
      <c r="I7309" s="1129">
        <f t="shared" si="267"/>
        <v>1.6</v>
      </c>
      <c r="J7309" s="399"/>
      <c r="K7309" s="1237" t="s">
        <v>2167</v>
      </c>
      <c r="L7309" s="431"/>
      <c r="M7309" s="431"/>
      <c r="N7309" s="431"/>
    </row>
    <row r="7310" spans="1:14" s="398" customFormat="1" hidden="1" outlineLevel="1">
      <c r="A7310" s="1221"/>
      <c r="B7310" s="425"/>
      <c r="C7310" s="165" t="s">
        <v>1</v>
      </c>
      <c r="D7310" s="437">
        <f>2+2</f>
        <v>4</v>
      </c>
      <c r="E7310" s="414"/>
      <c r="F7310" s="486">
        <f>1.73+0.23*2</f>
        <v>2.19</v>
      </c>
      <c r="G7310" s="486"/>
      <c r="H7310" s="486">
        <v>0.2</v>
      </c>
      <c r="I7310" s="1129">
        <f t="shared" si="267"/>
        <v>1.75</v>
      </c>
      <c r="J7310" s="399"/>
      <c r="K7310" s="1237" t="s">
        <v>2167</v>
      </c>
      <c r="L7310" s="431"/>
      <c r="M7310" s="431"/>
      <c r="N7310" s="431"/>
    </row>
    <row r="7311" spans="1:14" s="398" customFormat="1" hidden="1" outlineLevel="1">
      <c r="A7311" s="1221"/>
      <c r="B7311" s="425"/>
      <c r="C7311" s="165" t="s">
        <v>1</v>
      </c>
      <c r="D7311" s="437">
        <f>2+2</f>
        <v>4</v>
      </c>
      <c r="E7311" s="414"/>
      <c r="F7311" s="486">
        <f>0.9+2+1.43-2+0.23*2</f>
        <v>2.79</v>
      </c>
      <c r="G7311" s="486"/>
      <c r="H7311" s="486">
        <v>0.2</v>
      </c>
      <c r="I7311" s="1129">
        <f t="shared" si="267"/>
        <v>2.23</v>
      </c>
      <c r="J7311" s="399"/>
      <c r="K7311" s="1237" t="s">
        <v>2167</v>
      </c>
      <c r="L7311" s="431"/>
      <c r="M7311" s="431"/>
      <c r="N7311" s="431"/>
    </row>
    <row r="7312" spans="1:14" s="398" customFormat="1" hidden="1" outlineLevel="1">
      <c r="A7312" s="1221"/>
      <c r="B7312" s="425"/>
      <c r="C7312" s="165" t="s">
        <v>1</v>
      </c>
      <c r="D7312" s="437">
        <f>1+1</f>
        <v>2</v>
      </c>
      <c r="E7312" s="414"/>
      <c r="F7312" s="486">
        <f>1.43+0.23</f>
        <v>1.66</v>
      </c>
      <c r="G7312" s="486"/>
      <c r="H7312" s="486">
        <v>0.2</v>
      </c>
      <c r="I7312" s="1129">
        <f t="shared" si="267"/>
        <v>0.66</v>
      </c>
      <c r="J7312" s="399"/>
      <c r="K7312" s="1237" t="s">
        <v>2167</v>
      </c>
      <c r="L7312" s="431"/>
      <c r="M7312" s="431"/>
      <c r="N7312" s="431"/>
    </row>
    <row r="7313" spans="1:14" s="398" customFormat="1" hidden="1" outlineLevel="1">
      <c r="A7313" s="1221"/>
      <c r="B7313" s="425"/>
      <c r="C7313" s="165" t="s">
        <v>1</v>
      </c>
      <c r="D7313" s="437">
        <f>1+1</f>
        <v>2</v>
      </c>
      <c r="E7313" s="414"/>
      <c r="F7313" s="486">
        <f>1.43+2+0.23*2</f>
        <v>3.8899999999999997</v>
      </c>
      <c r="G7313" s="486"/>
      <c r="H7313" s="486">
        <v>0.2</v>
      </c>
      <c r="I7313" s="1129">
        <f t="shared" si="267"/>
        <v>1.56</v>
      </c>
      <c r="J7313" s="399"/>
      <c r="K7313" s="1237" t="s">
        <v>2167</v>
      </c>
      <c r="L7313" s="431"/>
      <c r="M7313" s="431"/>
      <c r="N7313" s="431"/>
    </row>
    <row r="7314" spans="1:14" s="398" customFormat="1" hidden="1" outlineLevel="1">
      <c r="A7314" s="1221"/>
      <c r="B7314" s="425" t="s">
        <v>108</v>
      </c>
      <c r="C7314" s="165" t="s">
        <v>1</v>
      </c>
      <c r="D7314" s="437">
        <f>5*2</f>
        <v>10</v>
      </c>
      <c r="E7314" s="414"/>
      <c r="F7314" s="486">
        <v>0.61499999999999999</v>
      </c>
      <c r="G7314" s="486"/>
      <c r="H7314" s="486">
        <v>0.2</v>
      </c>
      <c r="I7314" s="1129">
        <f t="shared" si="267"/>
        <v>1.23</v>
      </c>
      <c r="J7314" s="399"/>
      <c r="K7314" s="1237" t="s">
        <v>2167</v>
      </c>
      <c r="L7314" s="431"/>
      <c r="M7314" s="431"/>
      <c r="N7314" s="431"/>
    </row>
    <row r="7315" spans="1:14" s="398" customFormat="1" hidden="1" outlineLevel="1">
      <c r="A7315" s="1221"/>
      <c r="B7315" s="425"/>
      <c r="C7315" s="165" t="s">
        <v>1</v>
      </c>
      <c r="D7315" s="437">
        <f>3+3</f>
        <v>6</v>
      </c>
      <c r="E7315" s="414"/>
      <c r="F7315" s="662">
        <v>2.5150000000000001</v>
      </c>
      <c r="G7315" s="486"/>
      <c r="H7315" s="486">
        <v>0.2</v>
      </c>
      <c r="I7315" s="1129">
        <f t="shared" si="267"/>
        <v>3.02</v>
      </c>
      <c r="J7315" s="399"/>
      <c r="K7315" s="1237" t="s">
        <v>2167</v>
      </c>
      <c r="L7315" s="431"/>
      <c r="M7315" s="431"/>
      <c r="N7315" s="431"/>
    </row>
    <row r="7316" spans="1:14" s="398" customFormat="1" hidden="1" outlineLevel="1">
      <c r="A7316" s="1221"/>
      <c r="B7316" s="425"/>
      <c r="C7316" s="165" t="s">
        <v>1</v>
      </c>
      <c r="D7316" s="437">
        <f>3+3</f>
        <v>6</v>
      </c>
      <c r="E7316" s="414"/>
      <c r="F7316" s="486">
        <f>2.13-0.23*2</f>
        <v>1.67</v>
      </c>
      <c r="G7316" s="486"/>
      <c r="H7316" s="486">
        <v>0.2</v>
      </c>
      <c r="I7316" s="1129">
        <f t="shared" si="267"/>
        <v>2</v>
      </c>
      <c r="J7316" s="399"/>
      <c r="K7316" s="1237" t="s">
        <v>2167</v>
      </c>
      <c r="L7316" s="431"/>
      <c r="M7316" s="431"/>
      <c r="N7316" s="431"/>
    </row>
    <row r="7317" spans="1:14" s="398" customFormat="1" ht="34.5" hidden="1" outlineLevel="1">
      <c r="A7317" s="1221"/>
      <c r="B7317" s="425" t="s">
        <v>109</v>
      </c>
      <c r="C7317" s="165" t="s">
        <v>1</v>
      </c>
      <c r="D7317" s="437">
        <f>1+1</f>
        <v>2</v>
      </c>
      <c r="E7317" s="414"/>
      <c r="F7317" s="486">
        <f>9.155+0.23*2</f>
        <v>9.6150000000000002</v>
      </c>
      <c r="G7317" s="486"/>
      <c r="H7317" s="486">
        <v>0.2</v>
      </c>
      <c r="I7317" s="1129">
        <f t="shared" si="267"/>
        <v>3.85</v>
      </c>
      <c r="J7317" s="399"/>
      <c r="K7317" s="1237" t="s">
        <v>2167</v>
      </c>
      <c r="L7317" s="431"/>
      <c r="M7317" s="431"/>
      <c r="N7317" s="431"/>
    </row>
    <row r="7318" spans="1:14" s="398" customFormat="1" hidden="1" outlineLevel="1">
      <c r="A7318" s="1221"/>
      <c r="B7318" s="425"/>
      <c r="C7318" s="165" t="s">
        <v>1</v>
      </c>
      <c r="D7318" s="437">
        <f>2+2</f>
        <v>4</v>
      </c>
      <c r="E7318" s="414"/>
      <c r="F7318" s="486">
        <f>3+4.015+0.23</f>
        <v>7.2450000000000001</v>
      </c>
      <c r="G7318" s="486"/>
      <c r="H7318" s="486">
        <v>0.2</v>
      </c>
      <c r="I7318" s="1129">
        <f t="shared" si="267"/>
        <v>5.8</v>
      </c>
      <c r="J7318" s="399"/>
      <c r="K7318" s="1237" t="s">
        <v>2167</v>
      </c>
      <c r="L7318" s="431"/>
      <c r="M7318" s="431"/>
      <c r="N7318" s="431"/>
    </row>
    <row r="7319" spans="1:14" s="398" customFormat="1" hidden="1" outlineLevel="1">
      <c r="A7319" s="1221"/>
      <c r="B7319" s="425"/>
      <c r="C7319" s="165" t="s">
        <v>1</v>
      </c>
      <c r="D7319" s="437">
        <f>1+1</f>
        <v>2</v>
      </c>
      <c r="E7319" s="414"/>
      <c r="F7319" s="486">
        <f>2.49+3+1.525+0.23*2</f>
        <v>7.4750000000000005</v>
      </c>
      <c r="G7319" s="486"/>
      <c r="H7319" s="486">
        <v>0.2</v>
      </c>
      <c r="I7319" s="1129">
        <f t="shared" si="267"/>
        <v>2.99</v>
      </c>
      <c r="J7319" s="399"/>
      <c r="K7319" s="1237" t="s">
        <v>2167</v>
      </c>
      <c r="L7319" s="431"/>
      <c r="M7319" s="431"/>
      <c r="N7319" s="431"/>
    </row>
    <row r="7320" spans="1:14" s="398" customFormat="1" hidden="1" outlineLevel="1">
      <c r="A7320" s="1221"/>
      <c r="B7320" s="425"/>
      <c r="C7320" s="165" t="s">
        <v>1</v>
      </c>
      <c r="D7320" s="437">
        <f>1+1</f>
        <v>2</v>
      </c>
      <c r="E7320" s="414"/>
      <c r="F7320" s="486">
        <f>1.2+2.14+2.44-2.14+0.23</f>
        <v>3.8699999999999992</v>
      </c>
      <c r="G7320" s="486"/>
      <c r="H7320" s="486">
        <v>0.2</v>
      </c>
      <c r="I7320" s="1129">
        <f t="shared" si="267"/>
        <v>1.55</v>
      </c>
      <c r="J7320" s="399"/>
      <c r="K7320" s="1237" t="s">
        <v>2167</v>
      </c>
      <c r="L7320" s="431"/>
      <c r="M7320" s="431"/>
      <c r="N7320" s="431"/>
    </row>
    <row r="7321" spans="1:14" s="398" customFormat="1" hidden="1" outlineLevel="1">
      <c r="A7321" s="1221"/>
      <c r="B7321" s="425"/>
      <c r="C7321" s="165" t="s">
        <v>1</v>
      </c>
      <c r="D7321" s="437">
        <f>1+1</f>
        <v>2</v>
      </c>
      <c r="E7321" s="414"/>
      <c r="F7321" s="486">
        <f>1.2+2.44+0.23*2</f>
        <v>4.0999999999999996</v>
      </c>
      <c r="G7321" s="486"/>
      <c r="H7321" s="486">
        <v>0.2</v>
      </c>
      <c r="I7321" s="1129">
        <f t="shared" si="267"/>
        <v>1.64</v>
      </c>
      <c r="J7321" s="399"/>
      <c r="K7321" s="1237" t="s">
        <v>2167</v>
      </c>
      <c r="L7321" s="431"/>
      <c r="M7321" s="431"/>
      <c r="N7321" s="431"/>
    </row>
    <row r="7322" spans="1:14" s="398" customFormat="1" hidden="1" outlineLevel="1">
      <c r="A7322" s="1221"/>
      <c r="B7322" s="425"/>
      <c r="C7322" s="165" t="s">
        <v>1</v>
      </c>
      <c r="D7322" s="437">
        <f>2+2</f>
        <v>4</v>
      </c>
      <c r="E7322" s="414"/>
      <c r="F7322" s="486">
        <f>3.965+0.23</f>
        <v>4.1950000000000003</v>
      </c>
      <c r="G7322" s="486"/>
      <c r="H7322" s="486">
        <v>0.2</v>
      </c>
      <c r="I7322" s="1129">
        <f t="shared" si="267"/>
        <v>3.36</v>
      </c>
      <c r="J7322" s="399"/>
      <c r="K7322" s="1237" t="s">
        <v>2167</v>
      </c>
      <c r="L7322" s="431"/>
      <c r="M7322" s="431"/>
      <c r="N7322" s="431"/>
    </row>
    <row r="7323" spans="1:14" s="398" customFormat="1" hidden="1" outlineLevel="1">
      <c r="A7323" s="1221"/>
      <c r="B7323" s="425"/>
      <c r="C7323" s="165" t="s">
        <v>1</v>
      </c>
      <c r="D7323" s="437">
        <f>1+1</f>
        <v>2</v>
      </c>
      <c r="E7323" s="414"/>
      <c r="F7323" s="486">
        <f>0.915+2.14+2.41-2.14+0.23</f>
        <v>3.5549999999999997</v>
      </c>
      <c r="G7323" s="486"/>
      <c r="H7323" s="486">
        <v>0.2</v>
      </c>
      <c r="I7323" s="1129">
        <f t="shared" si="267"/>
        <v>1.42</v>
      </c>
      <c r="J7323" s="399"/>
      <c r="K7323" s="1237" t="s">
        <v>2167</v>
      </c>
      <c r="L7323" s="431"/>
      <c r="M7323" s="431"/>
      <c r="N7323" s="431"/>
    </row>
    <row r="7324" spans="1:14" s="398" customFormat="1" hidden="1" outlineLevel="1">
      <c r="A7324" s="1221"/>
      <c r="B7324" s="425"/>
      <c r="C7324" s="165" t="s">
        <v>1</v>
      </c>
      <c r="D7324" s="437">
        <f>1+1</f>
        <v>2</v>
      </c>
      <c r="E7324" s="414"/>
      <c r="F7324" s="486">
        <f>0.915+2.41+0.23*2</f>
        <v>3.7850000000000001</v>
      </c>
      <c r="G7324" s="486"/>
      <c r="H7324" s="486">
        <v>0.2</v>
      </c>
      <c r="I7324" s="1129">
        <f t="shared" si="267"/>
        <v>1.51</v>
      </c>
      <c r="J7324" s="399"/>
      <c r="K7324" s="1237" t="s">
        <v>2167</v>
      </c>
      <c r="L7324" s="431"/>
      <c r="M7324" s="431"/>
      <c r="N7324" s="431"/>
    </row>
    <row r="7325" spans="1:14" s="398" customFormat="1" hidden="1" outlineLevel="1">
      <c r="A7325" s="1221"/>
      <c r="B7325" s="425"/>
      <c r="C7325" s="165" t="s">
        <v>1</v>
      </c>
      <c r="D7325" s="437">
        <f>1+1</f>
        <v>2</v>
      </c>
      <c r="E7325" s="414"/>
      <c r="F7325" s="486">
        <f>2.41+0.23</f>
        <v>2.64</v>
      </c>
      <c r="G7325" s="486"/>
      <c r="H7325" s="486">
        <v>0.2</v>
      </c>
      <c r="I7325" s="1129">
        <f t="shared" si="267"/>
        <v>1.06</v>
      </c>
      <c r="J7325" s="399"/>
      <c r="K7325" s="1237" t="s">
        <v>2167</v>
      </c>
      <c r="L7325" s="431"/>
      <c r="M7325" s="431"/>
      <c r="N7325" s="431"/>
    </row>
    <row r="7326" spans="1:14" s="398" customFormat="1" hidden="1" outlineLevel="1">
      <c r="A7326" s="1221"/>
      <c r="B7326" s="425"/>
      <c r="C7326" s="165" t="s">
        <v>1</v>
      </c>
      <c r="D7326" s="437">
        <f>1+1</f>
        <v>2</v>
      </c>
      <c r="E7326" s="414"/>
      <c r="F7326" s="486">
        <f>2.14+2.41-2.14+0.23*2</f>
        <v>2.8700000000000006</v>
      </c>
      <c r="G7326" s="486"/>
      <c r="H7326" s="486">
        <v>0.2</v>
      </c>
      <c r="I7326" s="1129">
        <f t="shared" si="267"/>
        <v>1.1499999999999999</v>
      </c>
      <c r="J7326" s="399"/>
      <c r="K7326" s="1237" t="s">
        <v>2167</v>
      </c>
      <c r="L7326" s="431"/>
      <c r="M7326" s="431"/>
      <c r="N7326" s="431"/>
    </row>
    <row r="7327" spans="1:14" s="398" customFormat="1" hidden="1" outlineLevel="1">
      <c r="A7327" s="1221"/>
      <c r="B7327" s="425"/>
      <c r="C7327" s="165" t="s">
        <v>1</v>
      </c>
      <c r="D7327" s="437">
        <f>2+2</f>
        <v>4</v>
      </c>
      <c r="E7327" s="414"/>
      <c r="F7327" s="662">
        <v>2.2599999999999998</v>
      </c>
      <c r="G7327" s="486"/>
      <c r="H7327" s="486">
        <v>0.2</v>
      </c>
      <c r="I7327" s="1129">
        <f t="shared" si="267"/>
        <v>1.81</v>
      </c>
      <c r="J7327" s="399"/>
      <c r="K7327" s="1237" t="s">
        <v>2167</v>
      </c>
      <c r="L7327" s="431"/>
      <c r="M7327" s="431"/>
      <c r="N7327" s="431"/>
    </row>
    <row r="7328" spans="1:14" s="398" customFormat="1" hidden="1" outlineLevel="1">
      <c r="A7328" s="1221"/>
      <c r="B7328" s="425"/>
      <c r="C7328" s="165" t="s">
        <v>1</v>
      </c>
      <c r="D7328" s="437">
        <f>1+1</f>
        <v>2</v>
      </c>
      <c r="E7328" s="414"/>
      <c r="F7328" s="486">
        <f>2.11+0.23*2</f>
        <v>2.57</v>
      </c>
      <c r="G7328" s="486"/>
      <c r="H7328" s="486">
        <v>0.2</v>
      </c>
      <c r="I7328" s="1129">
        <f t="shared" si="267"/>
        <v>1.03</v>
      </c>
      <c r="J7328" s="399"/>
      <c r="K7328" s="1237" t="s">
        <v>2167</v>
      </c>
      <c r="L7328" s="431"/>
      <c r="M7328" s="431"/>
      <c r="N7328" s="431"/>
    </row>
    <row r="7329" spans="1:14" s="398" customFormat="1" ht="34.5" hidden="1" outlineLevel="1">
      <c r="A7329" s="1221"/>
      <c r="B7329" s="425" t="s">
        <v>110</v>
      </c>
      <c r="C7329" s="165" t="s">
        <v>1</v>
      </c>
      <c r="D7329" s="437">
        <f>5*2</f>
        <v>10</v>
      </c>
      <c r="E7329" s="414"/>
      <c r="F7329" s="486">
        <v>0.6</v>
      </c>
      <c r="G7329" s="486"/>
      <c r="H7329" s="486">
        <v>0.2</v>
      </c>
      <c r="I7329" s="1129">
        <f t="shared" si="267"/>
        <v>1.2</v>
      </c>
      <c r="J7329" s="399"/>
      <c r="K7329" s="1237" t="s">
        <v>2167</v>
      </c>
      <c r="L7329" s="431"/>
      <c r="M7329" s="431"/>
      <c r="N7329" s="431"/>
    </row>
    <row r="7330" spans="1:14" s="398" customFormat="1" hidden="1" outlineLevel="1">
      <c r="A7330" s="1221"/>
      <c r="B7330" s="425"/>
      <c r="C7330" s="165" t="s">
        <v>1</v>
      </c>
      <c r="D7330" s="438">
        <v>12</v>
      </c>
      <c r="E7330" s="414"/>
      <c r="F7330" s="486">
        <f>2-0.23*2</f>
        <v>1.54</v>
      </c>
      <c r="G7330" s="486"/>
      <c r="H7330" s="486">
        <v>0.2</v>
      </c>
      <c r="I7330" s="1129">
        <f t="shared" si="267"/>
        <v>3.7</v>
      </c>
      <c r="J7330" s="399"/>
      <c r="K7330" s="1237" t="s">
        <v>2167</v>
      </c>
      <c r="L7330" s="431"/>
      <c r="M7330" s="431"/>
      <c r="N7330" s="431"/>
    </row>
    <row r="7331" spans="1:14" s="398" customFormat="1" hidden="1" outlineLevel="1">
      <c r="A7331" s="1221"/>
      <c r="B7331" s="425"/>
      <c r="C7331" s="165" t="s">
        <v>1</v>
      </c>
      <c r="D7331" s="437">
        <f>1+1</f>
        <v>2</v>
      </c>
      <c r="E7331" s="414"/>
      <c r="F7331" s="486">
        <v>3.2050000000000001</v>
      </c>
      <c r="G7331" s="486"/>
      <c r="H7331" s="486">
        <v>0.2</v>
      </c>
      <c r="I7331" s="1129">
        <f t="shared" si="267"/>
        <v>1.28</v>
      </c>
      <c r="J7331" s="399"/>
      <c r="K7331" s="1237" t="s">
        <v>2167</v>
      </c>
      <c r="L7331" s="431"/>
      <c r="M7331" s="431"/>
      <c r="N7331" s="431"/>
    </row>
    <row r="7332" spans="1:14" s="398" customFormat="1" hidden="1" outlineLevel="1">
      <c r="A7332" s="1221"/>
      <c r="B7332" s="425"/>
      <c r="C7332" s="165" t="s">
        <v>1</v>
      </c>
      <c r="D7332" s="437">
        <f>4*2</f>
        <v>8</v>
      </c>
      <c r="E7332" s="414"/>
      <c r="F7332" s="486">
        <f>2.6-0.23</f>
        <v>2.37</v>
      </c>
      <c r="G7332" s="486"/>
      <c r="H7332" s="486">
        <v>0.2</v>
      </c>
      <c r="I7332" s="1129">
        <f t="shared" si="267"/>
        <v>3.79</v>
      </c>
      <c r="J7332" s="399"/>
      <c r="K7332" s="1237" t="s">
        <v>2167</v>
      </c>
      <c r="L7332" s="431"/>
      <c r="M7332" s="431"/>
      <c r="N7332" s="431"/>
    </row>
    <row r="7333" spans="1:14" s="398" customFormat="1" hidden="1" outlineLevel="1">
      <c r="A7333" s="1221"/>
      <c r="B7333" s="425"/>
      <c r="C7333" s="165" t="s">
        <v>1</v>
      </c>
      <c r="D7333" s="437">
        <f t="shared" ref="D7333:D7338" si="268">1+1</f>
        <v>2</v>
      </c>
      <c r="E7333" s="414"/>
      <c r="F7333" s="486">
        <f>2.6</f>
        <v>2.6</v>
      </c>
      <c r="G7333" s="486"/>
      <c r="H7333" s="486">
        <v>0.2</v>
      </c>
      <c r="I7333" s="1129">
        <f t="shared" si="267"/>
        <v>1.04</v>
      </c>
      <c r="J7333" s="399"/>
      <c r="K7333" s="1237" t="s">
        <v>2167</v>
      </c>
      <c r="L7333" s="431"/>
      <c r="M7333" s="431"/>
      <c r="N7333" s="431"/>
    </row>
    <row r="7334" spans="1:14" s="398" customFormat="1" hidden="1" outlineLevel="1">
      <c r="A7334" s="1221"/>
      <c r="B7334" s="425"/>
      <c r="C7334" s="165" t="s">
        <v>1</v>
      </c>
      <c r="D7334" s="437">
        <f t="shared" si="268"/>
        <v>2</v>
      </c>
      <c r="E7334" s="414"/>
      <c r="F7334" s="486">
        <v>3.2</v>
      </c>
      <c r="G7334" s="486"/>
      <c r="H7334" s="486">
        <v>0.2</v>
      </c>
      <c r="I7334" s="1129">
        <f t="shared" si="267"/>
        <v>1.28</v>
      </c>
      <c r="J7334" s="399"/>
      <c r="K7334" s="1237" t="s">
        <v>2167</v>
      </c>
      <c r="L7334" s="431"/>
      <c r="M7334" s="431"/>
      <c r="N7334" s="431"/>
    </row>
    <row r="7335" spans="1:14" s="398" customFormat="1" ht="34.5" hidden="1" outlineLevel="1">
      <c r="A7335" s="1221"/>
      <c r="B7335" s="425" t="s">
        <v>111</v>
      </c>
      <c r="C7335" s="165" t="s">
        <v>1</v>
      </c>
      <c r="D7335" s="437">
        <f t="shared" si="268"/>
        <v>2</v>
      </c>
      <c r="E7335" s="414"/>
      <c r="F7335" s="486">
        <f>8.8+0.23*2</f>
        <v>9.2600000000000016</v>
      </c>
      <c r="G7335" s="486"/>
      <c r="H7335" s="486">
        <v>0.2</v>
      </c>
      <c r="I7335" s="1129">
        <f t="shared" si="267"/>
        <v>3.7</v>
      </c>
      <c r="J7335" s="399"/>
      <c r="K7335" s="1237" t="s">
        <v>2167</v>
      </c>
      <c r="L7335" s="431"/>
      <c r="M7335" s="431"/>
      <c r="N7335" s="431"/>
    </row>
    <row r="7336" spans="1:14" s="398" customFormat="1" hidden="1" outlineLevel="1">
      <c r="A7336" s="1221"/>
      <c r="B7336" s="425" t="s">
        <v>112</v>
      </c>
      <c r="C7336" s="165" t="s">
        <v>1</v>
      </c>
      <c r="D7336" s="437">
        <f t="shared" si="268"/>
        <v>2</v>
      </c>
      <c r="E7336" s="414"/>
      <c r="F7336" s="486">
        <f>4.2+2.8+0.23*2</f>
        <v>7.46</v>
      </c>
      <c r="G7336" s="486"/>
      <c r="H7336" s="486">
        <v>0.2</v>
      </c>
      <c r="I7336" s="1129">
        <f t="shared" si="267"/>
        <v>2.98</v>
      </c>
      <c r="J7336" s="399"/>
      <c r="K7336" s="1237" t="s">
        <v>2167</v>
      </c>
      <c r="L7336" s="431"/>
      <c r="M7336" s="431"/>
      <c r="N7336" s="431"/>
    </row>
    <row r="7337" spans="1:14" s="398" customFormat="1" hidden="1" outlineLevel="1">
      <c r="A7337" s="1221"/>
      <c r="B7337" s="425"/>
      <c r="C7337" s="165" t="s">
        <v>1</v>
      </c>
      <c r="D7337" s="437">
        <f t="shared" si="268"/>
        <v>2</v>
      </c>
      <c r="E7337" s="414"/>
      <c r="F7337" s="486">
        <f>2+4.2+1.8+0.23*2</f>
        <v>8.4600000000000009</v>
      </c>
      <c r="G7337" s="486"/>
      <c r="H7337" s="486">
        <v>0.2</v>
      </c>
      <c r="I7337" s="1129">
        <f t="shared" si="267"/>
        <v>3.38</v>
      </c>
      <c r="J7337" s="399"/>
      <c r="K7337" s="1237" t="s">
        <v>2167</v>
      </c>
      <c r="L7337" s="431"/>
      <c r="M7337" s="431"/>
      <c r="N7337" s="431"/>
    </row>
    <row r="7338" spans="1:14" s="398" customFormat="1" hidden="1" outlineLevel="1">
      <c r="A7338" s="1221"/>
      <c r="B7338" s="425"/>
      <c r="C7338" s="165" t="s">
        <v>1</v>
      </c>
      <c r="D7338" s="437">
        <f t="shared" si="268"/>
        <v>2</v>
      </c>
      <c r="E7338" s="414"/>
      <c r="F7338" s="486">
        <f>2+6+0.23</f>
        <v>8.23</v>
      </c>
      <c r="G7338" s="486"/>
      <c r="H7338" s="486">
        <v>0.2</v>
      </c>
      <c r="I7338" s="1129">
        <f t="shared" si="267"/>
        <v>3.29</v>
      </c>
      <c r="J7338" s="399"/>
      <c r="K7338" s="1237" t="s">
        <v>2167</v>
      </c>
      <c r="L7338" s="431"/>
      <c r="M7338" s="431"/>
      <c r="N7338" s="431"/>
    </row>
    <row r="7339" spans="1:14" s="398" customFormat="1" hidden="1" outlineLevel="1">
      <c r="A7339" s="1221"/>
      <c r="B7339" s="425"/>
      <c r="C7339" s="165" t="s">
        <v>1</v>
      </c>
      <c r="D7339" s="437">
        <f>2*2</f>
        <v>4</v>
      </c>
      <c r="E7339" s="414"/>
      <c r="F7339" s="486">
        <f>6+1+0.23*2</f>
        <v>7.46</v>
      </c>
      <c r="G7339" s="486"/>
      <c r="H7339" s="486">
        <v>0.2</v>
      </c>
      <c r="I7339" s="1129">
        <f t="shared" si="267"/>
        <v>5.97</v>
      </c>
      <c r="J7339" s="399"/>
      <c r="K7339" s="1237" t="s">
        <v>2167</v>
      </c>
      <c r="L7339" s="431"/>
      <c r="M7339" s="431"/>
      <c r="N7339" s="431"/>
    </row>
    <row r="7340" spans="1:14" s="398" customFormat="1" hidden="1" outlineLevel="1">
      <c r="A7340" s="1221"/>
      <c r="B7340" s="425"/>
      <c r="C7340" s="165" t="s">
        <v>1</v>
      </c>
      <c r="D7340" s="437">
        <f>1+1</f>
        <v>2</v>
      </c>
      <c r="E7340" s="414"/>
      <c r="F7340" s="486">
        <f>2.7+1.8+0.23*2</f>
        <v>4.96</v>
      </c>
      <c r="G7340" s="486"/>
      <c r="H7340" s="486">
        <v>0.2</v>
      </c>
      <c r="I7340" s="1129">
        <f t="shared" si="267"/>
        <v>1.98</v>
      </c>
      <c r="J7340" s="399"/>
      <c r="K7340" s="1237" t="s">
        <v>2167</v>
      </c>
      <c r="L7340" s="431"/>
      <c r="M7340" s="431"/>
      <c r="N7340" s="431"/>
    </row>
    <row r="7341" spans="1:14" s="398" customFormat="1" hidden="1" outlineLevel="1">
      <c r="A7341" s="1221"/>
      <c r="B7341" s="425"/>
      <c r="C7341" s="165" t="s">
        <v>1</v>
      </c>
      <c r="D7341" s="437">
        <f>2*2</f>
        <v>4</v>
      </c>
      <c r="E7341" s="414"/>
      <c r="F7341" s="486">
        <f>4.5+0.23</f>
        <v>4.7300000000000004</v>
      </c>
      <c r="G7341" s="486"/>
      <c r="H7341" s="486">
        <v>0.2</v>
      </c>
      <c r="I7341" s="1129">
        <f t="shared" si="267"/>
        <v>3.78</v>
      </c>
      <c r="J7341" s="399"/>
      <c r="K7341" s="1237" t="s">
        <v>2167</v>
      </c>
      <c r="L7341" s="431"/>
      <c r="M7341" s="431"/>
      <c r="N7341" s="431"/>
    </row>
    <row r="7342" spans="1:14" s="398" customFormat="1" hidden="1" outlineLevel="1">
      <c r="A7342" s="1221"/>
      <c r="B7342" s="425"/>
      <c r="C7342" s="165" t="s">
        <v>1</v>
      </c>
      <c r="D7342" s="437">
        <f>1+1</f>
        <v>2</v>
      </c>
      <c r="E7342" s="414"/>
      <c r="F7342" s="486">
        <f>7.5+0.23*2</f>
        <v>7.96</v>
      </c>
      <c r="G7342" s="486"/>
      <c r="H7342" s="486">
        <v>0.2</v>
      </c>
      <c r="I7342" s="1129">
        <f t="shared" si="267"/>
        <v>3.18</v>
      </c>
      <c r="J7342" s="399"/>
      <c r="K7342" s="1237" t="s">
        <v>2167</v>
      </c>
      <c r="L7342" s="431"/>
      <c r="M7342" s="431"/>
      <c r="N7342" s="431"/>
    </row>
    <row r="7343" spans="1:14" s="398" customFormat="1" ht="34.5" hidden="1" outlineLevel="1">
      <c r="A7343" s="1221"/>
      <c r="B7343" s="425" t="s">
        <v>113</v>
      </c>
      <c r="C7343" s="165" t="s">
        <v>1</v>
      </c>
      <c r="D7343" s="437">
        <f>8*2</f>
        <v>16</v>
      </c>
      <c r="E7343" s="414"/>
      <c r="F7343" s="486">
        <v>0.61499999999999999</v>
      </c>
      <c r="G7343" s="486"/>
      <c r="H7343" s="486">
        <v>0.2</v>
      </c>
      <c r="I7343" s="1129">
        <f t="shared" si="267"/>
        <v>1.97</v>
      </c>
      <c r="J7343" s="399"/>
      <c r="K7343" s="1237" t="s">
        <v>2167</v>
      </c>
      <c r="L7343" s="431"/>
      <c r="M7343" s="431"/>
      <c r="N7343" s="431"/>
    </row>
    <row r="7344" spans="1:14" s="398" customFormat="1" hidden="1" outlineLevel="1">
      <c r="A7344" s="1221"/>
      <c r="B7344" s="425" t="s">
        <v>112</v>
      </c>
      <c r="C7344" s="165" t="s">
        <v>1</v>
      </c>
      <c r="D7344" s="437">
        <f>2*2</f>
        <v>4</v>
      </c>
      <c r="E7344" s="414"/>
      <c r="F7344" s="662">
        <v>1.9750000000000001</v>
      </c>
      <c r="G7344" s="486"/>
      <c r="H7344" s="486">
        <v>0.2</v>
      </c>
      <c r="I7344" s="1129">
        <f t="shared" si="267"/>
        <v>1.58</v>
      </c>
      <c r="J7344" s="399"/>
      <c r="K7344" s="1237" t="s">
        <v>2167</v>
      </c>
      <c r="L7344" s="431"/>
      <c r="M7344" s="431"/>
      <c r="N7344" s="431"/>
    </row>
    <row r="7345" spans="1:14" s="398" customFormat="1" hidden="1" outlineLevel="1">
      <c r="A7345" s="1221"/>
      <c r="B7345" s="425"/>
      <c r="C7345" s="165" t="s">
        <v>1</v>
      </c>
      <c r="D7345" s="437">
        <f>2*2</f>
        <v>4</v>
      </c>
      <c r="E7345" s="414"/>
      <c r="F7345" s="486">
        <f>2.745-0.23</f>
        <v>2.5150000000000001</v>
      </c>
      <c r="G7345" s="486"/>
      <c r="H7345" s="486">
        <v>0.2</v>
      </c>
      <c r="I7345" s="1129">
        <f t="shared" si="267"/>
        <v>2.0099999999999998</v>
      </c>
      <c r="J7345" s="399"/>
      <c r="K7345" s="1237" t="s">
        <v>2167</v>
      </c>
      <c r="L7345" s="431"/>
      <c r="M7345" s="431"/>
      <c r="N7345" s="431"/>
    </row>
    <row r="7346" spans="1:14" s="398" customFormat="1" hidden="1" outlineLevel="1">
      <c r="A7346" s="1221"/>
      <c r="B7346" s="425"/>
      <c r="C7346" s="165" t="s">
        <v>1</v>
      </c>
      <c r="D7346" s="437">
        <f>4*2</f>
        <v>8</v>
      </c>
      <c r="E7346" s="414"/>
      <c r="F7346" s="486">
        <f>2.13-0.23*2</f>
        <v>1.67</v>
      </c>
      <c r="G7346" s="486"/>
      <c r="H7346" s="486">
        <v>0.2</v>
      </c>
      <c r="I7346" s="1129">
        <f t="shared" si="267"/>
        <v>2.67</v>
      </c>
      <c r="J7346" s="399"/>
      <c r="K7346" s="1237" t="s">
        <v>2167</v>
      </c>
      <c r="L7346" s="431"/>
      <c r="M7346" s="431"/>
      <c r="N7346" s="431"/>
    </row>
    <row r="7347" spans="1:14" s="398" customFormat="1" ht="34.5" hidden="1" outlineLevel="1">
      <c r="A7347" s="1221"/>
      <c r="B7347" s="425" t="s">
        <v>111</v>
      </c>
      <c r="C7347" s="165" t="s">
        <v>1</v>
      </c>
      <c r="D7347" s="437">
        <f>1+1</f>
        <v>2</v>
      </c>
      <c r="E7347" s="414"/>
      <c r="F7347" s="486">
        <f>0.2+6+1.8+0.23*2</f>
        <v>8.4600000000000009</v>
      </c>
      <c r="G7347" s="486"/>
      <c r="H7347" s="486">
        <v>0.2</v>
      </c>
      <c r="I7347" s="1129">
        <f t="shared" si="267"/>
        <v>3.38</v>
      </c>
      <c r="J7347" s="399"/>
      <c r="K7347" s="1237" t="s">
        <v>2167</v>
      </c>
      <c r="L7347" s="431"/>
      <c r="M7347" s="431"/>
      <c r="N7347" s="431"/>
    </row>
    <row r="7348" spans="1:14" s="398" customFormat="1" hidden="1" outlineLevel="1">
      <c r="A7348" s="1221"/>
      <c r="B7348" s="425" t="s">
        <v>114</v>
      </c>
      <c r="C7348" s="165" t="s">
        <v>1</v>
      </c>
      <c r="D7348" s="437">
        <f>1+1</f>
        <v>2</v>
      </c>
      <c r="E7348" s="414"/>
      <c r="F7348" s="486">
        <f>6+0.2+0.23</f>
        <v>6.4300000000000006</v>
      </c>
      <c r="G7348" s="486"/>
      <c r="H7348" s="486">
        <v>0.2</v>
      </c>
      <c r="I7348" s="1129">
        <f t="shared" si="267"/>
        <v>2.57</v>
      </c>
      <c r="J7348" s="399"/>
      <c r="K7348" s="1237" t="s">
        <v>2167</v>
      </c>
      <c r="L7348" s="431"/>
      <c r="M7348" s="431"/>
      <c r="N7348" s="431"/>
    </row>
    <row r="7349" spans="1:14" s="398" customFormat="1" hidden="1" outlineLevel="1">
      <c r="A7349" s="1221"/>
      <c r="B7349" s="425"/>
      <c r="C7349" s="165" t="s">
        <v>1</v>
      </c>
      <c r="D7349" s="437">
        <f>2*2</f>
        <v>4</v>
      </c>
      <c r="E7349" s="414"/>
      <c r="F7349" s="486">
        <f>3.2+1.8+3-1.8+0.23*2</f>
        <v>6.66</v>
      </c>
      <c r="G7349" s="486"/>
      <c r="H7349" s="486">
        <v>0.2</v>
      </c>
      <c r="I7349" s="1129">
        <f t="shared" si="267"/>
        <v>5.33</v>
      </c>
      <c r="J7349" s="399"/>
      <c r="K7349" s="1237" t="s">
        <v>2167</v>
      </c>
      <c r="L7349" s="431"/>
      <c r="M7349" s="431"/>
      <c r="N7349" s="431"/>
    </row>
    <row r="7350" spans="1:14" s="398" customFormat="1" hidden="1" outlineLevel="1">
      <c r="A7350" s="1221"/>
      <c r="B7350" s="425"/>
      <c r="C7350" s="165" t="s">
        <v>1</v>
      </c>
      <c r="D7350" s="437">
        <f>2*2</f>
        <v>4</v>
      </c>
      <c r="E7350" s="414"/>
      <c r="F7350" s="486">
        <f>6+1.2+0.23*2</f>
        <v>7.66</v>
      </c>
      <c r="G7350" s="486"/>
      <c r="H7350" s="486">
        <v>0.2</v>
      </c>
      <c r="I7350" s="1129">
        <f t="shared" si="267"/>
        <v>6.13</v>
      </c>
      <c r="J7350" s="399"/>
      <c r="K7350" s="1237" t="s">
        <v>2167</v>
      </c>
      <c r="L7350" s="431"/>
      <c r="M7350" s="431"/>
      <c r="N7350" s="431"/>
    </row>
    <row r="7351" spans="1:14" s="398" customFormat="1" hidden="1" outlineLevel="1">
      <c r="A7351" s="1221"/>
      <c r="B7351" s="425"/>
      <c r="C7351" s="165" t="s">
        <v>1</v>
      </c>
      <c r="D7351" s="438">
        <v>2</v>
      </c>
      <c r="E7351" s="414"/>
      <c r="F7351" s="662">
        <v>8.23</v>
      </c>
      <c r="G7351" s="486"/>
      <c r="H7351" s="486">
        <v>0.2</v>
      </c>
      <c r="I7351" s="1129">
        <f t="shared" si="267"/>
        <v>3.29</v>
      </c>
      <c r="J7351" s="399"/>
      <c r="K7351" s="1237" t="s">
        <v>2167</v>
      </c>
      <c r="L7351" s="431"/>
      <c r="M7351" s="431"/>
      <c r="N7351" s="431"/>
    </row>
    <row r="7352" spans="1:14" s="398" customFormat="1" hidden="1" outlineLevel="1">
      <c r="A7352" s="1223"/>
      <c r="B7352" s="426"/>
      <c r="C7352" s="333" t="s">
        <v>1</v>
      </c>
      <c r="D7352" s="438">
        <v>2</v>
      </c>
      <c r="E7352" s="333"/>
      <c r="F7352" s="662">
        <v>10.26</v>
      </c>
      <c r="G7352" s="662"/>
      <c r="H7352" s="662">
        <v>0.2</v>
      </c>
      <c r="I7352" s="1129">
        <f t="shared" si="267"/>
        <v>4.0999999999999996</v>
      </c>
      <c r="J7352" s="470"/>
      <c r="K7352" s="1332" t="s">
        <v>2167</v>
      </c>
      <c r="L7352" s="431"/>
      <c r="M7352" s="431"/>
      <c r="N7352" s="431"/>
    </row>
    <row r="7353" spans="1:14" s="398" customFormat="1" ht="34.5" hidden="1" outlineLevel="1">
      <c r="A7353" s="1221"/>
      <c r="B7353" s="425" t="s">
        <v>115</v>
      </c>
      <c r="C7353" s="165" t="s">
        <v>1</v>
      </c>
      <c r="D7353" s="437">
        <f>6*2</f>
        <v>12</v>
      </c>
      <c r="E7353" s="414"/>
      <c r="F7353" s="486">
        <v>0.61499999999999999</v>
      </c>
      <c r="G7353" s="486"/>
      <c r="H7353" s="486">
        <v>0.2</v>
      </c>
      <c r="I7353" s="1129">
        <f t="shared" si="267"/>
        <v>1.48</v>
      </c>
      <c r="J7353" s="399"/>
      <c r="K7353" s="1237" t="s">
        <v>2167</v>
      </c>
      <c r="L7353" s="431"/>
      <c r="M7353" s="431"/>
      <c r="N7353" s="431"/>
    </row>
    <row r="7354" spans="1:14" s="398" customFormat="1" hidden="1" outlineLevel="1">
      <c r="A7354" s="1221"/>
      <c r="B7354" s="425" t="s">
        <v>114</v>
      </c>
      <c r="C7354" s="165" t="s">
        <v>1</v>
      </c>
      <c r="D7354" s="437">
        <f>2*2</f>
        <v>4</v>
      </c>
      <c r="E7354" s="414"/>
      <c r="F7354" s="486">
        <f>2.745-0.23</f>
        <v>2.5150000000000001</v>
      </c>
      <c r="G7354" s="486"/>
      <c r="H7354" s="486">
        <v>0.2</v>
      </c>
      <c r="I7354" s="1129">
        <f t="shared" si="267"/>
        <v>2.0099999999999998</v>
      </c>
      <c r="J7354" s="399"/>
      <c r="K7354" s="1237" t="s">
        <v>2167</v>
      </c>
      <c r="L7354" s="431"/>
      <c r="M7354" s="431"/>
      <c r="N7354" s="431"/>
    </row>
    <row r="7355" spans="1:14" s="398" customFormat="1" hidden="1" outlineLevel="1">
      <c r="A7355" s="1221"/>
      <c r="B7355" s="425"/>
      <c r="C7355" s="165" t="s">
        <v>1</v>
      </c>
      <c r="D7355" s="437">
        <f>4*2</f>
        <v>8</v>
      </c>
      <c r="E7355" s="414"/>
      <c r="F7355" s="486">
        <f>2.13-0.23*2</f>
        <v>1.67</v>
      </c>
      <c r="G7355" s="486"/>
      <c r="H7355" s="486">
        <v>0.2</v>
      </c>
      <c r="I7355" s="1129">
        <f t="shared" si="267"/>
        <v>2.67</v>
      </c>
      <c r="J7355" s="399"/>
      <c r="K7355" s="1237" t="s">
        <v>2167</v>
      </c>
      <c r="L7355" s="431"/>
      <c r="M7355" s="431"/>
      <c r="N7355" s="431"/>
    </row>
    <row r="7356" spans="1:14" s="398" customFormat="1" ht="34.5" hidden="1" outlineLevel="1">
      <c r="A7356" s="1221"/>
      <c r="B7356" s="425" t="s">
        <v>111</v>
      </c>
      <c r="C7356" s="165" t="s">
        <v>1</v>
      </c>
      <c r="D7356" s="437">
        <f>1+1</f>
        <v>2</v>
      </c>
      <c r="E7356" s="414"/>
      <c r="F7356" s="486">
        <f>6.78+0.23*2</f>
        <v>7.24</v>
      </c>
      <c r="G7356" s="486"/>
      <c r="H7356" s="486">
        <v>0.2</v>
      </c>
      <c r="I7356" s="1129">
        <f t="shared" si="267"/>
        <v>2.9</v>
      </c>
      <c r="J7356" s="399"/>
      <c r="K7356" s="1237" t="s">
        <v>2167</v>
      </c>
      <c r="L7356" s="431"/>
      <c r="M7356" s="431"/>
      <c r="N7356" s="431"/>
    </row>
    <row r="7357" spans="1:14" s="398" customFormat="1" hidden="1" outlineLevel="1">
      <c r="A7357" s="1221"/>
      <c r="B7357" s="425" t="s">
        <v>116</v>
      </c>
      <c r="C7357" s="165" t="s">
        <v>1</v>
      </c>
      <c r="D7357" s="437">
        <f>1+1</f>
        <v>2</v>
      </c>
      <c r="E7357" s="414"/>
      <c r="F7357" s="486">
        <f>5+0.23</f>
        <v>5.23</v>
      </c>
      <c r="G7357" s="486"/>
      <c r="H7357" s="486">
        <v>0.2</v>
      </c>
      <c r="I7357" s="1129">
        <f t="shared" si="267"/>
        <v>2.09</v>
      </c>
      <c r="J7357" s="399"/>
      <c r="K7357" s="1237" t="s">
        <v>2167</v>
      </c>
      <c r="L7357" s="431"/>
      <c r="M7357" s="431"/>
      <c r="N7357" s="431"/>
    </row>
    <row r="7358" spans="1:14" s="398" customFormat="1" hidden="1" outlineLevel="1">
      <c r="A7358" s="1221"/>
      <c r="B7358" s="425"/>
      <c r="C7358" s="165" t="s">
        <v>1</v>
      </c>
      <c r="D7358" s="438">
        <v>4</v>
      </c>
      <c r="E7358" s="414"/>
      <c r="F7358" s="486">
        <f>4+0.23</f>
        <v>4.2300000000000004</v>
      </c>
      <c r="G7358" s="486"/>
      <c r="H7358" s="486">
        <v>0.2</v>
      </c>
      <c r="I7358" s="1129">
        <f t="shared" si="267"/>
        <v>3.38</v>
      </c>
      <c r="J7358" s="399"/>
      <c r="K7358" s="1237" t="s">
        <v>2167</v>
      </c>
      <c r="L7358" s="431"/>
      <c r="M7358" s="431"/>
      <c r="N7358" s="431"/>
    </row>
    <row r="7359" spans="1:14" s="398" customFormat="1" hidden="1" outlineLevel="1">
      <c r="A7359" s="1221"/>
      <c r="B7359" s="425"/>
      <c r="C7359" s="165" t="s">
        <v>1</v>
      </c>
      <c r="D7359" s="437">
        <f>3*2</f>
        <v>6</v>
      </c>
      <c r="E7359" s="414"/>
      <c r="F7359" s="486">
        <f>4+0.23*2</f>
        <v>4.46</v>
      </c>
      <c r="G7359" s="486"/>
      <c r="H7359" s="486">
        <v>0.2</v>
      </c>
      <c r="I7359" s="1129">
        <f t="shared" si="267"/>
        <v>5.35</v>
      </c>
      <c r="J7359" s="399"/>
      <c r="K7359" s="1237" t="s">
        <v>2167</v>
      </c>
      <c r="L7359" s="431"/>
      <c r="M7359" s="431"/>
      <c r="N7359" s="431"/>
    </row>
    <row r="7360" spans="1:14" s="398" customFormat="1" hidden="1" outlineLevel="1">
      <c r="A7360" s="1221"/>
      <c r="B7360" s="425"/>
      <c r="C7360" s="165" t="s">
        <v>1</v>
      </c>
      <c r="D7360" s="437">
        <f>3*2</f>
        <v>6</v>
      </c>
      <c r="E7360" s="414"/>
      <c r="F7360" s="486">
        <f>3+0.23</f>
        <v>3.23</v>
      </c>
      <c r="G7360" s="486"/>
      <c r="H7360" s="486">
        <v>0.2</v>
      </c>
      <c r="I7360" s="1129">
        <f t="shared" si="267"/>
        <v>3.88</v>
      </c>
      <c r="J7360" s="399"/>
      <c r="K7360" s="1237" t="s">
        <v>2167</v>
      </c>
      <c r="L7360" s="431"/>
      <c r="M7360" s="431"/>
      <c r="N7360" s="431"/>
    </row>
    <row r="7361" spans="1:14" s="398" customFormat="1" hidden="1" outlineLevel="1">
      <c r="A7361" s="1221"/>
      <c r="B7361" s="425"/>
      <c r="C7361" s="165" t="s">
        <v>1</v>
      </c>
      <c r="D7361" s="437">
        <f>1+1</f>
        <v>2</v>
      </c>
      <c r="E7361" s="414"/>
      <c r="F7361" s="486">
        <f>5+0.23</f>
        <v>5.23</v>
      </c>
      <c r="G7361" s="486"/>
      <c r="H7361" s="486">
        <v>0.2</v>
      </c>
      <c r="I7361" s="1129">
        <f t="shared" si="267"/>
        <v>2.09</v>
      </c>
      <c r="J7361" s="399"/>
      <c r="K7361" s="1237" t="s">
        <v>2167</v>
      </c>
      <c r="L7361" s="431"/>
      <c r="M7361" s="431"/>
      <c r="N7361" s="431"/>
    </row>
    <row r="7362" spans="1:14" s="398" customFormat="1" hidden="1" outlineLevel="1">
      <c r="A7362" s="1221"/>
      <c r="B7362" s="425"/>
      <c r="C7362" s="165" t="s">
        <v>1</v>
      </c>
      <c r="D7362" s="437">
        <f>(1+1)*0</f>
        <v>0</v>
      </c>
      <c r="E7362" s="414"/>
      <c r="F7362" s="486">
        <f>3+0.2+0.23*2</f>
        <v>3.66</v>
      </c>
      <c r="G7362" s="486"/>
      <c r="H7362" s="486">
        <v>0.2</v>
      </c>
      <c r="I7362" s="1129" t="str">
        <f t="shared" si="267"/>
        <v/>
      </c>
      <c r="J7362" s="399"/>
      <c r="K7362" s="1237" t="s">
        <v>2167</v>
      </c>
      <c r="L7362" s="431"/>
      <c r="M7362" s="431"/>
      <c r="N7362" s="431"/>
    </row>
    <row r="7363" spans="1:14" s="398" customFormat="1" hidden="1" outlineLevel="1">
      <c r="A7363" s="1221"/>
      <c r="B7363" s="425"/>
      <c r="C7363" s="165" t="s">
        <v>1</v>
      </c>
      <c r="D7363" s="437">
        <f>1+1</f>
        <v>2</v>
      </c>
      <c r="E7363" s="414"/>
      <c r="F7363" s="486">
        <f>4.8+0.23*2</f>
        <v>5.26</v>
      </c>
      <c r="G7363" s="486"/>
      <c r="H7363" s="486">
        <v>0.2</v>
      </c>
      <c r="I7363" s="1129">
        <f t="shared" si="267"/>
        <v>2.1</v>
      </c>
      <c r="J7363" s="399"/>
      <c r="K7363" s="1237" t="s">
        <v>2167</v>
      </c>
      <c r="L7363" s="431"/>
      <c r="M7363" s="431"/>
      <c r="N7363" s="431"/>
    </row>
    <row r="7364" spans="1:14" s="398" customFormat="1" ht="34.5" hidden="1" outlineLevel="1">
      <c r="A7364" s="1221"/>
      <c r="B7364" s="425" t="s">
        <v>115</v>
      </c>
      <c r="C7364" s="165" t="s">
        <v>1</v>
      </c>
      <c r="D7364" s="437">
        <f>5*2</f>
        <v>10</v>
      </c>
      <c r="E7364" s="414"/>
      <c r="F7364" s="486">
        <v>0.61499999999999999</v>
      </c>
      <c r="G7364" s="486"/>
      <c r="H7364" s="486">
        <v>0.2</v>
      </c>
      <c r="I7364" s="1129">
        <f t="shared" si="267"/>
        <v>1.23</v>
      </c>
      <c r="J7364" s="399"/>
      <c r="K7364" s="1237" t="s">
        <v>2167</v>
      </c>
      <c r="L7364" s="431"/>
      <c r="M7364" s="431"/>
      <c r="N7364" s="431"/>
    </row>
    <row r="7365" spans="1:14" s="398" customFormat="1" hidden="1" outlineLevel="1">
      <c r="A7365" s="1221"/>
      <c r="B7365" s="425" t="s">
        <v>116</v>
      </c>
      <c r="C7365" s="165" t="s">
        <v>1</v>
      </c>
      <c r="D7365" s="437">
        <f>3*2</f>
        <v>6</v>
      </c>
      <c r="E7365" s="414"/>
      <c r="F7365" s="486">
        <v>3.36</v>
      </c>
      <c r="G7365" s="486"/>
      <c r="H7365" s="486">
        <v>0.2</v>
      </c>
      <c r="I7365" s="1129">
        <f t="shared" si="267"/>
        <v>4.03</v>
      </c>
      <c r="J7365" s="399"/>
      <c r="K7365" s="1237" t="s">
        <v>2167</v>
      </c>
      <c r="L7365" s="431"/>
      <c r="M7365" s="431"/>
      <c r="N7365" s="431"/>
    </row>
    <row r="7366" spans="1:14" s="398" customFormat="1" hidden="1" outlineLevel="1">
      <c r="A7366" s="1221"/>
      <c r="B7366" s="425"/>
      <c r="C7366" s="165" t="s">
        <v>1</v>
      </c>
      <c r="D7366" s="437">
        <f>6*2</f>
        <v>12</v>
      </c>
      <c r="E7366" s="414"/>
      <c r="F7366" s="486">
        <f>3.36-0.615*2-0.61*2</f>
        <v>0.90999999999999992</v>
      </c>
      <c r="G7366" s="486"/>
      <c r="H7366" s="486">
        <v>0.2</v>
      </c>
      <c r="I7366" s="1129">
        <f t="shared" si="267"/>
        <v>2.1800000000000002</v>
      </c>
      <c r="J7366" s="399"/>
      <c r="K7366" s="1237" t="s">
        <v>2167</v>
      </c>
      <c r="L7366" s="431"/>
      <c r="M7366" s="431"/>
      <c r="N7366" s="431"/>
    </row>
    <row r="7367" spans="1:14" s="398" customFormat="1" hidden="1" outlineLevel="1">
      <c r="A7367" s="1221"/>
      <c r="B7367" s="425"/>
      <c r="C7367" s="165" t="s">
        <v>1</v>
      </c>
      <c r="D7367" s="437">
        <f>1+1</f>
        <v>2</v>
      </c>
      <c r="E7367" s="414"/>
      <c r="F7367" s="486">
        <f>2.745-0.61</f>
        <v>2.1350000000000002</v>
      </c>
      <c r="G7367" s="486"/>
      <c r="H7367" s="486">
        <v>0.2</v>
      </c>
      <c r="I7367" s="1129">
        <f t="shared" si="267"/>
        <v>0.85</v>
      </c>
      <c r="J7367" s="399"/>
      <c r="K7367" s="1237" t="s">
        <v>2167</v>
      </c>
      <c r="L7367" s="431"/>
      <c r="M7367" s="431"/>
      <c r="N7367" s="431"/>
    </row>
    <row r="7368" spans="1:14" s="398" customFormat="1" ht="34.5" hidden="1" outlineLevel="1">
      <c r="A7368" s="1221"/>
      <c r="B7368" s="425" t="s">
        <v>117</v>
      </c>
      <c r="C7368" s="165" t="s">
        <v>1</v>
      </c>
      <c r="D7368" s="437">
        <f>1+1</f>
        <v>2</v>
      </c>
      <c r="E7368" s="414"/>
      <c r="F7368" s="662">
        <v>11.14</v>
      </c>
      <c r="G7368" s="486"/>
      <c r="H7368" s="486">
        <v>0.2</v>
      </c>
      <c r="I7368" s="1129">
        <f t="shared" si="267"/>
        <v>4.46</v>
      </c>
      <c r="J7368" s="399"/>
      <c r="K7368" s="1237" t="s">
        <v>2167</v>
      </c>
      <c r="L7368" s="431"/>
      <c r="M7368" s="431"/>
      <c r="N7368" s="431"/>
    </row>
    <row r="7369" spans="1:14" s="398" customFormat="1" hidden="1" outlineLevel="1">
      <c r="A7369" s="1221"/>
      <c r="B7369" s="425" t="s">
        <v>118</v>
      </c>
      <c r="C7369" s="165" t="s">
        <v>1</v>
      </c>
      <c r="D7369" s="437">
        <f>1+1</f>
        <v>2</v>
      </c>
      <c r="E7369" s="414"/>
      <c r="F7369" s="662">
        <v>8.91</v>
      </c>
      <c r="G7369" s="486"/>
      <c r="H7369" s="486">
        <v>0.2</v>
      </c>
      <c r="I7369" s="1129">
        <f t="shared" si="267"/>
        <v>3.56</v>
      </c>
      <c r="J7369" s="399"/>
      <c r="K7369" s="1237" t="s">
        <v>2167</v>
      </c>
      <c r="L7369" s="431"/>
      <c r="M7369" s="431"/>
      <c r="N7369" s="431"/>
    </row>
    <row r="7370" spans="1:14" s="398" customFormat="1" hidden="1" outlineLevel="1">
      <c r="A7370" s="1221"/>
      <c r="B7370" s="425"/>
      <c r="C7370" s="165" t="s">
        <v>1</v>
      </c>
      <c r="D7370" s="437">
        <f t="shared" ref="D7370:D7375" si="269">2*2</f>
        <v>4</v>
      </c>
      <c r="E7370" s="414"/>
      <c r="F7370" s="662">
        <v>6.21</v>
      </c>
      <c r="G7370" s="486"/>
      <c r="H7370" s="486">
        <v>0.2</v>
      </c>
      <c r="I7370" s="1129">
        <f t="shared" si="267"/>
        <v>4.97</v>
      </c>
      <c r="J7370" s="399"/>
      <c r="K7370" s="1237" t="s">
        <v>2167</v>
      </c>
      <c r="L7370" s="431"/>
      <c r="M7370" s="431"/>
      <c r="N7370" s="431"/>
    </row>
    <row r="7371" spans="1:14" s="398" customFormat="1" hidden="1" outlineLevel="1">
      <c r="A7371" s="1221"/>
      <c r="B7371" s="425"/>
      <c r="C7371" s="165" t="s">
        <v>1</v>
      </c>
      <c r="D7371" s="437">
        <f t="shared" si="269"/>
        <v>4</v>
      </c>
      <c r="E7371" s="414"/>
      <c r="F7371" s="662">
        <v>5.31</v>
      </c>
      <c r="G7371" s="486"/>
      <c r="H7371" s="486">
        <v>0.2</v>
      </c>
      <c r="I7371" s="1129">
        <f t="shared" si="267"/>
        <v>4.25</v>
      </c>
      <c r="J7371" s="399"/>
      <c r="K7371" s="1237" t="s">
        <v>2167</v>
      </c>
      <c r="L7371" s="431"/>
      <c r="M7371" s="431"/>
      <c r="N7371" s="431"/>
    </row>
    <row r="7372" spans="1:14" s="398" customFormat="1" hidden="1" outlineLevel="1">
      <c r="A7372" s="1221"/>
      <c r="B7372" s="425"/>
      <c r="C7372" s="165" t="s">
        <v>1</v>
      </c>
      <c r="D7372" s="437">
        <f t="shared" si="269"/>
        <v>4</v>
      </c>
      <c r="E7372" s="414"/>
      <c r="F7372" s="662">
        <v>4.41</v>
      </c>
      <c r="G7372" s="486"/>
      <c r="H7372" s="486">
        <v>0.2</v>
      </c>
      <c r="I7372" s="1129">
        <f t="shared" si="267"/>
        <v>3.53</v>
      </c>
      <c r="J7372" s="399"/>
      <c r="K7372" s="1237" t="s">
        <v>2167</v>
      </c>
      <c r="L7372" s="431"/>
      <c r="M7372" s="431"/>
      <c r="N7372" s="431"/>
    </row>
    <row r="7373" spans="1:14" s="398" customFormat="1" hidden="1" outlineLevel="1">
      <c r="A7373" s="1221"/>
      <c r="B7373" s="425"/>
      <c r="C7373" s="165" t="s">
        <v>1</v>
      </c>
      <c r="D7373" s="437">
        <f t="shared" si="269"/>
        <v>4</v>
      </c>
      <c r="E7373" s="414"/>
      <c r="F7373" s="662">
        <v>2.61</v>
      </c>
      <c r="G7373" s="486"/>
      <c r="H7373" s="486">
        <v>0.2</v>
      </c>
      <c r="I7373" s="1129">
        <f t="shared" si="267"/>
        <v>2.09</v>
      </c>
      <c r="J7373" s="399"/>
      <c r="K7373" s="1237" t="s">
        <v>2167</v>
      </c>
      <c r="L7373" s="431"/>
      <c r="M7373" s="431"/>
      <c r="N7373" s="431"/>
    </row>
    <row r="7374" spans="1:14" s="398" customFormat="1" hidden="1" outlineLevel="1">
      <c r="A7374" s="1221"/>
      <c r="B7374" s="425"/>
      <c r="C7374" s="165" t="s">
        <v>1</v>
      </c>
      <c r="D7374" s="437">
        <f t="shared" si="269"/>
        <v>4</v>
      </c>
      <c r="E7374" s="414"/>
      <c r="F7374" s="662">
        <v>4.71</v>
      </c>
      <c r="G7374" s="486"/>
      <c r="H7374" s="486">
        <v>0.2</v>
      </c>
      <c r="I7374" s="1129">
        <f t="shared" si="267"/>
        <v>3.77</v>
      </c>
      <c r="J7374" s="399"/>
      <c r="K7374" s="1237" t="s">
        <v>2167</v>
      </c>
      <c r="L7374" s="431"/>
      <c r="M7374" s="431"/>
      <c r="N7374" s="431"/>
    </row>
    <row r="7375" spans="1:14" s="398" customFormat="1" hidden="1" outlineLevel="1">
      <c r="A7375" s="1221"/>
      <c r="B7375" s="425"/>
      <c r="C7375" s="165" t="s">
        <v>1</v>
      </c>
      <c r="D7375" s="437">
        <f t="shared" si="269"/>
        <v>4</v>
      </c>
      <c r="E7375" s="414"/>
      <c r="F7375" s="662">
        <v>2.61</v>
      </c>
      <c r="G7375" s="486"/>
      <c r="H7375" s="486">
        <v>0.2</v>
      </c>
      <c r="I7375" s="1129">
        <f t="shared" si="267"/>
        <v>2.09</v>
      </c>
      <c r="J7375" s="399"/>
      <c r="K7375" s="1237" t="s">
        <v>2167</v>
      </c>
      <c r="L7375" s="431"/>
      <c r="M7375" s="431"/>
      <c r="N7375" s="431"/>
    </row>
    <row r="7376" spans="1:14" s="398" customFormat="1" hidden="1" outlineLevel="1">
      <c r="A7376" s="1221"/>
      <c r="B7376" s="425"/>
      <c r="C7376" s="165" t="s">
        <v>1</v>
      </c>
      <c r="D7376" s="437">
        <f>1+1</f>
        <v>2</v>
      </c>
      <c r="E7376" s="414"/>
      <c r="F7376" s="662">
        <v>1.71</v>
      </c>
      <c r="G7376" s="486"/>
      <c r="H7376" s="486">
        <v>0.2</v>
      </c>
      <c r="I7376" s="1129">
        <f t="shared" si="267"/>
        <v>0.68</v>
      </c>
      <c r="J7376" s="399"/>
      <c r="K7376" s="1237" t="s">
        <v>2167</v>
      </c>
      <c r="L7376" s="431"/>
      <c r="M7376" s="431"/>
      <c r="N7376" s="431"/>
    </row>
    <row r="7377" spans="1:14" s="398" customFormat="1" hidden="1" outlineLevel="1">
      <c r="A7377" s="1221"/>
      <c r="B7377" s="425"/>
      <c r="C7377" s="165" t="s">
        <v>1</v>
      </c>
      <c r="D7377" s="437">
        <f>1+1</f>
        <v>2</v>
      </c>
      <c r="E7377" s="414"/>
      <c r="F7377" s="662">
        <v>3.94</v>
      </c>
      <c r="G7377" s="486"/>
      <c r="H7377" s="486">
        <v>0.2</v>
      </c>
      <c r="I7377" s="1129">
        <f t="shared" si="267"/>
        <v>1.58</v>
      </c>
      <c r="J7377" s="399"/>
      <c r="K7377" s="1237" t="s">
        <v>2167</v>
      </c>
      <c r="L7377" s="431"/>
      <c r="M7377" s="431"/>
      <c r="N7377" s="431"/>
    </row>
    <row r="7378" spans="1:14" s="398" customFormat="1" ht="34.5" hidden="1" outlineLevel="1">
      <c r="A7378" s="1221"/>
      <c r="B7378" s="425" t="s">
        <v>117</v>
      </c>
      <c r="C7378" s="165" t="s">
        <v>1</v>
      </c>
      <c r="D7378" s="437">
        <f>3*2</f>
        <v>6</v>
      </c>
      <c r="E7378" s="414"/>
      <c r="F7378" s="486">
        <v>0.61499999999999999</v>
      </c>
      <c r="G7378" s="486"/>
      <c r="H7378" s="486">
        <v>0.2</v>
      </c>
      <c r="I7378" s="1129">
        <f t="shared" si="267"/>
        <v>0.74</v>
      </c>
      <c r="J7378" s="399"/>
      <c r="K7378" s="1237" t="s">
        <v>2167</v>
      </c>
      <c r="L7378" s="431"/>
      <c r="M7378" s="431"/>
      <c r="N7378" s="431"/>
    </row>
    <row r="7379" spans="1:14" s="398" customFormat="1" hidden="1" outlineLevel="1">
      <c r="A7379" s="1221"/>
      <c r="B7379" s="425" t="s">
        <v>118</v>
      </c>
      <c r="C7379" s="165" t="s">
        <v>1</v>
      </c>
      <c r="D7379" s="437">
        <f>1+1</f>
        <v>2</v>
      </c>
      <c r="E7379" s="414"/>
      <c r="F7379" s="662">
        <v>2.9750000000000001</v>
      </c>
      <c r="G7379" s="486"/>
      <c r="H7379" s="486">
        <v>0.2</v>
      </c>
      <c r="I7379" s="1129">
        <f t="shared" si="267"/>
        <v>1.19</v>
      </c>
      <c r="J7379" s="399"/>
      <c r="K7379" s="1237" t="s">
        <v>2167</v>
      </c>
      <c r="L7379" s="431"/>
      <c r="M7379" s="431"/>
      <c r="N7379" s="431"/>
    </row>
    <row r="7380" spans="1:14" s="398" customFormat="1" hidden="1" outlineLevel="1">
      <c r="A7380" s="1221"/>
      <c r="B7380" s="425"/>
      <c r="C7380" s="165" t="s">
        <v>1</v>
      </c>
      <c r="D7380" s="437">
        <f>7*2</f>
        <v>14</v>
      </c>
      <c r="E7380" s="414"/>
      <c r="F7380" s="662">
        <f>2.13-0.23*2</f>
        <v>1.67</v>
      </c>
      <c r="G7380" s="486"/>
      <c r="H7380" s="486">
        <v>0.2</v>
      </c>
      <c r="I7380" s="1129">
        <f t="shared" si="267"/>
        <v>4.68</v>
      </c>
      <c r="J7380" s="399"/>
      <c r="K7380" s="1237" t="s">
        <v>2167</v>
      </c>
      <c r="L7380" s="431"/>
      <c r="M7380" s="431"/>
      <c r="N7380" s="431"/>
    </row>
    <row r="7381" spans="1:14" s="398" customFormat="1" hidden="1" outlineLevel="1">
      <c r="A7381" s="1221"/>
      <c r="B7381" s="425"/>
      <c r="C7381" s="165" t="s">
        <v>1</v>
      </c>
      <c r="D7381" s="437">
        <f>6*2</f>
        <v>12</v>
      </c>
      <c r="E7381" s="414"/>
      <c r="F7381" s="486">
        <f>3.36</f>
        <v>3.36</v>
      </c>
      <c r="G7381" s="486"/>
      <c r="H7381" s="486">
        <v>0.2</v>
      </c>
      <c r="I7381" s="1129">
        <f t="shared" si="267"/>
        <v>8.06</v>
      </c>
      <c r="J7381" s="399"/>
      <c r="K7381" s="1237" t="s">
        <v>2167</v>
      </c>
      <c r="L7381" s="431"/>
      <c r="M7381" s="431"/>
      <c r="N7381" s="431"/>
    </row>
    <row r="7382" spans="1:14" s="398" customFormat="1" hidden="1" outlineLevel="1">
      <c r="A7382" s="1221"/>
      <c r="B7382" s="425" t="s">
        <v>119</v>
      </c>
      <c r="C7382" s="165" t="s">
        <v>1</v>
      </c>
      <c r="D7382" s="437">
        <f>1+1</f>
        <v>2</v>
      </c>
      <c r="E7382" s="414"/>
      <c r="F7382" s="662">
        <f>7.4+0.23*2</f>
        <v>7.86</v>
      </c>
      <c r="G7382" s="486"/>
      <c r="H7382" s="486">
        <v>0.2</v>
      </c>
      <c r="I7382" s="1129">
        <f t="shared" si="267"/>
        <v>3.14</v>
      </c>
      <c r="J7382" s="399"/>
      <c r="K7382" s="1237" t="s">
        <v>2167</v>
      </c>
      <c r="L7382" s="431"/>
      <c r="M7382" s="431"/>
      <c r="N7382" s="431"/>
    </row>
    <row r="7383" spans="1:14" s="398" customFormat="1" hidden="1" outlineLevel="1">
      <c r="A7383" s="1221"/>
      <c r="B7383" s="425" t="s">
        <v>120</v>
      </c>
      <c r="C7383" s="165" t="s">
        <v>1</v>
      </c>
      <c r="D7383" s="437">
        <f>1+1</f>
        <v>2</v>
      </c>
      <c r="E7383" s="414"/>
      <c r="F7383" s="662">
        <f>2.4+3+0.23</f>
        <v>5.6300000000000008</v>
      </c>
      <c r="G7383" s="486"/>
      <c r="H7383" s="486">
        <v>0.2</v>
      </c>
      <c r="I7383" s="1129">
        <f t="shared" si="267"/>
        <v>2.25</v>
      </c>
      <c r="J7383" s="399"/>
      <c r="K7383" s="1237" t="s">
        <v>2167</v>
      </c>
      <c r="L7383" s="431"/>
      <c r="M7383" s="431"/>
      <c r="N7383" s="431"/>
    </row>
    <row r="7384" spans="1:14" s="398" customFormat="1" hidden="1" outlineLevel="1">
      <c r="A7384" s="1221"/>
      <c r="B7384" s="425"/>
      <c r="C7384" s="165" t="s">
        <v>1</v>
      </c>
      <c r="D7384" s="437">
        <f t="shared" ref="D7384:D7389" si="270">2*2</f>
        <v>4</v>
      </c>
      <c r="E7384" s="414"/>
      <c r="F7384" s="662">
        <f>3+1.8+1.2+0.23</f>
        <v>6.23</v>
      </c>
      <c r="G7384" s="486"/>
      <c r="H7384" s="486">
        <v>0.2</v>
      </c>
      <c r="I7384" s="1129">
        <f t="shared" si="267"/>
        <v>4.9800000000000004</v>
      </c>
      <c r="J7384" s="399"/>
      <c r="K7384" s="1237" t="s">
        <v>2167</v>
      </c>
      <c r="L7384" s="431"/>
      <c r="M7384" s="431"/>
      <c r="N7384" s="431"/>
    </row>
    <row r="7385" spans="1:14" s="398" customFormat="1" hidden="1" outlineLevel="1">
      <c r="A7385" s="1221"/>
      <c r="B7385" s="425"/>
      <c r="C7385" s="165" t="s">
        <v>1</v>
      </c>
      <c r="D7385" s="437">
        <f t="shared" si="270"/>
        <v>4</v>
      </c>
      <c r="E7385" s="414"/>
      <c r="F7385" s="662">
        <f>3+1.8+0.23</f>
        <v>5.03</v>
      </c>
      <c r="G7385" s="486"/>
      <c r="H7385" s="486">
        <v>0.2</v>
      </c>
      <c r="I7385" s="1129">
        <f t="shared" si="267"/>
        <v>4.0199999999999996</v>
      </c>
      <c r="J7385" s="399"/>
      <c r="K7385" s="1237" t="s">
        <v>2167</v>
      </c>
      <c r="L7385" s="431"/>
      <c r="M7385" s="431"/>
      <c r="N7385" s="431"/>
    </row>
    <row r="7386" spans="1:14" s="398" customFormat="1" hidden="1" outlineLevel="1">
      <c r="A7386" s="1221"/>
      <c r="B7386" s="425"/>
      <c r="C7386" s="165" t="s">
        <v>1</v>
      </c>
      <c r="D7386" s="437">
        <f t="shared" si="270"/>
        <v>4</v>
      </c>
      <c r="E7386" s="414"/>
      <c r="F7386" s="662">
        <f>1.8+3+1.2+0.23*2</f>
        <v>6.46</v>
      </c>
      <c r="G7386" s="486"/>
      <c r="H7386" s="486">
        <v>0.2</v>
      </c>
      <c r="I7386" s="1129">
        <f t="shared" si="267"/>
        <v>5.17</v>
      </c>
      <c r="J7386" s="399"/>
      <c r="K7386" s="1237" t="s">
        <v>2167</v>
      </c>
      <c r="L7386" s="431"/>
      <c r="M7386" s="431"/>
      <c r="N7386" s="431"/>
    </row>
    <row r="7387" spans="1:14" s="398" customFormat="1" hidden="1" outlineLevel="1">
      <c r="A7387" s="1221"/>
      <c r="B7387" s="425"/>
      <c r="C7387" s="165" t="s">
        <v>1</v>
      </c>
      <c r="D7387" s="437">
        <f t="shared" si="270"/>
        <v>4</v>
      </c>
      <c r="E7387" s="414"/>
      <c r="F7387" s="662">
        <f>3+1.2+0.23</f>
        <v>4.4300000000000006</v>
      </c>
      <c r="G7387" s="486"/>
      <c r="H7387" s="486">
        <v>0.2</v>
      </c>
      <c r="I7387" s="1129">
        <f t="shared" si="267"/>
        <v>3.54</v>
      </c>
      <c r="J7387" s="399"/>
      <c r="K7387" s="1237" t="s">
        <v>2167</v>
      </c>
      <c r="L7387" s="431"/>
      <c r="M7387" s="431"/>
      <c r="N7387" s="431"/>
    </row>
    <row r="7388" spans="1:14" s="398" customFormat="1" hidden="1" outlineLevel="1">
      <c r="A7388" s="1221"/>
      <c r="B7388" s="425"/>
      <c r="C7388" s="165" t="s">
        <v>1</v>
      </c>
      <c r="D7388" s="437">
        <f t="shared" si="270"/>
        <v>4</v>
      </c>
      <c r="E7388" s="414"/>
      <c r="F7388" s="662">
        <f>0.6+3+3.435-1.035-1.2+0.23</f>
        <v>5.03</v>
      </c>
      <c r="G7388" s="486"/>
      <c r="H7388" s="486">
        <v>0.2</v>
      </c>
      <c r="I7388" s="1129">
        <f t="shared" si="267"/>
        <v>4.0199999999999996</v>
      </c>
      <c r="J7388" s="399"/>
      <c r="K7388" s="1237" t="s">
        <v>2167</v>
      </c>
      <c r="L7388" s="431"/>
      <c r="M7388" s="431"/>
      <c r="N7388" s="431"/>
    </row>
    <row r="7389" spans="1:14" s="398" customFormat="1" hidden="1" outlineLevel="1">
      <c r="A7389" s="1221"/>
      <c r="B7389" s="425"/>
      <c r="C7389" s="165" t="s">
        <v>1</v>
      </c>
      <c r="D7389" s="437">
        <f t="shared" si="270"/>
        <v>4</v>
      </c>
      <c r="E7389" s="414"/>
      <c r="F7389" s="662">
        <f>1.2+3+0.23</f>
        <v>4.4300000000000006</v>
      </c>
      <c r="G7389" s="486"/>
      <c r="H7389" s="486">
        <v>0.2</v>
      </c>
      <c r="I7389" s="1129">
        <f t="shared" si="267"/>
        <v>3.54</v>
      </c>
      <c r="J7389" s="399"/>
      <c r="K7389" s="1237" t="s">
        <v>2167</v>
      </c>
      <c r="L7389" s="431"/>
      <c r="M7389" s="431"/>
      <c r="N7389" s="431"/>
    </row>
    <row r="7390" spans="1:14" s="398" customFormat="1" hidden="1" outlineLevel="1">
      <c r="A7390" s="1221"/>
      <c r="B7390" s="425"/>
      <c r="C7390" s="165" t="s">
        <v>1</v>
      </c>
      <c r="D7390" s="437">
        <f>1+1</f>
        <v>2</v>
      </c>
      <c r="E7390" s="414"/>
      <c r="F7390" s="662">
        <f>0.6+1.2+3+1.2+0.23*2</f>
        <v>6.46</v>
      </c>
      <c r="G7390" s="486"/>
      <c r="H7390" s="486">
        <v>0.2</v>
      </c>
      <c r="I7390" s="1129">
        <f t="shared" si="267"/>
        <v>2.58</v>
      </c>
      <c r="J7390" s="399"/>
      <c r="K7390" s="1237" t="s">
        <v>2167</v>
      </c>
      <c r="L7390" s="431"/>
      <c r="M7390" s="431"/>
      <c r="N7390" s="431"/>
    </row>
    <row r="7391" spans="1:14" s="398" customFormat="1" hidden="1" outlineLevel="1">
      <c r="A7391" s="1221"/>
      <c r="B7391" s="425"/>
      <c r="C7391" s="165" t="s">
        <v>1</v>
      </c>
      <c r="D7391" s="437">
        <f>2*2</f>
        <v>4</v>
      </c>
      <c r="E7391" s="414"/>
      <c r="F7391" s="662">
        <v>6.23</v>
      </c>
      <c r="G7391" s="486"/>
      <c r="H7391" s="486">
        <v>0.2</v>
      </c>
      <c r="I7391" s="1129">
        <f t="shared" si="267"/>
        <v>4.9800000000000004</v>
      </c>
      <c r="J7391" s="399"/>
      <c r="K7391" s="1237" t="s">
        <v>2167</v>
      </c>
      <c r="L7391" s="431"/>
      <c r="M7391" s="431"/>
      <c r="N7391" s="431"/>
    </row>
    <row r="7392" spans="1:14" s="398" customFormat="1" hidden="1" outlineLevel="1">
      <c r="A7392" s="1221"/>
      <c r="B7392" s="425"/>
      <c r="C7392" s="165" t="s">
        <v>1</v>
      </c>
      <c r="D7392" s="437">
        <f>1+1</f>
        <v>2</v>
      </c>
      <c r="E7392" s="414"/>
      <c r="F7392" s="662">
        <f>8+0.23*2</f>
        <v>8.4600000000000009</v>
      </c>
      <c r="G7392" s="486"/>
      <c r="H7392" s="486">
        <v>0.2</v>
      </c>
      <c r="I7392" s="1129">
        <f t="shared" si="267"/>
        <v>3.38</v>
      </c>
      <c r="J7392" s="399"/>
      <c r="K7392" s="1237" t="s">
        <v>2167</v>
      </c>
      <c r="L7392" s="431"/>
      <c r="M7392" s="431"/>
      <c r="N7392" s="431"/>
    </row>
    <row r="7393" spans="1:14" s="398" customFormat="1" hidden="1" outlineLevel="1">
      <c r="A7393" s="1221"/>
      <c r="B7393" s="425" t="s">
        <v>121</v>
      </c>
      <c r="C7393" s="165" t="s">
        <v>1</v>
      </c>
      <c r="D7393" s="437">
        <f>6*2</f>
        <v>12</v>
      </c>
      <c r="E7393" s="414"/>
      <c r="F7393" s="486">
        <v>0.61499999999999999</v>
      </c>
      <c r="G7393" s="486"/>
      <c r="H7393" s="486">
        <v>0.2</v>
      </c>
      <c r="I7393" s="1129">
        <f t="shared" ref="I7393:I7456" si="271">IF(D7393&lt;&gt;0,ROUND(PRODUCT(E7393:H7393)*D7393,2),"")</f>
        <v>1.48</v>
      </c>
      <c r="J7393" s="399"/>
      <c r="K7393" s="1237" t="s">
        <v>2167</v>
      </c>
      <c r="L7393" s="431"/>
      <c r="M7393" s="431"/>
      <c r="N7393" s="431"/>
    </row>
    <row r="7394" spans="1:14" s="398" customFormat="1" hidden="1" outlineLevel="1">
      <c r="A7394" s="1221"/>
      <c r="B7394" s="425" t="s">
        <v>120</v>
      </c>
      <c r="C7394" s="165" t="s">
        <v>1</v>
      </c>
      <c r="D7394" s="438">
        <v>8</v>
      </c>
      <c r="E7394" s="414"/>
      <c r="F7394" s="662">
        <f>2.13-0.23*2</f>
        <v>1.67</v>
      </c>
      <c r="G7394" s="486"/>
      <c r="H7394" s="486">
        <v>0.2</v>
      </c>
      <c r="I7394" s="1129">
        <f t="shared" si="271"/>
        <v>2.67</v>
      </c>
      <c r="J7394" s="399"/>
      <c r="K7394" s="1237" t="s">
        <v>2167</v>
      </c>
      <c r="L7394" s="431"/>
      <c r="M7394" s="431"/>
      <c r="N7394" s="431"/>
    </row>
    <row r="7395" spans="1:14" s="398" customFormat="1" hidden="1" outlineLevel="1">
      <c r="A7395" s="1278"/>
      <c r="B7395" s="426"/>
      <c r="C7395" s="333" t="s">
        <v>1</v>
      </c>
      <c r="D7395" s="438">
        <v>2</v>
      </c>
      <c r="E7395" s="333"/>
      <c r="F7395" s="662">
        <f>3.165-1.23-0.23-0.23</f>
        <v>1.4750000000000001</v>
      </c>
      <c r="G7395" s="662"/>
      <c r="H7395" s="662">
        <v>0.2</v>
      </c>
      <c r="I7395" s="1129">
        <f t="shared" si="271"/>
        <v>0.59</v>
      </c>
      <c r="J7395" s="456"/>
      <c r="K7395" s="1332" t="s">
        <v>2167</v>
      </c>
      <c r="L7395" s="431"/>
      <c r="M7395" s="431"/>
      <c r="N7395" s="431"/>
    </row>
    <row r="7396" spans="1:14" s="398" customFormat="1" hidden="1" outlineLevel="1">
      <c r="A7396" s="1221"/>
      <c r="B7396" s="425"/>
      <c r="C7396" s="165" t="s">
        <v>1</v>
      </c>
      <c r="D7396" s="437">
        <f>3*2</f>
        <v>6</v>
      </c>
      <c r="E7396" s="414"/>
      <c r="F7396" s="486">
        <v>3.36</v>
      </c>
      <c r="G7396" s="486"/>
      <c r="H7396" s="486">
        <v>0.2</v>
      </c>
      <c r="I7396" s="1129">
        <f t="shared" si="271"/>
        <v>4.03</v>
      </c>
      <c r="J7396" s="399"/>
      <c r="K7396" s="1237" t="s">
        <v>2167</v>
      </c>
      <c r="L7396" s="431"/>
      <c r="M7396" s="431"/>
      <c r="N7396" s="431"/>
    </row>
    <row r="7397" spans="1:14" s="398" customFormat="1" hidden="1" outlineLevel="1">
      <c r="A7397" s="1221"/>
      <c r="B7397" s="425"/>
      <c r="C7397" s="165" t="s">
        <v>1</v>
      </c>
      <c r="D7397" s="437">
        <f>4*2</f>
        <v>8</v>
      </c>
      <c r="E7397" s="414"/>
      <c r="F7397" s="662">
        <f>2.745-0.23</f>
        <v>2.5150000000000001</v>
      </c>
      <c r="G7397" s="486"/>
      <c r="H7397" s="486">
        <v>0.2</v>
      </c>
      <c r="I7397" s="1129">
        <f t="shared" si="271"/>
        <v>4.0199999999999996</v>
      </c>
      <c r="J7397" s="399"/>
      <c r="K7397" s="1237" t="s">
        <v>2167</v>
      </c>
      <c r="L7397" s="431"/>
      <c r="M7397" s="431"/>
      <c r="N7397" s="431"/>
    </row>
    <row r="7398" spans="1:14" s="398" customFormat="1" hidden="1" outlineLevel="1">
      <c r="A7398" s="1221"/>
      <c r="B7398" s="425"/>
      <c r="C7398" s="165" t="s">
        <v>1</v>
      </c>
      <c r="D7398" s="437">
        <f>3*2</f>
        <v>6</v>
      </c>
      <c r="E7398" s="414"/>
      <c r="F7398" s="662">
        <f>1.825-0.23*2</f>
        <v>1.365</v>
      </c>
      <c r="G7398" s="486"/>
      <c r="H7398" s="486">
        <v>0.2</v>
      </c>
      <c r="I7398" s="1129">
        <f t="shared" si="271"/>
        <v>1.64</v>
      </c>
      <c r="J7398" s="399"/>
      <c r="K7398" s="1237" t="s">
        <v>2167</v>
      </c>
      <c r="L7398" s="431"/>
      <c r="M7398" s="431"/>
      <c r="N7398" s="431"/>
    </row>
    <row r="7399" spans="1:14" s="398" customFormat="1" ht="34.5" hidden="1" outlineLevel="1">
      <c r="A7399" s="1221"/>
      <c r="B7399" s="425" t="s">
        <v>122</v>
      </c>
      <c r="C7399" s="165" t="s">
        <v>1</v>
      </c>
      <c r="D7399" s="437">
        <f>1+1</f>
        <v>2</v>
      </c>
      <c r="E7399" s="414"/>
      <c r="F7399" s="662">
        <f>7.66+2+0.23*2</f>
        <v>10.120000000000001</v>
      </c>
      <c r="G7399" s="486"/>
      <c r="H7399" s="486">
        <v>0.2</v>
      </c>
      <c r="I7399" s="1129">
        <f t="shared" si="271"/>
        <v>4.05</v>
      </c>
      <c r="J7399" s="399"/>
      <c r="K7399" s="1237" t="s">
        <v>2167</v>
      </c>
      <c r="L7399" s="431"/>
      <c r="M7399" s="431"/>
      <c r="N7399" s="431"/>
    </row>
    <row r="7400" spans="1:14" s="398" customFormat="1" hidden="1" outlineLevel="1">
      <c r="A7400" s="1221"/>
      <c r="B7400" s="425" t="s">
        <v>123</v>
      </c>
      <c r="C7400" s="165" t="s">
        <v>1</v>
      </c>
      <c r="D7400" s="437">
        <f>1+1</f>
        <v>2</v>
      </c>
      <c r="E7400" s="414"/>
      <c r="F7400" s="662">
        <f>7.66-2+0.23</f>
        <v>5.8900000000000006</v>
      </c>
      <c r="G7400" s="486"/>
      <c r="H7400" s="486">
        <v>0.2</v>
      </c>
      <c r="I7400" s="1129">
        <f t="shared" si="271"/>
        <v>2.36</v>
      </c>
      <c r="J7400" s="399"/>
      <c r="K7400" s="1237" t="s">
        <v>2167</v>
      </c>
      <c r="L7400" s="431"/>
      <c r="M7400" s="431"/>
      <c r="N7400" s="431"/>
    </row>
    <row r="7401" spans="1:14" s="398" customFormat="1" hidden="1" outlineLevel="1">
      <c r="A7401" s="1221"/>
      <c r="B7401" s="425"/>
      <c r="C7401" s="165" t="s">
        <v>1</v>
      </c>
      <c r="D7401" s="437">
        <f>2+2</f>
        <v>4</v>
      </c>
      <c r="E7401" s="414"/>
      <c r="F7401" s="662">
        <f>2+3+3.16+0.23</f>
        <v>8.39</v>
      </c>
      <c r="G7401" s="486"/>
      <c r="H7401" s="486">
        <v>0.2</v>
      </c>
      <c r="I7401" s="1129">
        <f t="shared" si="271"/>
        <v>6.71</v>
      </c>
      <c r="J7401" s="399"/>
      <c r="K7401" s="1237" t="s">
        <v>2167</v>
      </c>
      <c r="L7401" s="431"/>
      <c r="M7401" s="431"/>
      <c r="N7401" s="431"/>
    </row>
    <row r="7402" spans="1:14" s="398" customFormat="1" hidden="1" outlineLevel="1">
      <c r="A7402" s="1221"/>
      <c r="B7402" s="425"/>
      <c r="C7402" s="165" t="s">
        <v>1</v>
      </c>
      <c r="D7402" s="437">
        <f>2+2</f>
        <v>4</v>
      </c>
      <c r="E7402" s="414"/>
      <c r="F7402" s="662">
        <f>2+4.16+0.23</f>
        <v>6.3900000000000006</v>
      </c>
      <c r="G7402" s="486"/>
      <c r="H7402" s="486">
        <v>0.2</v>
      </c>
      <c r="I7402" s="1129">
        <f t="shared" si="271"/>
        <v>5.1100000000000003</v>
      </c>
      <c r="J7402" s="399"/>
      <c r="K7402" s="1237" t="s">
        <v>2167</v>
      </c>
      <c r="L7402" s="431"/>
      <c r="M7402" s="431"/>
      <c r="N7402" s="431"/>
    </row>
    <row r="7403" spans="1:14" s="398" customFormat="1" hidden="1" outlineLevel="1">
      <c r="A7403" s="1221"/>
      <c r="B7403" s="425"/>
      <c r="C7403" s="165" t="s">
        <v>1</v>
      </c>
      <c r="D7403" s="437">
        <f>1+1</f>
        <v>2</v>
      </c>
      <c r="E7403" s="414"/>
      <c r="F7403" s="662">
        <f>10.16-2+0.23</f>
        <v>8.39</v>
      </c>
      <c r="G7403" s="486"/>
      <c r="H7403" s="486">
        <v>0.2</v>
      </c>
      <c r="I7403" s="1129">
        <f t="shared" si="271"/>
        <v>3.36</v>
      </c>
      <c r="J7403" s="399"/>
      <c r="K7403" s="1237" t="s">
        <v>2167</v>
      </c>
      <c r="L7403" s="431"/>
      <c r="M7403" s="431"/>
      <c r="N7403" s="431"/>
    </row>
    <row r="7404" spans="1:14" s="398" customFormat="1" hidden="1" outlineLevel="1">
      <c r="A7404" s="1221"/>
      <c r="B7404" s="425"/>
      <c r="C7404" s="165" t="s">
        <v>1</v>
      </c>
      <c r="D7404" s="437">
        <f>1+1</f>
        <v>2</v>
      </c>
      <c r="E7404" s="414"/>
      <c r="F7404" s="662">
        <f>10.16+0.23*2</f>
        <v>10.620000000000001</v>
      </c>
      <c r="G7404" s="486"/>
      <c r="H7404" s="486">
        <v>0.2</v>
      </c>
      <c r="I7404" s="1129">
        <f t="shared" si="271"/>
        <v>4.25</v>
      </c>
      <c r="J7404" s="399"/>
      <c r="K7404" s="1237" t="s">
        <v>2167</v>
      </c>
      <c r="L7404" s="431"/>
      <c r="M7404" s="431"/>
      <c r="N7404" s="431"/>
    </row>
    <row r="7405" spans="1:14" s="398" customFormat="1" ht="34.5" hidden="1" outlineLevel="1">
      <c r="A7405" s="1221"/>
      <c r="B7405" s="425" t="s">
        <v>124</v>
      </c>
      <c r="C7405" s="165" t="s">
        <v>1</v>
      </c>
      <c r="D7405" s="437">
        <f>2*2</f>
        <v>4</v>
      </c>
      <c r="E7405" s="414"/>
      <c r="F7405" s="486">
        <v>0.61499999999999999</v>
      </c>
      <c r="G7405" s="486"/>
      <c r="H7405" s="486">
        <v>0.2</v>
      </c>
      <c r="I7405" s="1129">
        <f t="shared" si="271"/>
        <v>0.49</v>
      </c>
      <c r="J7405" s="399"/>
      <c r="K7405" s="1237" t="s">
        <v>2167</v>
      </c>
      <c r="L7405" s="431"/>
      <c r="M7405" s="431"/>
      <c r="N7405" s="431"/>
    </row>
    <row r="7406" spans="1:14" s="398" customFormat="1" hidden="1" outlineLevel="1">
      <c r="A7406" s="1221"/>
      <c r="B7406" s="425" t="s">
        <v>123</v>
      </c>
      <c r="C7406" s="165" t="s">
        <v>1</v>
      </c>
      <c r="D7406" s="437">
        <f>3*2</f>
        <v>6</v>
      </c>
      <c r="E7406" s="414"/>
      <c r="F7406" s="486">
        <v>3.36</v>
      </c>
      <c r="G7406" s="486"/>
      <c r="H7406" s="486">
        <v>0.2</v>
      </c>
      <c r="I7406" s="1129">
        <f t="shared" si="271"/>
        <v>4.03</v>
      </c>
      <c r="J7406" s="399"/>
      <c r="K7406" s="1237" t="s">
        <v>2167</v>
      </c>
      <c r="L7406" s="431"/>
      <c r="M7406" s="431"/>
      <c r="N7406" s="431"/>
    </row>
    <row r="7407" spans="1:14" s="398" customFormat="1" hidden="1" outlineLevel="1">
      <c r="A7407" s="1221"/>
      <c r="B7407" s="425"/>
      <c r="C7407" s="165" t="s">
        <v>1</v>
      </c>
      <c r="D7407" s="437">
        <f>3*2</f>
        <v>6</v>
      </c>
      <c r="E7407" s="414"/>
      <c r="F7407" s="662">
        <f>2.13-0.23*2</f>
        <v>1.67</v>
      </c>
      <c r="G7407" s="486"/>
      <c r="H7407" s="486">
        <v>0.2</v>
      </c>
      <c r="I7407" s="1129">
        <f t="shared" si="271"/>
        <v>2</v>
      </c>
      <c r="J7407" s="399"/>
      <c r="K7407" s="1237" t="s">
        <v>2167</v>
      </c>
      <c r="L7407" s="431"/>
      <c r="M7407" s="431"/>
      <c r="N7407" s="431"/>
    </row>
    <row r="7408" spans="1:14" s="398" customFormat="1" ht="34.5" hidden="1" outlineLevel="1">
      <c r="A7408" s="1221"/>
      <c r="B7408" s="425" t="s">
        <v>124</v>
      </c>
      <c r="C7408" s="165" t="s">
        <v>1</v>
      </c>
      <c r="D7408" s="437">
        <f>7*2</f>
        <v>14</v>
      </c>
      <c r="E7408" s="414"/>
      <c r="F7408" s="486">
        <v>0.61499999999999999</v>
      </c>
      <c r="G7408" s="486"/>
      <c r="H7408" s="486">
        <v>0.2</v>
      </c>
      <c r="I7408" s="1129">
        <f t="shared" si="271"/>
        <v>1.72</v>
      </c>
      <c r="J7408" s="399"/>
      <c r="K7408" s="1237" t="s">
        <v>2167</v>
      </c>
      <c r="L7408" s="431"/>
      <c r="M7408" s="431"/>
      <c r="N7408" s="431"/>
    </row>
    <row r="7409" spans="1:14" s="398" customFormat="1" hidden="1" outlineLevel="1">
      <c r="A7409" s="1221"/>
      <c r="B7409" s="425" t="s">
        <v>125</v>
      </c>
      <c r="C7409" s="165" t="s">
        <v>1</v>
      </c>
      <c r="D7409" s="437">
        <f>2*2</f>
        <v>4</v>
      </c>
      <c r="E7409" s="414"/>
      <c r="F7409" s="662">
        <v>2.5150000000000001</v>
      </c>
      <c r="G7409" s="486"/>
      <c r="H7409" s="486">
        <v>0.2</v>
      </c>
      <c r="I7409" s="1129">
        <f t="shared" si="271"/>
        <v>2.0099999999999998</v>
      </c>
      <c r="J7409" s="399"/>
      <c r="K7409" s="1237" t="s">
        <v>2167</v>
      </c>
      <c r="L7409" s="431"/>
      <c r="M7409" s="431"/>
      <c r="N7409" s="431"/>
    </row>
    <row r="7410" spans="1:14" s="398" customFormat="1" hidden="1" outlineLevel="1">
      <c r="A7410" s="1221"/>
      <c r="B7410" s="425"/>
      <c r="C7410" s="165" t="s">
        <v>1</v>
      </c>
      <c r="D7410" s="438">
        <v>10</v>
      </c>
      <c r="E7410" s="414"/>
      <c r="F7410" s="662">
        <f>2.13-0.23*2</f>
        <v>1.67</v>
      </c>
      <c r="G7410" s="486"/>
      <c r="H7410" s="486">
        <v>0.2</v>
      </c>
      <c r="I7410" s="1129">
        <f t="shared" si="271"/>
        <v>3.34</v>
      </c>
      <c r="J7410" s="399"/>
      <c r="K7410" s="1237" t="s">
        <v>2167</v>
      </c>
      <c r="L7410" s="431"/>
      <c r="M7410" s="431"/>
      <c r="N7410" s="431"/>
    </row>
    <row r="7411" spans="1:14" s="398" customFormat="1" hidden="1" outlineLevel="1">
      <c r="A7411" s="1221"/>
      <c r="B7411" s="425"/>
      <c r="C7411" s="165" t="s">
        <v>1</v>
      </c>
      <c r="D7411" s="437">
        <f>1+1</f>
        <v>2</v>
      </c>
      <c r="E7411" s="414"/>
      <c r="F7411" s="662">
        <v>1.06</v>
      </c>
      <c r="G7411" s="486"/>
      <c r="H7411" s="486">
        <v>0.2</v>
      </c>
      <c r="I7411" s="1129">
        <f t="shared" si="271"/>
        <v>0.42</v>
      </c>
      <c r="J7411" s="399"/>
      <c r="K7411" s="1237" t="s">
        <v>2167</v>
      </c>
      <c r="L7411" s="431"/>
      <c r="M7411" s="431"/>
      <c r="N7411" s="431"/>
    </row>
    <row r="7412" spans="1:14" s="398" customFormat="1" hidden="1" outlineLevel="1">
      <c r="A7412" s="1221"/>
      <c r="B7412" s="425"/>
      <c r="C7412" s="165" t="s">
        <v>1</v>
      </c>
      <c r="D7412" s="437">
        <f>1+1</f>
        <v>2</v>
      </c>
      <c r="E7412" s="414"/>
      <c r="F7412" s="486">
        <v>3.36</v>
      </c>
      <c r="G7412" s="486"/>
      <c r="H7412" s="486">
        <v>0.2</v>
      </c>
      <c r="I7412" s="1129">
        <f t="shared" si="271"/>
        <v>1.34</v>
      </c>
      <c r="J7412" s="399"/>
      <c r="K7412" s="1237" t="s">
        <v>2167</v>
      </c>
      <c r="L7412" s="431"/>
      <c r="M7412" s="431"/>
      <c r="N7412" s="431"/>
    </row>
    <row r="7413" spans="1:14" s="398" customFormat="1" ht="34.5" hidden="1" outlineLevel="1">
      <c r="A7413" s="1221"/>
      <c r="B7413" s="425" t="s">
        <v>126</v>
      </c>
      <c r="C7413" s="165" t="s">
        <v>1</v>
      </c>
      <c r="D7413" s="437">
        <v>2</v>
      </c>
      <c r="E7413" s="414"/>
      <c r="F7413" s="486">
        <f>3.16+3+2+1.2+0.23*2</f>
        <v>9.82</v>
      </c>
      <c r="G7413" s="486"/>
      <c r="H7413" s="486">
        <v>0.2</v>
      </c>
      <c r="I7413" s="1129">
        <f t="shared" si="271"/>
        <v>3.93</v>
      </c>
      <c r="J7413" s="399"/>
      <c r="K7413" s="1237" t="s">
        <v>2167</v>
      </c>
      <c r="L7413" s="431"/>
      <c r="M7413" s="431"/>
      <c r="N7413" s="431"/>
    </row>
    <row r="7414" spans="1:14" s="398" customFormat="1" hidden="1" outlineLevel="1">
      <c r="A7414" s="1221"/>
      <c r="B7414" s="425" t="s">
        <v>125</v>
      </c>
      <c r="C7414" s="165" t="s">
        <v>1</v>
      </c>
      <c r="D7414" s="437">
        <v>2</v>
      </c>
      <c r="E7414" s="414"/>
      <c r="F7414" s="662">
        <v>7.82</v>
      </c>
      <c r="G7414" s="486"/>
      <c r="H7414" s="486">
        <v>0.2</v>
      </c>
      <c r="I7414" s="1129">
        <f t="shared" si="271"/>
        <v>3.13</v>
      </c>
      <c r="J7414" s="399"/>
      <c r="K7414" s="1237" t="s">
        <v>2167</v>
      </c>
      <c r="L7414" s="431"/>
      <c r="M7414" s="431"/>
      <c r="N7414" s="431"/>
    </row>
    <row r="7415" spans="1:14" s="398" customFormat="1" hidden="1" outlineLevel="1">
      <c r="A7415" s="1221"/>
      <c r="B7415" s="425"/>
      <c r="C7415" s="165" t="s">
        <v>1</v>
      </c>
      <c r="D7415" s="437">
        <v>2</v>
      </c>
      <c r="E7415" s="414"/>
      <c r="F7415" s="486">
        <f>3.16+3+0.23</f>
        <v>6.3900000000000006</v>
      </c>
      <c r="G7415" s="486"/>
      <c r="H7415" s="486">
        <v>0.2</v>
      </c>
      <c r="I7415" s="1129">
        <f t="shared" si="271"/>
        <v>2.56</v>
      </c>
      <c r="J7415" s="399"/>
      <c r="K7415" s="1237" t="s">
        <v>2167</v>
      </c>
      <c r="L7415" s="431"/>
      <c r="M7415" s="431"/>
      <c r="N7415" s="431"/>
    </row>
    <row r="7416" spans="1:14" s="398" customFormat="1" hidden="1" outlineLevel="1">
      <c r="A7416" s="1221"/>
      <c r="B7416" s="425"/>
      <c r="C7416" s="165" t="s">
        <v>1</v>
      </c>
      <c r="D7416" s="437">
        <v>2</v>
      </c>
      <c r="E7416" s="414"/>
      <c r="F7416" s="486">
        <f>2.56+3+0.6+0.23*2</f>
        <v>6.62</v>
      </c>
      <c r="G7416" s="486"/>
      <c r="H7416" s="486">
        <v>0.2</v>
      </c>
      <c r="I7416" s="1129">
        <f t="shared" si="271"/>
        <v>2.65</v>
      </c>
      <c r="J7416" s="399"/>
      <c r="K7416" s="1237" t="s">
        <v>2167</v>
      </c>
      <c r="L7416" s="431"/>
      <c r="M7416" s="431"/>
      <c r="N7416" s="431"/>
    </row>
    <row r="7417" spans="1:14" s="398" customFormat="1" hidden="1" outlineLevel="1">
      <c r="A7417" s="1221"/>
      <c r="B7417" s="425"/>
      <c r="C7417" s="165" t="s">
        <v>1</v>
      </c>
      <c r="D7417" s="438">
        <v>2</v>
      </c>
      <c r="E7417" s="414"/>
      <c r="F7417" s="662">
        <v>4.29</v>
      </c>
      <c r="G7417" s="486"/>
      <c r="H7417" s="486">
        <v>0.2</v>
      </c>
      <c r="I7417" s="1129">
        <f t="shared" si="271"/>
        <v>1.72</v>
      </c>
      <c r="J7417" s="399"/>
      <c r="K7417" s="1237" t="s">
        <v>2167</v>
      </c>
      <c r="L7417" s="431"/>
      <c r="M7417" s="431"/>
      <c r="N7417" s="431"/>
    </row>
    <row r="7418" spans="1:14" s="398" customFormat="1" hidden="1" outlineLevel="1">
      <c r="A7418" s="1221"/>
      <c r="B7418" s="425"/>
      <c r="C7418" s="165" t="s">
        <v>1</v>
      </c>
      <c r="D7418" s="437">
        <v>4</v>
      </c>
      <c r="E7418" s="414"/>
      <c r="F7418" s="486">
        <f>2+4.06-2+0.23*2</f>
        <v>4.5199999999999996</v>
      </c>
      <c r="G7418" s="486"/>
      <c r="H7418" s="486">
        <v>0.2</v>
      </c>
      <c r="I7418" s="1129">
        <f t="shared" si="271"/>
        <v>3.62</v>
      </c>
      <c r="J7418" s="399"/>
      <c r="K7418" s="1237" t="s">
        <v>2167</v>
      </c>
      <c r="L7418" s="431"/>
      <c r="M7418" s="431"/>
      <c r="N7418" s="431"/>
    </row>
    <row r="7419" spans="1:14" s="398" customFormat="1" hidden="1" outlineLevel="1">
      <c r="A7419" s="1221"/>
      <c r="B7419" s="425"/>
      <c r="C7419" s="165" t="s">
        <v>1</v>
      </c>
      <c r="D7419" s="437">
        <v>2</v>
      </c>
      <c r="E7419" s="414"/>
      <c r="F7419" s="486">
        <f>4.06+0.23</f>
        <v>4.29</v>
      </c>
      <c r="G7419" s="486"/>
      <c r="H7419" s="486">
        <v>0.2</v>
      </c>
      <c r="I7419" s="1129">
        <f t="shared" si="271"/>
        <v>1.72</v>
      </c>
      <c r="J7419" s="399"/>
      <c r="K7419" s="1237" t="s">
        <v>2167</v>
      </c>
      <c r="L7419" s="431"/>
      <c r="M7419" s="431"/>
      <c r="N7419" s="431"/>
    </row>
    <row r="7420" spans="1:14" s="398" customFormat="1" hidden="1" outlineLevel="1">
      <c r="A7420" s="1221"/>
      <c r="B7420" s="425"/>
      <c r="C7420" s="165" t="s">
        <v>1</v>
      </c>
      <c r="D7420" s="437">
        <v>2</v>
      </c>
      <c r="E7420" s="414"/>
      <c r="F7420" s="486">
        <f>0.4+3+0.66+0.23*2</f>
        <v>4.5199999999999996</v>
      </c>
      <c r="G7420" s="486"/>
      <c r="H7420" s="486">
        <v>0.2</v>
      </c>
      <c r="I7420" s="1129">
        <f t="shared" si="271"/>
        <v>1.81</v>
      </c>
      <c r="J7420" s="399"/>
      <c r="K7420" s="1237" t="s">
        <v>2167</v>
      </c>
      <c r="L7420" s="431"/>
      <c r="M7420" s="431"/>
      <c r="N7420" s="431"/>
    </row>
    <row r="7421" spans="1:14" s="398" customFormat="1" hidden="1" outlineLevel="1">
      <c r="A7421" s="1221"/>
      <c r="B7421" s="425"/>
      <c r="C7421" s="165" t="s">
        <v>1</v>
      </c>
      <c r="D7421" s="437">
        <v>2</v>
      </c>
      <c r="E7421" s="414"/>
      <c r="F7421" s="486">
        <f>4.2-2+0.23</f>
        <v>2.4300000000000002</v>
      </c>
      <c r="G7421" s="486"/>
      <c r="H7421" s="486">
        <v>0.2</v>
      </c>
      <c r="I7421" s="1129">
        <f t="shared" si="271"/>
        <v>0.97</v>
      </c>
      <c r="J7421" s="399"/>
      <c r="K7421" s="1237" t="s">
        <v>2167</v>
      </c>
      <c r="L7421" s="431"/>
      <c r="M7421" s="431"/>
      <c r="N7421" s="431"/>
    </row>
    <row r="7422" spans="1:14" s="398" customFormat="1" hidden="1" outlineLevel="1">
      <c r="A7422" s="1221"/>
      <c r="B7422" s="425"/>
      <c r="C7422" s="165" t="s">
        <v>1</v>
      </c>
      <c r="D7422" s="437">
        <v>2</v>
      </c>
      <c r="E7422" s="414"/>
      <c r="F7422" s="486">
        <f>4.2+0.23*2</f>
        <v>4.66</v>
      </c>
      <c r="G7422" s="486"/>
      <c r="H7422" s="486">
        <v>0.2</v>
      </c>
      <c r="I7422" s="1129">
        <f t="shared" si="271"/>
        <v>1.86</v>
      </c>
      <c r="J7422" s="399"/>
      <c r="K7422" s="1237" t="s">
        <v>2167</v>
      </c>
      <c r="L7422" s="431"/>
      <c r="M7422" s="431"/>
      <c r="N7422" s="431"/>
    </row>
    <row r="7423" spans="1:14" s="398" customFormat="1" ht="34.5" hidden="1" outlineLevel="1">
      <c r="A7423" s="1221"/>
      <c r="B7423" s="425" t="s">
        <v>127</v>
      </c>
      <c r="C7423" s="165"/>
      <c r="D7423" s="437"/>
      <c r="E7423" s="414"/>
      <c r="F7423" s="486"/>
      <c r="G7423" s="486"/>
      <c r="H7423" s="486"/>
      <c r="I7423" s="1129" t="str">
        <f t="shared" si="271"/>
        <v/>
      </c>
      <c r="J7423" s="399"/>
      <c r="K7423" s="1237" t="s">
        <v>2167</v>
      </c>
      <c r="L7423" s="431"/>
      <c r="M7423" s="431"/>
      <c r="N7423" s="431"/>
    </row>
    <row r="7424" spans="1:14" s="398" customFormat="1" hidden="1" outlineLevel="1">
      <c r="A7424" s="1221"/>
      <c r="B7424" s="425" t="s">
        <v>128</v>
      </c>
      <c r="C7424" s="165" t="s">
        <v>1</v>
      </c>
      <c r="D7424" s="437">
        <v>2</v>
      </c>
      <c r="E7424" s="414"/>
      <c r="F7424" s="486">
        <f>5.985+3+1.395+3+1.395+1.5+1.5+0.775+0.23</f>
        <v>18.779999999999998</v>
      </c>
      <c r="G7424" s="486"/>
      <c r="H7424" s="486">
        <v>0.2</v>
      </c>
      <c r="I7424" s="1129">
        <f t="shared" si="271"/>
        <v>7.51</v>
      </c>
      <c r="J7424" s="399"/>
      <c r="K7424" s="1237" t="s">
        <v>2167</v>
      </c>
      <c r="L7424" s="431"/>
      <c r="M7424" s="431"/>
      <c r="N7424" s="431"/>
    </row>
    <row r="7425" spans="1:14" s="398" customFormat="1" hidden="1" outlineLevel="1">
      <c r="A7425" s="1221"/>
      <c r="B7425" s="425"/>
      <c r="C7425" s="165" t="s">
        <v>1</v>
      </c>
      <c r="D7425" s="437">
        <v>2</v>
      </c>
      <c r="E7425" s="414"/>
      <c r="F7425" s="662">
        <v>1.48</v>
      </c>
      <c r="G7425" s="486"/>
      <c r="H7425" s="486">
        <v>0.2</v>
      </c>
      <c r="I7425" s="1129">
        <f t="shared" si="271"/>
        <v>0.59</v>
      </c>
      <c r="J7425" s="399"/>
      <c r="K7425" s="1237" t="s">
        <v>2167</v>
      </c>
      <c r="L7425" s="431"/>
      <c r="M7425" s="431"/>
      <c r="N7425" s="431"/>
    </row>
    <row r="7426" spans="1:14" s="398" customFormat="1" hidden="1" outlineLevel="1">
      <c r="A7426" s="1221"/>
      <c r="B7426" s="425"/>
      <c r="C7426" s="165" t="s">
        <v>1</v>
      </c>
      <c r="D7426" s="437">
        <v>12</v>
      </c>
      <c r="E7426" s="414"/>
      <c r="F7426" s="486">
        <f>0.615+0.23*2</f>
        <v>1.075</v>
      </c>
      <c r="G7426" s="486"/>
      <c r="H7426" s="486">
        <v>0.2</v>
      </c>
      <c r="I7426" s="1129">
        <f t="shared" si="271"/>
        <v>2.58</v>
      </c>
      <c r="J7426" s="399"/>
      <c r="K7426" s="1237" t="s">
        <v>2167</v>
      </c>
      <c r="L7426" s="431"/>
      <c r="M7426" s="431"/>
      <c r="N7426" s="431"/>
    </row>
    <row r="7427" spans="1:14" s="398" customFormat="1" hidden="1" outlineLevel="1">
      <c r="A7427" s="1221"/>
      <c r="B7427" s="425"/>
      <c r="C7427" s="165" t="s">
        <v>1</v>
      </c>
      <c r="D7427" s="438">
        <v>6</v>
      </c>
      <c r="E7427" s="414"/>
      <c r="F7427" s="662">
        <v>1.98</v>
      </c>
      <c r="G7427" s="486"/>
      <c r="H7427" s="486">
        <v>0.2</v>
      </c>
      <c r="I7427" s="1129">
        <f t="shared" si="271"/>
        <v>2.38</v>
      </c>
      <c r="J7427" s="399"/>
      <c r="K7427" s="1237" t="s">
        <v>2167</v>
      </c>
      <c r="L7427" s="431"/>
      <c r="M7427" s="431"/>
      <c r="N7427" s="431"/>
    </row>
    <row r="7428" spans="1:14" s="398" customFormat="1" hidden="1" outlineLevel="1">
      <c r="A7428" s="1221"/>
      <c r="B7428" s="425"/>
      <c r="C7428" s="165" t="s">
        <v>1</v>
      </c>
      <c r="D7428" s="438">
        <v>4</v>
      </c>
      <c r="E7428" s="414"/>
      <c r="F7428" s="662">
        <v>1.67</v>
      </c>
      <c r="G7428" s="486"/>
      <c r="H7428" s="486">
        <v>0.2</v>
      </c>
      <c r="I7428" s="1129">
        <f t="shared" si="271"/>
        <v>1.34</v>
      </c>
      <c r="J7428" s="399"/>
      <c r="K7428" s="1237" t="s">
        <v>2167</v>
      </c>
      <c r="L7428" s="431"/>
      <c r="M7428" s="431"/>
      <c r="N7428" s="431"/>
    </row>
    <row r="7429" spans="1:14" s="398" customFormat="1" hidden="1" outlineLevel="1">
      <c r="A7429" s="1221"/>
      <c r="B7429" s="425"/>
      <c r="C7429" s="165" t="s">
        <v>1</v>
      </c>
      <c r="D7429" s="437">
        <v>2</v>
      </c>
      <c r="E7429" s="414"/>
      <c r="F7429" s="662">
        <v>1.3</v>
      </c>
      <c r="G7429" s="486"/>
      <c r="H7429" s="486">
        <v>0.2</v>
      </c>
      <c r="I7429" s="1129">
        <f t="shared" si="271"/>
        <v>0.52</v>
      </c>
      <c r="J7429" s="399"/>
      <c r="K7429" s="1237" t="s">
        <v>2167</v>
      </c>
      <c r="L7429" s="431"/>
      <c r="M7429" s="431"/>
      <c r="N7429" s="431"/>
    </row>
    <row r="7430" spans="1:14" s="398" customFormat="1" ht="34.5" hidden="1" outlineLevel="1">
      <c r="A7430" s="1221"/>
      <c r="B7430" s="425" t="s">
        <v>129</v>
      </c>
      <c r="C7430" s="165"/>
      <c r="D7430" s="437"/>
      <c r="E7430" s="414"/>
      <c r="F7430" s="486"/>
      <c r="G7430" s="486"/>
      <c r="H7430" s="486"/>
      <c r="I7430" s="1129" t="str">
        <f t="shared" si="271"/>
        <v/>
      </c>
      <c r="J7430" s="399"/>
      <c r="K7430" s="1237" t="s">
        <v>2167</v>
      </c>
      <c r="L7430" s="431"/>
      <c r="M7430" s="431"/>
      <c r="N7430" s="431"/>
    </row>
    <row r="7431" spans="1:14" s="398" customFormat="1" hidden="1" outlineLevel="1">
      <c r="A7431" s="1221"/>
      <c r="B7431" s="425" t="s">
        <v>128</v>
      </c>
      <c r="C7431" s="165" t="s">
        <v>1</v>
      </c>
      <c r="D7431" s="438">
        <v>4</v>
      </c>
      <c r="E7431" s="414"/>
      <c r="F7431" s="486">
        <v>2</v>
      </c>
      <c r="G7431" s="486"/>
      <c r="H7431" s="486">
        <v>0.2</v>
      </c>
      <c r="I7431" s="1129">
        <f t="shared" si="271"/>
        <v>1.6</v>
      </c>
      <c r="J7431" s="399"/>
      <c r="K7431" s="1237" t="s">
        <v>2167</v>
      </c>
      <c r="L7431" s="431"/>
      <c r="M7431" s="431"/>
      <c r="N7431" s="431"/>
    </row>
    <row r="7432" spans="1:14" s="398" customFormat="1" hidden="1" outlineLevel="1">
      <c r="A7432" s="1221"/>
      <c r="B7432" s="425"/>
      <c r="C7432" s="165" t="s">
        <v>1</v>
      </c>
      <c r="D7432" s="438">
        <v>4</v>
      </c>
      <c r="E7432" s="414"/>
      <c r="F7432" s="486">
        <v>3</v>
      </c>
      <c r="G7432" s="486"/>
      <c r="H7432" s="486">
        <v>0.2</v>
      </c>
      <c r="I7432" s="1129">
        <f t="shared" si="271"/>
        <v>2.4</v>
      </c>
      <c r="J7432" s="399"/>
      <c r="K7432" s="1237" t="s">
        <v>2167</v>
      </c>
      <c r="L7432" s="431"/>
      <c r="M7432" s="431"/>
      <c r="N7432" s="431"/>
    </row>
    <row r="7433" spans="1:14" s="398" customFormat="1" hidden="1" outlineLevel="1">
      <c r="A7433" s="1221"/>
      <c r="B7433" s="425"/>
      <c r="C7433" s="165" t="s">
        <v>1</v>
      </c>
      <c r="D7433" s="438">
        <v>4</v>
      </c>
      <c r="E7433" s="414"/>
      <c r="F7433" s="486">
        <v>4.6449999999999996</v>
      </c>
      <c r="G7433" s="486"/>
      <c r="H7433" s="486">
        <v>0.2</v>
      </c>
      <c r="I7433" s="1129">
        <f t="shared" si="271"/>
        <v>3.72</v>
      </c>
      <c r="J7433" s="399"/>
      <c r="K7433" s="1237" t="s">
        <v>2167</v>
      </c>
      <c r="L7433" s="431"/>
      <c r="M7433" s="431"/>
      <c r="N7433" s="431"/>
    </row>
    <row r="7434" spans="1:14" s="398" customFormat="1" hidden="1" outlineLevel="1">
      <c r="A7434" s="1221"/>
      <c r="B7434" s="425"/>
      <c r="C7434" s="165" t="s">
        <v>1</v>
      </c>
      <c r="D7434" s="438">
        <v>4</v>
      </c>
      <c r="E7434" s="414"/>
      <c r="F7434" s="486">
        <v>6.12</v>
      </c>
      <c r="G7434" s="486"/>
      <c r="H7434" s="486">
        <v>0.2</v>
      </c>
      <c r="I7434" s="1129">
        <f t="shared" si="271"/>
        <v>4.9000000000000004</v>
      </c>
      <c r="J7434" s="399"/>
      <c r="K7434" s="1237" t="s">
        <v>2167</v>
      </c>
      <c r="L7434" s="431"/>
      <c r="M7434" s="431"/>
      <c r="N7434" s="431"/>
    </row>
    <row r="7435" spans="1:14" s="398" customFormat="1" hidden="1" outlineLevel="1">
      <c r="A7435" s="1221"/>
      <c r="B7435" s="425"/>
      <c r="C7435" s="165" t="s">
        <v>1</v>
      </c>
      <c r="D7435" s="438">
        <v>4</v>
      </c>
      <c r="E7435" s="414"/>
      <c r="F7435" s="486">
        <v>6.95</v>
      </c>
      <c r="G7435" s="486"/>
      <c r="H7435" s="486">
        <v>0.2</v>
      </c>
      <c r="I7435" s="1129">
        <f t="shared" si="271"/>
        <v>5.56</v>
      </c>
      <c r="J7435" s="399"/>
      <c r="K7435" s="1237" t="s">
        <v>2167</v>
      </c>
      <c r="L7435" s="431"/>
      <c r="M7435" s="431"/>
      <c r="N7435" s="431"/>
    </row>
    <row r="7436" spans="1:14" s="398" customFormat="1" hidden="1" outlineLevel="1">
      <c r="A7436" s="1221"/>
      <c r="B7436" s="425"/>
      <c r="C7436" s="165" t="s">
        <v>1</v>
      </c>
      <c r="D7436" s="438">
        <v>4</v>
      </c>
      <c r="E7436" s="414"/>
      <c r="F7436" s="486">
        <v>6.38</v>
      </c>
      <c r="G7436" s="486"/>
      <c r="H7436" s="486">
        <v>0.2</v>
      </c>
      <c r="I7436" s="1129">
        <f t="shared" si="271"/>
        <v>5.0999999999999996</v>
      </c>
      <c r="J7436" s="399"/>
      <c r="K7436" s="1237" t="s">
        <v>2167</v>
      </c>
      <c r="L7436" s="431"/>
      <c r="M7436" s="431"/>
      <c r="N7436" s="431"/>
    </row>
    <row r="7437" spans="1:14" s="398" customFormat="1" hidden="1" outlineLevel="1">
      <c r="A7437" s="1221"/>
      <c r="B7437" s="425"/>
      <c r="C7437" s="165" t="s">
        <v>1</v>
      </c>
      <c r="D7437" s="438">
        <v>4</v>
      </c>
      <c r="E7437" s="414"/>
      <c r="F7437" s="486">
        <v>5.3449999999999998</v>
      </c>
      <c r="G7437" s="486"/>
      <c r="H7437" s="486">
        <v>0.2</v>
      </c>
      <c r="I7437" s="1129">
        <f t="shared" si="271"/>
        <v>4.28</v>
      </c>
      <c r="J7437" s="399"/>
      <c r="K7437" s="1237" t="s">
        <v>2167</v>
      </c>
      <c r="L7437" s="431"/>
      <c r="M7437" s="431"/>
      <c r="N7437" s="431"/>
    </row>
    <row r="7438" spans="1:14" s="398" customFormat="1" hidden="1" outlineLevel="1">
      <c r="A7438" s="1333"/>
      <c r="B7438" s="1127" t="s">
        <v>140</v>
      </c>
      <c r="C7438" s="1126" t="s">
        <v>1</v>
      </c>
      <c r="D7438" s="1128">
        <v>-6</v>
      </c>
      <c r="E7438" s="1126"/>
      <c r="F7438" s="1392">
        <v>3</v>
      </c>
      <c r="G7438" s="1392"/>
      <c r="H7438" s="1392">
        <v>0.2</v>
      </c>
      <c r="I7438" s="1164">
        <f t="shared" si="271"/>
        <v>-3.6</v>
      </c>
      <c r="J7438" s="1129"/>
      <c r="K7438" s="1334" t="s">
        <v>2168</v>
      </c>
      <c r="L7438" s="431"/>
      <c r="M7438" s="431"/>
      <c r="N7438" s="431"/>
    </row>
    <row r="7439" spans="1:14" s="398" customFormat="1" hidden="1" outlineLevel="1">
      <c r="A7439" s="1333"/>
      <c r="B7439" s="1127" t="s">
        <v>140</v>
      </c>
      <c r="C7439" s="1126" t="s">
        <v>1</v>
      </c>
      <c r="D7439" s="1128">
        <v>6</v>
      </c>
      <c r="E7439" s="1126"/>
      <c r="F7439" s="1392">
        <v>3</v>
      </c>
      <c r="G7439" s="1392"/>
      <c r="H7439" s="1392">
        <f>0.275+0.035</f>
        <v>0.31000000000000005</v>
      </c>
      <c r="I7439" s="1164">
        <f t="shared" si="271"/>
        <v>5.58</v>
      </c>
      <c r="J7439" s="1129"/>
      <c r="K7439" s="1334" t="s">
        <v>2168</v>
      </c>
      <c r="L7439" s="431"/>
      <c r="M7439" s="431"/>
      <c r="N7439" s="431"/>
    </row>
    <row r="7440" spans="1:14" s="398" customFormat="1" hidden="1" outlineLevel="1">
      <c r="A7440" s="1333"/>
      <c r="B7440" s="1127" t="s">
        <v>140</v>
      </c>
      <c r="C7440" s="1126" t="s">
        <v>1</v>
      </c>
      <c r="D7440" s="1128">
        <f>-41*2</f>
        <v>-82</v>
      </c>
      <c r="E7440" s="1126"/>
      <c r="F7440" s="1392">
        <v>3</v>
      </c>
      <c r="G7440" s="1392"/>
      <c r="H7440" s="1392">
        <v>0.2</v>
      </c>
      <c r="I7440" s="1164">
        <f t="shared" si="271"/>
        <v>-49.2</v>
      </c>
      <c r="J7440" s="1129"/>
      <c r="K7440" s="1334" t="s">
        <v>2168</v>
      </c>
      <c r="L7440" s="431"/>
      <c r="M7440" s="431"/>
      <c r="N7440" s="431"/>
    </row>
    <row r="7441" spans="1:14" s="398" customFormat="1" hidden="1" outlineLevel="1">
      <c r="A7441" s="1333"/>
      <c r="B7441" s="1127" t="s">
        <v>140</v>
      </c>
      <c r="C7441" s="1126" t="s">
        <v>1</v>
      </c>
      <c r="D7441" s="1128">
        <f>41*2</f>
        <v>82</v>
      </c>
      <c r="E7441" s="1126"/>
      <c r="F7441" s="1392">
        <v>3</v>
      </c>
      <c r="G7441" s="1392"/>
      <c r="H7441" s="1392">
        <f>0.275+0.045*2</f>
        <v>0.36499999999999999</v>
      </c>
      <c r="I7441" s="1164">
        <f t="shared" si="271"/>
        <v>89.79</v>
      </c>
      <c r="J7441" s="1129"/>
      <c r="K7441" s="1334" t="s">
        <v>2168</v>
      </c>
      <c r="L7441" s="431"/>
      <c r="M7441" s="431"/>
      <c r="N7441" s="431"/>
    </row>
    <row r="7442" spans="1:14" s="398" customFormat="1" hidden="1" outlineLevel="1">
      <c r="A7442" s="1221"/>
      <c r="B7442" s="425" t="s">
        <v>132</v>
      </c>
      <c r="C7442" s="165" t="s">
        <v>1</v>
      </c>
      <c r="D7442" s="437">
        <v>2</v>
      </c>
      <c r="E7442" s="414"/>
      <c r="F7442" s="486">
        <f>34.935</f>
        <v>34.935000000000002</v>
      </c>
      <c r="G7442" s="486"/>
      <c r="H7442" s="486">
        <v>0.2</v>
      </c>
      <c r="I7442" s="1129">
        <f t="shared" si="271"/>
        <v>13.97</v>
      </c>
      <c r="J7442" s="399"/>
      <c r="K7442" s="1237" t="s">
        <v>2167</v>
      </c>
      <c r="L7442" s="431"/>
      <c r="M7442" s="431"/>
      <c r="N7442" s="431"/>
    </row>
    <row r="7443" spans="1:14" s="398" customFormat="1" hidden="1" outlineLevel="1">
      <c r="A7443" s="1221"/>
      <c r="B7443" s="425" t="s">
        <v>132</v>
      </c>
      <c r="C7443" s="165" t="s">
        <v>1</v>
      </c>
      <c r="D7443" s="437">
        <v>2</v>
      </c>
      <c r="E7443" s="414"/>
      <c r="F7443" s="486">
        <v>15</v>
      </c>
      <c r="G7443" s="486"/>
      <c r="H7443" s="486">
        <v>0.2</v>
      </c>
      <c r="I7443" s="1129">
        <f t="shared" si="271"/>
        <v>6</v>
      </c>
      <c r="J7443" s="399"/>
      <c r="K7443" s="1237" t="s">
        <v>2167</v>
      </c>
      <c r="L7443" s="431"/>
      <c r="M7443" s="431"/>
      <c r="N7443" s="431"/>
    </row>
    <row r="7444" spans="1:14" s="398" customFormat="1" hidden="1" outlineLevel="1">
      <c r="A7444" s="1221"/>
      <c r="B7444" s="425" t="s">
        <v>133</v>
      </c>
      <c r="C7444" s="165" t="s">
        <v>1</v>
      </c>
      <c r="D7444" s="437">
        <v>2</v>
      </c>
      <c r="E7444" s="414"/>
      <c r="F7444" s="486">
        <v>31.4</v>
      </c>
      <c r="G7444" s="486"/>
      <c r="H7444" s="486">
        <v>0.2</v>
      </c>
      <c r="I7444" s="1129">
        <f t="shared" si="271"/>
        <v>12.56</v>
      </c>
      <c r="J7444" s="399"/>
      <c r="K7444" s="1237" t="s">
        <v>2167</v>
      </c>
      <c r="L7444" s="431"/>
      <c r="M7444" s="431"/>
      <c r="N7444" s="431"/>
    </row>
    <row r="7445" spans="1:14" s="398" customFormat="1" hidden="1" outlineLevel="1">
      <c r="A7445" s="1221"/>
      <c r="B7445" s="425" t="s">
        <v>134</v>
      </c>
      <c r="C7445" s="165" t="s">
        <v>1</v>
      </c>
      <c r="D7445" s="437">
        <v>2</v>
      </c>
      <c r="E7445" s="414"/>
      <c r="F7445" s="486">
        <v>42.55</v>
      </c>
      <c r="G7445" s="486"/>
      <c r="H7445" s="486">
        <v>0.2</v>
      </c>
      <c r="I7445" s="1129">
        <f t="shared" si="271"/>
        <v>17.02</v>
      </c>
      <c r="J7445" s="399"/>
      <c r="K7445" s="1237" t="s">
        <v>2167</v>
      </c>
      <c r="L7445" s="431"/>
      <c r="M7445" s="431"/>
      <c r="N7445" s="431"/>
    </row>
    <row r="7446" spans="1:14" s="398" customFormat="1" hidden="1" outlineLevel="1">
      <c r="A7446" s="1221"/>
      <c r="B7446" s="425" t="s">
        <v>135</v>
      </c>
      <c r="C7446" s="165" t="s">
        <v>1</v>
      </c>
      <c r="D7446" s="437">
        <v>4</v>
      </c>
      <c r="E7446" s="414"/>
      <c r="F7446" s="486">
        <v>31.44</v>
      </c>
      <c r="G7446" s="486"/>
      <c r="H7446" s="486">
        <v>0.2</v>
      </c>
      <c r="I7446" s="1129">
        <f t="shared" si="271"/>
        <v>25.15</v>
      </c>
      <c r="J7446" s="399"/>
      <c r="K7446" s="1237" t="s">
        <v>2167</v>
      </c>
      <c r="L7446" s="431"/>
      <c r="M7446" s="431"/>
      <c r="N7446" s="431"/>
    </row>
    <row r="7447" spans="1:14" s="398" customFormat="1" hidden="1" outlineLevel="1">
      <c r="A7447" s="1221"/>
      <c r="B7447" s="425" t="s">
        <v>136</v>
      </c>
      <c r="C7447" s="165" t="s">
        <v>1</v>
      </c>
      <c r="D7447" s="437">
        <v>12</v>
      </c>
      <c r="E7447" s="414"/>
      <c r="F7447" s="486">
        <f>4.5+0.15*2</f>
        <v>4.8</v>
      </c>
      <c r="G7447" s="486"/>
      <c r="H7447" s="486">
        <v>0.3</v>
      </c>
      <c r="I7447" s="1129">
        <f t="shared" si="271"/>
        <v>17.28</v>
      </c>
      <c r="J7447" s="399"/>
      <c r="K7447" s="1237" t="s">
        <v>2167</v>
      </c>
      <c r="L7447" s="431"/>
      <c r="M7447" s="431"/>
      <c r="N7447" s="431"/>
    </row>
    <row r="7448" spans="1:14" s="398" customFormat="1" hidden="1" outlineLevel="1">
      <c r="A7448" s="1221"/>
      <c r="B7448" s="425"/>
      <c r="C7448" s="165" t="s">
        <v>1</v>
      </c>
      <c r="D7448" s="437">
        <v>12</v>
      </c>
      <c r="E7448" s="414"/>
      <c r="F7448" s="486">
        <f>1+0.15</f>
        <v>1.1499999999999999</v>
      </c>
      <c r="G7448" s="486"/>
      <c r="H7448" s="486">
        <v>0.3</v>
      </c>
      <c r="I7448" s="1129">
        <f t="shared" si="271"/>
        <v>4.1399999999999997</v>
      </c>
      <c r="J7448" s="399"/>
      <c r="K7448" s="1237" t="s">
        <v>2167</v>
      </c>
      <c r="L7448" s="431"/>
      <c r="M7448" s="431"/>
      <c r="N7448" s="431"/>
    </row>
    <row r="7449" spans="1:14" s="398" customFormat="1" hidden="1" outlineLevel="1">
      <c r="A7449" s="1221"/>
      <c r="B7449" s="425"/>
      <c r="C7449" s="165" t="s">
        <v>1</v>
      </c>
      <c r="D7449" s="438">
        <v>4</v>
      </c>
      <c r="E7449" s="414"/>
      <c r="F7449" s="486">
        <f>4.5+0.15*2</f>
        <v>4.8</v>
      </c>
      <c r="G7449" s="486"/>
      <c r="H7449" s="486">
        <v>0.3</v>
      </c>
      <c r="I7449" s="1129">
        <f t="shared" si="271"/>
        <v>5.76</v>
      </c>
      <c r="J7449" s="399"/>
      <c r="K7449" s="1237" t="s">
        <v>2167</v>
      </c>
      <c r="L7449" s="431"/>
      <c r="M7449" s="431"/>
      <c r="N7449" s="431"/>
    </row>
    <row r="7450" spans="1:14" s="398" customFormat="1" hidden="1" outlineLevel="1">
      <c r="A7450" s="1221"/>
      <c r="B7450" s="425"/>
      <c r="C7450" s="165" t="s">
        <v>1</v>
      </c>
      <c r="D7450" s="438">
        <v>4</v>
      </c>
      <c r="E7450" s="414"/>
      <c r="F7450" s="486">
        <f>1+0.15*2</f>
        <v>1.3</v>
      </c>
      <c r="G7450" s="486"/>
      <c r="H7450" s="486">
        <v>0.3</v>
      </c>
      <c r="I7450" s="1129">
        <f t="shared" si="271"/>
        <v>1.56</v>
      </c>
      <c r="J7450" s="399"/>
      <c r="K7450" s="1237" t="s">
        <v>2167</v>
      </c>
      <c r="L7450" s="431"/>
      <c r="M7450" s="431"/>
      <c r="N7450" s="431"/>
    </row>
    <row r="7451" spans="1:14" s="398" customFormat="1" hidden="1" outlineLevel="1">
      <c r="A7451" s="1221"/>
      <c r="B7451" s="425" t="s">
        <v>137</v>
      </c>
      <c r="C7451" s="165" t="s">
        <v>1</v>
      </c>
      <c r="D7451" s="437">
        <v>12</v>
      </c>
      <c r="E7451" s="414"/>
      <c r="F7451" s="486">
        <f>4.5+0.15*2</f>
        <v>4.8</v>
      </c>
      <c r="G7451" s="486"/>
      <c r="H7451" s="486">
        <v>0.3</v>
      </c>
      <c r="I7451" s="1129">
        <f t="shared" si="271"/>
        <v>17.28</v>
      </c>
      <c r="J7451" s="399"/>
      <c r="K7451" s="1237" t="s">
        <v>2167</v>
      </c>
      <c r="L7451" s="431"/>
      <c r="M7451" s="431"/>
      <c r="N7451" s="431"/>
    </row>
    <row r="7452" spans="1:14" s="398" customFormat="1" hidden="1" outlineLevel="1">
      <c r="A7452" s="1221"/>
      <c r="B7452" s="425"/>
      <c r="C7452" s="165" t="s">
        <v>1</v>
      </c>
      <c r="D7452" s="437">
        <v>12</v>
      </c>
      <c r="E7452" s="414"/>
      <c r="F7452" s="486">
        <v>1.1499999999999999</v>
      </c>
      <c r="G7452" s="486"/>
      <c r="H7452" s="486">
        <v>0.3</v>
      </c>
      <c r="I7452" s="1129">
        <f t="shared" si="271"/>
        <v>4.1399999999999997</v>
      </c>
      <c r="J7452" s="399"/>
      <c r="K7452" s="1237" t="s">
        <v>2167</v>
      </c>
      <c r="L7452" s="431"/>
      <c r="M7452" s="431"/>
      <c r="N7452" s="431"/>
    </row>
    <row r="7453" spans="1:14" s="398" customFormat="1" hidden="1" outlineLevel="1">
      <c r="A7453" s="1221"/>
      <c r="B7453" s="425"/>
      <c r="C7453" s="165" t="s">
        <v>1</v>
      </c>
      <c r="D7453" s="438">
        <v>4</v>
      </c>
      <c r="E7453" s="414"/>
      <c r="F7453" s="486">
        <v>4.8</v>
      </c>
      <c r="G7453" s="486"/>
      <c r="H7453" s="486">
        <v>0.3</v>
      </c>
      <c r="I7453" s="1129">
        <f t="shared" si="271"/>
        <v>5.76</v>
      </c>
      <c r="J7453" s="399"/>
      <c r="K7453" s="1237" t="s">
        <v>2167</v>
      </c>
      <c r="L7453" s="431"/>
      <c r="M7453" s="431"/>
      <c r="N7453" s="431"/>
    </row>
    <row r="7454" spans="1:14" s="398" customFormat="1" hidden="1" outlineLevel="1">
      <c r="A7454" s="1221"/>
      <c r="B7454" s="425"/>
      <c r="C7454" s="165" t="s">
        <v>1</v>
      </c>
      <c r="D7454" s="438">
        <v>4</v>
      </c>
      <c r="E7454" s="414"/>
      <c r="F7454" s="486">
        <v>1.3</v>
      </c>
      <c r="G7454" s="486"/>
      <c r="H7454" s="486">
        <v>0.3</v>
      </c>
      <c r="I7454" s="1129">
        <f t="shared" si="271"/>
        <v>1.56</v>
      </c>
      <c r="J7454" s="399"/>
      <c r="K7454" s="1237" t="s">
        <v>2167</v>
      </c>
      <c r="L7454" s="431"/>
      <c r="M7454" s="431"/>
      <c r="N7454" s="431"/>
    </row>
    <row r="7455" spans="1:14" s="462" customFormat="1" ht="34.5" hidden="1" outlineLevel="1" collapsed="1">
      <c r="A7455" s="1261"/>
      <c r="B7455" s="260" t="s">
        <v>535</v>
      </c>
      <c r="C7455" s="457"/>
      <c r="D7455" s="440"/>
      <c r="E7455" s="441"/>
      <c r="F7455" s="1363"/>
      <c r="G7455" s="1363"/>
      <c r="H7455" s="1363"/>
      <c r="I7455" s="1163" t="str">
        <f t="shared" si="271"/>
        <v/>
      </c>
      <c r="J7455" s="471"/>
      <c r="K7455" s="1263" t="s">
        <v>2167</v>
      </c>
      <c r="L7455" s="461"/>
      <c r="M7455" s="461"/>
      <c r="N7455" s="461"/>
    </row>
    <row r="7456" spans="1:14" s="462" customFormat="1" hidden="1" outlineLevel="1">
      <c r="A7456" s="1261"/>
      <c r="B7456" s="260"/>
      <c r="C7456" s="457"/>
      <c r="D7456" s="440"/>
      <c r="E7456" s="441"/>
      <c r="F7456" s="1363"/>
      <c r="G7456" s="1363"/>
      <c r="H7456" s="1363"/>
      <c r="I7456" s="1163" t="str">
        <f t="shared" si="271"/>
        <v/>
      </c>
      <c r="J7456" s="471"/>
      <c r="K7456" s="1263" t="s">
        <v>2167</v>
      </c>
      <c r="L7456" s="461"/>
      <c r="M7456" s="461"/>
      <c r="N7456" s="461"/>
    </row>
    <row r="7457" spans="1:14" s="462" customFormat="1" hidden="1" outlineLevel="1">
      <c r="A7457" s="1261"/>
      <c r="B7457" s="260" t="s">
        <v>536</v>
      </c>
      <c r="C7457" s="457"/>
      <c r="D7457" s="440"/>
      <c r="E7457" s="441"/>
      <c r="F7457" s="1363"/>
      <c r="G7457" s="1363"/>
      <c r="H7457" s="1363"/>
      <c r="I7457" s="1163" t="str">
        <f t="shared" ref="I7457:I7520" si="272">IF(D7457&lt;&gt;0,ROUND(PRODUCT(E7457:H7457)*D7457,2),"")</f>
        <v/>
      </c>
      <c r="J7457" s="471"/>
      <c r="K7457" s="1263" t="s">
        <v>2167</v>
      </c>
      <c r="L7457" s="461"/>
      <c r="M7457" s="461"/>
      <c r="N7457" s="461"/>
    </row>
    <row r="7458" spans="1:14" s="462" customFormat="1" hidden="1" outlineLevel="1">
      <c r="A7458" s="1261"/>
      <c r="B7458" s="260"/>
      <c r="C7458" s="457"/>
      <c r="D7458" s="440"/>
      <c r="E7458" s="441"/>
      <c r="F7458" s="1363"/>
      <c r="G7458" s="1363"/>
      <c r="H7458" s="1363"/>
      <c r="I7458" s="1129" t="str">
        <f t="shared" si="272"/>
        <v/>
      </c>
      <c r="J7458" s="471"/>
      <c r="K7458" s="1263" t="s">
        <v>2167</v>
      </c>
      <c r="L7458" s="461"/>
      <c r="M7458" s="461"/>
      <c r="N7458" s="461"/>
    </row>
    <row r="7459" spans="1:14" s="462" customFormat="1" hidden="1" outlineLevel="1">
      <c r="A7459" s="1261"/>
      <c r="B7459" s="260" t="s">
        <v>325</v>
      </c>
      <c r="C7459" s="457" t="s">
        <v>1</v>
      </c>
      <c r="D7459" s="440">
        <v>1</v>
      </c>
      <c r="E7459" s="441">
        <v>2</v>
      </c>
      <c r="F7459" s="1364">
        <v>3.5449999999999999</v>
      </c>
      <c r="G7459" s="1363"/>
      <c r="H7459" s="1363">
        <v>0.2</v>
      </c>
      <c r="I7459" s="1129">
        <f t="shared" si="272"/>
        <v>1.42</v>
      </c>
      <c r="J7459" s="471"/>
      <c r="K7459" s="1263" t="s">
        <v>2167</v>
      </c>
      <c r="L7459" s="461"/>
      <c r="M7459" s="461"/>
      <c r="N7459" s="461"/>
    </row>
    <row r="7460" spans="1:14" s="462" customFormat="1" hidden="1" outlineLevel="1">
      <c r="A7460" s="1261"/>
      <c r="B7460" s="260"/>
      <c r="C7460" s="457"/>
      <c r="D7460" s="440"/>
      <c r="E7460" s="441"/>
      <c r="F7460" s="1363"/>
      <c r="G7460" s="1363"/>
      <c r="H7460" s="1363"/>
      <c r="I7460" s="1129" t="str">
        <f t="shared" si="272"/>
        <v/>
      </c>
      <c r="J7460" s="471"/>
      <c r="K7460" s="1263" t="s">
        <v>2167</v>
      </c>
      <c r="L7460" s="461"/>
      <c r="M7460" s="461"/>
      <c r="N7460" s="461"/>
    </row>
    <row r="7461" spans="1:14" s="462" customFormat="1" hidden="1" outlineLevel="1">
      <c r="A7461" s="1261"/>
      <c r="B7461" s="260"/>
      <c r="C7461" s="457" t="s">
        <v>1</v>
      </c>
      <c r="D7461" s="440">
        <v>1</v>
      </c>
      <c r="E7461" s="441">
        <v>2</v>
      </c>
      <c r="F7461" s="1363">
        <v>1.43</v>
      </c>
      <c r="G7461" s="1363"/>
      <c r="H7461" s="1363">
        <v>0.2</v>
      </c>
      <c r="I7461" s="1129">
        <f t="shared" si="272"/>
        <v>0.56999999999999995</v>
      </c>
      <c r="J7461" s="471"/>
      <c r="K7461" s="1263" t="s">
        <v>2167</v>
      </c>
      <c r="L7461" s="461"/>
      <c r="M7461" s="461"/>
      <c r="N7461" s="461"/>
    </row>
    <row r="7462" spans="1:14" s="462" customFormat="1" hidden="1" outlineLevel="1">
      <c r="A7462" s="1261"/>
      <c r="B7462" s="260"/>
      <c r="C7462" s="457"/>
      <c r="D7462" s="440"/>
      <c r="E7462" s="441"/>
      <c r="F7462" s="1363"/>
      <c r="G7462" s="1363"/>
      <c r="H7462" s="1363"/>
      <c r="I7462" s="1129" t="str">
        <f t="shared" si="272"/>
        <v/>
      </c>
      <c r="J7462" s="471"/>
      <c r="K7462" s="1263" t="s">
        <v>2167</v>
      </c>
      <c r="L7462" s="461"/>
      <c r="M7462" s="461"/>
      <c r="N7462" s="461"/>
    </row>
    <row r="7463" spans="1:14" s="462" customFormat="1" hidden="1" outlineLevel="1">
      <c r="A7463" s="1261"/>
      <c r="B7463" s="260" t="s">
        <v>172</v>
      </c>
      <c r="C7463" s="457" t="s">
        <v>1</v>
      </c>
      <c r="D7463" s="440">
        <f>1*0</f>
        <v>0</v>
      </c>
      <c r="E7463" s="441">
        <v>2</v>
      </c>
      <c r="F7463" s="1363">
        <v>2</v>
      </c>
      <c r="G7463" s="1363"/>
      <c r="H7463" s="1363">
        <v>0.2</v>
      </c>
      <c r="I7463" s="1129" t="str">
        <f t="shared" si="272"/>
        <v/>
      </c>
      <c r="J7463" s="471"/>
      <c r="K7463" s="1263" t="s">
        <v>2167</v>
      </c>
      <c r="L7463" s="461"/>
      <c r="M7463" s="461"/>
      <c r="N7463" s="461"/>
    </row>
    <row r="7464" spans="1:14" s="462" customFormat="1" hidden="1" outlineLevel="1">
      <c r="A7464" s="1261"/>
      <c r="B7464" s="260"/>
      <c r="C7464" s="457"/>
      <c r="D7464" s="440"/>
      <c r="E7464" s="441"/>
      <c r="F7464" s="1363"/>
      <c r="G7464" s="1363"/>
      <c r="H7464" s="1363"/>
      <c r="I7464" s="1129" t="str">
        <f t="shared" si="272"/>
        <v/>
      </c>
      <c r="J7464" s="471"/>
      <c r="K7464" s="1263" t="s">
        <v>2167</v>
      </c>
      <c r="L7464" s="461"/>
      <c r="M7464" s="461"/>
      <c r="N7464" s="461"/>
    </row>
    <row r="7465" spans="1:14" s="462" customFormat="1" hidden="1" outlineLevel="1">
      <c r="A7465" s="1261"/>
      <c r="B7465" s="260"/>
      <c r="C7465" s="457" t="s">
        <v>1</v>
      </c>
      <c r="D7465" s="440">
        <v>1</v>
      </c>
      <c r="E7465" s="441">
        <v>2</v>
      </c>
      <c r="F7465" s="1363">
        <v>1.43</v>
      </c>
      <c r="G7465" s="1363"/>
      <c r="H7465" s="1363">
        <v>0.2</v>
      </c>
      <c r="I7465" s="1129">
        <f t="shared" si="272"/>
        <v>0.56999999999999995</v>
      </c>
      <c r="J7465" s="471"/>
      <c r="K7465" s="1263" t="s">
        <v>2167</v>
      </c>
      <c r="L7465" s="461"/>
      <c r="M7465" s="461"/>
      <c r="N7465" s="461"/>
    </row>
    <row r="7466" spans="1:14" s="462" customFormat="1" hidden="1" outlineLevel="1">
      <c r="A7466" s="1261"/>
      <c r="B7466" s="260"/>
      <c r="C7466" s="457"/>
      <c r="D7466" s="440"/>
      <c r="E7466" s="441"/>
      <c r="F7466" s="1363"/>
      <c r="G7466" s="1363"/>
      <c r="H7466" s="1363"/>
      <c r="I7466" s="1129" t="str">
        <f t="shared" si="272"/>
        <v/>
      </c>
      <c r="J7466" s="471"/>
      <c r="K7466" s="1263" t="s">
        <v>2167</v>
      </c>
      <c r="L7466" s="461"/>
      <c r="M7466" s="461"/>
      <c r="N7466" s="461"/>
    </row>
    <row r="7467" spans="1:14" s="462" customFormat="1" hidden="1" outlineLevel="1">
      <c r="A7467" s="1261"/>
      <c r="B7467" s="260"/>
      <c r="C7467" s="457" t="s">
        <v>1</v>
      </c>
      <c r="D7467" s="440">
        <v>1</v>
      </c>
      <c r="E7467" s="441">
        <v>2</v>
      </c>
      <c r="F7467" s="1363">
        <v>1.73</v>
      </c>
      <c r="G7467" s="1363"/>
      <c r="H7467" s="1363">
        <v>0.2</v>
      </c>
      <c r="I7467" s="1129">
        <f t="shared" si="272"/>
        <v>0.69</v>
      </c>
      <c r="J7467" s="471"/>
      <c r="K7467" s="1263" t="s">
        <v>2167</v>
      </c>
      <c r="L7467" s="461"/>
      <c r="M7467" s="461"/>
      <c r="N7467" s="461"/>
    </row>
    <row r="7468" spans="1:14" s="462" customFormat="1" hidden="1" outlineLevel="1">
      <c r="A7468" s="1261"/>
      <c r="B7468" s="260"/>
      <c r="C7468" s="457"/>
      <c r="D7468" s="440"/>
      <c r="E7468" s="441"/>
      <c r="F7468" s="1363"/>
      <c r="G7468" s="1363"/>
      <c r="H7468" s="1363"/>
      <c r="I7468" s="1129" t="str">
        <f t="shared" si="272"/>
        <v/>
      </c>
      <c r="J7468" s="471"/>
      <c r="K7468" s="1263" t="s">
        <v>2167</v>
      </c>
      <c r="L7468" s="461"/>
      <c r="M7468" s="461"/>
      <c r="N7468" s="461"/>
    </row>
    <row r="7469" spans="1:14" s="462" customFormat="1" hidden="1" outlineLevel="1">
      <c r="A7469" s="1261"/>
      <c r="B7469" s="260"/>
      <c r="C7469" s="457" t="s">
        <v>1</v>
      </c>
      <c r="D7469" s="440">
        <v>1</v>
      </c>
      <c r="E7469" s="441">
        <v>2</v>
      </c>
      <c r="F7469" s="1363">
        <v>0.6</v>
      </c>
      <c r="G7469" s="1363"/>
      <c r="H7469" s="1363">
        <v>0.2</v>
      </c>
      <c r="I7469" s="1129">
        <f t="shared" si="272"/>
        <v>0.24</v>
      </c>
      <c r="J7469" s="471"/>
      <c r="K7469" s="1263" t="s">
        <v>2167</v>
      </c>
      <c r="L7469" s="461"/>
      <c r="M7469" s="461"/>
      <c r="N7469" s="461"/>
    </row>
    <row r="7470" spans="1:14" s="462" customFormat="1" hidden="1" outlineLevel="1">
      <c r="A7470" s="1261"/>
      <c r="B7470" s="260"/>
      <c r="C7470" s="457"/>
      <c r="D7470" s="440"/>
      <c r="E7470" s="441"/>
      <c r="F7470" s="1363"/>
      <c r="G7470" s="1363"/>
      <c r="H7470" s="1363"/>
      <c r="I7470" s="1129" t="str">
        <f t="shared" si="272"/>
        <v/>
      </c>
      <c r="J7470" s="471"/>
      <c r="K7470" s="1263" t="s">
        <v>2167</v>
      </c>
      <c r="L7470" s="461"/>
      <c r="M7470" s="461"/>
      <c r="N7470" s="461"/>
    </row>
    <row r="7471" spans="1:14" s="462" customFormat="1" hidden="1" outlineLevel="1">
      <c r="A7471" s="1261"/>
      <c r="B7471" s="260" t="s">
        <v>173</v>
      </c>
      <c r="C7471" s="457" t="s">
        <v>1</v>
      </c>
      <c r="D7471" s="440">
        <v>2</v>
      </c>
      <c r="E7471" s="441">
        <v>2</v>
      </c>
      <c r="F7471" s="1363">
        <v>1.73</v>
      </c>
      <c r="G7471" s="1363"/>
      <c r="H7471" s="1363">
        <v>0.2</v>
      </c>
      <c r="I7471" s="1129">
        <f t="shared" si="272"/>
        <v>1.38</v>
      </c>
      <c r="J7471" s="471"/>
      <c r="K7471" s="1263" t="s">
        <v>2167</v>
      </c>
      <c r="L7471" s="461"/>
      <c r="M7471" s="461"/>
      <c r="N7471" s="461"/>
    </row>
    <row r="7472" spans="1:14" s="462" customFormat="1" hidden="1" outlineLevel="1">
      <c r="A7472" s="1261"/>
      <c r="B7472" s="260"/>
      <c r="C7472" s="457"/>
      <c r="D7472" s="440"/>
      <c r="E7472" s="441"/>
      <c r="F7472" s="1363"/>
      <c r="G7472" s="1363"/>
      <c r="H7472" s="1363"/>
      <c r="I7472" s="1129" t="str">
        <f t="shared" si="272"/>
        <v/>
      </c>
      <c r="J7472" s="471"/>
      <c r="K7472" s="1263" t="s">
        <v>2167</v>
      </c>
      <c r="L7472" s="461"/>
      <c r="M7472" s="461"/>
      <c r="N7472" s="461"/>
    </row>
    <row r="7473" spans="1:14" s="462" customFormat="1" hidden="1" outlineLevel="1">
      <c r="A7473" s="1261"/>
      <c r="B7473" s="260" t="s">
        <v>174</v>
      </c>
      <c r="C7473" s="457" t="s">
        <v>1</v>
      </c>
      <c r="D7473" s="440">
        <v>1</v>
      </c>
      <c r="E7473" s="441">
        <v>2</v>
      </c>
      <c r="F7473" s="1363">
        <v>1.2</v>
      </c>
      <c r="G7473" s="1363"/>
      <c r="H7473" s="1363">
        <v>0.2</v>
      </c>
      <c r="I7473" s="1129">
        <f t="shared" si="272"/>
        <v>0.48</v>
      </c>
      <c r="J7473" s="471"/>
      <c r="K7473" s="1263" t="s">
        <v>2167</v>
      </c>
      <c r="L7473" s="461"/>
      <c r="M7473" s="461"/>
      <c r="N7473" s="461"/>
    </row>
    <row r="7474" spans="1:14" s="462" customFormat="1" hidden="1" outlineLevel="1">
      <c r="A7474" s="1261"/>
      <c r="B7474" s="260"/>
      <c r="C7474" s="457"/>
      <c r="D7474" s="440"/>
      <c r="E7474" s="441"/>
      <c r="F7474" s="1363"/>
      <c r="G7474" s="1363"/>
      <c r="H7474" s="1363"/>
      <c r="I7474" s="1129" t="str">
        <f t="shared" si="272"/>
        <v/>
      </c>
      <c r="J7474" s="471"/>
      <c r="K7474" s="1263" t="s">
        <v>2167</v>
      </c>
      <c r="L7474" s="461"/>
      <c r="M7474" s="461"/>
      <c r="N7474" s="461"/>
    </row>
    <row r="7475" spans="1:14" s="462" customFormat="1" hidden="1" outlineLevel="1">
      <c r="A7475" s="1261"/>
      <c r="B7475" s="260"/>
      <c r="C7475" s="457" t="s">
        <v>1</v>
      </c>
      <c r="D7475" s="440">
        <v>1</v>
      </c>
      <c r="E7475" s="441">
        <v>2</v>
      </c>
      <c r="F7475" s="1363">
        <v>2.33</v>
      </c>
      <c r="G7475" s="1363"/>
      <c r="H7475" s="1363">
        <v>0.2</v>
      </c>
      <c r="I7475" s="1129">
        <f t="shared" si="272"/>
        <v>0.93</v>
      </c>
      <c r="J7475" s="471"/>
      <c r="K7475" s="1263" t="s">
        <v>2167</v>
      </c>
      <c r="L7475" s="461"/>
      <c r="M7475" s="461"/>
      <c r="N7475" s="461"/>
    </row>
    <row r="7476" spans="1:14" s="462" customFormat="1" hidden="1" outlineLevel="1">
      <c r="A7476" s="1261"/>
      <c r="B7476" s="260"/>
      <c r="C7476" s="457"/>
      <c r="D7476" s="440"/>
      <c r="E7476" s="441"/>
      <c r="F7476" s="1363"/>
      <c r="G7476" s="1363"/>
      <c r="H7476" s="1363"/>
      <c r="I7476" s="1129" t="str">
        <f t="shared" si="272"/>
        <v/>
      </c>
      <c r="J7476" s="471"/>
      <c r="K7476" s="1263" t="s">
        <v>2167</v>
      </c>
      <c r="L7476" s="461"/>
      <c r="M7476" s="461"/>
      <c r="N7476" s="461"/>
    </row>
    <row r="7477" spans="1:14" s="462" customFormat="1" hidden="1" outlineLevel="1">
      <c r="A7477" s="1261"/>
      <c r="B7477" s="260"/>
      <c r="C7477" s="457" t="s">
        <v>1</v>
      </c>
      <c r="D7477" s="440">
        <v>1</v>
      </c>
      <c r="E7477" s="441">
        <v>2</v>
      </c>
      <c r="F7477" s="1363">
        <v>5.53</v>
      </c>
      <c r="G7477" s="1363"/>
      <c r="H7477" s="1363">
        <v>0.2</v>
      </c>
      <c r="I7477" s="1129">
        <f t="shared" si="272"/>
        <v>2.21</v>
      </c>
      <c r="J7477" s="471"/>
      <c r="K7477" s="1263" t="s">
        <v>2167</v>
      </c>
      <c r="L7477" s="461"/>
      <c r="M7477" s="461"/>
      <c r="N7477" s="461"/>
    </row>
    <row r="7478" spans="1:14" s="462" customFormat="1" hidden="1" outlineLevel="1">
      <c r="A7478" s="1261"/>
      <c r="B7478" s="260"/>
      <c r="C7478" s="457"/>
      <c r="D7478" s="440"/>
      <c r="E7478" s="441"/>
      <c r="F7478" s="1363"/>
      <c r="G7478" s="1363"/>
      <c r="H7478" s="1363"/>
      <c r="I7478" s="1129" t="str">
        <f t="shared" si="272"/>
        <v/>
      </c>
      <c r="J7478" s="471"/>
      <c r="K7478" s="1263" t="s">
        <v>2167</v>
      </c>
      <c r="L7478" s="461"/>
      <c r="M7478" s="461"/>
      <c r="N7478" s="461"/>
    </row>
    <row r="7479" spans="1:14" s="462" customFormat="1" hidden="1" outlineLevel="1">
      <c r="A7479" s="1261"/>
      <c r="B7479" s="260" t="s">
        <v>175</v>
      </c>
      <c r="C7479" s="457" t="s">
        <v>1</v>
      </c>
      <c r="D7479" s="440">
        <v>1</v>
      </c>
      <c r="E7479" s="441">
        <v>2</v>
      </c>
      <c r="F7479" s="1363">
        <v>0.61</v>
      </c>
      <c r="G7479" s="1363"/>
      <c r="H7479" s="1363">
        <v>0.2</v>
      </c>
      <c r="I7479" s="1129">
        <f t="shared" si="272"/>
        <v>0.24</v>
      </c>
      <c r="J7479" s="471"/>
      <c r="K7479" s="1263" t="s">
        <v>2167</v>
      </c>
      <c r="L7479" s="461"/>
      <c r="M7479" s="461"/>
      <c r="N7479" s="461"/>
    </row>
    <row r="7480" spans="1:14" s="462" customFormat="1" hidden="1" outlineLevel="1">
      <c r="A7480" s="1261"/>
      <c r="B7480" s="260"/>
      <c r="C7480" s="457"/>
      <c r="D7480" s="440"/>
      <c r="E7480" s="441"/>
      <c r="F7480" s="1363"/>
      <c r="G7480" s="1363"/>
      <c r="H7480" s="1363"/>
      <c r="I7480" s="1129" t="str">
        <f t="shared" si="272"/>
        <v/>
      </c>
      <c r="J7480" s="471"/>
      <c r="K7480" s="1263" t="s">
        <v>2167</v>
      </c>
      <c r="L7480" s="461"/>
      <c r="M7480" s="461"/>
      <c r="N7480" s="461"/>
    </row>
    <row r="7481" spans="1:14" s="462" customFormat="1" hidden="1" outlineLevel="1">
      <c r="A7481" s="1261"/>
      <c r="B7481" s="260"/>
      <c r="C7481" s="457" t="s">
        <v>1</v>
      </c>
      <c r="D7481" s="440">
        <v>1</v>
      </c>
      <c r="E7481" s="441">
        <v>2</v>
      </c>
      <c r="F7481" s="1364">
        <v>1.9</v>
      </c>
      <c r="G7481" s="1363"/>
      <c r="H7481" s="1363">
        <v>0.2</v>
      </c>
      <c r="I7481" s="1129">
        <f t="shared" si="272"/>
        <v>0.76</v>
      </c>
      <c r="J7481" s="471"/>
      <c r="K7481" s="1263" t="s">
        <v>2167</v>
      </c>
      <c r="L7481" s="461"/>
      <c r="M7481" s="461"/>
      <c r="N7481" s="461"/>
    </row>
    <row r="7482" spans="1:14" s="462" customFormat="1" hidden="1" outlineLevel="1">
      <c r="A7482" s="1261"/>
      <c r="B7482" s="260"/>
      <c r="C7482" s="457"/>
      <c r="D7482" s="440"/>
      <c r="E7482" s="441"/>
      <c r="F7482" s="1363"/>
      <c r="G7482" s="1363"/>
      <c r="H7482" s="1363"/>
      <c r="I7482" s="1129" t="str">
        <f t="shared" si="272"/>
        <v/>
      </c>
      <c r="J7482" s="471"/>
      <c r="K7482" s="1263" t="s">
        <v>2167</v>
      </c>
      <c r="L7482" s="461"/>
      <c r="M7482" s="461"/>
      <c r="N7482" s="461"/>
    </row>
    <row r="7483" spans="1:14" s="462" customFormat="1" hidden="1" outlineLevel="1">
      <c r="A7483" s="1261"/>
      <c r="B7483" s="260"/>
      <c r="C7483" s="457" t="s">
        <v>1</v>
      </c>
      <c r="D7483" s="440">
        <v>1</v>
      </c>
      <c r="E7483" s="441">
        <v>2</v>
      </c>
      <c r="F7483" s="1363">
        <v>2.7399999999999998</v>
      </c>
      <c r="G7483" s="1363"/>
      <c r="H7483" s="1363">
        <v>0.2</v>
      </c>
      <c r="I7483" s="1129">
        <f t="shared" si="272"/>
        <v>1.1000000000000001</v>
      </c>
      <c r="J7483" s="471"/>
      <c r="K7483" s="1263" t="s">
        <v>2167</v>
      </c>
      <c r="L7483" s="461"/>
      <c r="M7483" s="461"/>
      <c r="N7483" s="461"/>
    </row>
    <row r="7484" spans="1:14" s="462" customFormat="1" hidden="1" outlineLevel="1">
      <c r="A7484" s="1261"/>
      <c r="B7484" s="260"/>
      <c r="C7484" s="457"/>
      <c r="D7484" s="440"/>
      <c r="E7484" s="441"/>
      <c r="F7484" s="1363"/>
      <c r="G7484" s="1363"/>
      <c r="H7484" s="1363"/>
      <c r="I7484" s="1129" t="str">
        <f t="shared" si="272"/>
        <v/>
      </c>
      <c r="J7484" s="471"/>
      <c r="K7484" s="1263" t="s">
        <v>2167</v>
      </c>
      <c r="L7484" s="461"/>
      <c r="M7484" s="461"/>
      <c r="N7484" s="461"/>
    </row>
    <row r="7485" spans="1:14" s="462" customFormat="1" hidden="1" outlineLevel="1">
      <c r="A7485" s="1261"/>
      <c r="B7485" s="260" t="s">
        <v>176</v>
      </c>
      <c r="C7485" s="457" t="s">
        <v>1</v>
      </c>
      <c r="D7485" s="440">
        <v>2</v>
      </c>
      <c r="E7485" s="441">
        <v>2</v>
      </c>
      <c r="F7485" s="1363">
        <v>0.61499999999999999</v>
      </c>
      <c r="G7485" s="1363"/>
      <c r="H7485" s="1363">
        <v>0.2</v>
      </c>
      <c r="I7485" s="1129">
        <f t="shared" si="272"/>
        <v>0.49</v>
      </c>
      <c r="J7485" s="471"/>
      <c r="K7485" s="1263" t="s">
        <v>2167</v>
      </c>
      <c r="L7485" s="461"/>
      <c r="M7485" s="461"/>
      <c r="N7485" s="461"/>
    </row>
    <row r="7486" spans="1:14" s="462" customFormat="1" hidden="1" outlineLevel="1">
      <c r="A7486" s="1261"/>
      <c r="B7486" s="260"/>
      <c r="C7486" s="457"/>
      <c r="D7486" s="440"/>
      <c r="E7486" s="441"/>
      <c r="F7486" s="1363"/>
      <c r="G7486" s="1363"/>
      <c r="H7486" s="1363"/>
      <c r="I7486" s="1129" t="str">
        <f t="shared" si="272"/>
        <v/>
      </c>
      <c r="J7486" s="471"/>
      <c r="K7486" s="1263" t="s">
        <v>2167</v>
      </c>
      <c r="L7486" s="461"/>
      <c r="M7486" s="461"/>
      <c r="N7486" s="461"/>
    </row>
    <row r="7487" spans="1:14" s="462" customFormat="1" hidden="1" outlineLevel="1">
      <c r="A7487" s="1261"/>
      <c r="B7487" s="260"/>
      <c r="C7487" s="457" t="s">
        <v>1</v>
      </c>
      <c r="D7487" s="440">
        <v>1</v>
      </c>
      <c r="E7487" s="441">
        <v>2</v>
      </c>
      <c r="F7487" s="1363">
        <v>2.7450000000000001</v>
      </c>
      <c r="G7487" s="1363"/>
      <c r="H7487" s="1363">
        <v>0.2</v>
      </c>
      <c r="I7487" s="1129">
        <f t="shared" si="272"/>
        <v>1.1000000000000001</v>
      </c>
      <c r="J7487" s="471"/>
      <c r="K7487" s="1263" t="s">
        <v>2167</v>
      </c>
      <c r="L7487" s="461"/>
      <c r="M7487" s="461"/>
      <c r="N7487" s="461"/>
    </row>
    <row r="7488" spans="1:14" s="462" customFormat="1" hidden="1" outlineLevel="1">
      <c r="A7488" s="1261"/>
      <c r="B7488" s="260"/>
      <c r="C7488" s="457"/>
      <c r="D7488" s="440"/>
      <c r="E7488" s="441"/>
      <c r="F7488" s="1363"/>
      <c r="G7488" s="1363"/>
      <c r="H7488" s="1363"/>
      <c r="I7488" s="1129" t="str">
        <f t="shared" si="272"/>
        <v/>
      </c>
      <c r="J7488" s="471"/>
      <c r="K7488" s="1263" t="s">
        <v>2167</v>
      </c>
      <c r="L7488" s="461"/>
      <c r="M7488" s="461"/>
      <c r="N7488" s="461"/>
    </row>
    <row r="7489" spans="1:14" s="462" customFormat="1" hidden="1" outlineLevel="1">
      <c r="A7489" s="1261"/>
      <c r="B7489" s="260"/>
      <c r="C7489" s="457" t="s">
        <v>1</v>
      </c>
      <c r="D7489" s="440">
        <v>1</v>
      </c>
      <c r="E7489" s="441">
        <v>2</v>
      </c>
      <c r="F7489" s="1363">
        <v>2.145</v>
      </c>
      <c r="G7489" s="1363"/>
      <c r="H7489" s="1363">
        <v>0.2</v>
      </c>
      <c r="I7489" s="1129">
        <f t="shared" si="272"/>
        <v>0.86</v>
      </c>
      <c r="J7489" s="471"/>
      <c r="K7489" s="1263" t="s">
        <v>2167</v>
      </c>
      <c r="L7489" s="461"/>
      <c r="M7489" s="461"/>
      <c r="N7489" s="461"/>
    </row>
    <row r="7490" spans="1:14" s="462" customFormat="1" hidden="1" outlineLevel="1">
      <c r="A7490" s="1261"/>
      <c r="B7490" s="260"/>
      <c r="C7490" s="457"/>
      <c r="D7490" s="440"/>
      <c r="E7490" s="441"/>
      <c r="F7490" s="1363"/>
      <c r="G7490" s="1363"/>
      <c r="H7490" s="1363"/>
      <c r="I7490" s="1129" t="str">
        <f t="shared" si="272"/>
        <v/>
      </c>
      <c r="J7490" s="471"/>
      <c r="K7490" s="1263" t="s">
        <v>2167</v>
      </c>
      <c r="L7490" s="461"/>
      <c r="M7490" s="461"/>
      <c r="N7490" s="461"/>
    </row>
    <row r="7491" spans="1:14" s="462" customFormat="1" hidden="1" outlineLevel="1">
      <c r="A7491" s="1261"/>
      <c r="B7491" s="260"/>
      <c r="C7491" s="457" t="s">
        <v>1</v>
      </c>
      <c r="D7491" s="440">
        <v>1</v>
      </c>
      <c r="E7491" s="441">
        <v>2</v>
      </c>
      <c r="F7491" s="1364">
        <v>1.9</v>
      </c>
      <c r="G7491" s="1363"/>
      <c r="H7491" s="1363">
        <v>0.2</v>
      </c>
      <c r="I7491" s="1129">
        <f t="shared" si="272"/>
        <v>0.76</v>
      </c>
      <c r="J7491" s="471"/>
      <c r="K7491" s="1263" t="s">
        <v>2167</v>
      </c>
      <c r="L7491" s="461"/>
      <c r="M7491" s="461"/>
      <c r="N7491" s="461"/>
    </row>
    <row r="7492" spans="1:14" s="462" customFormat="1" hidden="1" outlineLevel="1">
      <c r="A7492" s="1261"/>
      <c r="B7492" s="260"/>
      <c r="C7492" s="457"/>
      <c r="D7492" s="440"/>
      <c r="E7492" s="441"/>
      <c r="F7492" s="1363"/>
      <c r="G7492" s="1363"/>
      <c r="H7492" s="1363"/>
      <c r="I7492" s="1129" t="str">
        <f t="shared" si="272"/>
        <v/>
      </c>
      <c r="J7492" s="471"/>
      <c r="K7492" s="1263" t="s">
        <v>2167</v>
      </c>
      <c r="L7492" s="461"/>
      <c r="M7492" s="461"/>
      <c r="N7492" s="461"/>
    </row>
    <row r="7493" spans="1:14" s="462" customFormat="1" hidden="1" outlineLevel="1">
      <c r="A7493" s="1261"/>
      <c r="B7493" s="260"/>
      <c r="C7493" s="457" t="s">
        <v>1</v>
      </c>
      <c r="D7493" s="440">
        <v>1</v>
      </c>
      <c r="E7493" s="441">
        <v>2</v>
      </c>
      <c r="F7493" s="1363">
        <v>2.73</v>
      </c>
      <c r="G7493" s="1363"/>
      <c r="H7493" s="1363">
        <v>0.2</v>
      </c>
      <c r="I7493" s="1129">
        <f t="shared" si="272"/>
        <v>1.0900000000000001</v>
      </c>
      <c r="J7493" s="471"/>
      <c r="K7493" s="1263" t="s">
        <v>2167</v>
      </c>
      <c r="L7493" s="461"/>
      <c r="M7493" s="461"/>
      <c r="N7493" s="461"/>
    </row>
    <row r="7494" spans="1:14" s="462" customFormat="1" hidden="1" outlineLevel="1">
      <c r="A7494" s="1261"/>
      <c r="B7494" s="260"/>
      <c r="C7494" s="457"/>
      <c r="D7494" s="440"/>
      <c r="E7494" s="441"/>
      <c r="F7494" s="1363"/>
      <c r="G7494" s="1363"/>
      <c r="H7494" s="1363"/>
      <c r="I7494" s="1129" t="str">
        <f t="shared" si="272"/>
        <v/>
      </c>
      <c r="J7494" s="471"/>
      <c r="K7494" s="1263" t="s">
        <v>2167</v>
      </c>
      <c r="L7494" s="461"/>
      <c r="M7494" s="461"/>
      <c r="N7494" s="461"/>
    </row>
    <row r="7495" spans="1:14" s="462" customFormat="1" hidden="1" outlineLevel="1">
      <c r="A7495" s="1261"/>
      <c r="B7495" s="260" t="s">
        <v>177</v>
      </c>
      <c r="C7495" s="457" t="s">
        <v>1</v>
      </c>
      <c r="D7495" s="440">
        <v>1</v>
      </c>
      <c r="E7495" s="441">
        <v>2</v>
      </c>
      <c r="F7495" s="1363">
        <v>0.61499999999999999</v>
      </c>
      <c r="G7495" s="1363"/>
      <c r="H7495" s="1363">
        <v>0.2</v>
      </c>
      <c r="I7495" s="1129">
        <f t="shared" si="272"/>
        <v>0.25</v>
      </c>
      <c r="J7495" s="471"/>
      <c r="K7495" s="1263" t="s">
        <v>2167</v>
      </c>
      <c r="L7495" s="461"/>
      <c r="M7495" s="461"/>
      <c r="N7495" s="461"/>
    </row>
    <row r="7496" spans="1:14" s="462" customFormat="1" hidden="1" outlineLevel="1">
      <c r="A7496" s="1261"/>
      <c r="B7496" s="260"/>
      <c r="C7496" s="457"/>
      <c r="D7496" s="440"/>
      <c r="E7496" s="441"/>
      <c r="F7496" s="1363"/>
      <c r="G7496" s="1363"/>
      <c r="H7496" s="1363"/>
      <c r="I7496" s="1129" t="str">
        <f t="shared" si="272"/>
        <v/>
      </c>
      <c r="J7496" s="471"/>
      <c r="K7496" s="1263" t="s">
        <v>2167</v>
      </c>
      <c r="L7496" s="461"/>
      <c r="M7496" s="461"/>
      <c r="N7496" s="461"/>
    </row>
    <row r="7497" spans="1:14" s="462" customFormat="1" hidden="1" outlineLevel="1">
      <c r="A7497" s="1261"/>
      <c r="B7497" s="260" t="s">
        <v>538</v>
      </c>
      <c r="C7497" s="457"/>
      <c r="D7497" s="440"/>
      <c r="E7497" s="441"/>
      <c r="F7497" s="1363"/>
      <c r="G7497" s="1363"/>
      <c r="H7497" s="1363"/>
      <c r="I7497" s="1129" t="str">
        <f t="shared" si="272"/>
        <v/>
      </c>
      <c r="J7497" s="471"/>
      <c r="K7497" s="1263" t="s">
        <v>2167</v>
      </c>
      <c r="L7497" s="461"/>
      <c r="M7497" s="461"/>
      <c r="N7497" s="461"/>
    </row>
    <row r="7498" spans="1:14" s="462" customFormat="1" hidden="1" outlineLevel="1">
      <c r="A7498" s="1261"/>
      <c r="B7498" s="260"/>
      <c r="C7498" s="457"/>
      <c r="D7498" s="440"/>
      <c r="E7498" s="441"/>
      <c r="F7498" s="1363"/>
      <c r="G7498" s="1363"/>
      <c r="H7498" s="1363"/>
      <c r="I7498" s="1129" t="str">
        <f t="shared" si="272"/>
        <v/>
      </c>
      <c r="J7498" s="471"/>
      <c r="K7498" s="1263" t="s">
        <v>2167</v>
      </c>
      <c r="L7498" s="461"/>
      <c r="M7498" s="461"/>
      <c r="N7498" s="461"/>
    </row>
    <row r="7499" spans="1:14" s="462" customFormat="1" hidden="1" outlineLevel="1">
      <c r="A7499" s="1261"/>
      <c r="B7499" s="260" t="s">
        <v>179</v>
      </c>
      <c r="C7499" s="457" t="s">
        <v>1</v>
      </c>
      <c r="D7499" s="440">
        <v>1</v>
      </c>
      <c r="E7499" s="441">
        <v>2</v>
      </c>
      <c r="F7499" s="1363">
        <v>6.43</v>
      </c>
      <c r="G7499" s="1363"/>
      <c r="H7499" s="1363">
        <v>0.2</v>
      </c>
      <c r="I7499" s="1129">
        <f t="shared" si="272"/>
        <v>2.57</v>
      </c>
      <c r="J7499" s="471"/>
      <c r="K7499" s="1263" t="s">
        <v>2167</v>
      </c>
      <c r="L7499" s="461"/>
      <c r="M7499" s="461"/>
      <c r="N7499" s="461"/>
    </row>
    <row r="7500" spans="1:14" s="462" customFormat="1" hidden="1" outlineLevel="1">
      <c r="A7500" s="1261"/>
      <c r="B7500" s="260"/>
      <c r="C7500" s="457"/>
      <c r="D7500" s="440"/>
      <c r="E7500" s="441"/>
      <c r="F7500" s="1363"/>
      <c r="G7500" s="1363"/>
      <c r="H7500" s="1363"/>
      <c r="I7500" s="1129" t="str">
        <f t="shared" si="272"/>
        <v/>
      </c>
      <c r="J7500" s="471"/>
      <c r="K7500" s="1263" t="s">
        <v>2167</v>
      </c>
      <c r="L7500" s="461"/>
      <c r="M7500" s="461"/>
      <c r="N7500" s="461"/>
    </row>
    <row r="7501" spans="1:14" s="462" customFormat="1" hidden="1" outlineLevel="1">
      <c r="A7501" s="1261"/>
      <c r="B7501" s="260"/>
      <c r="C7501" s="457" t="s">
        <v>1</v>
      </c>
      <c r="D7501" s="440">
        <v>1</v>
      </c>
      <c r="E7501" s="441">
        <v>2</v>
      </c>
      <c r="F7501" s="1363">
        <v>4.43</v>
      </c>
      <c r="G7501" s="1363"/>
      <c r="H7501" s="1363">
        <v>0.2</v>
      </c>
      <c r="I7501" s="1129">
        <f t="shared" si="272"/>
        <v>1.77</v>
      </c>
      <c r="J7501" s="471"/>
      <c r="K7501" s="1263" t="s">
        <v>2167</v>
      </c>
      <c r="L7501" s="461"/>
      <c r="M7501" s="461"/>
      <c r="N7501" s="461"/>
    </row>
    <row r="7502" spans="1:14" s="462" customFormat="1" hidden="1" outlineLevel="1">
      <c r="A7502" s="1261"/>
      <c r="B7502" s="260" t="s">
        <v>539</v>
      </c>
      <c r="C7502" s="457" t="s">
        <v>1</v>
      </c>
      <c r="D7502" s="440">
        <v>1</v>
      </c>
      <c r="E7502" s="441">
        <v>2</v>
      </c>
      <c r="F7502" s="1363">
        <v>3.3</v>
      </c>
      <c r="G7502" s="1363"/>
      <c r="H7502" s="1363">
        <v>0.27500000000000002</v>
      </c>
      <c r="I7502" s="1129">
        <f t="shared" si="272"/>
        <v>1.82</v>
      </c>
      <c r="J7502" s="471"/>
      <c r="K7502" s="1263" t="s">
        <v>2167</v>
      </c>
      <c r="L7502" s="461"/>
      <c r="M7502" s="461"/>
      <c r="N7502" s="461"/>
    </row>
    <row r="7503" spans="1:14" s="462" customFormat="1" hidden="1" outlineLevel="1">
      <c r="A7503" s="1261"/>
      <c r="B7503" s="260"/>
      <c r="C7503" s="457"/>
      <c r="D7503" s="440"/>
      <c r="E7503" s="441"/>
      <c r="F7503" s="1363"/>
      <c r="G7503" s="1363"/>
      <c r="H7503" s="1363"/>
      <c r="I7503" s="1129" t="str">
        <f t="shared" si="272"/>
        <v/>
      </c>
      <c r="J7503" s="471"/>
      <c r="K7503" s="1263" t="s">
        <v>2167</v>
      </c>
      <c r="L7503" s="461"/>
      <c r="M7503" s="461"/>
      <c r="N7503" s="461"/>
    </row>
    <row r="7504" spans="1:14" s="462" customFormat="1" hidden="1" outlineLevel="1">
      <c r="A7504" s="1261"/>
      <c r="B7504" s="260" t="s">
        <v>181</v>
      </c>
      <c r="C7504" s="457" t="s">
        <v>1</v>
      </c>
      <c r="D7504" s="440">
        <v>1</v>
      </c>
      <c r="E7504" s="441">
        <v>2</v>
      </c>
      <c r="F7504" s="1363">
        <v>4.43</v>
      </c>
      <c r="G7504" s="1363"/>
      <c r="H7504" s="1363">
        <v>0.2</v>
      </c>
      <c r="I7504" s="1129">
        <f t="shared" si="272"/>
        <v>1.77</v>
      </c>
      <c r="J7504" s="471"/>
      <c r="K7504" s="1263" t="s">
        <v>2167</v>
      </c>
      <c r="L7504" s="461"/>
      <c r="M7504" s="461"/>
      <c r="N7504" s="461"/>
    </row>
    <row r="7505" spans="1:14" s="462" customFormat="1" hidden="1" outlineLevel="1">
      <c r="A7505" s="1261"/>
      <c r="B7505" s="260"/>
      <c r="C7505" s="457"/>
      <c r="D7505" s="440"/>
      <c r="E7505" s="441"/>
      <c r="F7505" s="1363"/>
      <c r="G7505" s="1363"/>
      <c r="H7505" s="1363"/>
      <c r="I7505" s="1129" t="str">
        <f t="shared" si="272"/>
        <v/>
      </c>
      <c r="J7505" s="471"/>
      <c r="K7505" s="1263" t="s">
        <v>2167</v>
      </c>
      <c r="L7505" s="461"/>
      <c r="M7505" s="461"/>
      <c r="N7505" s="461"/>
    </row>
    <row r="7506" spans="1:14" s="462" customFormat="1" hidden="1" outlineLevel="1">
      <c r="A7506" s="1261"/>
      <c r="B7506" s="260"/>
      <c r="C7506" s="457" t="s">
        <v>1</v>
      </c>
      <c r="D7506" s="440">
        <v>1</v>
      </c>
      <c r="E7506" s="441">
        <v>2</v>
      </c>
      <c r="F7506" s="1363">
        <v>1.56</v>
      </c>
      <c r="G7506" s="1363"/>
      <c r="H7506" s="1363">
        <v>0.2</v>
      </c>
      <c r="I7506" s="1129">
        <f t="shared" si="272"/>
        <v>0.62</v>
      </c>
      <c r="J7506" s="471"/>
      <c r="K7506" s="1263" t="s">
        <v>2167</v>
      </c>
      <c r="L7506" s="461"/>
      <c r="M7506" s="461"/>
      <c r="N7506" s="461"/>
    </row>
    <row r="7507" spans="1:14" s="462" customFormat="1" hidden="1" outlineLevel="1">
      <c r="A7507" s="1261"/>
      <c r="B7507" s="260"/>
      <c r="C7507" s="457"/>
      <c r="D7507" s="440"/>
      <c r="E7507" s="441"/>
      <c r="F7507" s="1363"/>
      <c r="G7507" s="1363"/>
      <c r="H7507" s="1363"/>
      <c r="I7507" s="1129" t="str">
        <f t="shared" si="272"/>
        <v/>
      </c>
      <c r="J7507" s="471"/>
      <c r="K7507" s="1263" t="s">
        <v>2167</v>
      </c>
      <c r="L7507" s="461"/>
      <c r="M7507" s="461"/>
      <c r="N7507" s="461"/>
    </row>
    <row r="7508" spans="1:14" s="462" customFormat="1" hidden="1" outlineLevel="1">
      <c r="A7508" s="1261"/>
      <c r="B7508" s="260"/>
      <c r="C7508" s="457" t="s">
        <v>1</v>
      </c>
      <c r="D7508" s="440">
        <v>1</v>
      </c>
      <c r="E7508" s="441">
        <v>2</v>
      </c>
      <c r="F7508" s="1363">
        <v>5.3900000000000006</v>
      </c>
      <c r="G7508" s="1363"/>
      <c r="H7508" s="1363">
        <v>0.2</v>
      </c>
      <c r="I7508" s="1129">
        <f t="shared" si="272"/>
        <v>2.16</v>
      </c>
      <c r="J7508" s="471"/>
      <c r="K7508" s="1263" t="s">
        <v>2167</v>
      </c>
      <c r="L7508" s="461"/>
      <c r="M7508" s="461"/>
      <c r="N7508" s="461"/>
    </row>
    <row r="7509" spans="1:14" s="462" customFormat="1" hidden="1" outlineLevel="1">
      <c r="A7509" s="1261"/>
      <c r="B7509" s="260"/>
      <c r="C7509" s="457"/>
      <c r="D7509" s="440"/>
      <c r="E7509" s="441"/>
      <c r="F7509" s="1363"/>
      <c r="G7509" s="1363"/>
      <c r="H7509" s="1363"/>
      <c r="I7509" s="1129" t="str">
        <f t="shared" si="272"/>
        <v/>
      </c>
      <c r="J7509" s="471"/>
      <c r="K7509" s="1263" t="s">
        <v>2167</v>
      </c>
      <c r="L7509" s="461"/>
      <c r="M7509" s="461"/>
      <c r="N7509" s="461"/>
    </row>
    <row r="7510" spans="1:14" s="462" customFormat="1" hidden="1" outlineLevel="1">
      <c r="A7510" s="1261"/>
      <c r="B7510" s="260"/>
      <c r="C7510" s="457" t="s">
        <v>1</v>
      </c>
      <c r="D7510" s="440">
        <v>1</v>
      </c>
      <c r="E7510" s="441">
        <v>2</v>
      </c>
      <c r="F7510" s="1363">
        <v>0.6</v>
      </c>
      <c r="G7510" s="1363"/>
      <c r="H7510" s="1363">
        <v>0.2</v>
      </c>
      <c r="I7510" s="1129">
        <f t="shared" si="272"/>
        <v>0.24</v>
      </c>
      <c r="J7510" s="471"/>
      <c r="K7510" s="1263" t="s">
        <v>2167</v>
      </c>
      <c r="L7510" s="461"/>
      <c r="M7510" s="461"/>
      <c r="N7510" s="461"/>
    </row>
    <row r="7511" spans="1:14" s="462" customFormat="1" hidden="1" outlineLevel="1">
      <c r="A7511" s="1261"/>
      <c r="B7511" s="260"/>
      <c r="C7511" s="457"/>
      <c r="D7511" s="440"/>
      <c r="E7511" s="441"/>
      <c r="F7511" s="1363"/>
      <c r="G7511" s="1363"/>
      <c r="H7511" s="1363"/>
      <c r="I7511" s="1129" t="str">
        <f t="shared" si="272"/>
        <v/>
      </c>
      <c r="J7511" s="471"/>
      <c r="K7511" s="1263" t="s">
        <v>2167</v>
      </c>
      <c r="L7511" s="461"/>
      <c r="M7511" s="461"/>
      <c r="N7511" s="461"/>
    </row>
    <row r="7512" spans="1:14" s="462" customFormat="1" hidden="1" outlineLevel="1">
      <c r="A7512" s="1261"/>
      <c r="B7512" s="260"/>
      <c r="C7512" s="457" t="s">
        <v>1</v>
      </c>
      <c r="D7512" s="440">
        <v>1</v>
      </c>
      <c r="E7512" s="441">
        <v>2</v>
      </c>
      <c r="F7512" s="1363">
        <v>6.29</v>
      </c>
      <c r="G7512" s="1363"/>
      <c r="H7512" s="1363">
        <v>0.2</v>
      </c>
      <c r="I7512" s="1129">
        <f t="shared" si="272"/>
        <v>2.52</v>
      </c>
      <c r="J7512" s="471"/>
      <c r="K7512" s="1263" t="s">
        <v>2167</v>
      </c>
      <c r="L7512" s="461"/>
      <c r="M7512" s="461"/>
      <c r="N7512" s="461"/>
    </row>
    <row r="7513" spans="1:14" s="462" customFormat="1" hidden="1" outlineLevel="1">
      <c r="A7513" s="1261"/>
      <c r="B7513" s="260" t="s">
        <v>540</v>
      </c>
      <c r="C7513" s="457" t="s">
        <v>1</v>
      </c>
      <c r="D7513" s="440">
        <v>1</v>
      </c>
      <c r="E7513" s="441">
        <v>2</v>
      </c>
      <c r="F7513" s="1363">
        <v>3</v>
      </c>
      <c r="G7513" s="1363"/>
      <c r="H7513" s="1363">
        <v>0.27500000000000002</v>
      </c>
      <c r="I7513" s="1129">
        <f t="shared" si="272"/>
        <v>1.65</v>
      </c>
      <c r="J7513" s="471"/>
      <c r="K7513" s="1263" t="s">
        <v>2167</v>
      </c>
      <c r="L7513" s="461"/>
      <c r="M7513" s="461"/>
      <c r="N7513" s="461"/>
    </row>
    <row r="7514" spans="1:14" s="462" customFormat="1" hidden="1" outlineLevel="1">
      <c r="A7514" s="1261"/>
      <c r="B7514" s="260"/>
      <c r="C7514" s="457"/>
      <c r="D7514" s="440"/>
      <c r="E7514" s="441"/>
      <c r="F7514" s="1363"/>
      <c r="G7514" s="1363"/>
      <c r="H7514" s="1363"/>
      <c r="I7514" s="1129" t="str">
        <f t="shared" si="272"/>
        <v/>
      </c>
      <c r="J7514" s="471"/>
      <c r="K7514" s="1263" t="s">
        <v>2167</v>
      </c>
      <c r="L7514" s="461"/>
      <c r="M7514" s="461"/>
      <c r="N7514" s="461"/>
    </row>
    <row r="7515" spans="1:14" s="462" customFormat="1" hidden="1" outlineLevel="1">
      <c r="A7515" s="1261"/>
      <c r="B7515" s="260"/>
      <c r="C7515" s="457" t="s">
        <v>1</v>
      </c>
      <c r="D7515" s="440">
        <v>1</v>
      </c>
      <c r="E7515" s="441">
        <v>2</v>
      </c>
      <c r="F7515" s="1363">
        <v>6.29</v>
      </c>
      <c r="G7515" s="1363"/>
      <c r="H7515" s="1363">
        <v>0.2</v>
      </c>
      <c r="I7515" s="1129">
        <f t="shared" si="272"/>
        <v>2.52</v>
      </c>
      <c r="J7515" s="471"/>
      <c r="K7515" s="1263" t="s">
        <v>2167</v>
      </c>
      <c r="L7515" s="461"/>
      <c r="M7515" s="461"/>
      <c r="N7515" s="461"/>
    </row>
    <row r="7516" spans="1:14" s="462" customFormat="1" hidden="1" outlineLevel="1">
      <c r="A7516" s="1261"/>
      <c r="B7516" s="260" t="s">
        <v>540</v>
      </c>
      <c r="C7516" s="457" t="s">
        <v>1</v>
      </c>
      <c r="D7516" s="440">
        <v>1</v>
      </c>
      <c r="E7516" s="441">
        <v>2</v>
      </c>
      <c r="F7516" s="1363">
        <v>3</v>
      </c>
      <c r="G7516" s="1363"/>
      <c r="H7516" s="1363">
        <v>0.27500000000000002</v>
      </c>
      <c r="I7516" s="1129">
        <f t="shared" si="272"/>
        <v>1.65</v>
      </c>
      <c r="J7516" s="471"/>
      <c r="K7516" s="1263" t="s">
        <v>2167</v>
      </c>
      <c r="L7516" s="461"/>
      <c r="M7516" s="461"/>
      <c r="N7516" s="461"/>
    </row>
    <row r="7517" spans="1:14" s="462" customFormat="1" hidden="1" outlineLevel="1">
      <c r="A7517" s="1261"/>
      <c r="B7517" s="260"/>
      <c r="C7517" s="457"/>
      <c r="D7517" s="440"/>
      <c r="E7517" s="441"/>
      <c r="F7517" s="1363"/>
      <c r="G7517" s="1363"/>
      <c r="H7517" s="1363"/>
      <c r="I7517" s="1129" t="str">
        <f t="shared" si="272"/>
        <v/>
      </c>
      <c r="J7517" s="471"/>
      <c r="K7517" s="1263" t="s">
        <v>2167</v>
      </c>
      <c r="L7517" s="461"/>
      <c r="M7517" s="461"/>
      <c r="N7517" s="461"/>
    </row>
    <row r="7518" spans="1:14" s="462" customFormat="1" hidden="1" outlineLevel="1">
      <c r="A7518" s="1261"/>
      <c r="B7518" s="260" t="s">
        <v>182</v>
      </c>
      <c r="C7518" s="457" t="s">
        <v>1</v>
      </c>
      <c r="D7518" s="440">
        <v>1</v>
      </c>
      <c r="E7518" s="441">
        <v>2</v>
      </c>
      <c r="F7518" s="1363">
        <v>6.89</v>
      </c>
      <c r="G7518" s="1363"/>
      <c r="H7518" s="1363">
        <v>0.2</v>
      </c>
      <c r="I7518" s="1129">
        <f t="shared" si="272"/>
        <v>2.76</v>
      </c>
      <c r="J7518" s="471"/>
      <c r="K7518" s="1263" t="s">
        <v>2167</v>
      </c>
      <c r="L7518" s="461"/>
      <c r="M7518" s="461"/>
      <c r="N7518" s="461"/>
    </row>
    <row r="7519" spans="1:14" s="462" customFormat="1" hidden="1" outlineLevel="1">
      <c r="A7519" s="1261"/>
      <c r="B7519" s="260"/>
      <c r="C7519" s="457"/>
      <c r="D7519" s="440"/>
      <c r="E7519" s="441"/>
      <c r="F7519" s="1363"/>
      <c r="G7519" s="1363"/>
      <c r="H7519" s="1363"/>
      <c r="I7519" s="1129" t="str">
        <f t="shared" si="272"/>
        <v/>
      </c>
      <c r="J7519" s="471"/>
      <c r="K7519" s="1263" t="s">
        <v>2167</v>
      </c>
      <c r="L7519" s="461"/>
      <c r="M7519" s="461"/>
      <c r="N7519" s="461"/>
    </row>
    <row r="7520" spans="1:14" s="462" customFormat="1" hidden="1" outlineLevel="1">
      <c r="A7520" s="1261"/>
      <c r="B7520" s="260"/>
      <c r="C7520" s="457" t="s">
        <v>1</v>
      </c>
      <c r="D7520" s="440">
        <v>1</v>
      </c>
      <c r="E7520" s="441">
        <v>2</v>
      </c>
      <c r="F7520" s="1363">
        <v>1.8</v>
      </c>
      <c r="G7520" s="1363"/>
      <c r="H7520" s="1363">
        <v>0.2</v>
      </c>
      <c r="I7520" s="1129">
        <f t="shared" si="272"/>
        <v>0.72</v>
      </c>
      <c r="J7520" s="471"/>
      <c r="K7520" s="1263" t="s">
        <v>2167</v>
      </c>
      <c r="L7520" s="461"/>
      <c r="M7520" s="461"/>
      <c r="N7520" s="461"/>
    </row>
    <row r="7521" spans="1:14" s="462" customFormat="1" hidden="1" outlineLevel="1">
      <c r="A7521" s="1261"/>
      <c r="B7521" s="260"/>
      <c r="C7521" s="457"/>
      <c r="D7521" s="440"/>
      <c r="E7521" s="441"/>
      <c r="F7521" s="1363"/>
      <c r="G7521" s="1363"/>
      <c r="H7521" s="1363"/>
      <c r="I7521" s="1129" t="str">
        <f t="shared" ref="I7521:I7584" si="273">IF(D7521&lt;&gt;0,ROUND(PRODUCT(E7521:H7521)*D7521,2),"")</f>
        <v/>
      </c>
      <c r="J7521" s="471"/>
      <c r="K7521" s="1263" t="s">
        <v>2167</v>
      </c>
      <c r="L7521" s="461"/>
      <c r="M7521" s="461"/>
      <c r="N7521" s="461"/>
    </row>
    <row r="7522" spans="1:14" s="462" customFormat="1" hidden="1" outlineLevel="1">
      <c r="A7522" s="1261"/>
      <c r="B7522" s="260"/>
      <c r="C7522" s="457" t="s">
        <v>1</v>
      </c>
      <c r="D7522" s="440">
        <v>1</v>
      </c>
      <c r="E7522" s="441">
        <v>2</v>
      </c>
      <c r="F7522" s="1363">
        <v>8.69</v>
      </c>
      <c r="G7522" s="1363"/>
      <c r="H7522" s="1363">
        <v>0.2</v>
      </c>
      <c r="I7522" s="1129">
        <f t="shared" si="273"/>
        <v>3.48</v>
      </c>
      <c r="J7522" s="471"/>
      <c r="K7522" s="1263" t="s">
        <v>2167</v>
      </c>
      <c r="L7522" s="461"/>
      <c r="M7522" s="461"/>
      <c r="N7522" s="461"/>
    </row>
    <row r="7523" spans="1:14" s="462" customFormat="1" hidden="1" outlineLevel="1">
      <c r="A7523" s="1261"/>
      <c r="B7523" s="260"/>
      <c r="C7523" s="457"/>
      <c r="D7523" s="440"/>
      <c r="E7523" s="441"/>
      <c r="F7523" s="1363"/>
      <c r="G7523" s="1363"/>
      <c r="H7523" s="1363"/>
      <c r="I7523" s="1129" t="str">
        <f t="shared" si="273"/>
        <v/>
      </c>
      <c r="J7523" s="471"/>
      <c r="K7523" s="1263" t="s">
        <v>2167</v>
      </c>
      <c r="L7523" s="461"/>
      <c r="M7523" s="461"/>
      <c r="N7523" s="461"/>
    </row>
    <row r="7524" spans="1:14" s="462" customFormat="1" hidden="1" outlineLevel="1">
      <c r="A7524" s="1261"/>
      <c r="B7524" s="260" t="s">
        <v>183</v>
      </c>
      <c r="C7524" s="457" t="s">
        <v>1</v>
      </c>
      <c r="D7524" s="440">
        <v>1</v>
      </c>
      <c r="E7524" s="441">
        <v>2</v>
      </c>
      <c r="F7524" s="1363">
        <v>10.690000000000001</v>
      </c>
      <c r="G7524" s="1363"/>
      <c r="H7524" s="1363">
        <v>0.2</v>
      </c>
      <c r="I7524" s="1129">
        <f t="shared" si="273"/>
        <v>4.28</v>
      </c>
      <c r="J7524" s="471"/>
      <c r="K7524" s="1263" t="s">
        <v>2167</v>
      </c>
      <c r="L7524" s="461"/>
      <c r="M7524" s="461"/>
      <c r="N7524" s="461"/>
    </row>
    <row r="7525" spans="1:14" s="462" customFormat="1" hidden="1" outlineLevel="1">
      <c r="A7525" s="1261"/>
      <c r="B7525" s="260" t="s">
        <v>540</v>
      </c>
      <c r="C7525" s="457" t="s">
        <v>1</v>
      </c>
      <c r="D7525" s="440">
        <v>1</v>
      </c>
      <c r="E7525" s="441">
        <v>2</v>
      </c>
      <c r="F7525" s="1363">
        <v>3</v>
      </c>
      <c r="G7525" s="1363"/>
      <c r="H7525" s="1363">
        <v>0.27500000000000002</v>
      </c>
      <c r="I7525" s="1129">
        <f t="shared" si="273"/>
        <v>1.65</v>
      </c>
      <c r="J7525" s="471"/>
      <c r="K7525" s="1263" t="s">
        <v>2167</v>
      </c>
      <c r="L7525" s="461"/>
      <c r="M7525" s="461"/>
      <c r="N7525" s="461"/>
    </row>
    <row r="7526" spans="1:14" s="462" customFormat="1" hidden="1" outlineLevel="1">
      <c r="A7526" s="1261"/>
      <c r="B7526" s="260"/>
      <c r="C7526" s="457"/>
      <c r="D7526" s="440"/>
      <c r="E7526" s="441"/>
      <c r="F7526" s="1363"/>
      <c r="G7526" s="1363"/>
      <c r="H7526" s="1363"/>
      <c r="I7526" s="1129" t="str">
        <f t="shared" si="273"/>
        <v/>
      </c>
      <c r="J7526" s="471"/>
      <c r="K7526" s="1263" t="s">
        <v>2167</v>
      </c>
      <c r="L7526" s="461"/>
      <c r="M7526" s="461"/>
      <c r="N7526" s="461"/>
    </row>
    <row r="7527" spans="1:14" s="462" customFormat="1" hidden="1" outlineLevel="1">
      <c r="A7527" s="1261"/>
      <c r="B7527" s="260" t="s">
        <v>185</v>
      </c>
      <c r="C7527" s="457" t="s">
        <v>1</v>
      </c>
      <c r="D7527" s="440">
        <v>1</v>
      </c>
      <c r="E7527" s="441">
        <v>2</v>
      </c>
      <c r="F7527" s="1363">
        <v>0.61499999999999999</v>
      </c>
      <c r="G7527" s="1363"/>
      <c r="H7527" s="1363">
        <v>0.2</v>
      </c>
      <c r="I7527" s="1129">
        <f t="shared" si="273"/>
        <v>0.25</v>
      </c>
      <c r="J7527" s="471"/>
      <c r="K7527" s="1263" t="s">
        <v>2167</v>
      </c>
      <c r="L7527" s="461"/>
      <c r="M7527" s="461"/>
      <c r="N7527" s="461"/>
    </row>
    <row r="7528" spans="1:14" s="462" customFormat="1" hidden="1" outlineLevel="1">
      <c r="A7528" s="1261"/>
      <c r="B7528" s="260"/>
      <c r="C7528" s="457"/>
      <c r="D7528" s="440"/>
      <c r="E7528" s="441"/>
      <c r="F7528" s="1363"/>
      <c r="G7528" s="1363"/>
      <c r="H7528" s="1363"/>
      <c r="I7528" s="1129" t="str">
        <f t="shared" si="273"/>
        <v/>
      </c>
      <c r="J7528" s="471"/>
      <c r="K7528" s="1263" t="s">
        <v>2167</v>
      </c>
      <c r="L7528" s="461"/>
      <c r="M7528" s="461"/>
      <c r="N7528" s="461"/>
    </row>
    <row r="7529" spans="1:14" s="462" customFormat="1" hidden="1" outlineLevel="1">
      <c r="A7529" s="1261"/>
      <c r="B7529" s="260"/>
      <c r="C7529" s="457" t="s">
        <v>1</v>
      </c>
      <c r="D7529" s="440">
        <v>1</v>
      </c>
      <c r="E7529" s="441">
        <v>2</v>
      </c>
      <c r="F7529" s="1364">
        <v>1.9</v>
      </c>
      <c r="G7529" s="1363"/>
      <c r="H7529" s="1363">
        <v>0.2</v>
      </c>
      <c r="I7529" s="1129">
        <f t="shared" si="273"/>
        <v>0.76</v>
      </c>
      <c r="J7529" s="471"/>
      <c r="K7529" s="1263" t="s">
        <v>2167</v>
      </c>
      <c r="L7529" s="461"/>
      <c r="M7529" s="461"/>
      <c r="N7529" s="461"/>
    </row>
    <row r="7530" spans="1:14" s="462" customFormat="1" hidden="1" outlineLevel="1">
      <c r="A7530" s="1261"/>
      <c r="B7530" s="260"/>
      <c r="C7530" s="457"/>
      <c r="D7530" s="440"/>
      <c r="E7530" s="441"/>
      <c r="F7530" s="1363"/>
      <c r="G7530" s="1363"/>
      <c r="H7530" s="1363"/>
      <c r="I7530" s="1129" t="str">
        <f t="shared" si="273"/>
        <v/>
      </c>
      <c r="J7530" s="471"/>
      <c r="K7530" s="1263" t="s">
        <v>2167</v>
      </c>
      <c r="L7530" s="461"/>
      <c r="M7530" s="461"/>
      <c r="N7530" s="461"/>
    </row>
    <row r="7531" spans="1:14" s="462" customFormat="1" hidden="1" outlineLevel="1">
      <c r="A7531" s="1261"/>
      <c r="B7531" s="260"/>
      <c r="C7531" s="457" t="s">
        <v>1</v>
      </c>
      <c r="D7531" s="440">
        <v>2</v>
      </c>
      <c r="E7531" s="441">
        <v>2</v>
      </c>
      <c r="F7531" s="1363">
        <v>0.61499999999999999</v>
      </c>
      <c r="G7531" s="1363"/>
      <c r="H7531" s="1363">
        <v>0.2</v>
      </c>
      <c r="I7531" s="1129">
        <f t="shared" si="273"/>
        <v>0.49</v>
      </c>
      <c r="J7531" s="471"/>
      <c r="K7531" s="1263" t="s">
        <v>2167</v>
      </c>
      <c r="L7531" s="461"/>
      <c r="M7531" s="461"/>
      <c r="N7531" s="461"/>
    </row>
    <row r="7532" spans="1:14" s="462" customFormat="1" hidden="1" outlineLevel="1">
      <c r="A7532" s="1261"/>
      <c r="B7532" s="260"/>
      <c r="C7532" s="457"/>
      <c r="D7532" s="440"/>
      <c r="E7532" s="441"/>
      <c r="F7532" s="1363"/>
      <c r="G7532" s="1363"/>
      <c r="H7532" s="1363"/>
      <c r="I7532" s="1129" t="str">
        <f t="shared" si="273"/>
        <v/>
      </c>
      <c r="J7532" s="471"/>
      <c r="K7532" s="1263" t="s">
        <v>2167</v>
      </c>
      <c r="L7532" s="461"/>
      <c r="M7532" s="461"/>
      <c r="N7532" s="461"/>
    </row>
    <row r="7533" spans="1:14" s="462" customFormat="1" hidden="1" outlineLevel="1">
      <c r="A7533" s="1261"/>
      <c r="B7533" s="260"/>
      <c r="C7533" s="457" t="s">
        <v>1</v>
      </c>
      <c r="D7533" s="440">
        <v>1</v>
      </c>
      <c r="E7533" s="441">
        <v>2</v>
      </c>
      <c r="F7533" s="1363">
        <v>2.7450000000000001</v>
      </c>
      <c r="G7533" s="1363"/>
      <c r="H7533" s="1363">
        <v>0.2</v>
      </c>
      <c r="I7533" s="1129">
        <f t="shared" si="273"/>
        <v>1.1000000000000001</v>
      </c>
      <c r="J7533" s="471"/>
      <c r="K7533" s="1263" t="s">
        <v>2167</v>
      </c>
      <c r="L7533" s="461"/>
      <c r="M7533" s="461"/>
      <c r="N7533" s="461"/>
    </row>
    <row r="7534" spans="1:14" s="462" customFormat="1" hidden="1" outlineLevel="1">
      <c r="A7534" s="1261"/>
      <c r="B7534" s="260"/>
      <c r="C7534" s="457"/>
      <c r="D7534" s="440"/>
      <c r="E7534" s="441"/>
      <c r="F7534" s="1363"/>
      <c r="G7534" s="1363"/>
      <c r="H7534" s="1363"/>
      <c r="I7534" s="1129" t="str">
        <f t="shared" si="273"/>
        <v/>
      </c>
      <c r="J7534" s="471"/>
      <c r="K7534" s="1263" t="s">
        <v>2167</v>
      </c>
      <c r="L7534" s="461"/>
      <c r="M7534" s="461"/>
      <c r="N7534" s="461"/>
    </row>
    <row r="7535" spans="1:14" s="462" customFormat="1" hidden="1" outlineLevel="1">
      <c r="A7535" s="1261"/>
      <c r="B7535" s="260"/>
      <c r="C7535" s="457" t="s">
        <v>1</v>
      </c>
      <c r="D7535" s="440">
        <v>1</v>
      </c>
      <c r="E7535" s="441">
        <v>2</v>
      </c>
      <c r="F7535" s="1363">
        <v>1.5150000000000001</v>
      </c>
      <c r="G7535" s="1363"/>
      <c r="H7535" s="1363">
        <v>0.2</v>
      </c>
      <c r="I7535" s="1129">
        <f t="shared" si="273"/>
        <v>0.61</v>
      </c>
      <c r="J7535" s="471"/>
      <c r="K7535" s="1263" t="s">
        <v>2167</v>
      </c>
      <c r="L7535" s="461"/>
      <c r="M7535" s="461"/>
      <c r="N7535" s="461"/>
    </row>
    <row r="7536" spans="1:14" s="462" customFormat="1" hidden="1" outlineLevel="1">
      <c r="A7536" s="1261"/>
      <c r="B7536" s="260"/>
      <c r="C7536" s="457"/>
      <c r="D7536" s="440"/>
      <c r="E7536" s="441"/>
      <c r="F7536" s="1363"/>
      <c r="G7536" s="1363"/>
      <c r="H7536" s="1363"/>
      <c r="I7536" s="1129" t="str">
        <f t="shared" si="273"/>
        <v/>
      </c>
      <c r="J7536" s="471"/>
      <c r="K7536" s="1263" t="s">
        <v>2167</v>
      </c>
      <c r="L7536" s="461"/>
      <c r="M7536" s="461"/>
      <c r="N7536" s="461"/>
    </row>
    <row r="7537" spans="1:14" s="462" customFormat="1" hidden="1" outlineLevel="1">
      <c r="A7537" s="1261"/>
      <c r="B7537" s="260"/>
      <c r="C7537" s="457" t="s">
        <v>1</v>
      </c>
      <c r="D7537" s="440">
        <v>1</v>
      </c>
      <c r="E7537" s="441">
        <v>2</v>
      </c>
      <c r="F7537" s="1363">
        <v>2.7450000000000001</v>
      </c>
      <c r="G7537" s="1363"/>
      <c r="H7537" s="1363">
        <v>0.2</v>
      </c>
      <c r="I7537" s="1129">
        <f t="shared" si="273"/>
        <v>1.1000000000000001</v>
      </c>
      <c r="J7537" s="471"/>
      <c r="K7537" s="1263" t="s">
        <v>2167</v>
      </c>
      <c r="L7537" s="461"/>
      <c r="M7537" s="461"/>
      <c r="N7537" s="461"/>
    </row>
    <row r="7538" spans="1:14" s="462" customFormat="1" hidden="1" outlineLevel="1">
      <c r="A7538" s="1261"/>
      <c r="B7538" s="260"/>
      <c r="C7538" s="457"/>
      <c r="D7538" s="440"/>
      <c r="E7538" s="441"/>
      <c r="F7538" s="1363"/>
      <c r="G7538" s="1363"/>
      <c r="H7538" s="1363"/>
      <c r="I7538" s="1129" t="str">
        <f t="shared" si="273"/>
        <v/>
      </c>
      <c r="J7538" s="471"/>
      <c r="K7538" s="1263" t="s">
        <v>2167</v>
      </c>
      <c r="L7538" s="461"/>
      <c r="M7538" s="461"/>
      <c r="N7538" s="461"/>
    </row>
    <row r="7539" spans="1:14" s="462" customFormat="1" hidden="1" outlineLevel="1">
      <c r="A7539" s="1261"/>
      <c r="B7539" s="260"/>
      <c r="C7539" s="457" t="s">
        <v>1</v>
      </c>
      <c r="D7539" s="440">
        <v>1</v>
      </c>
      <c r="E7539" s="441">
        <v>2</v>
      </c>
      <c r="F7539" s="1364">
        <v>1.9</v>
      </c>
      <c r="G7539" s="1363"/>
      <c r="H7539" s="1363">
        <v>0.2</v>
      </c>
      <c r="I7539" s="1129">
        <f t="shared" si="273"/>
        <v>0.76</v>
      </c>
      <c r="J7539" s="471"/>
      <c r="K7539" s="1263" t="s">
        <v>2167</v>
      </c>
      <c r="L7539" s="461"/>
      <c r="M7539" s="461"/>
      <c r="N7539" s="461"/>
    </row>
    <row r="7540" spans="1:14" s="462" customFormat="1" hidden="1" outlineLevel="1">
      <c r="A7540" s="1261"/>
      <c r="B7540" s="260"/>
      <c r="C7540" s="457"/>
      <c r="D7540" s="440"/>
      <c r="E7540" s="441"/>
      <c r="F7540" s="1363"/>
      <c r="G7540" s="1363"/>
      <c r="H7540" s="1363"/>
      <c r="I7540" s="1129" t="str">
        <f t="shared" si="273"/>
        <v/>
      </c>
      <c r="J7540" s="471"/>
      <c r="K7540" s="1263" t="s">
        <v>2167</v>
      </c>
      <c r="L7540" s="461"/>
      <c r="M7540" s="461"/>
      <c r="N7540" s="461"/>
    </row>
    <row r="7541" spans="1:14" s="462" customFormat="1" hidden="1" outlineLevel="1">
      <c r="A7541" s="1261"/>
      <c r="B7541" s="260"/>
      <c r="C7541" s="457" t="s">
        <v>1</v>
      </c>
      <c r="D7541" s="440">
        <v>1</v>
      </c>
      <c r="E7541" s="441">
        <v>2</v>
      </c>
      <c r="F7541" s="1363">
        <v>2.7450000000000001</v>
      </c>
      <c r="G7541" s="1363"/>
      <c r="H7541" s="1363">
        <v>0.2</v>
      </c>
      <c r="I7541" s="1129">
        <f t="shared" si="273"/>
        <v>1.1000000000000001</v>
      </c>
      <c r="J7541" s="471"/>
      <c r="K7541" s="1263" t="s">
        <v>2167</v>
      </c>
      <c r="L7541" s="461"/>
      <c r="M7541" s="461"/>
      <c r="N7541" s="461"/>
    </row>
    <row r="7542" spans="1:14" s="462" customFormat="1" hidden="1" outlineLevel="1">
      <c r="A7542" s="1261"/>
      <c r="B7542" s="260"/>
      <c r="C7542" s="457"/>
      <c r="D7542" s="440"/>
      <c r="E7542" s="441"/>
      <c r="F7542" s="1363"/>
      <c r="G7542" s="1363"/>
      <c r="H7542" s="1363"/>
      <c r="I7542" s="1129" t="str">
        <f t="shared" si="273"/>
        <v/>
      </c>
      <c r="J7542" s="471"/>
      <c r="K7542" s="1263" t="s">
        <v>2167</v>
      </c>
      <c r="L7542" s="461"/>
      <c r="M7542" s="461"/>
      <c r="N7542" s="461"/>
    </row>
    <row r="7543" spans="1:14" s="462" customFormat="1" hidden="1" outlineLevel="1">
      <c r="A7543" s="1261"/>
      <c r="B7543" s="260"/>
      <c r="C7543" s="457" t="s">
        <v>1</v>
      </c>
      <c r="D7543" s="440">
        <v>1</v>
      </c>
      <c r="E7543" s="441">
        <v>2</v>
      </c>
      <c r="F7543" s="1363">
        <v>0.61499999999999999</v>
      </c>
      <c r="G7543" s="1363"/>
      <c r="H7543" s="1363">
        <v>0.2</v>
      </c>
      <c r="I7543" s="1129">
        <f t="shared" si="273"/>
        <v>0.25</v>
      </c>
      <c r="J7543" s="471"/>
      <c r="K7543" s="1263" t="s">
        <v>2167</v>
      </c>
      <c r="L7543" s="461"/>
      <c r="M7543" s="461"/>
      <c r="N7543" s="461"/>
    </row>
    <row r="7544" spans="1:14" s="462" customFormat="1" hidden="1" outlineLevel="1">
      <c r="A7544" s="1261"/>
      <c r="B7544" s="260"/>
      <c r="C7544" s="457"/>
      <c r="D7544" s="440"/>
      <c r="E7544" s="441"/>
      <c r="F7544" s="1363"/>
      <c r="G7544" s="1363"/>
      <c r="H7544" s="1363"/>
      <c r="I7544" s="1129" t="str">
        <f t="shared" si="273"/>
        <v/>
      </c>
      <c r="J7544" s="471"/>
      <c r="K7544" s="1263" t="s">
        <v>2167</v>
      </c>
      <c r="L7544" s="461"/>
      <c r="M7544" s="461"/>
      <c r="N7544" s="461"/>
    </row>
    <row r="7545" spans="1:14" s="462" customFormat="1" hidden="1" outlineLevel="1">
      <c r="A7545" s="1261"/>
      <c r="B7545" s="260"/>
      <c r="C7545" s="457" t="s">
        <v>1</v>
      </c>
      <c r="D7545" s="440">
        <v>1</v>
      </c>
      <c r="E7545" s="441">
        <v>2</v>
      </c>
      <c r="F7545" s="1363">
        <v>3.36</v>
      </c>
      <c r="G7545" s="1363"/>
      <c r="H7545" s="1363">
        <v>0.2</v>
      </c>
      <c r="I7545" s="1129">
        <f t="shared" si="273"/>
        <v>1.34</v>
      </c>
      <c r="J7545" s="471"/>
      <c r="K7545" s="1263" t="s">
        <v>2167</v>
      </c>
      <c r="L7545" s="461"/>
      <c r="M7545" s="461"/>
      <c r="N7545" s="461"/>
    </row>
    <row r="7546" spans="1:14" s="462" customFormat="1" hidden="1" outlineLevel="1">
      <c r="A7546" s="1261"/>
      <c r="B7546" s="260"/>
      <c r="C7546" s="457"/>
      <c r="D7546" s="440"/>
      <c r="E7546" s="441"/>
      <c r="F7546" s="1363"/>
      <c r="G7546" s="1363"/>
      <c r="H7546" s="1363"/>
      <c r="I7546" s="1129" t="str">
        <f t="shared" si="273"/>
        <v/>
      </c>
      <c r="J7546" s="471"/>
      <c r="K7546" s="1263" t="s">
        <v>2167</v>
      </c>
      <c r="L7546" s="461"/>
      <c r="M7546" s="461"/>
      <c r="N7546" s="461"/>
    </row>
    <row r="7547" spans="1:14" s="462" customFormat="1" hidden="1" outlineLevel="1">
      <c r="A7547" s="1261"/>
      <c r="B7547" s="260"/>
      <c r="C7547" s="457" t="s">
        <v>1</v>
      </c>
      <c r="D7547" s="440">
        <v>1</v>
      </c>
      <c r="E7547" s="441">
        <v>2</v>
      </c>
      <c r="F7547" s="1364">
        <v>1.9</v>
      </c>
      <c r="G7547" s="1363"/>
      <c r="H7547" s="1363">
        <v>0.2</v>
      </c>
      <c r="I7547" s="1129">
        <f t="shared" si="273"/>
        <v>0.76</v>
      </c>
      <c r="J7547" s="471"/>
      <c r="K7547" s="1263" t="s">
        <v>2167</v>
      </c>
      <c r="L7547" s="461"/>
      <c r="M7547" s="461"/>
      <c r="N7547" s="461"/>
    </row>
    <row r="7548" spans="1:14" s="462" customFormat="1" hidden="1" outlineLevel="1">
      <c r="A7548" s="1261"/>
      <c r="B7548" s="260"/>
      <c r="C7548" s="457"/>
      <c r="D7548" s="440"/>
      <c r="E7548" s="441"/>
      <c r="F7548" s="1363"/>
      <c r="G7548" s="1363"/>
      <c r="H7548" s="1363"/>
      <c r="I7548" s="1129" t="str">
        <f t="shared" si="273"/>
        <v/>
      </c>
      <c r="J7548" s="471"/>
      <c r="K7548" s="1263" t="s">
        <v>2167</v>
      </c>
      <c r="L7548" s="461"/>
      <c r="M7548" s="461"/>
      <c r="N7548" s="461"/>
    </row>
    <row r="7549" spans="1:14" s="462" customFormat="1" hidden="1" outlineLevel="1">
      <c r="A7549" s="1261"/>
      <c r="B7549" s="260"/>
      <c r="C7549" s="457" t="s">
        <v>1</v>
      </c>
      <c r="D7549" s="440">
        <v>1</v>
      </c>
      <c r="E7549" s="441">
        <v>2</v>
      </c>
      <c r="F7549" s="1363">
        <v>0.61499999999999999</v>
      </c>
      <c r="G7549" s="1363"/>
      <c r="H7549" s="1363">
        <v>0.2</v>
      </c>
      <c r="I7549" s="1129">
        <f t="shared" si="273"/>
        <v>0.25</v>
      </c>
      <c r="J7549" s="471"/>
      <c r="K7549" s="1263" t="s">
        <v>2167</v>
      </c>
      <c r="L7549" s="461"/>
      <c r="M7549" s="461"/>
      <c r="N7549" s="461"/>
    </row>
    <row r="7550" spans="1:14" s="462" customFormat="1" hidden="1" outlineLevel="1">
      <c r="A7550" s="1261"/>
      <c r="B7550" s="260"/>
      <c r="C7550" s="457"/>
      <c r="D7550" s="440"/>
      <c r="E7550" s="441"/>
      <c r="F7550" s="1363"/>
      <c r="G7550" s="1363"/>
      <c r="H7550" s="1363"/>
      <c r="I7550" s="1129" t="str">
        <f t="shared" si="273"/>
        <v/>
      </c>
      <c r="J7550" s="471"/>
      <c r="K7550" s="1263" t="s">
        <v>2167</v>
      </c>
      <c r="L7550" s="461"/>
      <c r="M7550" s="461"/>
      <c r="N7550" s="461"/>
    </row>
    <row r="7551" spans="1:14" s="462" customFormat="1" hidden="1" outlineLevel="1">
      <c r="A7551" s="1261"/>
      <c r="B7551" s="260" t="s">
        <v>541</v>
      </c>
      <c r="C7551" s="457" t="s">
        <v>1</v>
      </c>
      <c r="D7551" s="440">
        <f>1*0</f>
        <v>0</v>
      </c>
      <c r="E7551" s="441">
        <v>2</v>
      </c>
      <c r="F7551" s="1363"/>
      <c r="G7551" s="1363"/>
      <c r="H7551" s="1363"/>
      <c r="I7551" s="1129" t="str">
        <f t="shared" si="273"/>
        <v/>
      </c>
      <c r="J7551" s="471"/>
      <c r="K7551" s="1263" t="s">
        <v>2167</v>
      </c>
      <c r="L7551" s="461"/>
      <c r="M7551" s="461"/>
      <c r="N7551" s="461"/>
    </row>
    <row r="7552" spans="1:14" s="462" customFormat="1" hidden="1" outlineLevel="1">
      <c r="A7552" s="1261"/>
      <c r="B7552" s="260"/>
      <c r="C7552" s="457"/>
      <c r="D7552" s="440"/>
      <c r="E7552" s="441"/>
      <c r="F7552" s="1363"/>
      <c r="G7552" s="1363"/>
      <c r="H7552" s="1363"/>
      <c r="I7552" s="1129" t="str">
        <f t="shared" si="273"/>
        <v/>
      </c>
      <c r="J7552" s="471"/>
      <c r="K7552" s="1263" t="s">
        <v>2167</v>
      </c>
      <c r="L7552" s="461"/>
      <c r="M7552" s="461"/>
      <c r="N7552" s="461"/>
    </row>
    <row r="7553" spans="1:14" s="462" customFormat="1" hidden="1" outlineLevel="1">
      <c r="A7553" s="1261"/>
      <c r="B7553" s="260" t="s">
        <v>187</v>
      </c>
      <c r="C7553" s="457" t="s">
        <v>1</v>
      </c>
      <c r="D7553" s="440">
        <v>1</v>
      </c>
      <c r="E7553" s="441">
        <v>2</v>
      </c>
      <c r="F7553" s="1363">
        <v>8.8000000000000007</v>
      </c>
      <c r="G7553" s="1363"/>
      <c r="H7553" s="1363">
        <v>0.2</v>
      </c>
      <c r="I7553" s="1129">
        <f t="shared" si="273"/>
        <v>3.52</v>
      </c>
      <c r="J7553" s="471"/>
      <c r="K7553" s="1263" t="s">
        <v>2167</v>
      </c>
      <c r="L7553" s="461"/>
      <c r="M7553" s="461"/>
      <c r="N7553" s="461"/>
    </row>
    <row r="7554" spans="1:14" s="462" customFormat="1" hidden="1" outlineLevel="1">
      <c r="A7554" s="1261"/>
      <c r="B7554" s="260"/>
      <c r="C7554" s="457"/>
      <c r="D7554" s="440"/>
      <c r="E7554" s="441"/>
      <c r="F7554" s="1363"/>
      <c r="G7554" s="1363"/>
      <c r="H7554" s="1363"/>
      <c r="I7554" s="1129" t="str">
        <f t="shared" si="273"/>
        <v/>
      </c>
      <c r="J7554" s="471"/>
      <c r="K7554" s="1263" t="s">
        <v>2167</v>
      </c>
      <c r="L7554" s="461"/>
      <c r="M7554" s="461"/>
      <c r="N7554" s="461"/>
    </row>
    <row r="7555" spans="1:14" s="462" customFormat="1" hidden="1" outlineLevel="1">
      <c r="A7555" s="1261"/>
      <c r="B7555" s="260"/>
      <c r="C7555" s="457" t="s">
        <v>1</v>
      </c>
      <c r="D7555" s="440">
        <v>1</v>
      </c>
      <c r="E7555" s="441">
        <v>2</v>
      </c>
      <c r="F7555" s="1363">
        <v>4.2</v>
      </c>
      <c r="G7555" s="1363"/>
      <c r="H7555" s="1363">
        <v>0.2</v>
      </c>
      <c r="I7555" s="1129">
        <f t="shared" si="273"/>
        <v>1.68</v>
      </c>
      <c r="J7555" s="471"/>
      <c r="K7555" s="1263" t="s">
        <v>2167</v>
      </c>
      <c r="L7555" s="461"/>
      <c r="M7555" s="461"/>
      <c r="N7555" s="461"/>
    </row>
    <row r="7556" spans="1:14" s="462" customFormat="1" hidden="1" outlineLevel="1">
      <c r="A7556" s="1261"/>
      <c r="B7556" s="260"/>
      <c r="C7556" s="457"/>
      <c r="D7556" s="440"/>
      <c r="E7556" s="441"/>
      <c r="F7556" s="1363"/>
      <c r="G7556" s="1363"/>
      <c r="H7556" s="1363"/>
      <c r="I7556" s="1129" t="str">
        <f t="shared" si="273"/>
        <v/>
      </c>
      <c r="J7556" s="471"/>
      <c r="K7556" s="1263" t="s">
        <v>2167</v>
      </c>
      <c r="L7556" s="461"/>
      <c r="M7556" s="461"/>
      <c r="N7556" s="461"/>
    </row>
    <row r="7557" spans="1:14" s="462" customFormat="1" hidden="1" outlineLevel="1">
      <c r="A7557" s="1261"/>
      <c r="B7557" s="260"/>
      <c r="C7557" s="457" t="s">
        <v>1</v>
      </c>
      <c r="D7557" s="440">
        <v>1</v>
      </c>
      <c r="E7557" s="441">
        <v>2</v>
      </c>
      <c r="F7557" s="1363">
        <v>2.8</v>
      </c>
      <c r="G7557" s="1363"/>
      <c r="H7557" s="1363">
        <v>0.2</v>
      </c>
      <c r="I7557" s="1129">
        <f t="shared" si="273"/>
        <v>1.1200000000000001</v>
      </c>
      <c r="J7557" s="471"/>
      <c r="K7557" s="1263" t="s">
        <v>2167</v>
      </c>
      <c r="L7557" s="461"/>
      <c r="M7557" s="461"/>
      <c r="N7557" s="461"/>
    </row>
    <row r="7558" spans="1:14" s="462" customFormat="1" hidden="1" outlineLevel="1">
      <c r="A7558" s="1261"/>
      <c r="B7558" s="260"/>
      <c r="C7558" s="457"/>
      <c r="D7558" s="440"/>
      <c r="E7558" s="441"/>
      <c r="F7558" s="1363"/>
      <c r="G7558" s="1363"/>
      <c r="H7558" s="1363"/>
      <c r="I7558" s="1129" t="str">
        <f t="shared" si="273"/>
        <v/>
      </c>
      <c r="J7558" s="471"/>
      <c r="K7558" s="1263" t="s">
        <v>2167</v>
      </c>
      <c r="L7558" s="461"/>
      <c r="M7558" s="461"/>
      <c r="N7558" s="461"/>
    </row>
    <row r="7559" spans="1:14" s="462" customFormat="1" hidden="1" outlineLevel="1">
      <c r="A7559" s="1261"/>
      <c r="B7559" s="260" t="s">
        <v>188</v>
      </c>
      <c r="C7559" s="457" t="s">
        <v>1</v>
      </c>
      <c r="D7559" s="440">
        <v>1</v>
      </c>
      <c r="E7559" s="441">
        <v>2</v>
      </c>
      <c r="F7559" s="1363">
        <v>1.8</v>
      </c>
      <c r="G7559" s="1363"/>
      <c r="H7559" s="1363">
        <v>0.2</v>
      </c>
      <c r="I7559" s="1129">
        <f t="shared" si="273"/>
        <v>0.72</v>
      </c>
      <c r="J7559" s="471"/>
      <c r="K7559" s="1263" t="s">
        <v>2167</v>
      </c>
      <c r="L7559" s="461"/>
      <c r="M7559" s="461"/>
      <c r="N7559" s="461"/>
    </row>
    <row r="7560" spans="1:14" s="462" customFormat="1" hidden="1" outlineLevel="1">
      <c r="A7560" s="1261"/>
      <c r="B7560" s="260"/>
      <c r="C7560" s="457"/>
      <c r="D7560" s="440"/>
      <c r="E7560" s="441"/>
      <c r="F7560" s="1363"/>
      <c r="G7560" s="1363"/>
      <c r="H7560" s="1363"/>
      <c r="I7560" s="1129" t="str">
        <f t="shared" si="273"/>
        <v/>
      </c>
      <c r="J7560" s="471"/>
      <c r="K7560" s="1263" t="s">
        <v>2167</v>
      </c>
      <c r="L7560" s="461"/>
      <c r="M7560" s="461"/>
      <c r="N7560" s="461"/>
    </row>
    <row r="7561" spans="1:14" s="462" customFormat="1" hidden="1" outlineLevel="1">
      <c r="A7561" s="1261"/>
      <c r="B7561" s="260"/>
      <c r="C7561" s="457" t="s">
        <v>1</v>
      </c>
      <c r="D7561" s="440">
        <v>1</v>
      </c>
      <c r="E7561" s="441">
        <v>2</v>
      </c>
      <c r="F7561" s="1363">
        <v>6.2</v>
      </c>
      <c r="G7561" s="1363"/>
      <c r="H7561" s="1363">
        <v>0.2</v>
      </c>
      <c r="I7561" s="1129">
        <f t="shared" si="273"/>
        <v>2.48</v>
      </c>
      <c r="J7561" s="471"/>
      <c r="K7561" s="1263" t="s">
        <v>2167</v>
      </c>
      <c r="L7561" s="461"/>
      <c r="M7561" s="461"/>
      <c r="N7561" s="461"/>
    </row>
    <row r="7562" spans="1:14" s="462" customFormat="1" hidden="1" outlineLevel="1">
      <c r="A7562" s="1261"/>
      <c r="B7562" s="260" t="s">
        <v>542</v>
      </c>
      <c r="C7562" s="457" t="s">
        <v>1</v>
      </c>
      <c r="D7562" s="440">
        <v>1</v>
      </c>
      <c r="E7562" s="441">
        <v>2</v>
      </c>
      <c r="F7562" s="1363">
        <v>3</v>
      </c>
      <c r="G7562" s="1363"/>
      <c r="H7562" s="1363">
        <v>0.27500000000000002</v>
      </c>
      <c r="I7562" s="1165">
        <f t="shared" si="273"/>
        <v>1.65</v>
      </c>
      <c r="J7562" s="471"/>
      <c r="K7562" s="1263" t="s">
        <v>2168</v>
      </c>
      <c r="L7562" s="461"/>
      <c r="M7562" s="461"/>
      <c r="N7562" s="461"/>
    </row>
    <row r="7563" spans="1:14" s="462" customFormat="1" hidden="1" outlineLevel="1">
      <c r="A7563" s="1261"/>
      <c r="B7563" s="260"/>
      <c r="C7563" s="457"/>
      <c r="D7563" s="440"/>
      <c r="E7563" s="441"/>
      <c r="F7563" s="1363"/>
      <c r="G7563" s="1363"/>
      <c r="H7563" s="1363"/>
      <c r="I7563" s="1163" t="str">
        <f t="shared" si="273"/>
        <v/>
      </c>
      <c r="J7563" s="471"/>
      <c r="K7563" s="1263"/>
      <c r="L7563" s="461"/>
      <c r="M7563" s="461"/>
      <c r="N7563" s="461"/>
    </row>
    <row r="7564" spans="1:14" s="462" customFormat="1" hidden="1" outlineLevel="1">
      <c r="A7564" s="1261"/>
      <c r="B7564" s="260"/>
      <c r="C7564" s="457" t="s">
        <v>1</v>
      </c>
      <c r="D7564" s="440">
        <v>1</v>
      </c>
      <c r="E7564" s="441">
        <v>2</v>
      </c>
      <c r="F7564" s="1363">
        <v>8</v>
      </c>
      <c r="G7564" s="1363"/>
      <c r="H7564" s="1363">
        <v>0.2</v>
      </c>
      <c r="I7564" s="1166">
        <f t="shared" si="273"/>
        <v>3.2</v>
      </c>
      <c r="J7564" s="471"/>
      <c r="K7564" s="1263" t="s">
        <v>2167</v>
      </c>
      <c r="L7564" s="461"/>
      <c r="M7564" s="461"/>
      <c r="N7564" s="461"/>
    </row>
    <row r="7565" spans="1:14" s="462" customFormat="1" hidden="1" outlineLevel="1">
      <c r="A7565" s="1261"/>
      <c r="B7565" s="260" t="s">
        <v>542</v>
      </c>
      <c r="C7565" s="457" t="s">
        <v>1</v>
      </c>
      <c r="D7565" s="440">
        <v>1</v>
      </c>
      <c r="E7565" s="441">
        <v>2</v>
      </c>
      <c r="F7565" s="1363">
        <v>3</v>
      </c>
      <c r="G7565" s="1363"/>
      <c r="H7565" s="1363">
        <v>0.27500000000000002</v>
      </c>
      <c r="I7565" s="1165">
        <f t="shared" si="273"/>
        <v>1.65</v>
      </c>
      <c r="J7565" s="471"/>
      <c r="K7565" s="1263" t="s">
        <v>2168</v>
      </c>
      <c r="L7565" s="461"/>
      <c r="M7565" s="461"/>
      <c r="N7565" s="461"/>
    </row>
    <row r="7566" spans="1:14" s="462" customFormat="1" hidden="1" outlineLevel="1">
      <c r="A7566" s="1261"/>
      <c r="B7566" s="260"/>
      <c r="C7566" s="457"/>
      <c r="D7566" s="440"/>
      <c r="E7566" s="441"/>
      <c r="F7566" s="1363"/>
      <c r="G7566" s="1363"/>
      <c r="H7566" s="1363"/>
      <c r="I7566" s="1165" t="str">
        <f t="shared" si="273"/>
        <v/>
      </c>
      <c r="J7566" s="471"/>
      <c r="K7566" s="1263" t="s">
        <v>2168</v>
      </c>
      <c r="L7566" s="461"/>
      <c r="M7566" s="461"/>
      <c r="N7566" s="461"/>
    </row>
    <row r="7567" spans="1:14" s="462" customFormat="1" hidden="1" outlineLevel="1">
      <c r="A7567" s="1261"/>
      <c r="B7567" s="260"/>
      <c r="C7567" s="457" t="s">
        <v>1</v>
      </c>
      <c r="D7567" s="440">
        <v>1</v>
      </c>
      <c r="E7567" s="441">
        <v>2</v>
      </c>
      <c r="F7567" s="1363">
        <v>1</v>
      </c>
      <c r="G7567" s="1363"/>
      <c r="H7567" s="1363">
        <v>0.2</v>
      </c>
      <c r="I7567" s="1165">
        <f t="shared" si="273"/>
        <v>0.4</v>
      </c>
      <c r="J7567" s="471"/>
      <c r="K7567" s="1263" t="s">
        <v>2168</v>
      </c>
      <c r="L7567" s="461"/>
      <c r="M7567" s="461"/>
      <c r="N7567" s="461"/>
    </row>
    <row r="7568" spans="1:14" s="462" customFormat="1" hidden="1" outlineLevel="1">
      <c r="A7568" s="1261"/>
      <c r="B7568" s="260"/>
      <c r="C7568" s="457"/>
      <c r="D7568" s="440"/>
      <c r="E7568" s="441"/>
      <c r="F7568" s="1363"/>
      <c r="G7568" s="1363"/>
      <c r="H7568" s="1363"/>
      <c r="I7568" s="1165" t="str">
        <f t="shared" si="273"/>
        <v/>
      </c>
      <c r="J7568" s="471"/>
      <c r="K7568" s="1263" t="s">
        <v>2168</v>
      </c>
      <c r="L7568" s="461"/>
      <c r="M7568" s="461"/>
      <c r="N7568" s="461"/>
    </row>
    <row r="7569" spans="1:14" s="462" customFormat="1" hidden="1" outlineLevel="1">
      <c r="A7569" s="1261"/>
      <c r="B7569" s="260"/>
      <c r="C7569" s="457" t="s">
        <v>1</v>
      </c>
      <c r="D7569" s="440">
        <v>1</v>
      </c>
      <c r="E7569" s="441">
        <v>2</v>
      </c>
      <c r="F7569" s="1363">
        <v>6</v>
      </c>
      <c r="G7569" s="1363"/>
      <c r="H7569" s="1363">
        <v>0.2</v>
      </c>
      <c r="I7569" s="1165">
        <f t="shared" si="273"/>
        <v>2.4</v>
      </c>
      <c r="J7569" s="471"/>
      <c r="K7569" s="1263" t="s">
        <v>2168</v>
      </c>
      <c r="L7569" s="461"/>
      <c r="M7569" s="461"/>
      <c r="N7569" s="461"/>
    </row>
    <row r="7570" spans="1:14" s="462" customFormat="1" hidden="1" outlineLevel="1">
      <c r="A7570" s="1261"/>
      <c r="B7570" s="260"/>
      <c r="C7570" s="457"/>
      <c r="D7570" s="440"/>
      <c r="E7570" s="441"/>
      <c r="F7570" s="1363"/>
      <c r="G7570" s="1363"/>
      <c r="H7570" s="1363"/>
      <c r="I7570" s="1165" t="str">
        <f t="shared" si="273"/>
        <v/>
      </c>
      <c r="J7570" s="471"/>
      <c r="K7570" s="1263" t="s">
        <v>2168</v>
      </c>
      <c r="L7570" s="461"/>
      <c r="M7570" s="461"/>
      <c r="N7570" s="461"/>
    </row>
    <row r="7571" spans="1:14" s="462" customFormat="1" hidden="1" outlineLevel="1">
      <c r="A7571" s="1261"/>
      <c r="B7571" s="260"/>
      <c r="C7571" s="457" t="s">
        <v>1</v>
      </c>
      <c r="D7571" s="440">
        <v>1</v>
      </c>
      <c r="E7571" s="441">
        <v>2</v>
      </c>
      <c r="F7571" s="1363">
        <v>2.8</v>
      </c>
      <c r="G7571" s="1363"/>
      <c r="H7571" s="1363">
        <v>0.2</v>
      </c>
      <c r="I7571" s="1165">
        <f t="shared" si="273"/>
        <v>1.1200000000000001</v>
      </c>
      <c r="J7571" s="471"/>
      <c r="K7571" s="1263" t="s">
        <v>2168</v>
      </c>
      <c r="L7571" s="461"/>
      <c r="M7571" s="461"/>
      <c r="N7571" s="461"/>
    </row>
    <row r="7572" spans="1:14" s="462" customFormat="1" hidden="1" outlineLevel="1">
      <c r="A7572" s="1261"/>
      <c r="B7572" s="260"/>
      <c r="C7572" s="457"/>
      <c r="D7572" s="440"/>
      <c r="E7572" s="441"/>
      <c r="F7572" s="1363"/>
      <c r="G7572" s="1363"/>
      <c r="H7572" s="1363"/>
      <c r="I7572" s="1165" t="str">
        <f t="shared" si="273"/>
        <v/>
      </c>
      <c r="J7572" s="471"/>
      <c r="K7572" s="1263" t="s">
        <v>2168</v>
      </c>
      <c r="L7572" s="461"/>
      <c r="M7572" s="461"/>
      <c r="N7572" s="461"/>
    </row>
    <row r="7573" spans="1:14" s="462" customFormat="1" hidden="1" outlineLevel="1">
      <c r="A7573" s="1261"/>
      <c r="B7573" s="260"/>
      <c r="C7573" s="457" t="s">
        <v>1</v>
      </c>
      <c r="D7573" s="440">
        <v>1</v>
      </c>
      <c r="E7573" s="441">
        <v>2</v>
      </c>
      <c r="F7573" s="1363">
        <v>4.2</v>
      </c>
      <c r="G7573" s="1363"/>
      <c r="H7573" s="1363">
        <v>0.2</v>
      </c>
      <c r="I7573" s="1165">
        <f t="shared" si="273"/>
        <v>1.68</v>
      </c>
      <c r="J7573" s="471"/>
      <c r="K7573" s="1263" t="s">
        <v>2168</v>
      </c>
      <c r="L7573" s="461"/>
      <c r="M7573" s="461"/>
      <c r="N7573" s="461"/>
    </row>
    <row r="7574" spans="1:14" s="462" customFormat="1" hidden="1" outlineLevel="1">
      <c r="A7574" s="1261"/>
      <c r="B7574" s="260" t="s">
        <v>543</v>
      </c>
      <c r="C7574" s="457" t="s">
        <v>1</v>
      </c>
      <c r="D7574" s="440">
        <v>1</v>
      </c>
      <c r="E7574" s="441">
        <v>2</v>
      </c>
      <c r="F7574" s="1363">
        <v>3</v>
      </c>
      <c r="G7574" s="1363"/>
      <c r="H7574" s="1363">
        <v>0.27500000000000002</v>
      </c>
      <c r="I7574" s="1165">
        <f t="shared" si="273"/>
        <v>1.65</v>
      </c>
      <c r="J7574" s="471"/>
      <c r="K7574" s="1263" t="s">
        <v>2168</v>
      </c>
      <c r="L7574" s="461"/>
      <c r="M7574" s="461"/>
      <c r="N7574" s="461"/>
    </row>
    <row r="7575" spans="1:14" s="462" customFormat="1" hidden="1" outlineLevel="1">
      <c r="A7575" s="1261"/>
      <c r="B7575" s="260"/>
      <c r="C7575" s="457"/>
      <c r="D7575" s="440"/>
      <c r="E7575" s="441"/>
      <c r="F7575" s="1363"/>
      <c r="G7575" s="1363"/>
      <c r="H7575" s="1363"/>
      <c r="I7575" s="1165" t="str">
        <f t="shared" si="273"/>
        <v/>
      </c>
      <c r="J7575" s="471"/>
      <c r="K7575" s="1263" t="s">
        <v>2168</v>
      </c>
      <c r="L7575" s="461"/>
      <c r="M7575" s="461"/>
      <c r="N7575" s="461"/>
    </row>
    <row r="7576" spans="1:14" s="462" customFormat="1" hidden="1" outlineLevel="1">
      <c r="A7576" s="1261"/>
      <c r="B7576" s="260"/>
      <c r="C7576" s="457" t="s">
        <v>1</v>
      </c>
      <c r="D7576" s="440">
        <v>1</v>
      </c>
      <c r="E7576" s="441">
        <v>2</v>
      </c>
      <c r="F7576" s="1363">
        <v>1.8</v>
      </c>
      <c r="G7576" s="1363"/>
      <c r="H7576" s="1363">
        <v>0.2</v>
      </c>
      <c r="I7576" s="1165">
        <f t="shared" si="273"/>
        <v>0.72</v>
      </c>
      <c r="J7576" s="471"/>
      <c r="K7576" s="1263" t="s">
        <v>2168</v>
      </c>
      <c r="L7576" s="461"/>
      <c r="M7576" s="461"/>
      <c r="N7576" s="461"/>
    </row>
    <row r="7577" spans="1:14" s="462" customFormat="1" hidden="1" outlineLevel="1">
      <c r="A7577" s="1261"/>
      <c r="B7577" s="260"/>
      <c r="C7577" s="457"/>
      <c r="D7577" s="440"/>
      <c r="E7577" s="441"/>
      <c r="F7577" s="1363"/>
      <c r="G7577" s="1363"/>
      <c r="H7577" s="1363"/>
      <c r="I7577" s="1165" t="str">
        <f t="shared" si="273"/>
        <v/>
      </c>
      <c r="J7577" s="471"/>
      <c r="K7577" s="1263" t="s">
        <v>2168</v>
      </c>
      <c r="L7577" s="461"/>
      <c r="M7577" s="461"/>
      <c r="N7577" s="461"/>
    </row>
    <row r="7578" spans="1:14" s="462" customFormat="1" hidden="1" outlineLevel="1">
      <c r="A7578" s="1261"/>
      <c r="B7578" s="260"/>
      <c r="C7578" s="457" t="s">
        <v>1</v>
      </c>
      <c r="D7578" s="440">
        <v>1</v>
      </c>
      <c r="E7578" s="441">
        <v>2</v>
      </c>
      <c r="F7578" s="1363">
        <v>2.7</v>
      </c>
      <c r="G7578" s="1363"/>
      <c r="H7578" s="1363">
        <v>0.2</v>
      </c>
      <c r="I7578" s="1165">
        <f t="shared" si="273"/>
        <v>1.08</v>
      </c>
      <c r="J7578" s="471"/>
      <c r="K7578" s="1263" t="s">
        <v>2168</v>
      </c>
      <c r="L7578" s="461"/>
      <c r="M7578" s="461"/>
      <c r="N7578" s="461"/>
    </row>
    <row r="7579" spans="1:14" s="462" customFormat="1" hidden="1" outlineLevel="1">
      <c r="A7579" s="1261"/>
      <c r="B7579" s="260"/>
      <c r="C7579" s="457"/>
      <c r="D7579" s="440"/>
      <c r="E7579" s="441"/>
      <c r="F7579" s="1363"/>
      <c r="G7579" s="1363"/>
      <c r="H7579" s="1363"/>
      <c r="I7579" s="1165" t="str">
        <f t="shared" si="273"/>
        <v/>
      </c>
      <c r="J7579" s="471"/>
      <c r="K7579" s="1263" t="s">
        <v>2168</v>
      </c>
      <c r="L7579" s="461"/>
      <c r="M7579" s="461"/>
      <c r="N7579" s="461"/>
    </row>
    <row r="7580" spans="1:14" s="462" customFormat="1" hidden="1" outlineLevel="1">
      <c r="A7580" s="1261"/>
      <c r="B7580" s="260"/>
      <c r="C7580" s="457" t="s">
        <v>1</v>
      </c>
      <c r="D7580" s="440">
        <v>1</v>
      </c>
      <c r="E7580" s="441">
        <v>2</v>
      </c>
      <c r="F7580" s="1363">
        <v>4.5</v>
      </c>
      <c r="G7580" s="1363"/>
      <c r="H7580" s="1363">
        <v>0.2</v>
      </c>
      <c r="I7580" s="1165">
        <f t="shared" si="273"/>
        <v>1.8</v>
      </c>
      <c r="J7580" s="471"/>
      <c r="K7580" s="1263" t="s">
        <v>2168</v>
      </c>
      <c r="L7580" s="461"/>
      <c r="M7580" s="461"/>
      <c r="N7580" s="461"/>
    </row>
    <row r="7581" spans="1:14" s="462" customFormat="1" hidden="1" outlineLevel="1">
      <c r="A7581" s="1261"/>
      <c r="B7581" s="260" t="s">
        <v>543</v>
      </c>
      <c r="C7581" s="457" t="s">
        <v>1</v>
      </c>
      <c r="D7581" s="440">
        <v>1</v>
      </c>
      <c r="E7581" s="441">
        <v>2</v>
      </c>
      <c r="F7581" s="1363">
        <v>3</v>
      </c>
      <c r="G7581" s="1363"/>
      <c r="H7581" s="1363">
        <v>0.27500000000000002</v>
      </c>
      <c r="I7581" s="1165">
        <f t="shared" si="273"/>
        <v>1.65</v>
      </c>
      <c r="J7581" s="471"/>
      <c r="K7581" s="1263" t="s">
        <v>2168</v>
      </c>
      <c r="L7581" s="461"/>
      <c r="M7581" s="461"/>
      <c r="N7581" s="461"/>
    </row>
    <row r="7582" spans="1:14" s="462" customFormat="1" hidden="1" outlineLevel="1">
      <c r="A7582" s="1261"/>
      <c r="B7582" s="260"/>
      <c r="C7582" s="457"/>
      <c r="D7582" s="440"/>
      <c r="E7582" s="441"/>
      <c r="F7582" s="1363"/>
      <c r="G7582" s="1363"/>
      <c r="H7582" s="1363"/>
      <c r="I7582" s="1165" t="str">
        <f t="shared" si="273"/>
        <v/>
      </c>
      <c r="J7582" s="471"/>
      <c r="K7582" s="1263" t="s">
        <v>2168</v>
      </c>
      <c r="L7582" s="461"/>
      <c r="M7582" s="461"/>
      <c r="N7582" s="461"/>
    </row>
    <row r="7583" spans="1:14" s="462" customFormat="1" hidden="1" outlineLevel="1">
      <c r="A7583" s="1261"/>
      <c r="B7583" s="260"/>
      <c r="C7583" s="457" t="s">
        <v>1</v>
      </c>
      <c r="D7583" s="440">
        <v>1</v>
      </c>
      <c r="E7583" s="441">
        <v>2</v>
      </c>
      <c r="F7583" s="1363">
        <v>1.2</v>
      </c>
      <c r="G7583" s="1363"/>
      <c r="H7583" s="1363">
        <v>0.2</v>
      </c>
      <c r="I7583" s="1165">
        <f t="shared" si="273"/>
        <v>0.48</v>
      </c>
      <c r="J7583" s="471"/>
      <c r="K7583" s="1263" t="s">
        <v>2168</v>
      </c>
      <c r="L7583" s="461"/>
      <c r="M7583" s="461"/>
      <c r="N7583" s="461"/>
    </row>
    <row r="7584" spans="1:14" s="462" customFormat="1" hidden="1" outlineLevel="1">
      <c r="A7584" s="1261"/>
      <c r="B7584" s="260"/>
      <c r="C7584" s="457"/>
      <c r="D7584" s="440"/>
      <c r="E7584" s="441"/>
      <c r="F7584" s="1363"/>
      <c r="G7584" s="1363"/>
      <c r="H7584" s="1363"/>
      <c r="I7584" s="1163" t="str">
        <f t="shared" si="273"/>
        <v/>
      </c>
      <c r="J7584" s="471"/>
      <c r="K7584" s="1263"/>
      <c r="L7584" s="461"/>
      <c r="M7584" s="461"/>
      <c r="N7584" s="461"/>
    </row>
    <row r="7585" spans="1:14" s="462" customFormat="1" hidden="1" outlineLevel="1">
      <c r="A7585" s="1261"/>
      <c r="B7585" s="260" t="s">
        <v>190</v>
      </c>
      <c r="C7585" s="457" t="s">
        <v>1</v>
      </c>
      <c r="D7585" s="440">
        <v>1</v>
      </c>
      <c r="E7585" s="441">
        <v>2</v>
      </c>
      <c r="F7585" s="1363">
        <v>7.5</v>
      </c>
      <c r="G7585" s="1363"/>
      <c r="H7585" s="1363">
        <v>0.2</v>
      </c>
      <c r="I7585" s="1129">
        <f t="shared" ref="I7585:I7648" si="274">IF(D7585&lt;&gt;0,ROUND(PRODUCT(E7585:H7585)*D7585,2),"")</f>
        <v>3</v>
      </c>
      <c r="J7585" s="471"/>
      <c r="K7585" s="1263" t="s">
        <v>2167</v>
      </c>
      <c r="L7585" s="461"/>
      <c r="M7585" s="461"/>
      <c r="N7585" s="461"/>
    </row>
    <row r="7586" spans="1:14" s="462" customFormat="1" hidden="1" outlineLevel="1">
      <c r="A7586" s="1261"/>
      <c r="B7586" s="260"/>
      <c r="C7586" s="457"/>
      <c r="D7586" s="440"/>
      <c r="E7586" s="441"/>
      <c r="F7586" s="1363"/>
      <c r="G7586" s="1363"/>
      <c r="H7586" s="1363"/>
      <c r="I7586" s="1129" t="str">
        <f t="shared" si="274"/>
        <v/>
      </c>
      <c r="J7586" s="471"/>
      <c r="K7586" s="1263" t="s">
        <v>2167</v>
      </c>
      <c r="L7586" s="461"/>
      <c r="M7586" s="461"/>
      <c r="N7586" s="461"/>
    </row>
    <row r="7587" spans="1:14" s="462" customFormat="1" hidden="1" outlineLevel="1">
      <c r="A7587" s="1261"/>
      <c r="B7587" s="260" t="s">
        <v>191</v>
      </c>
      <c r="C7587" s="457" t="s">
        <v>1</v>
      </c>
      <c r="D7587" s="440">
        <v>8</v>
      </c>
      <c r="E7587" s="441">
        <v>2</v>
      </c>
      <c r="F7587" s="1363">
        <v>0.61499999999999999</v>
      </c>
      <c r="G7587" s="1363"/>
      <c r="H7587" s="1363">
        <v>0.2</v>
      </c>
      <c r="I7587" s="1129">
        <f t="shared" si="274"/>
        <v>1.97</v>
      </c>
      <c r="J7587" s="471"/>
      <c r="K7587" s="1263" t="s">
        <v>2167</v>
      </c>
      <c r="L7587" s="461"/>
      <c r="M7587" s="461"/>
      <c r="N7587" s="461"/>
    </row>
    <row r="7588" spans="1:14" s="462" customFormat="1" hidden="1" outlineLevel="1">
      <c r="A7588" s="1261"/>
      <c r="B7588" s="260"/>
      <c r="C7588" s="457"/>
      <c r="D7588" s="440"/>
      <c r="E7588" s="441"/>
      <c r="F7588" s="1363"/>
      <c r="G7588" s="1363"/>
      <c r="H7588" s="1363"/>
      <c r="I7588" s="1129" t="str">
        <f t="shared" si="274"/>
        <v/>
      </c>
      <c r="J7588" s="471"/>
      <c r="K7588" s="1263" t="s">
        <v>2167</v>
      </c>
      <c r="L7588" s="461"/>
      <c r="M7588" s="461"/>
      <c r="N7588" s="461"/>
    </row>
    <row r="7589" spans="1:14" s="462" customFormat="1" hidden="1" outlineLevel="1">
      <c r="A7589" s="1261"/>
      <c r="B7589" s="260"/>
      <c r="C7589" s="457" t="s">
        <v>1</v>
      </c>
      <c r="D7589" s="440">
        <v>1</v>
      </c>
      <c r="E7589" s="441">
        <v>2</v>
      </c>
      <c r="F7589" s="1364">
        <v>2.2050000000000001</v>
      </c>
      <c r="G7589" s="1363"/>
      <c r="H7589" s="1363">
        <v>0.2</v>
      </c>
      <c r="I7589" s="1129">
        <f t="shared" si="274"/>
        <v>0.88</v>
      </c>
      <c r="J7589" s="471"/>
      <c r="K7589" s="1263" t="s">
        <v>2167</v>
      </c>
      <c r="L7589" s="461"/>
      <c r="M7589" s="461"/>
      <c r="N7589" s="461"/>
    </row>
    <row r="7590" spans="1:14" s="462" customFormat="1" hidden="1" outlineLevel="1">
      <c r="A7590" s="1261"/>
      <c r="B7590" s="260"/>
      <c r="C7590" s="457"/>
      <c r="D7590" s="440"/>
      <c r="E7590" s="441"/>
      <c r="F7590" s="1363"/>
      <c r="G7590" s="1363"/>
      <c r="H7590" s="1363"/>
      <c r="I7590" s="1129" t="str">
        <f t="shared" si="274"/>
        <v/>
      </c>
      <c r="J7590" s="471"/>
      <c r="K7590" s="1263" t="s">
        <v>2167</v>
      </c>
      <c r="L7590" s="461"/>
      <c r="M7590" s="461"/>
      <c r="N7590" s="461"/>
    </row>
    <row r="7591" spans="1:14" s="462" customFormat="1" hidden="1" outlineLevel="1">
      <c r="A7591" s="1261"/>
      <c r="B7591" s="260"/>
      <c r="C7591" s="457" t="s">
        <v>1</v>
      </c>
      <c r="D7591" s="440">
        <v>1</v>
      </c>
      <c r="E7591" s="441">
        <v>2</v>
      </c>
      <c r="F7591" s="1363">
        <v>2.7450000000000001</v>
      </c>
      <c r="G7591" s="1363"/>
      <c r="H7591" s="1363">
        <v>0.2</v>
      </c>
      <c r="I7591" s="1129">
        <f t="shared" si="274"/>
        <v>1.1000000000000001</v>
      </c>
      <c r="J7591" s="471"/>
      <c r="K7591" s="1263" t="s">
        <v>2167</v>
      </c>
      <c r="L7591" s="461"/>
      <c r="M7591" s="461"/>
      <c r="N7591" s="461"/>
    </row>
    <row r="7592" spans="1:14" s="462" customFormat="1" hidden="1" outlineLevel="1">
      <c r="A7592" s="1261"/>
      <c r="B7592" s="260"/>
      <c r="C7592" s="457"/>
      <c r="D7592" s="440"/>
      <c r="E7592" s="441"/>
      <c r="F7592" s="1363"/>
      <c r="G7592" s="1363"/>
      <c r="H7592" s="1363"/>
      <c r="I7592" s="1129" t="str">
        <f t="shared" si="274"/>
        <v/>
      </c>
      <c r="J7592" s="471"/>
      <c r="K7592" s="1263" t="s">
        <v>2167</v>
      </c>
      <c r="L7592" s="461"/>
      <c r="M7592" s="461"/>
      <c r="N7592" s="461"/>
    </row>
    <row r="7593" spans="1:14" s="462" customFormat="1" hidden="1" outlineLevel="1">
      <c r="A7593" s="1261"/>
      <c r="B7593" s="260"/>
      <c r="C7593" s="457" t="s">
        <v>1</v>
      </c>
      <c r="D7593" s="440">
        <v>1</v>
      </c>
      <c r="E7593" s="441">
        <v>2</v>
      </c>
      <c r="F7593" s="1364">
        <v>1.9</v>
      </c>
      <c r="G7593" s="1363"/>
      <c r="H7593" s="1363">
        <v>0.2</v>
      </c>
      <c r="I7593" s="1129">
        <f t="shared" si="274"/>
        <v>0.76</v>
      </c>
      <c r="J7593" s="471"/>
      <c r="K7593" s="1263" t="s">
        <v>2167</v>
      </c>
      <c r="L7593" s="461"/>
      <c r="M7593" s="461"/>
      <c r="N7593" s="461"/>
    </row>
    <row r="7594" spans="1:14" s="462" customFormat="1" hidden="1" outlineLevel="1">
      <c r="A7594" s="1261"/>
      <c r="B7594" s="260"/>
      <c r="C7594" s="457"/>
      <c r="D7594" s="440"/>
      <c r="E7594" s="441"/>
      <c r="F7594" s="1363"/>
      <c r="G7594" s="1363"/>
      <c r="H7594" s="1363"/>
      <c r="I7594" s="1129" t="str">
        <f t="shared" si="274"/>
        <v/>
      </c>
      <c r="J7594" s="471"/>
      <c r="K7594" s="1263" t="s">
        <v>2167</v>
      </c>
      <c r="L7594" s="461"/>
      <c r="M7594" s="461"/>
      <c r="N7594" s="461"/>
    </row>
    <row r="7595" spans="1:14" s="462" customFormat="1" hidden="1" outlineLevel="1">
      <c r="A7595" s="1261"/>
      <c r="B7595" s="260"/>
      <c r="C7595" s="457" t="s">
        <v>1</v>
      </c>
      <c r="D7595" s="440">
        <v>2</v>
      </c>
      <c r="E7595" s="441">
        <v>2</v>
      </c>
      <c r="F7595" s="1364">
        <v>1.9</v>
      </c>
      <c r="G7595" s="1363"/>
      <c r="H7595" s="1363">
        <v>0.2</v>
      </c>
      <c r="I7595" s="1129">
        <f t="shared" si="274"/>
        <v>1.52</v>
      </c>
      <c r="J7595" s="471"/>
      <c r="K7595" s="1263" t="s">
        <v>2167</v>
      </c>
      <c r="L7595" s="461"/>
      <c r="M7595" s="461"/>
      <c r="N7595" s="461"/>
    </row>
    <row r="7596" spans="1:14" s="462" customFormat="1" hidden="1" outlineLevel="1">
      <c r="A7596" s="1261"/>
      <c r="B7596" s="260"/>
      <c r="C7596" s="457"/>
      <c r="D7596" s="440"/>
      <c r="E7596" s="441"/>
      <c r="F7596" s="1363"/>
      <c r="G7596" s="1363"/>
      <c r="H7596" s="1363"/>
      <c r="I7596" s="1129" t="str">
        <f t="shared" si="274"/>
        <v/>
      </c>
      <c r="J7596" s="471"/>
      <c r="K7596" s="1263" t="s">
        <v>2167</v>
      </c>
      <c r="L7596" s="461"/>
      <c r="M7596" s="461"/>
      <c r="N7596" s="461"/>
    </row>
    <row r="7597" spans="1:14" s="462" customFormat="1" hidden="1" outlineLevel="1">
      <c r="A7597" s="1261"/>
      <c r="B7597" s="260"/>
      <c r="C7597" s="457" t="s">
        <v>1</v>
      </c>
      <c r="D7597" s="440">
        <v>1</v>
      </c>
      <c r="E7597" s="441">
        <v>2</v>
      </c>
      <c r="F7597" s="1363">
        <v>2.7450000000000001</v>
      </c>
      <c r="G7597" s="1363"/>
      <c r="H7597" s="1363">
        <v>0.2</v>
      </c>
      <c r="I7597" s="1129">
        <f t="shared" si="274"/>
        <v>1.1000000000000001</v>
      </c>
      <c r="J7597" s="471"/>
      <c r="K7597" s="1263" t="s">
        <v>2167</v>
      </c>
      <c r="L7597" s="461"/>
      <c r="M7597" s="461"/>
      <c r="N7597" s="461"/>
    </row>
    <row r="7598" spans="1:14" s="462" customFormat="1" hidden="1" outlineLevel="1">
      <c r="A7598" s="1261"/>
      <c r="B7598" s="260"/>
      <c r="C7598" s="457"/>
      <c r="D7598" s="440"/>
      <c r="E7598" s="441"/>
      <c r="F7598" s="1363"/>
      <c r="G7598" s="1363"/>
      <c r="H7598" s="1363"/>
      <c r="I7598" s="1129" t="str">
        <f t="shared" si="274"/>
        <v/>
      </c>
      <c r="J7598" s="471"/>
      <c r="K7598" s="1263" t="s">
        <v>2167</v>
      </c>
      <c r="L7598" s="461"/>
      <c r="M7598" s="461"/>
      <c r="N7598" s="461"/>
    </row>
    <row r="7599" spans="1:14" s="462" customFormat="1" hidden="1" outlineLevel="1">
      <c r="A7599" s="1261"/>
      <c r="B7599" s="260"/>
      <c r="C7599" s="457" t="s">
        <v>1</v>
      </c>
      <c r="D7599" s="440">
        <v>1</v>
      </c>
      <c r="E7599" s="441">
        <v>2</v>
      </c>
      <c r="F7599" s="1364">
        <v>1.9</v>
      </c>
      <c r="G7599" s="1363"/>
      <c r="H7599" s="1363">
        <v>0.2</v>
      </c>
      <c r="I7599" s="1129">
        <f t="shared" si="274"/>
        <v>0.76</v>
      </c>
      <c r="J7599" s="471"/>
      <c r="K7599" s="1263" t="s">
        <v>2167</v>
      </c>
      <c r="L7599" s="461"/>
      <c r="M7599" s="461"/>
      <c r="N7599" s="461"/>
    </row>
    <row r="7600" spans="1:14" s="462" customFormat="1" hidden="1" outlineLevel="1">
      <c r="A7600" s="1261"/>
      <c r="B7600" s="260"/>
      <c r="C7600" s="457"/>
      <c r="D7600" s="440"/>
      <c r="E7600" s="441"/>
      <c r="F7600" s="1363"/>
      <c r="G7600" s="1363"/>
      <c r="H7600" s="1363"/>
      <c r="I7600" s="1163" t="str">
        <f t="shared" si="274"/>
        <v/>
      </c>
      <c r="J7600" s="471"/>
      <c r="K7600" s="1263" t="s">
        <v>2167</v>
      </c>
      <c r="L7600" s="461"/>
      <c r="M7600" s="461"/>
      <c r="N7600" s="461"/>
    </row>
    <row r="7601" spans="1:14" s="462" customFormat="1" ht="34.5" hidden="1" outlineLevel="1">
      <c r="A7601" s="1261"/>
      <c r="B7601" s="260" t="s">
        <v>544</v>
      </c>
      <c r="C7601" s="457"/>
      <c r="D7601" s="440"/>
      <c r="E7601" s="441"/>
      <c r="F7601" s="1363"/>
      <c r="G7601" s="1363"/>
      <c r="H7601" s="1363"/>
      <c r="I7601" s="1163" t="str">
        <f t="shared" si="274"/>
        <v/>
      </c>
      <c r="J7601" s="471"/>
      <c r="K7601" s="1263" t="s">
        <v>2167</v>
      </c>
      <c r="L7601" s="461"/>
      <c r="M7601" s="461"/>
      <c r="N7601" s="461"/>
    </row>
    <row r="7602" spans="1:14" s="462" customFormat="1" hidden="1" outlineLevel="1">
      <c r="A7602" s="1261"/>
      <c r="B7602" s="260"/>
      <c r="C7602" s="457"/>
      <c r="D7602" s="440"/>
      <c r="E7602" s="441"/>
      <c r="F7602" s="1363"/>
      <c r="G7602" s="1363"/>
      <c r="H7602" s="1363"/>
      <c r="I7602" s="1163" t="str">
        <f t="shared" si="274"/>
        <v/>
      </c>
      <c r="J7602" s="471"/>
      <c r="K7602" s="1263" t="s">
        <v>2167</v>
      </c>
      <c r="L7602" s="461"/>
      <c r="M7602" s="461"/>
      <c r="N7602" s="461"/>
    </row>
    <row r="7603" spans="1:14" s="462" customFormat="1" hidden="1" outlineLevel="1">
      <c r="A7603" s="1261"/>
      <c r="B7603" s="260" t="s">
        <v>187</v>
      </c>
      <c r="C7603" s="457" t="s">
        <v>1</v>
      </c>
      <c r="D7603" s="440">
        <v>1</v>
      </c>
      <c r="E7603" s="441">
        <v>2</v>
      </c>
      <c r="F7603" s="1363">
        <v>8</v>
      </c>
      <c r="G7603" s="1363"/>
      <c r="H7603" s="1363">
        <v>0.2</v>
      </c>
      <c r="I7603" s="1129">
        <f t="shared" si="274"/>
        <v>3.2</v>
      </c>
      <c r="J7603" s="471"/>
      <c r="K7603" s="1263" t="s">
        <v>2167</v>
      </c>
      <c r="L7603" s="461"/>
      <c r="M7603" s="461"/>
      <c r="N7603" s="461"/>
    </row>
    <row r="7604" spans="1:14" s="462" customFormat="1" hidden="1" outlineLevel="1">
      <c r="A7604" s="1261"/>
      <c r="B7604" s="260"/>
      <c r="C7604" s="457"/>
      <c r="D7604" s="440"/>
      <c r="E7604" s="441"/>
      <c r="F7604" s="1363"/>
      <c r="G7604" s="1363"/>
      <c r="H7604" s="1363"/>
      <c r="I7604" s="1129" t="str">
        <f t="shared" si="274"/>
        <v/>
      </c>
      <c r="J7604" s="471"/>
      <c r="K7604" s="1263" t="s">
        <v>2167</v>
      </c>
      <c r="L7604" s="461"/>
      <c r="M7604" s="461"/>
      <c r="N7604" s="461"/>
    </row>
    <row r="7605" spans="1:14" s="462" customFormat="1" hidden="1" outlineLevel="1">
      <c r="A7605" s="1261"/>
      <c r="B7605" s="260"/>
      <c r="C7605" s="457" t="s">
        <v>1</v>
      </c>
      <c r="D7605" s="440">
        <v>1</v>
      </c>
      <c r="E7605" s="441">
        <v>2</v>
      </c>
      <c r="F7605" s="1363">
        <v>6.2</v>
      </c>
      <c r="G7605" s="1363"/>
      <c r="H7605" s="1363">
        <v>0.2</v>
      </c>
      <c r="I7605" s="1129">
        <f t="shared" si="274"/>
        <v>2.48</v>
      </c>
      <c r="J7605" s="471"/>
      <c r="K7605" s="1263" t="s">
        <v>2167</v>
      </c>
      <c r="L7605" s="461"/>
      <c r="M7605" s="461"/>
      <c r="N7605" s="461"/>
    </row>
    <row r="7606" spans="1:14" s="462" customFormat="1" hidden="1" outlineLevel="1">
      <c r="A7606" s="1261"/>
      <c r="B7606" s="260"/>
      <c r="C7606" s="457"/>
      <c r="D7606" s="440"/>
      <c r="E7606" s="441"/>
      <c r="F7606" s="1363"/>
      <c r="G7606" s="1363"/>
      <c r="H7606" s="1363"/>
      <c r="I7606" s="1129" t="str">
        <f t="shared" si="274"/>
        <v/>
      </c>
      <c r="J7606" s="471"/>
      <c r="K7606" s="1263" t="s">
        <v>2167</v>
      </c>
      <c r="L7606" s="461"/>
      <c r="M7606" s="461"/>
      <c r="N7606" s="461"/>
    </row>
    <row r="7607" spans="1:14" s="462" customFormat="1" hidden="1" outlineLevel="1">
      <c r="A7607" s="1261"/>
      <c r="B7607" s="260"/>
      <c r="C7607" s="457" t="s">
        <v>1</v>
      </c>
      <c r="D7607" s="440">
        <v>1</v>
      </c>
      <c r="E7607" s="441">
        <v>2</v>
      </c>
      <c r="F7607" s="1363">
        <v>4.4000000000000004</v>
      </c>
      <c r="G7607" s="1363"/>
      <c r="H7607" s="1363">
        <v>0.2</v>
      </c>
      <c r="I7607" s="1129">
        <f t="shared" si="274"/>
        <v>1.76</v>
      </c>
      <c r="J7607" s="471"/>
      <c r="K7607" s="1263" t="s">
        <v>2167</v>
      </c>
      <c r="L7607" s="461"/>
      <c r="M7607" s="461"/>
      <c r="N7607" s="461"/>
    </row>
    <row r="7608" spans="1:14" s="462" customFormat="1" hidden="1" outlineLevel="1">
      <c r="A7608" s="1261"/>
      <c r="B7608" s="260"/>
      <c r="C7608" s="457"/>
      <c r="D7608" s="440"/>
      <c r="E7608" s="441"/>
      <c r="F7608" s="1363"/>
      <c r="G7608" s="1363"/>
      <c r="H7608" s="1363"/>
      <c r="I7608" s="1129" t="str">
        <f t="shared" si="274"/>
        <v/>
      </c>
      <c r="J7608" s="471"/>
      <c r="K7608" s="1263" t="s">
        <v>2167</v>
      </c>
      <c r="L7608" s="461"/>
      <c r="M7608" s="461"/>
      <c r="N7608" s="461"/>
    </row>
    <row r="7609" spans="1:14" s="462" customFormat="1" hidden="1" outlineLevel="1">
      <c r="A7609" s="1261"/>
      <c r="B7609" s="260"/>
      <c r="C7609" s="457" t="s">
        <v>1</v>
      </c>
      <c r="D7609" s="440">
        <v>1</v>
      </c>
      <c r="E7609" s="441">
        <v>2</v>
      </c>
      <c r="F7609" s="1363">
        <v>1.2</v>
      </c>
      <c r="G7609" s="1363"/>
      <c r="H7609" s="1363">
        <v>0.2</v>
      </c>
      <c r="I7609" s="1129">
        <f t="shared" si="274"/>
        <v>0.48</v>
      </c>
      <c r="J7609" s="471"/>
      <c r="K7609" s="1263" t="s">
        <v>2167</v>
      </c>
      <c r="L7609" s="461"/>
      <c r="M7609" s="461"/>
      <c r="N7609" s="461"/>
    </row>
    <row r="7610" spans="1:14" s="462" customFormat="1" hidden="1" outlineLevel="1">
      <c r="A7610" s="1261"/>
      <c r="B7610" s="260"/>
      <c r="C7610" s="457"/>
      <c r="D7610" s="440"/>
      <c r="E7610" s="441"/>
      <c r="F7610" s="1363"/>
      <c r="G7610" s="1363"/>
      <c r="H7610" s="1363"/>
      <c r="I7610" s="1163" t="str">
        <f t="shared" si="274"/>
        <v/>
      </c>
      <c r="J7610" s="471"/>
      <c r="K7610" s="1263" t="s">
        <v>2167</v>
      </c>
      <c r="L7610" s="461"/>
      <c r="M7610" s="461"/>
      <c r="N7610" s="461"/>
    </row>
    <row r="7611" spans="1:14" s="462" customFormat="1" hidden="1" outlineLevel="1">
      <c r="A7611" s="1261"/>
      <c r="B7611" s="260"/>
      <c r="C7611" s="457" t="s">
        <v>1</v>
      </c>
      <c r="D7611" s="440">
        <v>1</v>
      </c>
      <c r="E7611" s="441">
        <v>2</v>
      </c>
      <c r="F7611" s="1363">
        <v>3.2</v>
      </c>
      <c r="G7611" s="1363"/>
      <c r="H7611" s="1363">
        <v>0.2</v>
      </c>
      <c r="I7611" s="1129">
        <f t="shared" si="274"/>
        <v>1.28</v>
      </c>
      <c r="J7611" s="471"/>
      <c r="K7611" s="1263" t="s">
        <v>2167</v>
      </c>
      <c r="L7611" s="461"/>
      <c r="M7611" s="461"/>
      <c r="N7611" s="461"/>
    </row>
    <row r="7612" spans="1:14" s="462" customFormat="1" hidden="1" outlineLevel="1">
      <c r="A7612" s="1261"/>
      <c r="B7612" s="260" t="s">
        <v>540</v>
      </c>
      <c r="C7612" s="457" t="s">
        <v>1</v>
      </c>
      <c r="D7612" s="440">
        <v>1</v>
      </c>
      <c r="E7612" s="441">
        <v>2</v>
      </c>
      <c r="F7612" s="1363">
        <v>3</v>
      </c>
      <c r="G7612" s="1363"/>
      <c r="H7612" s="1363">
        <v>0.27500000000000002</v>
      </c>
      <c r="I7612" s="1165">
        <f t="shared" si="274"/>
        <v>1.65</v>
      </c>
      <c r="J7612" s="471"/>
      <c r="K7612" s="1263" t="s">
        <v>2168</v>
      </c>
      <c r="L7612" s="461"/>
      <c r="M7612" s="461"/>
      <c r="N7612" s="461"/>
    </row>
    <row r="7613" spans="1:14" s="462" customFormat="1" hidden="1" outlineLevel="1">
      <c r="A7613" s="1261"/>
      <c r="B7613" s="260"/>
      <c r="C7613" s="457"/>
      <c r="D7613" s="440"/>
      <c r="E7613" s="441"/>
      <c r="F7613" s="1363"/>
      <c r="G7613" s="1363"/>
      <c r="H7613" s="1363"/>
      <c r="I7613" s="1165" t="str">
        <f t="shared" si="274"/>
        <v/>
      </c>
      <c r="J7613" s="471"/>
      <c r="K7613" s="1263" t="s">
        <v>2168</v>
      </c>
      <c r="L7613" s="461"/>
      <c r="M7613" s="461"/>
      <c r="N7613" s="461"/>
    </row>
    <row r="7614" spans="1:14" s="462" customFormat="1" hidden="1" outlineLevel="1">
      <c r="A7614" s="1261"/>
      <c r="B7614" s="260"/>
      <c r="C7614" s="457" t="s">
        <v>1</v>
      </c>
      <c r="D7614" s="440">
        <v>1</v>
      </c>
      <c r="E7614" s="441">
        <v>2</v>
      </c>
      <c r="F7614" s="1363">
        <v>3</v>
      </c>
      <c r="G7614" s="1363"/>
      <c r="H7614" s="1363">
        <v>0.2</v>
      </c>
      <c r="I7614" s="1165">
        <f t="shared" si="274"/>
        <v>1.2</v>
      </c>
      <c r="J7614" s="471"/>
      <c r="K7614" s="1263" t="s">
        <v>2168</v>
      </c>
      <c r="L7614" s="461"/>
      <c r="M7614" s="461"/>
      <c r="N7614" s="461"/>
    </row>
    <row r="7615" spans="1:14" s="462" customFormat="1" hidden="1" outlineLevel="1">
      <c r="A7615" s="1261"/>
      <c r="B7615" s="260" t="s">
        <v>540</v>
      </c>
      <c r="C7615" s="457" t="s">
        <v>1</v>
      </c>
      <c r="D7615" s="440">
        <v>1</v>
      </c>
      <c r="E7615" s="441">
        <v>2</v>
      </c>
      <c r="F7615" s="1363">
        <v>3</v>
      </c>
      <c r="G7615" s="1363"/>
      <c r="H7615" s="1363">
        <v>0.27500000000000002</v>
      </c>
      <c r="I7615" s="1165">
        <f t="shared" si="274"/>
        <v>1.65</v>
      </c>
      <c r="J7615" s="471"/>
      <c r="K7615" s="1263" t="s">
        <v>2168</v>
      </c>
      <c r="L7615" s="461"/>
      <c r="M7615" s="461"/>
      <c r="N7615" s="461"/>
    </row>
    <row r="7616" spans="1:14" s="462" customFormat="1" hidden="1" outlineLevel="1">
      <c r="A7616" s="1261"/>
      <c r="B7616" s="260"/>
      <c r="C7616" s="457"/>
      <c r="D7616" s="440"/>
      <c r="E7616" s="441"/>
      <c r="F7616" s="1363"/>
      <c r="G7616" s="1363"/>
      <c r="H7616" s="1363"/>
      <c r="I7616" s="1163" t="str">
        <f t="shared" si="274"/>
        <v/>
      </c>
      <c r="J7616" s="471"/>
      <c r="K7616" s="1263"/>
      <c r="L7616" s="461"/>
      <c r="M7616" s="461"/>
      <c r="N7616" s="461"/>
    </row>
    <row r="7617" spans="1:14" s="462" customFormat="1" hidden="1" outlineLevel="1">
      <c r="A7617" s="1261"/>
      <c r="B7617" s="260"/>
      <c r="C7617" s="457" t="s">
        <v>1</v>
      </c>
      <c r="D7617" s="440">
        <v>1</v>
      </c>
      <c r="E7617" s="441">
        <v>2</v>
      </c>
      <c r="F7617" s="1363">
        <v>4.2</v>
      </c>
      <c r="G7617" s="1363"/>
      <c r="H7617" s="1363">
        <v>0.2</v>
      </c>
      <c r="I7617" s="1129">
        <f t="shared" si="274"/>
        <v>1.68</v>
      </c>
      <c r="J7617" s="471"/>
      <c r="K7617" s="1263" t="s">
        <v>2167</v>
      </c>
      <c r="L7617" s="461"/>
      <c r="M7617" s="461"/>
      <c r="N7617" s="461"/>
    </row>
    <row r="7618" spans="1:14" s="462" customFormat="1" hidden="1" outlineLevel="1">
      <c r="A7618" s="1261"/>
      <c r="B7618" s="260"/>
      <c r="C7618" s="457"/>
      <c r="D7618" s="440"/>
      <c r="E7618" s="441"/>
      <c r="F7618" s="1363"/>
      <c r="G7618" s="1363"/>
      <c r="H7618" s="1363"/>
      <c r="I7618" s="1129" t="str">
        <f t="shared" si="274"/>
        <v/>
      </c>
      <c r="J7618" s="471"/>
      <c r="K7618" s="1263" t="s">
        <v>2167</v>
      </c>
      <c r="L7618" s="461"/>
      <c r="M7618" s="461"/>
      <c r="N7618" s="461"/>
    </row>
    <row r="7619" spans="1:14" s="462" customFormat="1" hidden="1" outlineLevel="1">
      <c r="A7619" s="1261"/>
      <c r="B7619" s="260"/>
      <c r="C7619" s="457" t="s">
        <v>1</v>
      </c>
      <c r="D7619" s="440">
        <v>1</v>
      </c>
      <c r="E7619" s="441">
        <v>2</v>
      </c>
      <c r="F7619" s="1363">
        <v>3</v>
      </c>
      <c r="G7619" s="1363"/>
      <c r="H7619" s="1363">
        <v>0.2</v>
      </c>
      <c r="I7619" s="1129">
        <f t="shared" si="274"/>
        <v>1.2</v>
      </c>
      <c r="J7619" s="471"/>
      <c r="K7619" s="1263" t="s">
        <v>2167</v>
      </c>
      <c r="L7619" s="461"/>
      <c r="M7619" s="461"/>
      <c r="N7619" s="461"/>
    </row>
    <row r="7620" spans="1:14" s="462" customFormat="1" hidden="1" outlineLevel="1">
      <c r="A7620" s="1261"/>
      <c r="B7620" s="260"/>
      <c r="C7620" s="457"/>
      <c r="D7620" s="440"/>
      <c r="E7620" s="441"/>
      <c r="F7620" s="1363"/>
      <c r="G7620" s="1363"/>
      <c r="H7620" s="1363"/>
      <c r="I7620" s="1129" t="str">
        <f t="shared" si="274"/>
        <v/>
      </c>
      <c r="J7620" s="471"/>
      <c r="K7620" s="1263" t="s">
        <v>2167</v>
      </c>
      <c r="L7620" s="461"/>
      <c r="M7620" s="461"/>
      <c r="N7620" s="461"/>
    </row>
    <row r="7621" spans="1:14" s="462" customFormat="1" hidden="1" outlineLevel="1">
      <c r="A7621" s="1261"/>
      <c r="B7621" s="260"/>
      <c r="C7621" s="457" t="s">
        <v>1</v>
      </c>
      <c r="D7621" s="440">
        <v>1</v>
      </c>
      <c r="E7621" s="441">
        <v>2</v>
      </c>
      <c r="F7621" s="1363">
        <v>4.2</v>
      </c>
      <c r="G7621" s="1363"/>
      <c r="H7621" s="1363">
        <v>0.2</v>
      </c>
      <c r="I7621" s="1129">
        <f t="shared" si="274"/>
        <v>1.68</v>
      </c>
      <c r="J7621" s="471"/>
      <c r="K7621" s="1263" t="s">
        <v>2167</v>
      </c>
      <c r="L7621" s="461"/>
      <c r="M7621" s="461"/>
      <c r="N7621" s="461"/>
    </row>
    <row r="7622" spans="1:14" s="462" customFormat="1" hidden="1" outlineLevel="1">
      <c r="A7622" s="1261"/>
      <c r="B7622" s="260"/>
      <c r="C7622" s="457"/>
      <c r="D7622" s="440"/>
      <c r="E7622" s="441"/>
      <c r="F7622" s="1363"/>
      <c r="G7622" s="1363"/>
      <c r="H7622" s="1363"/>
      <c r="I7622" s="1129" t="str">
        <f t="shared" si="274"/>
        <v/>
      </c>
      <c r="J7622" s="471"/>
      <c r="K7622" s="1263" t="s">
        <v>2167</v>
      </c>
      <c r="L7622" s="461"/>
      <c r="M7622" s="461"/>
      <c r="N7622" s="461"/>
    </row>
    <row r="7623" spans="1:14" s="462" customFormat="1" hidden="1" outlineLevel="1">
      <c r="A7623" s="1261"/>
      <c r="B7623" s="260"/>
      <c r="C7623" s="457" t="s">
        <v>1</v>
      </c>
      <c r="D7623" s="440">
        <v>1</v>
      </c>
      <c r="E7623" s="441">
        <v>2</v>
      </c>
      <c r="F7623" s="1363">
        <v>1.2</v>
      </c>
      <c r="G7623" s="1363"/>
      <c r="H7623" s="1363">
        <v>0.2</v>
      </c>
      <c r="I7623" s="1129">
        <f t="shared" si="274"/>
        <v>0.48</v>
      </c>
      <c r="J7623" s="471"/>
      <c r="K7623" s="1263" t="s">
        <v>2167</v>
      </c>
      <c r="L7623" s="461"/>
      <c r="M7623" s="461"/>
      <c r="N7623" s="461"/>
    </row>
    <row r="7624" spans="1:14" s="462" customFormat="1" hidden="1" outlineLevel="1">
      <c r="A7624" s="1261"/>
      <c r="B7624" s="260"/>
      <c r="C7624" s="457"/>
      <c r="D7624" s="440"/>
      <c r="E7624" s="441"/>
      <c r="F7624" s="1363"/>
      <c r="G7624" s="1363"/>
      <c r="H7624" s="1363"/>
      <c r="I7624" s="1129" t="str">
        <f t="shared" si="274"/>
        <v/>
      </c>
      <c r="J7624" s="471"/>
      <c r="K7624" s="1263" t="s">
        <v>2167</v>
      </c>
      <c r="L7624" s="461"/>
      <c r="M7624" s="461"/>
      <c r="N7624" s="461"/>
    </row>
    <row r="7625" spans="1:14" s="462" customFormat="1" hidden="1" outlineLevel="1">
      <c r="A7625" s="1261"/>
      <c r="B7625" s="260"/>
      <c r="C7625" s="457" t="s">
        <v>1</v>
      </c>
      <c r="D7625" s="440">
        <v>1</v>
      </c>
      <c r="E7625" s="441">
        <v>2</v>
      </c>
      <c r="F7625" s="1363">
        <v>6</v>
      </c>
      <c r="G7625" s="1363"/>
      <c r="H7625" s="1363">
        <v>0.2</v>
      </c>
      <c r="I7625" s="1129">
        <f t="shared" si="274"/>
        <v>2.4</v>
      </c>
      <c r="J7625" s="471"/>
      <c r="K7625" s="1263" t="s">
        <v>2167</v>
      </c>
      <c r="L7625" s="461"/>
      <c r="M7625" s="461"/>
      <c r="N7625" s="461"/>
    </row>
    <row r="7626" spans="1:14" s="462" customFormat="1" hidden="1" outlineLevel="1">
      <c r="A7626" s="1261"/>
      <c r="B7626" s="260"/>
      <c r="C7626" s="457"/>
      <c r="D7626" s="440"/>
      <c r="E7626" s="441"/>
      <c r="F7626" s="1363"/>
      <c r="G7626" s="1363"/>
      <c r="H7626" s="1363"/>
      <c r="I7626" s="1129" t="str">
        <f t="shared" si="274"/>
        <v/>
      </c>
      <c r="J7626" s="471"/>
      <c r="K7626" s="1263" t="s">
        <v>2167</v>
      </c>
      <c r="L7626" s="461"/>
      <c r="M7626" s="461"/>
      <c r="N7626" s="461"/>
    </row>
    <row r="7627" spans="1:14" s="462" customFormat="1" hidden="1" outlineLevel="1">
      <c r="A7627" s="1261"/>
      <c r="B7627" s="260"/>
      <c r="C7627" s="457" t="s">
        <v>1</v>
      </c>
      <c r="D7627" s="440">
        <v>1</v>
      </c>
      <c r="E7627" s="441">
        <v>2</v>
      </c>
      <c r="F7627" s="1363">
        <v>8</v>
      </c>
      <c r="G7627" s="1363"/>
      <c r="H7627" s="1363">
        <v>0.2</v>
      </c>
      <c r="I7627" s="1129">
        <f t="shared" si="274"/>
        <v>3.2</v>
      </c>
      <c r="J7627" s="471"/>
      <c r="K7627" s="1263" t="s">
        <v>2167</v>
      </c>
      <c r="L7627" s="461"/>
      <c r="M7627" s="461"/>
      <c r="N7627" s="461"/>
    </row>
    <row r="7628" spans="1:14" s="462" customFormat="1" hidden="1" outlineLevel="1">
      <c r="A7628" s="1261"/>
      <c r="B7628" s="260"/>
      <c r="C7628" s="457"/>
      <c r="D7628" s="440"/>
      <c r="E7628" s="441"/>
      <c r="F7628" s="1363"/>
      <c r="G7628" s="1363"/>
      <c r="H7628" s="1363"/>
      <c r="I7628" s="1129" t="str">
        <f t="shared" si="274"/>
        <v/>
      </c>
      <c r="J7628" s="471"/>
      <c r="K7628" s="1263" t="s">
        <v>2167</v>
      </c>
      <c r="L7628" s="461"/>
      <c r="M7628" s="461"/>
      <c r="N7628" s="461"/>
    </row>
    <row r="7629" spans="1:14" s="462" customFormat="1" hidden="1" outlineLevel="1">
      <c r="A7629" s="1261"/>
      <c r="B7629" s="260"/>
      <c r="C7629" s="457" t="s">
        <v>1</v>
      </c>
      <c r="D7629" s="440">
        <v>1</v>
      </c>
      <c r="E7629" s="441">
        <v>2</v>
      </c>
      <c r="F7629" s="1363">
        <v>9.8000000000000007</v>
      </c>
      <c r="G7629" s="1363"/>
      <c r="H7629" s="1363">
        <v>0.2</v>
      </c>
      <c r="I7629" s="1129">
        <f t="shared" si="274"/>
        <v>3.92</v>
      </c>
      <c r="J7629" s="471"/>
      <c r="K7629" s="1263" t="s">
        <v>2167</v>
      </c>
      <c r="L7629" s="461"/>
      <c r="M7629" s="461"/>
      <c r="N7629" s="461"/>
    </row>
    <row r="7630" spans="1:14" s="462" customFormat="1" hidden="1" outlineLevel="1">
      <c r="A7630" s="1261"/>
      <c r="B7630" s="260"/>
      <c r="C7630" s="457"/>
      <c r="D7630" s="440"/>
      <c r="E7630" s="441"/>
      <c r="F7630" s="1363"/>
      <c r="G7630" s="1363"/>
      <c r="H7630" s="1363"/>
      <c r="I7630" s="1129" t="str">
        <f t="shared" si="274"/>
        <v/>
      </c>
      <c r="J7630" s="471"/>
      <c r="K7630" s="1263" t="s">
        <v>2167</v>
      </c>
      <c r="L7630" s="461"/>
      <c r="M7630" s="461"/>
      <c r="N7630" s="461"/>
    </row>
    <row r="7631" spans="1:14" s="462" customFormat="1" hidden="1" outlineLevel="1">
      <c r="A7631" s="1261"/>
      <c r="B7631" s="260" t="s">
        <v>194</v>
      </c>
      <c r="C7631" s="457" t="s">
        <v>1</v>
      </c>
      <c r="D7631" s="440">
        <v>6</v>
      </c>
      <c r="E7631" s="441">
        <v>2</v>
      </c>
      <c r="F7631" s="1363">
        <v>0.61499999999999999</v>
      </c>
      <c r="G7631" s="1363"/>
      <c r="H7631" s="1363">
        <v>0.2</v>
      </c>
      <c r="I7631" s="1129">
        <f t="shared" si="274"/>
        <v>1.48</v>
      </c>
      <c r="J7631" s="471"/>
      <c r="K7631" s="1263" t="s">
        <v>2167</v>
      </c>
      <c r="L7631" s="461"/>
      <c r="M7631" s="461"/>
      <c r="N7631" s="461"/>
    </row>
    <row r="7632" spans="1:14" s="462" customFormat="1" hidden="1" outlineLevel="1">
      <c r="A7632" s="1261"/>
      <c r="B7632" s="260"/>
      <c r="C7632" s="457"/>
      <c r="D7632" s="440"/>
      <c r="E7632" s="441"/>
      <c r="F7632" s="1363"/>
      <c r="G7632" s="1363"/>
      <c r="H7632" s="1363"/>
      <c r="I7632" s="1129" t="str">
        <f t="shared" si="274"/>
        <v/>
      </c>
      <c r="J7632" s="471"/>
      <c r="K7632" s="1263" t="s">
        <v>2167</v>
      </c>
      <c r="L7632" s="461"/>
      <c r="M7632" s="461"/>
      <c r="N7632" s="461"/>
    </row>
    <row r="7633" spans="1:14" s="462" customFormat="1" hidden="1" outlineLevel="1">
      <c r="A7633" s="1261"/>
      <c r="B7633" s="260"/>
      <c r="C7633" s="457" t="s">
        <v>1</v>
      </c>
      <c r="D7633" s="440">
        <v>1</v>
      </c>
      <c r="E7633" s="441">
        <v>2</v>
      </c>
      <c r="F7633" s="1363">
        <v>2.7450000000000001</v>
      </c>
      <c r="G7633" s="1363"/>
      <c r="H7633" s="1363">
        <v>0.2</v>
      </c>
      <c r="I7633" s="1129">
        <f t="shared" si="274"/>
        <v>1.1000000000000001</v>
      </c>
      <c r="J7633" s="471"/>
      <c r="K7633" s="1263" t="s">
        <v>2167</v>
      </c>
      <c r="L7633" s="461"/>
      <c r="M7633" s="461"/>
      <c r="N7633" s="461"/>
    </row>
    <row r="7634" spans="1:14" s="462" customFormat="1" hidden="1" outlineLevel="1">
      <c r="A7634" s="1261"/>
      <c r="B7634" s="260"/>
      <c r="C7634" s="457"/>
      <c r="D7634" s="440"/>
      <c r="E7634" s="441"/>
      <c r="F7634" s="1363"/>
      <c r="G7634" s="1363"/>
      <c r="H7634" s="1363"/>
      <c r="I7634" s="1129" t="str">
        <f t="shared" si="274"/>
        <v/>
      </c>
      <c r="J7634" s="471"/>
      <c r="K7634" s="1263" t="s">
        <v>2167</v>
      </c>
      <c r="L7634" s="461"/>
      <c r="M7634" s="461"/>
      <c r="N7634" s="461"/>
    </row>
    <row r="7635" spans="1:14" s="462" customFormat="1" hidden="1" outlineLevel="1">
      <c r="A7635" s="1261"/>
      <c r="B7635" s="260"/>
      <c r="C7635" s="457" t="s">
        <v>1</v>
      </c>
      <c r="D7635" s="440">
        <v>1</v>
      </c>
      <c r="E7635" s="441">
        <v>2</v>
      </c>
      <c r="F7635" s="1364">
        <v>1.9</v>
      </c>
      <c r="G7635" s="1363"/>
      <c r="H7635" s="1363">
        <v>0.2</v>
      </c>
      <c r="I7635" s="1129">
        <f t="shared" si="274"/>
        <v>0.76</v>
      </c>
      <c r="J7635" s="471"/>
      <c r="K7635" s="1263" t="s">
        <v>2167</v>
      </c>
      <c r="L7635" s="461"/>
      <c r="M7635" s="461"/>
      <c r="N7635" s="461"/>
    </row>
    <row r="7636" spans="1:14" s="462" customFormat="1" hidden="1" outlineLevel="1">
      <c r="A7636" s="1261"/>
      <c r="B7636" s="260"/>
      <c r="C7636" s="457"/>
      <c r="D7636" s="440"/>
      <c r="E7636" s="441"/>
      <c r="F7636" s="1363"/>
      <c r="G7636" s="1363"/>
      <c r="H7636" s="1363"/>
      <c r="I7636" s="1129" t="str">
        <f t="shared" si="274"/>
        <v/>
      </c>
      <c r="J7636" s="471"/>
      <c r="K7636" s="1263" t="s">
        <v>2167</v>
      </c>
      <c r="L7636" s="461"/>
      <c r="M7636" s="461"/>
      <c r="N7636" s="461"/>
    </row>
    <row r="7637" spans="1:14" s="462" customFormat="1" hidden="1" outlineLevel="1">
      <c r="A7637" s="1261"/>
      <c r="B7637" s="260"/>
      <c r="C7637" s="457" t="s">
        <v>1</v>
      </c>
      <c r="D7637" s="440">
        <v>1</v>
      </c>
      <c r="E7637" s="441">
        <v>2</v>
      </c>
      <c r="F7637" s="1364">
        <v>1.9</v>
      </c>
      <c r="G7637" s="1363"/>
      <c r="H7637" s="1363">
        <v>0.2</v>
      </c>
      <c r="I7637" s="1129">
        <f t="shared" si="274"/>
        <v>0.76</v>
      </c>
      <c r="J7637" s="471"/>
      <c r="K7637" s="1263" t="s">
        <v>2167</v>
      </c>
      <c r="L7637" s="461"/>
      <c r="M7637" s="461"/>
      <c r="N7637" s="461"/>
    </row>
    <row r="7638" spans="1:14" s="462" customFormat="1" hidden="1" outlineLevel="1">
      <c r="A7638" s="1261"/>
      <c r="B7638" s="260"/>
      <c r="C7638" s="457"/>
      <c r="D7638" s="440"/>
      <c r="E7638" s="441"/>
      <c r="F7638" s="1363"/>
      <c r="G7638" s="1363"/>
      <c r="H7638" s="1363"/>
      <c r="I7638" s="1129" t="str">
        <f t="shared" si="274"/>
        <v/>
      </c>
      <c r="J7638" s="471"/>
      <c r="K7638" s="1263" t="s">
        <v>2167</v>
      </c>
      <c r="L7638" s="461"/>
      <c r="M7638" s="461"/>
      <c r="N7638" s="461"/>
    </row>
    <row r="7639" spans="1:14" s="462" customFormat="1" hidden="1" outlineLevel="1">
      <c r="A7639" s="1261"/>
      <c r="B7639" s="260"/>
      <c r="C7639" s="457" t="s">
        <v>1</v>
      </c>
      <c r="D7639" s="440">
        <v>1</v>
      </c>
      <c r="E7639" s="441">
        <v>2</v>
      </c>
      <c r="F7639" s="1363">
        <v>2.7450000000000001</v>
      </c>
      <c r="G7639" s="1363"/>
      <c r="H7639" s="1363">
        <v>0.2</v>
      </c>
      <c r="I7639" s="1129">
        <f t="shared" si="274"/>
        <v>1.1000000000000001</v>
      </c>
      <c r="J7639" s="471"/>
      <c r="K7639" s="1263" t="s">
        <v>2167</v>
      </c>
      <c r="L7639" s="461"/>
      <c r="M7639" s="461"/>
      <c r="N7639" s="461"/>
    </row>
    <row r="7640" spans="1:14" s="462" customFormat="1" hidden="1" outlineLevel="1">
      <c r="A7640" s="1261"/>
      <c r="B7640" s="260"/>
      <c r="C7640" s="457"/>
      <c r="D7640" s="440"/>
      <c r="E7640" s="441"/>
      <c r="F7640" s="1363"/>
      <c r="G7640" s="1363"/>
      <c r="H7640" s="1363"/>
      <c r="I7640" s="1129" t="str">
        <f t="shared" si="274"/>
        <v/>
      </c>
      <c r="J7640" s="471"/>
      <c r="K7640" s="1263" t="s">
        <v>2167</v>
      </c>
      <c r="L7640" s="461"/>
      <c r="M7640" s="461"/>
      <c r="N7640" s="461"/>
    </row>
    <row r="7641" spans="1:14" s="462" customFormat="1" hidden="1" outlineLevel="1">
      <c r="A7641" s="1261"/>
      <c r="B7641" s="260"/>
      <c r="C7641" s="457" t="s">
        <v>1</v>
      </c>
      <c r="D7641" s="440">
        <v>1</v>
      </c>
      <c r="E7641" s="441">
        <v>2</v>
      </c>
      <c r="F7641" s="1364">
        <v>1.9</v>
      </c>
      <c r="G7641" s="1363"/>
      <c r="H7641" s="1363">
        <v>0.2</v>
      </c>
      <c r="I7641" s="1129">
        <f t="shared" si="274"/>
        <v>0.76</v>
      </c>
      <c r="J7641" s="471"/>
      <c r="K7641" s="1263" t="s">
        <v>2167</v>
      </c>
      <c r="L7641" s="461"/>
      <c r="M7641" s="461"/>
      <c r="N7641" s="461"/>
    </row>
    <row r="7642" spans="1:14" s="462" customFormat="1" hidden="1" outlineLevel="1">
      <c r="A7642" s="1261"/>
      <c r="B7642" s="260"/>
      <c r="C7642" s="457"/>
      <c r="D7642" s="440"/>
      <c r="E7642" s="441"/>
      <c r="F7642" s="1363"/>
      <c r="G7642" s="1363"/>
      <c r="H7642" s="1363"/>
      <c r="I7642" s="1129" t="str">
        <f t="shared" si="274"/>
        <v/>
      </c>
      <c r="J7642" s="471"/>
      <c r="K7642" s="1263" t="s">
        <v>2167</v>
      </c>
      <c r="L7642" s="461"/>
      <c r="M7642" s="461"/>
      <c r="N7642" s="461"/>
    </row>
    <row r="7643" spans="1:14" s="462" customFormat="1" ht="34.5" hidden="1" outlineLevel="1">
      <c r="A7643" s="1261"/>
      <c r="B7643" s="260" t="s">
        <v>545</v>
      </c>
      <c r="C7643" s="457"/>
      <c r="D7643" s="440"/>
      <c r="E7643" s="441"/>
      <c r="F7643" s="1363"/>
      <c r="G7643" s="1363"/>
      <c r="H7643" s="1363"/>
      <c r="I7643" s="1129" t="str">
        <f t="shared" si="274"/>
        <v/>
      </c>
      <c r="J7643" s="471"/>
      <c r="K7643" s="1263" t="s">
        <v>2167</v>
      </c>
      <c r="L7643" s="461"/>
      <c r="M7643" s="461"/>
      <c r="N7643" s="461"/>
    </row>
    <row r="7644" spans="1:14" s="462" customFormat="1" hidden="1" outlineLevel="1">
      <c r="A7644" s="1261"/>
      <c r="B7644" s="260"/>
      <c r="C7644" s="457"/>
      <c r="D7644" s="440"/>
      <c r="E7644" s="441"/>
      <c r="F7644" s="1363"/>
      <c r="G7644" s="1363"/>
      <c r="H7644" s="1363"/>
      <c r="I7644" s="1129" t="str">
        <f t="shared" si="274"/>
        <v/>
      </c>
      <c r="J7644" s="471"/>
      <c r="K7644" s="1263" t="s">
        <v>2167</v>
      </c>
      <c r="L7644" s="461"/>
      <c r="M7644" s="461"/>
      <c r="N7644" s="461"/>
    </row>
    <row r="7645" spans="1:14" s="462" customFormat="1" hidden="1" outlineLevel="1">
      <c r="A7645" s="1261"/>
      <c r="B7645" s="260" t="s">
        <v>196</v>
      </c>
      <c r="C7645" s="457" t="s">
        <v>1</v>
      </c>
      <c r="D7645" s="440">
        <v>1</v>
      </c>
      <c r="E7645" s="441">
        <v>2</v>
      </c>
      <c r="F7645" s="1363">
        <v>6.78</v>
      </c>
      <c r="G7645" s="1363"/>
      <c r="H7645" s="1363">
        <v>0.2</v>
      </c>
      <c r="I7645" s="1129">
        <f t="shared" si="274"/>
        <v>2.71</v>
      </c>
      <c r="J7645" s="471"/>
      <c r="K7645" s="1263" t="s">
        <v>2167</v>
      </c>
      <c r="L7645" s="461"/>
      <c r="M7645" s="461"/>
      <c r="N7645" s="461"/>
    </row>
    <row r="7646" spans="1:14" s="462" customFormat="1" hidden="1" outlineLevel="1">
      <c r="A7646" s="1261"/>
      <c r="B7646" s="260"/>
      <c r="C7646" s="457"/>
      <c r="D7646" s="440"/>
      <c r="E7646" s="441"/>
      <c r="F7646" s="1363"/>
      <c r="G7646" s="1363"/>
      <c r="H7646" s="1363"/>
      <c r="I7646" s="1129" t="str">
        <f t="shared" si="274"/>
        <v/>
      </c>
      <c r="J7646" s="471"/>
      <c r="K7646" s="1263" t="s">
        <v>2167</v>
      </c>
      <c r="L7646" s="461"/>
      <c r="M7646" s="461"/>
      <c r="N7646" s="461"/>
    </row>
    <row r="7647" spans="1:14" s="462" customFormat="1" hidden="1" outlineLevel="1">
      <c r="A7647" s="1261"/>
      <c r="B7647" s="260"/>
      <c r="C7647" s="457" t="s">
        <v>1</v>
      </c>
      <c r="D7647" s="440">
        <v>1</v>
      </c>
      <c r="E7647" s="441">
        <v>2</v>
      </c>
      <c r="F7647" s="1363">
        <v>5</v>
      </c>
      <c r="G7647" s="1363"/>
      <c r="H7647" s="1363">
        <v>0.2</v>
      </c>
      <c r="I7647" s="1129">
        <f t="shared" si="274"/>
        <v>2</v>
      </c>
      <c r="J7647" s="471"/>
      <c r="K7647" s="1263" t="s">
        <v>2167</v>
      </c>
      <c r="L7647" s="461"/>
      <c r="M7647" s="461"/>
      <c r="N7647" s="461"/>
    </row>
    <row r="7648" spans="1:14" s="462" customFormat="1" hidden="1" outlineLevel="1">
      <c r="A7648" s="1261"/>
      <c r="B7648" s="260"/>
      <c r="C7648" s="457"/>
      <c r="D7648" s="440"/>
      <c r="E7648" s="441"/>
      <c r="F7648" s="1363"/>
      <c r="G7648" s="1363"/>
      <c r="H7648" s="1363"/>
      <c r="I7648" s="1129" t="str">
        <f t="shared" si="274"/>
        <v/>
      </c>
      <c r="J7648" s="471"/>
      <c r="K7648" s="1263" t="s">
        <v>2167</v>
      </c>
      <c r="L7648" s="461"/>
      <c r="M7648" s="461"/>
      <c r="N7648" s="461"/>
    </row>
    <row r="7649" spans="1:14" s="462" customFormat="1" hidden="1" outlineLevel="1">
      <c r="A7649" s="1261"/>
      <c r="B7649" s="260"/>
      <c r="C7649" s="457" t="s">
        <v>1</v>
      </c>
      <c r="D7649" s="440">
        <v>1</v>
      </c>
      <c r="E7649" s="441">
        <v>2</v>
      </c>
      <c r="F7649" s="1363">
        <v>4</v>
      </c>
      <c r="G7649" s="1363"/>
      <c r="H7649" s="1363">
        <v>0.2</v>
      </c>
      <c r="I7649" s="1129">
        <f t="shared" ref="I7649:I7712" si="275">IF(D7649&lt;&gt;0,ROUND(PRODUCT(E7649:H7649)*D7649,2),"")</f>
        <v>1.6</v>
      </c>
      <c r="J7649" s="471"/>
      <c r="K7649" s="1263" t="s">
        <v>2167</v>
      </c>
      <c r="L7649" s="461"/>
      <c r="M7649" s="461"/>
      <c r="N7649" s="461"/>
    </row>
    <row r="7650" spans="1:14" s="462" customFormat="1" hidden="1" outlineLevel="1">
      <c r="A7650" s="1261"/>
      <c r="B7650" s="260" t="s">
        <v>540</v>
      </c>
      <c r="C7650" s="457" t="s">
        <v>1</v>
      </c>
      <c r="D7650" s="440">
        <v>1</v>
      </c>
      <c r="E7650" s="441">
        <v>2</v>
      </c>
      <c r="F7650" s="1363">
        <v>3</v>
      </c>
      <c r="G7650" s="1363"/>
      <c r="H7650" s="1363">
        <v>0.27500000000000002</v>
      </c>
      <c r="I7650" s="1165">
        <f t="shared" si="275"/>
        <v>1.65</v>
      </c>
      <c r="J7650" s="471"/>
      <c r="K7650" s="1263" t="s">
        <v>2168</v>
      </c>
      <c r="L7650" s="461"/>
      <c r="M7650" s="461"/>
      <c r="N7650" s="461"/>
    </row>
    <row r="7651" spans="1:14" s="462" customFormat="1" hidden="1" outlineLevel="1">
      <c r="A7651" s="1261"/>
      <c r="B7651" s="260"/>
      <c r="C7651" s="457"/>
      <c r="D7651" s="440"/>
      <c r="E7651" s="441"/>
      <c r="F7651" s="1363"/>
      <c r="G7651" s="1363"/>
      <c r="H7651" s="1363"/>
      <c r="I7651" s="1163" t="str">
        <f t="shared" si="275"/>
        <v/>
      </c>
      <c r="J7651" s="471"/>
      <c r="K7651" s="1263"/>
      <c r="L7651" s="461"/>
      <c r="M7651" s="461"/>
      <c r="N7651" s="461"/>
    </row>
    <row r="7652" spans="1:14" s="462" customFormat="1" hidden="1" outlineLevel="1">
      <c r="A7652" s="1261"/>
      <c r="B7652" s="260"/>
      <c r="C7652" s="457" t="s">
        <v>1</v>
      </c>
      <c r="D7652" s="440">
        <v>1</v>
      </c>
      <c r="E7652" s="441">
        <v>2</v>
      </c>
      <c r="F7652" s="1363">
        <v>1</v>
      </c>
      <c r="G7652" s="1363"/>
      <c r="H7652" s="1363">
        <v>0.2</v>
      </c>
      <c r="I7652" s="1129">
        <f t="shared" si="275"/>
        <v>0.4</v>
      </c>
      <c r="J7652" s="471"/>
      <c r="K7652" s="1263" t="s">
        <v>2167</v>
      </c>
      <c r="L7652" s="461"/>
      <c r="M7652" s="461"/>
      <c r="N7652" s="461"/>
    </row>
    <row r="7653" spans="1:14" s="462" customFormat="1" hidden="1" outlineLevel="1">
      <c r="A7653" s="1261"/>
      <c r="B7653" s="260"/>
      <c r="C7653" s="457"/>
      <c r="D7653" s="440"/>
      <c r="E7653" s="441"/>
      <c r="F7653" s="1363"/>
      <c r="G7653" s="1363"/>
      <c r="H7653" s="1363"/>
      <c r="I7653" s="1129" t="str">
        <f t="shared" si="275"/>
        <v/>
      </c>
      <c r="J7653" s="471"/>
      <c r="K7653" s="1263" t="s">
        <v>2167</v>
      </c>
      <c r="L7653" s="461"/>
      <c r="M7653" s="461"/>
      <c r="N7653" s="461"/>
    </row>
    <row r="7654" spans="1:14" s="462" customFormat="1" hidden="1" outlineLevel="1">
      <c r="A7654" s="1261"/>
      <c r="B7654" s="260"/>
      <c r="C7654" s="457" t="s">
        <v>1</v>
      </c>
      <c r="D7654" s="440">
        <v>6</v>
      </c>
      <c r="E7654" s="441">
        <v>2</v>
      </c>
      <c r="F7654" s="1363">
        <v>3</v>
      </c>
      <c r="G7654" s="1363"/>
      <c r="H7654" s="1363">
        <v>0.2</v>
      </c>
      <c r="I7654" s="1129">
        <f t="shared" si="275"/>
        <v>7.2</v>
      </c>
      <c r="J7654" s="471"/>
      <c r="K7654" s="1263" t="s">
        <v>2167</v>
      </c>
      <c r="L7654" s="461"/>
      <c r="M7654" s="461"/>
      <c r="N7654" s="461"/>
    </row>
    <row r="7655" spans="1:14" s="462" customFormat="1" hidden="1" outlineLevel="1">
      <c r="A7655" s="1261"/>
      <c r="B7655" s="260"/>
      <c r="C7655" s="457"/>
      <c r="D7655" s="440"/>
      <c r="E7655" s="441"/>
      <c r="F7655" s="1363"/>
      <c r="G7655" s="1363"/>
      <c r="H7655" s="1363"/>
      <c r="I7655" s="1129" t="str">
        <f t="shared" si="275"/>
        <v/>
      </c>
      <c r="J7655" s="471"/>
      <c r="K7655" s="1263" t="s">
        <v>2167</v>
      </c>
      <c r="L7655" s="461"/>
      <c r="M7655" s="461"/>
      <c r="N7655" s="461"/>
    </row>
    <row r="7656" spans="1:14" s="462" customFormat="1" hidden="1" outlineLevel="1">
      <c r="A7656" s="1261"/>
      <c r="B7656" s="260"/>
      <c r="C7656" s="457" t="s">
        <v>1</v>
      </c>
      <c r="D7656" s="440">
        <v>1</v>
      </c>
      <c r="E7656" s="441">
        <v>2</v>
      </c>
      <c r="F7656" s="1363">
        <v>5</v>
      </c>
      <c r="G7656" s="1363"/>
      <c r="H7656" s="1363">
        <v>0.2</v>
      </c>
      <c r="I7656" s="1129">
        <f t="shared" si="275"/>
        <v>2</v>
      </c>
      <c r="J7656" s="471"/>
      <c r="K7656" s="1263" t="s">
        <v>2167</v>
      </c>
      <c r="L7656" s="461"/>
      <c r="M7656" s="461"/>
      <c r="N7656" s="461"/>
    </row>
    <row r="7657" spans="1:14" s="462" customFormat="1" hidden="1" outlineLevel="1">
      <c r="A7657" s="1261"/>
      <c r="B7657" s="260" t="s">
        <v>540</v>
      </c>
      <c r="C7657" s="457" t="s">
        <v>1</v>
      </c>
      <c r="D7657" s="440">
        <v>3</v>
      </c>
      <c r="E7657" s="441">
        <v>2</v>
      </c>
      <c r="F7657" s="1363">
        <v>3</v>
      </c>
      <c r="G7657" s="1363"/>
      <c r="H7657" s="1363">
        <v>0.27500000000000002</v>
      </c>
      <c r="I7657" s="1165">
        <f t="shared" si="275"/>
        <v>4.95</v>
      </c>
      <c r="J7657" s="471"/>
      <c r="K7657" s="1263" t="s">
        <v>2168</v>
      </c>
      <c r="L7657" s="461"/>
      <c r="M7657" s="461"/>
      <c r="N7657" s="461"/>
    </row>
    <row r="7658" spans="1:14" s="462" customFormat="1" hidden="1" outlineLevel="1">
      <c r="A7658" s="1261"/>
      <c r="B7658" s="260"/>
      <c r="C7658" s="457"/>
      <c r="D7658" s="440"/>
      <c r="E7658" s="441"/>
      <c r="F7658" s="1363"/>
      <c r="G7658" s="1363"/>
      <c r="H7658" s="1363"/>
      <c r="I7658" s="1163" t="str">
        <f t="shared" si="275"/>
        <v/>
      </c>
      <c r="J7658" s="471"/>
      <c r="K7658" s="1263"/>
      <c r="L7658" s="461"/>
      <c r="M7658" s="461"/>
      <c r="N7658" s="461"/>
    </row>
    <row r="7659" spans="1:14" s="462" customFormat="1" hidden="1" outlineLevel="1">
      <c r="A7659" s="1261"/>
      <c r="B7659" s="260"/>
      <c r="C7659" s="457" t="s">
        <v>1</v>
      </c>
      <c r="D7659" s="440">
        <v>1</v>
      </c>
      <c r="E7659" s="441">
        <v>2</v>
      </c>
      <c r="F7659" s="1363">
        <v>4</v>
      </c>
      <c r="G7659" s="1363"/>
      <c r="H7659" s="1363">
        <v>0.2</v>
      </c>
      <c r="I7659" s="1129">
        <f t="shared" si="275"/>
        <v>1.6</v>
      </c>
      <c r="J7659" s="471"/>
      <c r="K7659" s="1263" t="s">
        <v>2167</v>
      </c>
      <c r="L7659" s="461"/>
      <c r="M7659" s="461"/>
      <c r="N7659" s="461"/>
    </row>
    <row r="7660" spans="1:14" s="462" customFormat="1" hidden="1" outlineLevel="1">
      <c r="A7660" s="1261"/>
      <c r="B7660" s="260"/>
      <c r="C7660" s="457"/>
      <c r="D7660" s="440"/>
      <c r="E7660" s="441"/>
      <c r="F7660" s="1363"/>
      <c r="G7660" s="1363"/>
      <c r="H7660" s="1363"/>
      <c r="I7660" s="1129" t="str">
        <f t="shared" si="275"/>
        <v/>
      </c>
      <c r="J7660" s="471"/>
      <c r="K7660" s="1263" t="s">
        <v>2167</v>
      </c>
      <c r="L7660" s="461"/>
      <c r="M7660" s="461"/>
      <c r="N7660" s="461"/>
    </row>
    <row r="7661" spans="1:14" s="462" customFormat="1" hidden="1" outlineLevel="1">
      <c r="A7661" s="1261"/>
      <c r="B7661" s="260" t="s">
        <v>197</v>
      </c>
      <c r="C7661" s="457" t="s">
        <v>1</v>
      </c>
      <c r="D7661" s="440">
        <v>1</v>
      </c>
      <c r="E7661" s="441">
        <v>2</v>
      </c>
      <c r="F7661" s="1363">
        <v>4.8</v>
      </c>
      <c r="G7661" s="1363"/>
      <c r="H7661" s="1363">
        <v>0.2</v>
      </c>
      <c r="I7661" s="1129">
        <f t="shared" si="275"/>
        <v>1.92</v>
      </c>
      <c r="J7661" s="471"/>
      <c r="K7661" s="1263" t="s">
        <v>2167</v>
      </c>
      <c r="L7661" s="461"/>
      <c r="M7661" s="461"/>
      <c r="N7661" s="461"/>
    </row>
    <row r="7662" spans="1:14" s="462" customFormat="1" hidden="1" outlineLevel="1">
      <c r="A7662" s="1261"/>
      <c r="B7662" s="260"/>
      <c r="C7662" s="457"/>
      <c r="D7662" s="440"/>
      <c r="E7662" s="441"/>
      <c r="F7662" s="1363"/>
      <c r="G7662" s="1363"/>
      <c r="H7662" s="1363"/>
      <c r="I7662" s="1129" t="str">
        <f t="shared" si="275"/>
        <v/>
      </c>
      <c r="J7662" s="471"/>
      <c r="K7662" s="1263" t="s">
        <v>2167</v>
      </c>
      <c r="L7662" s="461"/>
      <c r="M7662" s="461"/>
      <c r="N7662" s="461"/>
    </row>
    <row r="7663" spans="1:14" s="462" customFormat="1" hidden="1" outlineLevel="1">
      <c r="A7663" s="1261"/>
      <c r="B7663" s="260" t="s">
        <v>198</v>
      </c>
      <c r="C7663" s="457" t="s">
        <v>1</v>
      </c>
      <c r="D7663" s="440">
        <v>3</v>
      </c>
      <c r="E7663" s="441">
        <v>2</v>
      </c>
      <c r="F7663" s="1363">
        <v>3.36</v>
      </c>
      <c r="G7663" s="1363"/>
      <c r="H7663" s="1363">
        <v>0.2</v>
      </c>
      <c r="I7663" s="1129">
        <f t="shared" si="275"/>
        <v>4.03</v>
      </c>
      <c r="J7663" s="471"/>
      <c r="K7663" s="1263" t="s">
        <v>2167</v>
      </c>
      <c r="L7663" s="461"/>
      <c r="M7663" s="461"/>
      <c r="N7663" s="461"/>
    </row>
    <row r="7664" spans="1:14" s="462" customFormat="1" hidden="1" outlineLevel="1">
      <c r="A7664" s="1261"/>
      <c r="B7664" s="260"/>
      <c r="C7664" s="457"/>
      <c r="D7664" s="440"/>
      <c r="E7664" s="441"/>
      <c r="F7664" s="1363"/>
      <c r="G7664" s="1363"/>
      <c r="H7664" s="1363"/>
      <c r="I7664" s="1129" t="str">
        <f t="shared" si="275"/>
        <v/>
      </c>
      <c r="J7664" s="471"/>
      <c r="K7664" s="1263" t="s">
        <v>2167</v>
      </c>
      <c r="L7664" s="461"/>
      <c r="M7664" s="461"/>
      <c r="N7664" s="461"/>
    </row>
    <row r="7665" spans="1:14" s="462" customFormat="1" hidden="1" outlineLevel="1">
      <c r="A7665" s="1261"/>
      <c r="B7665" s="260"/>
      <c r="C7665" s="457" t="s">
        <v>1</v>
      </c>
      <c r="D7665" s="440">
        <v>3</v>
      </c>
      <c r="E7665" s="441">
        <v>2</v>
      </c>
      <c r="F7665" s="1364">
        <v>1.9</v>
      </c>
      <c r="G7665" s="1363"/>
      <c r="H7665" s="1363">
        <v>0.2</v>
      </c>
      <c r="I7665" s="1129">
        <f t="shared" si="275"/>
        <v>2.2799999999999998</v>
      </c>
      <c r="J7665" s="471"/>
      <c r="K7665" s="1263" t="s">
        <v>2167</v>
      </c>
      <c r="L7665" s="461"/>
      <c r="M7665" s="461"/>
      <c r="N7665" s="461"/>
    </row>
    <row r="7666" spans="1:14" s="462" customFormat="1" hidden="1" outlineLevel="1">
      <c r="A7666" s="1261"/>
      <c r="B7666" s="260"/>
      <c r="C7666" s="457"/>
      <c r="D7666" s="440"/>
      <c r="E7666" s="441"/>
      <c r="F7666" s="1363"/>
      <c r="G7666" s="1363"/>
      <c r="H7666" s="1363"/>
      <c r="I7666" s="1129" t="str">
        <f t="shared" si="275"/>
        <v/>
      </c>
      <c r="J7666" s="471"/>
      <c r="K7666" s="1263" t="s">
        <v>2167</v>
      </c>
      <c r="L7666" s="461"/>
      <c r="M7666" s="461"/>
      <c r="N7666" s="461"/>
    </row>
    <row r="7667" spans="1:14" s="462" customFormat="1" hidden="1" outlineLevel="1">
      <c r="A7667" s="1261"/>
      <c r="B7667" s="260"/>
      <c r="C7667" s="457" t="s">
        <v>1</v>
      </c>
      <c r="D7667" s="440">
        <v>1</v>
      </c>
      <c r="E7667" s="441">
        <v>2</v>
      </c>
      <c r="F7667" s="1364">
        <v>1.9</v>
      </c>
      <c r="G7667" s="1363"/>
      <c r="H7667" s="1363">
        <v>0.2</v>
      </c>
      <c r="I7667" s="1129">
        <f t="shared" si="275"/>
        <v>0.76</v>
      </c>
      <c r="J7667" s="471"/>
      <c r="K7667" s="1263" t="s">
        <v>2167</v>
      </c>
      <c r="L7667" s="461"/>
      <c r="M7667" s="461"/>
      <c r="N7667" s="461"/>
    </row>
    <row r="7668" spans="1:14" s="462" customFormat="1" hidden="1" outlineLevel="1">
      <c r="A7668" s="1261"/>
      <c r="B7668" s="260"/>
      <c r="C7668" s="457"/>
      <c r="D7668" s="440"/>
      <c r="E7668" s="441"/>
      <c r="F7668" s="1363"/>
      <c r="G7668" s="1363"/>
      <c r="H7668" s="1363"/>
      <c r="I7668" s="1129" t="str">
        <f t="shared" si="275"/>
        <v/>
      </c>
      <c r="J7668" s="471"/>
      <c r="K7668" s="1263" t="s">
        <v>2167</v>
      </c>
      <c r="L7668" s="461"/>
      <c r="M7668" s="461"/>
      <c r="N7668" s="461"/>
    </row>
    <row r="7669" spans="1:14" s="462" customFormat="1" hidden="1" outlineLevel="1">
      <c r="A7669" s="1261"/>
      <c r="B7669" s="260"/>
      <c r="C7669" s="457" t="s">
        <v>1</v>
      </c>
      <c r="D7669" s="440">
        <v>1</v>
      </c>
      <c r="E7669" s="441">
        <v>2</v>
      </c>
      <c r="F7669" s="1363">
        <v>2.7450000000000001</v>
      </c>
      <c r="G7669" s="1363"/>
      <c r="H7669" s="1363">
        <v>0.2</v>
      </c>
      <c r="I7669" s="1129">
        <f t="shared" si="275"/>
        <v>1.1000000000000001</v>
      </c>
      <c r="J7669" s="471"/>
      <c r="K7669" s="1263" t="s">
        <v>2167</v>
      </c>
      <c r="L7669" s="461"/>
      <c r="M7669" s="461"/>
      <c r="N7669" s="461"/>
    </row>
    <row r="7670" spans="1:14" s="462" customFormat="1" hidden="1" outlineLevel="1">
      <c r="A7670" s="1261"/>
      <c r="B7670" s="260"/>
      <c r="C7670" s="457"/>
      <c r="D7670" s="440"/>
      <c r="E7670" s="441"/>
      <c r="F7670" s="1363"/>
      <c r="G7670" s="1363"/>
      <c r="H7670" s="1363"/>
      <c r="I7670" s="1129" t="str">
        <f t="shared" si="275"/>
        <v/>
      </c>
      <c r="J7670" s="471"/>
      <c r="K7670" s="1263" t="s">
        <v>2167</v>
      </c>
      <c r="L7670" s="461"/>
      <c r="M7670" s="461"/>
      <c r="N7670" s="461"/>
    </row>
    <row r="7671" spans="1:14" s="462" customFormat="1" hidden="1" outlineLevel="1">
      <c r="A7671" s="1261"/>
      <c r="B7671" s="260"/>
      <c r="C7671" s="457" t="s">
        <v>1</v>
      </c>
      <c r="D7671" s="440">
        <v>2</v>
      </c>
      <c r="E7671" s="441">
        <v>2</v>
      </c>
      <c r="F7671" s="1364">
        <v>1.9</v>
      </c>
      <c r="G7671" s="1363"/>
      <c r="H7671" s="1363">
        <v>0.2</v>
      </c>
      <c r="I7671" s="1129">
        <f t="shared" si="275"/>
        <v>1.52</v>
      </c>
      <c r="J7671" s="471"/>
      <c r="K7671" s="1263" t="s">
        <v>2167</v>
      </c>
      <c r="L7671" s="461"/>
      <c r="M7671" s="461"/>
      <c r="N7671" s="461"/>
    </row>
    <row r="7672" spans="1:14" s="462" customFormat="1" hidden="1" outlineLevel="1">
      <c r="A7672" s="1261"/>
      <c r="B7672" s="260"/>
      <c r="C7672" s="457"/>
      <c r="D7672" s="440"/>
      <c r="E7672" s="441"/>
      <c r="F7672" s="1363"/>
      <c r="G7672" s="1363"/>
      <c r="H7672" s="1363"/>
      <c r="I7672" s="1129" t="str">
        <f t="shared" si="275"/>
        <v/>
      </c>
      <c r="J7672" s="471"/>
      <c r="K7672" s="1263" t="s">
        <v>2167</v>
      </c>
      <c r="L7672" s="461"/>
      <c r="M7672" s="461"/>
      <c r="N7672" s="461"/>
    </row>
    <row r="7673" spans="1:14" s="462" customFormat="1" hidden="1" outlineLevel="1">
      <c r="A7673" s="1261"/>
      <c r="B7673" s="260"/>
      <c r="C7673" s="457" t="s">
        <v>1</v>
      </c>
      <c r="D7673" s="440">
        <v>5</v>
      </c>
      <c r="E7673" s="441">
        <v>2</v>
      </c>
      <c r="F7673" s="1363">
        <v>0.61499999999999999</v>
      </c>
      <c r="G7673" s="1363"/>
      <c r="H7673" s="1363">
        <v>0.2</v>
      </c>
      <c r="I7673" s="1129">
        <f t="shared" si="275"/>
        <v>1.23</v>
      </c>
      <c r="J7673" s="471"/>
      <c r="K7673" s="1263" t="s">
        <v>2167</v>
      </c>
      <c r="L7673" s="461"/>
      <c r="M7673" s="461"/>
      <c r="N7673" s="461"/>
    </row>
    <row r="7674" spans="1:14" s="462" customFormat="1" hidden="1" outlineLevel="1">
      <c r="A7674" s="1261"/>
      <c r="B7674" s="260" t="s">
        <v>542</v>
      </c>
      <c r="C7674" s="457" t="s">
        <v>1</v>
      </c>
      <c r="D7674" s="440">
        <v>4</v>
      </c>
      <c r="E7674" s="441">
        <v>2</v>
      </c>
      <c r="F7674" s="1363">
        <v>3</v>
      </c>
      <c r="G7674" s="1363"/>
      <c r="H7674" s="1363">
        <v>0.27500000000000002</v>
      </c>
      <c r="I7674" s="1165">
        <f t="shared" si="275"/>
        <v>6.6</v>
      </c>
      <c r="J7674" s="471"/>
      <c r="K7674" s="1263" t="s">
        <v>2168</v>
      </c>
      <c r="L7674" s="461"/>
      <c r="M7674" s="461"/>
      <c r="N7674" s="461"/>
    </row>
    <row r="7675" spans="1:14" s="462" customFormat="1" hidden="1" outlineLevel="1">
      <c r="A7675" s="1261"/>
      <c r="B7675" s="260"/>
      <c r="C7675" s="457"/>
      <c r="D7675" s="440"/>
      <c r="E7675" s="441"/>
      <c r="F7675" s="1363"/>
      <c r="G7675" s="1363"/>
      <c r="H7675" s="1363"/>
      <c r="I7675" s="1163" t="str">
        <f t="shared" si="275"/>
        <v/>
      </c>
      <c r="J7675" s="471"/>
      <c r="K7675" s="1263"/>
      <c r="L7675" s="461"/>
      <c r="M7675" s="461"/>
      <c r="N7675" s="461"/>
    </row>
    <row r="7676" spans="1:14" s="462" customFormat="1" hidden="1" outlineLevel="1">
      <c r="A7676" s="1261"/>
      <c r="B7676" s="260" t="s">
        <v>546</v>
      </c>
      <c r="C7676" s="457"/>
      <c r="D7676" s="440"/>
      <c r="E7676" s="441"/>
      <c r="F7676" s="1363"/>
      <c r="G7676" s="1363"/>
      <c r="H7676" s="1363"/>
      <c r="I7676" s="1163" t="str">
        <f t="shared" si="275"/>
        <v/>
      </c>
      <c r="J7676" s="471"/>
      <c r="K7676" s="1263"/>
      <c r="L7676" s="461"/>
      <c r="M7676" s="461"/>
      <c r="N7676" s="461"/>
    </row>
    <row r="7677" spans="1:14" s="462" customFormat="1" hidden="1" outlineLevel="1">
      <c r="A7677" s="1261"/>
      <c r="B7677" s="260"/>
      <c r="C7677" s="457"/>
      <c r="D7677" s="440"/>
      <c r="E7677" s="441"/>
      <c r="F7677" s="1363"/>
      <c r="G7677" s="1363"/>
      <c r="H7677" s="1363"/>
      <c r="I7677" s="1163" t="str">
        <f t="shared" si="275"/>
        <v/>
      </c>
      <c r="J7677" s="471"/>
      <c r="K7677" s="1263"/>
      <c r="L7677" s="461"/>
      <c r="M7677" s="461"/>
      <c r="N7677" s="461"/>
    </row>
    <row r="7678" spans="1:14" s="462" customFormat="1" hidden="1" outlineLevel="1">
      <c r="A7678" s="1261"/>
      <c r="B7678" s="260" t="s">
        <v>547</v>
      </c>
      <c r="C7678" s="457" t="s">
        <v>1</v>
      </c>
      <c r="D7678" s="440">
        <v>1</v>
      </c>
      <c r="E7678" s="441">
        <v>2</v>
      </c>
      <c r="F7678" s="1363">
        <v>2.6</v>
      </c>
      <c r="G7678" s="1363"/>
      <c r="H7678" s="1363">
        <v>0.2</v>
      </c>
      <c r="I7678" s="1129">
        <f t="shared" si="275"/>
        <v>1.04</v>
      </c>
      <c r="J7678" s="471"/>
      <c r="K7678" s="1263" t="s">
        <v>2167</v>
      </c>
      <c r="L7678" s="461"/>
      <c r="M7678" s="461"/>
      <c r="N7678" s="461"/>
    </row>
    <row r="7679" spans="1:14" s="462" customFormat="1" hidden="1" outlineLevel="1">
      <c r="A7679" s="1261"/>
      <c r="B7679" s="260"/>
      <c r="C7679" s="457"/>
      <c r="D7679" s="440"/>
      <c r="E7679" s="441"/>
      <c r="F7679" s="1363"/>
      <c r="G7679" s="1363"/>
      <c r="H7679" s="1363"/>
      <c r="I7679" s="1129" t="str">
        <f t="shared" si="275"/>
        <v/>
      </c>
      <c r="J7679" s="471"/>
      <c r="K7679" s="1263" t="s">
        <v>2167</v>
      </c>
      <c r="L7679" s="461"/>
      <c r="M7679" s="461"/>
      <c r="N7679" s="461"/>
    </row>
    <row r="7680" spans="1:14" s="462" customFormat="1" hidden="1" outlineLevel="1">
      <c r="A7680" s="1261"/>
      <c r="B7680" s="260"/>
      <c r="C7680" s="457" t="s">
        <v>1</v>
      </c>
      <c r="D7680" s="440">
        <v>3</v>
      </c>
      <c r="E7680" s="441">
        <v>2</v>
      </c>
      <c r="F7680" s="1363">
        <v>0.6</v>
      </c>
      <c r="G7680" s="1363"/>
      <c r="H7680" s="1363">
        <v>0.2</v>
      </c>
      <c r="I7680" s="1129">
        <f t="shared" si="275"/>
        <v>0.72</v>
      </c>
      <c r="J7680" s="471"/>
      <c r="K7680" s="1263" t="s">
        <v>2167</v>
      </c>
      <c r="L7680" s="461"/>
      <c r="M7680" s="461"/>
      <c r="N7680" s="461"/>
    </row>
    <row r="7681" spans="1:14" s="462" customFormat="1" hidden="1" outlineLevel="1">
      <c r="A7681" s="1261"/>
      <c r="B7681" s="260"/>
      <c r="C7681" s="457"/>
      <c r="D7681" s="440"/>
      <c r="E7681" s="441"/>
      <c r="F7681" s="1363"/>
      <c r="G7681" s="1363"/>
      <c r="H7681" s="1363"/>
      <c r="I7681" s="1129" t="str">
        <f t="shared" si="275"/>
        <v/>
      </c>
      <c r="J7681" s="471"/>
      <c r="K7681" s="1263" t="s">
        <v>2167</v>
      </c>
      <c r="L7681" s="461"/>
      <c r="M7681" s="461"/>
      <c r="N7681" s="461"/>
    </row>
    <row r="7682" spans="1:14" s="462" customFormat="1" hidden="1" outlineLevel="1">
      <c r="A7682" s="1261"/>
      <c r="B7682" s="260"/>
      <c r="C7682" s="457" t="s">
        <v>1</v>
      </c>
      <c r="D7682" s="440">
        <v>1</v>
      </c>
      <c r="E7682" s="441">
        <v>2</v>
      </c>
      <c r="F7682" s="1363">
        <v>3.2</v>
      </c>
      <c r="G7682" s="1363"/>
      <c r="H7682" s="1363">
        <v>0.2</v>
      </c>
      <c r="I7682" s="1129">
        <f t="shared" si="275"/>
        <v>1.28</v>
      </c>
      <c r="J7682" s="471"/>
      <c r="K7682" s="1263" t="s">
        <v>2167</v>
      </c>
      <c r="L7682" s="461"/>
      <c r="M7682" s="461"/>
      <c r="N7682" s="461"/>
    </row>
    <row r="7683" spans="1:14" s="462" customFormat="1" hidden="1" outlineLevel="1">
      <c r="A7683" s="1261"/>
      <c r="B7683" s="260"/>
      <c r="C7683" s="457"/>
      <c r="D7683" s="440"/>
      <c r="E7683" s="441"/>
      <c r="F7683" s="1363"/>
      <c r="G7683" s="1363"/>
      <c r="H7683" s="1363"/>
      <c r="I7683" s="1129" t="str">
        <f t="shared" si="275"/>
        <v/>
      </c>
      <c r="J7683" s="471"/>
      <c r="K7683" s="1263" t="s">
        <v>2167</v>
      </c>
      <c r="L7683" s="461"/>
      <c r="M7683" s="461"/>
      <c r="N7683" s="461"/>
    </row>
    <row r="7684" spans="1:14" s="462" customFormat="1" hidden="1" outlineLevel="1">
      <c r="A7684" s="1261"/>
      <c r="B7684" s="260"/>
      <c r="C7684" s="457" t="s">
        <v>1</v>
      </c>
      <c r="D7684" s="440">
        <v>1</v>
      </c>
      <c r="E7684" s="441">
        <v>2</v>
      </c>
      <c r="F7684" s="1363">
        <v>2.6</v>
      </c>
      <c r="G7684" s="1363"/>
      <c r="H7684" s="1363">
        <v>0.2</v>
      </c>
      <c r="I7684" s="1129">
        <f t="shared" si="275"/>
        <v>1.04</v>
      </c>
      <c r="J7684" s="471"/>
      <c r="K7684" s="1263" t="s">
        <v>2167</v>
      </c>
      <c r="L7684" s="461"/>
      <c r="M7684" s="461"/>
      <c r="N7684" s="461"/>
    </row>
    <row r="7685" spans="1:14" s="462" customFormat="1" hidden="1" outlineLevel="1">
      <c r="A7685" s="1261"/>
      <c r="B7685" s="260"/>
      <c r="C7685" s="457"/>
      <c r="D7685" s="440"/>
      <c r="E7685" s="441"/>
      <c r="F7685" s="1363"/>
      <c r="G7685" s="1363"/>
      <c r="H7685" s="1363"/>
      <c r="I7685" s="1129" t="str">
        <f t="shared" si="275"/>
        <v/>
      </c>
      <c r="J7685" s="471"/>
      <c r="K7685" s="1263" t="s">
        <v>2167</v>
      </c>
      <c r="L7685" s="461"/>
      <c r="M7685" s="461"/>
      <c r="N7685" s="461"/>
    </row>
    <row r="7686" spans="1:14" s="462" customFormat="1" hidden="1" outlineLevel="1">
      <c r="A7686" s="1261"/>
      <c r="B7686" s="260"/>
      <c r="C7686" s="457" t="s">
        <v>1</v>
      </c>
      <c r="D7686" s="440">
        <v>4</v>
      </c>
      <c r="E7686" s="441">
        <v>2</v>
      </c>
      <c r="F7686" s="1364">
        <v>1.77</v>
      </c>
      <c r="G7686" s="1363"/>
      <c r="H7686" s="1363">
        <v>0.2</v>
      </c>
      <c r="I7686" s="1129">
        <f t="shared" si="275"/>
        <v>2.83</v>
      </c>
      <c r="J7686" s="471"/>
      <c r="K7686" s="1263" t="s">
        <v>2167</v>
      </c>
      <c r="L7686" s="461"/>
      <c r="M7686" s="461"/>
      <c r="N7686" s="461"/>
    </row>
    <row r="7687" spans="1:14" s="462" customFormat="1" hidden="1" outlineLevel="1">
      <c r="A7687" s="1261"/>
      <c r="B7687" s="260"/>
      <c r="C7687" s="457"/>
      <c r="D7687" s="440"/>
      <c r="E7687" s="441"/>
      <c r="F7687" s="1363"/>
      <c r="G7687" s="1363"/>
      <c r="H7687" s="1363"/>
      <c r="I7687" s="1129" t="str">
        <f t="shared" si="275"/>
        <v/>
      </c>
      <c r="J7687" s="471"/>
      <c r="K7687" s="1263" t="s">
        <v>2167</v>
      </c>
      <c r="L7687" s="461"/>
      <c r="M7687" s="461"/>
      <c r="N7687" s="461"/>
    </row>
    <row r="7688" spans="1:14" s="462" customFormat="1" hidden="1" outlineLevel="1">
      <c r="A7688" s="1261"/>
      <c r="B7688" s="260" t="s">
        <v>548</v>
      </c>
      <c r="C7688" s="457"/>
      <c r="D7688" s="440"/>
      <c r="E7688" s="441"/>
      <c r="F7688" s="1363"/>
      <c r="G7688" s="1363"/>
      <c r="H7688" s="1363"/>
      <c r="I7688" s="1129" t="str">
        <f t="shared" si="275"/>
        <v/>
      </c>
      <c r="J7688" s="471"/>
      <c r="K7688" s="1263" t="s">
        <v>2167</v>
      </c>
      <c r="L7688" s="461"/>
      <c r="M7688" s="461"/>
      <c r="N7688" s="461"/>
    </row>
    <row r="7689" spans="1:14" s="462" customFormat="1" hidden="1" outlineLevel="1">
      <c r="A7689" s="1261"/>
      <c r="B7689" s="260" t="s">
        <v>549</v>
      </c>
      <c r="C7689" s="457" t="s">
        <v>1</v>
      </c>
      <c r="D7689" s="440">
        <v>1</v>
      </c>
      <c r="E7689" s="441">
        <v>2</v>
      </c>
      <c r="F7689" s="1363">
        <v>3.2050000000000001</v>
      </c>
      <c r="G7689" s="1363"/>
      <c r="H7689" s="1363">
        <v>0.2</v>
      </c>
      <c r="I7689" s="1129">
        <f t="shared" si="275"/>
        <v>1.28</v>
      </c>
      <c r="J7689" s="471"/>
      <c r="K7689" s="1263" t="s">
        <v>2167</v>
      </c>
      <c r="L7689" s="461"/>
      <c r="M7689" s="461"/>
      <c r="N7689" s="461"/>
    </row>
    <row r="7690" spans="1:14" s="462" customFormat="1" hidden="1" outlineLevel="1">
      <c r="A7690" s="1261"/>
      <c r="B7690" s="260"/>
      <c r="C7690" s="457"/>
      <c r="D7690" s="440"/>
      <c r="E7690" s="441"/>
      <c r="F7690" s="1363"/>
      <c r="G7690" s="1363"/>
      <c r="H7690" s="1363"/>
      <c r="I7690" s="1129" t="str">
        <f t="shared" si="275"/>
        <v/>
      </c>
      <c r="J7690" s="471"/>
      <c r="K7690" s="1263" t="s">
        <v>2167</v>
      </c>
      <c r="L7690" s="461"/>
      <c r="M7690" s="461"/>
      <c r="N7690" s="461"/>
    </row>
    <row r="7691" spans="1:14" s="462" customFormat="1" hidden="1" outlineLevel="1">
      <c r="A7691" s="1261"/>
      <c r="B7691" s="260"/>
      <c r="C7691" s="457" t="s">
        <v>1</v>
      </c>
      <c r="D7691" s="440">
        <v>2</v>
      </c>
      <c r="E7691" s="441">
        <v>2</v>
      </c>
      <c r="F7691" s="1363">
        <v>0.6</v>
      </c>
      <c r="G7691" s="1363"/>
      <c r="H7691" s="1363">
        <v>0.2</v>
      </c>
      <c r="I7691" s="1129">
        <f t="shared" si="275"/>
        <v>0.48</v>
      </c>
      <c r="J7691" s="471"/>
      <c r="K7691" s="1263" t="s">
        <v>2167</v>
      </c>
      <c r="L7691" s="461"/>
      <c r="M7691" s="461"/>
      <c r="N7691" s="461"/>
    </row>
    <row r="7692" spans="1:14" s="462" customFormat="1" hidden="1" outlineLevel="1">
      <c r="A7692" s="1261"/>
      <c r="B7692" s="260"/>
      <c r="C7692" s="457"/>
      <c r="D7692" s="440"/>
      <c r="E7692" s="441"/>
      <c r="F7692" s="1363"/>
      <c r="G7692" s="1363"/>
      <c r="H7692" s="1363"/>
      <c r="I7692" s="1129" t="str">
        <f t="shared" si="275"/>
        <v/>
      </c>
      <c r="J7692" s="471"/>
      <c r="K7692" s="1263" t="s">
        <v>2167</v>
      </c>
      <c r="L7692" s="461"/>
      <c r="M7692" s="461"/>
      <c r="N7692" s="461"/>
    </row>
    <row r="7693" spans="1:14" s="462" customFormat="1" hidden="1" outlineLevel="1">
      <c r="A7693" s="1261"/>
      <c r="B7693" s="260" t="s">
        <v>341</v>
      </c>
      <c r="C7693" s="457" t="s">
        <v>1</v>
      </c>
      <c r="D7693" s="440">
        <v>3</v>
      </c>
      <c r="E7693" s="441">
        <v>2</v>
      </c>
      <c r="F7693" s="1363">
        <v>2.6</v>
      </c>
      <c r="G7693" s="1363"/>
      <c r="H7693" s="1363">
        <v>0.2</v>
      </c>
      <c r="I7693" s="1129">
        <f t="shared" si="275"/>
        <v>3.12</v>
      </c>
      <c r="J7693" s="471"/>
      <c r="K7693" s="1263" t="s">
        <v>2167</v>
      </c>
      <c r="L7693" s="461"/>
      <c r="M7693" s="461"/>
      <c r="N7693" s="461"/>
    </row>
    <row r="7694" spans="1:14" s="462" customFormat="1" hidden="1" outlineLevel="1">
      <c r="A7694" s="1261"/>
      <c r="B7694" s="260"/>
      <c r="C7694" s="457"/>
      <c r="D7694" s="440"/>
      <c r="E7694" s="441"/>
      <c r="F7694" s="1363"/>
      <c r="G7694" s="1363"/>
      <c r="H7694" s="1363"/>
      <c r="I7694" s="1129" t="str">
        <f t="shared" si="275"/>
        <v/>
      </c>
      <c r="J7694" s="471"/>
      <c r="K7694" s="1263" t="s">
        <v>2167</v>
      </c>
      <c r="L7694" s="461"/>
      <c r="M7694" s="461"/>
      <c r="N7694" s="461"/>
    </row>
    <row r="7695" spans="1:14" s="462" customFormat="1" hidden="1" outlineLevel="1">
      <c r="A7695" s="1261"/>
      <c r="B7695" s="260"/>
      <c r="C7695" s="457" t="s">
        <v>1</v>
      </c>
      <c r="D7695" s="440">
        <v>2</v>
      </c>
      <c r="E7695" s="441">
        <v>2</v>
      </c>
      <c r="F7695" s="1364">
        <v>1.77</v>
      </c>
      <c r="G7695" s="1363"/>
      <c r="H7695" s="1363">
        <v>0.2</v>
      </c>
      <c r="I7695" s="1129">
        <f t="shared" si="275"/>
        <v>1.42</v>
      </c>
      <c r="J7695" s="471"/>
      <c r="K7695" s="1263" t="s">
        <v>2167</v>
      </c>
      <c r="L7695" s="461"/>
      <c r="M7695" s="461"/>
      <c r="N7695" s="461"/>
    </row>
    <row r="7696" spans="1:14" s="462" customFormat="1" hidden="1" outlineLevel="1">
      <c r="A7696" s="1261"/>
      <c r="B7696" s="260"/>
      <c r="C7696" s="457"/>
      <c r="D7696" s="440"/>
      <c r="E7696" s="441"/>
      <c r="F7696" s="1363"/>
      <c r="G7696" s="1363"/>
      <c r="H7696" s="1363"/>
      <c r="I7696" s="1129" t="str">
        <f t="shared" si="275"/>
        <v/>
      </c>
      <c r="J7696" s="471"/>
      <c r="K7696" s="1263" t="s">
        <v>2167</v>
      </c>
      <c r="L7696" s="461"/>
      <c r="M7696" s="461"/>
      <c r="N7696" s="461"/>
    </row>
    <row r="7697" spans="1:14" s="462" customFormat="1" hidden="1" outlineLevel="1">
      <c r="A7697" s="1261"/>
      <c r="B7697" s="260"/>
      <c r="C7697" s="457" t="s">
        <v>1</v>
      </c>
      <c r="D7697" s="440">
        <v>2</v>
      </c>
      <c r="E7697" s="441">
        <v>1</v>
      </c>
      <c r="F7697" s="1363">
        <v>2</v>
      </c>
      <c r="G7697" s="1363"/>
      <c r="H7697" s="1363">
        <v>0.2</v>
      </c>
      <c r="I7697" s="1129">
        <f t="shared" si="275"/>
        <v>0.8</v>
      </c>
      <c r="J7697" s="471"/>
      <c r="K7697" s="1263" t="s">
        <v>2167</v>
      </c>
      <c r="L7697" s="461"/>
      <c r="M7697" s="461"/>
      <c r="N7697" s="461"/>
    </row>
    <row r="7698" spans="1:14" s="462" customFormat="1" hidden="1" outlineLevel="1">
      <c r="A7698" s="1261"/>
      <c r="B7698" s="260"/>
      <c r="C7698" s="457"/>
      <c r="D7698" s="440"/>
      <c r="E7698" s="441"/>
      <c r="F7698" s="1363"/>
      <c r="G7698" s="1363"/>
      <c r="H7698" s="1363"/>
      <c r="I7698" s="1129" t="str">
        <f t="shared" si="275"/>
        <v/>
      </c>
      <c r="J7698" s="471"/>
      <c r="K7698" s="1263" t="s">
        <v>2167</v>
      </c>
      <c r="L7698" s="461"/>
      <c r="M7698" s="461"/>
      <c r="N7698" s="461"/>
    </row>
    <row r="7699" spans="1:14" s="462" customFormat="1" hidden="1" outlineLevel="1">
      <c r="A7699" s="1261"/>
      <c r="B7699" s="260" t="s">
        <v>550</v>
      </c>
      <c r="C7699" s="457"/>
      <c r="D7699" s="440"/>
      <c r="E7699" s="441"/>
      <c r="F7699" s="1363"/>
      <c r="G7699" s="1363"/>
      <c r="H7699" s="1363"/>
      <c r="I7699" s="1129" t="str">
        <f t="shared" si="275"/>
        <v/>
      </c>
      <c r="J7699" s="471"/>
      <c r="K7699" s="1263" t="s">
        <v>2167</v>
      </c>
      <c r="L7699" s="461"/>
      <c r="M7699" s="461"/>
      <c r="N7699" s="461"/>
    </row>
    <row r="7700" spans="1:14" s="462" customFormat="1" hidden="1" outlineLevel="1">
      <c r="A7700" s="1261"/>
      <c r="B7700" s="260" t="s">
        <v>550</v>
      </c>
      <c r="C7700" s="457" t="s">
        <v>1</v>
      </c>
      <c r="D7700" s="440">
        <v>2</v>
      </c>
      <c r="E7700" s="441">
        <v>1</v>
      </c>
      <c r="F7700" s="1363">
        <v>9.1549999999999994</v>
      </c>
      <c r="G7700" s="1363"/>
      <c r="H7700" s="1363">
        <v>0.2</v>
      </c>
      <c r="I7700" s="1129">
        <f t="shared" si="275"/>
        <v>3.66</v>
      </c>
      <c r="J7700" s="471"/>
      <c r="K7700" s="1263" t="s">
        <v>2167</v>
      </c>
      <c r="L7700" s="461"/>
      <c r="M7700" s="461"/>
      <c r="N7700" s="461"/>
    </row>
    <row r="7701" spans="1:14" s="462" customFormat="1" hidden="1" outlineLevel="1">
      <c r="A7701" s="1261"/>
      <c r="B7701" s="260"/>
      <c r="C7701" s="457"/>
      <c r="D7701" s="440"/>
      <c r="E7701" s="441"/>
      <c r="F7701" s="1363"/>
      <c r="G7701" s="1363"/>
      <c r="H7701" s="1363"/>
      <c r="I7701" s="1129" t="str">
        <f t="shared" si="275"/>
        <v/>
      </c>
      <c r="J7701" s="471"/>
      <c r="K7701" s="1263" t="s">
        <v>2167</v>
      </c>
      <c r="L7701" s="461"/>
      <c r="M7701" s="461"/>
      <c r="N7701" s="461"/>
    </row>
    <row r="7702" spans="1:14" s="462" customFormat="1" hidden="1" outlineLevel="1">
      <c r="A7702" s="1261"/>
      <c r="B7702" s="260"/>
      <c r="C7702" s="457" t="s">
        <v>1</v>
      </c>
      <c r="D7702" s="440">
        <v>2</v>
      </c>
      <c r="E7702" s="441">
        <v>2</v>
      </c>
      <c r="F7702" s="1363">
        <v>7.0149999999999997</v>
      </c>
      <c r="G7702" s="1363"/>
      <c r="H7702" s="1363">
        <v>0.2</v>
      </c>
      <c r="I7702" s="1129">
        <f t="shared" si="275"/>
        <v>5.61</v>
      </c>
      <c r="J7702" s="471"/>
      <c r="K7702" s="1263" t="s">
        <v>2167</v>
      </c>
      <c r="L7702" s="461"/>
      <c r="M7702" s="461"/>
      <c r="N7702" s="461"/>
    </row>
    <row r="7703" spans="1:14" s="462" customFormat="1" hidden="1" outlineLevel="1">
      <c r="A7703" s="1261"/>
      <c r="B7703" s="260" t="s">
        <v>542</v>
      </c>
      <c r="C7703" s="457" t="s">
        <v>1</v>
      </c>
      <c r="D7703" s="440">
        <v>4</v>
      </c>
      <c r="E7703" s="441">
        <v>2</v>
      </c>
      <c r="F7703" s="1363">
        <v>3</v>
      </c>
      <c r="G7703" s="1363"/>
      <c r="H7703" s="1363">
        <v>0.27500000000000002</v>
      </c>
      <c r="I7703" s="1165">
        <f t="shared" si="275"/>
        <v>6.6</v>
      </c>
      <c r="J7703" s="471"/>
      <c r="K7703" s="1263" t="s">
        <v>2168</v>
      </c>
      <c r="L7703" s="461"/>
      <c r="M7703" s="461"/>
      <c r="N7703" s="461"/>
    </row>
    <row r="7704" spans="1:14" s="462" customFormat="1" hidden="1" outlineLevel="1">
      <c r="A7704" s="1261"/>
      <c r="B7704" s="260"/>
      <c r="C7704" s="457"/>
      <c r="D7704" s="440"/>
      <c r="E7704" s="441"/>
      <c r="F7704" s="1363"/>
      <c r="G7704" s="1363"/>
      <c r="H7704" s="1363"/>
      <c r="I7704" s="1163" t="str">
        <f t="shared" si="275"/>
        <v/>
      </c>
      <c r="J7704" s="471"/>
      <c r="K7704" s="1263"/>
      <c r="L7704" s="461"/>
      <c r="M7704" s="461"/>
      <c r="N7704" s="461"/>
    </row>
    <row r="7705" spans="1:14" s="462" customFormat="1" hidden="1" outlineLevel="1">
      <c r="A7705" s="1261"/>
      <c r="B7705" s="260"/>
      <c r="C7705" s="457" t="s">
        <v>1</v>
      </c>
      <c r="D7705" s="440">
        <v>2</v>
      </c>
      <c r="E7705" s="441">
        <v>1</v>
      </c>
      <c r="F7705" s="1363">
        <v>5.49</v>
      </c>
      <c r="G7705" s="1363"/>
      <c r="H7705" s="1363">
        <v>0.2</v>
      </c>
      <c r="I7705" s="1129">
        <f t="shared" si="275"/>
        <v>2.2000000000000002</v>
      </c>
      <c r="J7705" s="471"/>
      <c r="K7705" s="1263" t="s">
        <v>2167</v>
      </c>
      <c r="L7705" s="461"/>
      <c r="M7705" s="461"/>
      <c r="N7705" s="461"/>
    </row>
    <row r="7706" spans="1:14" s="462" customFormat="1" hidden="1" outlineLevel="1">
      <c r="A7706" s="1261"/>
      <c r="B7706" s="260"/>
      <c r="C7706" s="457"/>
      <c r="D7706" s="440"/>
      <c r="E7706" s="441"/>
      <c r="F7706" s="1363"/>
      <c r="G7706" s="1363"/>
      <c r="H7706" s="1363"/>
      <c r="I7706" s="1129" t="str">
        <f t="shared" si="275"/>
        <v/>
      </c>
      <c r="J7706" s="471"/>
      <c r="K7706" s="1263" t="s">
        <v>2167</v>
      </c>
      <c r="L7706" s="461"/>
      <c r="M7706" s="461"/>
      <c r="N7706" s="461"/>
    </row>
    <row r="7707" spans="1:14" s="462" customFormat="1" hidden="1" outlineLevel="1">
      <c r="A7707" s="1261"/>
      <c r="B7707" s="260"/>
      <c r="C7707" s="457" t="s">
        <v>1</v>
      </c>
      <c r="D7707" s="440">
        <v>2</v>
      </c>
      <c r="E7707" s="441">
        <v>1</v>
      </c>
      <c r="F7707" s="1363">
        <v>1.5249999999999999</v>
      </c>
      <c r="G7707" s="1363"/>
      <c r="H7707" s="1363">
        <v>0.2</v>
      </c>
      <c r="I7707" s="1129">
        <f t="shared" si="275"/>
        <v>0.61</v>
      </c>
      <c r="J7707" s="471"/>
      <c r="K7707" s="1263" t="s">
        <v>2167</v>
      </c>
      <c r="L7707" s="461"/>
      <c r="M7707" s="461"/>
      <c r="N7707" s="461"/>
    </row>
    <row r="7708" spans="1:14" s="462" customFormat="1" hidden="1" outlineLevel="1">
      <c r="A7708" s="1261"/>
      <c r="B7708" s="260"/>
      <c r="C7708" s="457"/>
      <c r="D7708" s="440"/>
      <c r="E7708" s="441"/>
      <c r="F7708" s="1363"/>
      <c r="G7708" s="1363"/>
      <c r="H7708" s="1363"/>
      <c r="I7708" s="1129" t="str">
        <f t="shared" si="275"/>
        <v/>
      </c>
      <c r="J7708" s="471"/>
      <c r="K7708" s="1263" t="s">
        <v>2167</v>
      </c>
      <c r="L7708" s="461"/>
      <c r="M7708" s="461"/>
      <c r="N7708" s="461"/>
    </row>
    <row r="7709" spans="1:14" s="462" customFormat="1" hidden="1" outlineLevel="1">
      <c r="A7709" s="1261"/>
      <c r="B7709" s="260" t="s">
        <v>207</v>
      </c>
      <c r="C7709" s="457" t="s">
        <v>1</v>
      </c>
      <c r="D7709" s="440">
        <v>2</v>
      </c>
      <c r="E7709" s="441">
        <v>1</v>
      </c>
      <c r="F7709" s="1363">
        <v>2.44</v>
      </c>
      <c r="G7709" s="1363"/>
      <c r="H7709" s="1363">
        <v>0.2</v>
      </c>
      <c r="I7709" s="1129">
        <f t="shared" si="275"/>
        <v>0.98</v>
      </c>
      <c r="J7709" s="471"/>
      <c r="K7709" s="1263" t="s">
        <v>2167</v>
      </c>
      <c r="L7709" s="461"/>
      <c r="M7709" s="461"/>
      <c r="N7709" s="461"/>
    </row>
    <row r="7710" spans="1:14" s="462" customFormat="1" hidden="1" outlineLevel="1">
      <c r="A7710" s="1261"/>
      <c r="B7710" s="260"/>
      <c r="C7710" s="457"/>
      <c r="D7710" s="440"/>
      <c r="E7710" s="441"/>
      <c r="F7710" s="1363"/>
      <c r="G7710" s="1363"/>
      <c r="H7710" s="1363"/>
      <c r="I7710" s="1129" t="str">
        <f t="shared" si="275"/>
        <v/>
      </c>
      <c r="J7710" s="471"/>
      <c r="K7710" s="1263" t="s">
        <v>2167</v>
      </c>
      <c r="L7710" s="461"/>
      <c r="M7710" s="461"/>
      <c r="N7710" s="461"/>
    </row>
    <row r="7711" spans="1:14" s="462" customFormat="1" hidden="1" outlineLevel="1">
      <c r="A7711" s="1261"/>
      <c r="B7711" s="260"/>
      <c r="C7711" s="457" t="s">
        <v>1</v>
      </c>
      <c r="D7711" s="440">
        <v>2</v>
      </c>
      <c r="E7711" s="441">
        <v>1</v>
      </c>
      <c r="F7711" s="1363">
        <v>1.22</v>
      </c>
      <c r="G7711" s="1363"/>
      <c r="H7711" s="1363">
        <v>0.2</v>
      </c>
      <c r="I7711" s="1129">
        <f t="shared" si="275"/>
        <v>0.49</v>
      </c>
      <c r="J7711" s="471"/>
      <c r="K7711" s="1263" t="s">
        <v>2167</v>
      </c>
      <c r="L7711" s="461"/>
      <c r="M7711" s="461"/>
      <c r="N7711" s="461"/>
    </row>
    <row r="7712" spans="1:14" s="462" customFormat="1" hidden="1" outlineLevel="1">
      <c r="A7712" s="1261"/>
      <c r="B7712" s="260"/>
      <c r="C7712" s="457"/>
      <c r="D7712" s="440"/>
      <c r="E7712" s="441"/>
      <c r="F7712" s="1363"/>
      <c r="G7712" s="1363"/>
      <c r="H7712" s="1363"/>
      <c r="I7712" s="1129" t="str">
        <f t="shared" si="275"/>
        <v/>
      </c>
      <c r="J7712" s="471"/>
      <c r="K7712" s="1263" t="s">
        <v>2167</v>
      </c>
      <c r="L7712" s="461"/>
      <c r="M7712" s="461"/>
      <c r="N7712" s="461"/>
    </row>
    <row r="7713" spans="1:14" s="462" customFormat="1" hidden="1" outlineLevel="1">
      <c r="A7713" s="1261"/>
      <c r="B7713" s="260"/>
      <c r="C7713" s="457" t="s">
        <v>1</v>
      </c>
      <c r="D7713" s="440">
        <f>2*0</f>
        <v>0</v>
      </c>
      <c r="E7713" s="441">
        <v>1</v>
      </c>
      <c r="F7713" s="1363">
        <v>3.9749999999999996</v>
      </c>
      <c r="G7713" s="1363"/>
      <c r="H7713" s="1363">
        <v>0.2</v>
      </c>
      <c r="I7713" s="1129" t="str">
        <f t="shared" ref="I7713:I7776" si="276">IF(D7713&lt;&gt;0,ROUND(PRODUCT(E7713:H7713)*D7713,2),"")</f>
        <v/>
      </c>
      <c r="J7713" s="471"/>
      <c r="K7713" s="1263" t="s">
        <v>2167</v>
      </c>
      <c r="L7713" s="461"/>
      <c r="M7713" s="461"/>
      <c r="N7713" s="461"/>
    </row>
    <row r="7714" spans="1:14" s="462" customFormat="1" hidden="1" outlineLevel="1">
      <c r="A7714" s="1261"/>
      <c r="B7714" s="260"/>
      <c r="C7714" s="457"/>
      <c r="D7714" s="440"/>
      <c r="E7714" s="441"/>
      <c r="F7714" s="1363"/>
      <c r="G7714" s="1363"/>
      <c r="H7714" s="1363"/>
      <c r="I7714" s="1129" t="str">
        <f t="shared" si="276"/>
        <v/>
      </c>
      <c r="J7714" s="471"/>
      <c r="K7714" s="1263" t="s">
        <v>2167</v>
      </c>
      <c r="L7714" s="461"/>
      <c r="M7714" s="461"/>
      <c r="N7714" s="461"/>
    </row>
    <row r="7715" spans="1:14" s="462" customFormat="1" hidden="1" outlineLevel="1">
      <c r="A7715" s="1261"/>
      <c r="B7715" s="260"/>
      <c r="C7715" s="457" t="s">
        <v>1</v>
      </c>
      <c r="D7715" s="440">
        <v>2</v>
      </c>
      <c r="E7715" s="441">
        <v>2</v>
      </c>
      <c r="F7715" s="1363">
        <v>3.9649999999999999</v>
      </c>
      <c r="G7715" s="1363"/>
      <c r="H7715" s="1363">
        <v>0.2</v>
      </c>
      <c r="I7715" s="1129">
        <f t="shared" si="276"/>
        <v>3.17</v>
      </c>
      <c r="J7715" s="471"/>
      <c r="K7715" s="1263" t="s">
        <v>2167</v>
      </c>
      <c r="L7715" s="461"/>
      <c r="M7715" s="461"/>
      <c r="N7715" s="461"/>
    </row>
    <row r="7716" spans="1:14" s="462" customFormat="1" hidden="1" outlineLevel="1">
      <c r="A7716" s="1261"/>
      <c r="B7716" s="260"/>
      <c r="C7716" s="457"/>
      <c r="D7716" s="440"/>
      <c r="E7716" s="441"/>
      <c r="F7716" s="1363"/>
      <c r="G7716" s="1363"/>
      <c r="H7716" s="1363"/>
      <c r="I7716" s="1129" t="str">
        <f t="shared" si="276"/>
        <v/>
      </c>
      <c r="J7716" s="471"/>
      <c r="K7716" s="1263" t="s">
        <v>2167</v>
      </c>
      <c r="L7716" s="461"/>
      <c r="M7716" s="461"/>
      <c r="N7716" s="461"/>
    </row>
    <row r="7717" spans="1:14" s="462" customFormat="1" hidden="1" outlineLevel="1">
      <c r="A7717" s="1261"/>
      <c r="B7717" s="260"/>
      <c r="C7717" s="457" t="s">
        <v>1</v>
      </c>
      <c r="D7717" s="440">
        <v>2</v>
      </c>
      <c r="E7717" s="441">
        <v>1</v>
      </c>
      <c r="F7717" s="1364">
        <v>3.3250000000000002</v>
      </c>
      <c r="G7717" s="1363"/>
      <c r="H7717" s="1363">
        <v>0.2</v>
      </c>
      <c r="I7717" s="1129">
        <f t="shared" si="276"/>
        <v>1.33</v>
      </c>
      <c r="J7717" s="471"/>
      <c r="K7717" s="1263" t="s">
        <v>2167</v>
      </c>
      <c r="L7717" s="461"/>
      <c r="M7717" s="461"/>
      <c r="N7717" s="461"/>
    </row>
    <row r="7718" spans="1:14" s="462" customFormat="1" hidden="1" outlineLevel="1">
      <c r="A7718" s="1261"/>
      <c r="B7718" s="260"/>
      <c r="C7718" s="457"/>
      <c r="D7718" s="440"/>
      <c r="E7718" s="441"/>
      <c r="F7718" s="1363"/>
      <c r="G7718" s="1363"/>
      <c r="H7718" s="1363"/>
      <c r="I7718" s="1129" t="str">
        <f t="shared" si="276"/>
        <v/>
      </c>
      <c r="J7718" s="471"/>
      <c r="K7718" s="1263" t="s">
        <v>2167</v>
      </c>
      <c r="L7718" s="461"/>
      <c r="M7718" s="461"/>
      <c r="N7718" s="461"/>
    </row>
    <row r="7719" spans="1:14" s="462" customFormat="1" hidden="1" outlineLevel="1">
      <c r="A7719" s="1261"/>
      <c r="B7719" s="260"/>
      <c r="C7719" s="457" t="s">
        <v>1</v>
      </c>
      <c r="D7719" s="472">
        <v>1</v>
      </c>
      <c r="E7719" s="441">
        <v>2</v>
      </c>
      <c r="F7719" s="1363">
        <v>0.91500000000000004</v>
      </c>
      <c r="G7719" s="1363"/>
      <c r="H7719" s="1363">
        <v>0.2</v>
      </c>
      <c r="I7719" s="1129">
        <f t="shared" si="276"/>
        <v>0.37</v>
      </c>
      <c r="J7719" s="471"/>
      <c r="K7719" s="1263" t="s">
        <v>2167</v>
      </c>
      <c r="L7719" s="461"/>
      <c r="M7719" s="461"/>
      <c r="N7719" s="461"/>
    </row>
    <row r="7720" spans="1:14" s="462" customFormat="1" hidden="1" outlineLevel="1">
      <c r="A7720" s="1261"/>
      <c r="B7720" s="260"/>
      <c r="C7720" s="457"/>
      <c r="D7720" s="440"/>
      <c r="E7720" s="441"/>
      <c r="F7720" s="1363"/>
      <c r="G7720" s="1363"/>
      <c r="H7720" s="1363"/>
      <c r="I7720" s="1129" t="str">
        <f t="shared" si="276"/>
        <v/>
      </c>
      <c r="J7720" s="471"/>
      <c r="K7720" s="1263" t="s">
        <v>2167</v>
      </c>
      <c r="L7720" s="461"/>
      <c r="M7720" s="461"/>
      <c r="N7720" s="461"/>
    </row>
    <row r="7721" spans="1:14" s="462" customFormat="1" hidden="1" outlineLevel="1">
      <c r="A7721" s="1261"/>
      <c r="B7721" s="260"/>
      <c r="C7721" s="457" t="s">
        <v>1</v>
      </c>
      <c r="D7721" s="440">
        <v>2</v>
      </c>
      <c r="E7721" s="441">
        <v>1</v>
      </c>
      <c r="F7721" s="1363">
        <v>1.5249999999999999</v>
      </c>
      <c r="G7721" s="1363"/>
      <c r="H7721" s="1363">
        <v>0.2</v>
      </c>
      <c r="I7721" s="1129">
        <f t="shared" si="276"/>
        <v>0.61</v>
      </c>
      <c r="J7721" s="471"/>
      <c r="K7721" s="1263" t="s">
        <v>2167</v>
      </c>
      <c r="L7721" s="461"/>
      <c r="M7721" s="461"/>
      <c r="N7721" s="461"/>
    </row>
    <row r="7722" spans="1:14" s="462" customFormat="1" hidden="1" outlineLevel="1">
      <c r="A7722" s="1261"/>
      <c r="B7722" s="260"/>
      <c r="C7722" s="457"/>
      <c r="D7722" s="440"/>
      <c r="E7722" s="441"/>
      <c r="F7722" s="1363"/>
      <c r="G7722" s="1363"/>
      <c r="H7722" s="1363"/>
      <c r="I7722" s="1129" t="str">
        <f t="shared" si="276"/>
        <v/>
      </c>
      <c r="J7722" s="471"/>
      <c r="K7722" s="1263" t="s">
        <v>2167</v>
      </c>
      <c r="L7722" s="461"/>
      <c r="M7722" s="461"/>
      <c r="N7722" s="461"/>
    </row>
    <row r="7723" spans="1:14" s="462" customFormat="1" hidden="1" outlineLevel="1">
      <c r="A7723" s="1261"/>
      <c r="B7723" s="260"/>
      <c r="C7723" s="457" t="s">
        <v>1</v>
      </c>
      <c r="D7723" s="440">
        <v>2</v>
      </c>
      <c r="E7723" s="441">
        <v>1</v>
      </c>
      <c r="F7723" s="1363">
        <v>2.11</v>
      </c>
      <c r="G7723" s="1363"/>
      <c r="H7723" s="1363">
        <v>0.2</v>
      </c>
      <c r="I7723" s="1129">
        <f t="shared" si="276"/>
        <v>0.84</v>
      </c>
      <c r="J7723" s="471"/>
      <c r="K7723" s="1263" t="s">
        <v>2167</v>
      </c>
      <c r="L7723" s="461"/>
      <c r="M7723" s="461"/>
      <c r="N7723" s="461"/>
    </row>
    <row r="7724" spans="1:14" s="462" customFormat="1" hidden="1" outlineLevel="1">
      <c r="A7724" s="1261"/>
      <c r="B7724" s="260"/>
      <c r="C7724" s="457"/>
      <c r="D7724" s="440"/>
      <c r="E7724" s="441"/>
      <c r="F7724" s="1363"/>
      <c r="G7724" s="1363"/>
      <c r="H7724" s="1363"/>
      <c r="I7724" s="1129" t="str">
        <f t="shared" si="276"/>
        <v/>
      </c>
      <c r="J7724" s="471"/>
      <c r="K7724" s="1263" t="s">
        <v>2167</v>
      </c>
      <c r="L7724" s="461"/>
      <c r="M7724" s="461"/>
      <c r="N7724" s="461"/>
    </row>
    <row r="7725" spans="1:14" s="462" customFormat="1" ht="34.5" hidden="1" outlineLevel="1">
      <c r="A7725" s="1261"/>
      <c r="B7725" s="260" t="s">
        <v>551</v>
      </c>
      <c r="C7725" s="457"/>
      <c r="D7725" s="440"/>
      <c r="E7725" s="441"/>
      <c r="F7725" s="1363"/>
      <c r="G7725" s="1363"/>
      <c r="H7725" s="1363"/>
      <c r="I7725" s="1129" t="str">
        <f t="shared" si="276"/>
        <v/>
      </c>
      <c r="J7725" s="471"/>
      <c r="K7725" s="1263" t="s">
        <v>2167</v>
      </c>
      <c r="L7725" s="461"/>
      <c r="M7725" s="461"/>
      <c r="N7725" s="461"/>
    </row>
    <row r="7726" spans="1:14" s="462" customFormat="1" hidden="1" outlineLevel="1">
      <c r="A7726" s="1261"/>
      <c r="B7726" s="260"/>
      <c r="C7726" s="457"/>
      <c r="D7726" s="440"/>
      <c r="E7726" s="441"/>
      <c r="F7726" s="1363"/>
      <c r="G7726" s="1363"/>
      <c r="H7726" s="1363"/>
      <c r="I7726" s="1129" t="str">
        <f t="shared" si="276"/>
        <v/>
      </c>
      <c r="J7726" s="471"/>
      <c r="K7726" s="1263" t="s">
        <v>2167</v>
      </c>
      <c r="L7726" s="461"/>
      <c r="M7726" s="461"/>
      <c r="N7726" s="461"/>
    </row>
    <row r="7727" spans="1:14" s="462" customFormat="1" hidden="1" outlineLevel="1">
      <c r="A7727" s="1261"/>
      <c r="B7727" s="260" t="s">
        <v>209</v>
      </c>
      <c r="C7727" s="457" t="s">
        <v>1</v>
      </c>
      <c r="D7727" s="440">
        <v>2</v>
      </c>
      <c r="E7727" s="441">
        <v>2</v>
      </c>
      <c r="F7727" s="1363">
        <v>29.25</v>
      </c>
      <c r="G7727" s="1363"/>
      <c r="H7727" s="1363">
        <v>0.2</v>
      </c>
      <c r="I7727" s="1129">
        <f t="shared" si="276"/>
        <v>23.4</v>
      </c>
      <c r="J7727" s="471"/>
      <c r="K7727" s="1263" t="s">
        <v>2167</v>
      </c>
      <c r="L7727" s="461"/>
      <c r="M7727" s="461"/>
      <c r="N7727" s="461"/>
    </row>
    <row r="7728" spans="1:14" s="462" customFormat="1" hidden="1" outlineLevel="1">
      <c r="A7728" s="1261"/>
      <c r="B7728" s="260"/>
      <c r="C7728" s="457"/>
      <c r="D7728" s="440"/>
      <c r="E7728" s="441"/>
      <c r="F7728" s="1363"/>
      <c r="G7728" s="1363"/>
      <c r="H7728" s="1363"/>
      <c r="I7728" s="1129" t="str">
        <f t="shared" si="276"/>
        <v/>
      </c>
      <c r="J7728" s="471"/>
      <c r="K7728" s="1263" t="s">
        <v>2167</v>
      </c>
      <c r="L7728" s="461"/>
      <c r="M7728" s="461"/>
      <c r="N7728" s="461"/>
    </row>
    <row r="7729" spans="1:14" s="462" customFormat="1" hidden="1" outlineLevel="1">
      <c r="A7729" s="1261"/>
      <c r="B7729" s="260"/>
      <c r="C7729" s="457" t="s">
        <v>1</v>
      </c>
      <c r="D7729" s="440">
        <v>2</v>
      </c>
      <c r="E7729" s="441">
        <v>2</v>
      </c>
      <c r="F7729" s="1363">
        <v>0.6</v>
      </c>
      <c r="G7729" s="1363"/>
      <c r="H7729" s="1363">
        <v>0.2</v>
      </c>
      <c r="I7729" s="1129">
        <f t="shared" si="276"/>
        <v>0.48</v>
      </c>
      <c r="J7729" s="471"/>
      <c r="K7729" s="1263" t="s">
        <v>2167</v>
      </c>
      <c r="L7729" s="461"/>
      <c r="M7729" s="461"/>
      <c r="N7729" s="461"/>
    </row>
    <row r="7730" spans="1:14" s="462" customFormat="1" hidden="1" outlineLevel="1">
      <c r="A7730" s="1261"/>
      <c r="B7730" s="260"/>
      <c r="C7730" s="457"/>
      <c r="D7730" s="440"/>
      <c r="E7730" s="441"/>
      <c r="F7730" s="1363"/>
      <c r="G7730" s="1363"/>
      <c r="H7730" s="1363"/>
      <c r="I7730" s="1129" t="str">
        <f t="shared" si="276"/>
        <v/>
      </c>
      <c r="J7730" s="471"/>
      <c r="K7730" s="1263" t="s">
        <v>2167</v>
      </c>
      <c r="L7730" s="461"/>
      <c r="M7730" s="461"/>
      <c r="N7730" s="461"/>
    </row>
    <row r="7731" spans="1:14" s="462" customFormat="1" hidden="1" outlineLevel="1">
      <c r="A7731" s="1261"/>
      <c r="B7731" s="260" t="s">
        <v>210</v>
      </c>
      <c r="C7731" s="457" t="s">
        <v>1</v>
      </c>
      <c r="D7731" s="440">
        <v>2</v>
      </c>
      <c r="E7731" s="441">
        <v>2</v>
      </c>
      <c r="F7731" s="1363">
        <v>5.0250000000000004</v>
      </c>
      <c r="G7731" s="1363"/>
      <c r="H7731" s="1363">
        <v>0.2</v>
      </c>
      <c r="I7731" s="1129">
        <f t="shared" si="276"/>
        <v>4.0199999999999996</v>
      </c>
      <c r="J7731" s="471"/>
      <c r="K7731" s="1263" t="s">
        <v>2167</v>
      </c>
      <c r="L7731" s="461"/>
      <c r="M7731" s="461"/>
      <c r="N7731" s="461"/>
    </row>
    <row r="7732" spans="1:14" s="462" customFormat="1" hidden="1" outlineLevel="1">
      <c r="A7732" s="1261"/>
      <c r="B7732" s="260"/>
      <c r="C7732" s="457"/>
      <c r="D7732" s="440"/>
      <c r="E7732" s="441"/>
      <c r="F7732" s="1363"/>
      <c r="G7732" s="1363"/>
      <c r="H7732" s="1363"/>
      <c r="I7732" s="1129" t="str">
        <f t="shared" si="276"/>
        <v/>
      </c>
      <c r="J7732" s="471"/>
      <c r="K7732" s="1263" t="s">
        <v>2167</v>
      </c>
      <c r="L7732" s="461"/>
      <c r="M7732" s="461"/>
      <c r="N7732" s="461"/>
    </row>
    <row r="7733" spans="1:14" s="462" customFormat="1" hidden="1" outlineLevel="1">
      <c r="A7733" s="1261"/>
      <c r="B7733" s="260"/>
      <c r="C7733" s="457" t="s">
        <v>1</v>
      </c>
      <c r="D7733" s="440">
        <v>2</v>
      </c>
      <c r="E7733" s="441">
        <v>2</v>
      </c>
      <c r="F7733" s="1363">
        <v>1.1950000000000001</v>
      </c>
      <c r="G7733" s="1363"/>
      <c r="H7733" s="1363">
        <v>0.2</v>
      </c>
      <c r="I7733" s="1129">
        <f t="shared" si="276"/>
        <v>0.96</v>
      </c>
      <c r="J7733" s="471"/>
      <c r="K7733" s="1263" t="s">
        <v>2167</v>
      </c>
      <c r="L7733" s="461"/>
      <c r="M7733" s="461"/>
      <c r="N7733" s="461"/>
    </row>
    <row r="7734" spans="1:14" s="462" customFormat="1" hidden="1" outlineLevel="1">
      <c r="A7734" s="1261"/>
      <c r="B7734" s="260"/>
      <c r="C7734" s="457"/>
      <c r="D7734" s="440"/>
      <c r="E7734" s="441"/>
      <c r="F7734" s="1363"/>
      <c r="G7734" s="1363"/>
      <c r="H7734" s="1363"/>
      <c r="I7734" s="1129" t="str">
        <f t="shared" si="276"/>
        <v/>
      </c>
      <c r="J7734" s="471"/>
      <c r="K7734" s="1263" t="s">
        <v>2167</v>
      </c>
      <c r="L7734" s="461"/>
      <c r="M7734" s="461"/>
      <c r="N7734" s="461"/>
    </row>
    <row r="7735" spans="1:14" s="462" customFormat="1" hidden="1" outlineLevel="1">
      <c r="A7735" s="1261"/>
      <c r="B7735" s="260" t="s">
        <v>211</v>
      </c>
      <c r="C7735" s="457" t="s">
        <v>1</v>
      </c>
      <c r="D7735" s="440">
        <v>2</v>
      </c>
      <c r="E7735" s="441">
        <v>2</v>
      </c>
      <c r="F7735" s="1363">
        <v>5.85</v>
      </c>
      <c r="G7735" s="1363"/>
      <c r="H7735" s="1363">
        <v>0.2</v>
      </c>
      <c r="I7735" s="1129">
        <f t="shared" si="276"/>
        <v>4.68</v>
      </c>
      <c r="J7735" s="471"/>
      <c r="K7735" s="1263" t="s">
        <v>2167</v>
      </c>
      <c r="L7735" s="461"/>
      <c r="M7735" s="461"/>
      <c r="N7735" s="461"/>
    </row>
    <row r="7736" spans="1:14" s="462" customFormat="1" hidden="1" outlineLevel="1">
      <c r="A7736" s="1261"/>
      <c r="B7736" s="260"/>
      <c r="C7736" s="457"/>
      <c r="D7736" s="440"/>
      <c r="E7736" s="441"/>
      <c r="F7736" s="1363"/>
      <c r="G7736" s="1363"/>
      <c r="H7736" s="1363"/>
      <c r="I7736" s="1129" t="str">
        <f t="shared" si="276"/>
        <v/>
      </c>
      <c r="J7736" s="471"/>
      <c r="K7736" s="1263" t="s">
        <v>2167</v>
      </c>
      <c r="L7736" s="461"/>
      <c r="M7736" s="461"/>
      <c r="N7736" s="461"/>
    </row>
    <row r="7737" spans="1:14" s="462" customFormat="1" hidden="1" outlineLevel="1">
      <c r="A7737" s="1261"/>
      <c r="B7737" s="260"/>
      <c r="C7737" s="457" t="s">
        <v>1</v>
      </c>
      <c r="D7737" s="440">
        <v>2</v>
      </c>
      <c r="E7737" s="441">
        <v>2</v>
      </c>
      <c r="F7737" s="1363">
        <v>1.1950000000000001</v>
      </c>
      <c r="G7737" s="1363"/>
      <c r="H7737" s="1363">
        <v>0.2</v>
      </c>
      <c r="I7737" s="1129">
        <f t="shared" si="276"/>
        <v>0.96</v>
      </c>
      <c r="J7737" s="471"/>
      <c r="K7737" s="1263" t="s">
        <v>2167</v>
      </c>
      <c r="L7737" s="461"/>
      <c r="M7737" s="461"/>
      <c r="N7737" s="461"/>
    </row>
    <row r="7738" spans="1:14" s="462" customFormat="1" hidden="1" outlineLevel="1">
      <c r="A7738" s="1261"/>
      <c r="B7738" s="260"/>
      <c r="C7738" s="457"/>
      <c r="D7738" s="440"/>
      <c r="E7738" s="441"/>
      <c r="F7738" s="1363"/>
      <c r="G7738" s="1363"/>
      <c r="H7738" s="1363"/>
      <c r="I7738" s="1129" t="str">
        <f t="shared" si="276"/>
        <v/>
      </c>
      <c r="J7738" s="471"/>
      <c r="K7738" s="1263" t="s">
        <v>2167</v>
      </c>
      <c r="L7738" s="461"/>
      <c r="M7738" s="461"/>
      <c r="N7738" s="461"/>
    </row>
    <row r="7739" spans="1:14" s="462" customFormat="1" hidden="1" outlineLevel="1">
      <c r="A7739" s="1261"/>
      <c r="B7739" s="260" t="s">
        <v>546</v>
      </c>
      <c r="C7739" s="457"/>
      <c r="D7739" s="440"/>
      <c r="E7739" s="441"/>
      <c r="F7739" s="1363"/>
      <c r="G7739" s="1363"/>
      <c r="H7739" s="1363"/>
      <c r="I7739" s="1129" t="str">
        <f t="shared" si="276"/>
        <v/>
      </c>
      <c r="J7739" s="471"/>
      <c r="K7739" s="1263" t="s">
        <v>2167</v>
      </c>
      <c r="L7739" s="461"/>
      <c r="M7739" s="461"/>
      <c r="N7739" s="461"/>
    </row>
    <row r="7740" spans="1:14" s="462" customFormat="1" hidden="1" outlineLevel="1">
      <c r="A7740" s="1261"/>
      <c r="B7740" s="260"/>
      <c r="C7740" s="457"/>
      <c r="D7740" s="440"/>
      <c r="E7740" s="441"/>
      <c r="F7740" s="1363"/>
      <c r="G7740" s="1363"/>
      <c r="H7740" s="1363"/>
      <c r="I7740" s="1129" t="str">
        <f t="shared" si="276"/>
        <v/>
      </c>
      <c r="J7740" s="471"/>
      <c r="K7740" s="1263" t="s">
        <v>2167</v>
      </c>
      <c r="L7740" s="461"/>
      <c r="M7740" s="461"/>
      <c r="N7740" s="461"/>
    </row>
    <row r="7741" spans="1:14" s="462" customFormat="1" hidden="1" outlineLevel="1">
      <c r="A7741" s="1261"/>
      <c r="B7741" s="260" t="s">
        <v>552</v>
      </c>
      <c r="C7741" s="457" t="s">
        <v>1</v>
      </c>
      <c r="D7741" s="440">
        <v>2</v>
      </c>
      <c r="E7741" s="441">
        <v>1</v>
      </c>
      <c r="F7741" s="1363">
        <v>4.2</v>
      </c>
      <c r="G7741" s="1363"/>
      <c r="H7741" s="1363">
        <v>0.2</v>
      </c>
      <c r="I7741" s="1129">
        <f t="shared" si="276"/>
        <v>1.68</v>
      </c>
      <c r="J7741" s="471"/>
      <c r="K7741" s="1263" t="s">
        <v>2167</v>
      </c>
      <c r="L7741" s="461"/>
      <c r="M7741" s="461"/>
      <c r="N7741" s="461"/>
    </row>
    <row r="7742" spans="1:14" s="462" customFormat="1" hidden="1" outlineLevel="1">
      <c r="A7742" s="1261"/>
      <c r="B7742" s="260"/>
      <c r="C7742" s="457"/>
      <c r="D7742" s="440"/>
      <c r="E7742" s="441"/>
      <c r="F7742" s="1363"/>
      <c r="G7742" s="1363"/>
      <c r="H7742" s="1363"/>
      <c r="I7742" s="1129" t="str">
        <f t="shared" si="276"/>
        <v/>
      </c>
      <c r="J7742" s="471"/>
      <c r="K7742" s="1263" t="s">
        <v>2167</v>
      </c>
      <c r="L7742" s="461"/>
      <c r="M7742" s="461"/>
      <c r="N7742" s="461"/>
    </row>
    <row r="7743" spans="1:14" s="462" customFormat="1" hidden="1" outlineLevel="1">
      <c r="A7743" s="1261"/>
      <c r="B7743" s="260"/>
      <c r="C7743" s="457" t="s">
        <v>1</v>
      </c>
      <c r="D7743" s="440">
        <v>2</v>
      </c>
      <c r="E7743" s="441">
        <v>1</v>
      </c>
      <c r="F7743" s="1363">
        <v>2.2000000000000002</v>
      </c>
      <c r="G7743" s="1363"/>
      <c r="H7743" s="1363">
        <v>0.2</v>
      </c>
      <c r="I7743" s="1129">
        <f t="shared" si="276"/>
        <v>0.88</v>
      </c>
      <c r="J7743" s="471"/>
      <c r="K7743" s="1263" t="s">
        <v>2167</v>
      </c>
      <c r="L7743" s="461"/>
      <c r="M7743" s="461"/>
      <c r="N7743" s="461"/>
    </row>
    <row r="7744" spans="1:14" s="462" customFormat="1" hidden="1" outlineLevel="1">
      <c r="A7744" s="1261"/>
      <c r="B7744" s="260"/>
      <c r="C7744" s="457"/>
      <c r="D7744" s="440"/>
      <c r="E7744" s="441"/>
      <c r="F7744" s="1363"/>
      <c r="G7744" s="1363"/>
      <c r="H7744" s="1363"/>
      <c r="I7744" s="1129" t="str">
        <f t="shared" si="276"/>
        <v/>
      </c>
      <c r="J7744" s="471"/>
      <c r="K7744" s="1263" t="s">
        <v>2167</v>
      </c>
      <c r="L7744" s="461"/>
      <c r="M7744" s="461"/>
      <c r="N7744" s="461"/>
    </row>
    <row r="7745" spans="1:14" s="462" customFormat="1" hidden="1" outlineLevel="1">
      <c r="A7745" s="1261"/>
      <c r="B7745" s="260"/>
      <c r="C7745" s="457" t="s">
        <v>1</v>
      </c>
      <c r="D7745" s="440">
        <v>2</v>
      </c>
      <c r="E7745" s="441">
        <v>1</v>
      </c>
      <c r="F7745" s="1363">
        <v>3.4</v>
      </c>
      <c r="G7745" s="1363"/>
      <c r="H7745" s="1363">
        <v>0.2</v>
      </c>
      <c r="I7745" s="1129">
        <f t="shared" si="276"/>
        <v>1.36</v>
      </c>
      <c r="J7745" s="471"/>
      <c r="K7745" s="1263" t="s">
        <v>2167</v>
      </c>
      <c r="L7745" s="461"/>
      <c r="M7745" s="461"/>
      <c r="N7745" s="461"/>
    </row>
    <row r="7746" spans="1:14" s="462" customFormat="1" hidden="1" outlineLevel="1">
      <c r="A7746" s="1261"/>
      <c r="B7746" s="260"/>
      <c r="C7746" s="457"/>
      <c r="D7746" s="440"/>
      <c r="E7746" s="441"/>
      <c r="F7746" s="1363"/>
      <c r="G7746" s="1363"/>
      <c r="H7746" s="1363"/>
      <c r="I7746" s="1129" t="str">
        <f t="shared" si="276"/>
        <v/>
      </c>
      <c r="J7746" s="471"/>
      <c r="K7746" s="1263" t="s">
        <v>2167</v>
      </c>
      <c r="L7746" s="461"/>
      <c r="M7746" s="461"/>
      <c r="N7746" s="461"/>
    </row>
    <row r="7747" spans="1:14" s="462" customFormat="1" hidden="1" outlineLevel="1">
      <c r="A7747" s="1261"/>
      <c r="B7747" s="260"/>
      <c r="C7747" s="457" t="s">
        <v>1</v>
      </c>
      <c r="D7747" s="440">
        <v>2</v>
      </c>
      <c r="E7747" s="441">
        <v>1</v>
      </c>
      <c r="F7747" s="1363">
        <v>0.66</v>
      </c>
      <c r="G7747" s="1363"/>
      <c r="H7747" s="1363">
        <v>0.2</v>
      </c>
      <c r="I7747" s="1129">
        <f t="shared" si="276"/>
        <v>0.26</v>
      </c>
      <c r="J7747" s="471"/>
      <c r="K7747" s="1263" t="s">
        <v>2167</v>
      </c>
      <c r="L7747" s="461"/>
      <c r="M7747" s="461"/>
      <c r="N7747" s="461"/>
    </row>
    <row r="7748" spans="1:14" s="462" customFormat="1" hidden="1" outlineLevel="1">
      <c r="A7748" s="1261"/>
      <c r="B7748" s="260"/>
      <c r="C7748" s="457"/>
      <c r="D7748" s="440"/>
      <c r="E7748" s="441"/>
      <c r="F7748" s="1363"/>
      <c r="G7748" s="1363"/>
      <c r="H7748" s="1363"/>
      <c r="I7748" s="1129" t="str">
        <f t="shared" si="276"/>
        <v/>
      </c>
      <c r="J7748" s="471"/>
      <c r="K7748" s="1263" t="s">
        <v>2167</v>
      </c>
      <c r="L7748" s="461"/>
      <c r="M7748" s="461"/>
      <c r="N7748" s="461"/>
    </row>
    <row r="7749" spans="1:14" s="462" customFormat="1" hidden="1" outlineLevel="1">
      <c r="A7749" s="1261"/>
      <c r="B7749" s="260"/>
      <c r="C7749" s="457" t="s">
        <v>1</v>
      </c>
      <c r="D7749" s="440">
        <v>2</v>
      </c>
      <c r="E7749" s="441">
        <v>2</v>
      </c>
      <c r="F7749" s="1363">
        <v>4.0600000000000005</v>
      </c>
      <c r="G7749" s="1363"/>
      <c r="H7749" s="1363">
        <v>0.2</v>
      </c>
      <c r="I7749" s="1129">
        <f t="shared" si="276"/>
        <v>3.25</v>
      </c>
      <c r="J7749" s="471"/>
      <c r="K7749" s="1263" t="s">
        <v>2167</v>
      </c>
      <c r="L7749" s="461"/>
      <c r="M7749" s="461"/>
      <c r="N7749" s="461"/>
    </row>
    <row r="7750" spans="1:14" s="462" customFormat="1" hidden="1" outlineLevel="1">
      <c r="A7750" s="1261"/>
      <c r="B7750" s="260"/>
      <c r="C7750" s="457"/>
      <c r="D7750" s="440"/>
      <c r="E7750" s="441"/>
      <c r="F7750" s="1363"/>
      <c r="G7750" s="1363"/>
      <c r="H7750" s="1363"/>
      <c r="I7750" s="1129" t="str">
        <f t="shared" si="276"/>
        <v/>
      </c>
      <c r="J7750" s="471"/>
      <c r="K7750" s="1263" t="s">
        <v>2167</v>
      </c>
      <c r="L7750" s="461"/>
      <c r="M7750" s="461"/>
      <c r="N7750" s="461"/>
    </row>
    <row r="7751" spans="1:14" s="462" customFormat="1" hidden="1" outlineLevel="1">
      <c r="A7751" s="1261"/>
      <c r="B7751" s="260"/>
      <c r="C7751" s="457" t="s">
        <v>1</v>
      </c>
      <c r="D7751" s="440">
        <v>2</v>
      </c>
      <c r="E7751" s="441">
        <v>1</v>
      </c>
      <c r="F7751" s="1363">
        <v>0.38</v>
      </c>
      <c r="G7751" s="1363"/>
      <c r="H7751" s="1363">
        <v>0.2</v>
      </c>
      <c r="I7751" s="1129">
        <f t="shared" si="276"/>
        <v>0.15</v>
      </c>
      <c r="J7751" s="471"/>
      <c r="K7751" s="1263" t="s">
        <v>2167</v>
      </c>
      <c r="L7751" s="461"/>
      <c r="M7751" s="461"/>
      <c r="N7751" s="461"/>
    </row>
    <row r="7752" spans="1:14" s="462" customFormat="1" hidden="1" outlineLevel="1">
      <c r="A7752" s="1261"/>
      <c r="B7752" s="260"/>
      <c r="C7752" s="457"/>
      <c r="D7752" s="440"/>
      <c r="E7752" s="441"/>
      <c r="F7752" s="1363"/>
      <c r="G7752" s="1363"/>
      <c r="H7752" s="1363"/>
      <c r="I7752" s="1129" t="str">
        <f t="shared" si="276"/>
        <v/>
      </c>
      <c r="J7752" s="471"/>
      <c r="K7752" s="1263" t="s">
        <v>2167</v>
      </c>
      <c r="L7752" s="461"/>
      <c r="M7752" s="461"/>
      <c r="N7752" s="461"/>
    </row>
    <row r="7753" spans="1:14" s="462" customFormat="1" hidden="1" outlineLevel="1">
      <c r="A7753" s="1261"/>
      <c r="B7753" s="260"/>
      <c r="C7753" s="457" t="s">
        <v>1</v>
      </c>
      <c r="D7753" s="440">
        <v>2</v>
      </c>
      <c r="E7753" s="441">
        <v>1</v>
      </c>
      <c r="F7753" s="1363">
        <v>3.68</v>
      </c>
      <c r="G7753" s="1363"/>
      <c r="H7753" s="1363">
        <v>0.2</v>
      </c>
      <c r="I7753" s="1129">
        <f t="shared" si="276"/>
        <v>1.47</v>
      </c>
      <c r="J7753" s="471"/>
      <c r="K7753" s="1263" t="s">
        <v>2167</v>
      </c>
      <c r="L7753" s="461"/>
      <c r="M7753" s="461"/>
      <c r="N7753" s="461"/>
    </row>
    <row r="7754" spans="1:14" s="462" customFormat="1" hidden="1" outlineLevel="1">
      <c r="A7754" s="1261"/>
      <c r="B7754" s="260"/>
      <c r="C7754" s="457"/>
      <c r="D7754" s="440"/>
      <c r="E7754" s="441"/>
      <c r="F7754" s="1363"/>
      <c r="G7754" s="1363"/>
      <c r="H7754" s="1363"/>
      <c r="I7754" s="1129" t="str">
        <f t="shared" si="276"/>
        <v/>
      </c>
      <c r="J7754" s="471"/>
      <c r="K7754" s="1263" t="s">
        <v>2167</v>
      </c>
      <c r="L7754" s="461"/>
      <c r="M7754" s="461"/>
      <c r="N7754" s="461"/>
    </row>
    <row r="7755" spans="1:14" s="462" customFormat="1" hidden="1" outlineLevel="1">
      <c r="A7755" s="1261"/>
      <c r="B7755" s="260" t="s">
        <v>213</v>
      </c>
      <c r="C7755" s="457" t="s">
        <v>1</v>
      </c>
      <c r="D7755" s="440">
        <v>2</v>
      </c>
      <c r="E7755" s="441">
        <v>1</v>
      </c>
      <c r="F7755" s="1363">
        <v>1.28</v>
      </c>
      <c r="G7755" s="1363"/>
      <c r="H7755" s="1363">
        <v>0.2</v>
      </c>
      <c r="I7755" s="1129">
        <f t="shared" si="276"/>
        <v>0.51</v>
      </c>
      <c r="J7755" s="471"/>
      <c r="K7755" s="1263" t="s">
        <v>2167</v>
      </c>
      <c r="L7755" s="461"/>
      <c r="M7755" s="461"/>
      <c r="N7755" s="461"/>
    </row>
    <row r="7756" spans="1:14" s="462" customFormat="1" hidden="1" outlineLevel="1">
      <c r="A7756" s="1261"/>
      <c r="B7756" s="260"/>
      <c r="C7756" s="457"/>
      <c r="D7756" s="440"/>
      <c r="E7756" s="441"/>
      <c r="F7756" s="1363"/>
      <c r="G7756" s="1363"/>
      <c r="H7756" s="1363"/>
      <c r="I7756" s="1129" t="str">
        <f t="shared" si="276"/>
        <v/>
      </c>
      <c r="J7756" s="471"/>
      <c r="K7756" s="1263" t="s">
        <v>2167</v>
      </c>
      <c r="L7756" s="461"/>
      <c r="M7756" s="461"/>
      <c r="N7756" s="461"/>
    </row>
    <row r="7757" spans="1:14" s="462" customFormat="1" hidden="1" outlineLevel="1">
      <c r="A7757" s="1261"/>
      <c r="B7757" s="260"/>
      <c r="C7757" s="457" t="s">
        <v>1</v>
      </c>
      <c r="D7757" s="440">
        <v>2</v>
      </c>
      <c r="E7757" s="441">
        <v>1</v>
      </c>
      <c r="F7757" s="1363">
        <v>3.08</v>
      </c>
      <c r="G7757" s="1363"/>
      <c r="H7757" s="1363">
        <v>0.2</v>
      </c>
      <c r="I7757" s="1129">
        <f t="shared" si="276"/>
        <v>1.23</v>
      </c>
      <c r="J7757" s="471"/>
      <c r="K7757" s="1263" t="s">
        <v>2167</v>
      </c>
      <c r="L7757" s="461"/>
      <c r="M7757" s="461"/>
      <c r="N7757" s="461"/>
    </row>
    <row r="7758" spans="1:14" s="462" customFormat="1" hidden="1" outlineLevel="1">
      <c r="A7758" s="1261"/>
      <c r="B7758" s="260"/>
      <c r="C7758" s="457"/>
      <c r="D7758" s="440"/>
      <c r="E7758" s="441"/>
      <c r="F7758" s="1363"/>
      <c r="G7758" s="1363"/>
      <c r="H7758" s="1363"/>
      <c r="I7758" s="1129" t="str">
        <f t="shared" si="276"/>
        <v/>
      </c>
      <c r="J7758" s="471"/>
      <c r="K7758" s="1263" t="s">
        <v>2167</v>
      </c>
      <c r="L7758" s="461"/>
      <c r="M7758" s="461"/>
      <c r="N7758" s="461"/>
    </row>
    <row r="7759" spans="1:14" s="462" customFormat="1" hidden="1" outlineLevel="1">
      <c r="A7759" s="1261"/>
      <c r="B7759" s="260"/>
      <c r="C7759" s="457" t="s">
        <v>1</v>
      </c>
      <c r="D7759" s="440">
        <v>2</v>
      </c>
      <c r="E7759" s="441">
        <v>1</v>
      </c>
      <c r="F7759" s="1363">
        <v>4.28</v>
      </c>
      <c r="G7759" s="1363"/>
      <c r="H7759" s="1363">
        <v>0.2</v>
      </c>
      <c r="I7759" s="1129">
        <f t="shared" si="276"/>
        <v>1.71</v>
      </c>
      <c r="J7759" s="471"/>
      <c r="K7759" s="1263" t="s">
        <v>2167</v>
      </c>
      <c r="L7759" s="461"/>
      <c r="M7759" s="461"/>
      <c r="N7759" s="461"/>
    </row>
    <row r="7760" spans="1:14" s="462" customFormat="1" hidden="1" outlineLevel="1">
      <c r="A7760" s="1261"/>
      <c r="B7760" s="260"/>
      <c r="C7760" s="457"/>
      <c r="D7760" s="440"/>
      <c r="E7760" s="441"/>
      <c r="F7760" s="1363"/>
      <c r="G7760" s="1363"/>
      <c r="H7760" s="1363"/>
      <c r="I7760" s="1129" t="str">
        <f t="shared" si="276"/>
        <v/>
      </c>
      <c r="J7760" s="471"/>
      <c r="K7760" s="1263" t="s">
        <v>2167</v>
      </c>
      <c r="L7760" s="461"/>
      <c r="M7760" s="461"/>
      <c r="N7760" s="461"/>
    </row>
    <row r="7761" spans="1:14" s="462" customFormat="1" hidden="1" outlineLevel="1">
      <c r="A7761" s="1261"/>
      <c r="B7761" s="260" t="s">
        <v>214</v>
      </c>
      <c r="C7761" s="457" t="s">
        <v>1</v>
      </c>
      <c r="D7761" s="440">
        <v>2</v>
      </c>
      <c r="E7761" s="441">
        <v>1</v>
      </c>
      <c r="F7761" s="1363">
        <v>5.5600000000000005</v>
      </c>
      <c r="G7761" s="1363"/>
      <c r="H7761" s="1363">
        <v>0.2</v>
      </c>
      <c r="I7761" s="1129">
        <f t="shared" si="276"/>
        <v>2.2200000000000002</v>
      </c>
      <c r="J7761" s="471"/>
      <c r="K7761" s="1263" t="s">
        <v>2167</v>
      </c>
      <c r="L7761" s="461"/>
      <c r="M7761" s="461"/>
      <c r="N7761" s="461"/>
    </row>
    <row r="7762" spans="1:14" s="462" customFormat="1" hidden="1" outlineLevel="1">
      <c r="A7762" s="1261"/>
      <c r="B7762" s="260"/>
      <c r="C7762" s="457"/>
      <c r="D7762" s="440"/>
      <c r="E7762" s="441"/>
      <c r="F7762" s="1363"/>
      <c r="G7762" s="1363"/>
      <c r="H7762" s="1363"/>
      <c r="I7762" s="1129" t="str">
        <f t="shared" si="276"/>
        <v/>
      </c>
      <c r="J7762" s="471"/>
      <c r="K7762" s="1263" t="s">
        <v>2167</v>
      </c>
      <c r="L7762" s="461"/>
      <c r="M7762" s="461"/>
      <c r="N7762" s="461"/>
    </row>
    <row r="7763" spans="1:14" s="462" customFormat="1" hidden="1" outlineLevel="1">
      <c r="A7763" s="1261"/>
      <c r="B7763" s="260"/>
      <c r="C7763" s="457" t="s">
        <v>1</v>
      </c>
      <c r="D7763" s="440">
        <v>2</v>
      </c>
      <c r="E7763" s="441">
        <v>1</v>
      </c>
      <c r="F7763" s="1363">
        <v>0.6</v>
      </c>
      <c r="G7763" s="1363"/>
      <c r="H7763" s="1363">
        <v>0.2</v>
      </c>
      <c r="I7763" s="1129">
        <f t="shared" si="276"/>
        <v>0.24</v>
      </c>
      <c r="J7763" s="471"/>
      <c r="K7763" s="1263" t="s">
        <v>2167</v>
      </c>
      <c r="L7763" s="461"/>
      <c r="M7763" s="461"/>
      <c r="N7763" s="461"/>
    </row>
    <row r="7764" spans="1:14" s="462" customFormat="1" hidden="1" outlineLevel="1">
      <c r="A7764" s="1261"/>
      <c r="B7764" s="260"/>
      <c r="C7764" s="457"/>
      <c r="D7764" s="440"/>
      <c r="E7764" s="441"/>
      <c r="F7764" s="1363"/>
      <c r="G7764" s="1363"/>
      <c r="H7764" s="1363"/>
      <c r="I7764" s="1129" t="str">
        <f t="shared" si="276"/>
        <v/>
      </c>
      <c r="J7764" s="471"/>
      <c r="K7764" s="1263" t="s">
        <v>2167</v>
      </c>
      <c r="L7764" s="461"/>
      <c r="M7764" s="461"/>
      <c r="N7764" s="461"/>
    </row>
    <row r="7765" spans="1:14" s="462" customFormat="1" hidden="1" outlineLevel="1">
      <c r="A7765" s="1261"/>
      <c r="B7765" s="260"/>
      <c r="C7765" s="457" t="s">
        <v>1</v>
      </c>
      <c r="D7765" s="440">
        <v>2</v>
      </c>
      <c r="E7765" s="441">
        <v>2</v>
      </c>
      <c r="F7765" s="1363">
        <v>6.16</v>
      </c>
      <c r="G7765" s="1363"/>
      <c r="H7765" s="1363">
        <v>0.2</v>
      </c>
      <c r="I7765" s="1129">
        <f t="shared" si="276"/>
        <v>4.93</v>
      </c>
      <c r="J7765" s="471"/>
      <c r="K7765" s="1263" t="s">
        <v>2167</v>
      </c>
      <c r="L7765" s="461"/>
      <c r="M7765" s="461"/>
      <c r="N7765" s="461"/>
    </row>
    <row r="7766" spans="1:14" s="462" customFormat="1" hidden="1" outlineLevel="1">
      <c r="A7766" s="1261"/>
      <c r="B7766" s="260"/>
      <c r="C7766" s="457"/>
      <c r="D7766" s="440"/>
      <c r="E7766" s="441"/>
      <c r="F7766" s="1363"/>
      <c r="G7766" s="1363"/>
      <c r="H7766" s="1363"/>
      <c r="I7766" s="1129" t="str">
        <f t="shared" si="276"/>
        <v/>
      </c>
      <c r="J7766" s="471"/>
      <c r="K7766" s="1263" t="s">
        <v>2167</v>
      </c>
      <c r="L7766" s="461"/>
      <c r="M7766" s="461"/>
      <c r="N7766" s="461"/>
    </row>
    <row r="7767" spans="1:14" s="462" customFormat="1" hidden="1" outlineLevel="1">
      <c r="A7767" s="1261"/>
      <c r="B7767" s="260"/>
      <c r="C7767" s="457" t="s">
        <v>1</v>
      </c>
      <c r="D7767" s="440">
        <v>2</v>
      </c>
      <c r="E7767" s="441">
        <v>1</v>
      </c>
      <c r="F7767" s="1363">
        <v>1.2</v>
      </c>
      <c r="G7767" s="1363"/>
      <c r="H7767" s="1363">
        <v>0.2</v>
      </c>
      <c r="I7767" s="1129">
        <f t="shared" si="276"/>
        <v>0.48</v>
      </c>
      <c r="J7767" s="471"/>
      <c r="K7767" s="1263" t="s">
        <v>2167</v>
      </c>
      <c r="L7767" s="461"/>
      <c r="M7767" s="461"/>
      <c r="N7767" s="461"/>
    </row>
    <row r="7768" spans="1:14" s="462" customFormat="1" hidden="1" outlineLevel="1">
      <c r="A7768" s="1261"/>
      <c r="B7768" s="260"/>
      <c r="C7768" s="457"/>
      <c r="D7768" s="440"/>
      <c r="E7768" s="441"/>
      <c r="F7768" s="1363"/>
      <c r="G7768" s="1363"/>
      <c r="H7768" s="1363"/>
      <c r="I7768" s="1129" t="str">
        <f t="shared" si="276"/>
        <v/>
      </c>
      <c r="J7768" s="471"/>
      <c r="K7768" s="1263" t="s">
        <v>2167</v>
      </c>
      <c r="L7768" s="461"/>
      <c r="M7768" s="461"/>
      <c r="N7768" s="461"/>
    </row>
    <row r="7769" spans="1:14" s="462" customFormat="1" hidden="1" outlineLevel="1">
      <c r="A7769" s="1261"/>
      <c r="B7769" s="260"/>
      <c r="C7769" s="457" t="s">
        <v>1</v>
      </c>
      <c r="D7769" s="440">
        <v>2</v>
      </c>
      <c r="E7769" s="441">
        <v>1</v>
      </c>
      <c r="F7769" s="1363">
        <v>9.36</v>
      </c>
      <c r="G7769" s="1363"/>
      <c r="H7769" s="1363">
        <v>0.2</v>
      </c>
      <c r="I7769" s="1129">
        <f t="shared" si="276"/>
        <v>3.74</v>
      </c>
      <c r="J7769" s="471"/>
      <c r="K7769" s="1263" t="s">
        <v>2167</v>
      </c>
      <c r="L7769" s="461"/>
      <c r="M7769" s="461"/>
      <c r="N7769" s="461"/>
    </row>
    <row r="7770" spans="1:14" s="462" customFormat="1" hidden="1" outlineLevel="1">
      <c r="A7770" s="1261"/>
      <c r="B7770" s="260" t="s">
        <v>540</v>
      </c>
      <c r="C7770" s="457" t="s">
        <v>1</v>
      </c>
      <c r="D7770" s="440">
        <v>2</v>
      </c>
      <c r="E7770" s="441">
        <v>5</v>
      </c>
      <c r="F7770" s="1363">
        <v>3</v>
      </c>
      <c r="G7770" s="1363"/>
      <c r="H7770" s="1363">
        <v>0.27500000000000002</v>
      </c>
      <c r="I7770" s="1165">
        <f t="shared" si="276"/>
        <v>8.25</v>
      </c>
      <c r="J7770" s="471"/>
      <c r="K7770" s="1263" t="s">
        <v>2168</v>
      </c>
      <c r="L7770" s="461"/>
      <c r="M7770" s="461"/>
      <c r="N7770" s="461"/>
    </row>
    <row r="7771" spans="1:14" s="462" customFormat="1" hidden="1" outlineLevel="1">
      <c r="A7771" s="1261"/>
      <c r="B7771" s="260"/>
      <c r="C7771" s="457"/>
      <c r="D7771" s="440"/>
      <c r="E7771" s="441"/>
      <c r="F7771" s="1363"/>
      <c r="G7771" s="1363"/>
      <c r="H7771" s="1363"/>
      <c r="I7771" s="1163" t="str">
        <f t="shared" si="276"/>
        <v/>
      </c>
      <c r="J7771" s="471"/>
      <c r="K7771" s="1263"/>
      <c r="L7771" s="461"/>
      <c r="M7771" s="461"/>
      <c r="N7771" s="461"/>
    </row>
    <row r="7772" spans="1:14" s="462" customFormat="1" hidden="1" outlineLevel="1">
      <c r="A7772" s="1261"/>
      <c r="B7772" s="260" t="s">
        <v>215</v>
      </c>
      <c r="C7772" s="457"/>
      <c r="D7772" s="440"/>
      <c r="E7772" s="441"/>
      <c r="F7772" s="1363"/>
      <c r="G7772" s="1363"/>
      <c r="H7772" s="1363"/>
      <c r="I7772" s="1163" t="str">
        <f t="shared" si="276"/>
        <v/>
      </c>
      <c r="J7772" s="471"/>
      <c r="K7772" s="1263"/>
      <c r="L7772" s="461"/>
      <c r="M7772" s="461"/>
      <c r="N7772" s="461"/>
    </row>
    <row r="7773" spans="1:14" s="462" customFormat="1" hidden="1" outlineLevel="1">
      <c r="A7773" s="1261"/>
      <c r="B7773" s="260"/>
      <c r="C7773" s="457" t="s">
        <v>1</v>
      </c>
      <c r="D7773" s="440">
        <v>2</v>
      </c>
      <c r="E7773" s="441">
        <v>7</v>
      </c>
      <c r="F7773" s="1363">
        <v>0.61499999999999999</v>
      </c>
      <c r="G7773" s="1363"/>
      <c r="H7773" s="1363">
        <v>0.2</v>
      </c>
      <c r="I7773" s="1129">
        <f t="shared" si="276"/>
        <v>1.72</v>
      </c>
      <c r="J7773" s="471"/>
      <c r="K7773" s="1263" t="s">
        <v>2167</v>
      </c>
      <c r="L7773" s="461"/>
      <c r="M7773" s="461"/>
      <c r="N7773" s="461"/>
    </row>
    <row r="7774" spans="1:14" s="462" customFormat="1" hidden="1" outlineLevel="1">
      <c r="A7774" s="1261"/>
      <c r="B7774" s="260"/>
      <c r="C7774" s="457"/>
      <c r="D7774" s="440"/>
      <c r="E7774" s="441"/>
      <c r="F7774" s="1363"/>
      <c r="G7774" s="1363"/>
      <c r="H7774" s="1363"/>
      <c r="I7774" s="1129" t="str">
        <f t="shared" si="276"/>
        <v/>
      </c>
      <c r="J7774" s="471"/>
      <c r="K7774" s="1263" t="s">
        <v>2167</v>
      </c>
      <c r="L7774" s="461"/>
      <c r="M7774" s="461"/>
      <c r="N7774" s="461"/>
    </row>
    <row r="7775" spans="1:14" s="462" customFormat="1" hidden="1" outlineLevel="1">
      <c r="A7775" s="1261"/>
      <c r="B7775" s="260"/>
      <c r="C7775" s="457" t="s">
        <v>1</v>
      </c>
      <c r="D7775" s="440">
        <v>2</v>
      </c>
      <c r="E7775" s="441">
        <v>1</v>
      </c>
      <c r="F7775" s="1363">
        <v>2.1349999999999998</v>
      </c>
      <c r="G7775" s="1363"/>
      <c r="H7775" s="1363">
        <v>0.2</v>
      </c>
      <c r="I7775" s="1129">
        <f t="shared" si="276"/>
        <v>0.85</v>
      </c>
      <c r="J7775" s="471"/>
      <c r="K7775" s="1263" t="s">
        <v>2167</v>
      </c>
      <c r="L7775" s="461"/>
      <c r="M7775" s="461"/>
      <c r="N7775" s="461"/>
    </row>
    <row r="7776" spans="1:14" s="462" customFormat="1" hidden="1" outlineLevel="1">
      <c r="A7776" s="1261"/>
      <c r="B7776" s="260"/>
      <c r="C7776" s="457"/>
      <c r="D7776" s="440"/>
      <c r="E7776" s="441"/>
      <c r="F7776" s="1363"/>
      <c r="G7776" s="1363"/>
      <c r="H7776" s="1363"/>
      <c r="I7776" s="1129" t="str">
        <f t="shared" si="276"/>
        <v/>
      </c>
      <c r="J7776" s="471"/>
      <c r="K7776" s="1263" t="s">
        <v>2167</v>
      </c>
      <c r="L7776" s="461"/>
      <c r="M7776" s="461"/>
      <c r="N7776" s="461"/>
    </row>
    <row r="7777" spans="1:14" s="462" customFormat="1" hidden="1" outlineLevel="1">
      <c r="A7777" s="1261"/>
      <c r="B7777" s="260"/>
      <c r="C7777" s="457" t="s">
        <v>1</v>
      </c>
      <c r="D7777" s="440">
        <v>2</v>
      </c>
      <c r="E7777" s="441">
        <v>1</v>
      </c>
      <c r="F7777" s="1364">
        <v>1.29</v>
      </c>
      <c r="G7777" s="1363"/>
      <c r="H7777" s="1363">
        <v>0.2</v>
      </c>
      <c r="I7777" s="1129">
        <f t="shared" ref="I7777:I7840" si="277">IF(D7777&lt;&gt;0,ROUND(PRODUCT(E7777:H7777)*D7777,2),"")</f>
        <v>0.52</v>
      </c>
      <c r="J7777" s="471"/>
      <c r="K7777" s="1263" t="s">
        <v>2167</v>
      </c>
      <c r="L7777" s="461"/>
      <c r="M7777" s="461"/>
      <c r="N7777" s="461"/>
    </row>
    <row r="7778" spans="1:14" s="462" customFormat="1" hidden="1" outlineLevel="1">
      <c r="A7778" s="1261"/>
      <c r="B7778" s="260"/>
      <c r="C7778" s="457"/>
      <c r="D7778" s="440"/>
      <c r="E7778" s="441"/>
      <c r="F7778" s="1363"/>
      <c r="G7778" s="1363"/>
      <c r="H7778" s="1363"/>
      <c r="I7778" s="1129" t="str">
        <f t="shared" si="277"/>
        <v/>
      </c>
      <c r="J7778" s="471"/>
      <c r="K7778" s="1263" t="s">
        <v>2167</v>
      </c>
      <c r="L7778" s="461"/>
      <c r="M7778" s="461"/>
      <c r="N7778" s="461"/>
    </row>
    <row r="7779" spans="1:14" s="462" customFormat="1" hidden="1" outlineLevel="1">
      <c r="A7779" s="1261"/>
      <c r="B7779" s="260"/>
      <c r="C7779" s="457" t="s">
        <v>1</v>
      </c>
      <c r="D7779" s="440">
        <v>2</v>
      </c>
      <c r="E7779" s="441">
        <v>5</v>
      </c>
      <c r="F7779" s="1364">
        <v>1.9</v>
      </c>
      <c r="G7779" s="1363"/>
      <c r="H7779" s="1363">
        <v>0.2</v>
      </c>
      <c r="I7779" s="1129">
        <f t="shared" si="277"/>
        <v>3.8</v>
      </c>
      <c r="J7779" s="471"/>
      <c r="K7779" s="1263" t="s">
        <v>2167</v>
      </c>
      <c r="L7779" s="461"/>
      <c r="M7779" s="461"/>
      <c r="N7779" s="461"/>
    </row>
    <row r="7780" spans="1:14" s="462" customFormat="1" hidden="1" outlineLevel="1">
      <c r="A7780" s="1261"/>
      <c r="B7780" s="260"/>
      <c r="C7780" s="457"/>
      <c r="D7780" s="440"/>
      <c r="E7780" s="441"/>
      <c r="F7780" s="1363"/>
      <c r="G7780" s="1363"/>
      <c r="H7780" s="1363"/>
      <c r="I7780" s="1129" t="str">
        <f t="shared" si="277"/>
        <v/>
      </c>
      <c r="J7780" s="471"/>
      <c r="K7780" s="1263" t="s">
        <v>2167</v>
      </c>
      <c r="L7780" s="461"/>
      <c r="M7780" s="461"/>
      <c r="N7780" s="461"/>
    </row>
    <row r="7781" spans="1:14" s="462" customFormat="1" hidden="1" outlineLevel="1">
      <c r="A7781" s="1261"/>
      <c r="B7781" s="260"/>
      <c r="C7781" s="457" t="s">
        <v>1</v>
      </c>
      <c r="D7781" s="440">
        <v>2</v>
      </c>
      <c r="E7781" s="441">
        <v>1</v>
      </c>
      <c r="F7781" s="1363">
        <v>3.36</v>
      </c>
      <c r="G7781" s="1363"/>
      <c r="H7781" s="1363">
        <v>0.2</v>
      </c>
      <c r="I7781" s="1129">
        <f t="shared" si="277"/>
        <v>1.34</v>
      </c>
      <c r="J7781" s="471"/>
      <c r="K7781" s="1263" t="s">
        <v>2167</v>
      </c>
      <c r="L7781" s="461"/>
      <c r="M7781" s="461"/>
      <c r="N7781" s="461"/>
    </row>
    <row r="7782" spans="1:14" s="462" customFormat="1" hidden="1" outlineLevel="1">
      <c r="A7782" s="1261"/>
      <c r="B7782" s="260"/>
      <c r="C7782" s="457"/>
      <c r="D7782" s="440"/>
      <c r="E7782" s="441"/>
      <c r="F7782" s="1363"/>
      <c r="G7782" s="1363"/>
      <c r="H7782" s="1363"/>
      <c r="I7782" s="1129" t="str">
        <f t="shared" si="277"/>
        <v/>
      </c>
      <c r="J7782" s="471"/>
      <c r="K7782" s="1263" t="s">
        <v>2167</v>
      </c>
      <c r="L7782" s="461"/>
      <c r="M7782" s="461"/>
      <c r="N7782" s="461"/>
    </row>
    <row r="7783" spans="1:14" s="462" customFormat="1" hidden="1" outlineLevel="1">
      <c r="A7783" s="1261"/>
      <c r="B7783" s="260"/>
      <c r="C7783" s="457" t="s">
        <v>1</v>
      </c>
      <c r="D7783" s="440">
        <v>2</v>
      </c>
      <c r="E7783" s="441">
        <v>2</v>
      </c>
      <c r="F7783" s="1363">
        <v>2.7450000000000001</v>
      </c>
      <c r="G7783" s="1363"/>
      <c r="H7783" s="1363">
        <v>0.2</v>
      </c>
      <c r="I7783" s="1129">
        <f t="shared" si="277"/>
        <v>2.2000000000000002</v>
      </c>
      <c r="J7783" s="471"/>
      <c r="K7783" s="1263" t="s">
        <v>2167</v>
      </c>
      <c r="L7783" s="461"/>
      <c r="M7783" s="461"/>
      <c r="N7783" s="461"/>
    </row>
    <row r="7784" spans="1:14" s="462" customFormat="1" hidden="1" outlineLevel="1">
      <c r="A7784" s="1261"/>
      <c r="B7784" s="260"/>
      <c r="C7784" s="457"/>
      <c r="D7784" s="440"/>
      <c r="E7784" s="441"/>
      <c r="F7784" s="1363"/>
      <c r="G7784" s="1363"/>
      <c r="H7784" s="1363"/>
      <c r="I7784" s="1129" t="str">
        <f t="shared" si="277"/>
        <v/>
      </c>
      <c r="J7784" s="471"/>
      <c r="K7784" s="1263" t="s">
        <v>2167</v>
      </c>
      <c r="L7784" s="461"/>
      <c r="M7784" s="461"/>
      <c r="N7784" s="461"/>
    </row>
    <row r="7785" spans="1:14" s="462" customFormat="1" hidden="1" outlineLevel="1">
      <c r="A7785" s="1261"/>
      <c r="B7785" s="260"/>
      <c r="C7785" s="457"/>
      <c r="D7785" s="440"/>
      <c r="E7785" s="441"/>
      <c r="F7785" s="1363"/>
      <c r="G7785" s="1363"/>
      <c r="H7785" s="1363"/>
      <c r="I7785" s="1129" t="str">
        <f t="shared" si="277"/>
        <v/>
      </c>
      <c r="J7785" s="471"/>
      <c r="K7785" s="1263" t="s">
        <v>2167</v>
      </c>
      <c r="L7785" s="461"/>
      <c r="M7785" s="461"/>
      <c r="N7785" s="461"/>
    </row>
    <row r="7786" spans="1:14" s="462" customFormat="1" hidden="1" outlineLevel="1">
      <c r="A7786" s="1261"/>
      <c r="B7786" s="260" t="s">
        <v>546</v>
      </c>
      <c r="C7786" s="457"/>
      <c r="D7786" s="440"/>
      <c r="E7786" s="441"/>
      <c r="F7786" s="1363"/>
      <c r="G7786" s="1363"/>
      <c r="H7786" s="1363"/>
      <c r="I7786" s="1129" t="str">
        <f t="shared" si="277"/>
        <v/>
      </c>
      <c r="J7786" s="471"/>
      <c r="K7786" s="1263" t="s">
        <v>2167</v>
      </c>
      <c r="L7786" s="461"/>
      <c r="M7786" s="461"/>
      <c r="N7786" s="461"/>
    </row>
    <row r="7787" spans="1:14" s="462" customFormat="1" hidden="1" outlineLevel="1">
      <c r="A7787" s="1261"/>
      <c r="B7787" s="260"/>
      <c r="C7787" s="457"/>
      <c r="D7787" s="440"/>
      <c r="E7787" s="441"/>
      <c r="F7787" s="1363"/>
      <c r="G7787" s="1363"/>
      <c r="H7787" s="1363"/>
      <c r="I7787" s="1129" t="str">
        <f t="shared" si="277"/>
        <v/>
      </c>
      <c r="J7787" s="471"/>
      <c r="K7787" s="1263" t="s">
        <v>2167</v>
      </c>
      <c r="L7787" s="461"/>
      <c r="M7787" s="461"/>
      <c r="N7787" s="461"/>
    </row>
    <row r="7788" spans="1:14" s="462" customFormat="1" hidden="1" outlineLevel="1">
      <c r="A7788" s="1261"/>
      <c r="B7788" s="260" t="s">
        <v>553</v>
      </c>
      <c r="C7788" s="457" t="s">
        <v>1</v>
      </c>
      <c r="D7788" s="440">
        <v>2</v>
      </c>
      <c r="E7788" s="441">
        <v>1</v>
      </c>
      <c r="F7788" s="1363">
        <v>10.16</v>
      </c>
      <c r="G7788" s="1363"/>
      <c r="H7788" s="1363">
        <v>0.2</v>
      </c>
      <c r="I7788" s="1129">
        <f t="shared" si="277"/>
        <v>4.0599999999999996</v>
      </c>
      <c r="J7788" s="471"/>
      <c r="K7788" s="1263" t="s">
        <v>2167</v>
      </c>
      <c r="L7788" s="461"/>
      <c r="M7788" s="461"/>
      <c r="N7788" s="461"/>
    </row>
    <row r="7789" spans="1:14" s="462" customFormat="1" hidden="1" outlineLevel="1">
      <c r="A7789" s="1261"/>
      <c r="B7789" s="260"/>
      <c r="C7789" s="457"/>
      <c r="D7789" s="440"/>
      <c r="E7789" s="441"/>
      <c r="F7789" s="1363"/>
      <c r="G7789" s="1363"/>
      <c r="H7789" s="1363"/>
      <c r="I7789" s="1129" t="str">
        <f t="shared" si="277"/>
        <v/>
      </c>
      <c r="J7789" s="471"/>
      <c r="K7789" s="1263" t="s">
        <v>2167</v>
      </c>
      <c r="L7789" s="461"/>
      <c r="M7789" s="461"/>
      <c r="N7789" s="461"/>
    </row>
    <row r="7790" spans="1:14" s="462" customFormat="1" hidden="1" outlineLevel="1">
      <c r="A7790" s="1261"/>
      <c r="B7790" s="260"/>
      <c r="C7790" s="457" t="s">
        <v>1</v>
      </c>
      <c r="D7790" s="440">
        <v>2</v>
      </c>
      <c r="E7790" s="441">
        <v>1</v>
      </c>
      <c r="F7790" s="1363">
        <v>8.16</v>
      </c>
      <c r="G7790" s="1363"/>
      <c r="H7790" s="1363">
        <v>0.2</v>
      </c>
      <c r="I7790" s="1129">
        <f t="shared" si="277"/>
        <v>3.26</v>
      </c>
      <c r="J7790" s="471"/>
      <c r="K7790" s="1263" t="s">
        <v>2167</v>
      </c>
      <c r="L7790" s="461"/>
      <c r="M7790" s="461"/>
      <c r="N7790" s="461"/>
    </row>
    <row r="7791" spans="1:14" s="462" customFormat="1" hidden="1" outlineLevel="1">
      <c r="A7791" s="1261"/>
      <c r="B7791" s="260"/>
      <c r="C7791" s="457"/>
      <c r="D7791" s="440"/>
      <c r="E7791" s="441"/>
      <c r="F7791" s="1363"/>
      <c r="G7791" s="1363"/>
      <c r="H7791" s="1363"/>
      <c r="I7791" s="1129" t="str">
        <f t="shared" si="277"/>
        <v/>
      </c>
      <c r="J7791" s="471"/>
      <c r="K7791" s="1263" t="s">
        <v>2167</v>
      </c>
      <c r="L7791" s="461"/>
      <c r="M7791" s="461"/>
      <c r="N7791" s="461"/>
    </row>
    <row r="7792" spans="1:14" s="462" customFormat="1" hidden="1" outlineLevel="1">
      <c r="A7792" s="1261"/>
      <c r="B7792" s="260" t="s">
        <v>218</v>
      </c>
      <c r="C7792" s="457" t="s">
        <v>1</v>
      </c>
      <c r="D7792" s="440">
        <v>2</v>
      </c>
      <c r="E7792" s="441">
        <v>2</v>
      </c>
      <c r="F7792" s="1363">
        <v>6.16</v>
      </c>
      <c r="G7792" s="1363"/>
      <c r="H7792" s="1363">
        <v>0.2</v>
      </c>
      <c r="I7792" s="1129">
        <f t="shared" si="277"/>
        <v>4.93</v>
      </c>
      <c r="J7792" s="471"/>
      <c r="K7792" s="1263" t="s">
        <v>2167</v>
      </c>
      <c r="L7792" s="461"/>
      <c r="M7792" s="461"/>
      <c r="N7792" s="461"/>
    </row>
    <row r="7793" spans="1:14" s="462" customFormat="1" hidden="1" outlineLevel="1">
      <c r="A7793" s="1261"/>
      <c r="B7793" s="260"/>
      <c r="C7793" s="457"/>
      <c r="D7793" s="440"/>
      <c r="E7793" s="441"/>
      <c r="F7793" s="1363"/>
      <c r="G7793" s="1363"/>
      <c r="H7793" s="1363"/>
      <c r="I7793" s="1129" t="str">
        <f t="shared" si="277"/>
        <v/>
      </c>
      <c r="J7793" s="471"/>
      <c r="K7793" s="1263" t="s">
        <v>2167</v>
      </c>
      <c r="L7793" s="461"/>
      <c r="M7793" s="461"/>
      <c r="N7793" s="461"/>
    </row>
    <row r="7794" spans="1:14" s="462" customFormat="1" hidden="1" outlineLevel="1">
      <c r="A7794" s="1261"/>
      <c r="B7794" s="260" t="s">
        <v>219</v>
      </c>
      <c r="C7794" s="457" t="s">
        <v>1</v>
      </c>
      <c r="D7794" s="440">
        <v>2</v>
      </c>
      <c r="E7794" s="441">
        <v>2</v>
      </c>
      <c r="F7794" s="1363">
        <v>8.56</v>
      </c>
      <c r="G7794" s="1363"/>
      <c r="H7794" s="1363">
        <v>0.2</v>
      </c>
      <c r="I7794" s="1129">
        <f t="shared" si="277"/>
        <v>6.85</v>
      </c>
      <c r="J7794" s="471"/>
      <c r="K7794" s="1263" t="s">
        <v>2167</v>
      </c>
      <c r="L7794" s="461"/>
      <c r="M7794" s="461"/>
      <c r="N7794" s="461"/>
    </row>
    <row r="7795" spans="1:14" s="462" customFormat="1" hidden="1" outlineLevel="1">
      <c r="A7795" s="1261"/>
      <c r="B7795" s="260"/>
      <c r="C7795" s="457"/>
      <c r="D7795" s="440"/>
      <c r="E7795" s="441"/>
      <c r="F7795" s="1363"/>
      <c r="G7795" s="1363"/>
      <c r="H7795" s="1363"/>
      <c r="I7795" s="1129" t="str">
        <f t="shared" si="277"/>
        <v/>
      </c>
      <c r="J7795" s="471"/>
      <c r="K7795" s="1263" t="s">
        <v>2167</v>
      </c>
      <c r="L7795" s="461"/>
      <c r="M7795" s="461"/>
      <c r="N7795" s="461"/>
    </row>
    <row r="7796" spans="1:14" s="462" customFormat="1" hidden="1" outlineLevel="1">
      <c r="A7796" s="1261"/>
      <c r="B7796" s="260"/>
      <c r="C7796" s="457" t="s">
        <v>1</v>
      </c>
      <c r="D7796" s="440">
        <v>2</v>
      </c>
      <c r="E7796" s="441">
        <v>1</v>
      </c>
      <c r="F7796" s="1363">
        <v>7.66</v>
      </c>
      <c r="G7796" s="1363"/>
      <c r="H7796" s="1363">
        <v>0.2</v>
      </c>
      <c r="I7796" s="1129">
        <f t="shared" si="277"/>
        <v>3.06</v>
      </c>
      <c r="J7796" s="471"/>
      <c r="K7796" s="1263" t="s">
        <v>2167</v>
      </c>
      <c r="L7796" s="461"/>
      <c r="M7796" s="461"/>
      <c r="N7796" s="461"/>
    </row>
    <row r="7797" spans="1:14" s="462" customFormat="1" hidden="1" outlineLevel="1">
      <c r="A7797" s="1261"/>
      <c r="B7797" s="260"/>
      <c r="C7797" s="457"/>
      <c r="D7797" s="440"/>
      <c r="E7797" s="441"/>
      <c r="F7797" s="1363"/>
      <c r="G7797" s="1363"/>
      <c r="H7797" s="1363"/>
      <c r="I7797" s="1129" t="str">
        <f t="shared" si="277"/>
        <v/>
      </c>
      <c r="J7797" s="471"/>
      <c r="K7797" s="1263" t="s">
        <v>2167</v>
      </c>
      <c r="L7797" s="461"/>
      <c r="M7797" s="461"/>
      <c r="N7797" s="461"/>
    </row>
    <row r="7798" spans="1:14" s="462" customFormat="1" hidden="1" outlineLevel="1">
      <c r="A7798" s="1261"/>
      <c r="B7798" s="260" t="s">
        <v>220</v>
      </c>
      <c r="C7798" s="457" t="s">
        <v>1</v>
      </c>
      <c r="D7798" s="440">
        <v>2</v>
      </c>
      <c r="E7798" s="441">
        <v>1</v>
      </c>
      <c r="F7798" s="1363">
        <v>9.66</v>
      </c>
      <c r="G7798" s="1363"/>
      <c r="H7798" s="1363">
        <v>0.2</v>
      </c>
      <c r="I7798" s="1129">
        <f t="shared" si="277"/>
        <v>3.86</v>
      </c>
      <c r="J7798" s="471"/>
      <c r="K7798" s="1263" t="s">
        <v>2167</v>
      </c>
      <c r="L7798" s="461"/>
      <c r="M7798" s="461"/>
      <c r="N7798" s="461"/>
    </row>
    <row r="7799" spans="1:14" s="462" customFormat="1" hidden="1" outlineLevel="1">
      <c r="A7799" s="1261"/>
      <c r="B7799" s="260" t="s">
        <v>554</v>
      </c>
      <c r="C7799" s="457" t="s">
        <v>1</v>
      </c>
      <c r="D7799" s="440">
        <v>2</v>
      </c>
      <c r="E7799" s="441">
        <v>3</v>
      </c>
      <c r="F7799" s="1363">
        <v>3</v>
      </c>
      <c r="G7799" s="1363"/>
      <c r="H7799" s="1363">
        <v>0.27500000000000002</v>
      </c>
      <c r="I7799" s="1165">
        <f t="shared" si="277"/>
        <v>4.95</v>
      </c>
      <c r="J7799" s="471"/>
      <c r="K7799" s="1263" t="s">
        <v>2168</v>
      </c>
      <c r="L7799" s="461"/>
      <c r="M7799" s="461"/>
      <c r="N7799" s="461"/>
    </row>
    <row r="7800" spans="1:14" s="462" customFormat="1" hidden="1" outlineLevel="1">
      <c r="A7800" s="1261"/>
      <c r="B7800" s="260"/>
      <c r="C7800" s="457"/>
      <c r="D7800" s="440"/>
      <c r="E7800" s="441"/>
      <c r="F7800" s="1363"/>
      <c r="G7800" s="1363"/>
      <c r="H7800" s="1363"/>
      <c r="I7800" s="1163" t="str">
        <f t="shared" si="277"/>
        <v/>
      </c>
      <c r="J7800" s="471"/>
      <c r="K7800" s="1263"/>
      <c r="L7800" s="461"/>
      <c r="M7800" s="461"/>
      <c r="N7800" s="461"/>
    </row>
    <row r="7801" spans="1:14" s="462" customFormat="1" hidden="1" outlineLevel="1">
      <c r="A7801" s="1261"/>
      <c r="B7801" s="260" t="s">
        <v>221</v>
      </c>
      <c r="C7801" s="457" t="s">
        <v>1</v>
      </c>
      <c r="D7801" s="440">
        <v>2</v>
      </c>
      <c r="E7801" s="441">
        <v>2</v>
      </c>
      <c r="F7801" s="1363">
        <v>0.61499999999999999</v>
      </c>
      <c r="G7801" s="1363"/>
      <c r="H7801" s="1363">
        <v>0.2</v>
      </c>
      <c r="I7801" s="1129">
        <f t="shared" si="277"/>
        <v>0.49</v>
      </c>
      <c r="J7801" s="471"/>
      <c r="K7801" s="1263" t="s">
        <v>2167</v>
      </c>
      <c r="L7801" s="461"/>
      <c r="M7801" s="461"/>
      <c r="N7801" s="461"/>
    </row>
    <row r="7802" spans="1:14" s="462" customFormat="1" hidden="1" outlineLevel="1">
      <c r="A7802" s="1261"/>
      <c r="B7802" s="260"/>
      <c r="C7802" s="457"/>
      <c r="D7802" s="440"/>
      <c r="E7802" s="441"/>
      <c r="F7802" s="1363"/>
      <c r="G7802" s="1363"/>
      <c r="H7802" s="1363"/>
      <c r="I7802" s="1129" t="str">
        <f t="shared" si="277"/>
        <v/>
      </c>
      <c r="J7802" s="471"/>
      <c r="K7802" s="1263" t="s">
        <v>2167</v>
      </c>
      <c r="L7802" s="461"/>
      <c r="M7802" s="461"/>
      <c r="N7802" s="461"/>
    </row>
    <row r="7803" spans="1:14" s="462" customFormat="1" hidden="1" outlineLevel="1">
      <c r="A7803" s="1261"/>
      <c r="B7803" s="260" t="s">
        <v>222</v>
      </c>
      <c r="C7803" s="457" t="s">
        <v>1</v>
      </c>
      <c r="D7803" s="440">
        <v>2</v>
      </c>
      <c r="E7803" s="441">
        <v>3</v>
      </c>
      <c r="F7803" s="1364">
        <v>1.9</v>
      </c>
      <c r="G7803" s="1363"/>
      <c r="H7803" s="1363">
        <v>0.2</v>
      </c>
      <c r="I7803" s="1129">
        <f t="shared" si="277"/>
        <v>2.2799999999999998</v>
      </c>
      <c r="J7803" s="471"/>
      <c r="K7803" s="1263" t="s">
        <v>2167</v>
      </c>
      <c r="L7803" s="461"/>
      <c r="M7803" s="461"/>
      <c r="N7803" s="461"/>
    </row>
    <row r="7804" spans="1:14" s="462" customFormat="1" hidden="1" outlineLevel="1">
      <c r="A7804" s="1261"/>
      <c r="B7804" s="260"/>
      <c r="C7804" s="457"/>
      <c r="D7804" s="440"/>
      <c r="E7804" s="441"/>
      <c r="F7804" s="1363"/>
      <c r="G7804" s="1363"/>
      <c r="H7804" s="1363"/>
      <c r="I7804" s="1129" t="str">
        <f t="shared" si="277"/>
        <v/>
      </c>
      <c r="J7804" s="471"/>
      <c r="K7804" s="1263" t="s">
        <v>2167</v>
      </c>
      <c r="L7804" s="461"/>
      <c r="M7804" s="461"/>
      <c r="N7804" s="461"/>
    </row>
    <row r="7805" spans="1:14" s="462" customFormat="1" hidden="1" outlineLevel="1">
      <c r="A7805" s="1261"/>
      <c r="B7805" s="260"/>
      <c r="C7805" s="457" t="s">
        <v>1</v>
      </c>
      <c r="D7805" s="440">
        <v>2</v>
      </c>
      <c r="E7805" s="441">
        <v>3</v>
      </c>
      <c r="F7805" s="1363">
        <v>3.36</v>
      </c>
      <c r="G7805" s="1363"/>
      <c r="H7805" s="1363">
        <v>0.2</v>
      </c>
      <c r="I7805" s="1129">
        <f t="shared" si="277"/>
        <v>4.03</v>
      </c>
      <c r="J7805" s="471"/>
      <c r="K7805" s="1263" t="s">
        <v>2167</v>
      </c>
      <c r="L7805" s="461"/>
      <c r="M7805" s="461"/>
      <c r="N7805" s="461"/>
    </row>
    <row r="7806" spans="1:14" s="462" customFormat="1" hidden="1" outlineLevel="1">
      <c r="A7806" s="1261"/>
      <c r="B7806" s="260"/>
      <c r="C7806" s="457"/>
      <c r="D7806" s="440"/>
      <c r="E7806" s="441"/>
      <c r="F7806" s="1363"/>
      <c r="G7806" s="1363"/>
      <c r="H7806" s="1363"/>
      <c r="I7806" s="1129" t="str">
        <f t="shared" si="277"/>
        <v/>
      </c>
      <c r="J7806" s="471"/>
      <c r="K7806" s="1263" t="s">
        <v>2167</v>
      </c>
      <c r="L7806" s="461"/>
      <c r="M7806" s="461"/>
      <c r="N7806" s="461"/>
    </row>
    <row r="7807" spans="1:14" s="462" customFormat="1" ht="34.5" hidden="1" outlineLevel="1">
      <c r="A7807" s="1261"/>
      <c r="B7807" s="260" t="s">
        <v>555</v>
      </c>
      <c r="C7807" s="457"/>
      <c r="D7807" s="440"/>
      <c r="E7807" s="441"/>
      <c r="F7807" s="1363"/>
      <c r="G7807" s="1363"/>
      <c r="H7807" s="1363"/>
      <c r="I7807" s="1129" t="str">
        <f t="shared" si="277"/>
        <v/>
      </c>
      <c r="J7807" s="471"/>
      <c r="K7807" s="1263" t="s">
        <v>2167</v>
      </c>
      <c r="L7807" s="461"/>
      <c r="M7807" s="461"/>
      <c r="N7807" s="461"/>
    </row>
    <row r="7808" spans="1:14" s="462" customFormat="1" hidden="1" outlineLevel="1">
      <c r="A7808" s="1261"/>
      <c r="B7808" s="260"/>
      <c r="C7808" s="457"/>
      <c r="D7808" s="440"/>
      <c r="E7808" s="441"/>
      <c r="F7808" s="1363"/>
      <c r="G7808" s="1363"/>
      <c r="H7808" s="1363"/>
      <c r="I7808" s="1129" t="str">
        <f t="shared" si="277"/>
        <v/>
      </c>
      <c r="J7808" s="471"/>
      <c r="K7808" s="1263" t="s">
        <v>2167</v>
      </c>
      <c r="L7808" s="461"/>
      <c r="M7808" s="461"/>
      <c r="N7808" s="461"/>
    </row>
    <row r="7809" spans="1:14" s="462" customFormat="1" ht="34.5" hidden="1" outlineLevel="1">
      <c r="A7809" s="1261"/>
      <c r="B7809" s="260" t="s">
        <v>556</v>
      </c>
      <c r="C7809" s="457" t="s">
        <v>1</v>
      </c>
      <c r="D7809" s="440">
        <v>2</v>
      </c>
      <c r="E7809" s="441">
        <v>1</v>
      </c>
      <c r="F7809" s="1363">
        <v>32.699999999999996</v>
      </c>
      <c r="G7809" s="1363"/>
      <c r="H7809" s="1363">
        <v>0.2</v>
      </c>
      <c r="I7809" s="1129">
        <f t="shared" si="277"/>
        <v>13.08</v>
      </c>
      <c r="J7809" s="471"/>
      <c r="K7809" s="1263" t="s">
        <v>2167</v>
      </c>
      <c r="L7809" s="461"/>
      <c r="M7809" s="461"/>
      <c r="N7809" s="461"/>
    </row>
    <row r="7810" spans="1:14" s="462" customFormat="1" hidden="1" outlineLevel="1">
      <c r="A7810" s="1261"/>
      <c r="B7810" s="260"/>
      <c r="C7810" s="457"/>
      <c r="D7810" s="440"/>
      <c r="E7810" s="441"/>
      <c r="F7810" s="1363"/>
      <c r="G7810" s="1363"/>
      <c r="H7810" s="1363"/>
      <c r="I7810" s="1129" t="str">
        <f t="shared" si="277"/>
        <v/>
      </c>
      <c r="J7810" s="471"/>
      <c r="K7810" s="1263" t="s">
        <v>2167</v>
      </c>
      <c r="L7810" s="461"/>
      <c r="M7810" s="461"/>
      <c r="N7810" s="461"/>
    </row>
    <row r="7811" spans="1:14" s="462" customFormat="1" hidden="1" outlineLevel="1">
      <c r="A7811" s="1261"/>
      <c r="B7811" s="260"/>
      <c r="C7811" s="457" t="s">
        <v>1</v>
      </c>
      <c r="D7811" s="440">
        <v>2</v>
      </c>
      <c r="E7811" s="441">
        <v>1</v>
      </c>
      <c r="F7811" s="1364">
        <v>29.864999999999998</v>
      </c>
      <c r="G7811" s="1363"/>
      <c r="H7811" s="1363">
        <v>0.2</v>
      </c>
      <c r="I7811" s="1129">
        <f t="shared" si="277"/>
        <v>11.95</v>
      </c>
      <c r="J7811" s="471"/>
      <c r="K7811" s="1263" t="s">
        <v>2167</v>
      </c>
      <c r="L7811" s="461"/>
      <c r="M7811" s="461"/>
      <c r="N7811" s="461"/>
    </row>
    <row r="7812" spans="1:14" s="462" customFormat="1" hidden="1" outlineLevel="1">
      <c r="A7812" s="1261"/>
      <c r="B7812" s="260"/>
      <c r="C7812" s="457"/>
      <c r="D7812" s="440"/>
      <c r="E7812" s="441"/>
      <c r="F7812" s="1363"/>
      <c r="G7812" s="1363"/>
      <c r="H7812" s="1363"/>
      <c r="I7812" s="1129" t="str">
        <f t="shared" si="277"/>
        <v/>
      </c>
      <c r="J7812" s="471"/>
      <c r="K7812" s="1263" t="s">
        <v>2167</v>
      </c>
      <c r="L7812" s="461"/>
      <c r="M7812" s="461"/>
      <c r="N7812" s="461"/>
    </row>
    <row r="7813" spans="1:14" s="462" customFormat="1" ht="34.5" hidden="1" outlineLevel="1">
      <c r="A7813" s="1261"/>
      <c r="B7813" s="260" t="s">
        <v>557</v>
      </c>
      <c r="C7813" s="457" t="s">
        <v>1</v>
      </c>
      <c r="D7813" s="440">
        <v>2</v>
      </c>
      <c r="E7813" s="441">
        <v>1</v>
      </c>
      <c r="F7813" s="1363">
        <v>0.91500000000000004</v>
      </c>
      <c r="G7813" s="1363"/>
      <c r="H7813" s="1363">
        <v>0.2</v>
      </c>
      <c r="I7813" s="1129">
        <f t="shared" si="277"/>
        <v>0.37</v>
      </c>
      <c r="J7813" s="471"/>
      <c r="K7813" s="1263" t="s">
        <v>2167</v>
      </c>
      <c r="L7813" s="461"/>
      <c r="M7813" s="461"/>
      <c r="N7813" s="461"/>
    </row>
    <row r="7814" spans="1:14" s="462" customFormat="1" hidden="1" outlineLevel="1">
      <c r="A7814" s="1261"/>
      <c r="B7814" s="260"/>
      <c r="C7814" s="457"/>
      <c r="D7814" s="440"/>
      <c r="E7814" s="441"/>
      <c r="F7814" s="1363"/>
      <c r="G7814" s="1363"/>
      <c r="H7814" s="1363"/>
      <c r="I7814" s="1129" t="str">
        <f t="shared" si="277"/>
        <v/>
      </c>
      <c r="J7814" s="471"/>
      <c r="K7814" s="1263" t="s">
        <v>2167</v>
      </c>
      <c r="L7814" s="461"/>
      <c r="M7814" s="461"/>
      <c r="N7814" s="461"/>
    </row>
    <row r="7815" spans="1:14" s="462" customFormat="1" hidden="1" outlineLevel="1">
      <c r="A7815" s="1261"/>
      <c r="B7815" s="260"/>
      <c r="C7815" s="457" t="s">
        <v>1</v>
      </c>
      <c r="D7815" s="440">
        <v>2</v>
      </c>
      <c r="E7815" s="441">
        <v>1</v>
      </c>
      <c r="F7815" s="1363">
        <v>0.46500000000000002</v>
      </c>
      <c r="G7815" s="1363"/>
      <c r="H7815" s="1363">
        <v>0.2</v>
      </c>
      <c r="I7815" s="1129">
        <f t="shared" si="277"/>
        <v>0.19</v>
      </c>
      <c r="J7815" s="471"/>
      <c r="K7815" s="1263" t="s">
        <v>2167</v>
      </c>
      <c r="L7815" s="461"/>
      <c r="M7815" s="461"/>
      <c r="N7815" s="461"/>
    </row>
    <row r="7816" spans="1:14" s="462" customFormat="1" hidden="1" outlineLevel="1">
      <c r="A7816" s="1261"/>
      <c r="B7816" s="260"/>
      <c r="C7816" s="457"/>
      <c r="D7816" s="440"/>
      <c r="E7816" s="441"/>
      <c r="F7816" s="1363"/>
      <c r="G7816" s="1363"/>
      <c r="H7816" s="1363"/>
      <c r="I7816" s="1129" t="str">
        <f t="shared" si="277"/>
        <v/>
      </c>
      <c r="J7816" s="471"/>
      <c r="K7816" s="1263" t="s">
        <v>2167</v>
      </c>
      <c r="L7816" s="461"/>
      <c r="M7816" s="461"/>
      <c r="N7816" s="461"/>
    </row>
    <row r="7817" spans="1:14" s="462" customFormat="1" hidden="1" outlineLevel="1">
      <c r="A7817" s="1261"/>
      <c r="B7817" s="260"/>
      <c r="C7817" s="457" t="s">
        <v>1</v>
      </c>
      <c r="D7817" s="440">
        <v>2</v>
      </c>
      <c r="E7817" s="441">
        <v>1</v>
      </c>
      <c r="F7817" s="1364">
        <v>1.97</v>
      </c>
      <c r="G7817" s="1363"/>
      <c r="H7817" s="1363">
        <v>0.2</v>
      </c>
      <c r="I7817" s="1129">
        <f t="shared" si="277"/>
        <v>0.79</v>
      </c>
      <c r="J7817" s="471"/>
      <c r="K7817" s="1263" t="s">
        <v>2167</v>
      </c>
      <c r="L7817" s="461"/>
      <c r="M7817" s="461"/>
      <c r="N7817" s="461"/>
    </row>
    <row r="7818" spans="1:14" s="462" customFormat="1" hidden="1" outlineLevel="1">
      <c r="A7818" s="1261"/>
      <c r="B7818" s="260"/>
      <c r="C7818" s="457"/>
      <c r="D7818" s="440"/>
      <c r="E7818" s="441"/>
      <c r="F7818" s="1363"/>
      <c r="G7818" s="1363"/>
      <c r="H7818" s="1363"/>
      <c r="I7818" s="1129" t="str">
        <f t="shared" si="277"/>
        <v/>
      </c>
      <c r="J7818" s="471"/>
      <c r="K7818" s="1263" t="s">
        <v>2167</v>
      </c>
      <c r="L7818" s="461"/>
      <c r="M7818" s="461"/>
      <c r="N7818" s="461"/>
    </row>
    <row r="7819" spans="1:14" s="462" customFormat="1" hidden="1" outlineLevel="1">
      <c r="A7819" s="1261"/>
      <c r="B7819" s="260"/>
      <c r="C7819" s="457" t="s">
        <v>1</v>
      </c>
      <c r="D7819" s="440">
        <v>2</v>
      </c>
      <c r="E7819" s="441">
        <v>1</v>
      </c>
      <c r="F7819" s="1363">
        <v>0.49</v>
      </c>
      <c r="G7819" s="1363"/>
      <c r="H7819" s="1363">
        <v>0.2</v>
      </c>
      <c r="I7819" s="1129">
        <f t="shared" si="277"/>
        <v>0.2</v>
      </c>
      <c r="J7819" s="471"/>
      <c r="K7819" s="1263" t="s">
        <v>2167</v>
      </c>
      <c r="L7819" s="461"/>
      <c r="M7819" s="461"/>
      <c r="N7819" s="461"/>
    </row>
    <row r="7820" spans="1:14" s="462" customFormat="1" hidden="1" outlineLevel="1">
      <c r="A7820" s="1261"/>
      <c r="B7820" s="260"/>
      <c r="C7820" s="457"/>
      <c r="D7820" s="440"/>
      <c r="E7820" s="441"/>
      <c r="F7820" s="1363"/>
      <c r="G7820" s="1363"/>
      <c r="H7820" s="1363"/>
      <c r="I7820" s="1129" t="str">
        <f t="shared" si="277"/>
        <v/>
      </c>
      <c r="J7820" s="471"/>
      <c r="K7820" s="1263" t="s">
        <v>2167</v>
      </c>
      <c r="L7820" s="461"/>
      <c r="M7820" s="461"/>
      <c r="N7820" s="461"/>
    </row>
    <row r="7821" spans="1:14" s="462" customFormat="1" hidden="1" outlineLevel="1">
      <c r="A7821" s="1261"/>
      <c r="B7821" s="260"/>
      <c r="C7821" s="457" t="s">
        <v>1</v>
      </c>
      <c r="D7821" s="440">
        <v>2</v>
      </c>
      <c r="E7821" s="441">
        <v>1</v>
      </c>
      <c r="F7821" s="1363">
        <v>2.72</v>
      </c>
      <c r="G7821" s="1363"/>
      <c r="H7821" s="1363">
        <v>0.2</v>
      </c>
      <c r="I7821" s="1129">
        <f t="shared" si="277"/>
        <v>1.0900000000000001</v>
      </c>
      <c r="J7821" s="471"/>
      <c r="K7821" s="1263" t="s">
        <v>2167</v>
      </c>
      <c r="L7821" s="461"/>
      <c r="M7821" s="461"/>
      <c r="N7821" s="461"/>
    </row>
    <row r="7822" spans="1:14" s="462" customFormat="1" hidden="1" outlineLevel="1">
      <c r="A7822" s="1261"/>
      <c r="B7822" s="260"/>
      <c r="C7822" s="457"/>
      <c r="D7822" s="440"/>
      <c r="E7822" s="441"/>
      <c r="F7822" s="1363"/>
      <c r="G7822" s="1363"/>
      <c r="H7822" s="1363"/>
      <c r="I7822" s="1129" t="str">
        <f t="shared" si="277"/>
        <v/>
      </c>
      <c r="J7822" s="471"/>
      <c r="K7822" s="1263" t="s">
        <v>2167</v>
      </c>
      <c r="L7822" s="461"/>
      <c r="M7822" s="461"/>
      <c r="N7822" s="461"/>
    </row>
    <row r="7823" spans="1:14" s="462" customFormat="1" ht="34.5" hidden="1" outlineLevel="1">
      <c r="A7823" s="1261"/>
      <c r="B7823" s="260" t="s">
        <v>558</v>
      </c>
      <c r="C7823" s="457" t="s">
        <v>1</v>
      </c>
      <c r="D7823" s="440">
        <v>2</v>
      </c>
      <c r="E7823" s="441">
        <v>1</v>
      </c>
      <c r="F7823" s="1363">
        <v>2</v>
      </c>
      <c r="G7823" s="1363"/>
      <c r="H7823" s="1363">
        <v>0.2</v>
      </c>
      <c r="I7823" s="1129">
        <f t="shared" si="277"/>
        <v>0.8</v>
      </c>
      <c r="J7823" s="471"/>
      <c r="K7823" s="1263" t="s">
        <v>2167</v>
      </c>
      <c r="L7823" s="461"/>
      <c r="M7823" s="461"/>
      <c r="N7823" s="461"/>
    </row>
    <row r="7824" spans="1:14" s="462" customFormat="1" hidden="1" outlineLevel="1">
      <c r="A7824" s="1261"/>
      <c r="B7824" s="260"/>
      <c r="C7824" s="457"/>
      <c r="D7824" s="440"/>
      <c r="E7824" s="441"/>
      <c r="F7824" s="1363"/>
      <c r="G7824" s="1363"/>
      <c r="H7824" s="1363"/>
      <c r="I7824" s="1129" t="str">
        <f t="shared" si="277"/>
        <v/>
      </c>
      <c r="J7824" s="471"/>
      <c r="K7824" s="1263" t="s">
        <v>2167</v>
      </c>
      <c r="L7824" s="461"/>
      <c r="M7824" s="461"/>
      <c r="N7824" s="461"/>
    </row>
    <row r="7825" spans="1:14" s="462" customFormat="1" hidden="1" outlineLevel="1">
      <c r="A7825" s="1261"/>
      <c r="B7825" s="260"/>
      <c r="C7825" s="457" t="s">
        <v>1</v>
      </c>
      <c r="D7825" s="440">
        <v>2</v>
      </c>
      <c r="E7825" s="441">
        <v>1</v>
      </c>
      <c r="F7825" s="1363">
        <v>2</v>
      </c>
      <c r="G7825" s="1363"/>
      <c r="H7825" s="1363">
        <v>0.2</v>
      </c>
      <c r="I7825" s="1129">
        <f t="shared" si="277"/>
        <v>0.8</v>
      </c>
      <c r="J7825" s="471"/>
      <c r="K7825" s="1263" t="s">
        <v>2167</v>
      </c>
      <c r="L7825" s="461"/>
      <c r="M7825" s="461"/>
      <c r="N7825" s="461"/>
    </row>
    <row r="7826" spans="1:14" s="462" customFormat="1" hidden="1" outlineLevel="1">
      <c r="A7826" s="1261"/>
      <c r="B7826" s="260"/>
      <c r="C7826" s="457"/>
      <c r="D7826" s="440"/>
      <c r="E7826" s="441"/>
      <c r="F7826" s="1363"/>
      <c r="G7826" s="1363"/>
      <c r="H7826" s="1363"/>
      <c r="I7826" s="1129" t="str">
        <f t="shared" si="277"/>
        <v/>
      </c>
      <c r="J7826" s="471"/>
      <c r="K7826" s="1263" t="s">
        <v>2167</v>
      </c>
      <c r="L7826" s="461"/>
      <c r="M7826" s="461"/>
      <c r="N7826" s="461"/>
    </row>
    <row r="7827" spans="1:14" s="462" customFormat="1" hidden="1" outlineLevel="1">
      <c r="A7827" s="1261"/>
      <c r="B7827" s="260"/>
      <c r="C7827" s="457" t="s">
        <v>1</v>
      </c>
      <c r="D7827" s="440">
        <v>2</v>
      </c>
      <c r="E7827" s="441">
        <v>1</v>
      </c>
      <c r="F7827" s="1363">
        <v>1</v>
      </c>
      <c r="G7827" s="1363"/>
      <c r="H7827" s="1363">
        <v>0.2</v>
      </c>
      <c r="I7827" s="1129">
        <f t="shared" si="277"/>
        <v>0.4</v>
      </c>
      <c r="J7827" s="471"/>
      <c r="K7827" s="1263" t="s">
        <v>2167</v>
      </c>
      <c r="L7827" s="461"/>
      <c r="M7827" s="461"/>
      <c r="N7827" s="461"/>
    </row>
    <row r="7828" spans="1:14" s="462" customFormat="1" hidden="1" outlineLevel="1">
      <c r="A7828" s="1261"/>
      <c r="B7828" s="260"/>
      <c r="C7828" s="457"/>
      <c r="D7828" s="440"/>
      <c r="E7828" s="441"/>
      <c r="F7828" s="1363"/>
      <c r="G7828" s="1363"/>
      <c r="H7828" s="1363"/>
      <c r="I7828" s="1129" t="str">
        <f t="shared" si="277"/>
        <v/>
      </c>
      <c r="J7828" s="471"/>
      <c r="K7828" s="1263" t="s">
        <v>2167</v>
      </c>
      <c r="L7828" s="461"/>
      <c r="M7828" s="461"/>
      <c r="N7828" s="461"/>
    </row>
    <row r="7829" spans="1:14" s="462" customFormat="1" hidden="1" outlineLevel="1">
      <c r="A7829" s="1261"/>
      <c r="B7829" s="260"/>
      <c r="C7829" s="457" t="s">
        <v>1</v>
      </c>
      <c r="D7829" s="440">
        <v>2</v>
      </c>
      <c r="E7829" s="441">
        <v>1</v>
      </c>
      <c r="F7829" s="1363">
        <v>1</v>
      </c>
      <c r="G7829" s="1363"/>
      <c r="H7829" s="1363">
        <v>0.2</v>
      </c>
      <c r="I7829" s="1129">
        <f t="shared" si="277"/>
        <v>0.4</v>
      </c>
      <c r="J7829" s="471"/>
      <c r="K7829" s="1263" t="s">
        <v>2167</v>
      </c>
      <c r="L7829" s="461"/>
      <c r="M7829" s="461"/>
      <c r="N7829" s="461"/>
    </row>
    <row r="7830" spans="1:14" s="462" customFormat="1" hidden="1" outlineLevel="1">
      <c r="A7830" s="1261"/>
      <c r="B7830" s="260"/>
      <c r="C7830" s="457"/>
      <c r="D7830" s="440"/>
      <c r="E7830" s="441"/>
      <c r="F7830" s="1363"/>
      <c r="G7830" s="1363"/>
      <c r="H7830" s="1363"/>
      <c r="I7830" s="1129" t="str">
        <f t="shared" si="277"/>
        <v/>
      </c>
      <c r="J7830" s="471"/>
      <c r="K7830" s="1263" t="s">
        <v>2167</v>
      </c>
      <c r="L7830" s="461"/>
      <c r="M7830" s="461"/>
      <c r="N7830" s="461"/>
    </row>
    <row r="7831" spans="1:14" s="462" customFormat="1" hidden="1" outlineLevel="1">
      <c r="A7831" s="1261"/>
      <c r="B7831" s="260"/>
      <c r="C7831" s="457" t="s">
        <v>1</v>
      </c>
      <c r="D7831" s="440">
        <v>2</v>
      </c>
      <c r="E7831" s="441">
        <v>1</v>
      </c>
      <c r="F7831" s="1363">
        <v>1.97</v>
      </c>
      <c r="G7831" s="1363"/>
      <c r="H7831" s="1363">
        <v>0.2</v>
      </c>
      <c r="I7831" s="1129">
        <f t="shared" si="277"/>
        <v>0.79</v>
      </c>
      <c r="J7831" s="471"/>
      <c r="K7831" s="1263" t="s">
        <v>2167</v>
      </c>
      <c r="L7831" s="461"/>
      <c r="M7831" s="461"/>
      <c r="N7831" s="461"/>
    </row>
    <row r="7832" spans="1:14" s="462" customFormat="1" hidden="1" outlineLevel="1">
      <c r="A7832" s="1261"/>
      <c r="B7832" s="260"/>
      <c r="C7832" s="457"/>
      <c r="D7832" s="440"/>
      <c r="E7832" s="441"/>
      <c r="F7832" s="1363"/>
      <c r="G7832" s="1363"/>
      <c r="H7832" s="1363"/>
      <c r="I7832" s="1129" t="str">
        <f t="shared" si="277"/>
        <v/>
      </c>
      <c r="J7832" s="471"/>
      <c r="K7832" s="1263" t="s">
        <v>2167</v>
      </c>
      <c r="L7832" s="461"/>
      <c r="M7832" s="461"/>
      <c r="N7832" s="461"/>
    </row>
    <row r="7833" spans="1:14" s="462" customFormat="1" hidden="1" outlineLevel="1">
      <c r="A7833" s="1261"/>
      <c r="B7833" s="260"/>
      <c r="C7833" s="457" t="s">
        <v>1</v>
      </c>
      <c r="D7833" s="440">
        <v>2</v>
      </c>
      <c r="E7833" s="441">
        <v>1</v>
      </c>
      <c r="F7833" s="1363">
        <v>6.17</v>
      </c>
      <c r="G7833" s="1363"/>
      <c r="H7833" s="1363">
        <v>0.2</v>
      </c>
      <c r="I7833" s="1129">
        <f t="shared" si="277"/>
        <v>2.4700000000000002</v>
      </c>
      <c r="J7833" s="471"/>
      <c r="K7833" s="1263" t="s">
        <v>2167</v>
      </c>
      <c r="L7833" s="461"/>
      <c r="M7833" s="461"/>
      <c r="N7833" s="461"/>
    </row>
    <row r="7834" spans="1:14" s="462" customFormat="1" hidden="1" outlineLevel="1">
      <c r="A7834" s="1261"/>
      <c r="B7834" s="260"/>
      <c r="C7834" s="457"/>
      <c r="D7834" s="440"/>
      <c r="E7834" s="441"/>
      <c r="F7834" s="1363"/>
      <c r="G7834" s="1363"/>
      <c r="H7834" s="1363"/>
      <c r="I7834" s="1129" t="str">
        <f t="shared" si="277"/>
        <v/>
      </c>
      <c r="J7834" s="471"/>
      <c r="K7834" s="1263" t="s">
        <v>2167</v>
      </c>
      <c r="L7834" s="461"/>
      <c r="M7834" s="461"/>
      <c r="N7834" s="461"/>
    </row>
    <row r="7835" spans="1:14" s="462" customFormat="1" ht="34.5" hidden="1" outlineLevel="1">
      <c r="A7835" s="1261"/>
      <c r="B7835" s="260" t="s">
        <v>559</v>
      </c>
      <c r="C7835" s="457" t="s">
        <v>1</v>
      </c>
      <c r="D7835" s="440">
        <v>2</v>
      </c>
      <c r="E7835" s="441">
        <v>1</v>
      </c>
      <c r="F7835" s="1363">
        <v>1.8</v>
      </c>
      <c r="G7835" s="1363"/>
      <c r="H7835" s="1363">
        <v>0.2</v>
      </c>
      <c r="I7835" s="1129">
        <f t="shared" si="277"/>
        <v>0.72</v>
      </c>
      <c r="J7835" s="471"/>
      <c r="K7835" s="1263" t="s">
        <v>2167</v>
      </c>
      <c r="L7835" s="461"/>
      <c r="M7835" s="461"/>
      <c r="N7835" s="461"/>
    </row>
    <row r="7836" spans="1:14" s="462" customFormat="1" hidden="1" outlineLevel="1">
      <c r="A7836" s="1261"/>
      <c r="B7836" s="260"/>
      <c r="C7836" s="457"/>
      <c r="D7836" s="440"/>
      <c r="E7836" s="441"/>
      <c r="F7836" s="1363"/>
      <c r="G7836" s="1363"/>
      <c r="H7836" s="1363"/>
      <c r="I7836" s="1129" t="str">
        <f t="shared" si="277"/>
        <v/>
      </c>
      <c r="J7836" s="471"/>
      <c r="K7836" s="1263" t="s">
        <v>2167</v>
      </c>
      <c r="L7836" s="461"/>
      <c r="M7836" s="461"/>
      <c r="N7836" s="461"/>
    </row>
    <row r="7837" spans="1:14" s="462" customFormat="1" ht="34.5" hidden="1" outlineLevel="1">
      <c r="A7837" s="1261"/>
      <c r="B7837" s="260" t="s">
        <v>560</v>
      </c>
      <c r="C7837" s="457" t="s">
        <v>1</v>
      </c>
      <c r="D7837" s="440">
        <v>2</v>
      </c>
      <c r="E7837" s="441">
        <v>1</v>
      </c>
      <c r="F7837" s="1363">
        <v>4.4950000000000001</v>
      </c>
      <c r="G7837" s="1363"/>
      <c r="H7837" s="1363">
        <v>0.2</v>
      </c>
      <c r="I7837" s="1129">
        <f t="shared" si="277"/>
        <v>1.8</v>
      </c>
      <c r="J7837" s="471"/>
      <c r="K7837" s="1263" t="s">
        <v>2167</v>
      </c>
      <c r="L7837" s="461"/>
      <c r="M7837" s="461"/>
      <c r="N7837" s="461"/>
    </row>
    <row r="7838" spans="1:14" s="462" customFormat="1" hidden="1" outlineLevel="1">
      <c r="A7838" s="1261"/>
      <c r="B7838" s="260"/>
      <c r="C7838" s="457"/>
      <c r="D7838" s="440"/>
      <c r="E7838" s="441"/>
      <c r="F7838" s="1363"/>
      <c r="G7838" s="1363"/>
      <c r="H7838" s="1363"/>
      <c r="I7838" s="1129" t="str">
        <f t="shared" si="277"/>
        <v/>
      </c>
      <c r="J7838" s="471"/>
      <c r="K7838" s="1263" t="s">
        <v>2167</v>
      </c>
      <c r="L7838" s="461"/>
      <c r="M7838" s="461"/>
      <c r="N7838" s="461"/>
    </row>
    <row r="7839" spans="1:14" s="462" customFormat="1" hidden="1" outlineLevel="1">
      <c r="A7839" s="1261"/>
      <c r="B7839" s="260" t="s">
        <v>229</v>
      </c>
      <c r="C7839" s="457" t="s">
        <v>1</v>
      </c>
      <c r="D7839" s="440">
        <v>2</v>
      </c>
      <c r="E7839" s="441">
        <v>1</v>
      </c>
      <c r="F7839" s="1363">
        <v>2.2949999999999999</v>
      </c>
      <c r="G7839" s="1363"/>
      <c r="H7839" s="1363">
        <v>0.2</v>
      </c>
      <c r="I7839" s="1129">
        <f t="shared" si="277"/>
        <v>0.92</v>
      </c>
      <c r="J7839" s="471"/>
      <c r="K7839" s="1263" t="s">
        <v>2167</v>
      </c>
      <c r="L7839" s="461"/>
      <c r="M7839" s="461"/>
      <c r="N7839" s="461"/>
    </row>
    <row r="7840" spans="1:14" s="462" customFormat="1" hidden="1" outlineLevel="1">
      <c r="A7840" s="1261"/>
      <c r="B7840" s="260"/>
      <c r="C7840" s="457"/>
      <c r="D7840" s="440"/>
      <c r="E7840" s="441"/>
      <c r="F7840" s="1363"/>
      <c r="G7840" s="1363"/>
      <c r="H7840" s="1363"/>
      <c r="I7840" s="1129" t="str">
        <f t="shared" si="277"/>
        <v/>
      </c>
      <c r="J7840" s="471"/>
      <c r="K7840" s="1263" t="s">
        <v>2167</v>
      </c>
      <c r="L7840" s="461"/>
      <c r="M7840" s="461"/>
      <c r="N7840" s="461"/>
    </row>
    <row r="7841" spans="1:14" s="462" customFormat="1" ht="34.5" hidden="1" outlineLevel="1">
      <c r="A7841" s="1261"/>
      <c r="B7841" s="260" t="s">
        <v>561</v>
      </c>
      <c r="C7841" s="457"/>
      <c r="D7841" s="440"/>
      <c r="E7841" s="441"/>
      <c r="F7841" s="1363"/>
      <c r="G7841" s="1363"/>
      <c r="H7841" s="1363"/>
      <c r="I7841" s="1129" t="str">
        <f t="shared" ref="I7841:I7904" si="278">IF(D7841&lt;&gt;0,ROUND(PRODUCT(E7841:H7841)*D7841,2),"")</f>
        <v/>
      </c>
      <c r="J7841" s="471"/>
      <c r="K7841" s="1263" t="s">
        <v>2167</v>
      </c>
      <c r="L7841" s="461"/>
      <c r="M7841" s="461"/>
      <c r="N7841" s="461"/>
    </row>
    <row r="7842" spans="1:14" s="462" customFormat="1" hidden="1" outlineLevel="1">
      <c r="A7842" s="1261"/>
      <c r="B7842" s="260"/>
      <c r="C7842" s="457"/>
      <c r="D7842" s="440"/>
      <c r="E7842" s="441"/>
      <c r="F7842" s="1363"/>
      <c r="G7842" s="1363"/>
      <c r="H7842" s="1363"/>
      <c r="I7842" s="1129" t="str">
        <f t="shared" si="278"/>
        <v/>
      </c>
      <c r="J7842" s="471"/>
      <c r="K7842" s="1263" t="s">
        <v>2167</v>
      </c>
      <c r="L7842" s="461"/>
      <c r="M7842" s="461"/>
      <c r="N7842" s="461"/>
    </row>
    <row r="7843" spans="1:14" s="462" customFormat="1" hidden="1" outlineLevel="1">
      <c r="A7843" s="1261"/>
      <c r="B7843" s="260" t="s">
        <v>562</v>
      </c>
      <c r="C7843" s="457" t="s">
        <v>1</v>
      </c>
      <c r="D7843" s="440">
        <v>2</v>
      </c>
      <c r="E7843" s="441">
        <v>2</v>
      </c>
      <c r="F7843" s="1363">
        <v>31.82</v>
      </c>
      <c r="G7843" s="1363"/>
      <c r="H7843" s="1363">
        <v>0.2</v>
      </c>
      <c r="I7843" s="1129">
        <f t="shared" si="278"/>
        <v>25.46</v>
      </c>
      <c r="J7843" s="471"/>
      <c r="K7843" s="1263" t="s">
        <v>2167</v>
      </c>
      <c r="L7843" s="461"/>
      <c r="M7843" s="461"/>
      <c r="N7843" s="461"/>
    </row>
    <row r="7844" spans="1:14" s="462" customFormat="1" hidden="1" outlineLevel="1">
      <c r="A7844" s="1261"/>
      <c r="B7844" s="260"/>
      <c r="C7844" s="457"/>
      <c r="D7844" s="440"/>
      <c r="E7844" s="441"/>
      <c r="F7844" s="1363"/>
      <c r="G7844" s="1363"/>
      <c r="H7844" s="1363"/>
      <c r="I7844" s="1129" t="str">
        <f t="shared" si="278"/>
        <v/>
      </c>
      <c r="J7844" s="471"/>
      <c r="K7844" s="1263" t="s">
        <v>2167</v>
      </c>
      <c r="L7844" s="461"/>
      <c r="M7844" s="461"/>
      <c r="N7844" s="461"/>
    </row>
    <row r="7845" spans="1:14" s="462" customFormat="1" hidden="1" outlineLevel="1">
      <c r="A7845" s="1261"/>
      <c r="B7845" s="260"/>
      <c r="C7845" s="457" t="s">
        <v>1</v>
      </c>
      <c r="D7845" s="440">
        <v>2</v>
      </c>
      <c r="E7845" s="441">
        <v>2</v>
      </c>
      <c r="F7845" s="1363">
        <v>1.57</v>
      </c>
      <c r="G7845" s="1363"/>
      <c r="H7845" s="1363">
        <v>0.2</v>
      </c>
      <c r="I7845" s="1129">
        <f t="shared" si="278"/>
        <v>1.26</v>
      </c>
      <c r="J7845" s="471"/>
      <c r="K7845" s="1263" t="s">
        <v>2167</v>
      </c>
      <c r="L7845" s="461"/>
      <c r="M7845" s="461"/>
      <c r="N7845" s="461"/>
    </row>
    <row r="7846" spans="1:14" s="462" customFormat="1" hidden="1" outlineLevel="1">
      <c r="A7846" s="1261"/>
      <c r="B7846" s="260"/>
      <c r="C7846" s="457"/>
      <c r="D7846" s="440"/>
      <c r="E7846" s="441"/>
      <c r="F7846" s="1363"/>
      <c r="G7846" s="1363"/>
      <c r="H7846" s="1363"/>
      <c r="I7846" s="1129" t="str">
        <f t="shared" si="278"/>
        <v/>
      </c>
      <c r="J7846" s="471"/>
      <c r="K7846" s="1263" t="s">
        <v>2167</v>
      </c>
      <c r="L7846" s="461"/>
      <c r="M7846" s="461"/>
      <c r="N7846" s="461"/>
    </row>
    <row r="7847" spans="1:14" s="462" customFormat="1" hidden="1" outlineLevel="1">
      <c r="A7847" s="1261"/>
      <c r="B7847" s="260"/>
      <c r="C7847" s="457"/>
      <c r="D7847" s="440"/>
      <c r="E7847" s="441"/>
      <c r="F7847" s="1363"/>
      <c r="G7847" s="1363"/>
      <c r="H7847" s="1363"/>
      <c r="I7847" s="1129" t="str">
        <f t="shared" si="278"/>
        <v/>
      </c>
      <c r="J7847" s="471"/>
      <c r="K7847" s="1263" t="s">
        <v>2167</v>
      </c>
      <c r="L7847" s="461"/>
      <c r="M7847" s="461"/>
      <c r="N7847" s="461"/>
    </row>
    <row r="7848" spans="1:14" s="462" customFormat="1" ht="34.5" hidden="1" outlineLevel="1">
      <c r="A7848" s="1261"/>
      <c r="B7848" s="260" t="s">
        <v>563</v>
      </c>
      <c r="C7848" s="457"/>
      <c r="D7848" s="440"/>
      <c r="E7848" s="441"/>
      <c r="F7848" s="1363"/>
      <c r="G7848" s="1363"/>
      <c r="H7848" s="1363"/>
      <c r="I7848" s="1129" t="str">
        <f t="shared" si="278"/>
        <v/>
      </c>
      <c r="J7848" s="471"/>
      <c r="K7848" s="1263" t="s">
        <v>2167</v>
      </c>
      <c r="L7848" s="461"/>
      <c r="M7848" s="461"/>
      <c r="N7848" s="461"/>
    </row>
    <row r="7849" spans="1:14" s="462" customFormat="1" hidden="1" outlineLevel="1">
      <c r="A7849" s="1261"/>
      <c r="B7849" s="260"/>
      <c r="C7849" s="457"/>
      <c r="D7849" s="440"/>
      <c r="E7849" s="441"/>
      <c r="F7849" s="1363"/>
      <c r="G7849" s="1363"/>
      <c r="H7849" s="1363"/>
      <c r="I7849" s="1129" t="str">
        <f t="shared" si="278"/>
        <v/>
      </c>
      <c r="J7849" s="471"/>
      <c r="K7849" s="1263" t="s">
        <v>2167</v>
      </c>
      <c r="L7849" s="461"/>
      <c r="M7849" s="461"/>
      <c r="N7849" s="461"/>
    </row>
    <row r="7850" spans="1:14" s="462" customFormat="1" ht="34.5" hidden="1" outlineLevel="1">
      <c r="A7850" s="1261"/>
      <c r="B7850" s="260" t="s">
        <v>564</v>
      </c>
      <c r="C7850" s="457"/>
      <c r="D7850" s="440"/>
      <c r="E7850" s="441"/>
      <c r="F7850" s="1363"/>
      <c r="G7850" s="1363"/>
      <c r="H7850" s="1363"/>
      <c r="I7850" s="1129" t="str">
        <f t="shared" si="278"/>
        <v/>
      </c>
      <c r="J7850" s="471"/>
      <c r="K7850" s="1263" t="s">
        <v>2167</v>
      </c>
      <c r="L7850" s="461"/>
      <c r="M7850" s="461"/>
      <c r="N7850" s="461"/>
    </row>
    <row r="7851" spans="1:14" s="462" customFormat="1" hidden="1" outlineLevel="1">
      <c r="A7851" s="1261"/>
      <c r="B7851" s="260" t="s">
        <v>234</v>
      </c>
      <c r="C7851" s="457" t="s">
        <v>1</v>
      </c>
      <c r="D7851" s="472">
        <v>1</v>
      </c>
      <c r="E7851" s="441">
        <v>2</v>
      </c>
      <c r="F7851" s="1363">
        <v>3.48</v>
      </c>
      <c r="G7851" s="1363"/>
      <c r="H7851" s="1363">
        <v>0.2</v>
      </c>
      <c r="I7851" s="1129">
        <f t="shared" si="278"/>
        <v>1.39</v>
      </c>
      <c r="J7851" s="471"/>
      <c r="K7851" s="1263" t="s">
        <v>2167</v>
      </c>
      <c r="L7851" s="461"/>
      <c r="M7851" s="461"/>
      <c r="N7851" s="461"/>
    </row>
    <row r="7852" spans="1:14" s="462" customFormat="1" hidden="1" outlineLevel="1">
      <c r="A7852" s="1261"/>
      <c r="B7852" s="260"/>
      <c r="C7852" s="457"/>
      <c r="D7852" s="440"/>
      <c r="E7852" s="441"/>
      <c r="F7852" s="1363"/>
      <c r="G7852" s="1363"/>
      <c r="H7852" s="1363"/>
      <c r="I7852" s="1129" t="str">
        <f t="shared" si="278"/>
        <v/>
      </c>
      <c r="J7852" s="471"/>
      <c r="K7852" s="1263" t="s">
        <v>2167</v>
      </c>
      <c r="L7852" s="461"/>
      <c r="M7852" s="461"/>
      <c r="N7852" s="461"/>
    </row>
    <row r="7853" spans="1:14" s="462" customFormat="1" hidden="1" outlineLevel="1">
      <c r="A7853" s="1261"/>
      <c r="B7853" s="260"/>
      <c r="C7853" s="457" t="s">
        <v>1</v>
      </c>
      <c r="D7853" s="440">
        <v>2</v>
      </c>
      <c r="E7853" s="441">
        <v>1</v>
      </c>
      <c r="F7853" s="1363">
        <v>1.48</v>
      </c>
      <c r="G7853" s="1363"/>
      <c r="H7853" s="1363">
        <v>0.2</v>
      </c>
      <c r="I7853" s="1129">
        <f t="shared" si="278"/>
        <v>0.59</v>
      </c>
      <c r="J7853" s="471"/>
      <c r="K7853" s="1263" t="s">
        <v>2167</v>
      </c>
      <c r="L7853" s="461"/>
      <c r="M7853" s="461"/>
      <c r="N7853" s="461"/>
    </row>
    <row r="7854" spans="1:14" s="462" customFormat="1" hidden="1" outlineLevel="1">
      <c r="A7854" s="1261"/>
      <c r="B7854" s="260"/>
      <c r="C7854" s="457"/>
      <c r="D7854" s="440"/>
      <c r="E7854" s="441"/>
      <c r="F7854" s="1363"/>
      <c r="G7854" s="1363"/>
      <c r="H7854" s="1363"/>
      <c r="I7854" s="1129" t="str">
        <f t="shared" si="278"/>
        <v/>
      </c>
      <c r="J7854" s="471"/>
      <c r="K7854" s="1263" t="s">
        <v>2167</v>
      </c>
      <c r="L7854" s="461"/>
      <c r="M7854" s="461"/>
      <c r="N7854" s="461"/>
    </row>
    <row r="7855" spans="1:14" s="462" customFormat="1" hidden="1" outlineLevel="1">
      <c r="A7855" s="1261"/>
      <c r="B7855" s="260"/>
      <c r="C7855" s="457" t="s">
        <v>1</v>
      </c>
      <c r="D7855" s="440">
        <v>2</v>
      </c>
      <c r="E7855" s="441">
        <v>4</v>
      </c>
      <c r="F7855" s="1363">
        <v>2.38</v>
      </c>
      <c r="G7855" s="1363"/>
      <c r="H7855" s="1363">
        <v>0.2</v>
      </c>
      <c r="I7855" s="1129">
        <f t="shared" si="278"/>
        <v>3.81</v>
      </c>
      <c r="J7855" s="471"/>
      <c r="K7855" s="1263" t="s">
        <v>2167</v>
      </c>
      <c r="L7855" s="461"/>
      <c r="M7855" s="461"/>
      <c r="N7855" s="461"/>
    </row>
    <row r="7856" spans="1:14" s="462" customFormat="1" hidden="1" outlineLevel="1">
      <c r="A7856" s="1261"/>
      <c r="B7856" s="260"/>
      <c r="C7856" s="457"/>
      <c r="D7856" s="440"/>
      <c r="E7856" s="441"/>
      <c r="F7856" s="1363"/>
      <c r="G7856" s="1363"/>
      <c r="H7856" s="1363"/>
      <c r="I7856" s="1129" t="str">
        <f t="shared" si="278"/>
        <v/>
      </c>
      <c r="J7856" s="471"/>
      <c r="K7856" s="1263" t="s">
        <v>2167</v>
      </c>
      <c r="L7856" s="461"/>
      <c r="M7856" s="461"/>
      <c r="N7856" s="461"/>
    </row>
    <row r="7857" spans="1:14" s="462" customFormat="1" hidden="1" outlineLevel="1">
      <c r="A7857" s="1261"/>
      <c r="B7857" s="260"/>
      <c r="C7857" s="457" t="s">
        <v>1</v>
      </c>
      <c r="D7857" s="440">
        <v>2</v>
      </c>
      <c r="E7857" s="441">
        <v>2</v>
      </c>
      <c r="F7857" s="1363">
        <v>4.4800000000000004</v>
      </c>
      <c r="G7857" s="1363"/>
      <c r="H7857" s="1363">
        <v>0.2</v>
      </c>
      <c r="I7857" s="1129">
        <f t="shared" si="278"/>
        <v>3.58</v>
      </c>
      <c r="J7857" s="471"/>
      <c r="K7857" s="1263" t="s">
        <v>2167</v>
      </c>
      <c r="L7857" s="461"/>
      <c r="M7857" s="461"/>
      <c r="N7857" s="461"/>
    </row>
    <row r="7858" spans="1:14" s="462" customFormat="1" hidden="1" outlineLevel="1">
      <c r="A7858" s="1261"/>
      <c r="B7858" s="260"/>
      <c r="C7858" s="457"/>
      <c r="D7858" s="440"/>
      <c r="E7858" s="441"/>
      <c r="F7858" s="1363"/>
      <c r="G7858" s="1363"/>
      <c r="H7858" s="1363"/>
      <c r="I7858" s="1129" t="str">
        <f t="shared" si="278"/>
        <v/>
      </c>
      <c r="J7858" s="471"/>
      <c r="K7858" s="1263" t="s">
        <v>2167</v>
      </c>
      <c r="L7858" s="461"/>
      <c r="M7858" s="461"/>
      <c r="N7858" s="461"/>
    </row>
    <row r="7859" spans="1:14" s="462" customFormat="1" hidden="1" outlineLevel="1">
      <c r="A7859" s="1261"/>
      <c r="B7859" s="260"/>
      <c r="C7859" s="457" t="s">
        <v>1</v>
      </c>
      <c r="D7859" s="440">
        <v>2</v>
      </c>
      <c r="E7859" s="441">
        <v>2</v>
      </c>
      <c r="F7859" s="1363">
        <v>4.18</v>
      </c>
      <c r="G7859" s="1363"/>
      <c r="H7859" s="1363">
        <v>0.2</v>
      </c>
      <c r="I7859" s="1129">
        <f t="shared" si="278"/>
        <v>3.34</v>
      </c>
      <c r="J7859" s="471"/>
      <c r="K7859" s="1263" t="s">
        <v>2167</v>
      </c>
      <c r="L7859" s="461"/>
      <c r="M7859" s="461"/>
      <c r="N7859" s="461"/>
    </row>
    <row r="7860" spans="1:14" s="462" customFormat="1" hidden="1" outlineLevel="1">
      <c r="A7860" s="1261"/>
      <c r="B7860" s="260"/>
      <c r="C7860" s="457"/>
      <c r="D7860" s="440"/>
      <c r="E7860" s="441"/>
      <c r="F7860" s="1363"/>
      <c r="G7860" s="1363"/>
      <c r="H7860" s="1363"/>
      <c r="I7860" s="1129" t="str">
        <f t="shared" si="278"/>
        <v/>
      </c>
      <c r="J7860" s="471"/>
      <c r="K7860" s="1263" t="s">
        <v>2167</v>
      </c>
      <c r="L7860" s="461"/>
      <c r="M7860" s="461"/>
      <c r="N7860" s="461"/>
    </row>
    <row r="7861" spans="1:14" s="462" customFormat="1" hidden="1" outlineLevel="1">
      <c r="A7861" s="1261"/>
      <c r="B7861" s="260"/>
      <c r="C7861" s="457" t="s">
        <v>1</v>
      </c>
      <c r="D7861" s="440">
        <v>2</v>
      </c>
      <c r="E7861" s="441">
        <v>2</v>
      </c>
      <c r="F7861" s="1363">
        <v>5.08</v>
      </c>
      <c r="G7861" s="1363"/>
      <c r="H7861" s="1363">
        <v>0.2</v>
      </c>
      <c r="I7861" s="1129">
        <f t="shared" si="278"/>
        <v>4.0599999999999996</v>
      </c>
      <c r="J7861" s="471"/>
      <c r="K7861" s="1263" t="s">
        <v>2167</v>
      </c>
      <c r="L7861" s="461"/>
      <c r="M7861" s="461"/>
      <c r="N7861" s="461"/>
    </row>
    <row r="7862" spans="1:14" s="462" customFormat="1" hidden="1" outlineLevel="1">
      <c r="A7862" s="1261"/>
      <c r="B7862" s="260"/>
      <c r="C7862" s="457"/>
      <c r="D7862" s="440"/>
      <c r="E7862" s="441"/>
      <c r="F7862" s="1363"/>
      <c r="G7862" s="1363"/>
      <c r="H7862" s="1363"/>
      <c r="I7862" s="1129" t="str">
        <f t="shared" si="278"/>
        <v/>
      </c>
      <c r="J7862" s="471"/>
      <c r="K7862" s="1263" t="s">
        <v>2167</v>
      </c>
      <c r="L7862" s="461"/>
      <c r="M7862" s="461"/>
      <c r="N7862" s="461"/>
    </row>
    <row r="7863" spans="1:14" s="462" customFormat="1" hidden="1" outlineLevel="1">
      <c r="A7863" s="1261"/>
      <c r="B7863" s="260"/>
      <c r="C7863" s="457" t="s">
        <v>1</v>
      </c>
      <c r="D7863" s="440">
        <v>2</v>
      </c>
      <c r="E7863" s="441">
        <v>2</v>
      </c>
      <c r="F7863" s="1363">
        <v>5.98</v>
      </c>
      <c r="G7863" s="1363"/>
      <c r="H7863" s="1363">
        <v>0.2</v>
      </c>
      <c r="I7863" s="1129">
        <f t="shared" si="278"/>
        <v>4.78</v>
      </c>
      <c r="J7863" s="471"/>
      <c r="K7863" s="1263" t="s">
        <v>2167</v>
      </c>
      <c r="L7863" s="461"/>
      <c r="M7863" s="461"/>
      <c r="N7863" s="461"/>
    </row>
    <row r="7864" spans="1:14" s="462" customFormat="1" hidden="1" outlineLevel="1">
      <c r="A7864" s="1261"/>
      <c r="B7864" s="260"/>
      <c r="C7864" s="457"/>
      <c r="D7864" s="440"/>
      <c r="E7864" s="441"/>
      <c r="F7864" s="1363"/>
      <c r="G7864" s="1363"/>
      <c r="H7864" s="1363"/>
      <c r="I7864" s="1129" t="str">
        <f t="shared" si="278"/>
        <v/>
      </c>
      <c r="J7864" s="471"/>
      <c r="K7864" s="1263" t="s">
        <v>2167</v>
      </c>
      <c r="L7864" s="461"/>
      <c r="M7864" s="461"/>
      <c r="N7864" s="461"/>
    </row>
    <row r="7865" spans="1:14" s="462" customFormat="1" hidden="1" outlineLevel="1">
      <c r="A7865" s="1261"/>
      <c r="B7865" s="260"/>
      <c r="C7865" s="457" t="s">
        <v>1</v>
      </c>
      <c r="D7865" s="440">
        <v>2</v>
      </c>
      <c r="E7865" s="441">
        <v>1</v>
      </c>
      <c r="F7865" s="1363">
        <v>7.18</v>
      </c>
      <c r="G7865" s="1363"/>
      <c r="H7865" s="1363">
        <v>0.2</v>
      </c>
      <c r="I7865" s="1129">
        <f t="shared" si="278"/>
        <v>2.87</v>
      </c>
      <c r="J7865" s="471"/>
      <c r="K7865" s="1263" t="s">
        <v>2167</v>
      </c>
      <c r="L7865" s="461"/>
      <c r="M7865" s="461"/>
      <c r="N7865" s="461"/>
    </row>
    <row r="7866" spans="1:14" s="462" customFormat="1" hidden="1" outlineLevel="1">
      <c r="A7866" s="1261"/>
      <c r="B7866" s="260"/>
      <c r="C7866" s="457"/>
      <c r="D7866" s="440"/>
      <c r="E7866" s="441"/>
      <c r="F7866" s="1363"/>
      <c r="G7866" s="1363"/>
      <c r="H7866" s="1363"/>
      <c r="I7866" s="1129" t="str">
        <f t="shared" si="278"/>
        <v/>
      </c>
      <c r="J7866" s="471"/>
      <c r="K7866" s="1263" t="s">
        <v>2167</v>
      </c>
      <c r="L7866" s="461"/>
      <c r="M7866" s="461"/>
      <c r="N7866" s="461"/>
    </row>
    <row r="7867" spans="1:14" s="462" customFormat="1" hidden="1" outlineLevel="1">
      <c r="A7867" s="1261"/>
      <c r="B7867" s="260"/>
      <c r="C7867" s="457" t="s">
        <v>1</v>
      </c>
      <c r="D7867" s="440">
        <v>2</v>
      </c>
      <c r="E7867" s="441">
        <v>1</v>
      </c>
      <c r="F7867" s="1363">
        <v>1.5</v>
      </c>
      <c r="G7867" s="1363"/>
      <c r="H7867" s="1363">
        <v>0.2</v>
      </c>
      <c r="I7867" s="1129">
        <f t="shared" si="278"/>
        <v>0.6</v>
      </c>
      <c r="J7867" s="471"/>
      <c r="K7867" s="1263" t="s">
        <v>2167</v>
      </c>
      <c r="L7867" s="461"/>
      <c r="M7867" s="461"/>
      <c r="N7867" s="461"/>
    </row>
    <row r="7868" spans="1:14" s="462" customFormat="1" hidden="1" outlineLevel="1">
      <c r="A7868" s="1261"/>
      <c r="B7868" s="260"/>
      <c r="C7868" s="457"/>
      <c r="D7868" s="440"/>
      <c r="E7868" s="441"/>
      <c r="F7868" s="1363"/>
      <c r="G7868" s="1363"/>
      <c r="H7868" s="1363"/>
      <c r="I7868" s="1129" t="str">
        <f t="shared" si="278"/>
        <v/>
      </c>
      <c r="J7868" s="471"/>
      <c r="K7868" s="1263" t="s">
        <v>2167</v>
      </c>
      <c r="L7868" s="461"/>
      <c r="M7868" s="461"/>
      <c r="N7868" s="461"/>
    </row>
    <row r="7869" spans="1:14" s="462" customFormat="1" hidden="1" outlineLevel="1">
      <c r="A7869" s="1261"/>
      <c r="B7869" s="260" t="s">
        <v>235</v>
      </c>
      <c r="C7869" s="457" t="s">
        <v>1</v>
      </c>
      <c r="D7869" s="440">
        <v>2</v>
      </c>
      <c r="E7869" s="441">
        <v>1</v>
      </c>
      <c r="F7869" s="1364">
        <v>10.16</v>
      </c>
      <c r="G7869" s="1363"/>
      <c r="H7869" s="1363">
        <v>0.2</v>
      </c>
      <c r="I7869" s="1129">
        <f t="shared" si="278"/>
        <v>4.0599999999999996</v>
      </c>
      <c r="J7869" s="471"/>
      <c r="K7869" s="1263" t="s">
        <v>2167</v>
      </c>
      <c r="L7869" s="461"/>
      <c r="M7869" s="461"/>
      <c r="N7869" s="461"/>
    </row>
    <row r="7870" spans="1:14" s="462" customFormat="1" hidden="1" outlineLevel="1">
      <c r="A7870" s="1261"/>
      <c r="B7870" s="260" t="s">
        <v>542</v>
      </c>
      <c r="C7870" s="457" t="s">
        <v>1</v>
      </c>
      <c r="D7870" s="440">
        <v>2</v>
      </c>
      <c r="E7870" s="441">
        <v>4</v>
      </c>
      <c r="F7870" s="1363">
        <v>3</v>
      </c>
      <c r="G7870" s="1363"/>
      <c r="H7870" s="1363">
        <v>0.27500000000000002</v>
      </c>
      <c r="I7870" s="1165">
        <f t="shared" si="278"/>
        <v>6.6</v>
      </c>
      <c r="J7870" s="471"/>
      <c r="K7870" s="1263" t="s">
        <v>2168</v>
      </c>
      <c r="L7870" s="461"/>
      <c r="M7870" s="461"/>
      <c r="N7870" s="461"/>
    </row>
    <row r="7871" spans="1:14" s="462" customFormat="1" hidden="1" outlineLevel="1">
      <c r="A7871" s="1261"/>
      <c r="B7871" s="260"/>
      <c r="C7871" s="457"/>
      <c r="D7871" s="440"/>
      <c r="E7871" s="441"/>
      <c r="F7871" s="1363"/>
      <c r="G7871" s="1363"/>
      <c r="H7871" s="1363"/>
      <c r="I7871" s="1163" t="str">
        <f t="shared" si="278"/>
        <v/>
      </c>
      <c r="J7871" s="471"/>
      <c r="K7871" s="1263"/>
      <c r="L7871" s="461"/>
      <c r="M7871" s="461"/>
      <c r="N7871" s="461"/>
    </row>
    <row r="7872" spans="1:14" s="462" customFormat="1" hidden="1" outlineLevel="1">
      <c r="A7872" s="1261"/>
      <c r="B7872" s="260" t="s">
        <v>236</v>
      </c>
      <c r="C7872" s="457" t="s">
        <v>1</v>
      </c>
      <c r="D7872" s="440">
        <v>2</v>
      </c>
      <c r="E7872" s="441">
        <v>3</v>
      </c>
      <c r="F7872" s="1363">
        <v>0.61499999999999999</v>
      </c>
      <c r="G7872" s="1363"/>
      <c r="H7872" s="1363">
        <v>0.2</v>
      </c>
      <c r="I7872" s="1129">
        <f t="shared" si="278"/>
        <v>0.74</v>
      </c>
      <c r="J7872" s="471"/>
      <c r="K7872" s="1263" t="s">
        <v>2167</v>
      </c>
      <c r="L7872" s="461"/>
      <c r="M7872" s="461"/>
      <c r="N7872" s="461"/>
    </row>
    <row r="7873" spans="1:14" s="462" customFormat="1" hidden="1" outlineLevel="1">
      <c r="A7873" s="1261"/>
      <c r="B7873" s="260"/>
      <c r="C7873" s="457"/>
      <c r="D7873" s="440"/>
      <c r="E7873" s="441"/>
      <c r="F7873" s="1363"/>
      <c r="G7873" s="1363"/>
      <c r="H7873" s="1363"/>
      <c r="I7873" s="1129" t="str">
        <f t="shared" si="278"/>
        <v/>
      </c>
      <c r="J7873" s="471"/>
      <c r="K7873" s="1263" t="s">
        <v>2167</v>
      </c>
      <c r="L7873" s="461"/>
      <c r="M7873" s="461"/>
      <c r="N7873" s="461"/>
    </row>
    <row r="7874" spans="1:14" s="462" customFormat="1" hidden="1" outlineLevel="1">
      <c r="A7874" s="1261"/>
      <c r="B7874" s="260"/>
      <c r="C7874" s="457" t="s">
        <v>1</v>
      </c>
      <c r="D7874" s="440">
        <v>2</v>
      </c>
      <c r="E7874" s="441">
        <v>6</v>
      </c>
      <c r="F7874" s="1363">
        <v>3.36</v>
      </c>
      <c r="G7874" s="1363"/>
      <c r="H7874" s="1363">
        <v>0.2</v>
      </c>
      <c r="I7874" s="1129">
        <f t="shared" si="278"/>
        <v>8.06</v>
      </c>
      <c r="J7874" s="471"/>
      <c r="K7874" s="1263" t="s">
        <v>2167</v>
      </c>
      <c r="L7874" s="461"/>
      <c r="M7874" s="461"/>
      <c r="N7874" s="461"/>
    </row>
    <row r="7875" spans="1:14" s="462" customFormat="1" hidden="1" outlineLevel="1">
      <c r="A7875" s="1261"/>
      <c r="B7875" s="260"/>
      <c r="C7875" s="457"/>
      <c r="D7875" s="440"/>
      <c r="E7875" s="441"/>
      <c r="F7875" s="1363"/>
      <c r="G7875" s="1363"/>
      <c r="H7875" s="1363"/>
      <c r="I7875" s="1129" t="str">
        <f t="shared" si="278"/>
        <v/>
      </c>
      <c r="J7875" s="471"/>
      <c r="K7875" s="1263" t="s">
        <v>2167</v>
      </c>
      <c r="L7875" s="461"/>
      <c r="M7875" s="461"/>
      <c r="N7875" s="461"/>
    </row>
    <row r="7876" spans="1:14" s="462" customFormat="1" hidden="1" outlineLevel="1">
      <c r="A7876" s="1261"/>
      <c r="B7876" s="260"/>
      <c r="C7876" s="457" t="s">
        <v>1</v>
      </c>
      <c r="D7876" s="440">
        <v>2</v>
      </c>
      <c r="E7876" s="441">
        <v>7</v>
      </c>
      <c r="F7876" s="1364">
        <v>1.9</v>
      </c>
      <c r="G7876" s="1363"/>
      <c r="H7876" s="1363">
        <v>0.2</v>
      </c>
      <c r="I7876" s="1129">
        <f t="shared" si="278"/>
        <v>5.32</v>
      </c>
      <c r="J7876" s="471"/>
      <c r="K7876" s="1263" t="s">
        <v>2167</v>
      </c>
      <c r="L7876" s="461"/>
      <c r="M7876" s="461"/>
      <c r="N7876" s="461"/>
    </row>
    <row r="7877" spans="1:14" s="462" customFormat="1" hidden="1" outlineLevel="1">
      <c r="A7877" s="1261"/>
      <c r="B7877" s="260"/>
      <c r="C7877" s="457"/>
      <c r="D7877" s="440"/>
      <c r="E7877" s="441"/>
      <c r="F7877" s="1363"/>
      <c r="G7877" s="1363"/>
      <c r="H7877" s="1363"/>
      <c r="I7877" s="1129" t="str">
        <f t="shared" si="278"/>
        <v/>
      </c>
      <c r="J7877" s="471"/>
      <c r="K7877" s="1263" t="s">
        <v>2167</v>
      </c>
      <c r="L7877" s="461"/>
      <c r="M7877" s="461"/>
      <c r="N7877" s="461"/>
    </row>
    <row r="7878" spans="1:14" s="462" customFormat="1" hidden="1" outlineLevel="1">
      <c r="A7878" s="1261"/>
      <c r="B7878" s="260"/>
      <c r="C7878" s="457" t="s">
        <v>1</v>
      </c>
      <c r="D7878" s="440">
        <v>2</v>
      </c>
      <c r="E7878" s="441">
        <v>1</v>
      </c>
      <c r="F7878" s="1363">
        <v>2.7450000000000001</v>
      </c>
      <c r="G7878" s="1363"/>
      <c r="H7878" s="1363">
        <v>0.2</v>
      </c>
      <c r="I7878" s="1129">
        <f t="shared" si="278"/>
        <v>1.1000000000000001</v>
      </c>
      <c r="J7878" s="471"/>
      <c r="K7878" s="1263" t="s">
        <v>2167</v>
      </c>
      <c r="L7878" s="461"/>
      <c r="M7878" s="461"/>
      <c r="N7878" s="461"/>
    </row>
    <row r="7879" spans="1:14" s="462" customFormat="1" hidden="1" outlineLevel="1">
      <c r="A7879" s="1261"/>
      <c r="B7879" s="260"/>
      <c r="C7879" s="457"/>
      <c r="D7879" s="440"/>
      <c r="E7879" s="441"/>
      <c r="F7879" s="1363"/>
      <c r="G7879" s="1363"/>
      <c r="H7879" s="1363"/>
      <c r="I7879" s="1129" t="str">
        <f t="shared" si="278"/>
        <v/>
      </c>
      <c r="J7879" s="471"/>
      <c r="K7879" s="1263" t="s">
        <v>2167</v>
      </c>
      <c r="L7879" s="461"/>
      <c r="M7879" s="461"/>
      <c r="N7879" s="461"/>
    </row>
    <row r="7880" spans="1:14" s="462" customFormat="1" ht="34.5" hidden="1" outlineLevel="1">
      <c r="A7880" s="1261"/>
      <c r="B7880" s="260" t="s">
        <v>580</v>
      </c>
      <c r="C7880" s="457"/>
      <c r="D7880" s="440"/>
      <c r="E7880" s="441"/>
      <c r="F7880" s="1363"/>
      <c r="G7880" s="1363"/>
      <c r="H7880" s="1363"/>
      <c r="I7880" s="1129" t="str">
        <f t="shared" si="278"/>
        <v/>
      </c>
      <c r="J7880" s="471"/>
      <c r="K7880" s="1263" t="s">
        <v>2167</v>
      </c>
      <c r="L7880" s="461"/>
      <c r="M7880" s="461"/>
      <c r="N7880" s="461"/>
    </row>
    <row r="7881" spans="1:14" s="462" customFormat="1" hidden="1" outlineLevel="1">
      <c r="A7881" s="1261"/>
      <c r="B7881" s="260" t="s">
        <v>581</v>
      </c>
      <c r="C7881" s="457" t="s">
        <v>1</v>
      </c>
      <c r="D7881" s="440">
        <v>2</v>
      </c>
      <c r="E7881" s="441">
        <v>2</v>
      </c>
      <c r="F7881" s="1363">
        <v>4.9800000000000004</v>
      </c>
      <c r="G7881" s="1363"/>
      <c r="H7881" s="1363">
        <v>0.2</v>
      </c>
      <c r="I7881" s="1129">
        <f t="shared" si="278"/>
        <v>3.98</v>
      </c>
      <c r="J7881" s="471"/>
      <c r="K7881" s="1263" t="s">
        <v>2167</v>
      </c>
      <c r="L7881" s="461"/>
      <c r="M7881" s="461"/>
      <c r="N7881" s="461"/>
    </row>
    <row r="7882" spans="1:14" s="462" customFormat="1" hidden="1" outlineLevel="1">
      <c r="A7882" s="1261"/>
      <c r="B7882" s="260"/>
      <c r="C7882" s="457"/>
      <c r="D7882" s="440"/>
      <c r="E7882" s="441"/>
      <c r="F7882" s="1363"/>
      <c r="G7882" s="1363"/>
      <c r="H7882" s="1363"/>
      <c r="I7882" s="1129" t="str">
        <f t="shared" si="278"/>
        <v/>
      </c>
      <c r="J7882" s="471"/>
      <c r="K7882" s="1263" t="s">
        <v>2167</v>
      </c>
      <c r="L7882" s="461"/>
      <c r="M7882" s="461"/>
      <c r="N7882" s="461"/>
    </row>
    <row r="7883" spans="1:14" s="462" customFormat="1" hidden="1" outlineLevel="1">
      <c r="A7883" s="1261"/>
      <c r="B7883" s="260"/>
      <c r="C7883" s="457" t="s">
        <v>1</v>
      </c>
      <c r="D7883" s="440">
        <v>2</v>
      </c>
      <c r="E7883" s="441">
        <v>1</v>
      </c>
      <c r="F7883" s="1363">
        <v>2.98</v>
      </c>
      <c r="G7883" s="1363"/>
      <c r="H7883" s="1363">
        <v>0.2</v>
      </c>
      <c r="I7883" s="1129">
        <f t="shared" si="278"/>
        <v>1.19</v>
      </c>
      <c r="J7883" s="471"/>
      <c r="K7883" s="1263" t="s">
        <v>2167</v>
      </c>
      <c r="L7883" s="461"/>
      <c r="M7883" s="461"/>
      <c r="N7883" s="461"/>
    </row>
    <row r="7884" spans="1:14" s="462" customFormat="1" hidden="1" outlineLevel="1">
      <c r="A7884" s="1261"/>
      <c r="B7884" s="260"/>
      <c r="C7884" s="457"/>
      <c r="D7884" s="440"/>
      <c r="E7884" s="441"/>
      <c r="F7884" s="1363"/>
      <c r="G7884" s="1363"/>
      <c r="H7884" s="1363"/>
      <c r="I7884" s="1129" t="str">
        <f t="shared" si="278"/>
        <v/>
      </c>
      <c r="J7884" s="471"/>
      <c r="K7884" s="1263" t="s">
        <v>2167</v>
      </c>
      <c r="L7884" s="461"/>
      <c r="M7884" s="461"/>
      <c r="N7884" s="461"/>
    </row>
    <row r="7885" spans="1:14" s="462" customFormat="1" hidden="1" outlineLevel="1">
      <c r="A7885" s="1261"/>
      <c r="B7885" s="260"/>
      <c r="C7885" s="457" t="s">
        <v>1</v>
      </c>
      <c r="D7885" s="440">
        <v>2</v>
      </c>
      <c r="E7885" s="441">
        <v>6</v>
      </c>
      <c r="F7885" s="1363">
        <v>3</v>
      </c>
      <c r="G7885" s="1363"/>
      <c r="H7885" s="1363">
        <v>0.2</v>
      </c>
      <c r="I7885" s="1129">
        <f t="shared" si="278"/>
        <v>7.2</v>
      </c>
      <c r="J7885" s="471"/>
      <c r="K7885" s="1263" t="s">
        <v>2167</v>
      </c>
      <c r="L7885" s="461"/>
      <c r="M7885" s="461"/>
      <c r="N7885" s="461"/>
    </row>
    <row r="7886" spans="1:14" s="462" customFormat="1" hidden="1" outlineLevel="1">
      <c r="A7886" s="1261"/>
      <c r="B7886" s="260"/>
      <c r="C7886" s="457"/>
      <c r="D7886" s="440"/>
      <c r="E7886" s="441"/>
      <c r="F7886" s="1363"/>
      <c r="G7886" s="1363"/>
      <c r="H7886" s="1363"/>
      <c r="I7886" s="1129" t="str">
        <f t="shared" si="278"/>
        <v/>
      </c>
      <c r="J7886" s="471"/>
      <c r="K7886" s="1263" t="s">
        <v>2167</v>
      </c>
      <c r="L7886" s="461"/>
      <c r="M7886" s="461"/>
      <c r="N7886" s="461"/>
    </row>
    <row r="7887" spans="1:14" s="462" customFormat="1" hidden="1" outlineLevel="1">
      <c r="A7887" s="1261"/>
      <c r="B7887" s="260"/>
      <c r="C7887" s="457" t="s">
        <v>1</v>
      </c>
      <c r="D7887" s="440">
        <v>2</v>
      </c>
      <c r="E7887" s="441">
        <v>1</v>
      </c>
      <c r="F7887" s="1363">
        <v>1.9</v>
      </c>
      <c r="G7887" s="1363"/>
      <c r="H7887" s="1363">
        <v>0.2</v>
      </c>
      <c r="I7887" s="1129">
        <f t="shared" si="278"/>
        <v>0.76</v>
      </c>
      <c r="J7887" s="471"/>
      <c r="K7887" s="1263" t="s">
        <v>2167</v>
      </c>
      <c r="L7887" s="461"/>
      <c r="M7887" s="461"/>
      <c r="N7887" s="461"/>
    </row>
    <row r="7888" spans="1:14" s="462" customFormat="1" hidden="1" outlineLevel="1">
      <c r="A7888" s="1261"/>
      <c r="B7888" s="260"/>
      <c r="C7888" s="457"/>
      <c r="D7888" s="440"/>
      <c r="E7888" s="441"/>
      <c r="F7888" s="1363"/>
      <c r="G7888" s="1363"/>
      <c r="H7888" s="1363"/>
      <c r="I7888" s="1129" t="str">
        <f t="shared" si="278"/>
        <v/>
      </c>
      <c r="J7888" s="471"/>
      <c r="K7888" s="1263" t="s">
        <v>2167</v>
      </c>
      <c r="L7888" s="461"/>
      <c r="M7888" s="461"/>
      <c r="N7888" s="461"/>
    </row>
    <row r="7889" spans="1:14" s="462" customFormat="1" hidden="1" outlineLevel="1">
      <c r="A7889" s="1261"/>
      <c r="B7889" s="260"/>
      <c r="C7889" s="457" t="s">
        <v>1</v>
      </c>
      <c r="D7889" s="440">
        <v>2</v>
      </c>
      <c r="E7889" s="441">
        <v>1</v>
      </c>
      <c r="F7889" s="1363">
        <v>3.8</v>
      </c>
      <c r="G7889" s="1363"/>
      <c r="H7889" s="1363">
        <v>0.2</v>
      </c>
      <c r="I7889" s="1129">
        <f t="shared" si="278"/>
        <v>1.52</v>
      </c>
      <c r="J7889" s="471"/>
      <c r="K7889" s="1263" t="s">
        <v>2167</v>
      </c>
      <c r="L7889" s="461"/>
      <c r="M7889" s="461"/>
      <c r="N7889" s="461"/>
    </row>
    <row r="7890" spans="1:14" s="462" customFormat="1" hidden="1" outlineLevel="1">
      <c r="A7890" s="1261"/>
      <c r="B7890" s="260"/>
      <c r="C7890" s="457"/>
      <c r="D7890" s="440"/>
      <c r="E7890" s="441"/>
      <c r="F7890" s="1363"/>
      <c r="G7890" s="1363"/>
      <c r="H7890" s="1363"/>
      <c r="I7890" s="1129" t="str">
        <f t="shared" si="278"/>
        <v/>
      </c>
      <c r="J7890" s="471"/>
      <c r="K7890" s="1263" t="s">
        <v>2167</v>
      </c>
      <c r="L7890" s="461"/>
      <c r="M7890" s="461"/>
      <c r="N7890" s="461"/>
    </row>
    <row r="7891" spans="1:14" s="462" customFormat="1" hidden="1" outlineLevel="1">
      <c r="A7891" s="1261"/>
      <c r="B7891" s="260"/>
      <c r="C7891" s="457" t="s">
        <v>1</v>
      </c>
      <c r="D7891" s="440">
        <v>2</v>
      </c>
      <c r="E7891" s="441">
        <v>1</v>
      </c>
      <c r="F7891" s="1363">
        <v>5.7</v>
      </c>
      <c r="G7891" s="1363"/>
      <c r="H7891" s="1363">
        <v>0.2</v>
      </c>
      <c r="I7891" s="1129">
        <f t="shared" si="278"/>
        <v>2.2799999999999998</v>
      </c>
      <c r="J7891" s="471"/>
      <c r="K7891" s="1263" t="s">
        <v>2167</v>
      </c>
      <c r="L7891" s="461"/>
      <c r="M7891" s="461"/>
      <c r="N7891" s="461"/>
    </row>
    <row r="7892" spans="1:14" s="462" customFormat="1" hidden="1" outlineLevel="1">
      <c r="A7892" s="1261"/>
      <c r="B7892" s="260"/>
      <c r="C7892" s="457"/>
      <c r="D7892" s="440"/>
      <c r="E7892" s="441"/>
      <c r="F7892" s="1363"/>
      <c r="G7892" s="1363"/>
      <c r="H7892" s="1363"/>
      <c r="I7892" s="1129" t="str">
        <f t="shared" si="278"/>
        <v/>
      </c>
      <c r="J7892" s="471"/>
      <c r="K7892" s="1263" t="s">
        <v>2167</v>
      </c>
      <c r="L7892" s="461"/>
      <c r="M7892" s="461"/>
      <c r="N7892" s="461"/>
    </row>
    <row r="7893" spans="1:14" s="462" customFormat="1" hidden="1" outlineLevel="1">
      <c r="A7893" s="1261"/>
      <c r="B7893" s="260"/>
      <c r="C7893" s="457" t="s">
        <v>1</v>
      </c>
      <c r="D7893" s="440">
        <v>2</v>
      </c>
      <c r="E7893" s="441">
        <v>2</v>
      </c>
      <c r="F7893" s="1363">
        <v>3.3</v>
      </c>
      <c r="G7893" s="1363"/>
      <c r="H7893" s="1363">
        <v>0.2</v>
      </c>
      <c r="I7893" s="1129">
        <f t="shared" si="278"/>
        <v>2.64</v>
      </c>
      <c r="J7893" s="471"/>
      <c r="K7893" s="1263" t="s">
        <v>2167</v>
      </c>
      <c r="L7893" s="461"/>
      <c r="M7893" s="461"/>
      <c r="N7893" s="461"/>
    </row>
    <row r="7894" spans="1:14" s="462" customFormat="1" hidden="1" outlineLevel="1">
      <c r="A7894" s="1261"/>
      <c r="B7894" s="260"/>
      <c r="C7894" s="457"/>
      <c r="D7894" s="440"/>
      <c r="E7894" s="441"/>
      <c r="F7894" s="1363"/>
      <c r="G7894" s="1363"/>
      <c r="H7894" s="1363"/>
      <c r="I7894" s="1129" t="str">
        <f t="shared" si="278"/>
        <v/>
      </c>
      <c r="J7894" s="471"/>
      <c r="K7894" s="1263" t="s">
        <v>2167</v>
      </c>
      <c r="L7894" s="461"/>
      <c r="M7894" s="461"/>
      <c r="N7894" s="461"/>
    </row>
    <row r="7895" spans="1:14" s="462" customFormat="1" hidden="1" outlineLevel="1">
      <c r="A7895" s="1261"/>
      <c r="B7895" s="260"/>
      <c r="C7895" s="457" t="s">
        <v>1</v>
      </c>
      <c r="D7895" s="440">
        <v>2</v>
      </c>
      <c r="E7895" s="441">
        <v>1</v>
      </c>
      <c r="F7895" s="1363">
        <v>1.3</v>
      </c>
      <c r="G7895" s="1363"/>
      <c r="H7895" s="1363">
        <v>0.2</v>
      </c>
      <c r="I7895" s="1129">
        <f t="shared" si="278"/>
        <v>0.52</v>
      </c>
      <c r="J7895" s="471"/>
      <c r="K7895" s="1263" t="s">
        <v>2167</v>
      </c>
      <c r="L7895" s="461"/>
      <c r="M7895" s="461"/>
      <c r="N7895" s="461"/>
    </row>
    <row r="7896" spans="1:14" s="462" customFormat="1" hidden="1" outlineLevel="1">
      <c r="A7896" s="1261"/>
      <c r="B7896" s="260"/>
      <c r="C7896" s="457"/>
      <c r="D7896" s="440"/>
      <c r="E7896" s="441"/>
      <c r="F7896" s="1363"/>
      <c r="G7896" s="1363"/>
      <c r="H7896" s="1363"/>
      <c r="I7896" s="1129" t="str">
        <f t="shared" si="278"/>
        <v/>
      </c>
      <c r="J7896" s="471"/>
      <c r="K7896" s="1263" t="s">
        <v>2167</v>
      </c>
      <c r="L7896" s="461"/>
      <c r="M7896" s="461"/>
      <c r="N7896" s="461"/>
    </row>
    <row r="7897" spans="1:14" s="462" customFormat="1" hidden="1" outlineLevel="1">
      <c r="A7897" s="1261"/>
      <c r="B7897" s="260"/>
      <c r="C7897" s="457" t="s">
        <v>1</v>
      </c>
      <c r="D7897" s="440">
        <v>2</v>
      </c>
      <c r="E7897" s="441">
        <v>1</v>
      </c>
      <c r="F7897" s="1363">
        <v>3.3</v>
      </c>
      <c r="G7897" s="1363"/>
      <c r="H7897" s="1363">
        <v>0.2</v>
      </c>
      <c r="I7897" s="1129">
        <f t="shared" si="278"/>
        <v>1.32</v>
      </c>
      <c r="J7897" s="471"/>
      <c r="K7897" s="1263" t="s">
        <v>2167</v>
      </c>
      <c r="L7897" s="461"/>
      <c r="M7897" s="461"/>
      <c r="N7897" s="461"/>
    </row>
    <row r="7898" spans="1:14" s="462" customFormat="1" hidden="1" outlineLevel="1">
      <c r="A7898" s="1261"/>
      <c r="B7898" s="260" t="s">
        <v>540</v>
      </c>
      <c r="C7898" s="457" t="s">
        <v>1</v>
      </c>
      <c r="D7898" s="440">
        <v>2</v>
      </c>
      <c r="E7898" s="441">
        <v>5</v>
      </c>
      <c r="F7898" s="1363">
        <v>3.3</v>
      </c>
      <c r="G7898" s="1363"/>
      <c r="H7898" s="1363">
        <v>0.15</v>
      </c>
      <c r="I7898" s="1165">
        <f t="shared" si="278"/>
        <v>4.95</v>
      </c>
      <c r="J7898" s="471"/>
      <c r="K7898" s="1263" t="s">
        <v>2168</v>
      </c>
      <c r="L7898" s="461"/>
      <c r="M7898" s="461"/>
      <c r="N7898" s="461"/>
    </row>
    <row r="7899" spans="1:14" s="462" customFormat="1" hidden="1" outlineLevel="1">
      <c r="A7899" s="1261"/>
      <c r="B7899" s="260" t="s">
        <v>582</v>
      </c>
      <c r="C7899" s="457" t="s">
        <v>1</v>
      </c>
      <c r="D7899" s="440">
        <v>2</v>
      </c>
      <c r="E7899" s="441">
        <v>4</v>
      </c>
      <c r="F7899" s="1363">
        <v>3.3</v>
      </c>
      <c r="G7899" s="1363"/>
      <c r="H7899" s="1363">
        <v>0.15</v>
      </c>
      <c r="I7899" s="1165">
        <f t="shared" si="278"/>
        <v>3.96</v>
      </c>
      <c r="J7899" s="471"/>
      <c r="K7899" s="1263" t="s">
        <v>2168</v>
      </c>
      <c r="L7899" s="461"/>
      <c r="M7899" s="461"/>
      <c r="N7899" s="461"/>
    </row>
    <row r="7900" spans="1:14" s="462" customFormat="1" hidden="1" outlineLevel="1">
      <c r="A7900" s="1261"/>
      <c r="B7900" s="260"/>
      <c r="C7900" s="457"/>
      <c r="D7900" s="440"/>
      <c r="E7900" s="441"/>
      <c r="F7900" s="1363"/>
      <c r="G7900" s="1363"/>
      <c r="H7900" s="1363"/>
      <c r="I7900" s="1163" t="str">
        <f t="shared" si="278"/>
        <v/>
      </c>
      <c r="J7900" s="471"/>
      <c r="K7900" s="1263"/>
      <c r="L7900" s="461"/>
      <c r="M7900" s="461"/>
      <c r="N7900" s="461"/>
    </row>
    <row r="7901" spans="1:14" s="462" customFormat="1" hidden="1" outlineLevel="1">
      <c r="A7901" s="1261"/>
      <c r="B7901" s="260" t="s">
        <v>583</v>
      </c>
      <c r="C7901" s="457" t="s">
        <v>1</v>
      </c>
      <c r="D7901" s="440">
        <v>2</v>
      </c>
      <c r="E7901" s="441">
        <v>3</v>
      </c>
      <c r="F7901" s="1363">
        <v>0.61499999999999999</v>
      </c>
      <c r="G7901" s="1363"/>
      <c r="H7901" s="1363">
        <v>0.2</v>
      </c>
      <c r="I7901" s="1129">
        <f t="shared" si="278"/>
        <v>0.74</v>
      </c>
      <c r="J7901" s="471"/>
      <c r="K7901" s="1263" t="s">
        <v>2167</v>
      </c>
      <c r="L7901" s="461"/>
      <c r="M7901" s="461"/>
      <c r="N7901" s="461"/>
    </row>
    <row r="7902" spans="1:14" s="462" customFormat="1" hidden="1" outlineLevel="1">
      <c r="A7902" s="1261"/>
      <c r="B7902" s="260"/>
      <c r="C7902" s="457"/>
      <c r="D7902" s="440"/>
      <c r="E7902" s="441"/>
      <c r="F7902" s="1363"/>
      <c r="G7902" s="1363"/>
      <c r="H7902" s="1363"/>
      <c r="I7902" s="1129" t="str">
        <f t="shared" si="278"/>
        <v/>
      </c>
      <c r="J7902" s="471"/>
      <c r="K7902" s="1263" t="s">
        <v>2167</v>
      </c>
      <c r="L7902" s="461"/>
      <c r="M7902" s="461"/>
      <c r="N7902" s="461"/>
    </row>
    <row r="7903" spans="1:14" s="462" customFormat="1" hidden="1" outlineLevel="1">
      <c r="A7903" s="1261"/>
      <c r="B7903" s="260"/>
      <c r="C7903" s="457" t="s">
        <v>1</v>
      </c>
      <c r="D7903" s="440">
        <v>2</v>
      </c>
      <c r="E7903" s="441">
        <v>6</v>
      </c>
      <c r="F7903" s="1364">
        <v>1.9</v>
      </c>
      <c r="G7903" s="1363"/>
      <c r="H7903" s="1363">
        <v>0.2</v>
      </c>
      <c r="I7903" s="1129">
        <f t="shared" si="278"/>
        <v>4.5599999999999996</v>
      </c>
      <c r="J7903" s="471"/>
      <c r="K7903" s="1263" t="s">
        <v>2167</v>
      </c>
      <c r="L7903" s="461"/>
      <c r="M7903" s="461"/>
      <c r="N7903" s="461"/>
    </row>
    <row r="7904" spans="1:14" s="462" customFormat="1" hidden="1" outlineLevel="1">
      <c r="A7904" s="1261"/>
      <c r="B7904" s="260"/>
      <c r="C7904" s="457"/>
      <c r="D7904" s="440"/>
      <c r="E7904" s="441"/>
      <c r="F7904" s="1363"/>
      <c r="G7904" s="1363"/>
      <c r="H7904" s="1363"/>
      <c r="I7904" s="1129" t="str">
        <f t="shared" si="278"/>
        <v/>
      </c>
      <c r="J7904" s="471"/>
      <c r="K7904" s="1263" t="s">
        <v>2167</v>
      </c>
      <c r="L7904" s="461"/>
      <c r="M7904" s="461"/>
      <c r="N7904" s="461"/>
    </row>
    <row r="7905" spans="1:14" s="462" customFormat="1" hidden="1" outlineLevel="1">
      <c r="A7905" s="1261"/>
      <c r="B7905" s="260"/>
      <c r="C7905" s="457" t="s">
        <v>1</v>
      </c>
      <c r="D7905" s="440">
        <v>2</v>
      </c>
      <c r="E7905" s="441">
        <v>5</v>
      </c>
      <c r="F7905" s="1363">
        <v>3.36</v>
      </c>
      <c r="G7905" s="1363"/>
      <c r="H7905" s="1363">
        <v>0.2</v>
      </c>
      <c r="I7905" s="1129">
        <f t="shared" ref="I7905:I7968" si="279">IF(D7905&lt;&gt;0,ROUND(PRODUCT(E7905:H7905)*D7905,2),"")</f>
        <v>6.72</v>
      </c>
      <c r="J7905" s="471"/>
      <c r="K7905" s="1263" t="s">
        <v>2167</v>
      </c>
      <c r="L7905" s="461"/>
      <c r="M7905" s="461"/>
      <c r="N7905" s="461"/>
    </row>
    <row r="7906" spans="1:14" s="462" customFormat="1" hidden="1" outlineLevel="1">
      <c r="A7906" s="1261"/>
      <c r="B7906" s="260"/>
      <c r="C7906" s="457"/>
      <c r="D7906" s="440"/>
      <c r="E7906" s="441"/>
      <c r="F7906" s="1363"/>
      <c r="G7906" s="1363"/>
      <c r="H7906" s="1363"/>
      <c r="I7906" s="1129" t="str">
        <f t="shared" si="279"/>
        <v/>
      </c>
      <c r="J7906" s="471"/>
      <c r="K7906" s="1263" t="s">
        <v>2167</v>
      </c>
      <c r="L7906" s="461"/>
      <c r="M7906" s="461"/>
      <c r="N7906" s="461"/>
    </row>
    <row r="7907" spans="1:14" s="462" customFormat="1" hidden="1" outlineLevel="1">
      <c r="A7907" s="1261"/>
      <c r="B7907" s="260"/>
      <c r="C7907" s="457" t="s">
        <v>1</v>
      </c>
      <c r="D7907" s="440">
        <v>2</v>
      </c>
      <c r="E7907" s="441">
        <v>1</v>
      </c>
      <c r="F7907" s="1363">
        <v>2.7450000000000001</v>
      </c>
      <c r="G7907" s="1363"/>
      <c r="H7907" s="1363">
        <v>0.2</v>
      </c>
      <c r="I7907" s="1129">
        <f t="shared" si="279"/>
        <v>1.1000000000000001</v>
      </c>
      <c r="J7907" s="471"/>
      <c r="K7907" s="1263" t="s">
        <v>2167</v>
      </c>
      <c r="L7907" s="461"/>
      <c r="M7907" s="461"/>
      <c r="N7907" s="461"/>
    </row>
    <row r="7908" spans="1:14" s="462" customFormat="1" hidden="1" outlineLevel="1">
      <c r="A7908" s="1261"/>
      <c r="B7908" s="260"/>
      <c r="C7908" s="457"/>
      <c r="D7908" s="440"/>
      <c r="E7908" s="441"/>
      <c r="F7908" s="1363"/>
      <c r="G7908" s="1363"/>
      <c r="H7908" s="1363"/>
      <c r="I7908" s="1129" t="str">
        <f t="shared" si="279"/>
        <v/>
      </c>
      <c r="J7908" s="471"/>
      <c r="K7908" s="1263" t="s">
        <v>2167</v>
      </c>
      <c r="L7908" s="461"/>
      <c r="M7908" s="461"/>
      <c r="N7908" s="461"/>
    </row>
    <row r="7909" spans="1:14" s="462" customFormat="1" hidden="1" outlineLevel="1">
      <c r="A7909" s="1261"/>
      <c r="B7909" s="260"/>
      <c r="C7909" s="457"/>
      <c r="D7909" s="440"/>
      <c r="E7909" s="441"/>
      <c r="F7909" s="1363"/>
      <c r="G7909" s="1363"/>
      <c r="H7909" s="1363"/>
      <c r="I7909" s="1129" t="str">
        <f t="shared" si="279"/>
        <v/>
      </c>
      <c r="J7909" s="471"/>
      <c r="K7909" s="1263" t="s">
        <v>2167</v>
      </c>
      <c r="L7909" s="461"/>
      <c r="M7909" s="461"/>
      <c r="N7909" s="461"/>
    </row>
    <row r="7910" spans="1:14" s="462" customFormat="1" ht="51.75" hidden="1" outlineLevel="1">
      <c r="A7910" s="1261"/>
      <c r="B7910" s="260" t="s">
        <v>565</v>
      </c>
      <c r="C7910" s="457"/>
      <c r="D7910" s="440"/>
      <c r="E7910" s="441"/>
      <c r="F7910" s="1363"/>
      <c r="G7910" s="1363"/>
      <c r="H7910" s="1363"/>
      <c r="I7910" s="1129" t="str">
        <f t="shared" si="279"/>
        <v/>
      </c>
      <c r="J7910" s="471"/>
      <c r="K7910" s="1263" t="s">
        <v>2167</v>
      </c>
      <c r="L7910" s="461"/>
      <c r="M7910" s="461"/>
      <c r="N7910" s="461"/>
    </row>
    <row r="7911" spans="1:14" s="462" customFormat="1" hidden="1" outlineLevel="1">
      <c r="A7911" s="1261"/>
      <c r="B7911" s="260" t="s">
        <v>357</v>
      </c>
      <c r="C7911" s="457" t="s">
        <v>1</v>
      </c>
      <c r="D7911" s="440">
        <v>2</v>
      </c>
      <c r="E7911" s="441">
        <v>1</v>
      </c>
      <c r="F7911" s="1363">
        <v>18.53</v>
      </c>
      <c r="G7911" s="1363"/>
      <c r="H7911" s="1363">
        <v>0.2</v>
      </c>
      <c r="I7911" s="1129">
        <f t="shared" si="279"/>
        <v>7.41</v>
      </c>
      <c r="J7911" s="471"/>
      <c r="K7911" s="1263" t="s">
        <v>2167</v>
      </c>
      <c r="L7911" s="461"/>
      <c r="M7911" s="461"/>
      <c r="N7911" s="461"/>
    </row>
    <row r="7912" spans="1:14" s="462" customFormat="1" hidden="1" outlineLevel="1">
      <c r="A7912" s="1261"/>
      <c r="B7912" s="260" t="s">
        <v>239</v>
      </c>
      <c r="C7912" s="457" t="s">
        <v>1</v>
      </c>
      <c r="D7912" s="440">
        <v>2</v>
      </c>
      <c r="E7912" s="441">
        <v>3</v>
      </c>
      <c r="F7912" s="1363">
        <v>3</v>
      </c>
      <c r="G7912" s="1363"/>
      <c r="H7912" s="1363">
        <v>0.27500000000000002</v>
      </c>
      <c r="I7912" s="1165">
        <f t="shared" si="279"/>
        <v>4.95</v>
      </c>
      <c r="J7912" s="471"/>
      <c r="K7912" s="1263" t="s">
        <v>2168</v>
      </c>
      <c r="L7912" s="461"/>
      <c r="M7912" s="461"/>
      <c r="N7912" s="461"/>
    </row>
    <row r="7913" spans="1:14" s="462" customFormat="1" hidden="1" outlineLevel="1">
      <c r="A7913" s="1261"/>
      <c r="B7913" s="260"/>
      <c r="C7913" s="457"/>
      <c r="D7913" s="440"/>
      <c r="E7913" s="441"/>
      <c r="F7913" s="1363"/>
      <c r="G7913" s="1363"/>
      <c r="H7913" s="1363"/>
      <c r="I7913" s="1163" t="str">
        <f t="shared" si="279"/>
        <v/>
      </c>
      <c r="J7913" s="471"/>
      <c r="K7913" s="1263"/>
      <c r="L7913" s="461"/>
      <c r="M7913" s="461"/>
      <c r="N7913" s="461"/>
    </row>
    <row r="7914" spans="1:14" s="462" customFormat="1" hidden="1" outlineLevel="1">
      <c r="A7914" s="1261"/>
      <c r="B7914" s="260" t="s">
        <v>240</v>
      </c>
      <c r="C7914" s="457" t="s">
        <v>1</v>
      </c>
      <c r="D7914" s="440">
        <v>2</v>
      </c>
      <c r="E7914" s="441">
        <v>2</v>
      </c>
      <c r="F7914" s="1363">
        <v>2</v>
      </c>
      <c r="G7914" s="1363"/>
      <c r="H7914" s="1363">
        <v>0.2</v>
      </c>
      <c r="I7914" s="1129">
        <f t="shared" si="279"/>
        <v>1.6</v>
      </c>
      <c r="J7914" s="471"/>
      <c r="K7914" s="1263" t="s">
        <v>2167</v>
      </c>
      <c r="L7914" s="461"/>
      <c r="M7914" s="461"/>
      <c r="N7914" s="461"/>
    </row>
    <row r="7915" spans="1:14" s="462" customFormat="1" hidden="1" outlineLevel="1">
      <c r="A7915" s="1261"/>
      <c r="B7915" s="260"/>
      <c r="C7915" s="457"/>
      <c r="D7915" s="440"/>
      <c r="E7915" s="441"/>
      <c r="F7915" s="1363"/>
      <c r="G7915" s="1363"/>
      <c r="H7915" s="1363"/>
      <c r="I7915" s="1129" t="str">
        <f t="shared" si="279"/>
        <v/>
      </c>
      <c r="J7915" s="471"/>
      <c r="K7915" s="1263" t="s">
        <v>2167</v>
      </c>
      <c r="L7915" s="461"/>
      <c r="M7915" s="461"/>
      <c r="N7915" s="461"/>
    </row>
    <row r="7916" spans="1:14" s="462" customFormat="1" hidden="1" outlineLevel="1">
      <c r="A7916" s="1261"/>
      <c r="B7916" s="260"/>
      <c r="C7916" s="457" t="s">
        <v>1</v>
      </c>
      <c r="D7916" s="440">
        <v>2</v>
      </c>
      <c r="E7916" s="441">
        <v>3</v>
      </c>
      <c r="F7916" s="1363">
        <v>2.4350000000000001</v>
      </c>
      <c r="G7916" s="1363"/>
      <c r="H7916" s="1363">
        <v>0.2</v>
      </c>
      <c r="I7916" s="1129">
        <f t="shared" si="279"/>
        <v>2.92</v>
      </c>
      <c r="J7916" s="471"/>
      <c r="K7916" s="1263" t="s">
        <v>2167</v>
      </c>
      <c r="L7916" s="461"/>
      <c r="M7916" s="461"/>
      <c r="N7916" s="461"/>
    </row>
    <row r="7917" spans="1:14" s="462" customFormat="1" hidden="1" outlineLevel="1">
      <c r="A7917" s="1261"/>
      <c r="B7917" s="260"/>
      <c r="C7917" s="457"/>
      <c r="D7917" s="440"/>
      <c r="E7917" s="441"/>
      <c r="F7917" s="1363"/>
      <c r="G7917" s="1363"/>
      <c r="H7917" s="1363"/>
      <c r="I7917" s="1129" t="str">
        <f t="shared" si="279"/>
        <v/>
      </c>
      <c r="J7917" s="471"/>
      <c r="K7917" s="1263" t="s">
        <v>2167</v>
      </c>
      <c r="L7917" s="461"/>
      <c r="M7917" s="461"/>
      <c r="N7917" s="461"/>
    </row>
    <row r="7918" spans="1:14" s="462" customFormat="1" hidden="1" outlineLevel="1">
      <c r="A7918" s="1261"/>
      <c r="B7918" s="260"/>
      <c r="C7918" s="457" t="s">
        <v>1</v>
      </c>
      <c r="D7918" s="440">
        <v>2</v>
      </c>
      <c r="E7918" s="441">
        <v>1</v>
      </c>
      <c r="F7918" s="1363">
        <v>2.44</v>
      </c>
      <c r="G7918" s="1363"/>
      <c r="H7918" s="1363">
        <v>0.2</v>
      </c>
      <c r="I7918" s="1129">
        <f t="shared" si="279"/>
        <v>0.98</v>
      </c>
      <c r="J7918" s="471"/>
      <c r="K7918" s="1263" t="s">
        <v>2167</v>
      </c>
      <c r="L7918" s="461"/>
      <c r="M7918" s="461"/>
      <c r="N7918" s="461"/>
    </row>
    <row r="7919" spans="1:14" s="462" customFormat="1" hidden="1" outlineLevel="1">
      <c r="A7919" s="1261"/>
      <c r="B7919" s="260"/>
      <c r="C7919" s="457"/>
      <c r="D7919" s="440"/>
      <c r="E7919" s="441"/>
      <c r="F7919" s="1363"/>
      <c r="G7919" s="1363"/>
      <c r="H7919" s="1363"/>
      <c r="I7919" s="1129" t="str">
        <f t="shared" si="279"/>
        <v/>
      </c>
      <c r="J7919" s="471"/>
      <c r="K7919" s="1263" t="s">
        <v>2167</v>
      </c>
      <c r="L7919" s="461"/>
      <c r="M7919" s="461"/>
      <c r="N7919" s="461"/>
    </row>
    <row r="7920" spans="1:14" s="462" customFormat="1" hidden="1" outlineLevel="1">
      <c r="A7920" s="1261"/>
      <c r="B7920" s="260"/>
      <c r="C7920" s="457" t="s">
        <v>1</v>
      </c>
      <c r="D7920" s="440">
        <v>2</v>
      </c>
      <c r="E7920" s="441">
        <v>1</v>
      </c>
      <c r="F7920" s="1363">
        <v>2.13</v>
      </c>
      <c r="G7920" s="1363"/>
      <c r="H7920" s="1363">
        <v>0.2</v>
      </c>
      <c r="I7920" s="1129">
        <f t="shared" si="279"/>
        <v>0.85</v>
      </c>
      <c r="J7920" s="471"/>
      <c r="K7920" s="1263" t="s">
        <v>2167</v>
      </c>
      <c r="L7920" s="461"/>
      <c r="M7920" s="461"/>
      <c r="N7920" s="461"/>
    </row>
    <row r="7921" spans="1:14" s="462" customFormat="1" hidden="1" outlineLevel="1">
      <c r="A7921" s="1261"/>
      <c r="B7921" s="260"/>
      <c r="C7921" s="457"/>
      <c r="D7921" s="440"/>
      <c r="E7921" s="441"/>
      <c r="F7921" s="1363"/>
      <c r="G7921" s="1363"/>
      <c r="H7921" s="1363"/>
      <c r="I7921" s="1129" t="str">
        <f t="shared" si="279"/>
        <v/>
      </c>
      <c r="J7921" s="471"/>
      <c r="K7921" s="1263" t="s">
        <v>2167</v>
      </c>
      <c r="L7921" s="461"/>
      <c r="M7921" s="461"/>
      <c r="N7921" s="461"/>
    </row>
    <row r="7922" spans="1:14" s="462" customFormat="1" hidden="1" outlineLevel="1">
      <c r="A7922" s="1261"/>
      <c r="B7922" s="260"/>
      <c r="C7922" s="457" t="s">
        <v>1</v>
      </c>
      <c r="D7922" s="440">
        <v>2</v>
      </c>
      <c r="E7922" s="441">
        <v>1</v>
      </c>
      <c r="F7922" s="1363">
        <v>1.48</v>
      </c>
      <c r="G7922" s="1363"/>
      <c r="H7922" s="1363">
        <v>0.2</v>
      </c>
      <c r="I7922" s="1129">
        <f t="shared" si="279"/>
        <v>0.59</v>
      </c>
      <c r="J7922" s="471"/>
      <c r="K7922" s="1263" t="s">
        <v>2167</v>
      </c>
      <c r="L7922" s="461"/>
      <c r="M7922" s="461"/>
      <c r="N7922" s="461"/>
    </row>
    <row r="7923" spans="1:14" s="462" customFormat="1" hidden="1" outlineLevel="1">
      <c r="A7923" s="1261"/>
      <c r="B7923" s="260"/>
      <c r="C7923" s="457"/>
      <c r="D7923" s="440"/>
      <c r="E7923" s="441"/>
      <c r="F7923" s="1363"/>
      <c r="G7923" s="1363"/>
      <c r="H7923" s="1363"/>
      <c r="I7923" s="1129" t="str">
        <f t="shared" si="279"/>
        <v/>
      </c>
      <c r="J7923" s="471"/>
      <c r="K7923" s="1263" t="s">
        <v>2167</v>
      </c>
      <c r="L7923" s="461"/>
      <c r="M7923" s="461"/>
      <c r="N7923" s="461"/>
    </row>
    <row r="7924" spans="1:14" s="462" customFormat="1" hidden="1" outlineLevel="1">
      <c r="A7924" s="1261"/>
      <c r="B7924" s="260"/>
      <c r="C7924" s="457" t="s">
        <v>1</v>
      </c>
      <c r="D7924" s="440">
        <v>2</v>
      </c>
      <c r="E7924" s="441">
        <v>2</v>
      </c>
      <c r="F7924" s="1363">
        <v>5.3449999999999998</v>
      </c>
      <c r="G7924" s="1363"/>
      <c r="H7924" s="1363">
        <v>0.2</v>
      </c>
      <c r="I7924" s="1129">
        <f t="shared" si="279"/>
        <v>4.28</v>
      </c>
      <c r="J7924" s="471"/>
      <c r="K7924" s="1263" t="s">
        <v>2167</v>
      </c>
      <c r="L7924" s="461"/>
      <c r="M7924" s="461"/>
      <c r="N7924" s="461"/>
    </row>
    <row r="7925" spans="1:14" s="462" customFormat="1" hidden="1" outlineLevel="1">
      <c r="A7925" s="1261"/>
      <c r="B7925" s="260"/>
      <c r="C7925" s="457"/>
      <c r="D7925" s="440"/>
      <c r="E7925" s="441"/>
      <c r="F7925" s="1363"/>
      <c r="G7925" s="1363"/>
      <c r="H7925" s="1363"/>
      <c r="I7925" s="1129" t="str">
        <f t="shared" si="279"/>
        <v/>
      </c>
      <c r="J7925" s="471"/>
      <c r="K7925" s="1263" t="s">
        <v>2167</v>
      </c>
      <c r="L7925" s="461"/>
      <c r="M7925" s="461"/>
      <c r="N7925" s="461"/>
    </row>
    <row r="7926" spans="1:14" s="462" customFormat="1" hidden="1" outlineLevel="1">
      <c r="A7926" s="1261"/>
      <c r="B7926" s="260"/>
      <c r="C7926" s="457" t="s">
        <v>1</v>
      </c>
      <c r="D7926" s="440">
        <v>2</v>
      </c>
      <c r="E7926" s="441">
        <v>2</v>
      </c>
      <c r="F7926" s="1363">
        <v>6.38</v>
      </c>
      <c r="G7926" s="1363"/>
      <c r="H7926" s="1363">
        <v>0.2</v>
      </c>
      <c r="I7926" s="1129">
        <f t="shared" si="279"/>
        <v>5.0999999999999996</v>
      </c>
      <c r="J7926" s="471"/>
      <c r="K7926" s="1263" t="s">
        <v>2167</v>
      </c>
      <c r="L7926" s="461"/>
      <c r="M7926" s="461"/>
      <c r="N7926" s="461"/>
    </row>
    <row r="7927" spans="1:14" s="462" customFormat="1" hidden="1" outlineLevel="1">
      <c r="A7927" s="1261"/>
      <c r="B7927" s="260"/>
      <c r="C7927" s="457"/>
      <c r="D7927" s="440"/>
      <c r="E7927" s="441"/>
      <c r="F7927" s="1363"/>
      <c r="G7927" s="1363"/>
      <c r="H7927" s="1363"/>
      <c r="I7927" s="1129" t="str">
        <f t="shared" si="279"/>
        <v/>
      </c>
      <c r="J7927" s="471"/>
      <c r="K7927" s="1263" t="s">
        <v>2167</v>
      </c>
      <c r="L7927" s="461"/>
      <c r="M7927" s="461"/>
      <c r="N7927" s="461"/>
    </row>
    <row r="7928" spans="1:14" s="462" customFormat="1" hidden="1" outlineLevel="1">
      <c r="A7928" s="1261"/>
      <c r="B7928" s="260"/>
      <c r="C7928" s="457" t="s">
        <v>1</v>
      </c>
      <c r="D7928" s="440">
        <v>2</v>
      </c>
      <c r="E7928" s="441">
        <v>2</v>
      </c>
      <c r="F7928" s="1363">
        <v>6.95</v>
      </c>
      <c r="G7928" s="1363"/>
      <c r="H7928" s="1363">
        <v>0.2</v>
      </c>
      <c r="I7928" s="1129">
        <f t="shared" si="279"/>
        <v>5.56</v>
      </c>
      <c r="J7928" s="471"/>
      <c r="K7928" s="1263" t="s">
        <v>2167</v>
      </c>
      <c r="L7928" s="461"/>
      <c r="M7928" s="461"/>
      <c r="N7928" s="461"/>
    </row>
    <row r="7929" spans="1:14" s="462" customFormat="1" hidden="1" outlineLevel="1">
      <c r="A7929" s="1261"/>
      <c r="B7929" s="260"/>
      <c r="C7929" s="457"/>
      <c r="D7929" s="440"/>
      <c r="E7929" s="441"/>
      <c r="F7929" s="1363"/>
      <c r="G7929" s="1363"/>
      <c r="H7929" s="1363"/>
      <c r="I7929" s="1129" t="str">
        <f t="shared" si="279"/>
        <v/>
      </c>
      <c r="J7929" s="471"/>
      <c r="K7929" s="1263" t="s">
        <v>2167</v>
      </c>
      <c r="L7929" s="461"/>
      <c r="M7929" s="461"/>
      <c r="N7929" s="461"/>
    </row>
    <row r="7930" spans="1:14" s="462" customFormat="1" hidden="1" outlineLevel="1">
      <c r="A7930" s="1261"/>
      <c r="B7930" s="260"/>
      <c r="C7930" s="457" t="s">
        <v>1</v>
      </c>
      <c r="D7930" s="440">
        <v>2</v>
      </c>
      <c r="E7930" s="441">
        <v>2</v>
      </c>
      <c r="F7930" s="1363">
        <v>6.12</v>
      </c>
      <c r="G7930" s="1363"/>
      <c r="H7930" s="1363">
        <v>0.2</v>
      </c>
      <c r="I7930" s="1129">
        <f t="shared" si="279"/>
        <v>4.9000000000000004</v>
      </c>
      <c r="J7930" s="471"/>
      <c r="K7930" s="1263" t="s">
        <v>2167</v>
      </c>
      <c r="L7930" s="461"/>
      <c r="M7930" s="461"/>
      <c r="N7930" s="461"/>
    </row>
    <row r="7931" spans="1:14" s="462" customFormat="1" hidden="1" outlineLevel="1">
      <c r="A7931" s="1261"/>
      <c r="B7931" s="260"/>
      <c r="C7931" s="457"/>
      <c r="D7931" s="440"/>
      <c r="E7931" s="441"/>
      <c r="F7931" s="1363"/>
      <c r="G7931" s="1363"/>
      <c r="H7931" s="1363"/>
      <c r="I7931" s="1129" t="str">
        <f t="shared" si="279"/>
        <v/>
      </c>
      <c r="J7931" s="471"/>
      <c r="K7931" s="1263" t="s">
        <v>2167</v>
      </c>
      <c r="L7931" s="461"/>
      <c r="M7931" s="461"/>
      <c r="N7931" s="461"/>
    </row>
    <row r="7932" spans="1:14" s="462" customFormat="1" hidden="1" outlineLevel="1">
      <c r="A7932" s="1261"/>
      <c r="B7932" s="260"/>
      <c r="C7932" s="457" t="s">
        <v>1</v>
      </c>
      <c r="D7932" s="440">
        <v>2</v>
      </c>
      <c r="E7932" s="441">
        <v>2</v>
      </c>
      <c r="F7932" s="1363">
        <v>4.6449999999999996</v>
      </c>
      <c r="G7932" s="1363"/>
      <c r="H7932" s="1363">
        <v>0.2</v>
      </c>
      <c r="I7932" s="1129">
        <f t="shared" si="279"/>
        <v>3.72</v>
      </c>
      <c r="J7932" s="471"/>
      <c r="K7932" s="1263" t="s">
        <v>2167</v>
      </c>
      <c r="L7932" s="461"/>
      <c r="M7932" s="461"/>
      <c r="N7932" s="461"/>
    </row>
    <row r="7933" spans="1:14" s="462" customFormat="1" hidden="1" outlineLevel="1">
      <c r="A7933" s="1261"/>
      <c r="B7933" s="260"/>
      <c r="C7933" s="457"/>
      <c r="D7933" s="440"/>
      <c r="E7933" s="441"/>
      <c r="F7933" s="1363"/>
      <c r="G7933" s="1363"/>
      <c r="H7933" s="1363"/>
      <c r="I7933" s="1129" t="str">
        <f t="shared" si="279"/>
        <v/>
      </c>
      <c r="J7933" s="471"/>
      <c r="K7933" s="1263" t="s">
        <v>2167</v>
      </c>
      <c r="L7933" s="461"/>
      <c r="M7933" s="461"/>
      <c r="N7933" s="461"/>
    </row>
    <row r="7934" spans="1:14" s="462" customFormat="1" hidden="1" outlineLevel="1">
      <c r="A7934" s="1261"/>
      <c r="B7934" s="260"/>
      <c r="C7934" s="457" t="s">
        <v>1</v>
      </c>
      <c r="D7934" s="440">
        <v>2</v>
      </c>
      <c r="E7934" s="441">
        <v>2</v>
      </c>
      <c r="F7934" s="1363">
        <v>3</v>
      </c>
      <c r="G7934" s="1363"/>
      <c r="H7934" s="1363">
        <v>0.2</v>
      </c>
      <c r="I7934" s="1129">
        <f t="shared" si="279"/>
        <v>2.4</v>
      </c>
      <c r="J7934" s="471"/>
      <c r="K7934" s="1263" t="s">
        <v>2167</v>
      </c>
      <c r="L7934" s="461"/>
      <c r="M7934" s="461"/>
      <c r="N7934" s="461"/>
    </row>
    <row r="7935" spans="1:14" s="462" customFormat="1" hidden="1" outlineLevel="1">
      <c r="A7935" s="1261"/>
      <c r="B7935" s="260"/>
      <c r="C7935" s="457"/>
      <c r="D7935" s="440"/>
      <c r="E7935" s="441"/>
      <c r="F7935" s="1363"/>
      <c r="G7935" s="1363"/>
      <c r="H7935" s="1363"/>
      <c r="I7935" s="1129" t="str">
        <f t="shared" si="279"/>
        <v/>
      </c>
      <c r="J7935" s="471"/>
      <c r="K7935" s="1263" t="s">
        <v>2167</v>
      </c>
      <c r="L7935" s="461"/>
      <c r="M7935" s="461"/>
      <c r="N7935" s="461"/>
    </row>
    <row r="7936" spans="1:14" s="462" customFormat="1" hidden="1" outlineLevel="1">
      <c r="A7936" s="1261"/>
      <c r="B7936" s="260"/>
      <c r="C7936" s="457" t="s">
        <v>1</v>
      </c>
      <c r="D7936" s="440">
        <v>2</v>
      </c>
      <c r="E7936" s="441">
        <v>4</v>
      </c>
      <c r="F7936" s="1363">
        <v>0.61499999999999999</v>
      </c>
      <c r="G7936" s="1363"/>
      <c r="H7936" s="1363">
        <v>0.2</v>
      </c>
      <c r="I7936" s="1129">
        <f t="shared" si="279"/>
        <v>0.98</v>
      </c>
      <c r="J7936" s="471"/>
      <c r="K7936" s="1263" t="s">
        <v>2167</v>
      </c>
      <c r="L7936" s="461"/>
      <c r="M7936" s="461"/>
      <c r="N7936" s="461"/>
    </row>
    <row r="7937" spans="1:14" s="462" customFormat="1" hidden="1" outlineLevel="1">
      <c r="A7937" s="1261"/>
      <c r="B7937" s="260"/>
      <c r="C7937" s="457"/>
      <c r="D7937" s="440"/>
      <c r="E7937" s="441"/>
      <c r="F7937" s="1363"/>
      <c r="G7937" s="1363"/>
      <c r="H7937" s="1363"/>
      <c r="I7937" s="1129" t="str">
        <f t="shared" si="279"/>
        <v/>
      </c>
      <c r="J7937" s="471"/>
      <c r="K7937" s="1263" t="s">
        <v>2167</v>
      </c>
      <c r="L7937" s="461"/>
      <c r="M7937" s="461"/>
      <c r="N7937" s="461"/>
    </row>
    <row r="7938" spans="1:14" s="462" customFormat="1" hidden="1" outlineLevel="1">
      <c r="A7938" s="1261"/>
      <c r="B7938" s="260"/>
      <c r="C7938" s="457" t="s">
        <v>1</v>
      </c>
      <c r="D7938" s="440">
        <v>2</v>
      </c>
      <c r="E7938" s="441">
        <v>2</v>
      </c>
      <c r="F7938" s="1363">
        <v>0.61</v>
      </c>
      <c r="G7938" s="1363"/>
      <c r="H7938" s="1363">
        <v>0.2</v>
      </c>
      <c r="I7938" s="1129">
        <f t="shared" si="279"/>
        <v>0.49</v>
      </c>
      <c r="J7938" s="471"/>
      <c r="K7938" s="1263" t="s">
        <v>2167</v>
      </c>
      <c r="L7938" s="461"/>
      <c r="M7938" s="461"/>
      <c r="N7938" s="461"/>
    </row>
    <row r="7939" spans="1:14" s="462" customFormat="1" hidden="1" outlineLevel="1">
      <c r="A7939" s="1261"/>
      <c r="B7939" s="260"/>
      <c r="C7939" s="457"/>
      <c r="D7939" s="440"/>
      <c r="E7939" s="441"/>
      <c r="F7939" s="1363"/>
      <c r="G7939" s="1363"/>
      <c r="H7939" s="1363"/>
      <c r="I7939" s="1129" t="str">
        <f t="shared" si="279"/>
        <v/>
      </c>
      <c r="J7939" s="471"/>
      <c r="K7939" s="1263" t="s">
        <v>2167</v>
      </c>
      <c r="L7939" s="461"/>
      <c r="M7939" s="461"/>
      <c r="N7939" s="461"/>
    </row>
    <row r="7940" spans="1:14" s="462" customFormat="1" ht="34.5" hidden="1" outlineLevel="1">
      <c r="A7940" s="1261"/>
      <c r="B7940" s="260" t="s">
        <v>566</v>
      </c>
      <c r="C7940" s="457"/>
      <c r="D7940" s="440"/>
      <c r="E7940" s="441"/>
      <c r="F7940" s="1363"/>
      <c r="G7940" s="1363"/>
      <c r="H7940" s="1363"/>
      <c r="I7940" s="1129" t="str">
        <f t="shared" si="279"/>
        <v/>
      </c>
      <c r="J7940" s="471"/>
      <c r="K7940" s="1263" t="s">
        <v>2167</v>
      </c>
      <c r="L7940" s="461"/>
      <c r="M7940" s="461"/>
      <c r="N7940" s="461"/>
    </row>
    <row r="7941" spans="1:14" s="462" customFormat="1" ht="34.5" hidden="1" outlineLevel="1">
      <c r="A7941" s="1261"/>
      <c r="B7941" s="260" t="s">
        <v>567</v>
      </c>
      <c r="C7941" s="457"/>
      <c r="D7941" s="440"/>
      <c r="E7941" s="441"/>
      <c r="F7941" s="1363"/>
      <c r="G7941" s="1363"/>
      <c r="H7941" s="1363"/>
      <c r="I7941" s="1129" t="str">
        <f t="shared" si="279"/>
        <v/>
      </c>
      <c r="J7941" s="471"/>
      <c r="K7941" s="1263" t="s">
        <v>2167</v>
      </c>
      <c r="L7941" s="461"/>
      <c r="M7941" s="461"/>
      <c r="N7941" s="461"/>
    </row>
    <row r="7942" spans="1:14" s="462" customFormat="1" hidden="1" outlineLevel="1">
      <c r="A7942" s="1261"/>
      <c r="B7942" s="260" t="s">
        <v>243</v>
      </c>
      <c r="C7942" s="457" t="s">
        <v>1</v>
      </c>
      <c r="D7942" s="440">
        <v>2</v>
      </c>
      <c r="E7942" s="441">
        <v>1</v>
      </c>
      <c r="F7942" s="1363">
        <v>7.4</v>
      </c>
      <c r="G7942" s="1363"/>
      <c r="H7942" s="1363">
        <v>0.2</v>
      </c>
      <c r="I7942" s="1129">
        <f t="shared" si="279"/>
        <v>2.96</v>
      </c>
      <c r="J7942" s="471"/>
      <c r="K7942" s="1263" t="s">
        <v>2167</v>
      </c>
      <c r="L7942" s="461"/>
      <c r="M7942" s="461"/>
      <c r="N7942" s="461"/>
    </row>
    <row r="7943" spans="1:14" s="462" customFormat="1" hidden="1" outlineLevel="1">
      <c r="A7943" s="1261"/>
      <c r="B7943" s="260"/>
      <c r="C7943" s="457"/>
      <c r="D7943" s="440"/>
      <c r="E7943" s="441"/>
      <c r="F7943" s="1363"/>
      <c r="G7943" s="1363"/>
      <c r="H7943" s="1363"/>
      <c r="I7943" s="1129" t="str">
        <f t="shared" si="279"/>
        <v/>
      </c>
      <c r="J7943" s="471"/>
      <c r="K7943" s="1263" t="s">
        <v>2167</v>
      </c>
      <c r="L7943" s="461"/>
      <c r="M7943" s="461"/>
      <c r="N7943" s="461"/>
    </row>
    <row r="7944" spans="1:14" s="462" customFormat="1" hidden="1" outlineLevel="1">
      <c r="A7944" s="1261"/>
      <c r="B7944" s="260"/>
      <c r="C7944" s="457" t="s">
        <v>1</v>
      </c>
      <c r="D7944" s="440">
        <v>2</v>
      </c>
      <c r="E7944" s="441">
        <v>1</v>
      </c>
      <c r="F7944" s="1363">
        <v>5.4</v>
      </c>
      <c r="G7944" s="1363"/>
      <c r="H7944" s="1363">
        <v>0.2</v>
      </c>
      <c r="I7944" s="1129">
        <f t="shared" si="279"/>
        <v>2.16</v>
      </c>
      <c r="J7944" s="471"/>
      <c r="K7944" s="1263" t="s">
        <v>2167</v>
      </c>
      <c r="L7944" s="461"/>
      <c r="M7944" s="461"/>
      <c r="N7944" s="461"/>
    </row>
    <row r="7945" spans="1:14" s="462" customFormat="1" hidden="1" outlineLevel="1">
      <c r="A7945" s="1261"/>
      <c r="B7945" s="260"/>
      <c r="C7945" s="457"/>
      <c r="D7945" s="440"/>
      <c r="E7945" s="441"/>
      <c r="F7945" s="1363"/>
      <c r="G7945" s="1363"/>
      <c r="H7945" s="1363"/>
      <c r="I7945" s="1129" t="str">
        <f t="shared" si="279"/>
        <v/>
      </c>
      <c r="J7945" s="471"/>
      <c r="K7945" s="1263" t="s">
        <v>2167</v>
      </c>
      <c r="L7945" s="461"/>
      <c r="M7945" s="461"/>
      <c r="N7945" s="461"/>
    </row>
    <row r="7946" spans="1:14" s="462" customFormat="1" hidden="1" outlineLevel="1">
      <c r="A7946" s="1261"/>
      <c r="B7946" s="260"/>
      <c r="C7946" s="457" t="s">
        <v>1</v>
      </c>
      <c r="D7946" s="440">
        <v>2</v>
      </c>
      <c r="E7946" s="441">
        <v>2</v>
      </c>
      <c r="F7946" s="1363">
        <v>6</v>
      </c>
      <c r="G7946" s="1363"/>
      <c r="H7946" s="1363">
        <v>0.2</v>
      </c>
      <c r="I7946" s="1129">
        <f t="shared" si="279"/>
        <v>4.8</v>
      </c>
      <c r="J7946" s="471"/>
      <c r="K7946" s="1263" t="s">
        <v>2167</v>
      </c>
      <c r="L7946" s="461"/>
      <c r="M7946" s="461"/>
      <c r="N7946" s="461"/>
    </row>
    <row r="7947" spans="1:14" s="462" customFormat="1" hidden="1" outlineLevel="1">
      <c r="A7947" s="1261"/>
      <c r="B7947" s="260"/>
      <c r="C7947" s="457"/>
      <c r="D7947" s="440"/>
      <c r="E7947" s="441"/>
      <c r="F7947" s="1363"/>
      <c r="G7947" s="1363"/>
      <c r="H7947" s="1363"/>
      <c r="I7947" s="1129" t="str">
        <f t="shared" si="279"/>
        <v/>
      </c>
      <c r="J7947" s="471"/>
      <c r="K7947" s="1263" t="s">
        <v>2167</v>
      </c>
      <c r="L7947" s="461"/>
      <c r="M7947" s="461"/>
      <c r="N7947" s="461"/>
    </row>
    <row r="7948" spans="1:14" s="462" customFormat="1" hidden="1" outlineLevel="1">
      <c r="A7948" s="1261"/>
      <c r="B7948" s="260"/>
      <c r="C7948" s="457" t="s">
        <v>1</v>
      </c>
      <c r="D7948" s="440">
        <v>2</v>
      </c>
      <c r="E7948" s="441">
        <v>3</v>
      </c>
      <c r="F7948" s="1363">
        <v>4.8</v>
      </c>
      <c r="G7948" s="1363"/>
      <c r="H7948" s="1363">
        <v>0.2</v>
      </c>
      <c r="I7948" s="1129">
        <f t="shared" si="279"/>
        <v>5.76</v>
      </c>
      <c r="J7948" s="471"/>
      <c r="K7948" s="1263" t="s">
        <v>2167</v>
      </c>
      <c r="L7948" s="461"/>
      <c r="M7948" s="461"/>
      <c r="N7948" s="461"/>
    </row>
    <row r="7949" spans="1:14" s="462" customFormat="1" hidden="1" outlineLevel="1">
      <c r="A7949" s="1261"/>
      <c r="B7949" s="260"/>
      <c r="C7949" s="457"/>
      <c r="D7949" s="440"/>
      <c r="E7949" s="441"/>
      <c r="F7949" s="1363"/>
      <c r="G7949" s="1363"/>
      <c r="H7949" s="1363"/>
      <c r="I7949" s="1129" t="str">
        <f t="shared" si="279"/>
        <v/>
      </c>
      <c r="J7949" s="471"/>
      <c r="K7949" s="1263" t="s">
        <v>2167</v>
      </c>
      <c r="L7949" s="461"/>
      <c r="M7949" s="461"/>
      <c r="N7949" s="461"/>
    </row>
    <row r="7950" spans="1:14" s="462" customFormat="1" hidden="1" outlineLevel="1">
      <c r="A7950" s="1261"/>
      <c r="B7950" s="260"/>
      <c r="C7950" s="457" t="s">
        <v>1</v>
      </c>
      <c r="D7950" s="440">
        <v>2</v>
      </c>
      <c r="E7950" s="441">
        <v>1</v>
      </c>
      <c r="F7950" s="1363">
        <v>1.2</v>
      </c>
      <c r="G7950" s="1363"/>
      <c r="H7950" s="1363">
        <v>0.2</v>
      </c>
      <c r="I7950" s="1129">
        <f t="shared" si="279"/>
        <v>0.48</v>
      </c>
      <c r="J7950" s="471"/>
      <c r="K7950" s="1263" t="s">
        <v>2167</v>
      </c>
      <c r="L7950" s="461"/>
      <c r="M7950" s="461"/>
      <c r="N7950" s="461"/>
    </row>
    <row r="7951" spans="1:14" s="462" customFormat="1" hidden="1" outlineLevel="1">
      <c r="A7951" s="1261"/>
      <c r="B7951" s="260"/>
      <c r="C7951" s="457"/>
      <c r="D7951" s="440"/>
      <c r="E7951" s="441"/>
      <c r="F7951" s="1363"/>
      <c r="G7951" s="1363"/>
      <c r="H7951" s="1363"/>
      <c r="I7951" s="1129" t="str">
        <f t="shared" si="279"/>
        <v/>
      </c>
      <c r="J7951" s="471"/>
      <c r="K7951" s="1263" t="s">
        <v>2167</v>
      </c>
      <c r="L7951" s="461"/>
      <c r="M7951" s="461"/>
      <c r="N7951" s="461"/>
    </row>
    <row r="7952" spans="1:14" s="462" customFormat="1" hidden="1" outlineLevel="1">
      <c r="A7952" s="1261"/>
      <c r="B7952" s="260"/>
      <c r="C7952" s="457" t="s">
        <v>1</v>
      </c>
      <c r="D7952" s="440">
        <v>2</v>
      </c>
      <c r="E7952" s="441">
        <v>1</v>
      </c>
      <c r="F7952" s="1363">
        <v>5.3999999999999995</v>
      </c>
      <c r="G7952" s="1363"/>
      <c r="H7952" s="1363">
        <v>0.2</v>
      </c>
      <c r="I7952" s="1129">
        <f t="shared" si="279"/>
        <v>2.16</v>
      </c>
      <c r="J7952" s="471"/>
      <c r="K7952" s="1263" t="s">
        <v>2167</v>
      </c>
      <c r="L7952" s="461"/>
      <c r="M7952" s="461"/>
      <c r="N7952" s="461"/>
    </row>
    <row r="7953" spans="1:14" s="462" customFormat="1" hidden="1" outlineLevel="1">
      <c r="A7953" s="1261"/>
      <c r="B7953" s="260"/>
      <c r="C7953" s="457"/>
      <c r="D7953" s="440"/>
      <c r="E7953" s="441"/>
      <c r="F7953" s="1363"/>
      <c r="G7953" s="1363"/>
      <c r="H7953" s="1363"/>
      <c r="I7953" s="1129" t="str">
        <f t="shared" si="279"/>
        <v/>
      </c>
      <c r="J7953" s="471"/>
      <c r="K7953" s="1263" t="s">
        <v>2167</v>
      </c>
      <c r="L7953" s="461"/>
      <c r="M7953" s="461"/>
      <c r="N7953" s="461"/>
    </row>
    <row r="7954" spans="1:14" s="462" customFormat="1" hidden="1" outlineLevel="1">
      <c r="A7954" s="1261"/>
      <c r="B7954" s="260"/>
      <c r="C7954" s="457" t="s">
        <v>1</v>
      </c>
      <c r="D7954" s="440">
        <v>2</v>
      </c>
      <c r="E7954" s="441">
        <v>1</v>
      </c>
      <c r="F7954" s="1363">
        <v>0.6</v>
      </c>
      <c r="G7954" s="1363"/>
      <c r="H7954" s="1363">
        <v>0.2</v>
      </c>
      <c r="I7954" s="1129">
        <f t="shared" si="279"/>
        <v>0.24</v>
      </c>
      <c r="J7954" s="471"/>
      <c r="K7954" s="1263" t="s">
        <v>2167</v>
      </c>
      <c r="L7954" s="461"/>
      <c r="M7954" s="461"/>
      <c r="N7954" s="461"/>
    </row>
    <row r="7955" spans="1:14" s="462" customFormat="1" hidden="1" outlineLevel="1">
      <c r="A7955" s="1261"/>
      <c r="B7955" s="260"/>
      <c r="C7955" s="457"/>
      <c r="D7955" s="440"/>
      <c r="E7955" s="441"/>
      <c r="F7955" s="1363"/>
      <c r="G7955" s="1363"/>
      <c r="H7955" s="1363"/>
      <c r="I7955" s="1129" t="str">
        <f t="shared" si="279"/>
        <v/>
      </c>
      <c r="J7955" s="471"/>
      <c r="K7955" s="1263" t="s">
        <v>2167</v>
      </c>
      <c r="L7955" s="461"/>
      <c r="M7955" s="461"/>
      <c r="N7955" s="461"/>
    </row>
    <row r="7956" spans="1:14" s="462" customFormat="1" hidden="1" outlineLevel="1">
      <c r="A7956" s="1261"/>
      <c r="B7956" s="260"/>
      <c r="C7956" s="457" t="s">
        <v>1</v>
      </c>
      <c r="D7956" s="440">
        <v>2</v>
      </c>
      <c r="E7956" s="443">
        <v>5</v>
      </c>
      <c r="F7956" s="1363">
        <v>4.2</v>
      </c>
      <c r="G7956" s="1363"/>
      <c r="H7956" s="1363">
        <v>0.2</v>
      </c>
      <c r="I7956" s="1129">
        <f t="shared" si="279"/>
        <v>8.4</v>
      </c>
      <c r="J7956" s="471"/>
      <c r="K7956" s="1263" t="s">
        <v>2167</v>
      </c>
      <c r="L7956" s="461"/>
      <c r="M7956" s="461"/>
      <c r="N7956" s="461"/>
    </row>
    <row r="7957" spans="1:14" s="462" customFormat="1" hidden="1" outlineLevel="1">
      <c r="A7957" s="1261"/>
      <c r="B7957" s="260"/>
      <c r="C7957" s="457"/>
      <c r="D7957" s="440"/>
      <c r="E7957" s="441"/>
      <c r="F7957" s="1363"/>
      <c r="G7957" s="1363"/>
      <c r="H7957" s="1363"/>
      <c r="I7957" s="1129" t="str">
        <f t="shared" si="279"/>
        <v/>
      </c>
      <c r="J7957" s="471"/>
      <c r="K7957" s="1263" t="s">
        <v>2167</v>
      </c>
      <c r="L7957" s="461"/>
      <c r="M7957" s="461"/>
      <c r="N7957" s="461"/>
    </row>
    <row r="7958" spans="1:14" s="462" customFormat="1" hidden="1" outlineLevel="1">
      <c r="A7958" s="1261"/>
      <c r="B7958" s="260"/>
      <c r="C7958" s="457" t="s">
        <v>1</v>
      </c>
      <c r="D7958" s="440">
        <v>2</v>
      </c>
      <c r="E7958" s="441">
        <v>1</v>
      </c>
      <c r="F7958" s="1363">
        <v>0.6</v>
      </c>
      <c r="G7958" s="1363"/>
      <c r="H7958" s="1363">
        <v>0.2</v>
      </c>
      <c r="I7958" s="1129">
        <f t="shared" si="279"/>
        <v>0.24</v>
      </c>
      <c r="J7958" s="471"/>
      <c r="K7958" s="1263" t="s">
        <v>2167</v>
      </c>
      <c r="L7958" s="461"/>
      <c r="M7958" s="461"/>
      <c r="N7958" s="461"/>
    </row>
    <row r="7959" spans="1:14" s="462" customFormat="1" hidden="1" outlineLevel="1">
      <c r="A7959" s="1261"/>
      <c r="B7959" s="260"/>
      <c r="C7959" s="457"/>
      <c r="D7959" s="440"/>
      <c r="E7959" s="441"/>
      <c r="F7959" s="1363"/>
      <c r="G7959" s="1363"/>
      <c r="H7959" s="1363"/>
      <c r="I7959" s="1129" t="str">
        <f t="shared" si="279"/>
        <v/>
      </c>
      <c r="J7959" s="471"/>
      <c r="K7959" s="1263" t="s">
        <v>2167</v>
      </c>
      <c r="L7959" s="461"/>
      <c r="M7959" s="461"/>
      <c r="N7959" s="461"/>
    </row>
    <row r="7960" spans="1:14" s="462" customFormat="1" hidden="1" outlineLevel="1">
      <c r="A7960" s="1261"/>
      <c r="B7960" s="260"/>
      <c r="C7960" s="457" t="s">
        <v>1</v>
      </c>
      <c r="D7960" s="440">
        <v>2</v>
      </c>
      <c r="E7960" s="441">
        <v>1</v>
      </c>
      <c r="F7960" s="1363">
        <v>4.8</v>
      </c>
      <c r="G7960" s="1363"/>
      <c r="H7960" s="1363">
        <v>0.2</v>
      </c>
      <c r="I7960" s="1129">
        <f t="shared" si="279"/>
        <v>1.92</v>
      </c>
      <c r="J7960" s="471"/>
      <c r="K7960" s="1263" t="s">
        <v>2167</v>
      </c>
      <c r="L7960" s="461"/>
      <c r="M7960" s="461"/>
      <c r="N7960" s="461"/>
    </row>
    <row r="7961" spans="1:14" s="462" customFormat="1" hidden="1" outlineLevel="1">
      <c r="A7961" s="1261"/>
      <c r="B7961" s="260"/>
      <c r="C7961" s="457"/>
      <c r="D7961" s="440"/>
      <c r="E7961" s="441"/>
      <c r="F7961" s="1363"/>
      <c r="G7961" s="1363"/>
      <c r="H7961" s="1363"/>
      <c r="I7961" s="1129" t="str">
        <f t="shared" si="279"/>
        <v/>
      </c>
      <c r="J7961" s="471"/>
      <c r="K7961" s="1263" t="s">
        <v>2167</v>
      </c>
      <c r="L7961" s="461"/>
      <c r="M7961" s="461"/>
      <c r="N7961" s="461"/>
    </row>
    <row r="7962" spans="1:14" s="462" customFormat="1" hidden="1" outlineLevel="1">
      <c r="A7962" s="1261"/>
      <c r="B7962" s="260"/>
      <c r="C7962" s="457" t="s">
        <v>1</v>
      </c>
      <c r="D7962" s="440">
        <v>2</v>
      </c>
      <c r="E7962" s="441">
        <v>1</v>
      </c>
      <c r="F7962" s="1363">
        <v>1.2</v>
      </c>
      <c r="G7962" s="1363"/>
      <c r="H7962" s="1363">
        <v>0.2</v>
      </c>
      <c r="I7962" s="1129">
        <f t="shared" si="279"/>
        <v>0.48</v>
      </c>
      <c r="J7962" s="471"/>
      <c r="K7962" s="1263" t="s">
        <v>2167</v>
      </c>
      <c r="L7962" s="461"/>
      <c r="M7962" s="461"/>
      <c r="N7962" s="461"/>
    </row>
    <row r="7963" spans="1:14" s="462" customFormat="1" hidden="1" outlineLevel="1">
      <c r="A7963" s="1261"/>
      <c r="B7963" s="260"/>
      <c r="C7963" s="457"/>
      <c r="D7963" s="440"/>
      <c r="E7963" s="441"/>
      <c r="F7963" s="1363"/>
      <c r="G7963" s="1363"/>
      <c r="H7963" s="1363"/>
      <c r="I7963" s="1129" t="str">
        <f t="shared" si="279"/>
        <v/>
      </c>
      <c r="J7963" s="471"/>
      <c r="K7963" s="1263" t="s">
        <v>2167</v>
      </c>
      <c r="L7963" s="461"/>
      <c r="M7963" s="461"/>
      <c r="N7963" s="461"/>
    </row>
    <row r="7964" spans="1:14" s="462" customFormat="1" hidden="1" outlineLevel="1">
      <c r="A7964" s="1261"/>
      <c r="B7964" s="260" t="s">
        <v>244</v>
      </c>
      <c r="C7964" s="457" t="s">
        <v>1</v>
      </c>
      <c r="D7964" s="440">
        <v>2</v>
      </c>
      <c r="E7964" s="441">
        <v>2</v>
      </c>
      <c r="F7964" s="1363">
        <v>6</v>
      </c>
      <c r="G7964" s="1363"/>
      <c r="H7964" s="1363">
        <v>0.2</v>
      </c>
      <c r="I7964" s="1129">
        <f t="shared" si="279"/>
        <v>4.8</v>
      </c>
      <c r="J7964" s="471"/>
      <c r="K7964" s="1263" t="s">
        <v>2167</v>
      </c>
      <c r="L7964" s="461"/>
      <c r="M7964" s="461"/>
      <c r="N7964" s="461"/>
    </row>
    <row r="7965" spans="1:14" s="462" customFormat="1" hidden="1" outlineLevel="1">
      <c r="A7965" s="1261"/>
      <c r="B7965" s="260"/>
      <c r="C7965" s="457"/>
      <c r="D7965" s="440"/>
      <c r="E7965" s="441"/>
      <c r="F7965" s="1363"/>
      <c r="G7965" s="1363"/>
      <c r="H7965" s="1363"/>
      <c r="I7965" s="1129" t="str">
        <f t="shared" si="279"/>
        <v/>
      </c>
      <c r="J7965" s="471"/>
      <c r="K7965" s="1263" t="s">
        <v>2167</v>
      </c>
      <c r="L7965" s="461"/>
      <c r="M7965" s="461"/>
      <c r="N7965" s="461"/>
    </row>
    <row r="7966" spans="1:14" s="462" customFormat="1" hidden="1" outlineLevel="1">
      <c r="A7966" s="1261"/>
      <c r="B7966" s="260"/>
      <c r="C7966" s="457" t="s">
        <v>1</v>
      </c>
      <c r="D7966" s="440">
        <v>2</v>
      </c>
      <c r="E7966" s="441">
        <v>1</v>
      </c>
      <c r="F7966" s="1363">
        <v>8</v>
      </c>
      <c r="G7966" s="1363"/>
      <c r="H7966" s="1363">
        <v>0.2</v>
      </c>
      <c r="I7966" s="1129">
        <f t="shared" si="279"/>
        <v>3.2</v>
      </c>
      <c r="J7966" s="471"/>
      <c r="K7966" s="1263" t="s">
        <v>2167</v>
      </c>
      <c r="L7966" s="461"/>
      <c r="M7966" s="461"/>
      <c r="N7966" s="461"/>
    </row>
    <row r="7967" spans="1:14" s="462" customFormat="1" hidden="1" outlineLevel="1">
      <c r="A7967" s="1261"/>
      <c r="B7967" s="260" t="s">
        <v>245</v>
      </c>
      <c r="C7967" s="457" t="s">
        <v>1</v>
      </c>
      <c r="D7967" s="440">
        <v>2</v>
      </c>
      <c r="E7967" s="441">
        <v>8</v>
      </c>
      <c r="F7967" s="1363">
        <v>3.3</v>
      </c>
      <c r="G7967" s="1363"/>
      <c r="H7967" s="1363">
        <v>0.15</v>
      </c>
      <c r="I7967" s="1165">
        <f t="shared" si="279"/>
        <v>7.92</v>
      </c>
      <c r="J7967" s="471"/>
      <c r="K7967" s="1263" t="s">
        <v>2168</v>
      </c>
      <c r="L7967" s="461"/>
      <c r="M7967" s="461"/>
      <c r="N7967" s="461"/>
    </row>
    <row r="7968" spans="1:14" s="462" customFormat="1" hidden="1" outlineLevel="1">
      <c r="A7968" s="1261"/>
      <c r="B7968" s="260"/>
      <c r="C7968" s="457"/>
      <c r="D7968" s="440"/>
      <c r="E7968" s="441"/>
      <c r="F7968" s="1363"/>
      <c r="G7968" s="1363"/>
      <c r="H7968" s="1363"/>
      <c r="I7968" s="1163" t="str">
        <f t="shared" si="279"/>
        <v/>
      </c>
      <c r="J7968" s="471"/>
      <c r="K7968" s="1263"/>
      <c r="L7968" s="461"/>
      <c r="M7968" s="461"/>
      <c r="N7968" s="461"/>
    </row>
    <row r="7969" spans="1:14" s="462" customFormat="1" hidden="1" outlineLevel="1">
      <c r="A7969" s="1261"/>
      <c r="B7969" s="260" t="s">
        <v>246</v>
      </c>
      <c r="C7969" s="457"/>
      <c r="D7969" s="440"/>
      <c r="E7969" s="441"/>
      <c r="F7969" s="1363"/>
      <c r="G7969" s="1363"/>
      <c r="H7969" s="1363"/>
      <c r="I7969" s="1163" t="str">
        <f t="shared" ref="I7969:I8032" si="280">IF(D7969&lt;&gt;0,ROUND(PRODUCT(E7969:H7969)*D7969,2),"")</f>
        <v/>
      </c>
      <c r="J7969" s="471"/>
      <c r="K7969" s="1263"/>
      <c r="L7969" s="461"/>
      <c r="M7969" s="461"/>
      <c r="N7969" s="461"/>
    </row>
    <row r="7970" spans="1:14" s="462" customFormat="1" hidden="1" outlineLevel="1">
      <c r="A7970" s="1261"/>
      <c r="B7970" s="260"/>
      <c r="C7970" s="457" t="s">
        <v>1</v>
      </c>
      <c r="D7970" s="440">
        <v>2</v>
      </c>
      <c r="E7970" s="441">
        <v>6</v>
      </c>
      <c r="F7970" s="1363">
        <v>0.61499999999999999</v>
      </c>
      <c r="G7970" s="1363"/>
      <c r="H7970" s="1363">
        <v>0.2</v>
      </c>
      <c r="I7970" s="1129">
        <f t="shared" si="280"/>
        <v>1.48</v>
      </c>
      <c r="J7970" s="471"/>
      <c r="K7970" s="1263" t="s">
        <v>2167</v>
      </c>
      <c r="L7970" s="461"/>
      <c r="M7970" s="461"/>
      <c r="N7970" s="461"/>
    </row>
    <row r="7971" spans="1:14" s="462" customFormat="1" hidden="1" outlineLevel="1">
      <c r="A7971" s="1261"/>
      <c r="B7971" s="260"/>
      <c r="C7971" s="457"/>
      <c r="D7971" s="440"/>
      <c r="E7971" s="441"/>
      <c r="F7971" s="1363"/>
      <c r="G7971" s="1363"/>
      <c r="H7971" s="1363"/>
      <c r="I7971" s="1129" t="str">
        <f t="shared" si="280"/>
        <v/>
      </c>
      <c r="J7971" s="471"/>
      <c r="K7971" s="1263" t="s">
        <v>2167</v>
      </c>
      <c r="L7971" s="461"/>
      <c r="M7971" s="461"/>
      <c r="N7971" s="461"/>
    </row>
    <row r="7972" spans="1:14" s="462" customFormat="1" hidden="1" outlineLevel="1">
      <c r="A7972" s="1261"/>
      <c r="B7972" s="260"/>
      <c r="C7972" s="457" t="s">
        <v>1</v>
      </c>
      <c r="D7972" s="440">
        <v>2</v>
      </c>
      <c r="E7972" s="441">
        <v>4</v>
      </c>
      <c r="F7972" s="1364">
        <v>1.9</v>
      </c>
      <c r="G7972" s="1363"/>
      <c r="H7972" s="1363">
        <v>0.2</v>
      </c>
      <c r="I7972" s="1129">
        <f t="shared" si="280"/>
        <v>3.04</v>
      </c>
      <c r="J7972" s="471"/>
      <c r="K7972" s="1263" t="s">
        <v>2167</v>
      </c>
      <c r="L7972" s="461"/>
      <c r="M7972" s="461"/>
      <c r="N7972" s="461"/>
    </row>
    <row r="7973" spans="1:14" s="462" customFormat="1" hidden="1" outlineLevel="1">
      <c r="A7973" s="1261"/>
      <c r="B7973" s="260"/>
      <c r="C7973" s="457"/>
      <c r="D7973" s="440"/>
      <c r="E7973" s="441"/>
      <c r="F7973" s="1363"/>
      <c r="G7973" s="1363"/>
      <c r="H7973" s="1363"/>
      <c r="I7973" s="1129" t="str">
        <f t="shared" si="280"/>
        <v/>
      </c>
      <c r="J7973" s="471"/>
      <c r="K7973" s="1263" t="s">
        <v>2167</v>
      </c>
      <c r="L7973" s="461"/>
      <c r="M7973" s="461"/>
      <c r="N7973" s="461"/>
    </row>
    <row r="7974" spans="1:14" s="462" customFormat="1" hidden="1" outlineLevel="1">
      <c r="A7974" s="1261"/>
      <c r="B7974" s="260"/>
      <c r="C7974" s="457" t="s">
        <v>1</v>
      </c>
      <c r="D7974" s="440">
        <v>2</v>
      </c>
      <c r="E7974" s="441">
        <v>2</v>
      </c>
      <c r="F7974" s="1363">
        <v>3.36</v>
      </c>
      <c r="G7974" s="1363"/>
      <c r="H7974" s="1363">
        <v>0.2</v>
      </c>
      <c r="I7974" s="1129">
        <f t="shared" si="280"/>
        <v>2.69</v>
      </c>
      <c r="J7974" s="471"/>
      <c r="K7974" s="1263" t="s">
        <v>2167</v>
      </c>
      <c r="L7974" s="461"/>
      <c r="M7974" s="461"/>
      <c r="N7974" s="461"/>
    </row>
    <row r="7975" spans="1:14" s="462" customFormat="1" hidden="1" outlineLevel="1">
      <c r="A7975" s="1261"/>
      <c r="B7975" s="260"/>
      <c r="C7975" s="457"/>
      <c r="D7975" s="440"/>
      <c r="E7975" s="441"/>
      <c r="F7975" s="1363"/>
      <c r="G7975" s="1363"/>
      <c r="H7975" s="1363"/>
      <c r="I7975" s="1129" t="str">
        <f t="shared" si="280"/>
        <v/>
      </c>
      <c r="J7975" s="471"/>
      <c r="K7975" s="1263" t="s">
        <v>2167</v>
      </c>
      <c r="L7975" s="461"/>
      <c r="M7975" s="461"/>
      <c r="N7975" s="461"/>
    </row>
    <row r="7976" spans="1:14" s="462" customFormat="1" hidden="1" outlineLevel="1">
      <c r="A7976" s="1261"/>
      <c r="B7976" s="260"/>
      <c r="C7976" s="457" t="s">
        <v>1</v>
      </c>
      <c r="D7976" s="440">
        <v>2</v>
      </c>
      <c r="E7976" s="441">
        <v>3</v>
      </c>
      <c r="F7976" s="1364">
        <v>1.595</v>
      </c>
      <c r="G7976" s="1363"/>
      <c r="H7976" s="1363">
        <v>0.2</v>
      </c>
      <c r="I7976" s="1129">
        <f t="shared" si="280"/>
        <v>1.91</v>
      </c>
      <c r="J7976" s="471"/>
      <c r="K7976" s="1263" t="s">
        <v>2167</v>
      </c>
      <c r="L7976" s="461"/>
      <c r="M7976" s="461"/>
      <c r="N7976" s="461"/>
    </row>
    <row r="7977" spans="1:14" s="462" customFormat="1" hidden="1" outlineLevel="1">
      <c r="A7977" s="1261"/>
      <c r="B7977" s="260"/>
      <c r="C7977" s="457"/>
      <c r="D7977" s="440"/>
      <c r="E7977" s="441"/>
      <c r="F7977" s="1363"/>
      <c r="G7977" s="1363"/>
      <c r="H7977" s="1363"/>
      <c r="I7977" s="1129" t="str">
        <f t="shared" si="280"/>
        <v/>
      </c>
      <c r="J7977" s="471"/>
      <c r="K7977" s="1263" t="s">
        <v>2167</v>
      </c>
      <c r="L7977" s="461"/>
      <c r="M7977" s="461"/>
      <c r="N7977" s="461"/>
    </row>
    <row r="7978" spans="1:14" s="462" customFormat="1" hidden="1" outlineLevel="1">
      <c r="A7978" s="1261"/>
      <c r="B7978" s="260"/>
      <c r="C7978" s="457" t="s">
        <v>1</v>
      </c>
      <c r="D7978" s="440">
        <v>2</v>
      </c>
      <c r="E7978" s="441">
        <v>2</v>
      </c>
      <c r="F7978" s="1363">
        <v>2.44</v>
      </c>
      <c r="G7978" s="1363"/>
      <c r="H7978" s="1363">
        <v>0.2</v>
      </c>
      <c r="I7978" s="1129">
        <f t="shared" si="280"/>
        <v>1.95</v>
      </c>
      <c r="J7978" s="471"/>
      <c r="K7978" s="1263" t="s">
        <v>2167</v>
      </c>
      <c r="L7978" s="461"/>
      <c r="M7978" s="461"/>
      <c r="N7978" s="461"/>
    </row>
    <row r="7979" spans="1:14" s="462" customFormat="1" hidden="1" outlineLevel="1">
      <c r="A7979" s="1261"/>
      <c r="B7979" s="260"/>
      <c r="C7979" s="457"/>
      <c r="D7979" s="440"/>
      <c r="E7979" s="441"/>
      <c r="F7979" s="1363"/>
      <c r="G7979" s="1363"/>
      <c r="H7979" s="1363"/>
      <c r="I7979" s="1129" t="str">
        <f t="shared" si="280"/>
        <v/>
      </c>
      <c r="J7979" s="471"/>
      <c r="K7979" s="1263" t="s">
        <v>2167</v>
      </c>
      <c r="L7979" s="461"/>
      <c r="M7979" s="461"/>
      <c r="N7979" s="461"/>
    </row>
    <row r="7980" spans="1:14" s="462" customFormat="1" hidden="1" outlineLevel="1">
      <c r="A7980" s="1261"/>
      <c r="B7980" s="260"/>
      <c r="C7980" s="457" t="s">
        <v>1</v>
      </c>
      <c r="D7980" s="440">
        <v>2</v>
      </c>
      <c r="E7980" s="441">
        <v>2</v>
      </c>
      <c r="F7980" s="1363">
        <v>2.7450000000000001</v>
      </c>
      <c r="G7980" s="1363"/>
      <c r="H7980" s="1363">
        <v>0.2</v>
      </c>
      <c r="I7980" s="1129">
        <f t="shared" si="280"/>
        <v>2.2000000000000002</v>
      </c>
      <c r="J7980" s="471"/>
      <c r="K7980" s="1263" t="s">
        <v>2167</v>
      </c>
      <c r="L7980" s="461"/>
      <c r="M7980" s="461"/>
      <c r="N7980" s="461"/>
    </row>
    <row r="7981" spans="1:14" s="462" customFormat="1" hidden="1" outlineLevel="1">
      <c r="A7981" s="1261"/>
      <c r="B7981" s="260"/>
      <c r="C7981" s="457"/>
      <c r="D7981" s="440"/>
      <c r="E7981" s="441"/>
      <c r="F7981" s="1363"/>
      <c r="G7981" s="1363"/>
      <c r="H7981" s="1363"/>
      <c r="I7981" s="1129" t="str">
        <f t="shared" si="280"/>
        <v/>
      </c>
      <c r="J7981" s="471"/>
      <c r="K7981" s="1263" t="s">
        <v>2167</v>
      </c>
      <c r="L7981" s="461"/>
      <c r="M7981" s="461"/>
      <c r="N7981" s="461"/>
    </row>
    <row r="7982" spans="1:14" s="462" customFormat="1" hidden="1" outlineLevel="1">
      <c r="A7982" s="1261"/>
      <c r="B7982" s="260"/>
      <c r="C7982" s="457" t="s">
        <v>1</v>
      </c>
      <c r="D7982" s="440">
        <v>2</v>
      </c>
      <c r="E7982" s="441">
        <v>1</v>
      </c>
      <c r="F7982" s="1363">
        <v>3.0549999999999997</v>
      </c>
      <c r="G7982" s="1363"/>
      <c r="H7982" s="1363">
        <v>0.2</v>
      </c>
      <c r="I7982" s="1129">
        <f t="shared" si="280"/>
        <v>1.22</v>
      </c>
      <c r="J7982" s="471"/>
      <c r="K7982" s="1263" t="s">
        <v>2167</v>
      </c>
      <c r="L7982" s="461" t="s">
        <v>586</v>
      </c>
      <c r="M7982" s="461"/>
      <c r="N7982" s="461"/>
    </row>
    <row r="7983" spans="1:14" s="462" customFormat="1" hidden="1" outlineLevel="1">
      <c r="A7983" s="1261"/>
      <c r="B7983" s="260"/>
      <c r="C7983" s="457"/>
      <c r="D7983" s="440"/>
      <c r="E7983" s="441"/>
      <c r="F7983" s="1363"/>
      <c r="G7983" s="1363"/>
      <c r="H7983" s="1363"/>
      <c r="I7983" s="1129" t="str">
        <f t="shared" si="280"/>
        <v/>
      </c>
      <c r="J7983" s="471"/>
      <c r="K7983" s="1263" t="s">
        <v>2167</v>
      </c>
      <c r="L7983" s="461"/>
      <c r="M7983" s="461"/>
      <c r="N7983" s="461"/>
    </row>
    <row r="7984" spans="1:14" s="462" customFormat="1" hidden="1" outlineLevel="1">
      <c r="A7984" s="1261"/>
      <c r="B7984" s="260"/>
      <c r="C7984" s="457" t="s">
        <v>1</v>
      </c>
      <c r="D7984" s="440">
        <v>2</v>
      </c>
      <c r="E7984" s="441">
        <v>1</v>
      </c>
      <c r="F7984" s="1363">
        <v>3.165</v>
      </c>
      <c r="G7984" s="1363"/>
      <c r="H7984" s="1363">
        <v>0.2</v>
      </c>
      <c r="I7984" s="1129">
        <f t="shared" si="280"/>
        <v>1.27</v>
      </c>
      <c r="J7984" s="471"/>
      <c r="K7984" s="1263" t="s">
        <v>2167</v>
      </c>
      <c r="L7984" s="461"/>
      <c r="M7984" s="461"/>
      <c r="N7984" s="461"/>
    </row>
    <row r="7985" spans="1:14" s="462" customFormat="1" hidden="1" outlineLevel="1">
      <c r="A7985" s="1261"/>
      <c r="B7985" s="260"/>
      <c r="C7985" s="457"/>
      <c r="D7985" s="440"/>
      <c r="E7985" s="441"/>
      <c r="F7985" s="1363"/>
      <c r="G7985" s="1363"/>
      <c r="H7985" s="1363"/>
      <c r="I7985" s="1129" t="str">
        <f t="shared" si="280"/>
        <v/>
      </c>
      <c r="J7985" s="471"/>
      <c r="K7985" s="1263" t="s">
        <v>2167</v>
      </c>
      <c r="L7985" s="461"/>
      <c r="M7985" s="461"/>
      <c r="N7985" s="461"/>
    </row>
    <row r="7986" spans="1:14" s="462" customFormat="1" hidden="1" outlineLevel="1">
      <c r="A7986" s="1261"/>
      <c r="B7986" s="260"/>
      <c r="C7986" s="457" t="s">
        <v>1</v>
      </c>
      <c r="D7986" s="440">
        <v>2</v>
      </c>
      <c r="E7986" s="441">
        <v>1</v>
      </c>
      <c r="F7986" s="1364">
        <v>1.7050000000000001</v>
      </c>
      <c r="G7986" s="1363"/>
      <c r="H7986" s="1363">
        <v>0.2</v>
      </c>
      <c r="I7986" s="1129">
        <f t="shared" si="280"/>
        <v>0.68</v>
      </c>
      <c r="J7986" s="471"/>
      <c r="K7986" s="1263" t="s">
        <v>2167</v>
      </c>
      <c r="L7986" s="461"/>
      <c r="M7986" s="461"/>
      <c r="N7986" s="461"/>
    </row>
    <row r="7987" spans="1:14" s="462" customFormat="1" hidden="1" outlineLevel="1">
      <c r="A7987" s="1261"/>
      <c r="B7987" s="260"/>
      <c r="C7987" s="457"/>
      <c r="D7987" s="440"/>
      <c r="E7987" s="441"/>
      <c r="F7987" s="1363"/>
      <c r="G7987" s="1363"/>
      <c r="H7987" s="1363"/>
      <c r="I7987" s="1163" t="str">
        <f t="shared" si="280"/>
        <v/>
      </c>
      <c r="J7987" s="471"/>
      <c r="K7987" s="1263" t="s">
        <v>2167</v>
      </c>
      <c r="L7987" s="461"/>
      <c r="M7987" s="461"/>
      <c r="N7987" s="461"/>
    </row>
    <row r="7988" spans="1:14" s="462" customFormat="1" hidden="1" outlineLevel="1">
      <c r="A7988" s="1261"/>
      <c r="B7988" s="260"/>
      <c r="C7988" s="457"/>
      <c r="D7988" s="440"/>
      <c r="E7988" s="441"/>
      <c r="F7988" s="1363"/>
      <c r="G7988" s="1363"/>
      <c r="H7988" s="1363"/>
      <c r="I7988" s="1163" t="str">
        <f t="shared" si="280"/>
        <v/>
      </c>
      <c r="J7988" s="471"/>
      <c r="K7988" s="1263" t="s">
        <v>2167</v>
      </c>
      <c r="L7988" s="461"/>
      <c r="M7988" s="461"/>
      <c r="N7988" s="461"/>
    </row>
    <row r="7989" spans="1:14" s="462" customFormat="1" hidden="1" outlineLevel="1">
      <c r="A7989" s="1250"/>
      <c r="B7989" s="425" t="s">
        <v>534</v>
      </c>
      <c r="C7989" s="457" t="s">
        <v>1</v>
      </c>
      <c r="D7989" s="440">
        <v>-1</v>
      </c>
      <c r="E7989" s="473"/>
      <c r="F7989" s="1363">
        <f>SUM(I7296:I7454)</f>
        <v>573.76999999999975</v>
      </c>
      <c r="G7989" s="1363"/>
      <c r="H7989" s="1363"/>
      <c r="I7989" s="1163">
        <f t="shared" si="280"/>
        <v>-573.77</v>
      </c>
      <c r="J7989" s="471"/>
      <c r="K7989" s="1263" t="s">
        <v>2167</v>
      </c>
      <c r="L7989" s="461"/>
      <c r="M7989" s="461"/>
      <c r="N7989" s="461"/>
    </row>
    <row r="7990" spans="1:14" s="398" customFormat="1" ht="34.5" hidden="1" outlineLevel="1">
      <c r="A7990" s="1250"/>
      <c r="B7990" s="616" t="s">
        <v>1302</v>
      </c>
      <c r="C7990" s="1412"/>
      <c r="D7990" s="437"/>
      <c r="E7990" s="475"/>
      <c r="F7990" s="486"/>
      <c r="G7990" s="486"/>
      <c r="H7990" s="486"/>
      <c r="I7990" s="399" t="str">
        <f t="shared" si="280"/>
        <v/>
      </c>
      <c r="J7990" s="476"/>
      <c r="K7990" s="1237" t="s">
        <v>2167</v>
      </c>
      <c r="L7990" s="431"/>
      <c r="M7990" s="431"/>
      <c r="N7990" s="431"/>
    </row>
    <row r="7991" spans="1:14" s="398" customFormat="1" ht="34.5" hidden="1" outlineLevel="1">
      <c r="A7991" s="1250"/>
      <c r="B7991" s="425" t="s">
        <v>568</v>
      </c>
      <c r="C7991" s="1412"/>
      <c r="D7991" s="437"/>
      <c r="E7991" s="165"/>
      <c r="F7991" s="401"/>
      <c r="G7991" s="401"/>
      <c r="H7991" s="401"/>
      <c r="I7991" s="399" t="str">
        <f t="shared" si="280"/>
        <v/>
      </c>
      <c r="J7991" s="476"/>
      <c r="K7991" s="1237" t="s">
        <v>2167</v>
      </c>
      <c r="L7991" s="431"/>
      <c r="M7991" s="431"/>
      <c r="N7991" s="431"/>
    </row>
    <row r="7992" spans="1:14" s="398" customFormat="1" ht="34.5" hidden="1" outlineLevel="1">
      <c r="A7992" s="1250"/>
      <c r="B7992" s="425" t="s">
        <v>361</v>
      </c>
      <c r="C7992" s="1412" t="s">
        <v>1</v>
      </c>
      <c r="D7992" s="437">
        <v>2</v>
      </c>
      <c r="E7992" s="165">
        <v>1</v>
      </c>
      <c r="F7992" s="401">
        <v>34.935000000000002</v>
      </c>
      <c r="G7992" s="401"/>
      <c r="H7992" s="401">
        <v>0.2</v>
      </c>
      <c r="I7992" s="1129">
        <f t="shared" si="280"/>
        <v>13.97</v>
      </c>
      <c r="J7992" s="476"/>
      <c r="K7992" s="1237" t="s">
        <v>2167</v>
      </c>
      <c r="L7992" s="431"/>
      <c r="M7992" s="431"/>
      <c r="N7992" s="431"/>
    </row>
    <row r="7993" spans="1:14" s="398" customFormat="1" hidden="1" outlineLevel="1">
      <c r="A7993" s="1250"/>
      <c r="B7993" s="425"/>
      <c r="C7993" s="1412"/>
      <c r="D7993" s="437"/>
      <c r="E7993" s="165"/>
      <c r="F7993" s="401"/>
      <c r="G7993" s="401"/>
      <c r="H7993" s="401"/>
      <c r="I7993" s="1129" t="str">
        <f t="shared" si="280"/>
        <v/>
      </c>
      <c r="J7993" s="476"/>
      <c r="K7993" s="1237" t="s">
        <v>2167</v>
      </c>
      <c r="L7993" s="431"/>
      <c r="M7993" s="431"/>
      <c r="N7993" s="431"/>
    </row>
    <row r="7994" spans="1:14" s="398" customFormat="1" ht="34.5" hidden="1" outlineLevel="1">
      <c r="A7994" s="1250"/>
      <c r="B7994" s="425" t="s">
        <v>569</v>
      </c>
      <c r="C7994" s="1412" t="s">
        <v>1</v>
      </c>
      <c r="D7994" s="437">
        <v>2</v>
      </c>
      <c r="E7994" s="165">
        <v>1</v>
      </c>
      <c r="F7994" s="401">
        <v>15</v>
      </c>
      <c r="G7994" s="401"/>
      <c r="H7994" s="401">
        <v>0.2</v>
      </c>
      <c r="I7994" s="1129">
        <f t="shared" si="280"/>
        <v>6</v>
      </c>
      <c r="J7994" s="476"/>
      <c r="K7994" s="1237" t="s">
        <v>2167</v>
      </c>
      <c r="L7994" s="431"/>
      <c r="M7994" s="431"/>
      <c r="N7994" s="431"/>
    </row>
    <row r="7995" spans="1:14" s="398" customFormat="1" hidden="1" outlineLevel="1">
      <c r="A7995" s="1250"/>
      <c r="B7995" s="425"/>
      <c r="C7995" s="1412"/>
      <c r="D7995" s="437"/>
      <c r="E7995" s="165"/>
      <c r="F7995" s="401"/>
      <c r="G7995" s="401"/>
      <c r="H7995" s="401"/>
      <c r="I7995" s="1129" t="str">
        <f t="shared" si="280"/>
        <v/>
      </c>
      <c r="J7995" s="476"/>
      <c r="K7995" s="1237" t="s">
        <v>2167</v>
      </c>
      <c r="L7995" s="431"/>
      <c r="M7995" s="431"/>
      <c r="N7995" s="431"/>
    </row>
    <row r="7996" spans="1:14" s="398" customFormat="1" ht="34.5" hidden="1" outlineLevel="1">
      <c r="A7996" s="1250"/>
      <c r="B7996" s="425" t="s">
        <v>570</v>
      </c>
      <c r="C7996" s="1412"/>
      <c r="D7996" s="437"/>
      <c r="E7996" s="165"/>
      <c r="F7996" s="401"/>
      <c r="G7996" s="401"/>
      <c r="H7996" s="401"/>
      <c r="I7996" s="1129" t="str">
        <f t="shared" si="280"/>
        <v/>
      </c>
      <c r="J7996" s="476"/>
      <c r="K7996" s="1237" t="s">
        <v>2167</v>
      </c>
      <c r="L7996" s="431"/>
      <c r="M7996" s="431"/>
      <c r="N7996" s="431"/>
    </row>
    <row r="7997" spans="1:14" s="398" customFormat="1" hidden="1" outlineLevel="1">
      <c r="A7997" s="1250"/>
      <c r="B7997" s="425" t="s">
        <v>251</v>
      </c>
      <c r="C7997" s="1412" t="s">
        <v>1</v>
      </c>
      <c r="D7997" s="437">
        <v>2</v>
      </c>
      <c r="E7997" s="165">
        <v>2</v>
      </c>
      <c r="F7997" s="401">
        <v>27.54</v>
      </c>
      <c r="G7997" s="401"/>
      <c r="H7997" s="401">
        <v>0.2</v>
      </c>
      <c r="I7997" s="1129">
        <f t="shared" si="280"/>
        <v>22.03</v>
      </c>
      <c r="J7997" s="476"/>
      <c r="K7997" s="1237" t="s">
        <v>2167</v>
      </c>
      <c r="L7997" s="431"/>
      <c r="M7997" s="431"/>
      <c r="N7997" s="431"/>
    </row>
    <row r="7998" spans="1:14" s="398" customFormat="1" hidden="1" outlineLevel="1">
      <c r="A7998" s="1250"/>
      <c r="B7998" s="425"/>
      <c r="C7998" s="1412"/>
      <c r="D7998" s="437"/>
      <c r="E7998" s="165"/>
      <c r="F7998" s="401"/>
      <c r="G7998" s="401"/>
      <c r="H7998" s="401"/>
      <c r="I7998" s="1129" t="str">
        <f t="shared" si="280"/>
        <v/>
      </c>
      <c r="J7998" s="476"/>
      <c r="K7998" s="1237" t="s">
        <v>2167</v>
      </c>
      <c r="L7998" s="431"/>
      <c r="M7998" s="431"/>
      <c r="N7998" s="431"/>
    </row>
    <row r="7999" spans="1:14" s="398" customFormat="1" hidden="1" outlineLevel="1">
      <c r="A7999" s="1250"/>
      <c r="B7999" s="425" t="s">
        <v>131</v>
      </c>
      <c r="C7999" s="1412" t="s">
        <v>1</v>
      </c>
      <c r="D7999" s="437">
        <v>2</v>
      </c>
      <c r="E7999" s="165">
        <v>2</v>
      </c>
      <c r="F7999" s="401">
        <v>14.65</v>
      </c>
      <c r="G7999" s="401"/>
      <c r="H7999" s="401">
        <v>0.2</v>
      </c>
      <c r="I7999" s="1129">
        <f t="shared" si="280"/>
        <v>11.72</v>
      </c>
      <c r="J7999" s="476"/>
      <c r="K7999" s="1237" t="s">
        <v>2167</v>
      </c>
      <c r="L7999" s="431"/>
      <c r="M7999" s="431"/>
      <c r="N7999" s="431"/>
    </row>
    <row r="8000" spans="1:14" s="398" customFormat="1" hidden="1" outlineLevel="1">
      <c r="A8000" s="1250"/>
      <c r="B8000" s="425"/>
      <c r="C8000" s="1412"/>
      <c r="D8000" s="437"/>
      <c r="E8000" s="165"/>
      <c r="F8000" s="401"/>
      <c r="G8000" s="401"/>
      <c r="H8000" s="401"/>
      <c r="I8000" s="399" t="str">
        <f t="shared" si="280"/>
        <v/>
      </c>
      <c r="J8000" s="476"/>
      <c r="K8000" s="1237"/>
      <c r="L8000" s="431"/>
      <c r="M8000" s="431"/>
      <c r="N8000" s="431"/>
    </row>
    <row r="8001" spans="1:14" s="398" customFormat="1" hidden="1" outlineLevel="1">
      <c r="A8001" s="1250"/>
      <c r="B8001" s="425" t="s">
        <v>140</v>
      </c>
      <c r="C8001" s="1412" t="s">
        <v>1</v>
      </c>
      <c r="D8001" s="437">
        <v>2</v>
      </c>
      <c r="E8001" s="165">
        <v>2</v>
      </c>
      <c r="F8001" s="401">
        <v>3.3</v>
      </c>
      <c r="G8001" s="401"/>
      <c r="H8001" s="401">
        <v>0.2</v>
      </c>
      <c r="I8001" s="1165">
        <f t="shared" si="280"/>
        <v>2.64</v>
      </c>
      <c r="J8001" s="476"/>
      <c r="K8001" s="1237" t="s">
        <v>2168</v>
      </c>
      <c r="L8001" s="431"/>
      <c r="M8001" s="431"/>
      <c r="N8001" s="431"/>
    </row>
    <row r="8002" spans="1:14" s="398" customFormat="1" hidden="1" outlineLevel="1">
      <c r="A8002" s="1250"/>
      <c r="B8002" s="425"/>
      <c r="C8002" s="1412"/>
      <c r="D8002" s="437"/>
      <c r="E8002" s="165"/>
      <c r="F8002" s="401"/>
      <c r="G8002" s="401"/>
      <c r="H8002" s="401"/>
      <c r="I8002" s="399" t="str">
        <f t="shared" si="280"/>
        <v/>
      </c>
      <c r="J8002" s="476"/>
      <c r="K8002" s="1237"/>
      <c r="L8002" s="431"/>
      <c r="M8002" s="431"/>
      <c r="N8002" s="431"/>
    </row>
    <row r="8003" spans="1:14" s="398" customFormat="1" hidden="1" outlineLevel="1">
      <c r="A8003" s="1250"/>
      <c r="B8003" s="425"/>
      <c r="C8003" s="1412"/>
      <c r="D8003" s="437"/>
      <c r="E8003" s="165"/>
      <c r="F8003" s="401"/>
      <c r="G8003" s="401"/>
      <c r="H8003" s="401"/>
      <c r="I8003" s="399" t="str">
        <f t="shared" si="280"/>
        <v/>
      </c>
      <c r="J8003" s="476"/>
      <c r="K8003" s="1237"/>
      <c r="L8003" s="431"/>
      <c r="M8003" s="431"/>
      <c r="N8003" s="431"/>
    </row>
    <row r="8004" spans="1:14" s="398" customFormat="1" ht="34.5" hidden="1" outlineLevel="1">
      <c r="A8004" s="1250"/>
      <c r="B8004" s="425" t="s">
        <v>570</v>
      </c>
      <c r="C8004" s="1412"/>
      <c r="D8004" s="437"/>
      <c r="E8004" s="165"/>
      <c r="F8004" s="401"/>
      <c r="G8004" s="401"/>
      <c r="H8004" s="401"/>
      <c r="I8004" s="399" t="str">
        <f t="shared" si="280"/>
        <v/>
      </c>
      <c r="J8004" s="476"/>
      <c r="K8004" s="1237"/>
      <c r="L8004" s="431"/>
      <c r="M8004" s="431"/>
      <c r="N8004" s="431"/>
    </row>
    <row r="8005" spans="1:14" s="398" customFormat="1" hidden="1" outlineLevel="1">
      <c r="A8005" s="1250"/>
      <c r="B8005" s="425"/>
      <c r="C8005" s="1412"/>
      <c r="D8005" s="437"/>
      <c r="E8005" s="165"/>
      <c r="F8005" s="401"/>
      <c r="G8005" s="401"/>
      <c r="H8005" s="401"/>
      <c r="I8005" s="399" t="str">
        <f t="shared" si="280"/>
        <v/>
      </c>
      <c r="J8005" s="476"/>
      <c r="K8005" s="1237"/>
      <c r="L8005" s="431"/>
      <c r="M8005" s="431"/>
      <c r="N8005" s="431"/>
    </row>
    <row r="8006" spans="1:14" s="398" customFormat="1" hidden="1" outlineLevel="1">
      <c r="A8006" s="1250"/>
      <c r="B8006" s="425" t="s">
        <v>146</v>
      </c>
      <c r="C8006" s="1412" t="s">
        <v>1</v>
      </c>
      <c r="D8006" s="437">
        <v>2</v>
      </c>
      <c r="E8006" s="165">
        <v>1</v>
      </c>
      <c r="F8006" s="401">
        <v>31.4</v>
      </c>
      <c r="G8006" s="401"/>
      <c r="H8006" s="401">
        <v>0.2</v>
      </c>
      <c r="I8006" s="1129">
        <f t="shared" si="280"/>
        <v>12.56</v>
      </c>
      <c r="J8006" s="476"/>
      <c r="K8006" s="1237" t="s">
        <v>2167</v>
      </c>
      <c r="L8006" s="431"/>
      <c r="M8006" s="431"/>
      <c r="N8006" s="431"/>
    </row>
    <row r="8007" spans="1:14" s="398" customFormat="1" hidden="1" outlineLevel="1">
      <c r="A8007" s="1250"/>
      <c r="B8007" s="425"/>
      <c r="C8007" s="1412"/>
      <c r="D8007" s="437"/>
      <c r="E8007" s="165"/>
      <c r="F8007" s="401"/>
      <c r="G8007" s="401"/>
      <c r="H8007" s="401"/>
      <c r="I8007" s="1129" t="str">
        <f t="shared" si="280"/>
        <v/>
      </c>
      <c r="J8007" s="476"/>
      <c r="K8007" s="1237" t="s">
        <v>2167</v>
      </c>
      <c r="L8007" s="431"/>
      <c r="M8007" s="431"/>
      <c r="N8007" s="431"/>
    </row>
    <row r="8008" spans="1:14" s="398" customFormat="1" hidden="1" outlineLevel="1">
      <c r="A8008" s="1250"/>
      <c r="B8008" s="425" t="s">
        <v>147</v>
      </c>
      <c r="C8008" s="1412" t="s">
        <v>1</v>
      </c>
      <c r="D8008" s="437">
        <v>2</v>
      </c>
      <c r="E8008" s="165">
        <v>1</v>
      </c>
      <c r="F8008" s="401">
        <v>42.55</v>
      </c>
      <c r="G8008" s="401"/>
      <c r="H8008" s="401">
        <v>0.2</v>
      </c>
      <c r="I8008" s="1129">
        <f t="shared" si="280"/>
        <v>17.02</v>
      </c>
      <c r="J8008" s="476"/>
      <c r="K8008" s="1237" t="s">
        <v>2167</v>
      </c>
      <c r="L8008" s="431"/>
      <c r="M8008" s="431"/>
      <c r="N8008" s="431"/>
    </row>
    <row r="8009" spans="1:14" s="398" customFormat="1" hidden="1" outlineLevel="1">
      <c r="A8009" s="1250"/>
      <c r="B8009" s="425"/>
      <c r="C8009" s="1412"/>
      <c r="D8009" s="437"/>
      <c r="E8009" s="165"/>
      <c r="F8009" s="401"/>
      <c r="G8009" s="401"/>
      <c r="H8009" s="401"/>
      <c r="I8009" s="1129" t="str">
        <f t="shared" si="280"/>
        <v/>
      </c>
      <c r="J8009" s="476"/>
      <c r="K8009" s="1237" t="s">
        <v>2167</v>
      </c>
      <c r="L8009" s="431"/>
      <c r="M8009" s="431"/>
      <c r="N8009" s="431"/>
    </row>
    <row r="8010" spans="1:14" s="398" customFormat="1" ht="34.5" hidden="1" outlineLevel="1">
      <c r="A8010" s="1250"/>
      <c r="B8010" s="425" t="s">
        <v>584</v>
      </c>
      <c r="C8010" s="1412"/>
      <c r="D8010" s="437"/>
      <c r="E8010" s="165"/>
      <c r="F8010" s="401"/>
      <c r="G8010" s="401"/>
      <c r="H8010" s="401"/>
      <c r="I8010" s="1129" t="str">
        <f t="shared" si="280"/>
        <v/>
      </c>
      <c r="J8010" s="476"/>
      <c r="K8010" s="1237" t="s">
        <v>2167</v>
      </c>
      <c r="L8010" s="431"/>
      <c r="M8010" s="431"/>
      <c r="N8010" s="431"/>
    </row>
    <row r="8011" spans="1:14" s="398" customFormat="1" hidden="1" outlineLevel="1">
      <c r="A8011" s="1250"/>
      <c r="B8011" s="425"/>
      <c r="C8011" s="1412" t="s">
        <v>1</v>
      </c>
      <c r="D8011" s="437">
        <v>2</v>
      </c>
      <c r="E8011" s="165">
        <v>1</v>
      </c>
      <c r="F8011" s="401">
        <v>15.157999999999999</v>
      </c>
      <c r="G8011" s="401"/>
      <c r="H8011" s="401">
        <v>0.2</v>
      </c>
      <c r="I8011" s="1129">
        <f t="shared" si="280"/>
        <v>6.06</v>
      </c>
      <c r="J8011" s="476"/>
      <c r="K8011" s="1237" t="s">
        <v>2167</v>
      </c>
      <c r="L8011" s="431"/>
      <c r="M8011" s="431"/>
      <c r="N8011" s="431"/>
    </row>
    <row r="8012" spans="1:14" s="398" customFormat="1" hidden="1" outlineLevel="1">
      <c r="A8012" s="1250"/>
      <c r="B8012" s="425"/>
      <c r="C8012" s="1412"/>
      <c r="D8012" s="437"/>
      <c r="E8012" s="165"/>
      <c r="F8012" s="401"/>
      <c r="G8012" s="401"/>
      <c r="H8012" s="401"/>
      <c r="I8012" s="1129" t="str">
        <f t="shared" si="280"/>
        <v/>
      </c>
      <c r="J8012" s="476"/>
      <c r="K8012" s="1237" t="s">
        <v>2167</v>
      </c>
      <c r="L8012" s="431"/>
      <c r="M8012" s="431"/>
      <c r="N8012" s="431"/>
    </row>
    <row r="8013" spans="1:14" s="398" customFormat="1" hidden="1" outlineLevel="1">
      <c r="A8013" s="1250"/>
      <c r="B8013" s="425"/>
      <c r="C8013" s="1412" t="s">
        <v>1</v>
      </c>
      <c r="D8013" s="437">
        <v>2</v>
      </c>
      <c r="E8013" s="165">
        <v>1</v>
      </c>
      <c r="F8013" s="401">
        <v>0.52500000000000002</v>
      </c>
      <c r="G8013" s="401"/>
      <c r="H8013" s="401">
        <v>0.2</v>
      </c>
      <c r="I8013" s="1129">
        <f t="shared" si="280"/>
        <v>0.21</v>
      </c>
      <c r="J8013" s="476"/>
      <c r="K8013" s="1237" t="s">
        <v>2167</v>
      </c>
      <c r="L8013" s="431"/>
      <c r="M8013" s="431"/>
      <c r="N8013" s="431"/>
    </row>
    <row r="8014" spans="1:14" s="398" customFormat="1" hidden="1" outlineLevel="1">
      <c r="A8014" s="1250"/>
      <c r="B8014" s="425"/>
      <c r="C8014" s="1412"/>
      <c r="D8014" s="437"/>
      <c r="E8014" s="165"/>
      <c r="F8014" s="401"/>
      <c r="G8014" s="401"/>
      <c r="H8014" s="401"/>
      <c r="I8014" s="1129" t="str">
        <f t="shared" si="280"/>
        <v/>
      </c>
      <c r="J8014" s="476"/>
      <c r="K8014" s="1237" t="s">
        <v>2167</v>
      </c>
      <c r="L8014" s="431"/>
      <c r="M8014" s="431"/>
      <c r="N8014" s="431"/>
    </row>
    <row r="8015" spans="1:14" s="398" customFormat="1" hidden="1" outlineLevel="1">
      <c r="A8015" s="1250"/>
      <c r="B8015" s="425"/>
      <c r="C8015" s="1412" t="s">
        <v>1</v>
      </c>
      <c r="D8015" s="437">
        <v>2</v>
      </c>
      <c r="E8015" s="165">
        <v>1</v>
      </c>
      <c r="F8015" s="401">
        <v>33.295000000000002</v>
      </c>
      <c r="G8015" s="401"/>
      <c r="H8015" s="401">
        <v>0.2</v>
      </c>
      <c r="I8015" s="1129">
        <f t="shared" si="280"/>
        <v>13.32</v>
      </c>
      <c r="J8015" s="476"/>
      <c r="K8015" s="1237" t="s">
        <v>2167</v>
      </c>
      <c r="L8015" s="431"/>
      <c r="M8015" s="431"/>
      <c r="N8015" s="431"/>
    </row>
    <row r="8016" spans="1:14" s="398" customFormat="1" hidden="1" outlineLevel="1">
      <c r="A8016" s="1250"/>
      <c r="B8016" s="425"/>
      <c r="C8016" s="1412"/>
      <c r="D8016" s="437"/>
      <c r="E8016" s="165"/>
      <c r="F8016" s="401"/>
      <c r="G8016" s="401"/>
      <c r="H8016" s="401"/>
      <c r="I8016" s="1129" t="str">
        <f t="shared" si="280"/>
        <v/>
      </c>
      <c r="J8016" s="476"/>
      <c r="K8016" s="1237" t="s">
        <v>2167</v>
      </c>
      <c r="L8016" s="431"/>
      <c r="M8016" s="431"/>
      <c r="N8016" s="431"/>
    </row>
    <row r="8017" spans="1:14" s="398" customFormat="1" hidden="1" outlineLevel="1">
      <c r="A8017" s="1250"/>
      <c r="B8017" s="425"/>
      <c r="C8017" s="1412" t="s">
        <v>1</v>
      </c>
      <c r="D8017" s="437">
        <v>2</v>
      </c>
      <c r="E8017" s="165">
        <v>1</v>
      </c>
      <c r="F8017" s="401">
        <v>1.4950000000000001</v>
      </c>
      <c r="G8017" s="401"/>
      <c r="H8017" s="401">
        <v>0.2</v>
      </c>
      <c r="I8017" s="1129">
        <f t="shared" si="280"/>
        <v>0.6</v>
      </c>
      <c r="J8017" s="476"/>
      <c r="K8017" s="1237" t="s">
        <v>2167</v>
      </c>
      <c r="L8017" s="431"/>
      <c r="M8017" s="431"/>
      <c r="N8017" s="431"/>
    </row>
    <row r="8018" spans="1:14" s="398" customFormat="1" hidden="1" outlineLevel="1">
      <c r="A8018" s="1250"/>
      <c r="B8018" s="425"/>
      <c r="C8018" s="1412"/>
      <c r="D8018" s="437"/>
      <c r="E8018" s="165"/>
      <c r="F8018" s="401"/>
      <c r="G8018" s="401"/>
      <c r="H8018" s="401"/>
      <c r="I8018" s="1129" t="str">
        <f t="shared" si="280"/>
        <v/>
      </c>
      <c r="J8018" s="476"/>
      <c r="K8018" s="1237" t="s">
        <v>2167</v>
      </c>
      <c r="L8018" s="431"/>
      <c r="M8018" s="431"/>
      <c r="N8018" s="431"/>
    </row>
    <row r="8019" spans="1:14" s="398" customFormat="1" hidden="1" outlineLevel="1">
      <c r="A8019" s="1250"/>
      <c r="B8019" s="425"/>
      <c r="C8019" s="1412" t="s">
        <v>1</v>
      </c>
      <c r="D8019" s="437">
        <v>2</v>
      </c>
      <c r="E8019" s="165">
        <v>1</v>
      </c>
      <c r="F8019" s="401">
        <v>1.56</v>
      </c>
      <c r="G8019" s="401"/>
      <c r="H8019" s="401">
        <v>0.2</v>
      </c>
      <c r="I8019" s="1129">
        <f t="shared" si="280"/>
        <v>0.62</v>
      </c>
      <c r="J8019" s="476"/>
      <c r="K8019" s="1237" t="s">
        <v>2167</v>
      </c>
      <c r="L8019" s="431"/>
      <c r="M8019" s="431"/>
      <c r="N8019" s="431"/>
    </row>
    <row r="8020" spans="1:14" s="398" customFormat="1" hidden="1" outlineLevel="1">
      <c r="A8020" s="1250"/>
      <c r="B8020" s="425"/>
      <c r="C8020" s="1412"/>
      <c r="D8020" s="437"/>
      <c r="E8020" s="165"/>
      <c r="F8020" s="401"/>
      <c r="G8020" s="401"/>
      <c r="H8020" s="401"/>
      <c r="I8020" s="1129" t="str">
        <f t="shared" si="280"/>
        <v/>
      </c>
      <c r="J8020" s="476"/>
      <c r="K8020" s="1237" t="s">
        <v>2167</v>
      </c>
      <c r="L8020" s="431"/>
      <c r="M8020" s="431"/>
      <c r="N8020" s="431"/>
    </row>
    <row r="8021" spans="1:14" s="398" customFormat="1" hidden="1" outlineLevel="1">
      <c r="A8021" s="1250"/>
      <c r="B8021" s="425"/>
      <c r="C8021" s="1412" t="s">
        <v>1</v>
      </c>
      <c r="D8021" s="437">
        <v>2</v>
      </c>
      <c r="E8021" s="165">
        <v>1</v>
      </c>
      <c r="F8021" s="401">
        <v>0.99</v>
      </c>
      <c r="G8021" s="401"/>
      <c r="H8021" s="401">
        <v>0.2</v>
      </c>
      <c r="I8021" s="1129">
        <f t="shared" si="280"/>
        <v>0.4</v>
      </c>
      <c r="J8021" s="476"/>
      <c r="K8021" s="1237" t="s">
        <v>2167</v>
      </c>
      <c r="L8021" s="431"/>
      <c r="M8021" s="431"/>
      <c r="N8021" s="431"/>
    </row>
    <row r="8022" spans="1:14" s="398" customFormat="1" hidden="1" outlineLevel="1">
      <c r="A8022" s="1250"/>
      <c r="B8022" s="425"/>
      <c r="C8022" s="1412"/>
      <c r="D8022" s="437"/>
      <c r="E8022" s="165"/>
      <c r="F8022" s="401"/>
      <c r="G8022" s="401"/>
      <c r="H8022" s="401"/>
      <c r="I8022" s="1129" t="str">
        <f t="shared" si="280"/>
        <v/>
      </c>
      <c r="J8022" s="476"/>
      <c r="K8022" s="1237" t="s">
        <v>2167</v>
      </c>
      <c r="L8022" s="431"/>
      <c r="M8022" s="431"/>
      <c r="N8022" s="431"/>
    </row>
    <row r="8023" spans="1:14" s="398" customFormat="1" hidden="1" outlineLevel="1">
      <c r="A8023" s="1250"/>
      <c r="B8023" s="425"/>
      <c r="C8023" s="1412" t="s">
        <v>1</v>
      </c>
      <c r="D8023" s="437">
        <v>2</v>
      </c>
      <c r="E8023" s="165">
        <v>1</v>
      </c>
      <c r="F8023" s="401">
        <v>3.83</v>
      </c>
      <c r="G8023" s="401"/>
      <c r="H8023" s="401">
        <v>0.2</v>
      </c>
      <c r="I8023" s="1129">
        <f t="shared" si="280"/>
        <v>1.53</v>
      </c>
      <c r="J8023" s="476"/>
      <c r="K8023" s="1237" t="s">
        <v>2167</v>
      </c>
      <c r="L8023" s="431"/>
      <c r="M8023" s="431"/>
      <c r="N8023" s="431"/>
    </row>
    <row r="8024" spans="1:14" s="398" customFormat="1" hidden="1" outlineLevel="1">
      <c r="A8024" s="1250"/>
      <c r="B8024" s="425"/>
      <c r="C8024" s="1412"/>
      <c r="D8024" s="437"/>
      <c r="E8024" s="165"/>
      <c r="F8024" s="401"/>
      <c r="G8024" s="401"/>
      <c r="H8024" s="401"/>
      <c r="I8024" s="1129" t="str">
        <f t="shared" si="280"/>
        <v/>
      </c>
      <c r="J8024" s="476"/>
      <c r="K8024" s="1237" t="s">
        <v>2167</v>
      </c>
      <c r="L8024" s="431"/>
      <c r="M8024" s="431"/>
      <c r="N8024" s="431"/>
    </row>
    <row r="8025" spans="1:14" s="398" customFormat="1" ht="34.5" hidden="1" outlineLevel="1">
      <c r="A8025" s="1250"/>
      <c r="B8025" s="425" t="s">
        <v>585</v>
      </c>
      <c r="C8025" s="1412"/>
      <c r="D8025" s="437"/>
      <c r="E8025" s="165"/>
      <c r="F8025" s="401"/>
      <c r="G8025" s="401"/>
      <c r="H8025" s="401"/>
      <c r="I8025" s="1129" t="str">
        <f t="shared" si="280"/>
        <v/>
      </c>
      <c r="J8025" s="476"/>
      <c r="K8025" s="1237" t="s">
        <v>2167</v>
      </c>
      <c r="L8025" s="431"/>
      <c r="M8025" s="431"/>
      <c r="N8025" s="431"/>
    </row>
    <row r="8026" spans="1:14" s="398" customFormat="1" hidden="1" outlineLevel="1">
      <c r="A8026" s="1250"/>
      <c r="B8026" s="425"/>
      <c r="C8026" s="1412"/>
      <c r="D8026" s="437"/>
      <c r="E8026" s="165"/>
      <c r="F8026" s="401"/>
      <c r="G8026" s="401"/>
      <c r="H8026" s="401"/>
      <c r="I8026" s="1129" t="str">
        <f t="shared" si="280"/>
        <v/>
      </c>
      <c r="J8026" s="476"/>
      <c r="K8026" s="1237" t="s">
        <v>2167</v>
      </c>
      <c r="L8026" s="431"/>
      <c r="M8026" s="431"/>
      <c r="N8026" s="431"/>
    </row>
    <row r="8027" spans="1:14" s="398" customFormat="1" hidden="1" outlineLevel="1">
      <c r="A8027" s="1250"/>
      <c r="B8027" s="425"/>
      <c r="C8027" s="1412" t="s">
        <v>1</v>
      </c>
      <c r="D8027" s="437">
        <v>2</v>
      </c>
      <c r="E8027" s="165">
        <v>1</v>
      </c>
      <c r="F8027" s="401">
        <v>0.39</v>
      </c>
      <c r="G8027" s="401"/>
      <c r="H8027" s="401">
        <v>0.2</v>
      </c>
      <c r="I8027" s="1129">
        <f t="shared" si="280"/>
        <v>0.16</v>
      </c>
      <c r="J8027" s="476"/>
      <c r="K8027" s="1237" t="s">
        <v>2167</v>
      </c>
      <c r="L8027" s="431"/>
      <c r="M8027" s="431"/>
      <c r="N8027" s="431"/>
    </row>
    <row r="8028" spans="1:14" s="398" customFormat="1" hidden="1" outlineLevel="1">
      <c r="A8028" s="1250"/>
      <c r="B8028" s="425"/>
      <c r="C8028" s="1412"/>
      <c r="D8028" s="437"/>
      <c r="E8028" s="165"/>
      <c r="F8028" s="401"/>
      <c r="G8028" s="401"/>
      <c r="H8028" s="401"/>
      <c r="I8028" s="1129" t="str">
        <f t="shared" si="280"/>
        <v/>
      </c>
      <c r="J8028" s="476"/>
      <c r="K8028" s="1237" t="s">
        <v>2167</v>
      </c>
      <c r="L8028" s="431"/>
      <c r="M8028" s="431"/>
      <c r="N8028" s="431"/>
    </row>
    <row r="8029" spans="1:14" s="398" customFormat="1" hidden="1" outlineLevel="1">
      <c r="A8029" s="1250"/>
      <c r="B8029" s="425"/>
      <c r="C8029" s="1412" t="s">
        <v>1</v>
      </c>
      <c r="D8029" s="437">
        <v>2</v>
      </c>
      <c r="E8029" s="165">
        <v>1</v>
      </c>
      <c r="F8029" s="401">
        <v>15.46</v>
      </c>
      <c r="G8029" s="401"/>
      <c r="H8029" s="401">
        <v>0.2</v>
      </c>
      <c r="I8029" s="1129">
        <f t="shared" si="280"/>
        <v>6.18</v>
      </c>
      <c r="J8029" s="476"/>
      <c r="K8029" s="1237" t="s">
        <v>2167</v>
      </c>
      <c r="L8029" s="431"/>
      <c r="M8029" s="431"/>
      <c r="N8029" s="431"/>
    </row>
    <row r="8030" spans="1:14" s="398" customFormat="1" hidden="1" outlineLevel="1">
      <c r="A8030" s="1250"/>
      <c r="B8030" s="425" t="s">
        <v>571</v>
      </c>
      <c r="C8030" s="1412"/>
      <c r="D8030" s="437"/>
      <c r="E8030" s="165"/>
      <c r="F8030" s="401"/>
      <c r="G8030" s="401"/>
      <c r="H8030" s="401"/>
      <c r="I8030" s="1129" t="str">
        <f t="shared" si="280"/>
        <v/>
      </c>
      <c r="J8030" s="476"/>
      <c r="K8030" s="1237" t="s">
        <v>2167</v>
      </c>
      <c r="L8030" s="431"/>
      <c r="M8030" s="431"/>
      <c r="N8030" s="431"/>
    </row>
    <row r="8031" spans="1:14" s="398" customFormat="1" hidden="1" outlineLevel="1">
      <c r="A8031" s="1250"/>
      <c r="B8031" s="425"/>
      <c r="C8031" s="1412"/>
      <c r="D8031" s="437"/>
      <c r="E8031" s="165"/>
      <c r="F8031" s="401"/>
      <c r="G8031" s="401"/>
      <c r="H8031" s="401"/>
      <c r="I8031" s="1129" t="str">
        <f t="shared" si="280"/>
        <v/>
      </c>
      <c r="J8031" s="476"/>
      <c r="K8031" s="1237" t="s">
        <v>2167</v>
      </c>
      <c r="L8031" s="431"/>
      <c r="M8031" s="431"/>
      <c r="N8031" s="431"/>
    </row>
    <row r="8032" spans="1:14" s="398" customFormat="1" ht="34.5" hidden="1" outlineLevel="1">
      <c r="A8032" s="1250"/>
      <c r="B8032" s="425" t="s">
        <v>572</v>
      </c>
      <c r="C8032" s="1412" t="s">
        <v>1</v>
      </c>
      <c r="D8032" s="437">
        <v>2</v>
      </c>
      <c r="E8032" s="165">
        <v>2</v>
      </c>
      <c r="F8032" s="401">
        <v>29.32</v>
      </c>
      <c r="G8032" s="401"/>
      <c r="H8032" s="401">
        <v>0.2</v>
      </c>
      <c r="I8032" s="1129">
        <f t="shared" si="280"/>
        <v>23.46</v>
      </c>
      <c r="J8032" s="476"/>
      <c r="K8032" s="1237" t="s">
        <v>2167</v>
      </c>
      <c r="L8032" s="431"/>
      <c r="M8032" s="431"/>
      <c r="N8032" s="431"/>
    </row>
    <row r="8033" spans="1:14" s="398" customFormat="1" hidden="1" outlineLevel="1">
      <c r="A8033" s="1250"/>
      <c r="B8033" s="425"/>
      <c r="C8033" s="1412"/>
      <c r="D8033" s="437"/>
      <c r="E8033" s="165"/>
      <c r="F8033" s="401"/>
      <c r="G8033" s="401"/>
      <c r="H8033" s="401"/>
      <c r="I8033" s="1129" t="str">
        <f t="shared" ref="I8033:I8096" si="281">IF(D8033&lt;&gt;0,ROUND(PRODUCT(E8033:H8033)*D8033,2),"")</f>
        <v/>
      </c>
      <c r="J8033" s="476"/>
      <c r="K8033" s="1237" t="s">
        <v>2167</v>
      </c>
      <c r="L8033" s="431"/>
      <c r="M8033" s="431"/>
      <c r="N8033" s="431"/>
    </row>
    <row r="8034" spans="1:14" s="398" customFormat="1" hidden="1" outlineLevel="1">
      <c r="A8034" s="1250"/>
      <c r="B8034" s="425"/>
      <c r="C8034" s="1412" t="s">
        <v>1</v>
      </c>
      <c r="D8034" s="437">
        <v>2</v>
      </c>
      <c r="E8034" s="165">
        <v>2</v>
      </c>
      <c r="F8034" s="401">
        <v>0.67</v>
      </c>
      <c r="G8034" s="401"/>
      <c r="H8034" s="401">
        <v>0.2</v>
      </c>
      <c r="I8034" s="1129">
        <f t="shared" si="281"/>
        <v>0.54</v>
      </c>
      <c r="J8034" s="476"/>
      <c r="K8034" s="1237" t="s">
        <v>2167</v>
      </c>
      <c r="L8034" s="431"/>
      <c r="M8034" s="431"/>
      <c r="N8034" s="431"/>
    </row>
    <row r="8035" spans="1:14" s="398" customFormat="1" ht="34.5" hidden="1" outlineLevel="1">
      <c r="A8035" s="1250"/>
      <c r="B8035" s="425" t="s">
        <v>573</v>
      </c>
      <c r="C8035" s="1412"/>
      <c r="D8035" s="437"/>
      <c r="E8035" s="165"/>
      <c r="F8035" s="401"/>
      <c r="G8035" s="401"/>
      <c r="H8035" s="401"/>
      <c r="I8035" s="1129" t="str">
        <f t="shared" si="281"/>
        <v/>
      </c>
      <c r="J8035" s="476"/>
      <c r="K8035" s="1237" t="s">
        <v>2167</v>
      </c>
      <c r="L8035" s="431"/>
      <c r="M8035" s="431"/>
      <c r="N8035" s="431"/>
    </row>
    <row r="8036" spans="1:14" s="398" customFormat="1" hidden="1" outlineLevel="1">
      <c r="A8036" s="1250"/>
      <c r="B8036" s="425"/>
      <c r="C8036" s="1412"/>
      <c r="D8036" s="437"/>
      <c r="E8036" s="165"/>
      <c r="F8036" s="401"/>
      <c r="G8036" s="401"/>
      <c r="H8036" s="401"/>
      <c r="I8036" s="1129" t="str">
        <f t="shared" si="281"/>
        <v/>
      </c>
      <c r="J8036" s="476"/>
      <c r="K8036" s="1237" t="s">
        <v>2167</v>
      </c>
      <c r="L8036" s="431"/>
      <c r="M8036" s="431"/>
      <c r="N8036" s="431"/>
    </row>
    <row r="8037" spans="1:14" s="398" customFormat="1" hidden="1" outlineLevel="1">
      <c r="A8037" s="1250"/>
      <c r="B8037" s="425"/>
      <c r="C8037" s="1412" t="s">
        <v>1</v>
      </c>
      <c r="D8037" s="437">
        <v>2</v>
      </c>
      <c r="E8037" s="165">
        <v>2</v>
      </c>
      <c r="F8037" s="401">
        <v>5.0949999999999998</v>
      </c>
      <c r="G8037" s="401"/>
      <c r="H8037" s="401">
        <v>0.2</v>
      </c>
      <c r="I8037" s="1129">
        <f t="shared" si="281"/>
        <v>4.08</v>
      </c>
      <c r="J8037" s="476"/>
      <c r="K8037" s="1237" t="s">
        <v>2167</v>
      </c>
      <c r="L8037" s="431"/>
      <c r="M8037" s="431"/>
      <c r="N8037" s="431"/>
    </row>
    <row r="8038" spans="1:14" s="398" customFormat="1" hidden="1" outlineLevel="1">
      <c r="A8038" s="1250"/>
      <c r="B8038" s="425"/>
      <c r="C8038" s="1412"/>
      <c r="D8038" s="437"/>
      <c r="E8038" s="165"/>
      <c r="F8038" s="401"/>
      <c r="G8038" s="401"/>
      <c r="H8038" s="401"/>
      <c r="I8038" s="1129" t="str">
        <f t="shared" si="281"/>
        <v/>
      </c>
      <c r="J8038" s="476"/>
      <c r="K8038" s="1237" t="s">
        <v>2167</v>
      </c>
      <c r="L8038" s="431"/>
      <c r="M8038" s="431"/>
      <c r="N8038" s="431"/>
    </row>
    <row r="8039" spans="1:14" s="398" customFormat="1" hidden="1" outlineLevel="1">
      <c r="A8039" s="1250"/>
      <c r="B8039" s="425"/>
      <c r="C8039" s="1412" t="s">
        <v>1</v>
      </c>
      <c r="D8039" s="437">
        <v>2</v>
      </c>
      <c r="E8039" s="165">
        <v>2</v>
      </c>
      <c r="F8039" s="401">
        <v>1.2649999999999999</v>
      </c>
      <c r="G8039" s="401"/>
      <c r="H8039" s="401">
        <v>0.2</v>
      </c>
      <c r="I8039" s="1129">
        <f t="shared" si="281"/>
        <v>1.01</v>
      </c>
      <c r="J8039" s="476"/>
      <c r="K8039" s="1237" t="s">
        <v>2167</v>
      </c>
      <c r="L8039" s="431"/>
      <c r="M8039" s="431"/>
      <c r="N8039" s="431"/>
    </row>
    <row r="8040" spans="1:14" s="398" customFormat="1" hidden="1" outlineLevel="1">
      <c r="A8040" s="1250"/>
      <c r="B8040" s="425"/>
      <c r="C8040" s="1412"/>
      <c r="D8040" s="437"/>
      <c r="E8040" s="165"/>
      <c r="F8040" s="401"/>
      <c r="G8040" s="401"/>
      <c r="H8040" s="401"/>
      <c r="I8040" s="1129" t="str">
        <f t="shared" si="281"/>
        <v/>
      </c>
      <c r="J8040" s="476"/>
      <c r="K8040" s="1237" t="s">
        <v>2167</v>
      </c>
      <c r="L8040" s="431"/>
      <c r="M8040" s="431"/>
      <c r="N8040" s="431"/>
    </row>
    <row r="8041" spans="1:14" s="398" customFormat="1" hidden="1" outlineLevel="1">
      <c r="A8041" s="1250"/>
      <c r="B8041" s="425"/>
      <c r="C8041" s="1412" t="s">
        <v>1</v>
      </c>
      <c r="D8041" s="437">
        <v>2</v>
      </c>
      <c r="E8041" s="165">
        <v>2</v>
      </c>
      <c r="F8041" s="401">
        <v>5.92</v>
      </c>
      <c r="G8041" s="401"/>
      <c r="H8041" s="401">
        <v>0.2</v>
      </c>
      <c r="I8041" s="1129">
        <f t="shared" si="281"/>
        <v>4.74</v>
      </c>
      <c r="J8041" s="476"/>
      <c r="K8041" s="1237" t="s">
        <v>2167</v>
      </c>
      <c r="L8041" s="431"/>
      <c r="M8041" s="431"/>
      <c r="N8041" s="431"/>
    </row>
    <row r="8042" spans="1:14" s="398" customFormat="1" hidden="1" outlineLevel="1">
      <c r="A8042" s="1250"/>
      <c r="B8042" s="425"/>
      <c r="C8042" s="1412"/>
      <c r="D8042" s="437"/>
      <c r="E8042" s="165"/>
      <c r="F8042" s="401"/>
      <c r="G8042" s="401"/>
      <c r="H8042" s="401"/>
      <c r="I8042" s="1129" t="str">
        <f t="shared" si="281"/>
        <v/>
      </c>
      <c r="J8042" s="476"/>
      <c r="K8042" s="1237" t="s">
        <v>2167</v>
      </c>
      <c r="L8042" s="431"/>
      <c r="M8042" s="431"/>
      <c r="N8042" s="431"/>
    </row>
    <row r="8043" spans="1:14" s="398" customFormat="1" hidden="1" outlineLevel="1">
      <c r="A8043" s="1250"/>
      <c r="B8043" s="425"/>
      <c r="C8043" s="1412" t="s">
        <v>1</v>
      </c>
      <c r="D8043" s="437">
        <v>2</v>
      </c>
      <c r="E8043" s="165">
        <v>2</v>
      </c>
      <c r="F8043" s="401">
        <v>1.2649999999999999</v>
      </c>
      <c r="G8043" s="401"/>
      <c r="H8043" s="401">
        <v>0.2</v>
      </c>
      <c r="I8043" s="1129">
        <f t="shared" si="281"/>
        <v>1.01</v>
      </c>
      <c r="J8043" s="476"/>
      <c r="K8043" s="1237" t="s">
        <v>2167</v>
      </c>
      <c r="L8043" s="431"/>
      <c r="M8043" s="431"/>
      <c r="N8043" s="431"/>
    </row>
    <row r="8044" spans="1:14" s="398" customFormat="1" hidden="1" outlineLevel="1">
      <c r="A8044" s="1250"/>
      <c r="B8044" s="425"/>
      <c r="C8044" s="1412"/>
      <c r="D8044" s="437"/>
      <c r="E8044" s="165"/>
      <c r="F8044" s="401"/>
      <c r="G8044" s="401"/>
      <c r="H8044" s="401"/>
      <c r="I8044" s="1129" t="str">
        <f t="shared" si="281"/>
        <v/>
      </c>
      <c r="J8044" s="476"/>
      <c r="K8044" s="1237" t="s">
        <v>2167</v>
      </c>
      <c r="L8044" s="431"/>
      <c r="M8044" s="431"/>
      <c r="N8044" s="431"/>
    </row>
    <row r="8045" spans="1:14" s="398" customFormat="1" hidden="1" outlineLevel="1">
      <c r="A8045" s="1250"/>
      <c r="B8045" s="425"/>
      <c r="C8045" s="1412"/>
      <c r="D8045" s="437"/>
      <c r="E8045" s="165"/>
      <c r="F8045" s="401"/>
      <c r="G8045" s="401"/>
      <c r="H8045" s="401"/>
      <c r="I8045" s="1129" t="str">
        <f t="shared" si="281"/>
        <v/>
      </c>
      <c r="J8045" s="476"/>
      <c r="K8045" s="1237" t="s">
        <v>2167</v>
      </c>
      <c r="L8045" s="431"/>
      <c r="M8045" s="431"/>
      <c r="N8045" s="431"/>
    </row>
    <row r="8046" spans="1:14" s="398" customFormat="1" ht="34.5" hidden="1" outlineLevel="1">
      <c r="A8046" s="1250"/>
      <c r="B8046" s="425" t="s">
        <v>574</v>
      </c>
      <c r="C8046" s="1412"/>
      <c r="D8046" s="437"/>
      <c r="E8046" s="165"/>
      <c r="F8046" s="401"/>
      <c r="G8046" s="401"/>
      <c r="H8046" s="401"/>
      <c r="I8046" s="1129" t="str">
        <f t="shared" si="281"/>
        <v/>
      </c>
      <c r="J8046" s="476"/>
      <c r="K8046" s="1237" t="s">
        <v>2167</v>
      </c>
      <c r="L8046" s="431"/>
      <c r="M8046" s="431"/>
      <c r="N8046" s="431"/>
    </row>
    <row r="8047" spans="1:14" s="398" customFormat="1" hidden="1" outlineLevel="1">
      <c r="A8047" s="1250"/>
      <c r="B8047" s="425"/>
      <c r="C8047" s="1412"/>
      <c r="D8047" s="437"/>
      <c r="E8047" s="165"/>
      <c r="F8047" s="401"/>
      <c r="G8047" s="401"/>
      <c r="H8047" s="401"/>
      <c r="I8047" s="1129" t="str">
        <f t="shared" si="281"/>
        <v/>
      </c>
      <c r="J8047" s="476"/>
      <c r="K8047" s="1237" t="s">
        <v>2167</v>
      </c>
      <c r="L8047" s="431"/>
      <c r="M8047" s="431"/>
      <c r="N8047" s="431"/>
    </row>
    <row r="8048" spans="1:14" s="398" customFormat="1" hidden="1" outlineLevel="1">
      <c r="A8048" s="1250"/>
      <c r="B8048" s="425"/>
      <c r="C8048" s="1412" t="s">
        <v>1</v>
      </c>
      <c r="D8048" s="437">
        <v>2</v>
      </c>
      <c r="E8048" s="165">
        <v>3</v>
      </c>
      <c r="F8048" s="401">
        <v>7.625</v>
      </c>
      <c r="G8048" s="401"/>
      <c r="H8048" s="401">
        <v>0.2</v>
      </c>
      <c r="I8048" s="1129">
        <f t="shared" si="281"/>
        <v>9.15</v>
      </c>
      <c r="J8048" s="476"/>
      <c r="K8048" s="1237" t="s">
        <v>2167</v>
      </c>
      <c r="L8048" s="431"/>
      <c r="M8048" s="431"/>
      <c r="N8048" s="431"/>
    </row>
    <row r="8049" spans="1:14" s="398" customFormat="1" hidden="1" outlineLevel="1">
      <c r="A8049" s="1250"/>
      <c r="B8049" s="425"/>
      <c r="C8049" s="1412"/>
      <c r="D8049" s="437"/>
      <c r="E8049" s="165"/>
      <c r="F8049" s="401"/>
      <c r="G8049" s="401"/>
      <c r="H8049" s="401"/>
      <c r="I8049" s="1129" t="str">
        <f t="shared" si="281"/>
        <v/>
      </c>
      <c r="J8049" s="476"/>
      <c r="K8049" s="1237" t="s">
        <v>2167</v>
      </c>
      <c r="L8049" s="431"/>
      <c r="M8049" s="431"/>
      <c r="N8049" s="431"/>
    </row>
    <row r="8050" spans="1:14" s="398" customFormat="1" ht="34.5" hidden="1" outlineLevel="1">
      <c r="A8050" s="1250"/>
      <c r="B8050" s="425" t="s">
        <v>256</v>
      </c>
      <c r="C8050" s="1412"/>
      <c r="D8050" s="437"/>
      <c r="E8050" s="165"/>
      <c r="F8050" s="401"/>
      <c r="G8050" s="401"/>
      <c r="H8050" s="401"/>
      <c r="I8050" s="1129" t="str">
        <f t="shared" si="281"/>
        <v/>
      </c>
      <c r="J8050" s="476"/>
      <c r="K8050" s="1237" t="s">
        <v>2167</v>
      </c>
      <c r="L8050" s="431"/>
      <c r="M8050" s="431"/>
      <c r="N8050" s="431"/>
    </row>
    <row r="8051" spans="1:14" s="398" customFormat="1" hidden="1" outlineLevel="1">
      <c r="A8051" s="1250"/>
      <c r="B8051" s="425"/>
      <c r="C8051" s="1412"/>
      <c r="D8051" s="437"/>
      <c r="E8051" s="165"/>
      <c r="F8051" s="401"/>
      <c r="G8051" s="401"/>
      <c r="H8051" s="401"/>
      <c r="I8051" s="1129" t="str">
        <f t="shared" si="281"/>
        <v/>
      </c>
      <c r="J8051" s="476"/>
      <c r="K8051" s="1237" t="s">
        <v>2167</v>
      </c>
      <c r="L8051" s="431"/>
      <c r="M8051" s="431"/>
      <c r="N8051" s="431"/>
    </row>
    <row r="8052" spans="1:14" s="398" customFormat="1" hidden="1" outlineLevel="1">
      <c r="A8052" s="1250"/>
      <c r="B8052" s="425"/>
      <c r="C8052" s="1412" t="s">
        <v>1</v>
      </c>
      <c r="D8052" s="437">
        <v>2</v>
      </c>
      <c r="E8052" s="165">
        <v>8</v>
      </c>
      <c r="F8052" s="401">
        <v>7.625</v>
      </c>
      <c r="G8052" s="401"/>
      <c r="H8052" s="401">
        <v>0.2</v>
      </c>
      <c r="I8052" s="1129">
        <f t="shared" si="281"/>
        <v>24.4</v>
      </c>
      <c r="J8052" s="476"/>
      <c r="K8052" s="1237" t="s">
        <v>2167</v>
      </c>
      <c r="L8052" s="431"/>
      <c r="M8052" s="431"/>
      <c r="N8052" s="431"/>
    </row>
    <row r="8053" spans="1:14" s="398" customFormat="1" hidden="1" outlineLevel="1">
      <c r="A8053" s="1250"/>
      <c r="B8053" s="425"/>
      <c r="C8053" s="1412"/>
      <c r="D8053" s="437"/>
      <c r="E8053" s="165"/>
      <c r="F8053" s="401"/>
      <c r="G8053" s="401"/>
      <c r="H8053" s="401"/>
      <c r="I8053" s="1129" t="str">
        <f t="shared" si="281"/>
        <v/>
      </c>
      <c r="J8053" s="476"/>
      <c r="K8053" s="1237" t="s">
        <v>2167</v>
      </c>
      <c r="L8053" s="431"/>
      <c r="M8053" s="431"/>
      <c r="N8053" s="431"/>
    </row>
    <row r="8054" spans="1:14" s="398" customFormat="1" hidden="1" outlineLevel="1">
      <c r="A8054" s="1250"/>
      <c r="B8054" s="425"/>
      <c r="C8054" s="1412" t="s">
        <v>1</v>
      </c>
      <c r="D8054" s="437">
        <v>2</v>
      </c>
      <c r="E8054" s="165">
        <v>1</v>
      </c>
      <c r="F8054" s="401">
        <v>9.35</v>
      </c>
      <c r="G8054" s="401"/>
      <c r="H8054" s="401">
        <v>0.2</v>
      </c>
      <c r="I8054" s="1129">
        <f t="shared" si="281"/>
        <v>3.74</v>
      </c>
      <c r="J8054" s="476"/>
      <c r="K8054" s="1237" t="s">
        <v>2167</v>
      </c>
      <c r="L8054" s="431"/>
      <c r="M8054" s="431"/>
      <c r="N8054" s="431"/>
    </row>
    <row r="8055" spans="1:14" s="398" customFormat="1" hidden="1" outlineLevel="1">
      <c r="A8055" s="1250"/>
      <c r="B8055" s="425"/>
      <c r="C8055" s="1412"/>
      <c r="D8055" s="437"/>
      <c r="E8055" s="165"/>
      <c r="F8055" s="401"/>
      <c r="G8055" s="401"/>
      <c r="H8055" s="401"/>
      <c r="I8055" s="1129" t="str">
        <f t="shared" si="281"/>
        <v/>
      </c>
      <c r="J8055" s="476"/>
      <c r="K8055" s="1237" t="s">
        <v>2167</v>
      </c>
      <c r="L8055" s="431"/>
      <c r="M8055" s="431"/>
      <c r="N8055" s="431"/>
    </row>
    <row r="8056" spans="1:14" s="398" customFormat="1" hidden="1" outlineLevel="1">
      <c r="A8056" s="1250"/>
      <c r="B8056" s="425"/>
      <c r="C8056" s="1412"/>
      <c r="D8056" s="437"/>
      <c r="E8056" s="165"/>
      <c r="F8056" s="401"/>
      <c r="G8056" s="401"/>
      <c r="H8056" s="401"/>
      <c r="I8056" s="1129" t="str">
        <f t="shared" si="281"/>
        <v/>
      </c>
      <c r="J8056" s="476"/>
      <c r="K8056" s="1237" t="s">
        <v>2167</v>
      </c>
      <c r="L8056" s="431"/>
      <c r="M8056" s="431"/>
      <c r="N8056" s="431"/>
    </row>
    <row r="8057" spans="1:14" s="398" customFormat="1" ht="34.5" hidden="1" outlineLevel="1">
      <c r="A8057" s="1250"/>
      <c r="B8057" s="425" t="s">
        <v>575</v>
      </c>
      <c r="C8057" s="1412"/>
      <c r="D8057" s="437"/>
      <c r="E8057" s="165"/>
      <c r="F8057" s="401"/>
      <c r="G8057" s="401"/>
      <c r="H8057" s="401"/>
      <c r="I8057" s="1129" t="str">
        <f t="shared" si="281"/>
        <v/>
      </c>
      <c r="J8057" s="476"/>
      <c r="K8057" s="1237" t="s">
        <v>2167</v>
      </c>
      <c r="L8057" s="431"/>
      <c r="M8057" s="431"/>
      <c r="N8057" s="431"/>
    </row>
    <row r="8058" spans="1:14" s="398" customFormat="1" hidden="1" outlineLevel="1">
      <c r="A8058" s="1250"/>
      <c r="B8058" s="425"/>
      <c r="C8058" s="1412"/>
      <c r="D8058" s="437"/>
      <c r="E8058" s="165"/>
      <c r="F8058" s="401"/>
      <c r="G8058" s="401"/>
      <c r="H8058" s="401"/>
      <c r="I8058" s="1129" t="str">
        <f t="shared" si="281"/>
        <v/>
      </c>
      <c r="J8058" s="476"/>
      <c r="K8058" s="1237" t="s">
        <v>2167</v>
      </c>
      <c r="L8058" s="431"/>
      <c r="M8058" s="431"/>
      <c r="N8058" s="431"/>
    </row>
    <row r="8059" spans="1:14" s="398" customFormat="1" hidden="1" outlineLevel="1">
      <c r="A8059" s="1250"/>
      <c r="B8059" s="425" t="s">
        <v>263</v>
      </c>
      <c r="C8059" s="1412" t="s">
        <v>1</v>
      </c>
      <c r="D8059" s="437">
        <v>1</v>
      </c>
      <c r="E8059" s="165">
        <v>10</v>
      </c>
      <c r="F8059" s="401">
        <v>4.8000000000000007</v>
      </c>
      <c r="G8059" s="401"/>
      <c r="H8059" s="401">
        <v>0.3</v>
      </c>
      <c r="I8059" s="1129">
        <f t="shared" si="281"/>
        <v>14.4</v>
      </c>
      <c r="J8059" s="476"/>
      <c r="K8059" s="1237" t="s">
        <v>2167</v>
      </c>
      <c r="L8059" s="431"/>
      <c r="M8059" s="431"/>
      <c r="N8059" s="431"/>
    </row>
    <row r="8060" spans="1:14" s="398" customFormat="1" hidden="1" outlineLevel="1">
      <c r="A8060" s="1250"/>
      <c r="B8060" s="425"/>
      <c r="C8060" s="1412" t="s">
        <v>1</v>
      </c>
      <c r="D8060" s="437">
        <v>2</v>
      </c>
      <c r="E8060" s="165">
        <v>8</v>
      </c>
      <c r="F8060" s="401">
        <v>1.2999999999999998</v>
      </c>
      <c r="G8060" s="401"/>
      <c r="H8060" s="401">
        <v>0.3</v>
      </c>
      <c r="I8060" s="1129">
        <f t="shared" si="281"/>
        <v>6.24</v>
      </c>
      <c r="J8060" s="476"/>
      <c r="K8060" s="1237" t="s">
        <v>2167</v>
      </c>
      <c r="L8060" s="431"/>
      <c r="M8060" s="431"/>
      <c r="N8060" s="431"/>
    </row>
    <row r="8061" spans="1:14" s="398" customFormat="1" hidden="1" outlineLevel="1">
      <c r="A8061" s="1250"/>
      <c r="B8061" s="425"/>
      <c r="C8061" s="1412"/>
      <c r="D8061" s="437"/>
      <c r="E8061" s="165"/>
      <c r="F8061" s="401"/>
      <c r="G8061" s="401"/>
      <c r="H8061" s="401"/>
      <c r="I8061" s="1129" t="str">
        <f t="shared" si="281"/>
        <v/>
      </c>
      <c r="J8061" s="476"/>
      <c r="K8061" s="1237" t="s">
        <v>2167</v>
      </c>
      <c r="L8061" s="431"/>
      <c r="M8061" s="431"/>
      <c r="N8061" s="431"/>
    </row>
    <row r="8062" spans="1:14" s="398" customFormat="1" ht="34.5" hidden="1" outlineLevel="1">
      <c r="A8062" s="1250"/>
      <c r="B8062" s="425" t="s">
        <v>576</v>
      </c>
      <c r="C8062" s="1412"/>
      <c r="D8062" s="437"/>
      <c r="E8062" s="165"/>
      <c r="F8062" s="401"/>
      <c r="G8062" s="401"/>
      <c r="H8062" s="401"/>
      <c r="I8062" s="1129" t="str">
        <f t="shared" si="281"/>
        <v/>
      </c>
      <c r="J8062" s="476"/>
      <c r="K8062" s="1237" t="s">
        <v>2167</v>
      </c>
      <c r="L8062" s="431"/>
      <c r="M8062" s="431"/>
      <c r="N8062" s="431"/>
    </row>
    <row r="8063" spans="1:14" s="398" customFormat="1" hidden="1" outlineLevel="1">
      <c r="A8063" s="1250"/>
      <c r="B8063" s="425"/>
      <c r="C8063" s="1412"/>
      <c r="D8063" s="437"/>
      <c r="E8063" s="165"/>
      <c r="F8063" s="401"/>
      <c r="G8063" s="401"/>
      <c r="H8063" s="401"/>
      <c r="I8063" s="1129" t="str">
        <f t="shared" si="281"/>
        <v/>
      </c>
      <c r="J8063" s="476"/>
      <c r="K8063" s="1237" t="s">
        <v>2167</v>
      </c>
      <c r="L8063" s="431"/>
      <c r="M8063" s="431"/>
      <c r="N8063" s="431"/>
    </row>
    <row r="8064" spans="1:14" s="398" customFormat="1" hidden="1" outlineLevel="1">
      <c r="A8064" s="1250"/>
      <c r="B8064" s="425" t="s">
        <v>263</v>
      </c>
      <c r="C8064" s="1412" t="s">
        <v>1</v>
      </c>
      <c r="D8064" s="437">
        <v>1</v>
      </c>
      <c r="E8064" s="165">
        <v>10</v>
      </c>
      <c r="F8064" s="401">
        <v>4.8000000000000007</v>
      </c>
      <c r="G8064" s="401"/>
      <c r="H8064" s="401">
        <v>0.3</v>
      </c>
      <c r="I8064" s="1129">
        <f t="shared" si="281"/>
        <v>14.4</v>
      </c>
      <c r="J8064" s="476"/>
      <c r="K8064" s="1237" t="s">
        <v>2167</v>
      </c>
      <c r="L8064" s="431"/>
      <c r="M8064" s="431"/>
      <c r="N8064" s="431"/>
    </row>
    <row r="8065" spans="1:14" s="398" customFormat="1" hidden="1" outlineLevel="1">
      <c r="A8065" s="1250"/>
      <c r="B8065" s="425"/>
      <c r="C8065" s="1412" t="s">
        <v>1</v>
      </c>
      <c r="D8065" s="437">
        <v>2</v>
      </c>
      <c r="E8065" s="165">
        <v>8</v>
      </c>
      <c r="F8065" s="401">
        <v>1.2999999999999998</v>
      </c>
      <c r="G8065" s="401"/>
      <c r="H8065" s="401">
        <v>0.3</v>
      </c>
      <c r="I8065" s="1129">
        <f t="shared" si="281"/>
        <v>6.24</v>
      </c>
      <c r="J8065" s="476"/>
      <c r="K8065" s="1237" t="s">
        <v>2167</v>
      </c>
      <c r="L8065" s="431"/>
      <c r="M8065" s="431"/>
      <c r="N8065" s="431"/>
    </row>
    <row r="8066" spans="1:14" ht="51.75" hidden="1" outlineLevel="1" collapsed="1">
      <c r="A8066" s="1221"/>
      <c r="B8066" s="601" t="s">
        <v>703</v>
      </c>
      <c r="C8066" s="304"/>
      <c r="D8066" s="301"/>
      <c r="E8066" s="295"/>
      <c r="F8066" s="1205"/>
      <c r="G8066" s="1205"/>
      <c r="H8066" s="1205"/>
      <c r="I8066" s="1129" t="str">
        <f t="shared" si="281"/>
        <v/>
      </c>
      <c r="K8066" s="1259" t="s">
        <v>2167</v>
      </c>
    </row>
    <row r="8067" spans="1:14" ht="34.5" hidden="1" outlineLevel="1">
      <c r="A8067" s="1221"/>
      <c r="B8067" s="297" t="s">
        <v>704</v>
      </c>
      <c r="C8067" s="304"/>
      <c r="D8067" s="301"/>
      <c r="E8067" s="295"/>
      <c r="F8067" s="1205"/>
      <c r="G8067" s="1205"/>
      <c r="H8067" s="1205"/>
      <c r="I8067" s="1129" t="str">
        <f t="shared" si="281"/>
        <v/>
      </c>
      <c r="K8067" s="1259" t="s">
        <v>2167</v>
      </c>
    </row>
    <row r="8068" spans="1:14" hidden="1" outlineLevel="1">
      <c r="A8068" s="1221"/>
      <c r="B8068" s="297" t="s">
        <v>600</v>
      </c>
      <c r="C8068" s="304"/>
      <c r="D8068" s="301"/>
      <c r="E8068" s="295"/>
      <c r="F8068" s="1205"/>
      <c r="G8068" s="1205"/>
      <c r="H8068" s="1205"/>
      <c r="I8068" s="1129" t="str">
        <f t="shared" si="281"/>
        <v/>
      </c>
      <c r="K8068" s="1259" t="s">
        <v>2167</v>
      </c>
    </row>
    <row r="8069" spans="1:14" hidden="1" outlineLevel="1">
      <c r="A8069" s="1221"/>
      <c r="B8069" s="295"/>
      <c r="C8069" s="304" t="s">
        <v>1</v>
      </c>
      <c r="D8069" s="301">
        <v>2</v>
      </c>
      <c r="E8069" s="295">
        <v>1</v>
      </c>
      <c r="F8069" s="1205">
        <f>1.4+1.4+1.53+1.53+4.89+G8069*2</f>
        <v>10.75</v>
      </c>
      <c r="G8069" s="1205"/>
      <c r="H8069" s="1205">
        <v>0.2</v>
      </c>
      <c r="I8069" s="1129">
        <f t="shared" si="281"/>
        <v>4.3</v>
      </c>
      <c r="K8069" s="1259" t="s">
        <v>2167</v>
      </c>
    </row>
    <row r="8070" spans="1:14" hidden="1" outlineLevel="1">
      <c r="A8070" s="1232"/>
      <c r="B8070" s="356"/>
      <c r="C8070" s="530" t="s">
        <v>1</v>
      </c>
      <c r="D8070" s="357">
        <f>2</f>
        <v>2</v>
      </c>
      <c r="E8070" s="356">
        <v>1</v>
      </c>
      <c r="F8070" s="1203">
        <f>1.4+G8070</f>
        <v>1.4</v>
      </c>
      <c r="G8070" s="1203"/>
      <c r="H8070" s="1203">
        <v>0.2</v>
      </c>
      <c r="I8070" s="1129">
        <f t="shared" si="281"/>
        <v>0.56000000000000005</v>
      </c>
      <c r="J8070" s="393"/>
      <c r="K8070" s="1259" t="s">
        <v>2167</v>
      </c>
    </row>
    <row r="8071" spans="1:14" hidden="1" outlineLevel="1">
      <c r="A8071" s="1221"/>
      <c r="B8071" s="295"/>
      <c r="C8071" s="304" t="s">
        <v>1</v>
      </c>
      <c r="D8071" s="301">
        <v>2</v>
      </c>
      <c r="E8071" s="295">
        <v>1</v>
      </c>
      <c r="F8071" s="1204">
        <v>7.35</v>
      </c>
      <c r="G8071" s="1205"/>
      <c r="H8071" s="1205">
        <v>0.2</v>
      </c>
      <c r="I8071" s="1129">
        <f t="shared" si="281"/>
        <v>2.94</v>
      </c>
      <c r="K8071" s="1259" t="s">
        <v>2167</v>
      </c>
    </row>
    <row r="8072" spans="1:14" hidden="1" outlineLevel="1">
      <c r="A8072" s="1221"/>
      <c r="B8072" s="297" t="s">
        <v>601</v>
      </c>
      <c r="C8072" s="304" t="s">
        <v>1</v>
      </c>
      <c r="D8072" s="301">
        <v>2</v>
      </c>
      <c r="E8072" s="295">
        <v>1</v>
      </c>
      <c r="F8072" s="1204">
        <v>7.35</v>
      </c>
      <c r="G8072" s="1205"/>
      <c r="H8072" s="1205">
        <v>0.2</v>
      </c>
      <c r="I8072" s="1129">
        <f t="shared" si="281"/>
        <v>2.94</v>
      </c>
      <c r="K8072" s="1259" t="s">
        <v>2167</v>
      </c>
    </row>
    <row r="8073" spans="1:14" hidden="1" outlineLevel="1">
      <c r="A8073" s="1221"/>
      <c r="B8073" s="358"/>
      <c r="C8073" s="498" t="s">
        <v>1</v>
      </c>
      <c r="D8073" s="359">
        <f>2</f>
        <v>2</v>
      </c>
      <c r="E8073" s="358">
        <v>1</v>
      </c>
      <c r="F8073" s="1393">
        <f>1.4+G8073</f>
        <v>1.4</v>
      </c>
      <c r="G8073" s="1393"/>
      <c r="H8073" s="1393">
        <v>0.2</v>
      </c>
      <c r="I8073" s="1129">
        <f t="shared" si="281"/>
        <v>0.56000000000000005</v>
      </c>
      <c r="K8073" s="1259" t="s">
        <v>2167</v>
      </c>
    </row>
    <row r="8074" spans="1:14" hidden="1" outlineLevel="1">
      <c r="A8074" s="1221"/>
      <c r="B8074" s="295"/>
      <c r="C8074" s="304" t="s">
        <v>1</v>
      </c>
      <c r="D8074" s="301">
        <v>2</v>
      </c>
      <c r="E8074" s="295">
        <v>1</v>
      </c>
      <c r="F8074" s="1204">
        <v>5.95</v>
      </c>
      <c r="G8074" s="1205"/>
      <c r="H8074" s="1205">
        <v>0.2</v>
      </c>
      <c r="I8074" s="1129">
        <f t="shared" si="281"/>
        <v>2.38</v>
      </c>
      <c r="K8074" s="1259" t="s">
        <v>2167</v>
      </c>
    </row>
    <row r="8075" spans="1:14" hidden="1" outlineLevel="1">
      <c r="A8075" s="1221"/>
      <c r="B8075" s="297" t="s">
        <v>602</v>
      </c>
      <c r="C8075" s="304" t="s">
        <v>1</v>
      </c>
      <c r="D8075" s="301">
        <v>2</v>
      </c>
      <c r="E8075" s="295">
        <v>1</v>
      </c>
      <c r="F8075" s="1204">
        <v>5.95</v>
      </c>
      <c r="G8075" s="1205"/>
      <c r="H8075" s="1205">
        <v>0.2</v>
      </c>
      <c r="I8075" s="1129">
        <f t="shared" si="281"/>
        <v>2.38</v>
      </c>
      <c r="K8075" s="1259" t="s">
        <v>2167</v>
      </c>
    </row>
    <row r="8076" spans="1:14" hidden="1" outlineLevel="1">
      <c r="A8076" s="1221"/>
      <c r="B8076" s="358"/>
      <c r="C8076" s="498" t="s">
        <v>1</v>
      </c>
      <c r="D8076" s="359">
        <f>2</f>
        <v>2</v>
      </c>
      <c r="E8076" s="358">
        <v>1</v>
      </c>
      <c r="F8076" s="1393">
        <f>1.53+G8076</f>
        <v>1.53</v>
      </c>
      <c r="G8076" s="1393"/>
      <c r="H8076" s="1393">
        <v>0.2</v>
      </c>
      <c r="I8076" s="1129">
        <f t="shared" si="281"/>
        <v>0.61</v>
      </c>
      <c r="K8076" s="1259" t="s">
        <v>2167</v>
      </c>
    </row>
    <row r="8077" spans="1:14" hidden="1" outlineLevel="1">
      <c r="A8077" s="1221"/>
      <c r="B8077" s="295"/>
      <c r="C8077" s="304" t="s">
        <v>1</v>
      </c>
      <c r="D8077" s="301">
        <v>2</v>
      </c>
      <c r="E8077" s="295">
        <v>1</v>
      </c>
      <c r="F8077" s="1204">
        <v>4.42</v>
      </c>
      <c r="G8077" s="1205"/>
      <c r="H8077" s="1205">
        <v>0.2</v>
      </c>
      <c r="I8077" s="1129">
        <f t="shared" si="281"/>
        <v>1.77</v>
      </c>
      <c r="K8077" s="1259" t="s">
        <v>2167</v>
      </c>
    </row>
    <row r="8078" spans="1:14" hidden="1" outlineLevel="1">
      <c r="A8078" s="1221"/>
      <c r="B8078" s="297" t="s">
        <v>603</v>
      </c>
      <c r="C8078" s="304" t="s">
        <v>1</v>
      </c>
      <c r="D8078" s="301">
        <v>2</v>
      </c>
      <c r="E8078" s="295">
        <v>1</v>
      </c>
      <c r="F8078" s="1204">
        <v>4.42</v>
      </c>
      <c r="G8078" s="1205"/>
      <c r="H8078" s="1205">
        <v>0.2</v>
      </c>
      <c r="I8078" s="1129">
        <f t="shared" si="281"/>
        <v>1.77</v>
      </c>
      <c r="K8078" s="1259" t="s">
        <v>2167</v>
      </c>
    </row>
    <row r="8079" spans="1:14" hidden="1" outlineLevel="1">
      <c r="A8079" s="1221"/>
      <c r="B8079" s="358"/>
      <c r="C8079" s="498" t="s">
        <v>1</v>
      </c>
      <c r="D8079" s="359">
        <f>2</f>
        <v>2</v>
      </c>
      <c r="E8079" s="358">
        <v>1</v>
      </c>
      <c r="F8079" s="1393">
        <f>1.53+G8079</f>
        <v>1.53</v>
      </c>
      <c r="G8079" s="1393"/>
      <c r="H8079" s="1393">
        <v>0.2</v>
      </c>
      <c r="I8079" s="1129">
        <f t="shared" si="281"/>
        <v>0.61</v>
      </c>
      <c r="K8079" s="1259" t="s">
        <v>2167</v>
      </c>
    </row>
    <row r="8080" spans="1:14" hidden="1" outlineLevel="1">
      <c r="A8080" s="1221"/>
      <c r="B8080" s="295"/>
      <c r="C8080" s="304" t="s">
        <v>1</v>
      </c>
      <c r="D8080" s="301">
        <v>2</v>
      </c>
      <c r="E8080" s="295">
        <v>1</v>
      </c>
      <c r="F8080" s="1205">
        <f>2.89+G8080</f>
        <v>2.89</v>
      </c>
      <c r="G8080" s="1205"/>
      <c r="H8080" s="1205">
        <v>0.2</v>
      </c>
      <c r="I8080" s="1129">
        <f t="shared" si="281"/>
        <v>1.1599999999999999</v>
      </c>
      <c r="K8080" s="1259" t="s">
        <v>2167</v>
      </c>
    </row>
    <row r="8081" spans="1:11" hidden="1" outlineLevel="1">
      <c r="A8081" s="1221"/>
      <c r="B8081" s="297" t="s">
        <v>603</v>
      </c>
      <c r="C8081" s="304" t="s">
        <v>1</v>
      </c>
      <c r="D8081" s="301">
        <v>2</v>
      </c>
      <c r="E8081" s="295">
        <v>1</v>
      </c>
      <c r="F8081" s="1205">
        <f>2.89+G8081</f>
        <v>2.89</v>
      </c>
      <c r="G8081" s="1205"/>
      <c r="H8081" s="1205">
        <v>0.2</v>
      </c>
      <c r="I8081" s="1129">
        <f t="shared" si="281"/>
        <v>1.1599999999999999</v>
      </c>
      <c r="K8081" s="1259" t="s">
        <v>2167</v>
      </c>
    </row>
    <row r="8082" spans="1:11" hidden="1" outlineLevel="1">
      <c r="A8082" s="1221"/>
      <c r="B8082" s="295"/>
      <c r="C8082" s="304" t="s">
        <v>1</v>
      </c>
      <c r="D8082" s="301">
        <v>2</v>
      </c>
      <c r="E8082" s="295">
        <v>1</v>
      </c>
      <c r="F8082" s="1205">
        <f>4.89+G8082</f>
        <v>4.8899999999999997</v>
      </c>
      <c r="G8082" s="1205"/>
      <c r="H8082" s="1205">
        <v>0.2</v>
      </c>
      <c r="I8082" s="1129">
        <f t="shared" si="281"/>
        <v>1.96</v>
      </c>
      <c r="K8082" s="1259" t="s">
        <v>2167</v>
      </c>
    </row>
    <row r="8083" spans="1:11" hidden="1" outlineLevel="1">
      <c r="A8083" s="1221"/>
      <c r="B8083" s="596" t="s">
        <v>604</v>
      </c>
      <c r="C8083" s="304" t="s">
        <v>1</v>
      </c>
      <c r="D8083" s="301">
        <v>2</v>
      </c>
      <c r="E8083" s="295">
        <v>6</v>
      </c>
      <c r="F8083" s="1205">
        <v>0.61499999999999999</v>
      </c>
      <c r="G8083" s="1205"/>
      <c r="H8083" s="1205">
        <v>0.2</v>
      </c>
      <c r="I8083" s="1129">
        <f t="shared" si="281"/>
        <v>1.48</v>
      </c>
      <c r="K8083" s="1259" t="s">
        <v>2167</v>
      </c>
    </row>
    <row r="8084" spans="1:11" hidden="1" outlineLevel="1">
      <c r="A8084" s="1221"/>
      <c r="B8084" s="295"/>
      <c r="C8084" s="304" t="s">
        <v>1</v>
      </c>
      <c r="D8084" s="301">
        <v>2</v>
      </c>
      <c r="E8084" s="295">
        <v>3</v>
      </c>
      <c r="F8084" s="1205">
        <f>2.745-G8084</f>
        <v>2.7450000000000001</v>
      </c>
      <c r="G8084" s="1205"/>
      <c r="H8084" s="1205">
        <v>0.2</v>
      </c>
      <c r="I8084" s="1129">
        <f t="shared" si="281"/>
        <v>3.29</v>
      </c>
      <c r="K8084" s="1259" t="s">
        <v>2167</v>
      </c>
    </row>
    <row r="8085" spans="1:11" hidden="1" outlineLevel="1">
      <c r="A8085" s="1221"/>
      <c r="B8085" s="295"/>
      <c r="C8085" s="304" t="s">
        <v>1</v>
      </c>
      <c r="D8085" s="301">
        <v>2</v>
      </c>
      <c r="E8085" s="295">
        <v>1</v>
      </c>
      <c r="F8085" s="1205">
        <f>2.44-G8085</f>
        <v>2.44</v>
      </c>
      <c r="G8085" s="1205"/>
      <c r="H8085" s="1205">
        <v>0.2</v>
      </c>
      <c r="I8085" s="1129">
        <f t="shared" si="281"/>
        <v>0.98</v>
      </c>
      <c r="K8085" s="1259" t="s">
        <v>2167</v>
      </c>
    </row>
    <row r="8086" spans="1:11" hidden="1" outlineLevel="1">
      <c r="A8086" s="1221"/>
      <c r="B8086" s="295"/>
      <c r="C8086" s="304" t="s">
        <v>1</v>
      </c>
      <c r="D8086" s="301">
        <v>2</v>
      </c>
      <c r="E8086" s="295">
        <v>3</v>
      </c>
      <c r="F8086" s="1205">
        <f>2.13-G8086*2</f>
        <v>2.13</v>
      </c>
      <c r="G8086" s="1205"/>
      <c r="H8086" s="1205">
        <v>0.2</v>
      </c>
      <c r="I8086" s="1129">
        <f t="shared" si="281"/>
        <v>2.56</v>
      </c>
      <c r="K8086" s="1259" t="s">
        <v>2167</v>
      </c>
    </row>
    <row r="8087" spans="1:11" hidden="1" outlineLevel="1">
      <c r="A8087" s="1221"/>
      <c r="B8087" s="295"/>
      <c r="C8087" s="304" t="s">
        <v>1</v>
      </c>
      <c r="D8087" s="301">
        <v>2</v>
      </c>
      <c r="E8087" s="295">
        <v>1</v>
      </c>
      <c r="F8087" s="1205">
        <f>1.825-G8087*2</f>
        <v>1.825</v>
      </c>
      <c r="G8087" s="1205"/>
      <c r="H8087" s="1205">
        <v>0.2</v>
      </c>
      <c r="I8087" s="1129">
        <f t="shared" si="281"/>
        <v>0.73</v>
      </c>
      <c r="K8087" s="1259" t="s">
        <v>2167</v>
      </c>
    </row>
    <row r="8088" spans="1:11" ht="51.75" hidden="1" outlineLevel="1">
      <c r="A8088" s="1221"/>
      <c r="B8088" s="601" t="s">
        <v>705</v>
      </c>
      <c r="C8088" s="304"/>
      <c r="D8088" s="301"/>
      <c r="E8088" s="295"/>
      <c r="F8088" s="1205"/>
      <c r="G8088" s="1205"/>
      <c r="H8088" s="1205"/>
      <c r="I8088" s="1129" t="str">
        <f t="shared" si="281"/>
        <v/>
      </c>
      <c r="K8088" s="1259" t="s">
        <v>2167</v>
      </c>
    </row>
    <row r="8089" spans="1:11" hidden="1" outlineLevel="1">
      <c r="A8089" s="1221"/>
      <c r="B8089" s="297" t="s">
        <v>706</v>
      </c>
      <c r="C8089" s="304"/>
      <c r="D8089" s="301"/>
      <c r="E8089" s="295"/>
      <c r="F8089" s="1205"/>
      <c r="G8089" s="1205"/>
      <c r="H8089" s="1205"/>
      <c r="I8089" s="1129" t="str">
        <f t="shared" si="281"/>
        <v/>
      </c>
      <c r="K8089" s="1259" t="s">
        <v>2167</v>
      </c>
    </row>
    <row r="8090" spans="1:11" hidden="1" outlineLevel="1">
      <c r="A8090" s="1221"/>
      <c r="B8090" s="297" t="s">
        <v>607</v>
      </c>
      <c r="C8090" s="304" t="s">
        <v>1</v>
      </c>
      <c r="D8090" s="302">
        <v>2</v>
      </c>
      <c r="E8090" s="295">
        <v>1</v>
      </c>
      <c r="F8090" s="1205">
        <f>29.85</f>
        <v>29.85</v>
      </c>
      <c r="G8090" s="1205"/>
      <c r="H8090" s="1205">
        <v>0.2</v>
      </c>
      <c r="I8090" s="1129">
        <f t="shared" si="281"/>
        <v>11.94</v>
      </c>
      <c r="K8090" s="1259" t="s">
        <v>2167</v>
      </c>
    </row>
    <row r="8091" spans="1:11" hidden="1" outlineLevel="1">
      <c r="A8091" s="1221"/>
      <c r="B8091" s="295"/>
      <c r="C8091" s="304" t="s">
        <v>1</v>
      </c>
      <c r="D8091" s="302">
        <v>2</v>
      </c>
      <c r="E8091" s="295">
        <v>1</v>
      </c>
      <c r="F8091" s="1204">
        <v>2.0699999999999998</v>
      </c>
      <c r="G8091" s="1205"/>
      <c r="H8091" s="1205">
        <v>0.2</v>
      </c>
      <c r="I8091" s="1129">
        <f t="shared" si="281"/>
        <v>0.83</v>
      </c>
      <c r="K8091" s="1259" t="s">
        <v>2167</v>
      </c>
    </row>
    <row r="8092" spans="1:11" hidden="1" outlineLevel="1">
      <c r="A8092" s="1221"/>
      <c r="B8092" s="295"/>
      <c r="C8092" s="304" t="s">
        <v>1</v>
      </c>
      <c r="D8092" s="302">
        <v>2</v>
      </c>
      <c r="E8092" s="295">
        <v>7</v>
      </c>
      <c r="F8092" s="1205">
        <f>2-G8092*2</f>
        <v>2</v>
      </c>
      <c r="G8092" s="1205"/>
      <c r="H8092" s="1205">
        <v>0.2</v>
      </c>
      <c r="I8092" s="1129">
        <f t="shared" si="281"/>
        <v>5.6</v>
      </c>
      <c r="K8092" s="1259" t="s">
        <v>2167</v>
      </c>
    </row>
    <row r="8093" spans="1:11" hidden="1" outlineLevel="1">
      <c r="A8093" s="1221"/>
      <c r="B8093" s="295"/>
      <c r="C8093" s="304" t="s">
        <v>1</v>
      </c>
      <c r="D8093" s="302">
        <v>2</v>
      </c>
      <c r="E8093" s="295">
        <v>1</v>
      </c>
      <c r="F8093" s="1204">
        <v>2.02</v>
      </c>
      <c r="G8093" s="1205"/>
      <c r="H8093" s="1205">
        <v>0.2</v>
      </c>
      <c r="I8093" s="1129">
        <f t="shared" si="281"/>
        <v>0.81</v>
      </c>
      <c r="K8093" s="1259" t="s">
        <v>2167</v>
      </c>
    </row>
    <row r="8094" spans="1:11" hidden="1" outlineLevel="1">
      <c r="A8094" s="1221"/>
      <c r="B8094" s="295"/>
      <c r="C8094" s="304" t="s">
        <v>1</v>
      </c>
      <c r="D8094" s="302">
        <v>2</v>
      </c>
      <c r="E8094" s="295">
        <v>1</v>
      </c>
      <c r="F8094" s="1204">
        <v>1.52</v>
      </c>
      <c r="G8094" s="1205"/>
      <c r="H8094" s="1205">
        <v>0.2</v>
      </c>
      <c r="I8094" s="1129">
        <f t="shared" si="281"/>
        <v>0.61</v>
      </c>
      <c r="K8094" s="1259" t="s">
        <v>2167</v>
      </c>
    </row>
    <row r="8095" spans="1:11" hidden="1" outlineLevel="1">
      <c r="A8095" s="1221"/>
      <c r="B8095" s="295"/>
      <c r="C8095" s="304" t="s">
        <v>1</v>
      </c>
      <c r="D8095" s="302">
        <v>2</v>
      </c>
      <c r="E8095" s="635">
        <v>11</v>
      </c>
      <c r="F8095" s="1205">
        <v>0.6</v>
      </c>
      <c r="G8095" s="1205"/>
      <c r="H8095" s="1205">
        <v>0.2</v>
      </c>
      <c r="I8095" s="1129">
        <f t="shared" si="281"/>
        <v>2.64</v>
      </c>
      <c r="K8095" s="1259" t="s">
        <v>2167</v>
      </c>
    </row>
    <row r="8096" spans="1:11" hidden="1" outlineLevel="1">
      <c r="A8096" s="1221"/>
      <c r="B8096" s="596" t="s">
        <v>608</v>
      </c>
      <c r="C8096" s="304" t="s">
        <v>1</v>
      </c>
      <c r="D8096" s="302">
        <v>2</v>
      </c>
      <c r="E8096" s="295">
        <v>1</v>
      </c>
      <c r="F8096" s="1205">
        <f>10.315+G8096*2</f>
        <v>10.315</v>
      </c>
      <c r="G8096" s="1205"/>
      <c r="H8096" s="1205">
        <v>0.2</v>
      </c>
      <c r="I8096" s="1129">
        <f t="shared" si="281"/>
        <v>4.13</v>
      </c>
      <c r="K8096" s="1259" t="s">
        <v>2167</v>
      </c>
    </row>
    <row r="8097" spans="1:14" hidden="1" outlineLevel="1">
      <c r="A8097" s="1221"/>
      <c r="B8097" s="295" t="s">
        <v>609</v>
      </c>
      <c r="C8097" s="304" t="s">
        <v>1</v>
      </c>
      <c r="D8097" s="302">
        <v>2</v>
      </c>
      <c r="E8097" s="295">
        <v>1</v>
      </c>
      <c r="F8097" s="1204">
        <v>9.2449999999999992</v>
      </c>
      <c r="G8097" s="1205"/>
      <c r="H8097" s="1205">
        <v>0.2</v>
      </c>
      <c r="I8097" s="1129">
        <f t="shared" ref="I8097:I8160" si="282">IF(D8097&lt;&gt;0,ROUND(PRODUCT(E8097:H8097)*D8097,2),"")</f>
        <v>3.7</v>
      </c>
      <c r="K8097" s="1259" t="s">
        <v>2167</v>
      </c>
    </row>
    <row r="8098" spans="1:14" hidden="1" outlineLevel="1">
      <c r="A8098" s="1221"/>
      <c r="B8098" s="295" t="s">
        <v>610</v>
      </c>
      <c r="C8098" s="304" t="s">
        <v>1</v>
      </c>
      <c r="D8098" s="302">
        <v>2</v>
      </c>
      <c r="E8098" s="295">
        <v>2</v>
      </c>
      <c r="F8098" s="1205">
        <f>7.79+G8098</f>
        <v>7.79</v>
      </c>
      <c r="G8098" s="1205"/>
      <c r="H8098" s="1205">
        <v>0.2</v>
      </c>
      <c r="I8098" s="1129">
        <f t="shared" si="282"/>
        <v>6.23</v>
      </c>
      <c r="K8098" s="1259" t="s">
        <v>2167</v>
      </c>
    </row>
    <row r="8099" spans="1:14" hidden="1" outlineLevel="1">
      <c r="A8099" s="1221"/>
      <c r="B8099" s="295" t="s">
        <v>611</v>
      </c>
      <c r="C8099" s="304" t="s">
        <v>1</v>
      </c>
      <c r="D8099" s="302">
        <v>2</v>
      </c>
      <c r="E8099" s="295">
        <v>2</v>
      </c>
      <c r="F8099" s="1205">
        <f>6.265+G8099</f>
        <v>6.2649999999999997</v>
      </c>
      <c r="G8099" s="1205"/>
      <c r="H8099" s="1205">
        <v>0.2</v>
      </c>
      <c r="I8099" s="1129">
        <f t="shared" si="282"/>
        <v>5.01</v>
      </c>
      <c r="K8099" s="1259" t="s">
        <v>2167</v>
      </c>
    </row>
    <row r="8100" spans="1:14" s="342" customFormat="1" hidden="1" outlineLevel="1">
      <c r="A8100" s="1282"/>
      <c r="B8100" s="348" t="s">
        <v>612</v>
      </c>
      <c r="C8100" s="346" t="s">
        <v>1</v>
      </c>
      <c r="D8100" s="349">
        <f>2*0</f>
        <v>0</v>
      </c>
      <c r="E8100" s="348">
        <v>2</v>
      </c>
      <c r="F8100" s="1365">
        <f>6.265+G8100</f>
        <v>6.2649999999999997</v>
      </c>
      <c r="G8100" s="1365"/>
      <c r="H8100" s="1365">
        <v>0.2</v>
      </c>
      <c r="I8100" s="1129" t="str">
        <f t="shared" si="282"/>
        <v/>
      </c>
      <c r="J8100" s="480"/>
      <c r="K8100" s="1335" t="s">
        <v>2167</v>
      </c>
      <c r="L8100" s="341"/>
      <c r="M8100" s="341"/>
      <c r="N8100" s="341"/>
    </row>
    <row r="8101" spans="1:14" hidden="1" outlineLevel="1">
      <c r="A8101" s="1221"/>
      <c r="B8101" s="295"/>
      <c r="C8101" s="304" t="s">
        <v>1</v>
      </c>
      <c r="D8101" s="302">
        <v>2</v>
      </c>
      <c r="E8101" s="295">
        <v>2</v>
      </c>
      <c r="F8101" s="1205">
        <f>4.74+G8101</f>
        <v>4.74</v>
      </c>
      <c r="G8101" s="1205"/>
      <c r="H8101" s="1205">
        <v>0.2</v>
      </c>
      <c r="I8101" s="1129">
        <f t="shared" si="282"/>
        <v>3.79</v>
      </c>
      <c r="K8101" s="1259" t="s">
        <v>2167</v>
      </c>
    </row>
    <row r="8102" spans="1:14" hidden="1" outlineLevel="1">
      <c r="A8102" s="1221"/>
      <c r="B8102" s="295"/>
      <c r="C8102" s="304" t="s">
        <v>1</v>
      </c>
      <c r="D8102" s="302">
        <v>2</v>
      </c>
      <c r="E8102" s="295">
        <v>2</v>
      </c>
      <c r="F8102" s="1205">
        <f>3.52+G8102</f>
        <v>3.52</v>
      </c>
      <c r="G8102" s="1205"/>
      <c r="H8102" s="1205">
        <v>0.2</v>
      </c>
      <c r="I8102" s="1129">
        <f t="shared" si="282"/>
        <v>2.82</v>
      </c>
      <c r="K8102" s="1259" t="s">
        <v>2167</v>
      </c>
    </row>
    <row r="8103" spans="1:14" hidden="1" outlineLevel="1">
      <c r="A8103" s="1221"/>
      <c r="B8103" s="295"/>
      <c r="C8103" s="304" t="s">
        <v>1</v>
      </c>
      <c r="D8103" s="623">
        <v>6</v>
      </c>
      <c r="E8103" s="295">
        <v>2</v>
      </c>
      <c r="F8103" s="1205">
        <f>3.215+G8103</f>
        <v>3.2149999999999999</v>
      </c>
      <c r="G8103" s="1205"/>
      <c r="H8103" s="1205">
        <v>0.2</v>
      </c>
      <c r="I8103" s="1129">
        <f t="shared" si="282"/>
        <v>7.72</v>
      </c>
      <c r="K8103" s="1259" t="s">
        <v>2167</v>
      </c>
    </row>
    <row r="8104" spans="1:14" hidden="1" outlineLevel="1">
      <c r="A8104" s="1221"/>
      <c r="B8104" s="295"/>
      <c r="C8104" s="304" t="s">
        <v>1</v>
      </c>
      <c r="D8104" s="302">
        <v>2</v>
      </c>
      <c r="E8104" s="295">
        <v>1</v>
      </c>
      <c r="F8104" s="1205">
        <f>3.215+G8104</f>
        <v>3.2149999999999999</v>
      </c>
      <c r="G8104" s="1205"/>
      <c r="H8104" s="1205">
        <v>0.2</v>
      </c>
      <c r="I8104" s="1129">
        <f t="shared" si="282"/>
        <v>1.29</v>
      </c>
      <c r="K8104" s="1259" t="s">
        <v>2167</v>
      </c>
    </row>
    <row r="8105" spans="1:14" hidden="1" outlineLevel="1">
      <c r="A8105" s="1221"/>
      <c r="B8105" s="295"/>
      <c r="C8105" s="304" t="s">
        <v>1</v>
      </c>
      <c r="D8105" s="302">
        <v>2</v>
      </c>
      <c r="E8105" s="295">
        <v>1</v>
      </c>
      <c r="F8105" s="1205">
        <f>4.215+G8105*2</f>
        <v>4.2149999999999999</v>
      </c>
      <c r="G8105" s="1205"/>
      <c r="H8105" s="1205">
        <v>0.2</v>
      </c>
      <c r="I8105" s="1129">
        <f t="shared" si="282"/>
        <v>1.69</v>
      </c>
      <c r="K8105" s="1259" t="s">
        <v>2167</v>
      </c>
    </row>
    <row r="8106" spans="1:14" hidden="1" outlineLevel="1">
      <c r="A8106" s="1221"/>
      <c r="B8106" s="295" t="s">
        <v>707</v>
      </c>
      <c r="C8106" s="304" t="s">
        <v>1</v>
      </c>
      <c r="D8106" s="302">
        <v>2</v>
      </c>
      <c r="E8106" s="298">
        <v>11</v>
      </c>
      <c r="F8106" s="1205">
        <v>3</v>
      </c>
      <c r="G8106" s="1205"/>
      <c r="H8106" s="1205">
        <v>0.27500000000000002</v>
      </c>
      <c r="I8106" s="1129">
        <f t="shared" si="282"/>
        <v>18.149999999999999</v>
      </c>
      <c r="K8106" s="1259" t="s">
        <v>2167</v>
      </c>
    </row>
    <row r="8107" spans="1:14" ht="51.75" hidden="1" outlineLevel="1">
      <c r="A8107" s="1221"/>
      <c r="B8107" s="601" t="s">
        <v>708</v>
      </c>
      <c r="C8107" s="304"/>
      <c r="D8107" s="301"/>
      <c r="E8107" s="295"/>
      <c r="F8107" s="1205"/>
      <c r="G8107" s="1205"/>
      <c r="H8107" s="1205"/>
      <c r="I8107" s="1129" t="str">
        <f t="shared" si="282"/>
        <v/>
      </c>
      <c r="K8107" s="1259" t="s">
        <v>2167</v>
      </c>
    </row>
    <row r="8108" spans="1:14" hidden="1" outlineLevel="1">
      <c r="A8108" s="1221"/>
      <c r="B8108" s="297" t="s">
        <v>706</v>
      </c>
      <c r="C8108" s="304"/>
      <c r="D8108" s="301"/>
      <c r="E8108" s="295"/>
      <c r="F8108" s="1205"/>
      <c r="G8108" s="1205"/>
      <c r="H8108" s="1205"/>
      <c r="I8108" s="1129" t="str">
        <f t="shared" si="282"/>
        <v/>
      </c>
      <c r="K8108" s="1259" t="s">
        <v>2167</v>
      </c>
    </row>
    <row r="8109" spans="1:14" hidden="1" outlineLevel="1">
      <c r="A8109" s="1221"/>
      <c r="B8109" s="297" t="s">
        <v>616</v>
      </c>
      <c r="C8109" s="304" t="s">
        <v>1</v>
      </c>
      <c r="D8109" s="301">
        <v>2</v>
      </c>
      <c r="E8109" s="295">
        <v>2</v>
      </c>
      <c r="F8109" s="1205">
        <f>3.59+G8109</f>
        <v>3.59</v>
      </c>
      <c r="G8109" s="1205"/>
      <c r="H8109" s="1205">
        <v>0.2</v>
      </c>
      <c r="I8109" s="1129">
        <f t="shared" si="282"/>
        <v>2.87</v>
      </c>
      <c r="K8109" s="1259" t="s">
        <v>2167</v>
      </c>
    </row>
    <row r="8110" spans="1:14" hidden="1" outlineLevel="1">
      <c r="A8110" s="1221"/>
      <c r="B8110" s="295"/>
      <c r="C8110" s="304" t="s">
        <v>1</v>
      </c>
      <c r="D8110" s="301">
        <v>2</v>
      </c>
      <c r="E8110" s="295">
        <v>2</v>
      </c>
      <c r="F8110" s="1205">
        <f>5.725+G8110</f>
        <v>5.7249999999999996</v>
      </c>
      <c r="G8110" s="1205"/>
      <c r="H8110" s="1205">
        <v>0.2</v>
      </c>
      <c r="I8110" s="1129">
        <f t="shared" si="282"/>
        <v>4.58</v>
      </c>
      <c r="K8110" s="1259" t="s">
        <v>2167</v>
      </c>
    </row>
    <row r="8111" spans="1:14" hidden="1" outlineLevel="1">
      <c r="A8111" s="1221"/>
      <c r="B8111" s="295"/>
      <c r="C8111" s="304" t="s">
        <v>1</v>
      </c>
      <c r="D8111" s="301">
        <v>2</v>
      </c>
      <c r="E8111" s="295">
        <v>2</v>
      </c>
      <c r="F8111" s="1205">
        <f>6.64+G8111</f>
        <v>6.64</v>
      </c>
      <c r="G8111" s="1205"/>
      <c r="H8111" s="1205">
        <v>0.2</v>
      </c>
      <c r="I8111" s="1129">
        <f t="shared" si="282"/>
        <v>5.31</v>
      </c>
      <c r="K8111" s="1259" t="s">
        <v>2167</v>
      </c>
    </row>
    <row r="8112" spans="1:14" hidden="1" outlineLevel="1">
      <c r="A8112" s="1221"/>
      <c r="B8112" s="295"/>
      <c r="C8112" s="304" t="s">
        <v>1</v>
      </c>
      <c r="D8112" s="301">
        <v>2</v>
      </c>
      <c r="E8112" s="295">
        <v>2</v>
      </c>
      <c r="F8112" s="1205">
        <f>6.03+G8112</f>
        <v>6.03</v>
      </c>
      <c r="G8112" s="1205"/>
      <c r="H8112" s="1205">
        <v>0.2</v>
      </c>
      <c r="I8112" s="1129">
        <f t="shared" si="282"/>
        <v>4.82</v>
      </c>
      <c r="K8112" s="1259" t="s">
        <v>2167</v>
      </c>
    </row>
    <row r="8113" spans="1:11" hidden="1" outlineLevel="1">
      <c r="A8113" s="1221"/>
      <c r="B8113" s="295"/>
      <c r="C8113" s="304" t="s">
        <v>1</v>
      </c>
      <c r="D8113" s="301">
        <v>2</v>
      </c>
      <c r="E8113" s="295">
        <v>5</v>
      </c>
      <c r="F8113" s="1205">
        <v>0.6</v>
      </c>
      <c r="G8113" s="1205"/>
      <c r="H8113" s="1205">
        <v>0.2</v>
      </c>
      <c r="I8113" s="1129">
        <f t="shared" si="282"/>
        <v>1.2</v>
      </c>
      <c r="K8113" s="1259" t="s">
        <v>2167</v>
      </c>
    </row>
    <row r="8114" spans="1:11" ht="51.75" hidden="1" outlineLevel="1">
      <c r="A8114" s="1221"/>
      <c r="B8114" s="601" t="s">
        <v>709</v>
      </c>
      <c r="C8114" s="304"/>
      <c r="D8114" s="301"/>
      <c r="E8114" s="298"/>
      <c r="F8114" s="1156"/>
      <c r="G8114" s="1156"/>
      <c r="H8114" s="1156"/>
      <c r="I8114" s="1129" t="str">
        <f t="shared" si="282"/>
        <v/>
      </c>
      <c r="K8114" s="1259" t="s">
        <v>2167</v>
      </c>
    </row>
    <row r="8115" spans="1:11" ht="34.5" hidden="1" outlineLevel="1">
      <c r="A8115" s="1221"/>
      <c r="B8115" s="297" t="s">
        <v>710</v>
      </c>
      <c r="C8115" s="304" t="s">
        <v>1</v>
      </c>
      <c r="D8115" s="301">
        <v>2</v>
      </c>
      <c r="E8115" s="298">
        <v>1</v>
      </c>
      <c r="F8115" s="1156">
        <v>4.6349999999999998</v>
      </c>
      <c r="G8115" s="1205"/>
      <c r="H8115" s="1205">
        <v>0.2</v>
      </c>
      <c r="I8115" s="1129">
        <f t="shared" si="282"/>
        <v>1.85</v>
      </c>
      <c r="K8115" s="1259" t="s">
        <v>2167</v>
      </c>
    </row>
    <row r="8116" spans="1:11" hidden="1" outlineLevel="1">
      <c r="A8116" s="1221"/>
      <c r="B8116" s="295"/>
      <c r="C8116" s="304" t="s">
        <v>1</v>
      </c>
      <c r="D8116" s="301">
        <v>2</v>
      </c>
      <c r="E8116" s="329">
        <v>8</v>
      </c>
      <c r="F8116" s="1156">
        <v>7.625</v>
      </c>
      <c r="G8116" s="1205"/>
      <c r="H8116" s="1205">
        <v>0.2</v>
      </c>
      <c r="I8116" s="1129">
        <f t="shared" si="282"/>
        <v>24.4</v>
      </c>
      <c r="K8116" s="1259" t="s">
        <v>2167</v>
      </c>
    </row>
    <row r="8117" spans="1:11" hidden="1" outlineLevel="1">
      <c r="A8117" s="1221"/>
      <c r="B8117" s="295"/>
      <c r="C8117" s="304" t="s">
        <v>1</v>
      </c>
      <c r="D8117" s="301">
        <v>2</v>
      </c>
      <c r="E8117" s="298">
        <v>1</v>
      </c>
      <c r="F8117" s="1156">
        <v>10.14</v>
      </c>
      <c r="G8117" s="1205"/>
      <c r="H8117" s="1205">
        <v>0.2</v>
      </c>
      <c r="I8117" s="1129">
        <f t="shared" si="282"/>
        <v>4.0599999999999996</v>
      </c>
      <c r="K8117" s="1259" t="s">
        <v>2167</v>
      </c>
    </row>
    <row r="8118" spans="1:11" ht="34.5" hidden="1" outlineLevel="1">
      <c r="A8118" s="1221"/>
      <c r="B8118" s="297" t="s">
        <v>711</v>
      </c>
      <c r="C8118" s="304" t="s">
        <v>1</v>
      </c>
      <c r="D8118" s="301">
        <v>2</v>
      </c>
      <c r="E8118" s="298">
        <v>1</v>
      </c>
      <c r="F8118" s="1155">
        <v>14.06</v>
      </c>
      <c r="G8118" s="1205"/>
      <c r="H8118" s="1205">
        <v>0.2</v>
      </c>
      <c r="I8118" s="1129">
        <f t="shared" si="282"/>
        <v>5.62</v>
      </c>
      <c r="K8118" s="1259" t="s">
        <v>2167</v>
      </c>
    </row>
    <row r="8119" spans="1:11" hidden="1" outlineLevel="1">
      <c r="A8119" s="1221"/>
      <c r="B8119" s="295"/>
      <c r="C8119" s="304" t="s">
        <v>1</v>
      </c>
      <c r="D8119" s="301">
        <v>2</v>
      </c>
      <c r="E8119" s="298">
        <f>13-8</f>
        <v>5</v>
      </c>
      <c r="F8119" s="1156">
        <v>7.625</v>
      </c>
      <c r="G8119" s="1205"/>
      <c r="H8119" s="1205">
        <v>0.2</v>
      </c>
      <c r="I8119" s="1129">
        <f t="shared" si="282"/>
        <v>15.25</v>
      </c>
      <c r="K8119" s="1259" t="s">
        <v>2167</v>
      </c>
    </row>
    <row r="8120" spans="1:11" hidden="1" outlineLevel="1">
      <c r="A8120" s="1221"/>
      <c r="B8120" s="295"/>
      <c r="C8120" s="304" t="s">
        <v>1</v>
      </c>
      <c r="D8120" s="301">
        <v>2</v>
      </c>
      <c r="E8120" s="298">
        <v>1</v>
      </c>
      <c r="F8120" s="1156">
        <f>10.215-9.95</f>
        <v>0.26500000000000057</v>
      </c>
      <c r="G8120" s="1205"/>
      <c r="H8120" s="1205">
        <v>0.2</v>
      </c>
      <c r="I8120" s="1129">
        <f t="shared" si="282"/>
        <v>0.11</v>
      </c>
      <c r="K8120" s="1259" t="s">
        <v>2167</v>
      </c>
    </row>
    <row r="8121" spans="1:11" ht="34.5" hidden="1" outlineLevel="1">
      <c r="A8121" s="1221"/>
      <c r="B8121" s="297" t="s">
        <v>712</v>
      </c>
      <c r="C8121" s="304" t="s">
        <v>1</v>
      </c>
      <c r="D8121" s="301">
        <v>2</v>
      </c>
      <c r="E8121" s="298">
        <v>1</v>
      </c>
      <c r="F8121" s="1155">
        <v>7.76</v>
      </c>
      <c r="G8121" s="1205"/>
      <c r="H8121" s="1205">
        <v>0.2</v>
      </c>
      <c r="I8121" s="1129">
        <f t="shared" si="282"/>
        <v>3.1</v>
      </c>
      <c r="K8121" s="1259" t="s">
        <v>2167</v>
      </c>
    </row>
    <row r="8122" spans="1:11" hidden="1" outlineLevel="1">
      <c r="A8122" s="1221"/>
      <c r="B8122" s="295"/>
      <c r="C8122" s="304" t="s">
        <v>1</v>
      </c>
      <c r="D8122" s="301">
        <v>2</v>
      </c>
      <c r="E8122" s="298">
        <v>2</v>
      </c>
      <c r="F8122" s="1156">
        <v>7.625</v>
      </c>
      <c r="G8122" s="1205"/>
      <c r="H8122" s="1205">
        <v>0.2</v>
      </c>
      <c r="I8122" s="1129">
        <f t="shared" si="282"/>
        <v>6.1</v>
      </c>
      <c r="K8122" s="1259" t="s">
        <v>2167</v>
      </c>
    </row>
    <row r="8123" spans="1:11" ht="34.5" hidden="1" outlineLevel="1">
      <c r="A8123" s="1221"/>
      <c r="B8123" s="601" t="s">
        <v>575</v>
      </c>
      <c r="C8123" s="304"/>
      <c r="D8123" s="301"/>
      <c r="E8123" s="298"/>
      <c r="F8123" s="1156"/>
      <c r="G8123" s="1156"/>
      <c r="H8123" s="1156"/>
      <c r="I8123" s="1129" t="str">
        <f t="shared" si="282"/>
        <v/>
      </c>
      <c r="K8123" s="1259"/>
    </row>
    <row r="8124" spans="1:11" ht="34.5" hidden="1" outlineLevel="1">
      <c r="A8124" s="1221"/>
      <c r="B8124" s="297" t="s">
        <v>713</v>
      </c>
      <c r="C8124" s="304"/>
      <c r="D8124" s="301"/>
      <c r="E8124" s="298"/>
      <c r="F8124" s="1156"/>
      <c r="G8124" s="1156"/>
      <c r="H8124" s="1156"/>
      <c r="I8124" s="1129" t="str">
        <f t="shared" si="282"/>
        <v/>
      </c>
      <c r="K8124" s="1259"/>
    </row>
    <row r="8125" spans="1:11" hidden="1" outlineLevel="1">
      <c r="A8125" s="1221"/>
      <c r="B8125" s="295" t="s">
        <v>714</v>
      </c>
      <c r="C8125" s="304" t="s">
        <v>1</v>
      </c>
      <c r="D8125" s="301">
        <v>1</v>
      </c>
      <c r="E8125" s="298">
        <v>10</v>
      </c>
      <c r="F8125" s="1156">
        <f>1.5+3</f>
        <v>4.5</v>
      </c>
      <c r="G8125" s="1156"/>
      <c r="H8125" s="1156">
        <f>(0.8+1.25)/2</f>
        <v>1.0249999999999999</v>
      </c>
      <c r="I8125" s="1164">
        <f t="shared" si="282"/>
        <v>46.13</v>
      </c>
      <c r="K8125" s="1259" t="s">
        <v>2168</v>
      </c>
    </row>
    <row r="8126" spans="1:11" hidden="1" outlineLevel="1">
      <c r="A8126" s="1221"/>
      <c r="B8126" s="295" t="s">
        <v>715</v>
      </c>
      <c r="C8126" s="304" t="s">
        <v>1</v>
      </c>
      <c r="D8126" s="301">
        <v>2</v>
      </c>
      <c r="E8126" s="298">
        <v>8</v>
      </c>
      <c r="F8126" s="1156">
        <f>0.6+0.2+0.2</f>
        <v>1</v>
      </c>
      <c r="G8126" s="1156"/>
      <c r="H8126" s="1156">
        <v>0.8</v>
      </c>
      <c r="I8126" s="1164">
        <f t="shared" si="282"/>
        <v>12.8</v>
      </c>
      <c r="K8126" s="1259" t="s">
        <v>2168</v>
      </c>
    </row>
    <row r="8127" spans="1:11" hidden="1" outlineLevel="1">
      <c r="A8127" s="1221"/>
      <c r="B8127" s="295" t="s">
        <v>716</v>
      </c>
      <c r="C8127" s="304" t="s">
        <v>1</v>
      </c>
      <c r="D8127" s="301">
        <v>2</v>
      </c>
      <c r="E8127" s="329">
        <v>5</v>
      </c>
      <c r="F8127" s="1156">
        <f>1.5+3-0.2*2</f>
        <v>4.0999999999999996</v>
      </c>
      <c r="G8127" s="1156"/>
      <c r="H8127" s="1156">
        <f>(0.8+1.25)/2</f>
        <v>1.0249999999999999</v>
      </c>
      <c r="I8127" s="1164">
        <f t="shared" si="282"/>
        <v>42.03</v>
      </c>
      <c r="K8127" s="1259" t="s">
        <v>2168</v>
      </c>
    </row>
    <row r="8128" spans="1:11" hidden="1" outlineLevel="1">
      <c r="A8128" s="1221"/>
      <c r="B8128" s="295"/>
      <c r="C8128" s="304" t="s">
        <v>1</v>
      </c>
      <c r="D8128" s="301">
        <v>2</v>
      </c>
      <c r="E8128" s="298">
        <v>8</v>
      </c>
      <c r="F8128" s="1156">
        <v>0.6</v>
      </c>
      <c r="G8128" s="1156"/>
      <c r="H8128" s="1156">
        <v>0.8</v>
      </c>
      <c r="I8128" s="1164">
        <f t="shared" si="282"/>
        <v>7.68</v>
      </c>
      <c r="K8128" s="1259" t="s">
        <v>2168</v>
      </c>
    </row>
    <row r="8129" spans="1:11" ht="34.5" hidden="1" outlineLevel="1">
      <c r="A8129" s="1221"/>
      <c r="B8129" s="601" t="s">
        <v>576</v>
      </c>
      <c r="C8129" s="304"/>
      <c r="D8129" s="301"/>
      <c r="E8129" s="298"/>
      <c r="F8129" s="1156"/>
      <c r="G8129" s="1156"/>
      <c r="H8129" s="1156"/>
      <c r="I8129" s="1129" t="str">
        <f t="shared" si="282"/>
        <v/>
      </c>
      <c r="K8129" s="1259"/>
    </row>
    <row r="8130" spans="1:11" ht="34.5" hidden="1" outlineLevel="1">
      <c r="A8130" s="1221"/>
      <c r="B8130" s="297" t="s">
        <v>713</v>
      </c>
      <c r="C8130" s="304"/>
      <c r="D8130" s="301"/>
      <c r="E8130" s="298"/>
      <c r="F8130" s="1156"/>
      <c r="G8130" s="1156"/>
      <c r="H8130" s="1156"/>
      <c r="I8130" s="1129" t="str">
        <f t="shared" si="282"/>
        <v/>
      </c>
      <c r="K8130" s="1259"/>
    </row>
    <row r="8131" spans="1:11" hidden="1" outlineLevel="1">
      <c r="A8131" s="1221"/>
      <c r="B8131" s="295" t="s">
        <v>717</v>
      </c>
      <c r="C8131" s="304" t="s">
        <v>1</v>
      </c>
      <c r="D8131" s="301">
        <v>1</v>
      </c>
      <c r="E8131" s="298">
        <v>10</v>
      </c>
      <c r="F8131" s="1156">
        <f>1.5+3</f>
        <v>4.5</v>
      </c>
      <c r="G8131" s="1156"/>
      <c r="H8131" s="1156">
        <f>(0.8+1.25)/2</f>
        <v>1.0249999999999999</v>
      </c>
      <c r="I8131" s="1164">
        <f t="shared" si="282"/>
        <v>46.13</v>
      </c>
      <c r="K8131" s="1259" t="s">
        <v>2168</v>
      </c>
    </row>
    <row r="8132" spans="1:11" hidden="1" outlineLevel="1">
      <c r="A8132" s="1221"/>
      <c r="B8132" s="295" t="s">
        <v>715</v>
      </c>
      <c r="C8132" s="304" t="s">
        <v>1</v>
      </c>
      <c r="D8132" s="301">
        <v>2</v>
      </c>
      <c r="E8132" s="298">
        <v>8</v>
      </c>
      <c r="F8132" s="1156">
        <f>0.6+0.2+0.2</f>
        <v>1</v>
      </c>
      <c r="G8132" s="1156"/>
      <c r="H8132" s="1156">
        <v>0.8</v>
      </c>
      <c r="I8132" s="1164">
        <f t="shared" si="282"/>
        <v>12.8</v>
      </c>
      <c r="K8132" s="1259" t="s">
        <v>2168</v>
      </c>
    </row>
    <row r="8133" spans="1:11" hidden="1" outlineLevel="1">
      <c r="A8133" s="1221"/>
      <c r="B8133" s="295" t="s">
        <v>716</v>
      </c>
      <c r="C8133" s="304" t="s">
        <v>1</v>
      </c>
      <c r="D8133" s="301">
        <v>2</v>
      </c>
      <c r="E8133" s="298">
        <v>8</v>
      </c>
      <c r="F8133" s="1156">
        <f>1.5+3-0.2*2</f>
        <v>4.0999999999999996</v>
      </c>
      <c r="G8133" s="1156"/>
      <c r="H8133" s="1156">
        <f>(0.8+1.25)/2</f>
        <v>1.0249999999999999</v>
      </c>
      <c r="I8133" s="1164">
        <f t="shared" si="282"/>
        <v>67.239999999999995</v>
      </c>
      <c r="K8133" s="1259" t="s">
        <v>2168</v>
      </c>
    </row>
    <row r="8134" spans="1:11" hidden="1" outlineLevel="1">
      <c r="A8134" s="1221"/>
      <c r="B8134" s="295"/>
      <c r="C8134" s="304" t="s">
        <v>1</v>
      </c>
      <c r="D8134" s="301">
        <v>2</v>
      </c>
      <c r="E8134" s="298">
        <v>8</v>
      </c>
      <c r="F8134" s="1156">
        <v>0.6</v>
      </c>
      <c r="G8134" s="1156"/>
      <c r="H8134" s="1156">
        <v>0.8</v>
      </c>
      <c r="I8134" s="1164">
        <f t="shared" si="282"/>
        <v>7.68</v>
      </c>
      <c r="K8134" s="1259" t="s">
        <v>2168</v>
      </c>
    </row>
    <row r="8135" spans="1:11" ht="34.5" hidden="1" outlineLevel="1">
      <c r="A8135" s="1221"/>
      <c r="B8135" s="601" t="s">
        <v>718</v>
      </c>
      <c r="C8135" s="304"/>
      <c r="D8135" s="301"/>
      <c r="E8135" s="298"/>
      <c r="F8135" s="1156"/>
      <c r="G8135" s="1156"/>
      <c r="H8135" s="1156"/>
      <c r="I8135" s="1129" t="str">
        <f t="shared" si="282"/>
        <v/>
      </c>
      <c r="K8135" s="1259"/>
    </row>
    <row r="8136" spans="1:11" hidden="1" outlineLevel="1">
      <c r="A8136" s="1221"/>
      <c r="B8136" s="295"/>
      <c r="C8136" s="304"/>
      <c r="D8136" s="301"/>
      <c r="E8136" s="298"/>
      <c r="F8136" s="1156"/>
      <c r="G8136" s="1156"/>
      <c r="H8136" s="1156"/>
      <c r="I8136" s="1129" t="str">
        <f t="shared" si="282"/>
        <v/>
      </c>
      <c r="K8136" s="1259"/>
    </row>
    <row r="8137" spans="1:11" hidden="1" outlineLevel="1">
      <c r="A8137" s="1221"/>
      <c r="B8137" s="295" t="s">
        <v>263</v>
      </c>
      <c r="C8137" s="304" t="s">
        <v>1</v>
      </c>
      <c r="D8137" s="301">
        <v>1</v>
      </c>
      <c r="E8137" s="298">
        <v>12</v>
      </c>
      <c r="F8137" s="1156">
        <f>4.5+0.15+0.15</f>
        <v>4.8000000000000007</v>
      </c>
      <c r="G8137" s="1156"/>
      <c r="H8137" s="1156">
        <v>0.3</v>
      </c>
      <c r="I8137" s="1129">
        <f t="shared" si="282"/>
        <v>17.28</v>
      </c>
      <c r="K8137" s="1259" t="s">
        <v>2167</v>
      </c>
    </row>
    <row r="8138" spans="1:11" hidden="1" outlineLevel="1">
      <c r="A8138" s="1221"/>
      <c r="B8138" s="295"/>
      <c r="C8138" s="304" t="s">
        <v>1</v>
      </c>
      <c r="D8138" s="301">
        <v>2</v>
      </c>
      <c r="E8138" s="298">
        <v>9</v>
      </c>
      <c r="F8138" s="1156">
        <f>1+0.15+0.15</f>
        <v>1.2999999999999998</v>
      </c>
      <c r="G8138" s="1156"/>
      <c r="H8138" s="1156">
        <v>0.3</v>
      </c>
      <c r="I8138" s="1129">
        <f t="shared" si="282"/>
        <v>7.02</v>
      </c>
      <c r="K8138" s="1259" t="s">
        <v>2167</v>
      </c>
    </row>
    <row r="8139" spans="1:11" ht="34.5" hidden="1" outlineLevel="1">
      <c r="A8139" s="1221"/>
      <c r="B8139" s="297" t="s">
        <v>713</v>
      </c>
      <c r="C8139" s="304"/>
      <c r="D8139" s="301"/>
      <c r="E8139" s="298"/>
      <c r="F8139" s="1156"/>
      <c r="G8139" s="1156"/>
      <c r="H8139" s="1156"/>
      <c r="I8139" s="1129" t="str">
        <f t="shared" si="282"/>
        <v/>
      </c>
      <c r="K8139" s="1259"/>
    </row>
    <row r="8140" spans="1:11" hidden="1" outlineLevel="1">
      <c r="A8140" s="1221"/>
      <c r="B8140" s="295" t="s">
        <v>714</v>
      </c>
      <c r="C8140" s="304" t="s">
        <v>1</v>
      </c>
      <c r="D8140" s="301">
        <v>1</v>
      </c>
      <c r="E8140" s="298">
        <v>12</v>
      </c>
      <c r="F8140" s="1156">
        <f>1.5+3</f>
        <v>4.5</v>
      </c>
      <c r="G8140" s="1156"/>
      <c r="H8140" s="1156">
        <f>(0.8+1.25)/2</f>
        <v>1.0249999999999999</v>
      </c>
      <c r="I8140" s="1164">
        <f t="shared" si="282"/>
        <v>55.35</v>
      </c>
      <c r="K8140" s="1259" t="s">
        <v>2168</v>
      </c>
    </row>
    <row r="8141" spans="1:11" hidden="1" outlineLevel="1">
      <c r="A8141" s="1221"/>
      <c r="B8141" s="295" t="s">
        <v>715</v>
      </c>
      <c r="C8141" s="304" t="s">
        <v>1</v>
      </c>
      <c r="D8141" s="301">
        <v>2</v>
      </c>
      <c r="E8141" s="298">
        <v>9</v>
      </c>
      <c r="F8141" s="1156">
        <f>0.6+0.2+0.2</f>
        <v>1</v>
      </c>
      <c r="G8141" s="1156"/>
      <c r="H8141" s="1156">
        <v>0.8</v>
      </c>
      <c r="I8141" s="1164">
        <f t="shared" si="282"/>
        <v>14.4</v>
      </c>
      <c r="K8141" s="1259" t="s">
        <v>2168</v>
      </c>
    </row>
    <row r="8142" spans="1:11" hidden="1" outlineLevel="1">
      <c r="A8142" s="1221"/>
      <c r="B8142" s="295" t="s">
        <v>716</v>
      </c>
      <c r="C8142" s="304" t="s">
        <v>1</v>
      </c>
      <c r="D8142" s="301">
        <v>2</v>
      </c>
      <c r="E8142" s="298">
        <v>9</v>
      </c>
      <c r="F8142" s="1156">
        <f>1.5+3-0.2*2</f>
        <v>4.0999999999999996</v>
      </c>
      <c r="G8142" s="1156"/>
      <c r="H8142" s="1156">
        <f>(0.8+1.25)/2</f>
        <v>1.0249999999999999</v>
      </c>
      <c r="I8142" s="1164">
        <f t="shared" si="282"/>
        <v>75.650000000000006</v>
      </c>
      <c r="K8142" s="1259" t="s">
        <v>2168</v>
      </c>
    </row>
    <row r="8143" spans="1:11" hidden="1" outlineLevel="1">
      <c r="A8143" s="1221"/>
      <c r="B8143" s="295"/>
      <c r="C8143" s="304" t="s">
        <v>1</v>
      </c>
      <c r="D8143" s="301">
        <v>2</v>
      </c>
      <c r="E8143" s="298">
        <v>9</v>
      </c>
      <c r="F8143" s="1156">
        <v>0.6</v>
      </c>
      <c r="G8143" s="1156"/>
      <c r="H8143" s="1156">
        <v>0.8</v>
      </c>
      <c r="I8143" s="1164">
        <f t="shared" si="282"/>
        <v>8.64</v>
      </c>
      <c r="K8143" s="1259" t="s">
        <v>2168</v>
      </c>
    </row>
    <row r="8144" spans="1:11" ht="34.5" hidden="1" outlineLevel="1">
      <c r="A8144" s="1221"/>
      <c r="B8144" s="601" t="s">
        <v>576</v>
      </c>
      <c r="C8144" s="304"/>
      <c r="D8144" s="301"/>
      <c r="E8144" s="298"/>
      <c r="F8144" s="1156"/>
      <c r="G8144" s="1156"/>
      <c r="H8144" s="1156"/>
      <c r="I8144" s="1129" t="str">
        <f t="shared" si="282"/>
        <v/>
      </c>
      <c r="K8144" s="1259"/>
    </row>
    <row r="8145" spans="1:14" hidden="1" outlineLevel="1">
      <c r="A8145" s="1221"/>
      <c r="B8145" s="295"/>
      <c r="C8145" s="304"/>
      <c r="D8145" s="301"/>
      <c r="E8145" s="298"/>
      <c r="F8145" s="1156"/>
      <c r="G8145" s="1156"/>
      <c r="H8145" s="1156"/>
      <c r="I8145" s="1129" t="str">
        <f t="shared" si="282"/>
        <v/>
      </c>
      <c r="K8145" s="1259"/>
    </row>
    <row r="8146" spans="1:14" hidden="1" outlineLevel="1">
      <c r="A8146" s="1221"/>
      <c r="B8146" s="295" t="s">
        <v>263</v>
      </c>
      <c r="C8146" s="304" t="s">
        <v>1</v>
      </c>
      <c r="D8146" s="301">
        <v>1</v>
      </c>
      <c r="E8146" s="298">
        <v>10</v>
      </c>
      <c r="F8146" s="1156">
        <f>4.5+0.15+0.15</f>
        <v>4.8000000000000007</v>
      </c>
      <c r="G8146" s="1156"/>
      <c r="H8146" s="1156">
        <v>0.3</v>
      </c>
      <c r="I8146" s="1129">
        <f t="shared" si="282"/>
        <v>14.4</v>
      </c>
      <c r="K8146" s="1259" t="s">
        <v>2167</v>
      </c>
    </row>
    <row r="8147" spans="1:14" hidden="1" outlineLevel="1">
      <c r="A8147" s="1221"/>
      <c r="B8147" s="295"/>
      <c r="C8147" s="304" t="s">
        <v>1</v>
      </c>
      <c r="D8147" s="301">
        <v>2</v>
      </c>
      <c r="E8147" s="298">
        <v>8</v>
      </c>
      <c r="F8147" s="1156">
        <f>1+0.15+0.15</f>
        <v>1.2999999999999998</v>
      </c>
      <c r="G8147" s="1156"/>
      <c r="H8147" s="1156">
        <v>0.3</v>
      </c>
      <c r="I8147" s="1129">
        <f t="shared" si="282"/>
        <v>6.24</v>
      </c>
      <c r="K8147" s="1259" t="s">
        <v>2167</v>
      </c>
    </row>
    <row r="8148" spans="1:14" ht="34.5" hidden="1" outlineLevel="1">
      <c r="A8148" s="1221"/>
      <c r="B8148" s="297" t="s">
        <v>713</v>
      </c>
      <c r="C8148" s="304"/>
      <c r="D8148" s="301"/>
      <c r="E8148" s="298"/>
      <c r="F8148" s="1156"/>
      <c r="G8148" s="1156"/>
      <c r="H8148" s="1156"/>
      <c r="I8148" s="1129" t="str">
        <f t="shared" si="282"/>
        <v/>
      </c>
      <c r="K8148" s="1259"/>
    </row>
    <row r="8149" spans="1:14" hidden="1" outlineLevel="1">
      <c r="A8149" s="1221"/>
      <c r="B8149" s="295" t="s">
        <v>714</v>
      </c>
      <c r="C8149" s="304" t="s">
        <v>1</v>
      </c>
      <c r="D8149" s="301">
        <v>1</v>
      </c>
      <c r="E8149" s="298">
        <v>10</v>
      </c>
      <c r="F8149" s="1156">
        <f>1.5+3</f>
        <v>4.5</v>
      </c>
      <c r="G8149" s="1156"/>
      <c r="H8149" s="1156">
        <f>(0.8+1.25)/2</f>
        <v>1.0249999999999999</v>
      </c>
      <c r="I8149" s="1164">
        <f t="shared" si="282"/>
        <v>46.13</v>
      </c>
      <c r="K8149" s="1259" t="s">
        <v>2168</v>
      </c>
    </row>
    <row r="8150" spans="1:14" hidden="1" outlineLevel="1">
      <c r="A8150" s="1221"/>
      <c r="B8150" s="295" t="s">
        <v>715</v>
      </c>
      <c r="C8150" s="304" t="s">
        <v>1</v>
      </c>
      <c r="D8150" s="301">
        <v>2</v>
      </c>
      <c r="E8150" s="298">
        <v>8</v>
      </c>
      <c r="F8150" s="1156">
        <f>0.6+0.2+0.2</f>
        <v>1</v>
      </c>
      <c r="G8150" s="1156"/>
      <c r="H8150" s="1156">
        <v>0.8</v>
      </c>
      <c r="I8150" s="1164">
        <f t="shared" si="282"/>
        <v>12.8</v>
      </c>
      <c r="K8150" s="1259" t="s">
        <v>2168</v>
      </c>
    </row>
    <row r="8151" spans="1:14" hidden="1" outlineLevel="1">
      <c r="A8151" s="1221"/>
      <c r="B8151" s="295" t="s">
        <v>716</v>
      </c>
      <c r="C8151" s="304" t="s">
        <v>1</v>
      </c>
      <c r="D8151" s="301">
        <v>2</v>
      </c>
      <c r="E8151" s="298">
        <v>8</v>
      </c>
      <c r="F8151" s="1156">
        <f>1.5+3-0.2*2</f>
        <v>4.0999999999999996</v>
      </c>
      <c r="G8151" s="1156"/>
      <c r="H8151" s="1156">
        <f>(0.8+1.25)/2</f>
        <v>1.0249999999999999</v>
      </c>
      <c r="I8151" s="1164">
        <f t="shared" si="282"/>
        <v>67.239999999999995</v>
      </c>
      <c r="K8151" s="1259" t="s">
        <v>2168</v>
      </c>
    </row>
    <row r="8152" spans="1:14" hidden="1" outlineLevel="1">
      <c r="A8152" s="1221"/>
      <c r="B8152" s="295"/>
      <c r="C8152" s="304" t="s">
        <v>1</v>
      </c>
      <c r="D8152" s="301">
        <v>2</v>
      </c>
      <c r="E8152" s="298">
        <v>8</v>
      </c>
      <c r="F8152" s="1156">
        <v>0.6</v>
      </c>
      <c r="G8152" s="1156"/>
      <c r="H8152" s="1156">
        <v>0.8</v>
      </c>
      <c r="I8152" s="1164">
        <f t="shared" si="282"/>
        <v>7.68</v>
      </c>
      <c r="K8152" s="1259" t="s">
        <v>2168</v>
      </c>
    </row>
    <row r="8153" spans="1:14" ht="51.75" hidden="1" outlineLevel="1">
      <c r="A8153" s="1221"/>
      <c r="B8153" s="297" t="s">
        <v>719</v>
      </c>
      <c r="C8153" s="304"/>
      <c r="D8153" s="301"/>
      <c r="E8153" s="298"/>
      <c r="F8153" s="1156" t="s">
        <v>624</v>
      </c>
      <c r="G8153" s="1156"/>
      <c r="H8153" s="1156"/>
      <c r="I8153" s="1129" t="str">
        <f t="shared" si="282"/>
        <v/>
      </c>
      <c r="K8153" s="1259"/>
    </row>
    <row r="8154" spans="1:14" hidden="1" outlineLevel="1">
      <c r="A8154" s="1221"/>
      <c r="B8154" s="295" t="s">
        <v>676</v>
      </c>
      <c r="C8154" s="304" t="s">
        <v>1</v>
      </c>
      <c r="D8154" s="301">
        <v>1</v>
      </c>
      <c r="E8154" s="298">
        <v>1</v>
      </c>
      <c r="F8154" s="1156">
        <f>3.14*21.72</f>
        <v>68.200800000000001</v>
      </c>
      <c r="G8154" s="1156"/>
      <c r="H8154" s="1156">
        <v>0.2</v>
      </c>
      <c r="I8154" s="1129">
        <f t="shared" si="282"/>
        <v>13.64</v>
      </c>
      <c r="K8154" s="1259" t="s">
        <v>2167</v>
      </c>
    </row>
    <row r="8155" spans="1:14" hidden="1" outlineLevel="1">
      <c r="A8155" s="1221"/>
      <c r="B8155" s="295" t="s">
        <v>720</v>
      </c>
      <c r="C8155" s="304" t="s">
        <v>1</v>
      </c>
      <c r="D8155" s="301">
        <v>1</v>
      </c>
      <c r="E8155" s="298">
        <v>1</v>
      </c>
      <c r="F8155" s="1156">
        <f>3.14*18.32</f>
        <v>57.524800000000006</v>
      </c>
      <c r="G8155" s="1156"/>
      <c r="H8155" s="1156">
        <v>0.2</v>
      </c>
      <c r="I8155" s="1129">
        <f t="shared" si="282"/>
        <v>11.5</v>
      </c>
      <c r="K8155" s="1259" t="s">
        <v>2167</v>
      </c>
    </row>
    <row r="8156" spans="1:14" ht="34.5" hidden="1" outlineLevel="1">
      <c r="A8156" s="1221"/>
      <c r="B8156" s="297" t="s">
        <v>721</v>
      </c>
      <c r="C8156" s="304" t="s">
        <v>1</v>
      </c>
      <c r="D8156" s="301">
        <v>1</v>
      </c>
      <c r="E8156" s="298">
        <v>1</v>
      </c>
      <c r="F8156" s="1156">
        <f>3.14*20.52</f>
        <v>64.4328</v>
      </c>
      <c r="G8156" s="1156"/>
      <c r="H8156" s="1156">
        <f>0.75+0.45-0.15-0.1-0.2-0.055-0.15</f>
        <v>0.54499999999999993</v>
      </c>
      <c r="I8156" s="1164">
        <f t="shared" si="282"/>
        <v>35.119999999999997</v>
      </c>
      <c r="K8156" s="1259" t="s">
        <v>2168</v>
      </c>
    </row>
    <row r="8157" spans="1:14" hidden="1" outlineLevel="1">
      <c r="A8157" s="1221"/>
      <c r="B8157" s="295" t="s">
        <v>722</v>
      </c>
      <c r="C8157" s="304" t="s">
        <v>1</v>
      </c>
      <c r="D8157" s="301">
        <v>1</v>
      </c>
      <c r="E8157" s="298">
        <v>1</v>
      </c>
      <c r="F8157" s="1156">
        <f>3.14*20.12</f>
        <v>63.176800000000007</v>
      </c>
      <c r="G8157" s="1156"/>
      <c r="H8157" s="1156">
        <f>0.75+0.45-0.15-0.1-0.2-0.055-0.15</f>
        <v>0.54499999999999993</v>
      </c>
      <c r="I8157" s="1164">
        <f t="shared" si="282"/>
        <v>34.43</v>
      </c>
      <c r="K8157" s="1259" t="s">
        <v>2168</v>
      </c>
    </row>
    <row r="8158" spans="1:14" ht="34.5" hidden="1" outlineLevel="1">
      <c r="A8158" s="1221"/>
      <c r="B8158" s="297" t="s">
        <v>723</v>
      </c>
      <c r="C8158" s="304" t="s">
        <v>1</v>
      </c>
      <c r="D8158" s="301">
        <v>1</v>
      </c>
      <c r="E8158" s="298">
        <v>1</v>
      </c>
      <c r="F8158" s="1156">
        <f>3.14*20.52</f>
        <v>64.4328</v>
      </c>
      <c r="G8158" s="1156"/>
      <c r="H8158" s="1156">
        <v>0.15</v>
      </c>
      <c r="I8158" s="1129">
        <f t="shared" si="282"/>
        <v>9.66</v>
      </c>
      <c r="K8158" s="1259" t="s">
        <v>2167</v>
      </c>
    </row>
    <row r="8159" spans="1:14" hidden="1" outlineLevel="1">
      <c r="A8159" s="1221"/>
      <c r="B8159" s="295" t="s">
        <v>724</v>
      </c>
      <c r="C8159" s="304" t="s">
        <v>1</v>
      </c>
      <c r="D8159" s="301">
        <v>1</v>
      </c>
      <c r="E8159" s="298">
        <v>1</v>
      </c>
      <c r="F8159" s="1156">
        <f>3.14*20.12</f>
        <v>63.176800000000007</v>
      </c>
      <c r="G8159" s="1156"/>
      <c r="H8159" s="1156">
        <f>0.15+0.19</f>
        <v>0.33999999999999997</v>
      </c>
      <c r="I8159" s="1129">
        <f t="shared" si="282"/>
        <v>21.48</v>
      </c>
      <c r="K8159" s="1259" t="s">
        <v>2167</v>
      </c>
    </row>
    <row r="8160" spans="1:14" s="398" customFormat="1" ht="34.5" hidden="1" outlineLevel="1">
      <c r="A8160" s="1250"/>
      <c r="B8160" s="616" t="s">
        <v>1302</v>
      </c>
      <c r="C8160" s="1412"/>
      <c r="D8160" s="437"/>
      <c r="E8160" s="475"/>
      <c r="F8160" s="486"/>
      <c r="G8160" s="486"/>
      <c r="H8160" s="486"/>
      <c r="I8160" s="1129" t="str">
        <f t="shared" si="282"/>
        <v/>
      </c>
      <c r="J8160" s="476"/>
      <c r="K8160" s="1237"/>
      <c r="L8160" s="431"/>
      <c r="M8160" s="431"/>
      <c r="N8160" s="431"/>
    </row>
    <row r="8161" spans="1:16" s="1209" customFormat="1" ht="34.5" hidden="1" outlineLevel="1">
      <c r="A8161" s="1284"/>
      <c r="B8161" s="532" t="s">
        <v>1103</v>
      </c>
      <c r="C8161" s="498"/>
      <c r="D8161" s="500"/>
      <c r="E8161" s="358"/>
      <c r="F8161" s="1393"/>
      <c r="G8161" s="1393"/>
      <c r="H8161" s="1393"/>
      <c r="I8161" s="1188" t="str">
        <f t="shared" ref="I8161:I8224" si="283">IF(D8161&lt;&gt;0,ROUND(PRODUCT(E8161:H8161)*D8161,2),"")</f>
        <v/>
      </c>
      <c r="J8161" s="491"/>
      <c r="K8161" s="1285"/>
    </row>
    <row r="8162" spans="1:16" s="1209" customFormat="1" hidden="1" outlineLevel="1">
      <c r="A8162" s="1284"/>
      <c r="B8162" s="532" t="s">
        <v>810</v>
      </c>
      <c r="C8162" s="498" t="s">
        <v>1</v>
      </c>
      <c r="D8162" s="500">
        <v>2</v>
      </c>
      <c r="E8162" s="358">
        <v>1</v>
      </c>
      <c r="F8162" s="1393">
        <f>9.43+G8162*2</f>
        <v>9.43</v>
      </c>
      <c r="G8162" s="1393"/>
      <c r="H8162" s="1393">
        <v>0.2</v>
      </c>
      <c r="I8162" s="1188">
        <f t="shared" si="283"/>
        <v>3.77</v>
      </c>
      <c r="J8162" s="491"/>
      <c r="K8162" s="1285" t="s">
        <v>2167</v>
      </c>
    </row>
    <row r="8163" spans="1:16" s="398" customFormat="1" hidden="1" outlineLevel="1">
      <c r="A8163" s="1250"/>
      <c r="B8163" s="592"/>
      <c r="C8163" s="498" t="s">
        <v>1</v>
      </c>
      <c r="D8163" s="500">
        <v>2</v>
      </c>
      <c r="E8163" s="358">
        <v>1</v>
      </c>
      <c r="F8163" s="1393">
        <f>9.395+G8163</f>
        <v>9.3949999999999996</v>
      </c>
      <c r="G8163" s="1393"/>
      <c r="H8163" s="1393">
        <v>0.2</v>
      </c>
      <c r="I8163" s="1188">
        <f t="shared" si="283"/>
        <v>3.76</v>
      </c>
      <c r="J8163" s="403"/>
      <c r="K8163" s="1240" t="s">
        <v>2167</v>
      </c>
      <c r="L8163" s="431"/>
      <c r="M8163" s="431"/>
      <c r="N8163" s="431"/>
      <c r="O8163" s="431"/>
      <c r="P8163" s="431"/>
    </row>
    <row r="8164" spans="1:16" s="1209" customFormat="1" hidden="1" outlineLevel="1">
      <c r="A8164" s="1284"/>
      <c r="B8164" s="532" t="s">
        <v>811</v>
      </c>
      <c r="C8164" s="498" t="s">
        <v>1</v>
      </c>
      <c r="D8164" s="500">
        <v>2</v>
      </c>
      <c r="E8164" s="358">
        <v>2</v>
      </c>
      <c r="F8164" s="1393">
        <f>8.175+G8164</f>
        <v>8.1750000000000007</v>
      </c>
      <c r="G8164" s="1393"/>
      <c r="H8164" s="1393">
        <v>0.2</v>
      </c>
      <c r="I8164" s="1188">
        <f t="shared" si="283"/>
        <v>6.54</v>
      </c>
      <c r="J8164" s="491"/>
      <c r="K8164" s="1285" t="s">
        <v>2167</v>
      </c>
    </row>
    <row r="8165" spans="1:16" s="1209" customFormat="1" hidden="1" outlineLevel="1">
      <c r="A8165" s="1284"/>
      <c r="B8165" s="532" t="s">
        <v>812</v>
      </c>
      <c r="C8165" s="498" t="s">
        <v>1</v>
      </c>
      <c r="D8165" s="500">
        <v>2</v>
      </c>
      <c r="E8165" s="358">
        <v>2</v>
      </c>
      <c r="F8165" s="1393">
        <f>6.65+G8165</f>
        <v>6.65</v>
      </c>
      <c r="G8165" s="1393"/>
      <c r="H8165" s="1393">
        <v>0.2</v>
      </c>
      <c r="I8165" s="1188">
        <f t="shared" si="283"/>
        <v>5.32</v>
      </c>
      <c r="J8165" s="491"/>
      <c r="K8165" s="1285" t="s">
        <v>2167</v>
      </c>
    </row>
    <row r="8166" spans="1:16" s="1209" customFormat="1" hidden="1" outlineLevel="1">
      <c r="A8166" s="1284"/>
      <c r="B8166" s="532" t="s">
        <v>813</v>
      </c>
      <c r="C8166" s="498" t="s">
        <v>1</v>
      </c>
      <c r="D8166" s="500">
        <v>2</v>
      </c>
      <c r="E8166" s="358">
        <v>2</v>
      </c>
      <c r="F8166" s="1393">
        <f>4.82+G8166</f>
        <v>4.82</v>
      </c>
      <c r="G8166" s="1393"/>
      <c r="H8166" s="1393">
        <v>0.2</v>
      </c>
      <c r="I8166" s="1188">
        <f t="shared" si="283"/>
        <v>3.86</v>
      </c>
      <c r="J8166" s="491"/>
      <c r="K8166" s="1285" t="s">
        <v>2167</v>
      </c>
    </row>
    <row r="8167" spans="1:16" s="1209" customFormat="1" hidden="1" outlineLevel="1">
      <c r="A8167" s="1284"/>
      <c r="B8167" s="532" t="s">
        <v>814</v>
      </c>
      <c r="C8167" s="498" t="s">
        <v>1</v>
      </c>
      <c r="D8167" s="500">
        <v>2</v>
      </c>
      <c r="E8167" s="358">
        <v>1</v>
      </c>
      <c r="F8167" s="1393">
        <f>3.295+G8167</f>
        <v>3.2949999999999999</v>
      </c>
      <c r="G8167" s="1393"/>
      <c r="H8167" s="1393">
        <v>0.2</v>
      </c>
      <c r="I8167" s="1188">
        <f t="shared" si="283"/>
        <v>1.32</v>
      </c>
      <c r="J8167" s="491"/>
      <c r="K8167" s="1285" t="s">
        <v>2167</v>
      </c>
    </row>
    <row r="8168" spans="1:16" s="398" customFormat="1" hidden="1" outlineLevel="1">
      <c r="A8168" s="1250"/>
      <c r="B8168" s="592"/>
      <c r="C8168" s="498" t="s">
        <v>1</v>
      </c>
      <c r="D8168" s="500">
        <v>2</v>
      </c>
      <c r="E8168" s="358">
        <v>1</v>
      </c>
      <c r="F8168" s="1393">
        <f>3.33+G8168*2</f>
        <v>3.33</v>
      </c>
      <c r="G8168" s="1393"/>
      <c r="H8168" s="1393">
        <v>0.2</v>
      </c>
      <c r="I8168" s="1188">
        <f t="shared" si="283"/>
        <v>1.33</v>
      </c>
      <c r="J8168" s="403"/>
      <c r="K8168" s="1240" t="s">
        <v>2167</v>
      </c>
      <c r="L8168" s="431"/>
      <c r="M8168" s="431"/>
      <c r="N8168" s="431"/>
      <c r="O8168" s="431"/>
      <c r="P8168" s="431"/>
    </row>
    <row r="8169" spans="1:16" s="398" customFormat="1" hidden="1" outlineLevel="1">
      <c r="A8169" s="1250"/>
      <c r="B8169" s="592" t="s">
        <v>815</v>
      </c>
      <c r="C8169" s="498" t="s">
        <v>1</v>
      </c>
      <c r="D8169" s="500">
        <v>2</v>
      </c>
      <c r="E8169" s="489">
        <v>5</v>
      </c>
      <c r="F8169" s="1202">
        <v>0.6</v>
      </c>
      <c r="G8169" s="1393"/>
      <c r="H8169" s="1393">
        <v>0.2</v>
      </c>
      <c r="I8169" s="1188">
        <f t="shared" si="283"/>
        <v>1.2</v>
      </c>
      <c r="J8169" s="404"/>
      <c r="K8169" s="1240" t="s">
        <v>2167</v>
      </c>
      <c r="L8169" s="431"/>
      <c r="M8169" s="431"/>
      <c r="N8169" s="431"/>
    </row>
    <row r="8170" spans="1:16" s="398" customFormat="1" hidden="1" outlineLevel="1">
      <c r="A8170" s="1250"/>
      <c r="B8170" s="592"/>
      <c r="C8170" s="388"/>
      <c r="D8170" s="485"/>
      <c r="E8170" s="408"/>
      <c r="F8170" s="486"/>
      <c r="G8170" s="486"/>
      <c r="H8170" s="486"/>
      <c r="I8170" s="1129" t="str">
        <f t="shared" si="283"/>
        <v/>
      </c>
      <c r="J8170" s="404"/>
      <c r="K8170" s="1240"/>
      <c r="L8170" s="431"/>
      <c r="M8170" s="431"/>
      <c r="N8170" s="431"/>
    </row>
    <row r="8171" spans="1:16" s="398" customFormat="1" ht="51.75" hidden="1" outlineLevel="1">
      <c r="A8171" s="1250"/>
      <c r="B8171" s="592" t="s">
        <v>1104</v>
      </c>
      <c r="C8171" s="165"/>
      <c r="D8171" s="485"/>
      <c r="E8171" s="408"/>
      <c r="F8171" s="486"/>
      <c r="G8171" s="486"/>
      <c r="H8171" s="486"/>
      <c r="I8171" s="1129" t="str">
        <f t="shared" si="283"/>
        <v/>
      </c>
      <c r="J8171" s="404"/>
      <c r="K8171" s="1240"/>
      <c r="L8171" s="431"/>
      <c r="M8171" s="431"/>
      <c r="N8171" s="431"/>
    </row>
    <row r="8172" spans="1:16" s="398" customFormat="1" hidden="1" outlineLevel="1">
      <c r="A8172" s="1250"/>
      <c r="B8172" s="425"/>
      <c r="C8172" s="498" t="s">
        <v>1</v>
      </c>
      <c r="D8172" s="500">
        <v>2</v>
      </c>
      <c r="E8172" s="489">
        <v>1</v>
      </c>
      <c r="F8172" s="486">
        <v>6</v>
      </c>
      <c r="G8172" s="486"/>
      <c r="H8172" s="486">
        <v>0.1</v>
      </c>
      <c r="I8172" s="1188">
        <f t="shared" si="283"/>
        <v>1.2</v>
      </c>
      <c r="J8172" s="404"/>
      <c r="K8172" s="1240" t="s">
        <v>2167</v>
      </c>
      <c r="L8172" s="431"/>
      <c r="M8172" s="431"/>
      <c r="N8172" s="431"/>
    </row>
    <row r="8173" spans="1:16" s="398" customFormat="1" hidden="1" outlineLevel="1">
      <c r="A8173" s="1250"/>
      <c r="B8173" s="425"/>
      <c r="C8173" s="498" t="s">
        <v>1</v>
      </c>
      <c r="D8173" s="485">
        <v>2</v>
      </c>
      <c r="E8173" s="487">
        <v>1</v>
      </c>
      <c r="F8173" s="662">
        <v>2.9249999999999998</v>
      </c>
      <c r="G8173" s="486"/>
      <c r="H8173" s="486">
        <v>0.1</v>
      </c>
      <c r="I8173" s="1188">
        <f t="shared" si="283"/>
        <v>0.59</v>
      </c>
      <c r="J8173" s="404"/>
      <c r="K8173" s="1240" t="s">
        <v>2167</v>
      </c>
      <c r="L8173" s="431"/>
      <c r="M8173" s="431"/>
      <c r="N8173" s="431"/>
    </row>
    <row r="8174" spans="1:16" s="398" customFormat="1" hidden="1" outlineLevel="1">
      <c r="A8174" s="1250"/>
      <c r="B8174" s="425"/>
      <c r="C8174" s="498"/>
      <c r="D8174" s="485"/>
      <c r="E8174" s="408"/>
      <c r="F8174" s="486"/>
      <c r="G8174" s="486"/>
      <c r="H8174" s="486"/>
      <c r="I8174" s="1188" t="str">
        <f t="shared" si="283"/>
        <v/>
      </c>
      <c r="J8174" s="404"/>
      <c r="K8174" s="1240"/>
      <c r="L8174" s="431"/>
      <c r="M8174" s="431"/>
      <c r="N8174" s="431"/>
    </row>
    <row r="8175" spans="1:16" s="398" customFormat="1" ht="34.5" hidden="1" outlineLevel="1">
      <c r="A8175" s="1250"/>
      <c r="B8175" s="592" t="s">
        <v>1105</v>
      </c>
      <c r="C8175" s="165"/>
      <c r="D8175" s="485"/>
      <c r="E8175" s="408"/>
      <c r="F8175" s="486"/>
      <c r="G8175" s="486"/>
      <c r="H8175" s="486"/>
      <c r="I8175" s="1129" t="str">
        <f t="shared" si="283"/>
        <v/>
      </c>
      <c r="J8175" s="404"/>
      <c r="K8175" s="1240"/>
      <c r="L8175" s="431"/>
      <c r="M8175" s="431"/>
      <c r="N8175" s="431"/>
    </row>
    <row r="8176" spans="1:16" s="398" customFormat="1" hidden="1" outlineLevel="1">
      <c r="A8176" s="1250"/>
      <c r="B8176" s="425"/>
      <c r="C8176" s="498" t="s">
        <v>1</v>
      </c>
      <c r="D8176" s="500">
        <v>2</v>
      </c>
      <c r="E8176" s="489">
        <v>1</v>
      </c>
      <c r="F8176" s="486">
        <v>6</v>
      </c>
      <c r="G8176" s="486"/>
      <c r="H8176" s="486">
        <v>0.1</v>
      </c>
      <c r="I8176" s="1188">
        <f t="shared" si="283"/>
        <v>1.2</v>
      </c>
      <c r="J8176" s="404"/>
      <c r="K8176" s="1240" t="s">
        <v>2167</v>
      </c>
      <c r="L8176" s="431"/>
      <c r="M8176" s="431"/>
      <c r="N8176" s="431"/>
    </row>
    <row r="8177" spans="1:14" s="398" customFormat="1" hidden="1" outlineLevel="1">
      <c r="A8177" s="1250"/>
      <c r="B8177" s="425"/>
      <c r="C8177" s="498" t="s">
        <v>1</v>
      </c>
      <c r="D8177" s="485">
        <v>2</v>
      </c>
      <c r="E8177" s="487">
        <v>1</v>
      </c>
      <c r="F8177" s="662">
        <v>2.9249999999999998</v>
      </c>
      <c r="G8177" s="486"/>
      <c r="H8177" s="486">
        <v>0.1</v>
      </c>
      <c r="I8177" s="1188">
        <f t="shared" si="283"/>
        <v>0.59</v>
      </c>
      <c r="J8177" s="404"/>
      <c r="K8177" s="1240" t="s">
        <v>2167</v>
      </c>
      <c r="L8177" s="431"/>
      <c r="M8177" s="431"/>
      <c r="N8177" s="431"/>
    </row>
    <row r="8178" spans="1:14" s="398" customFormat="1" hidden="1" outlineLevel="1">
      <c r="A8178" s="1250"/>
      <c r="B8178" s="425"/>
      <c r="C8178" s="498"/>
      <c r="D8178" s="485"/>
      <c r="E8178" s="408"/>
      <c r="F8178" s="486"/>
      <c r="G8178" s="486"/>
      <c r="H8178" s="486"/>
      <c r="I8178" s="1188" t="str">
        <f t="shared" si="283"/>
        <v/>
      </c>
      <c r="J8178" s="404"/>
      <c r="K8178" s="1240" t="s">
        <v>2167</v>
      </c>
      <c r="L8178" s="431"/>
      <c r="M8178" s="431"/>
      <c r="N8178" s="431"/>
    </row>
    <row r="8179" spans="1:14" s="398" customFormat="1" ht="34.5" hidden="1" outlineLevel="1">
      <c r="A8179" s="1250"/>
      <c r="B8179" s="592" t="s">
        <v>965</v>
      </c>
      <c r="C8179" s="165"/>
      <c r="D8179" s="485"/>
      <c r="E8179" s="408"/>
      <c r="F8179" s="486"/>
      <c r="G8179" s="486"/>
      <c r="H8179" s="486"/>
      <c r="I8179" s="1189" t="str">
        <f t="shared" si="283"/>
        <v/>
      </c>
      <c r="J8179" s="404"/>
      <c r="K8179" s="1240"/>
      <c r="L8179" s="431"/>
      <c r="M8179" s="431"/>
      <c r="N8179" s="431"/>
    </row>
    <row r="8180" spans="1:14" s="398" customFormat="1" hidden="1" outlineLevel="1">
      <c r="A8180" s="1250"/>
      <c r="B8180" s="425"/>
      <c r="C8180" s="498" t="s">
        <v>1</v>
      </c>
      <c r="D8180" s="500">
        <v>2</v>
      </c>
      <c r="E8180" s="489">
        <v>1</v>
      </c>
      <c r="F8180" s="486">
        <v>6</v>
      </c>
      <c r="G8180" s="486"/>
      <c r="H8180" s="486">
        <v>0.1</v>
      </c>
      <c r="I8180" s="1188">
        <f t="shared" si="283"/>
        <v>1.2</v>
      </c>
      <c r="J8180" s="404"/>
      <c r="K8180" s="1240" t="s">
        <v>2167</v>
      </c>
      <c r="L8180" s="431"/>
      <c r="M8180" s="431"/>
      <c r="N8180" s="431"/>
    </row>
    <row r="8181" spans="1:14" s="398" customFormat="1" hidden="1" outlineLevel="1">
      <c r="A8181" s="1250"/>
      <c r="B8181" s="425"/>
      <c r="C8181" s="498" t="s">
        <v>1</v>
      </c>
      <c r="D8181" s="485">
        <v>2</v>
      </c>
      <c r="E8181" s="487">
        <v>1</v>
      </c>
      <c r="F8181" s="662">
        <v>2.9249999999999998</v>
      </c>
      <c r="G8181" s="486"/>
      <c r="H8181" s="486">
        <v>0.1</v>
      </c>
      <c r="I8181" s="1188">
        <f t="shared" si="283"/>
        <v>0.59</v>
      </c>
      <c r="J8181" s="404"/>
      <c r="K8181" s="1240" t="s">
        <v>2167</v>
      </c>
      <c r="L8181" s="431"/>
      <c r="M8181" s="431"/>
      <c r="N8181" s="431"/>
    </row>
    <row r="8182" spans="1:14" s="398" customFormat="1" hidden="1" outlineLevel="1">
      <c r="A8182" s="1250"/>
      <c r="B8182" s="425"/>
      <c r="C8182" s="498"/>
      <c r="D8182" s="485"/>
      <c r="E8182" s="408"/>
      <c r="F8182" s="486"/>
      <c r="G8182" s="486"/>
      <c r="H8182" s="486"/>
      <c r="I8182" s="1188" t="str">
        <f t="shared" si="283"/>
        <v/>
      </c>
      <c r="J8182" s="404"/>
      <c r="K8182" s="1240" t="s">
        <v>2167</v>
      </c>
      <c r="L8182" s="431"/>
      <c r="M8182" s="431"/>
      <c r="N8182" s="431"/>
    </row>
    <row r="8183" spans="1:14" s="398" customFormat="1" ht="34.5" hidden="1" outlineLevel="1">
      <c r="A8183" s="1250"/>
      <c r="B8183" s="592" t="s">
        <v>1106</v>
      </c>
      <c r="C8183" s="165"/>
      <c r="D8183" s="485"/>
      <c r="E8183" s="408"/>
      <c r="F8183" s="486"/>
      <c r="G8183" s="486"/>
      <c r="H8183" s="486"/>
      <c r="I8183" s="1129" t="str">
        <f t="shared" si="283"/>
        <v/>
      </c>
      <c r="J8183" s="404"/>
      <c r="K8183" s="1240"/>
      <c r="L8183" s="431"/>
      <c r="M8183" s="431"/>
      <c r="N8183" s="431"/>
    </row>
    <row r="8184" spans="1:14" s="398" customFormat="1" hidden="1" outlineLevel="1">
      <c r="A8184" s="1250"/>
      <c r="B8184" s="425"/>
      <c r="C8184" s="498" t="s">
        <v>1</v>
      </c>
      <c r="D8184" s="500">
        <v>2</v>
      </c>
      <c r="E8184" s="489">
        <v>1</v>
      </c>
      <c r="F8184" s="486">
        <v>6</v>
      </c>
      <c r="G8184" s="486"/>
      <c r="H8184" s="486">
        <v>0.1</v>
      </c>
      <c r="I8184" s="1188">
        <f t="shared" si="283"/>
        <v>1.2</v>
      </c>
      <c r="J8184" s="404"/>
      <c r="K8184" s="1240" t="s">
        <v>2167</v>
      </c>
      <c r="L8184" s="431"/>
      <c r="M8184" s="431"/>
      <c r="N8184" s="431"/>
    </row>
    <row r="8185" spans="1:14" s="398" customFormat="1" hidden="1" outlineLevel="1">
      <c r="A8185" s="1250"/>
      <c r="B8185" s="425"/>
      <c r="C8185" s="498" t="s">
        <v>1</v>
      </c>
      <c r="D8185" s="485">
        <v>2</v>
      </c>
      <c r="E8185" s="487">
        <v>1</v>
      </c>
      <c r="F8185" s="662">
        <v>2.9249999999999998</v>
      </c>
      <c r="G8185" s="486"/>
      <c r="H8185" s="486">
        <v>0.1</v>
      </c>
      <c r="I8185" s="1188">
        <f t="shared" si="283"/>
        <v>0.59</v>
      </c>
      <c r="J8185" s="404"/>
      <c r="K8185" s="1240" t="s">
        <v>2167</v>
      </c>
      <c r="L8185" s="431"/>
      <c r="M8185" s="431"/>
      <c r="N8185" s="431"/>
    </row>
    <row r="8186" spans="1:14" s="398" customFormat="1" hidden="1" outlineLevel="1">
      <c r="A8186" s="1250"/>
      <c r="B8186" s="425"/>
      <c r="C8186" s="498"/>
      <c r="D8186" s="485"/>
      <c r="E8186" s="408"/>
      <c r="F8186" s="486"/>
      <c r="G8186" s="486"/>
      <c r="H8186" s="486"/>
      <c r="I8186" s="1188" t="str">
        <f t="shared" si="283"/>
        <v/>
      </c>
      <c r="J8186" s="404"/>
      <c r="K8186" s="1240" t="s">
        <v>2167</v>
      </c>
      <c r="L8186" s="431"/>
      <c r="M8186" s="431"/>
      <c r="N8186" s="431"/>
    </row>
    <row r="8187" spans="1:14" s="398" customFormat="1" ht="34.5" hidden="1" outlineLevel="1">
      <c r="A8187" s="1250"/>
      <c r="B8187" s="593" t="s">
        <v>712</v>
      </c>
      <c r="C8187" s="498"/>
      <c r="D8187" s="485"/>
      <c r="E8187" s="408"/>
      <c r="F8187" s="486"/>
      <c r="G8187" s="486"/>
      <c r="H8187" s="486"/>
      <c r="I8187" s="1188" t="str">
        <f t="shared" si="283"/>
        <v/>
      </c>
      <c r="J8187" s="404"/>
      <c r="K8187" s="1240"/>
      <c r="L8187" s="431"/>
      <c r="M8187" s="431"/>
      <c r="N8187" s="431"/>
    </row>
    <row r="8188" spans="1:14" s="356" customFormat="1" hidden="1" outlineLevel="1">
      <c r="A8188" s="1284"/>
      <c r="B8188" s="358"/>
      <c r="C8188" s="498" t="s">
        <v>1</v>
      </c>
      <c r="D8188" s="490">
        <v>2</v>
      </c>
      <c r="E8188" s="387">
        <v>1</v>
      </c>
      <c r="F8188" s="1372">
        <v>7.625</v>
      </c>
      <c r="G8188" s="1372"/>
      <c r="H8188" s="1372">
        <v>0.2</v>
      </c>
      <c r="I8188" s="1188">
        <f t="shared" si="283"/>
        <v>3.05</v>
      </c>
      <c r="J8188" s="491"/>
      <c r="K8188" s="1285" t="s">
        <v>2167</v>
      </c>
    </row>
    <row r="8189" spans="1:14" s="356" customFormat="1" hidden="1" outlineLevel="1">
      <c r="A8189" s="1284"/>
      <c r="B8189" s="358"/>
      <c r="C8189" s="498" t="s">
        <v>1</v>
      </c>
      <c r="D8189" s="490">
        <v>2</v>
      </c>
      <c r="E8189" s="387">
        <v>1</v>
      </c>
      <c r="F8189" s="1372">
        <v>1.1000000000000001</v>
      </c>
      <c r="G8189" s="1372"/>
      <c r="H8189" s="1372">
        <v>0.2</v>
      </c>
      <c r="I8189" s="1188">
        <f t="shared" si="283"/>
        <v>0.44</v>
      </c>
      <c r="J8189" s="491"/>
      <c r="K8189" s="1285" t="s">
        <v>2167</v>
      </c>
    </row>
    <row r="8190" spans="1:14" s="398" customFormat="1" ht="34.5" hidden="1" outlineLevel="1">
      <c r="A8190" s="1250"/>
      <c r="B8190" s="593" t="s">
        <v>1107</v>
      </c>
      <c r="C8190" s="498"/>
      <c r="D8190" s="485"/>
      <c r="E8190" s="408"/>
      <c r="F8190" s="486"/>
      <c r="G8190" s="486"/>
      <c r="H8190" s="486"/>
      <c r="I8190" s="1188" t="str">
        <f t="shared" si="283"/>
        <v/>
      </c>
      <c r="J8190" s="404"/>
      <c r="K8190" s="1240" t="s">
        <v>2167</v>
      </c>
      <c r="L8190" s="431"/>
      <c r="M8190" s="431"/>
      <c r="N8190" s="431"/>
    </row>
    <row r="8191" spans="1:14" s="356" customFormat="1" hidden="1" outlineLevel="1">
      <c r="A8191" s="1284"/>
      <c r="B8191" s="358"/>
      <c r="C8191" s="498" t="s">
        <v>1</v>
      </c>
      <c r="D8191" s="490">
        <v>2</v>
      </c>
      <c r="E8191" s="387">
        <v>1</v>
      </c>
      <c r="F8191" s="1372">
        <v>7.625</v>
      </c>
      <c r="G8191" s="1372"/>
      <c r="H8191" s="1372">
        <v>0.2</v>
      </c>
      <c r="I8191" s="1188">
        <f t="shared" si="283"/>
        <v>3.05</v>
      </c>
      <c r="J8191" s="491"/>
      <c r="K8191" s="1285" t="s">
        <v>2167</v>
      </c>
    </row>
    <row r="8192" spans="1:14" s="356" customFormat="1" hidden="1" outlineLevel="1">
      <c r="A8192" s="1284"/>
      <c r="B8192" s="358"/>
      <c r="C8192" s="498" t="s">
        <v>1</v>
      </c>
      <c r="D8192" s="490">
        <v>2</v>
      </c>
      <c r="E8192" s="387">
        <v>1</v>
      </c>
      <c r="F8192" s="1372">
        <v>7.125</v>
      </c>
      <c r="G8192" s="1372"/>
      <c r="H8192" s="1372">
        <v>0.2</v>
      </c>
      <c r="I8192" s="1188">
        <f t="shared" si="283"/>
        <v>2.85</v>
      </c>
      <c r="J8192" s="491"/>
      <c r="K8192" s="1285" t="s">
        <v>2167</v>
      </c>
    </row>
    <row r="8193" spans="1:14" s="356" customFormat="1" hidden="1" outlineLevel="1">
      <c r="A8193" s="1284"/>
      <c r="B8193" s="358"/>
      <c r="C8193" s="499"/>
      <c r="D8193" s="490"/>
      <c r="E8193" s="387"/>
      <c r="F8193" s="1372"/>
      <c r="G8193" s="1372"/>
      <c r="H8193" s="1372"/>
      <c r="I8193" s="1188" t="str">
        <f t="shared" si="283"/>
        <v/>
      </c>
      <c r="J8193" s="491"/>
      <c r="K8193" s="1285"/>
    </row>
    <row r="8194" spans="1:14" s="398" customFormat="1" ht="34.5" hidden="1" outlineLevel="1">
      <c r="A8194" s="1250"/>
      <c r="B8194" s="592" t="s">
        <v>1108</v>
      </c>
      <c r="C8194" s="498"/>
      <c r="D8194" s="490"/>
      <c r="E8194" s="387"/>
      <c r="F8194" s="1372"/>
      <c r="G8194" s="1372"/>
      <c r="H8194" s="1372"/>
      <c r="I8194" s="1190" t="str">
        <f t="shared" si="283"/>
        <v/>
      </c>
      <c r="J8194" s="404"/>
      <c r="K8194" s="1240"/>
      <c r="L8194" s="431"/>
      <c r="M8194" s="431"/>
      <c r="N8194" s="431"/>
    </row>
    <row r="8195" spans="1:14" s="398" customFormat="1" ht="34.5" hidden="1" outlineLevel="1">
      <c r="A8195" s="1250"/>
      <c r="B8195" s="425" t="s">
        <v>960</v>
      </c>
      <c r="C8195" s="498" t="s">
        <v>1</v>
      </c>
      <c r="D8195" s="437">
        <v>2</v>
      </c>
      <c r="E8195" s="414">
        <v>1</v>
      </c>
      <c r="F8195" s="1372">
        <v>24.945</v>
      </c>
      <c r="G8195" s="486"/>
      <c r="H8195" s="486">
        <v>0.2</v>
      </c>
      <c r="I8195" s="1129">
        <f t="shared" si="283"/>
        <v>9.98</v>
      </c>
      <c r="J8195" s="404"/>
      <c r="K8195" s="1240" t="s">
        <v>2167</v>
      </c>
      <c r="L8195" s="431"/>
      <c r="M8195" s="431"/>
      <c r="N8195" s="431"/>
    </row>
    <row r="8196" spans="1:14" s="398" customFormat="1" hidden="1" outlineLevel="1">
      <c r="A8196" s="1250"/>
      <c r="B8196" s="425"/>
      <c r="C8196" s="498" t="s">
        <v>1</v>
      </c>
      <c r="D8196" s="437">
        <v>2</v>
      </c>
      <c r="E8196" s="414">
        <v>1</v>
      </c>
      <c r="F8196" s="1354">
        <v>13.605</v>
      </c>
      <c r="G8196" s="486"/>
      <c r="H8196" s="486">
        <v>0.2</v>
      </c>
      <c r="I8196" s="1129">
        <f t="shared" si="283"/>
        <v>5.44</v>
      </c>
      <c r="J8196" s="404"/>
      <c r="K8196" s="1240" t="s">
        <v>2167</v>
      </c>
      <c r="L8196" s="431"/>
      <c r="M8196" s="431"/>
      <c r="N8196" s="431"/>
    </row>
    <row r="8197" spans="1:14" s="398" customFormat="1" hidden="1" outlineLevel="1">
      <c r="A8197" s="1250"/>
      <c r="B8197" s="425"/>
      <c r="C8197" s="498" t="s">
        <v>1</v>
      </c>
      <c r="D8197" s="437">
        <v>2</v>
      </c>
      <c r="E8197" s="414">
        <v>1</v>
      </c>
      <c r="F8197" s="1372">
        <v>4.343</v>
      </c>
      <c r="G8197" s="486"/>
      <c r="H8197" s="486">
        <v>0.2</v>
      </c>
      <c r="I8197" s="1129">
        <f t="shared" si="283"/>
        <v>1.74</v>
      </c>
      <c r="J8197" s="404"/>
      <c r="K8197" s="1240" t="s">
        <v>2167</v>
      </c>
      <c r="L8197" s="431"/>
      <c r="M8197" s="431"/>
      <c r="N8197" s="431"/>
    </row>
    <row r="8198" spans="1:14" s="398" customFormat="1" hidden="1" outlineLevel="1">
      <c r="A8198" s="1250"/>
      <c r="B8198" s="425"/>
      <c r="C8198" s="498" t="s">
        <v>1</v>
      </c>
      <c r="D8198" s="437">
        <v>2</v>
      </c>
      <c r="E8198" s="414">
        <v>1</v>
      </c>
      <c r="F8198" s="1372">
        <v>4.7480000000000002</v>
      </c>
      <c r="G8198" s="486"/>
      <c r="H8198" s="486">
        <v>0.2</v>
      </c>
      <c r="I8198" s="1129">
        <f t="shared" si="283"/>
        <v>1.9</v>
      </c>
      <c r="J8198" s="404"/>
      <c r="K8198" s="1240" t="s">
        <v>2167</v>
      </c>
      <c r="L8198" s="431"/>
      <c r="M8198" s="431"/>
      <c r="N8198" s="431"/>
    </row>
    <row r="8199" spans="1:14" s="398" customFormat="1" hidden="1" outlineLevel="1">
      <c r="A8199" s="1250"/>
      <c r="B8199" s="425"/>
      <c r="C8199" s="498" t="s">
        <v>1</v>
      </c>
      <c r="D8199" s="437">
        <v>2</v>
      </c>
      <c r="E8199" s="414">
        <v>1</v>
      </c>
      <c r="F8199" s="1372">
        <f>(0.374)</f>
        <v>0.374</v>
      </c>
      <c r="G8199" s="486"/>
      <c r="H8199" s="486">
        <v>0.2</v>
      </c>
      <c r="I8199" s="1129">
        <f t="shared" si="283"/>
        <v>0.15</v>
      </c>
      <c r="J8199" s="404"/>
      <c r="K8199" s="1240" t="s">
        <v>2167</v>
      </c>
      <c r="L8199" s="431"/>
      <c r="M8199" s="431"/>
      <c r="N8199" s="431"/>
    </row>
    <row r="8200" spans="1:14" s="398" customFormat="1" ht="34.5" hidden="1" outlineLevel="1">
      <c r="A8200" s="1250"/>
      <c r="B8200" s="425" t="s">
        <v>1109</v>
      </c>
      <c r="C8200" s="498" t="s">
        <v>1</v>
      </c>
      <c r="D8200" s="437">
        <v>2</v>
      </c>
      <c r="E8200" s="414">
        <v>1</v>
      </c>
      <c r="F8200" s="1372">
        <v>1.359</v>
      </c>
      <c r="G8200" s="486"/>
      <c r="H8200" s="486">
        <v>0.2</v>
      </c>
      <c r="I8200" s="1129">
        <f t="shared" si="283"/>
        <v>0.54</v>
      </c>
      <c r="J8200" s="404"/>
      <c r="K8200" s="1240" t="s">
        <v>2167</v>
      </c>
      <c r="L8200" s="431"/>
      <c r="M8200" s="431"/>
      <c r="N8200" s="431"/>
    </row>
    <row r="8201" spans="1:14" s="398" customFormat="1" hidden="1" outlineLevel="1">
      <c r="A8201" s="1250"/>
      <c r="B8201" s="425"/>
      <c r="C8201" s="498" t="s">
        <v>1</v>
      </c>
      <c r="D8201" s="437">
        <v>2</v>
      </c>
      <c r="E8201" s="414">
        <v>1</v>
      </c>
      <c r="F8201" s="1372">
        <v>26.228999999999999</v>
      </c>
      <c r="G8201" s="486"/>
      <c r="H8201" s="486">
        <v>0.2</v>
      </c>
      <c r="I8201" s="1129">
        <f t="shared" si="283"/>
        <v>10.49</v>
      </c>
      <c r="J8201" s="404"/>
      <c r="K8201" s="1240" t="s">
        <v>2167</v>
      </c>
      <c r="L8201" s="431"/>
      <c r="M8201" s="431"/>
      <c r="N8201" s="431"/>
    </row>
    <row r="8202" spans="1:14" s="398" customFormat="1" hidden="1" outlineLevel="1">
      <c r="A8202" s="1250"/>
      <c r="B8202" s="425" t="s">
        <v>841</v>
      </c>
      <c r="C8202" s="498" t="s">
        <v>1</v>
      </c>
      <c r="D8202" s="437">
        <v>2</v>
      </c>
      <c r="E8202" s="414">
        <v>1</v>
      </c>
      <c r="F8202" s="1372">
        <v>10.507999999999999</v>
      </c>
      <c r="G8202" s="486"/>
      <c r="H8202" s="486">
        <v>0.2</v>
      </c>
      <c r="I8202" s="1129">
        <f t="shared" si="283"/>
        <v>4.2</v>
      </c>
      <c r="J8202" s="404"/>
      <c r="K8202" s="1240" t="s">
        <v>2167</v>
      </c>
      <c r="L8202" s="431"/>
      <c r="M8202" s="431"/>
      <c r="N8202" s="431"/>
    </row>
    <row r="8203" spans="1:14" s="398" customFormat="1" hidden="1" outlineLevel="1">
      <c r="A8203" s="1250"/>
      <c r="B8203" s="425"/>
      <c r="C8203" s="498" t="s">
        <v>1</v>
      </c>
      <c r="D8203" s="437">
        <v>2</v>
      </c>
      <c r="E8203" s="414">
        <v>1</v>
      </c>
      <c r="F8203" s="1372">
        <v>1.639</v>
      </c>
      <c r="G8203" s="486"/>
      <c r="H8203" s="486">
        <v>0.2</v>
      </c>
      <c r="I8203" s="1129">
        <f t="shared" si="283"/>
        <v>0.66</v>
      </c>
      <c r="J8203" s="404"/>
      <c r="K8203" s="1240" t="s">
        <v>2167</v>
      </c>
      <c r="L8203" s="431"/>
      <c r="M8203" s="431"/>
      <c r="N8203" s="431"/>
    </row>
    <row r="8204" spans="1:14" s="398" customFormat="1" hidden="1" outlineLevel="1">
      <c r="A8204" s="1250"/>
      <c r="B8204" s="425"/>
      <c r="C8204" s="498" t="s">
        <v>1</v>
      </c>
      <c r="D8204" s="437">
        <v>2</v>
      </c>
      <c r="E8204" s="414">
        <v>1</v>
      </c>
      <c r="F8204" s="1354">
        <v>2.0590000000000002</v>
      </c>
      <c r="G8204" s="486"/>
      <c r="H8204" s="486">
        <v>0.2</v>
      </c>
      <c r="I8204" s="1129">
        <f t="shared" si="283"/>
        <v>0.82</v>
      </c>
      <c r="J8204" s="404"/>
      <c r="K8204" s="1240" t="s">
        <v>2167</v>
      </c>
      <c r="L8204" s="431"/>
      <c r="M8204" s="431"/>
      <c r="N8204" s="431"/>
    </row>
    <row r="8205" spans="1:14" s="398" customFormat="1" hidden="1" outlineLevel="1">
      <c r="A8205" s="1250"/>
      <c r="B8205" s="425"/>
      <c r="C8205" s="498" t="s">
        <v>1</v>
      </c>
      <c r="D8205" s="437">
        <v>2</v>
      </c>
      <c r="E8205" s="414">
        <v>1</v>
      </c>
      <c r="F8205" s="1354">
        <v>2.9380000000000002</v>
      </c>
      <c r="G8205" s="486"/>
      <c r="H8205" s="486">
        <v>0.2</v>
      </c>
      <c r="I8205" s="1129">
        <f t="shared" si="283"/>
        <v>1.18</v>
      </c>
      <c r="J8205" s="404"/>
      <c r="K8205" s="1240" t="s">
        <v>2167</v>
      </c>
      <c r="L8205" s="431"/>
      <c r="M8205" s="431"/>
      <c r="N8205" s="431"/>
    </row>
    <row r="8206" spans="1:14" s="398" customFormat="1" hidden="1" outlineLevel="1">
      <c r="A8206" s="1250"/>
      <c r="B8206" s="425"/>
      <c r="C8206" s="498" t="s">
        <v>1</v>
      </c>
      <c r="D8206" s="437">
        <v>2</v>
      </c>
      <c r="E8206" s="414">
        <v>1</v>
      </c>
      <c r="F8206" s="1354">
        <v>7.7949999999999999</v>
      </c>
      <c r="G8206" s="486"/>
      <c r="H8206" s="486">
        <v>0.2</v>
      </c>
      <c r="I8206" s="1129">
        <f t="shared" si="283"/>
        <v>3.12</v>
      </c>
      <c r="J8206" s="404"/>
      <c r="K8206" s="1240" t="s">
        <v>2167</v>
      </c>
      <c r="L8206" s="431"/>
      <c r="M8206" s="431"/>
      <c r="N8206" s="431"/>
    </row>
    <row r="8207" spans="1:14" s="398" customFormat="1" hidden="1" outlineLevel="1">
      <c r="A8207" s="1250"/>
      <c r="B8207" s="425"/>
      <c r="C8207" s="498" t="s">
        <v>1</v>
      </c>
      <c r="D8207" s="437">
        <v>2</v>
      </c>
      <c r="E8207" s="414">
        <v>1</v>
      </c>
      <c r="F8207" s="1354">
        <v>2.0630000000000002</v>
      </c>
      <c r="G8207" s="486"/>
      <c r="H8207" s="486">
        <v>0.2</v>
      </c>
      <c r="I8207" s="1129">
        <f t="shared" si="283"/>
        <v>0.83</v>
      </c>
      <c r="J8207" s="404"/>
      <c r="K8207" s="1240" t="s">
        <v>2167</v>
      </c>
      <c r="L8207" s="431"/>
      <c r="M8207" s="431"/>
      <c r="N8207" s="431"/>
    </row>
    <row r="8208" spans="1:14" s="398" customFormat="1" hidden="1" outlineLevel="1">
      <c r="A8208" s="1250"/>
      <c r="B8208" s="425"/>
      <c r="C8208" s="498" t="s">
        <v>1</v>
      </c>
      <c r="D8208" s="437">
        <v>2</v>
      </c>
      <c r="E8208" s="414">
        <v>1</v>
      </c>
      <c r="F8208" s="1354">
        <v>1.079</v>
      </c>
      <c r="G8208" s="486"/>
      <c r="H8208" s="486">
        <v>0.2</v>
      </c>
      <c r="I8208" s="1129">
        <f t="shared" si="283"/>
        <v>0.43</v>
      </c>
      <c r="J8208" s="404"/>
      <c r="K8208" s="1240" t="s">
        <v>2167</v>
      </c>
      <c r="L8208" s="431"/>
      <c r="M8208" s="431"/>
      <c r="N8208" s="431"/>
    </row>
    <row r="8209" spans="1:14" s="398" customFormat="1" hidden="1" outlineLevel="1">
      <c r="A8209" s="1250"/>
      <c r="B8209" s="425"/>
      <c r="C8209" s="498" t="s">
        <v>1</v>
      </c>
      <c r="D8209" s="437">
        <v>2</v>
      </c>
      <c r="E8209" s="414">
        <v>1</v>
      </c>
      <c r="F8209" s="1354">
        <v>3.2730000000000001</v>
      </c>
      <c r="G8209" s="486"/>
      <c r="H8209" s="486">
        <v>0.2</v>
      </c>
      <c r="I8209" s="1129">
        <f t="shared" si="283"/>
        <v>1.31</v>
      </c>
      <c r="J8209" s="404"/>
      <c r="K8209" s="1240" t="s">
        <v>2167</v>
      </c>
      <c r="L8209" s="431"/>
      <c r="M8209" s="431"/>
      <c r="N8209" s="431"/>
    </row>
    <row r="8210" spans="1:14" s="398" customFormat="1" hidden="1" outlineLevel="1">
      <c r="A8210" s="1250"/>
      <c r="B8210" s="425"/>
      <c r="C8210" s="498" t="s">
        <v>1</v>
      </c>
      <c r="D8210" s="437">
        <v>2</v>
      </c>
      <c r="E8210" s="414">
        <v>1</v>
      </c>
      <c r="F8210" s="1354">
        <v>5.0839999999999996</v>
      </c>
      <c r="G8210" s="486"/>
      <c r="H8210" s="486">
        <v>0.2</v>
      </c>
      <c r="I8210" s="1129">
        <f t="shared" si="283"/>
        <v>2.0299999999999998</v>
      </c>
      <c r="J8210" s="404"/>
      <c r="K8210" s="1240" t="s">
        <v>2167</v>
      </c>
      <c r="L8210" s="431"/>
      <c r="M8210" s="431"/>
      <c r="N8210" s="431"/>
    </row>
    <row r="8211" spans="1:14" s="398" customFormat="1" ht="51.75" hidden="1" outlineLevel="1">
      <c r="A8211" s="1250"/>
      <c r="B8211" s="592" t="s">
        <v>1110</v>
      </c>
      <c r="C8211" s="498" t="s">
        <v>1</v>
      </c>
      <c r="D8211" s="665">
        <f t="shared" ref="D8211:D8214" si="284">2*0</f>
        <v>0</v>
      </c>
      <c r="E8211" s="479">
        <v>1</v>
      </c>
      <c r="F8211" s="1157">
        <v>1.3979999999999999</v>
      </c>
      <c r="G8211" s="614"/>
      <c r="H8211" s="614">
        <v>0.2</v>
      </c>
      <c r="I8211" s="1129" t="str">
        <f t="shared" si="283"/>
        <v/>
      </c>
      <c r="J8211" s="404"/>
      <c r="K8211" s="1240"/>
      <c r="L8211" s="431"/>
      <c r="M8211" s="431"/>
      <c r="N8211" s="431"/>
    </row>
    <row r="8212" spans="1:14" s="398" customFormat="1" hidden="1" outlineLevel="1">
      <c r="A8212" s="1250"/>
      <c r="B8212" s="425"/>
      <c r="C8212" s="498" t="s">
        <v>1</v>
      </c>
      <c r="D8212" s="665">
        <f t="shared" si="284"/>
        <v>0</v>
      </c>
      <c r="E8212" s="479">
        <v>1</v>
      </c>
      <c r="F8212" s="1157">
        <v>6.1820000000000004</v>
      </c>
      <c r="G8212" s="614"/>
      <c r="H8212" s="614">
        <v>0.2</v>
      </c>
      <c r="I8212" s="1129" t="str">
        <f t="shared" si="283"/>
        <v/>
      </c>
      <c r="J8212" s="404"/>
      <c r="K8212" s="1240"/>
      <c r="L8212" s="431"/>
      <c r="M8212" s="431"/>
      <c r="N8212" s="431"/>
    </row>
    <row r="8213" spans="1:14" s="398" customFormat="1" hidden="1" outlineLevel="1">
      <c r="A8213" s="1250"/>
      <c r="B8213" s="425"/>
      <c r="C8213" s="498" t="s">
        <v>1</v>
      </c>
      <c r="D8213" s="665">
        <f t="shared" si="284"/>
        <v>0</v>
      </c>
      <c r="E8213" s="479">
        <v>1</v>
      </c>
      <c r="F8213" s="1157">
        <v>0.23</v>
      </c>
      <c r="G8213" s="614"/>
      <c r="H8213" s="614">
        <v>0.2</v>
      </c>
      <c r="I8213" s="1129" t="str">
        <f t="shared" si="283"/>
        <v/>
      </c>
      <c r="J8213" s="404"/>
      <c r="K8213" s="1240"/>
      <c r="L8213" s="431"/>
      <c r="M8213" s="431"/>
      <c r="N8213" s="431"/>
    </row>
    <row r="8214" spans="1:14" s="398" customFormat="1" hidden="1" outlineLevel="1">
      <c r="A8214" s="1250"/>
      <c r="B8214" s="425"/>
      <c r="C8214" s="498" t="s">
        <v>1</v>
      </c>
      <c r="D8214" s="665">
        <f t="shared" si="284"/>
        <v>0</v>
      </c>
      <c r="E8214" s="479">
        <v>1</v>
      </c>
      <c r="F8214" s="1157">
        <v>8.6950000000000003</v>
      </c>
      <c r="G8214" s="614"/>
      <c r="H8214" s="614">
        <v>0.2</v>
      </c>
      <c r="I8214" s="1129" t="str">
        <f t="shared" si="283"/>
        <v/>
      </c>
      <c r="J8214" s="404"/>
      <c r="K8214" s="1240"/>
      <c r="L8214" s="431"/>
      <c r="M8214" s="431"/>
      <c r="N8214" s="431"/>
    </row>
    <row r="8215" spans="1:14" s="398" customFormat="1" hidden="1" outlineLevel="1">
      <c r="A8215" s="1250"/>
      <c r="B8215" s="425"/>
      <c r="C8215" s="498" t="s">
        <v>1</v>
      </c>
      <c r="D8215" s="438">
        <v>2</v>
      </c>
      <c r="E8215" s="333">
        <v>1</v>
      </c>
      <c r="F8215" s="1354">
        <v>10.409000000000001</v>
      </c>
      <c r="G8215" s="662"/>
      <c r="H8215" s="662">
        <v>0.2</v>
      </c>
      <c r="I8215" s="1167">
        <f t="shared" si="283"/>
        <v>4.16</v>
      </c>
      <c r="J8215" s="404"/>
      <c r="K8215" s="1240" t="s">
        <v>2167</v>
      </c>
      <c r="L8215" s="431"/>
      <c r="M8215" s="431"/>
      <c r="N8215" s="431"/>
    </row>
    <row r="8216" spans="1:14" s="398" customFormat="1" ht="34.5" hidden="1" outlineLevel="1">
      <c r="A8216" s="1250"/>
      <c r="B8216" s="592" t="s">
        <v>1111</v>
      </c>
      <c r="C8216" s="498" t="s">
        <v>1</v>
      </c>
      <c r="D8216" s="665">
        <f t="shared" ref="D8216:D8223" si="285">2*0</f>
        <v>0</v>
      </c>
      <c r="E8216" s="479">
        <v>1</v>
      </c>
      <c r="F8216" s="1157">
        <v>0.89800000000000002</v>
      </c>
      <c r="G8216" s="614"/>
      <c r="H8216" s="614">
        <v>0.2</v>
      </c>
      <c r="I8216" s="1129" t="str">
        <f t="shared" si="283"/>
        <v/>
      </c>
      <c r="J8216" s="404"/>
      <c r="K8216" s="1240"/>
      <c r="L8216" s="431"/>
      <c r="M8216" s="431"/>
      <c r="N8216" s="431"/>
    </row>
    <row r="8217" spans="1:14" s="398" customFormat="1" hidden="1" outlineLevel="1">
      <c r="A8217" s="1250"/>
      <c r="B8217" s="425"/>
      <c r="C8217" s="498" t="s">
        <v>1</v>
      </c>
      <c r="D8217" s="665">
        <f t="shared" si="285"/>
        <v>0</v>
      </c>
      <c r="E8217" s="479">
        <v>1</v>
      </c>
      <c r="F8217" s="1157">
        <v>1.4970000000000001</v>
      </c>
      <c r="G8217" s="614"/>
      <c r="H8217" s="614">
        <v>0.2</v>
      </c>
      <c r="I8217" s="1129" t="str">
        <f t="shared" si="283"/>
        <v/>
      </c>
      <c r="J8217" s="404"/>
      <c r="K8217" s="1240"/>
      <c r="L8217" s="431"/>
      <c r="M8217" s="431"/>
      <c r="N8217" s="431"/>
    </row>
    <row r="8218" spans="1:14" s="398" customFormat="1" hidden="1" outlineLevel="1">
      <c r="A8218" s="1250"/>
      <c r="B8218" s="425"/>
      <c r="C8218" s="498" t="s">
        <v>1</v>
      </c>
      <c r="D8218" s="665">
        <f t="shared" si="285"/>
        <v>0</v>
      </c>
      <c r="E8218" s="479">
        <v>1</v>
      </c>
      <c r="F8218" s="1157">
        <v>1.6020000000000001</v>
      </c>
      <c r="G8218" s="614"/>
      <c r="H8218" s="614">
        <v>0.2</v>
      </c>
      <c r="I8218" s="1129" t="str">
        <f t="shared" si="283"/>
        <v/>
      </c>
      <c r="J8218" s="404"/>
      <c r="K8218" s="1240"/>
      <c r="L8218" s="431"/>
      <c r="M8218" s="431"/>
      <c r="N8218" s="431"/>
    </row>
    <row r="8219" spans="1:14" s="398" customFormat="1" hidden="1" outlineLevel="1">
      <c r="A8219" s="1250"/>
      <c r="B8219" s="425"/>
      <c r="C8219" s="498" t="s">
        <v>1</v>
      </c>
      <c r="D8219" s="665">
        <f t="shared" si="285"/>
        <v>0</v>
      </c>
      <c r="E8219" s="479">
        <v>1</v>
      </c>
      <c r="F8219" s="1157">
        <v>1.012</v>
      </c>
      <c r="G8219" s="614"/>
      <c r="H8219" s="614">
        <v>0.2</v>
      </c>
      <c r="I8219" s="1129" t="str">
        <f t="shared" si="283"/>
        <v/>
      </c>
      <c r="J8219" s="404"/>
      <c r="K8219" s="1240"/>
      <c r="L8219" s="431"/>
      <c r="M8219" s="431"/>
      <c r="N8219" s="431"/>
    </row>
    <row r="8220" spans="1:14" s="398" customFormat="1" hidden="1" outlineLevel="1">
      <c r="A8220" s="1250"/>
      <c r="B8220" s="425"/>
      <c r="C8220" s="498" t="s">
        <v>1</v>
      </c>
      <c r="D8220" s="665">
        <f t="shared" si="285"/>
        <v>0</v>
      </c>
      <c r="E8220" s="479">
        <v>1</v>
      </c>
      <c r="F8220" s="1157">
        <v>4.1719999999999997</v>
      </c>
      <c r="G8220" s="614"/>
      <c r="H8220" s="614">
        <v>0.2</v>
      </c>
      <c r="I8220" s="1129" t="str">
        <f t="shared" si="283"/>
        <v/>
      </c>
      <c r="J8220" s="404"/>
      <c r="K8220" s="1240"/>
      <c r="L8220" s="431"/>
      <c r="M8220" s="431"/>
      <c r="N8220" s="431"/>
    </row>
    <row r="8221" spans="1:14" s="398" customFormat="1" hidden="1" outlineLevel="1">
      <c r="A8221" s="1250"/>
      <c r="B8221" s="425"/>
      <c r="C8221" s="498" t="s">
        <v>1</v>
      </c>
      <c r="D8221" s="665">
        <f t="shared" si="285"/>
        <v>0</v>
      </c>
      <c r="E8221" s="479">
        <v>1</v>
      </c>
      <c r="F8221" s="1157">
        <v>10.42</v>
      </c>
      <c r="G8221" s="614"/>
      <c r="H8221" s="614">
        <v>0.2</v>
      </c>
      <c r="I8221" s="1129" t="str">
        <f t="shared" si="283"/>
        <v/>
      </c>
      <c r="J8221" s="404"/>
      <c r="K8221" s="1240"/>
      <c r="L8221" s="431"/>
      <c r="M8221" s="431"/>
      <c r="N8221" s="431"/>
    </row>
    <row r="8222" spans="1:14" s="398" customFormat="1" hidden="1" outlineLevel="1">
      <c r="A8222" s="1250"/>
      <c r="B8222" s="425"/>
      <c r="C8222" s="498" t="s">
        <v>1</v>
      </c>
      <c r="D8222" s="665">
        <f t="shared" si="285"/>
        <v>0</v>
      </c>
      <c r="E8222" s="479">
        <v>1</v>
      </c>
      <c r="F8222" s="1157">
        <v>0.217</v>
      </c>
      <c r="G8222" s="614"/>
      <c r="H8222" s="614">
        <v>0.2</v>
      </c>
      <c r="I8222" s="1129" t="str">
        <f t="shared" si="283"/>
        <v/>
      </c>
      <c r="J8222" s="404"/>
      <c r="K8222" s="1240"/>
      <c r="L8222" s="431"/>
      <c r="M8222" s="431"/>
      <c r="N8222" s="431"/>
    </row>
    <row r="8223" spans="1:14" s="398" customFormat="1" hidden="1" outlineLevel="1">
      <c r="A8223" s="1250"/>
      <c r="B8223" s="425"/>
      <c r="C8223" s="498" t="s">
        <v>1</v>
      </c>
      <c r="D8223" s="665">
        <f t="shared" si="285"/>
        <v>0</v>
      </c>
      <c r="E8223" s="479">
        <v>1</v>
      </c>
      <c r="F8223" s="1157">
        <v>4.0110000000000001</v>
      </c>
      <c r="G8223" s="614"/>
      <c r="H8223" s="614">
        <v>0.2</v>
      </c>
      <c r="I8223" s="1129" t="str">
        <f t="shared" si="283"/>
        <v/>
      </c>
      <c r="J8223" s="404"/>
      <c r="K8223" s="1240"/>
      <c r="L8223" s="431"/>
      <c r="M8223" s="431"/>
      <c r="N8223" s="431"/>
    </row>
    <row r="8224" spans="1:14" s="398" customFormat="1" hidden="1" outlineLevel="1">
      <c r="A8224" s="1250"/>
      <c r="B8224" s="425"/>
      <c r="C8224" s="498" t="s">
        <v>1</v>
      </c>
      <c r="D8224" s="848">
        <v>2</v>
      </c>
      <c r="E8224" s="637">
        <v>1</v>
      </c>
      <c r="F8224" s="1354">
        <v>23.472000000000001</v>
      </c>
      <c r="G8224" s="1354"/>
      <c r="H8224" s="1354">
        <v>0.2</v>
      </c>
      <c r="I8224" s="1167">
        <f t="shared" si="283"/>
        <v>9.39</v>
      </c>
      <c r="J8224" s="404"/>
      <c r="K8224" s="1240" t="s">
        <v>2167</v>
      </c>
      <c r="L8224" s="431"/>
      <c r="M8224" s="431"/>
      <c r="N8224" s="431"/>
    </row>
    <row r="8225" spans="1:14" s="398" customFormat="1" ht="51.75" hidden="1" outlineLevel="1">
      <c r="A8225" s="1250"/>
      <c r="B8225" s="592" t="s">
        <v>1112</v>
      </c>
      <c r="C8225" s="498" t="s">
        <v>1</v>
      </c>
      <c r="D8225" s="437">
        <v>2</v>
      </c>
      <c r="E8225" s="414">
        <v>1</v>
      </c>
      <c r="F8225" s="1372">
        <v>15.694000000000001</v>
      </c>
      <c r="G8225" s="486"/>
      <c r="H8225" s="486">
        <v>0.2</v>
      </c>
      <c r="I8225" s="1129">
        <f t="shared" ref="I8225:I8288" si="286">IF(D8225&lt;&gt;0,ROUND(PRODUCT(E8225:H8225)*D8225,2),"")</f>
        <v>6.28</v>
      </c>
      <c r="J8225" s="404"/>
      <c r="K8225" s="1240" t="s">
        <v>2167</v>
      </c>
      <c r="L8225" s="431"/>
      <c r="M8225" s="431"/>
      <c r="N8225" s="431"/>
    </row>
    <row r="8226" spans="1:14" s="398" customFormat="1" hidden="1" outlineLevel="1">
      <c r="A8226" s="1250"/>
      <c r="B8226" s="425"/>
      <c r="C8226" s="498" t="s">
        <v>1</v>
      </c>
      <c r="D8226" s="437">
        <v>2</v>
      </c>
      <c r="E8226" s="414">
        <v>1</v>
      </c>
      <c r="F8226" s="1372">
        <v>0.22500000000000001</v>
      </c>
      <c r="G8226" s="486"/>
      <c r="H8226" s="486">
        <v>0.2</v>
      </c>
      <c r="I8226" s="1129">
        <f t="shared" si="286"/>
        <v>0.09</v>
      </c>
      <c r="J8226" s="404"/>
      <c r="K8226" s="1240" t="s">
        <v>2167</v>
      </c>
      <c r="L8226" s="431"/>
      <c r="M8226" s="431"/>
      <c r="N8226" s="431"/>
    </row>
    <row r="8227" spans="1:14" s="398" customFormat="1" ht="34.5" hidden="1" outlineLevel="1">
      <c r="A8227" s="1250"/>
      <c r="B8227" s="592" t="s">
        <v>1113</v>
      </c>
      <c r="C8227" s="498" t="s">
        <v>1</v>
      </c>
      <c r="D8227" s="437">
        <v>2</v>
      </c>
      <c r="E8227" s="414">
        <v>1</v>
      </c>
      <c r="F8227" s="1372">
        <v>1.4970000000000001</v>
      </c>
      <c r="G8227" s="486"/>
      <c r="H8227" s="486">
        <v>0.2</v>
      </c>
      <c r="I8227" s="1129">
        <f t="shared" si="286"/>
        <v>0.6</v>
      </c>
      <c r="J8227" s="404"/>
      <c r="K8227" s="1240" t="s">
        <v>2167</v>
      </c>
      <c r="L8227" s="431"/>
      <c r="M8227" s="431"/>
      <c r="N8227" s="431"/>
    </row>
    <row r="8228" spans="1:14" s="398" customFormat="1" hidden="1" outlineLevel="1">
      <c r="A8228" s="1250"/>
      <c r="B8228" s="425"/>
      <c r="C8228" s="498" t="s">
        <v>1</v>
      </c>
      <c r="D8228" s="437">
        <v>2</v>
      </c>
      <c r="E8228" s="414">
        <v>1</v>
      </c>
      <c r="F8228" s="1372">
        <v>1.6</v>
      </c>
      <c r="G8228" s="486"/>
      <c r="H8228" s="486">
        <v>0.2</v>
      </c>
      <c r="I8228" s="1129">
        <f t="shared" si="286"/>
        <v>0.64</v>
      </c>
      <c r="J8228" s="404"/>
      <c r="K8228" s="1240" t="s">
        <v>2167</v>
      </c>
      <c r="L8228" s="431"/>
      <c r="M8228" s="431"/>
      <c r="N8228" s="431"/>
    </row>
    <row r="8229" spans="1:14" s="398" customFormat="1" hidden="1" outlineLevel="1">
      <c r="A8229" s="1250"/>
      <c r="B8229" s="425"/>
      <c r="C8229" s="498" t="s">
        <v>1</v>
      </c>
      <c r="D8229" s="437">
        <v>2</v>
      </c>
      <c r="E8229" s="414">
        <v>1</v>
      </c>
      <c r="F8229" s="1372">
        <v>3.43</v>
      </c>
      <c r="G8229" s="486"/>
      <c r="H8229" s="486">
        <v>0.2</v>
      </c>
      <c r="I8229" s="1129">
        <f t="shared" si="286"/>
        <v>1.37</v>
      </c>
      <c r="J8229" s="404"/>
      <c r="K8229" s="1240" t="s">
        <v>2167</v>
      </c>
      <c r="L8229" s="431"/>
      <c r="M8229" s="431"/>
      <c r="N8229" s="431"/>
    </row>
    <row r="8230" spans="1:14" s="398" customFormat="1" hidden="1" outlineLevel="1">
      <c r="A8230" s="1250"/>
      <c r="B8230" s="425"/>
      <c r="C8230" s="498" t="s">
        <v>1</v>
      </c>
      <c r="D8230" s="437">
        <v>2</v>
      </c>
      <c r="E8230" s="414">
        <v>1</v>
      </c>
      <c r="F8230" s="1372">
        <v>1.4970000000000001</v>
      </c>
      <c r="G8230" s="486"/>
      <c r="H8230" s="486">
        <v>0.2</v>
      </c>
      <c r="I8230" s="1129">
        <f t="shared" si="286"/>
        <v>0.6</v>
      </c>
      <c r="J8230" s="404"/>
      <c r="K8230" s="1240" t="s">
        <v>2167</v>
      </c>
      <c r="L8230" s="431"/>
      <c r="M8230" s="431"/>
      <c r="N8230" s="431"/>
    </row>
    <row r="8231" spans="1:14" s="398" customFormat="1" hidden="1" outlineLevel="1">
      <c r="A8231" s="1250"/>
      <c r="B8231" s="425"/>
      <c r="C8231" s="498" t="s">
        <v>1</v>
      </c>
      <c r="D8231" s="437">
        <v>2</v>
      </c>
      <c r="E8231" s="414">
        <v>1</v>
      </c>
      <c r="F8231" s="1372">
        <v>3.7349999999999999</v>
      </c>
      <c r="G8231" s="486"/>
      <c r="H8231" s="486">
        <v>0.2</v>
      </c>
      <c r="I8231" s="1129">
        <f t="shared" si="286"/>
        <v>1.49</v>
      </c>
      <c r="J8231" s="404"/>
      <c r="K8231" s="1240" t="s">
        <v>2167</v>
      </c>
      <c r="L8231" s="431"/>
      <c r="M8231" s="431"/>
      <c r="N8231" s="431"/>
    </row>
    <row r="8232" spans="1:14" s="398" customFormat="1" hidden="1" outlineLevel="1">
      <c r="A8232" s="1250"/>
      <c r="B8232" s="425"/>
      <c r="C8232" s="498" t="s">
        <v>1</v>
      </c>
      <c r="D8232" s="437">
        <v>2</v>
      </c>
      <c r="E8232" s="414">
        <v>1</v>
      </c>
      <c r="F8232" s="1372">
        <v>4.3449999999999998</v>
      </c>
      <c r="G8232" s="486"/>
      <c r="H8232" s="486">
        <v>0.2</v>
      </c>
      <c r="I8232" s="1129">
        <f t="shared" si="286"/>
        <v>1.74</v>
      </c>
      <c r="J8232" s="404"/>
      <c r="K8232" s="1240" t="s">
        <v>2167</v>
      </c>
      <c r="L8232" s="431"/>
      <c r="M8232" s="431"/>
      <c r="N8232" s="431"/>
    </row>
    <row r="8233" spans="1:14" s="398" customFormat="1" ht="69" hidden="1" outlineLevel="1">
      <c r="A8233" s="1250"/>
      <c r="B8233" s="592" t="s">
        <v>1114</v>
      </c>
      <c r="C8233" s="498" t="s">
        <v>1</v>
      </c>
      <c r="D8233" s="437">
        <v>2</v>
      </c>
      <c r="E8233" s="414">
        <v>1</v>
      </c>
      <c r="F8233" s="1372">
        <v>2.3860000000000001</v>
      </c>
      <c r="G8233" s="486"/>
      <c r="H8233" s="486">
        <v>0.2</v>
      </c>
      <c r="I8233" s="1129">
        <f t="shared" si="286"/>
        <v>0.95</v>
      </c>
      <c r="J8233" s="404"/>
      <c r="K8233" s="1240" t="s">
        <v>2167</v>
      </c>
      <c r="L8233" s="431"/>
      <c r="M8233" s="431"/>
      <c r="N8233" s="431"/>
    </row>
    <row r="8234" spans="1:14" s="398" customFormat="1" hidden="1" outlineLevel="1">
      <c r="A8234" s="1250"/>
      <c r="B8234" s="425"/>
      <c r="C8234" s="498" t="s">
        <v>1</v>
      </c>
      <c r="D8234" s="437">
        <v>2</v>
      </c>
      <c r="E8234" s="414">
        <v>1</v>
      </c>
      <c r="F8234" s="1372">
        <f>8.255+4.207+7.541</f>
        <v>20.003</v>
      </c>
      <c r="G8234" s="486"/>
      <c r="H8234" s="486">
        <v>0.2</v>
      </c>
      <c r="I8234" s="1129">
        <f t="shared" si="286"/>
        <v>8</v>
      </c>
      <c r="J8234" s="404"/>
      <c r="K8234" s="1240" t="s">
        <v>2167</v>
      </c>
      <c r="L8234" s="431"/>
      <c r="M8234" s="431"/>
      <c r="N8234" s="431"/>
    </row>
    <row r="8235" spans="1:14" s="398" customFormat="1" hidden="1" outlineLevel="1">
      <c r="A8235" s="1250"/>
      <c r="B8235" s="425" t="s">
        <v>847</v>
      </c>
      <c r="C8235" s="498" t="s">
        <v>1</v>
      </c>
      <c r="D8235" s="437">
        <v>2</v>
      </c>
      <c r="E8235" s="414">
        <v>1</v>
      </c>
      <c r="F8235" s="1354">
        <v>33.331000000000003</v>
      </c>
      <c r="G8235" s="486"/>
      <c r="H8235" s="486">
        <v>0.2</v>
      </c>
      <c r="I8235" s="1129">
        <f t="shared" si="286"/>
        <v>13.33</v>
      </c>
      <c r="J8235" s="404"/>
      <c r="K8235" s="1240" t="s">
        <v>2167</v>
      </c>
      <c r="L8235" s="431"/>
      <c r="M8235" s="431"/>
      <c r="N8235" s="431"/>
    </row>
    <row r="8236" spans="1:14" s="398" customFormat="1" ht="34.5" hidden="1" outlineLevel="1">
      <c r="A8236" s="1250"/>
      <c r="B8236" s="425" t="s">
        <v>848</v>
      </c>
      <c r="C8236" s="498" t="s">
        <v>1</v>
      </c>
      <c r="D8236" s="437">
        <v>2</v>
      </c>
      <c r="E8236" s="414">
        <v>1</v>
      </c>
      <c r="F8236" s="1354">
        <v>31.771000000000001</v>
      </c>
      <c r="G8236" s="486"/>
      <c r="H8236" s="486">
        <v>0.2</v>
      </c>
      <c r="I8236" s="1129">
        <f t="shared" si="286"/>
        <v>12.71</v>
      </c>
      <c r="J8236" s="404"/>
      <c r="K8236" s="1240" t="s">
        <v>2167</v>
      </c>
      <c r="L8236" s="431"/>
      <c r="M8236" s="431"/>
      <c r="N8236" s="431"/>
    </row>
    <row r="8237" spans="1:14" s="398" customFormat="1" hidden="1" outlineLevel="1">
      <c r="A8237" s="1250"/>
      <c r="B8237" s="425"/>
      <c r="C8237" s="498" t="s">
        <v>1</v>
      </c>
      <c r="D8237" s="437">
        <v>2</v>
      </c>
      <c r="E8237" s="414">
        <v>1</v>
      </c>
      <c r="F8237" s="1354">
        <v>4.3730000000000002</v>
      </c>
      <c r="G8237" s="486"/>
      <c r="H8237" s="486">
        <v>0.2</v>
      </c>
      <c r="I8237" s="1129">
        <f t="shared" si="286"/>
        <v>1.75</v>
      </c>
      <c r="J8237" s="404"/>
      <c r="K8237" s="1240" t="s">
        <v>2167</v>
      </c>
      <c r="L8237" s="431"/>
      <c r="M8237" s="431"/>
      <c r="N8237" s="431"/>
    </row>
    <row r="8238" spans="1:14" s="398" customFormat="1" hidden="1" outlineLevel="1">
      <c r="A8238" s="1250"/>
      <c r="B8238" s="425"/>
      <c r="C8238" s="498" t="s">
        <v>1</v>
      </c>
      <c r="D8238" s="437">
        <v>2</v>
      </c>
      <c r="E8238" s="414">
        <v>1</v>
      </c>
      <c r="F8238" s="1354">
        <v>0.17</v>
      </c>
      <c r="G8238" s="486"/>
      <c r="H8238" s="486">
        <v>0.2</v>
      </c>
      <c r="I8238" s="1129">
        <f t="shared" si="286"/>
        <v>7.0000000000000007E-2</v>
      </c>
      <c r="J8238" s="404"/>
      <c r="K8238" s="1240" t="s">
        <v>2167</v>
      </c>
      <c r="L8238" s="431"/>
      <c r="M8238" s="431"/>
      <c r="N8238" s="431"/>
    </row>
    <row r="8239" spans="1:14" s="398" customFormat="1" ht="51.75" hidden="1" outlineLevel="1">
      <c r="A8239" s="1250"/>
      <c r="B8239" s="592" t="s">
        <v>1115</v>
      </c>
      <c r="C8239" s="165"/>
      <c r="D8239" s="437"/>
      <c r="E8239" s="414"/>
      <c r="F8239" s="1372"/>
      <c r="G8239" s="486"/>
      <c r="H8239" s="486"/>
      <c r="I8239" s="1129" t="str">
        <f t="shared" si="286"/>
        <v/>
      </c>
      <c r="J8239" s="404"/>
      <c r="K8239" s="1240"/>
      <c r="L8239" s="431"/>
      <c r="M8239" s="431"/>
      <c r="N8239" s="431"/>
    </row>
    <row r="8240" spans="1:14" s="398" customFormat="1" ht="34.5" hidden="1" outlineLevel="1">
      <c r="A8240" s="1250"/>
      <c r="B8240" s="425" t="s">
        <v>850</v>
      </c>
      <c r="C8240" s="498" t="s">
        <v>1</v>
      </c>
      <c r="D8240" s="437">
        <v>2</v>
      </c>
      <c r="E8240" s="414">
        <v>1</v>
      </c>
      <c r="F8240" s="1354">
        <v>18.742999999999999</v>
      </c>
      <c r="G8240" s="486"/>
      <c r="H8240" s="486">
        <v>0.2</v>
      </c>
      <c r="I8240" s="1129">
        <f t="shared" si="286"/>
        <v>7.5</v>
      </c>
      <c r="J8240" s="404"/>
      <c r="K8240" s="1240" t="s">
        <v>2167</v>
      </c>
      <c r="L8240" s="431"/>
      <c r="M8240" s="431"/>
      <c r="N8240" s="431"/>
    </row>
    <row r="8241" spans="1:14" s="398" customFormat="1" hidden="1" outlineLevel="1">
      <c r="A8241" s="1250"/>
      <c r="B8241" s="425"/>
      <c r="C8241" s="498" t="s">
        <v>1</v>
      </c>
      <c r="D8241" s="437">
        <v>2</v>
      </c>
      <c r="E8241" s="414">
        <v>1</v>
      </c>
      <c r="F8241" s="1372">
        <f>0.168+9.528+0.172</f>
        <v>9.8680000000000003</v>
      </c>
      <c r="G8241" s="486"/>
      <c r="H8241" s="486">
        <v>0.2</v>
      </c>
      <c r="I8241" s="1129">
        <f t="shared" si="286"/>
        <v>3.95</v>
      </c>
      <c r="J8241" s="404"/>
      <c r="K8241" s="1240" t="s">
        <v>2167</v>
      </c>
      <c r="L8241" s="431"/>
      <c r="M8241" s="431"/>
      <c r="N8241" s="431"/>
    </row>
    <row r="8242" spans="1:14" s="398" customFormat="1" hidden="1" outlineLevel="1">
      <c r="A8242" s="1250"/>
      <c r="B8242" s="425"/>
      <c r="C8242" s="498" t="s">
        <v>1</v>
      </c>
      <c r="D8242" s="437">
        <v>2</v>
      </c>
      <c r="E8242" s="414">
        <v>1</v>
      </c>
      <c r="F8242" s="1354">
        <v>7.05</v>
      </c>
      <c r="G8242" s="486"/>
      <c r="H8242" s="486">
        <v>0.2</v>
      </c>
      <c r="I8242" s="1129">
        <f t="shared" si="286"/>
        <v>2.82</v>
      </c>
      <c r="J8242" s="404"/>
      <c r="K8242" s="1240" t="s">
        <v>2167</v>
      </c>
      <c r="L8242" s="431"/>
      <c r="M8242" s="431"/>
      <c r="N8242" s="431"/>
    </row>
    <row r="8243" spans="1:14" s="398" customFormat="1" ht="51.75" hidden="1" outlineLevel="1">
      <c r="A8243" s="1250"/>
      <c r="B8243" s="425" t="s">
        <v>1116</v>
      </c>
      <c r="C8243" s="165"/>
      <c r="D8243" s="437"/>
      <c r="E8243" s="414"/>
      <c r="F8243" s="1372"/>
      <c r="G8243" s="486"/>
      <c r="H8243" s="486"/>
      <c r="I8243" s="1129" t="str">
        <f t="shared" si="286"/>
        <v/>
      </c>
      <c r="J8243" s="404"/>
      <c r="K8243" s="1240"/>
      <c r="L8243" s="431"/>
      <c r="M8243" s="431"/>
      <c r="N8243" s="431"/>
    </row>
    <row r="8244" spans="1:14" s="398" customFormat="1" hidden="1" outlineLevel="1">
      <c r="A8244" s="1250"/>
      <c r="B8244" s="425"/>
      <c r="C8244" s="165" t="s">
        <v>537</v>
      </c>
      <c r="D8244" s="438">
        <v>2</v>
      </c>
      <c r="E8244" s="333">
        <v>1</v>
      </c>
      <c r="F8244" s="1354">
        <v>36.695999999999998</v>
      </c>
      <c r="G8244" s="662"/>
      <c r="H8244" s="662">
        <v>0.2</v>
      </c>
      <c r="I8244" s="1129">
        <f t="shared" si="286"/>
        <v>14.68</v>
      </c>
      <c r="J8244" s="404"/>
      <c r="K8244" s="1240" t="s">
        <v>2167</v>
      </c>
      <c r="L8244" s="431"/>
      <c r="M8244" s="431"/>
      <c r="N8244" s="431"/>
    </row>
    <row r="8245" spans="1:14" s="464" customFormat="1" hidden="1" outlineLevel="1">
      <c r="A8245" s="1264"/>
      <c r="B8245" s="605"/>
      <c r="C8245" s="346" t="s">
        <v>1</v>
      </c>
      <c r="D8245" s="665">
        <f t="shared" ref="D8245:D8247" si="287">2*0</f>
        <v>0</v>
      </c>
      <c r="E8245" s="479">
        <v>1</v>
      </c>
      <c r="F8245" s="1157">
        <f>0.337</f>
        <v>0.33700000000000002</v>
      </c>
      <c r="G8245" s="614"/>
      <c r="H8245" s="614">
        <v>0.2</v>
      </c>
      <c r="I8245" s="1129" t="str">
        <f t="shared" si="286"/>
        <v/>
      </c>
      <c r="J8245" s="482"/>
      <c r="K8245" s="1319"/>
      <c r="L8245" s="463"/>
      <c r="M8245" s="463"/>
      <c r="N8245" s="463"/>
    </row>
    <row r="8246" spans="1:14" s="464" customFormat="1" hidden="1" outlineLevel="1">
      <c r="A8246" s="1264"/>
      <c r="B8246" s="605"/>
      <c r="C8246" s="346" t="s">
        <v>1</v>
      </c>
      <c r="D8246" s="665">
        <f t="shared" si="287"/>
        <v>0</v>
      </c>
      <c r="E8246" s="479">
        <v>1</v>
      </c>
      <c r="F8246" s="1157">
        <v>3.1829999999999998</v>
      </c>
      <c r="G8246" s="614"/>
      <c r="H8246" s="614">
        <v>0.2</v>
      </c>
      <c r="I8246" s="1129" t="str">
        <f t="shared" si="286"/>
        <v/>
      </c>
      <c r="J8246" s="482"/>
      <c r="K8246" s="1319"/>
      <c r="L8246" s="463"/>
      <c r="M8246" s="463"/>
      <c r="N8246" s="463"/>
    </row>
    <row r="8247" spans="1:14" s="464" customFormat="1" hidden="1" outlineLevel="1">
      <c r="A8247" s="1264"/>
      <c r="B8247" s="605"/>
      <c r="C8247" s="346" t="s">
        <v>1</v>
      </c>
      <c r="D8247" s="665">
        <f t="shared" si="287"/>
        <v>0</v>
      </c>
      <c r="E8247" s="479">
        <v>1</v>
      </c>
      <c r="F8247" s="1157">
        <f>3.841+4.613+3.637+1.626+2.824+2.413+3.614+11.064</f>
        <v>33.632000000000005</v>
      </c>
      <c r="G8247" s="614"/>
      <c r="H8247" s="614">
        <v>0.2</v>
      </c>
      <c r="I8247" s="1129" t="str">
        <f t="shared" si="286"/>
        <v/>
      </c>
      <c r="J8247" s="482"/>
      <c r="K8247" s="1319"/>
      <c r="L8247" s="463"/>
      <c r="M8247" s="463"/>
      <c r="N8247" s="463"/>
    </row>
    <row r="8248" spans="1:14" s="398" customFormat="1" hidden="1" outlineLevel="1">
      <c r="A8248" s="1250"/>
      <c r="B8248" s="425" t="s">
        <v>852</v>
      </c>
      <c r="C8248" s="498" t="s">
        <v>1</v>
      </c>
      <c r="D8248" s="437">
        <v>2</v>
      </c>
      <c r="E8248" s="414">
        <v>1</v>
      </c>
      <c r="F8248" s="1354">
        <v>8.0530000000000008</v>
      </c>
      <c r="G8248" s="486"/>
      <c r="H8248" s="486">
        <v>0.2</v>
      </c>
      <c r="I8248" s="1129">
        <f t="shared" si="286"/>
        <v>3.22</v>
      </c>
      <c r="J8248" s="404"/>
      <c r="K8248" s="1240" t="s">
        <v>2167</v>
      </c>
      <c r="L8248" s="431"/>
      <c r="M8248" s="431"/>
      <c r="N8248" s="431"/>
    </row>
    <row r="8249" spans="1:14" s="398" customFormat="1" hidden="1" outlineLevel="1">
      <c r="A8249" s="1250"/>
      <c r="B8249" s="425" t="s">
        <v>853</v>
      </c>
      <c r="C8249" s="498" t="s">
        <v>1</v>
      </c>
      <c r="D8249" s="437">
        <v>2</v>
      </c>
      <c r="E8249" s="414">
        <v>1</v>
      </c>
      <c r="F8249" s="1354">
        <v>14.555</v>
      </c>
      <c r="G8249" s="486"/>
      <c r="H8249" s="486">
        <v>0.2</v>
      </c>
      <c r="I8249" s="1129">
        <f t="shared" si="286"/>
        <v>5.82</v>
      </c>
      <c r="J8249" s="404"/>
      <c r="K8249" s="1240" t="s">
        <v>2167</v>
      </c>
      <c r="L8249" s="431"/>
      <c r="M8249" s="431"/>
      <c r="N8249" s="431"/>
    </row>
    <row r="8250" spans="1:14" s="398" customFormat="1" ht="51.75" hidden="1" outlineLevel="1">
      <c r="A8250" s="1250"/>
      <c r="B8250" s="592" t="s">
        <v>1117</v>
      </c>
      <c r="C8250" s="498"/>
      <c r="D8250" s="490"/>
      <c r="E8250" s="387"/>
      <c r="F8250" s="1372"/>
      <c r="G8250" s="1372"/>
      <c r="H8250" s="1372"/>
      <c r="I8250" s="1190" t="str">
        <f t="shared" si="286"/>
        <v/>
      </c>
      <c r="J8250" s="404"/>
      <c r="K8250" s="1240"/>
      <c r="L8250" s="431"/>
      <c r="M8250" s="431"/>
      <c r="N8250" s="431"/>
    </row>
    <row r="8251" spans="1:14" s="398" customFormat="1" hidden="1" outlineLevel="1">
      <c r="A8251" s="1250"/>
      <c r="B8251" s="425"/>
      <c r="C8251" s="498" t="s">
        <v>1</v>
      </c>
      <c r="D8251" s="437">
        <v>2</v>
      </c>
      <c r="E8251" s="414">
        <v>1</v>
      </c>
      <c r="F8251" s="1354">
        <v>14.343</v>
      </c>
      <c r="G8251" s="486"/>
      <c r="H8251" s="486">
        <v>0.2</v>
      </c>
      <c r="I8251" s="1129">
        <f t="shared" si="286"/>
        <v>5.74</v>
      </c>
      <c r="J8251" s="404"/>
      <c r="K8251" s="1240" t="s">
        <v>2167</v>
      </c>
      <c r="L8251" s="431"/>
      <c r="M8251" s="431"/>
      <c r="N8251" s="431"/>
    </row>
    <row r="8252" spans="1:14" s="398" customFormat="1" ht="69" hidden="1" outlineLevel="1">
      <c r="A8252" s="1250"/>
      <c r="B8252" s="592" t="s">
        <v>1118</v>
      </c>
      <c r="C8252" s="498"/>
      <c r="D8252" s="490"/>
      <c r="E8252" s="387"/>
      <c r="F8252" s="1372"/>
      <c r="G8252" s="1372"/>
      <c r="H8252" s="1372"/>
      <c r="I8252" s="1190" t="str">
        <f t="shared" si="286"/>
        <v/>
      </c>
      <c r="J8252" s="404"/>
      <c r="K8252" s="1240"/>
      <c r="L8252" s="431"/>
      <c r="M8252" s="431"/>
      <c r="N8252" s="431"/>
    </row>
    <row r="8253" spans="1:14" s="398" customFormat="1" hidden="1" outlineLevel="1">
      <c r="A8253" s="1250"/>
      <c r="B8253" s="425"/>
      <c r="C8253" s="498" t="s">
        <v>1</v>
      </c>
      <c r="D8253" s="437">
        <v>2</v>
      </c>
      <c r="E8253" s="414">
        <v>1</v>
      </c>
      <c r="F8253" s="1372">
        <f>12.275+11.813+4.624+2.625+2.854+1.637+7.303+5.741+2.446+2.704+0.725+6.033</f>
        <v>60.78</v>
      </c>
      <c r="G8253" s="486"/>
      <c r="H8253" s="486">
        <v>0.2</v>
      </c>
      <c r="I8253" s="1129">
        <f t="shared" si="286"/>
        <v>24.31</v>
      </c>
      <c r="J8253" s="404"/>
      <c r="K8253" s="1240" t="s">
        <v>2167</v>
      </c>
      <c r="L8253" s="431"/>
      <c r="M8253" s="431"/>
      <c r="N8253" s="431"/>
    </row>
    <row r="8254" spans="1:14" s="398" customFormat="1" ht="34.5" hidden="1" outlineLevel="1">
      <c r="A8254" s="1250"/>
      <c r="B8254" s="425" t="s">
        <v>856</v>
      </c>
      <c r="C8254" s="498" t="s">
        <v>1</v>
      </c>
      <c r="D8254" s="437">
        <v>2</v>
      </c>
      <c r="E8254" s="414">
        <v>1</v>
      </c>
      <c r="F8254" s="1372">
        <v>35.253</v>
      </c>
      <c r="G8254" s="486"/>
      <c r="H8254" s="486">
        <v>0.2</v>
      </c>
      <c r="I8254" s="1129">
        <f t="shared" si="286"/>
        <v>14.1</v>
      </c>
      <c r="J8254" s="404"/>
      <c r="K8254" s="1240" t="s">
        <v>2167</v>
      </c>
      <c r="L8254" s="431"/>
      <c r="M8254" s="431"/>
      <c r="N8254" s="431"/>
    </row>
    <row r="8255" spans="1:14" s="398" customFormat="1" hidden="1" outlineLevel="1">
      <c r="A8255" s="1250"/>
      <c r="B8255" s="592" t="s">
        <v>857</v>
      </c>
      <c r="C8255" s="165"/>
      <c r="D8255" s="437"/>
      <c r="E8255" s="414"/>
      <c r="F8255" s="1372"/>
      <c r="G8255" s="486"/>
      <c r="H8255" s="486"/>
      <c r="I8255" s="1129" t="str">
        <f t="shared" si="286"/>
        <v/>
      </c>
      <c r="J8255" s="404"/>
      <c r="K8255" s="1240"/>
      <c r="L8255" s="431"/>
      <c r="M8255" s="431"/>
      <c r="N8255" s="431"/>
    </row>
    <row r="8256" spans="1:14" s="398" customFormat="1" hidden="1" outlineLevel="1">
      <c r="A8256" s="1250"/>
      <c r="B8256" s="494" t="s">
        <v>1119</v>
      </c>
      <c r="C8256" s="495"/>
      <c r="D8256" s="496"/>
      <c r="E8256" s="495"/>
      <c r="F8256" s="1373"/>
      <c r="G8256" s="1373"/>
      <c r="H8256" s="1373"/>
      <c r="I8256" s="1129" t="str">
        <f t="shared" si="286"/>
        <v/>
      </c>
      <c r="J8256" s="374"/>
      <c r="K8256" s="1237"/>
      <c r="L8256" s="431"/>
      <c r="M8256" s="431"/>
      <c r="N8256" s="431"/>
    </row>
    <row r="8257" spans="1:14" s="398" customFormat="1" hidden="1" outlineLevel="1">
      <c r="A8257" s="1250"/>
      <c r="B8257" s="494"/>
      <c r="C8257" s="495"/>
      <c r="D8257" s="496"/>
      <c r="E8257" s="495"/>
      <c r="F8257" s="1373"/>
      <c r="G8257" s="1373"/>
      <c r="H8257" s="1373"/>
      <c r="I8257" s="1129" t="str">
        <f t="shared" si="286"/>
        <v/>
      </c>
      <c r="J8257" s="374"/>
      <c r="K8257" s="1237"/>
      <c r="L8257" s="431"/>
      <c r="M8257" s="431"/>
      <c r="N8257" s="431"/>
    </row>
    <row r="8258" spans="1:14" s="398" customFormat="1" ht="34.5" hidden="1" outlineLevel="1">
      <c r="A8258" s="1250"/>
      <c r="B8258" s="494" t="s">
        <v>306</v>
      </c>
      <c r="C8258" s="495" t="s">
        <v>1</v>
      </c>
      <c r="D8258" s="496">
        <v>-1</v>
      </c>
      <c r="E8258" s="495">
        <v>2</v>
      </c>
      <c r="F8258" s="1373">
        <v>31.4</v>
      </c>
      <c r="G8258" s="1373"/>
      <c r="H8258" s="1373">
        <v>0.2</v>
      </c>
      <c r="I8258" s="1129">
        <f t="shared" si="286"/>
        <v>-12.56</v>
      </c>
      <c r="J8258" s="374"/>
      <c r="K8258" s="1237" t="s">
        <v>2167</v>
      </c>
      <c r="L8258" s="431"/>
      <c r="M8258" s="431"/>
      <c r="N8258" s="431"/>
    </row>
    <row r="8259" spans="1:14" s="398" customFormat="1" hidden="1" outlineLevel="1">
      <c r="A8259" s="1250"/>
      <c r="B8259" s="494" t="s">
        <v>147</v>
      </c>
      <c r="C8259" s="495" t="s">
        <v>1</v>
      </c>
      <c r="D8259" s="496">
        <v>-1</v>
      </c>
      <c r="E8259" s="495">
        <v>2</v>
      </c>
      <c r="F8259" s="1373">
        <v>42.55</v>
      </c>
      <c r="G8259" s="1373"/>
      <c r="H8259" s="1373">
        <v>0.2</v>
      </c>
      <c r="I8259" s="1129">
        <f t="shared" si="286"/>
        <v>-17.02</v>
      </c>
      <c r="J8259" s="374"/>
      <c r="K8259" s="1237" t="s">
        <v>2167</v>
      </c>
      <c r="L8259" s="431"/>
      <c r="M8259" s="431"/>
      <c r="N8259" s="431"/>
    </row>
    <row r="8260" spans="1:14" hidden="1" outlineLevel="1">
      <c r="A8260" s="1221"/>
      <c r="D8260" s="392"/>
      <c r="E8260" s="165"/>
      <c r="F8260" s="401"/>
      <c r="G8260" s="401"/>
      <c r="H8260" s="401"/>
      <c r="I8260" s="1129" t="str">
        <f t="shared" si="286"/>
        <v/>
      </c>
      <c r="J8260" s="477"/>
      <c r="K8260" s="1242"/>
    </row>
    <row r="8261" spans="1:14" hidden="1" outlineLevel="1">
      <c r="A8261" s="1221"/>
      <c r="B8261" s="592" t="s">
        <v>1120</v>
      </c>
      <c r="D8261" s="392"/>
      <c r="E8261" s="165"/>
      <c r="F8261" s="401"/>
      <c r="G8261" s="401"/>
      <c r="H8261" s="401"/>
      <c r="I8261" s="1129" t="str">
        <f t="shared" si="286"/>
        <v/>
      </c>
      <c r="J8261" s="477"/>
      <c r="K8261" s="1242"/>
    </row>
    <row r="8262" spans="1:14" hidden="1" outlineLevel="1">
      <c r="A8262" s="1221"/>
      <c r="B8262" s="425" t="s">
        <v>1121</v>
      </c>
      <c r="C8262" s="414" t="s">
        <v>1</v>
      </c>
      <c r="D8262" s="392">
        <v>5</v>
      </c>
      <c r="E8262" s="165">
        <v>4</v>
      </c>
      <c r="F8262" s="401">
        <v>0.9</v>
      </c>
      <c r="G8262" s="401"/>
      <c r="H8262" s="401">
        <v>0.85</v>
      </c>
      <c r="I8262" s="1129">
        <f t="shared" si="286"/>
        <v>15.3</v>
      </c>
      <c r="J8262" s="477"/>
      <c r="K8262" s="1242" t="s">
        <v>2167</v>
      </c>
    </row>
    <row r="8263" spans="1:14" ht="51.75" hidden="1" outlineLevel="1">
      <c r="A8263" s="1221"/>
      <c r="B8263" s="425" t="s">
        <v>890</v>
      </c>
      <c r="C8263" s="414" t="s">
        <v>1</v>
      </c>
      <c r="D8263" s="392">
        <v>1</v>
      </c>
      <c r="E8263" s="165">
        <v>4</v>
      </c>
      <c r="F8263" s="401">
        <v>2</v>
      </c>
      <c r="G8263" s="401"/>
      <c r="H8263" s="401">
        <v>1.8</v>
      </c>
      <c r="I8263" s="1129">
        <f t="shared" si="286"/>
        <v>14.4</v>
      </c>
      <c r="J8263" s="477"/>
      <c r="K8263" s="1242" t="s">
        <v>2167</v>
      </c>
    </row>
    <row r="8264" spans="1:14" s="870" customFormat="1" hidden="1" outlineLevel="1">
      <c r="A8264" s="1306"/>
      <c r="B8264" s="890" t="s">
        <v>1672</v>
      </c>
      <c r="C8264" s="897" t="s">
        <v>1</v>
      </c>
      <c r="D8264" s="889"/>
      <c r="E8264" s="895"/>
      <c r="F8264" s="863"/>
      <c r="G8264" s="863"/>
      <c r="H8264" s="863"/>
      <c r="I8264" s="1167" t="str">
        <f t="shared" si="286"/>
        <v/>
      </c>
      <c r="J8264" s="914"/>
      <c r="K8264" s="1336"/>
      <c r="L8264" s="869"/>
      <c r="M8264" s="869"/>
      <c r="N8264" s="869"/>
    </row>
    <row r="8265" spans="1:14" s="870" customFormat="1" ht="69" hidden="1" outlineLevel="1">
      <c r="A8265" s="1324">
        <v>1</v>
      </c>
      <c r="B8265" s="886" t="s">
        <v>1471</v>
      </c>
      <c r="C8265" s="1411"/>
      <c r="D8265" s="887"/>
      <c r="E8265" s="854"/>
      <c r="F8265" s="859"/>
      <c r="G8265" s="859"/>
      <c r="H8265" s="859"/>
      <c r="I8265" s="1129" t="str">
        <f t="shared" si="286"/>
        <v/>
      </c>
      <c r="J8265" s="915"/>
      <c r="K8265" s="1325"/>
      <c r="L8265" s="869"/>
      <c r="M8265" s="869"/>
      <c r="N8265" s="869"/>
    </row>
    <row r="8266" spans="1:14" s="870" customFormat="1" hidden="1" outlineLevel="1">
      <c r="A8266" s="1324"/>
      <c r="B8266" s="886"/>
      <c r="C8266" s="1411"/>
      <c r="D8266" s="887"/>
      <c r="E8266" s="854"/>
      <c r="F8266" s="859"/>
      <c r="G8266" s="859"/>
      <c r="H8266" s="859"/>
      <c r="I8266" s="1129" t="str">
        <f t="shared" si="286"/>
        <v/>
      </c>
      <c r="J8266" s="915"/>
      <c r="K8266" s="1325"/>
      <c r="L8266" s="869"/>
      <c r="M8266" s="869"/>
      <c r="N8266" s="869"/>
    </row>
    <row r="8267" spans="1:14" s="870" customFormat="1" hidden="1" outlineLevel="1">
      <c r="A8267" s="1324">
        <v>1.1000000000000001</v>
      </c>
      <c r="B8267" s="886" t="s">
        <v>1310</v>
      </c>
      <c r="C8267" s="1411" t="s">
        <v>1</v>
      </c>
      <c r="D8267" s="887">
        <v>2</v>
      </c>
      <c r="E8267" s="854">
        <v>2</v>
      </c>
      <c r="F8267" s="859">
        <f>5.85+G8267*2</f>
        <v>5.85</v>
      </c>
      <c r="G8267" s="859"/>
      <c r="H8267" s="859">
        <v>0.2</v>
      </c>
      <c r="I8267" s="1129">
        <f t="shared" si="286"/>
        <v>4.68</v>
      </c>
      <c r="J8267" s="915"/>
      <c r="K8267" s="1325" t="s">
        <v>2168</v>
      </c>
      <c r="L8267" s="869"/>
      <c r="M8267" s="869"/>
      <c r="N8267" s="869"/>
    </row>
    <row r="8268" spans="1:14" s="870" customFormat="1" hidden="1" outlineLevel="1">
      <c r="A8268" s="1324"/>
      <c r="B8268" s="886" t="s">
        <v>1311</v>
      </c>
      <c r="C8268" s="1411" t="s">
        <v>1</v>
      </c>
      <c r="D8268" s="887">
        <v>2</v>
      </c>
      <c r="E8268" s="854">
        <v>2</v>
      </c>
      <c r="F8268" s="859">
        <v>1.8</v>
      </c>
      <c r="G8268" s="859"/>
      <c r="H8268" s="859">
        <v>0.2</v>
      </c>
      <c r="I8268" s="1129">
        <f t="shared" si="286"/>
        <v>1.44</v>
      </c>
      <c r="J8268" s="915"/>
      <c r="K8268" s="1325" t="s">
        <v>2168</v>
      </c>
      <c r="L8268" s="869"/>
      <c r="M8268" s="869"/>
      <c r="N8268" s="869"/>
    </row>
    <row r="8269" spans="1:14" s="870" customFormat="1" hidden="1" outlineLevel="1">
      <c r="A8269" s="1324">
        <v>1.2</v>
      </c>
      <c r="B8269" s="886" t="s">
        <v>1310</v>
      </c>
      <c r="C8269" s="1411" t="s">
        <v>1</v>
      </c>
      <c r="D8269" s="887">
        <v>2</v>
      </c>
      <c r="E8269" s="854">
        <v>2</v>
      </c>
      <c r="F8269" s="859">
        <f>5.025+G8269*2</f>
        <v>5.0250000000000004</v>
      </c>
      <c r="G8269" s="859"/>
      <c r="H8269" s="859">
        <v>0.2</v>
      </c>
      <c r="I8269" s="1129">
        <f t="shared" si="286"/>
        <v>4.0199999999999996</v>
      </c>
      <c r="J8269" s="915"/>
      <c r="K8269" s="1325" t="s">
        <v>2168</v>
      </c>
      <c r="L8269" s="869"/>
      <c r="M8269" s="869"/>
      <c r="N8269" s="869"/>
    </row>
    <row r="8270" spans="1:14" s="870" customFormat="1" hidden="1" outlineLevel="1">
      <c r="A8270" s="1324"/>
      <c r="B8270" s="886" t="s">
        <v>1311</v>
      </c>
      <c r="C8270" s="1411" t="s">
        <v>1</v>
      </c>
      <c r="D8270" s="887">
        <v>2</v>
      </c>
      <c r="E8270" s="854">
        <v>2</v>
      </c>
      <c r="F8270" s="859">
        <v>1.8</v>
      </c>
      <c r="G8270" s="859"/>
      <c r="H8270" s="859">
        <v>0.2</v>
      </c>
      <c r="I8270" s="1129">
        <f t="shared" si="286"/>
        <v>1.44</v>
      </c>
      <c r="J8270" s="915"/>
      <c r="K8270" s="1325" t="s">
        <v>2168</v>
      </c>
      <c r="L8270" s="869"/>
      <c r="M8270" s="869"/>
      <c r="N8270" s="869"/>
    </row>
    <row r="8271" spans="1:14" s="870" customFormat="1" ht="69" hidden="1" outlineLevel="1">
      <c r="A8271" s="1324">
        <v>2</v>
      </c>
      <c r="B8271" s="886" t="s">
        <v>1472</v>
      </c>
      <c r="C8271" s="1411"/>
      <c r="D8271" s="887"/>
      <c r="E8271" s="854"/>
      <c r="F8271" s="859"/>
      <c r="G8271" s="859"/>
      <c r="H8271" s="859"/>
      <c r="I8271" s="1129" t="str">
        <f t="shared" si="286"/>
        <v/>
      </c>
      <c r="J8271" s="915"/>
      <c r="K8271" s="1325" t="s">
        <v>2168</v>
      </c>
      <c r="L8271" s="869"/>
      <c r="M8271" s="869"/>
      <c r="N8271" s="869"/>
    </row>
    <row r="8272" spans="1:14" s="870" customFormat="1" hidden="1" outlineLevel="1">
      <c r="A8272" s="1324">
        <v>2.1</v>
      </c>
      <c r="B8272" s="886" t="s">
        <v>1310</v>
      </c>
      <c r="C8272" s="1411" t="s">
        <v>1</v>
      </c>
      <c r="D8272" s="887">
        <v>2</v>
      </c>
      <c r="E8272" s="854">
        <v>2</v>
      </c>
      <c r="F8272" s="859">
        <f>5.85+G8272*2</f>
        <v>5.85</v>
      </c>
      <c r="G8272" s="859"/>
      <c r="H8272" s="859">
        <v>0.2</v>
      </c>
      <c r="I8272" s="1129">
        <f t="shared" si="286"/>
        <v>4.68</v>
      </c>
      <c r="J8272" s="915"/>
      <c r="K8272" s="1325" t="s">
        <v>2168</v>
      </c>
      <c r="L8272" s="869"/>
      <c r="M8272" s="869"/>
      <c r="N8272" s="869"/>
    </row>
    <row r="8273" spans="1:14" s="870" customFormat="1" hidden="1" outlineLevel="1">
      <c r="A8273" s="1324"/>
      <c r="B8273" s="886" t="s">
        <v>1311</v>
      </c>
      <c r="C8273" s="1411" t="s">
        <v>1</v>
      </c>
      <c r="D8273" s="887">
        <v>2</v>
      </c>
      <c r="E8273" s="854">
        <v>2</v>
      </c>
      <c r="F8273" s="859">
        <v>1.2</v>
      </c>
      <c r="G8273" s="859"/>
      <c r="H8273" s="859">
        <v>0.2</v>
      </c>
      <c r="I8273" s="1129">
        <f t="shared" si="286"/>
        <v>0.96</v>
      </c>
      <c r="J8273" s="915"/>
      <c r="K8273" s="1325" t="s">
        <v>2168</v>
      </c>
      <c r="L8273" s="869"/>
      <c r="M8273" s="869"/>
      <c r="N8273" s="869"/>
    </row>
    <row r="8274" spans="1:14" s="870" customFormat="1" hidden="1" outlineLevel="1">
      <c r="A8274" s="1324">
        <v>2.2000000000000002</v>
      </c>
      <c r="B8274" s="886" t="s">
        <v>1310</v>
      </c>
      <c r="C8274" s="1411" t="s">
        <v>1</v>
      </c>
      <c r="D8274" s="887">
        <v>2</v>
      </c>
      <c r="E8274" s="854">
        <v>2</v>
      </c>
      <c r="F8274" s="859">
        <f>5.025+G8274*2</f>
        <v>5.0250000000000004</v>
      </c>
      <c r="G8274" s="859"/>
      <c r="H8274" s="859">
        <v>0.2</v>
      </c>
      <c r="I8274" s="1129">
        <f t="shared" si="286"/>
        <v>4.0199999999999996</v>
      </c>
      <c r="J8274" s="915"/>
      <c r="K8274" s="1325" t="s">
        <v>2168</v>
      </c>
      <c r="L8274" s="869"/>
      <c r="M8274" s="869"/>
      <c r="N8274" s="869"/>
    </row>
    <row r="8275" spans="1:14" s="870" customFormat="1" hidden="1" outlineLevel="1">
      <c r="A8275" s="1324"/>
      <c r="B8275" s="886" t="s">
        <v>1311</v>
      </c>
      <c r="C8275" s="1411" t="s">
        <v>1</v>
      </c>
      <c r="D8275" s="887">
        <v>2</v>
      </c>
      <c r="E8275" s="854">
        <v>2</v>
      </c>
      <c r="F8275" s="859">
        <v>1.2</v>
      </c>
      <c r="G8275" s="859"/>
      <c r="H8275" s="859">
        <v>0.2</v>
      </c>
      <c r="I8275" s="1129">
        <f t="shared" si="286"/>
        <v>0.96</v>
      </c>
      <c r="J8275" s="915"/>
      <c r="K8275" s="1325" t="s">
        <v>2168</v>
      </c>
      <c r="L8275" s="869"/>
      <c r="M8275" s="869"/>
      <c r="N8275" s="869"/>
    </row>
    <row r="8276" spans="1:14" s="870" customFormat="1" ht="69" hidden="1" outlineLevel="1">
      <c r="A8276" s="1324">
        <v>3</v>
      </c>
      <c r="B8276" s="886" t="s">
        <v>1473</v>
      </c>
      <c r="C8276" s="1411"/>
      <c r="D8276" s="887"/>
      <c r="E8276" s="854"/>
      <c r="F8276" s="859"/>
      <c r="G8276" s="859"/>
      <c r="H8276" s="859"/>
      <c r="I8276" s="1129" t="str">
        <f t="shared" si="286"/>
        <v/>
      </c>
      <c r="J8276" s="915"/>
      <c r="K8276" s="1325" t="s">
        <v>2168</v>
      </c>
      <c r="L8276" s="869"/>
      <c r="M8276" s="869"/>
      <c r="N8276" s="869"/>
    </row>
    <row r="8277" spans="1:14" s="870" customFormat="1" hidden="1" outlineLevel="1">
      <c r="A8277" s="1324">
        <v>3.1</v>
      </c>
      <c r="B8277" s="886" t="s">
        <v>1310</v>
      </c>
      <c r="C8277" s="1411" t="s">
        <v>1</v>
      </c>
      <c r="D8277" s="887">
        <v>2</v>
      </c>
      <c r="E8277" s="854">
        <v>2</v>
      </c>
      <c r="F8277" s="859">
        <f>5.85+G8277*2</f>
        <v>5.85</v>
      </c>
      <c r="G8277" s="859"/>
      <c r="H8277" s="859">
        <v>0.2</v>
      </c>
      <c r="I8277" s="1129">
        <f t="shared" si="286"/>
        <v>4.68</v>
      </c>
      <c r="J8277" s="915"/>
      <c r="K8277" s="1325" t="s">
        <v>2168</v>
      </c>
      <c r="L8277" s="869"/>
      <c r="M8277" s="869"/>
      <c r="N8277" s="869"/>
    </row>
    <row r="8278" spans="1:14" s="870" customFormat="1" hidden="1" outlineLevel="1">
      <c r="A8278" s="1324"/>
      <c r="B8278" s="886" t="s">
        <v>1311</v>
      </c>
      <c r="C8278" s="1411" t="s">
        <v>1</v>
      </c>
      <c r="D8278" s="887">
        <v>2</v>
      </c>
      <c r="E8278" s="854">
        <v>2</v>
      </c>
      <c r="F8278" s="859">
        <v>1.2</v>
      </c>
      <c r="G8278" s="859"/>
      <c r="H8278" s="859">
        <v>0.2</v>
      </c>
      <c r="I8278" s="1129">
        <f t="shared" si="286"/>
        <v>0.96</v>
      </c>
      <c r="J8278" s="915"/>
      <c r="K8278" s="1325" t="s">
        <v>2168</v>
      </c>
      <c r="L8278" s="869"/>
      <c r="M8278" s="869"/>
      <c r="N8278" s="869"/>
    </row>
    <row r="8279" spans="1:14" s="870" customFormat="1" hidden="1" outlineLevel="1">
      <c r="A8279" s="1324">
        <v>3.2</v>
      </c>
      <c r="B8279" s="886" t="s">
        <v>1310</v>
      </c>
      <c r="C8279" s="1411" t="s">
        <v>1</v>
      </c>
      <c r="D8279" s="887">
        <v>2</v>
      </c>
      <c r="E8279" s="854">
        <v>2</v>
      </c>
      <c r="F8279" s="859">
        <f>5.025+G8279*2</f>
        <v>5.0250000000000004</v>
      </c>
      <c r="G8279" s="859"/>
      <c r="H8279" s="859">
        <v>0.2</v>
      </c>
      <c r="I8279" s="1129">
        <f t="shared" si="286"/>
        <v>4.0199999999999996</v>
      </c>
      <c r="J8279" s="915"/>
      <c r="K8279" s="1325" t="s">
        <v>2168</v>
      </c>
      <c r="L8279" s="869"/>
      <c r="M8279" s="869"/>
      <c r="N8279" s="869"/>
    </row>
    <row r="8280" spans="1:14" s="870" customFormat="1" hidden="1" outlineLevel="1">
      <c r="A8280" s="1324"/>
      <c r="B8280" s="886" t="s">
        <v>1311</v>
      </c>
      <c r="C8280" s="1411" t="s">
        <v>1</v>
      </c>
      <c r="D8280" s="887">
        <v>2</v>
      </c>
      <c r="E8280" s="854">
        <v>2</v>
      </c>
      <c r="F8280" s="859">
        <v>1.2</v>
      </c>
      <c r="G8280" s="859"/>
      <c r="H8280" s="859">
        <v>0.2</v>
      </c>
      <c r="I8280" s="1129">
        <f t="shared" si="286"/>
        <v>0.96</v>
      </c>
      <c r="J8280" s="915"/>
      <c r="K8280" s="1325" t="s">
        <v>2168</v>
      </c>
      <c r="L8280" s="869"/>
      <c r="M8280" s="869"/>
      <c r="N8280" s="869"/>
    </row>
    <row r="8281" spans="1:14" s="870" customFormat="1" hidden="1" outlineLevel="1">
      <c r="A8281" s="1324">
        <v>3.3</v>
      </c>
      <c r="B8281" s="886" t="s">
        <v>1310</v>
      </c>
      <c r="C8281" s="1411" t="s">
        <v>1</v>
      </c>
      <c r="D8281" s="887">
        <v>2</v>
      </c>
      <c r="E8281" s="854">
        <v>2</v>
      </c>
      <c r="F8281" s="859">
        <f>2.625+G8281*2</f>
        <v>2.625</v>
      </c>
      <c r="G8281" s="859"/>
      <c r="H8281" s="859">
        <v>0.2</v>
      </c>
      <c r="I8281" s="1129">
        <f t="shared" si="286"/>
        <v>2.1</v>
      </c>
      <c r="J8281" s="915"/>
      <c r="K8281" s="1325" t="s">
        <v>2168</v>
      </c>
      <c r="L8281" s="869"/>
      <c r="M8281" s="869"/>
      <c r="N8281" s="869"/>
    </row>
    <row r="8282" spans="1:14" s="870" customFormat="1" hidden="1" outlineLevel="1">
      <c r="A8282" s="1324"/>
      <c r="B8282" s="886" t="s">
        <v>1311</v>
      </c>
      <c r="C8282" s="1411" t="s">
        <v>1</v>
      </c>
      <c r="D8282" s="887">
        <v>2</v>
      </c>
      <c r="E8282" s="854">
        <v>2</v>
      </c>
      <c r="F8282" s="859">
        <v>1.2</v>
      </c>
      <c r="G8282" s="859"/>
      <c r="H8282" s="859">
        <v>0.2</v>
      </c>
      <c r="I8282" s="1129">
        <f t="shared" si="286"/>
        <v>0.96</v>
      </c>
      <c r="J8282" s="915"/>
      <c r="K8282" s="1325" t="s">
        <v>2168</v>
      </c>
      <c r="L8282" s="869"/>
      <c r="M8282" s="869"/>
      <c r="N8282" s="869"/>
    </row>
    <row r="8283" spans="1:14" s="870" customFormat="1" hidden="1" outlineLevel="1">
      <c r="A8283" s="1324">
        <v>3.4</v>
      </c>
      <c r="B8283" s="886" t="s">
        <v>1310</v>
      </c>
      <c r="C8283" s="1411" t="s">
        <v>1</v>
      </c>
      <c r="D8283" s="887">
        <v>2</v>
      </c>
      <c r="E8283" s="854">
        <v>2</v>
      </c>
      <c r="F8283" s="859">
        <f>2.4+G8283*2</f>
        <v>2.4</v>
      </c>
      <c r="G8283" s="859"/>
      <c r="H8283" s="859">
        <v>0.2</v>
      </c>
      <c r="I8283" s="1129">
        <f t="shared" si="286"/>
        <v>1.92</v>
      </c>
      <c r="J8283" s="915"/>
      <c r="K8283" s="1325" t="s">
        <v>2168</v>
      </c>
      <c r="L8283" s="869"/>
      <c r="M8283" s="869"/>
      <c r="N8283" s="869"/>
    </row>
    <row r="8284" spans="1:14" s="870" customFormat="1" hidden="1" outlineLevel="1">
      <c r="A8284" s="1324"/>
      <c r="B8284" s="886" t="s">
        <v>1311</v>
      </c>
      <c r="C8284" s="1411" t="s">
        <v>1</v>
      </c>
      <c r="D8284" s="887">
        <v>2</v>
      </c>
      <c r="E8284" s="854">
        <v>2</v>
      </c>
      <c r="F8284" s="859">
        <v>1.2</v>
      </c>
      <c r="G8284" s="859"/>
      <c r="H8284" s="859">
        <v>0.2</v>
      </c>
      <c r="I8284" s="1129">
        <f t="shared" si="286"/>
        <v>0.96</v>
      </c>
      <c r="J8284" s="915"/>
      <c r="K8284" s="1325" t="s">
        <v>2168</v>
      </c>
      <c r="L8284" s="869"/>
      <c r="M8284" s="869"/>
      <c r="N8284" s="869"/>
    </row>
    <row r="8285" spans="1:14" s="870" customFormat="1" hidden="1" outlineLevel="1">
      <c r="A8285" s="1324"/>
      <c r="B8285" s="886"/>
      <c r="C8285" s="1411"/>
      <c r="D8285" s="887"/>
      <c r="E8285" s="854"/>
      <c r="F8285" s="859"/>
      <c r="G8285" s="859"/>
      <c r="H8285" s="859"/>
      <c r="I8285" s="1129" t="str">
        <f t="shared" si="286"/>
        <v/>
      </c>
      <c r="J8285" s="915"/>
      <c r="K8285" s="1325" t="s">
        <v>2168</v>
      </c>
      <c r="L8285" s="869"/>
      <c r="M8285" s="869"/>
      <c r="N8285" s="869"/>
    </row>
    <row r="8286" spans="1:14" s="870" customFormat="1" ht="34.5" hidden="1" outlineLevel="1">
      <c r="A8286" s="1324">
        <v>4</v>
      </c>
      <c r="B8286" s="886" t="s">
        <v>1474</v>
      </c>
      <c r="C8286" s="1411"/>
      <c r="D8286" s="887"/>
      <c r="E8286" s="854"/>
      <c r="F8286" s="859"/>
      <c r="G8286" s="859"/>
      <c r="H8286" s="859"/>
      <c r="I8286" s="1129" t="str">
        <f t="shared" si="286"/>
        <v/>
      </c>
      <c r="J8286" s="915"/>
      <c r="K8286" s="1325" t="s">
        <v>2168</v>
      </c>
      <c r="L8286" s="869"/>
      <c r="M8286" s="869"/>
      <c r="N8286" s="869"/>
    </row>
    <row r="8287" spans="1:14" s="870" customFormat="1" hidden="1" outlineLevel="1">
      <c r="A8287" s="1324"/>
      <c r="B8287" s="886" t="s">
        <v>1333</v>
      </c>
      <c r="C8287" s="1411" t="s">
        <v>1</v>
      </c>
      <c r="D8287" s="887">
        <v>10</v>
      </c>
      <c r="E8287" s="854">
        <v>1</v>
      </c>
      <c r="F8287" s="859">
        <v>1.44</v>
      </c>
      <c r="G8287" s="859">
        <v>1.44</v>
      </c>
      <c r="H8287" s="859"/>
      <c r="I8287" s="1129">
        <f t="shared" si="286"/>
        <v>20.74</v>
      </c>
      <c r="J8287" s="915"/>
      <c r="K8287" s="1325" t="s">
        <v>2168</v>
      </c>
      <c r="L8287" s="869"/>
      <c r="M8287" s="869"/>
      <c r="N8287" s="869"/>
    </row>
    <row r="8288" spans="1:14" s="870" customFormat="1" hidden="1" outlineLevel="1">
      <c r="A8288" s="1324"/>
      <c r="B8288" s="886" t="s">
        <v>1475</v>
      </c>
      <c r="C8288" s="1411" t="s">
        <v>1</v>
      </c>
      <c r="D8288" s="887">
        <v>-1</v>
      </c>
      <c r="E8288" s="854">
        <v>10</v>
      </c>
      <c r="F8288" s="859">
        <f>1.44-0.6</f>
        <v>0.84</v>
      </c>
      <c r="G8288" s="859">
        <f>1.44-0.6</f>
        <v>0.84</v>
      </c>
      <c r="H8288" s="859"/>
      <c r="I8288" s="1129">
        <f t="shared" si="286"/>
        <v>-7.06</v>
      </c>
      <c r="J8288" s="915"/>
      <c r="K8288" s="1325" t="s">
        <v>2168</v>
      </c>
      <c r="L8288" s="869"/>
      <c r="M8288" s="869"/>
      <c r="N8288" s="869"/>
    </row>
    <row r="8289" spans="1:14" s="870" customFormat="1" hidden="1" outlineLevel="1">
      <c r="A8289" s="1324"/>
      <c r="B8289" s="886" t="s">
        <v>1476</v>
      </c>
      <c r="C8289" s="1411" t="s">
        <v>1</v>
      </c>
      <c r="D8289" s="887">
        <v>10</v>
      </c>
      <c r="E8289" s="854">
        <v>4</v>
      </c>
      <c r="F8289" s="859">
        <f>1.44-0.3-0.3</f>
        <v>0.83999999999999986</v>
      </c>
      <c r="G8289" s="859"/>
      <c r="H8289" s="859">
        <v>0.23</v>
      </c>
      <c r="I8289" s="1129">
        <f t="shared" ref="I8289:I8317" si="288">IF(D8289&lt;&gt;0,ROUND(PRODUCT(E8289:H8289)*D8289,2),"")</f>
        <v>7.73</v>
      </c>
      <c r="J8289" s="915"/>
      <c r="K8289" s="1325" t="s">
        <v>2168</v>
      </c>
      <c r="L8289" s="869"/>
      <c r="M8289" s="869"/>
      <c r="N8289" s="869"/>
    </row>
    <row r="8290" spans="1:14" s="870" customFormat="1" hidden="1" outlineLevel="1">
      <c r="A8290" s="1324"/>
      <c r="B8290" s="886"/>
      <c r="C8290" s="1411" t="s">
        <v>1</v>
      </c>
      <c r="D8290" s="887">
        <v>10</v>
      </c>
      <c r="E8290" s="854">
        <v>4</v>
      </c>
      <c r="F8290" s="859">
        <f>1.44-0.3-0.3-0.23-0.23</f>
        <v>0.37999999999999989</v>
      </c>
      <c r="G8290" s="859"/>
      <c r="H8290" s="859">
        <v>0.23</v>
      </c>
      <c r="I8290" s="1129">
        <f t="shared" si="288"/>
        <v>3.5</v>
      </c>
      <c r="J8290" s="915"/>
      <c r="K8290" s="1325" t="s">
        <v>2168</v>
      </c>
      <c r="L8290" s="869"/>
      <c r="M8290" s="869"/>
      <c r="N8290" s="869"/>
    </row>
    <row r="8291" spans="1:14" s="870" customFormat="1" hidden="1" outlineLevel="1">
      <c r="A8291" s="1324"/>
      <c r="B8291" s="886" t="s">
        <v>1477</v>
      </c>
      <c r="C8291" s="1411" t="s">
        <v>1</v>
      </c>
      <c r="D8291" s="887">
        <v>10</v>
      </c>
      <c r="E8291" s="854">
        <v>4</v>
      </c>
      <c r="F8291" s="859"/>
      <c r="G8291" s="859"/>
      <c r="H8291" s="859">
        <v>0.1</v>
      </c>
      <c r="I8291" s="1129">
        <f t="shared" si="288"/>
        <v>4</v>
      </c>
      <c r="J8291" s="915"/>
      <c r="K8291" s="1325" t="s">
        <v>2168</v>
      </c>
      <c r="L8291" s="869"/>
      <c r="M8291" s="869"/>
      <c r="N8291" s="869"/>
    </row>
    <row r="8292" spans="1:14" s="870" customFormat="1" hidden="1" outlineLevel="1">
      <c r="A8292" s="1324"/>
      <c r="B8292" s="886"/>
      <c r="C8292" s="1411"/>
      <c r="D8292" s="887"/>
      <c r="E8292" s="854"/>
      <c r="F8292" s="859"/>
      <c r="G8292" s="859"/>
      <c r="H8292" s="859"/>
      <c r="I8292" s="1151" t="str">
        <f t="shared" si="288"/>
        <v/>
      </c>
      <c r="J8292" s="915"/>
      <c r="K8292" s="1325" t="s">
        <v>2168</v>
      </c>
      <c r="L8292" s="869"/>
      <c r="M8292" s="869"/>
      <c r="N8292" s="869"/>
    </row>
    <row r="8293" spans="1:14" s="870" customFormat="1" ht="34.5" hidden="1" outlineLevel="1">
      <c r="A8293" s="1324">
        <v>5</v>
      </c>
      <c r="B8293" s="886" t="s">
        <v>1478</v>
      </c>
      <c r="C8293" s="1411"/>
      <c r="D8293" s="887"/>
      <c r="E8293" s="854"/>
      <c r="F8293" s="859"/>
      <c r="G8293" s="859"/>
      <c r="H8293" s="859"/>
      <c r="I8293" s="1151" t="str">
        <f t="shared" si="288"/>
        <v/>
      </c>
      <c r="J8293" s="915"/>
      <c r="K8293" s="1325" t="s">
        <v>2168</v>
      </c>
      <c r="L8293" s="869"/>
      <c r="M8293" s="869"/>
      <c r="N8293" s="869"/>
    </row>
    <row r="8294" spans="1:14" s="870" customFormat="1" ht="51.75" hidden="1" outlineLevel="1">
      <c r="A8294" s="1324">
        <v>5.0999999999999996</v>
      </c>
      <c r="B8294" s="886" t="s">
        <v>1479</v>
      </c>
      <c r="C8294" s="1411"/>
      <c r="D8294" s="887"/>
      <c r="E8294" s="854"/>
      <c r="F8294" s="859"/>
      <c r="G8294" s="859"/>
      <c r="H8294" s="859"/>
      <c r="I8294" s="1151" t="str">
        <f t="shared" si="288"/>
        <v/>
      </c>
      <c r="J8294" s="915"/>
      <c r="K8294" s="1325" t="s">
        <v>2168</v>
      </c>
      <c r="L8294" s="869"/>
      <c r="M8294" s="869"/>
      <c r="N8294" s="869"/>
    </row>
    <row r="8295" spans="1:14" s="870" customFormat="1" hidden="1" outlineLevel="1">
      <c r="A8295" s="1324"/>
      <c r="B8295" s="886" t="s">
        <v>835</v>
      </c>
      <c r="C8295" s="1411" t="s">
        <v>1</v>
      </c>
      <c r="D8295" s="887">
        <v>4</v>
      </c>
      <c r="E8295" s="854">
        <v>2</v>
      </c>
      <c r="F8295" s="863">
        <v>2.835</v>
      </c>
      <c r="G8295" s="859"/>
      <c r="H8295" s="859">
        <v>0.27500000000000002</v>
      </c>
      <c r="I8295" s="1165">
        <f t="shared" si="288"/>
        <v>6.24</v>
      </c>
      <c r="J8295" s="915"/>
      <c r="K8295" s="1325" t="s">
        <v>2168</v>
      </c>
      <c r="L8295" s="869"/>
      <c r="M8295" s="869"/>
      <c r="N8295" s="869"/>
    </row>
    <row r="8296" spans="1:14" s="870" customFormat="1" hidden="1" outlineLevel="1">
      <c r="A8296" s="1324"/>
      <c r="B8296" s="886" t="s">
        <v>1480</v>
      </c>
      <c r="C8296" s="1411" t="s">
        <v>1</v>
      </c>
      <c r="D8296" s="887">
        <v>4</v>
      </c>
      <c r="E8296" s="854">
        <v>1</v>
      </c>
      <c r="F8296" s="863">
        <v>2.835</v>
      </c>
      <c r="G8296" s="859">
        <f>0.385-0.23</f>
        <v>0.155</v>
      </c>
      <c r="H8296" s="859"/>
      <c r="I8296" s="1165">
        <f t="shared" si="288"/>
        <v>1.76</v>
      </c>
      <c r="J8296" s="915"/>
      <c r="K8296" s="1325" t="s">
        <v>2168</v>
      </c>
      <c r="L8296" s="869"/>
      <c r="M8296" s="869"/>
      <c r="N8296" s="869"/>
    </row>
    <row r="8297" spans="1:14" s="870" customFormat="1" hidden="1" outlineLevel="1">
      <c r="A8297" s="1324"/>
      <c r="B8297" s="886" t="s">
        <v>1416</v>
      </c>
      <c r="C8297" s="1411" t="s">
        <v>1</v>
      </c>
      <c r="D8297" s="887">
        <v>4</v>
      </c>
      <c r="E8297" s="854">
        <v>2</v>
      </c>
      <c r="F8297" s="859">
        <v>0.38500000000000001</v>
      </c>
      <c r="G8297" s="859"/>
      <c r="H8297" s="859">
        <v>0.27500000000000002</v>
      </c>
      <c r="I8297" s="1165">
        <f t="shared" si="288"/>
        <v>0.85</v>
      </c>
      <c r="J8297" s="915"/>
      <c r="K8297" s="1325" t="s">
        <v>2168</v>
      </c>
      <c r="L8297" s="869"/>
      <c r="M8297" s="869"/>
      <c r="N8297" s="869"/>
    </row>
    <row r="8298" spans="1:14" s="870" customFormat="1" ht="34.5" hidden="1" outlineLevel="1">
      <c r="A8298" s="1324">
        <v>5.2</v>
      </c>
      <c r="B8298" s="886" t="s">
        <v>1481</v>
      </c>
      <c r="C8298" s="1411"/>
      <c r="D8298" s="887"/>
      <c r="E8298" s="854"/>
      <c r="F8298" s="859"/>
      <c r="G8298" s="859"/>
      <c r="H8298" s="859"/>
      <c r="I8298" s="1165" t="str">
        <f t="shared" si="288"/>
        <v/>
      </c>
      <c r="J8298" s="915"/>
      <c r="K8298" s="1325" t="s">
        <v>2168</v>
      </c>
      <c r="L8298" s="869"/>
      <c r="M8298" s="869"/>
      <c r="N8298" s="869"/>
    </row>
    <row r="8299" spans="1:14" s="870" customFormat="1" hidden="1" outlineLevel="1">
      <c r="A8299" s="1324"/>
      <c r="B8299" s="886" t="s">
        <v>835</v>
      </c>
      <c r="C8299" s="1411" t="s">
        <v>167</v>
      </c>
      <c r="D8299" s="887">
        <v>2</v>
      </c>
      <c r="E8299" s="854">
        <v>2</v>
      </c>
      <c r="F8299" s="863">
        <v>2.835</v>
      </c>
      <c r="G8299" s="859">
        <v>0.38500000000000001</v>
      </c>
      <c r="H8299" s="859">
        <v>0.27500000000000002</v>
      </c>
      <c r="I8299" s="1165">
        <f t="shared" si="288"/>
        <v>1.2</v>
      </c>
      <c r="J8299" s="915"/>
      <c r="K8299" s="1325" t="s">
        <v>2168</v>
      </c>
      <c r="L8299" s="869"/>
      <c r="M8299" s="869"/>
      <c r="N8299" s="869"/>
    </row>
    <row r="8300" spans="1:14" s="870" customFormat="1" hidden="1" outlineLevel="1">
      <c r="A8300" s="1324"/>
      <c r="B8300" s="886" t="s">
        <v>1480</v>
      </c>
      <c r="C8300" s="1411" t="s">
        <v>1</v>
      </c>
      <c r="D8300" s="887">
        <v>2</v>
      </c>
      <c r="E8300" s="854">
        <v>1</v>
      </c>
      <c r="F8300" s="863">
        <v>2.835</v>
      </c>
      <c r="G8300" s="859">
        <f>0.385-0.23</f>
        <v>0.155</v>
      </c>
      <c r="H8300" s="859"/>
      <c r="I8300" s="1165">
        <f t="shared" si="288"/>
        <v>0.88</v>
      </c>
      <c r="J8300" s="915"/>
      <c r="K8300" s="1325" t="s">
        <v>2168</v>
      </c>
      <c r="L8300" s="869"/>
      <c r="M8300" s="869"/>
      <c r="N8300" s="869"/>
    </row>
    <row r="8301" spans="1:14" s="870" customFormat="1" hidden="1" outlineLevel="1">
      <c r="A8301" s="1324"/>
      <c r="B8301" s="886" t="s">
        <v>1416</v>
      </c>
      <c r="C8301" s="1411" t="s">
        <v>1</v>
      </c>
      <c r="D8301" s="887">
        <v>2</v>
      </c>
      <c r="E8301" s="854">
        <v>2</v>
      </c>
      <c r="F8301" s="859">
        <v>0.38500000000000001</v>
      </c>
      <c r="G8301" s="859"/>
      <c r="H8301" s="859">
        <v>0.27500000000000002</v>
      </c>
      <c r="I8301" s="1165">
        <f t="shared" si="288"/>
        <v>0.42</v>
      </c>
      <c r="J8301" s="915"/>
      <c r="K8301" s="1325" t="s">
        <v>2168</v>
      </c>
      <c r="L8301" s="869"/>
      <c r="M8301" s="869"/>
      <c r="N8301" s="869"/>
    </row>
    <row r="8302" spans="1:14" s="870" customFormat="1" ht="51.75" hidden="1" outlineLevel="1">
      <c r="A8302" s="1324">
        <v>5.3</v>
      </c>
      <c r="B8302" s="886" t="s">
        <v>1338</v>
      </c>
      <c r="C8302" s="1411"/>
      <c r="D8302" s="887"/>
      <c r="E8302" s="854"/>
      <c r="F8302" s="859"/>
      <c r="G8302" s="859"/>
      <c r="H8302" s="859"/>
      <c r="I8302" s="1165" t="str">
        <f t="shared" si="288"/>
        <v/>
      </c>
      <c r="J8302" s="915"/>
      <c r="K8302" s="1325" t="s">
        <v>2168</v>
      </c>
      <c r="L8302" s="869"/>
      <c r="M8302" s="869"/>
      <c r="N8302" s="869"/>
    </row>
    <row r="8303" spans="1:14" s="870" customFormat="1" hidden="1" outlineLevel="1">
      <c r="A8303" s="1324"/>
      <c r="B8303" s="886" t="s">
        <v>835</v>
      </c>
      <c r="C8303" s="1411" t="s">
        <v>167</v>
      </c>
      <c r="D8303" s="887">
        <v>6</v>
      </c>
      <c r="E8303" s="854">
        <v>2</v>
      </c>
      <c r="F8303" s="863">
        <v>2.835</v>
      </c>
      <c r="G8303" s="859">
        <v>0.38500000000000001</v>
      </c>
      <c r="H8303" s="859">
        <v>0.27500000000000002</v>
      </c>
      <c r="I8303" s="1165">
        <f t="shared" si="288"/>
        <v>3.6</v>
      </c>
      <c r="J8303" s="915"/>
      <c r="K8303" s="1325" t="s">
        <v>2168</v>
      </c>
      <c r="L8303" s="869"/>
      <c r="M8303" s="869"/>
      <c r="N8303" s="869"/>
    </row>
    <row r="8304" spans="1:14" s="870" customFormat="1" hidden="1" outlineLevel="1">
      <c r="A8304" s="1324"/>
      <c r="B8304" s="886" t="s">
        <v>1480</v>
      </c>
      <c r="C8304" s="1411" t="s">
        <v>1</v>
      </c>
      <c r="D8304" s="887">
        <v>6</v>
      </c>
      <c r="E8304" s="854">
        <v>1</v>
      </c>
      <c r="F8304" s="863">
        <v>2.835</v>
      </c>
      <c r="G8304" s="859">
        <f>0.385-0.23</f>
        <v>0.155</v>
      </c>
      <c r="H8304" s="859"/>
      <c r="I8304" s="1165">
        <f t="shared" si="288"/>
        <v>2.64</v>
      </c>
      <c r="J8304" s="915"/>
      <c r="K8304" s="1325" t="s">
        <v>2168</v>
      </c>
      <c r="L8304" s="869"/>
      <c r="M8304" s="869"/>
      <c r="N8304" s="869"/>
    </row>
    <row r="8305" spans="1:14" s="870" customFormat="1" hidden="1" outlineLevel="1">
      <c r="A8305" s="1324"/>
      <c r="B8305" s="886" t="s">
        <v>1416</v>
      </c>
      <c r="C8305" s="1411" t="s">
        <v>1</v>
      </c>
      <c r="D8305" s="887">
        <v>6</v>
      </c>
      <c r="E8305" s="854">
        <v>2</v>
      </c>
      <c r="F8305" s="859">
        <v>0.38500000000000001</v>
      </c>
      <c r="G8305" s="859"/>
      <c r="H8305" s="859">
        <v>0.27500000000000002</v>
      </c>
      <c r="I8305" s="1165">
        <f t="shared" si="288"/>
        <v>1.27</v>
      </c>
      <c r="J8305" s="915"/>
      <c r="K8305" s="1325" t="s">
        <v>2168</v>
      </c>
      <c r="L8305" s="869"/>
      <c r="M8305" s="869"/>
      <c r="N8305" s="869"/>
    </row>
    <row r="8306" spans="1:14" s="870" customFormat="1" ht="51.75" hidden="1" outlineLevel="1">
      <c r="A8306" s="1324">
        <v>5.4</v>
      </c>
      <c r="B8306" s="886" t="s">
        <v>1482</v>
      </c>
      <c r="C8306" s="1411"/>
      <c r="D8306" s="887"/>
      <c r="E8306" s="854"/>
      <c r="F8306" s="859"/>
      <c r="G8306" s="859"/>
      <c r="H8306" s="859"/>
      <c r="I8306" s="1165" t="str">
        <f t="shared" si="288"/>
        <v/>
      </c>
      <c r="J8306" s="915"/>
      <c r="K8306" s="1325" t="s">
        <v>2168</v>
      </c>
      <c r="L8306" s="869"/>
      <c r="M8306" s="869"/>
      <c r="N8306" s="869"/>
    </row>
    <row r="8307" spans="1:14" s="870" customFormat="1" hidden="1" outlineLevel="1">
      <c r="A8307" s="1324"/>
      <c r="B8307" s="886" t="s">
        <v>835</v>
      </c>
      <c r="C8307" s="1411" t="s">
        <v>167</v>
      </c>
      <c r="D8307" s="887">
        <v>7</v>
      </c>
      <c r="E8307" s="854">
        <v>2</v>
      </c>
      <c r="F8307" s="863">
        <v>2.835</v>
      </c>
      <c r="G8307" s="859">
        <v>0.38500000000000001</v>
      </c>
      <c r="H8307" s="859">
        <v>0.27500000000000002</v>
      </c>
      <c r="I8307" s="1165">
        <f t="shared" si="288"/>
        <v>4.2</v>
      </c>
      <c r="J8307" s="915"/>
      <c r="K8307" s="1325" t="s">
        <v>2168</v>
      </c>
      <c r="L8307" s="869"/>
      <c r="M8307" s="869"/>
      <c r="N8307" s="869"/>
    </row>
    <row r="8308" spans="1:14" s="870" customFormat="1" hidden="1" outlineLevel="1">
      <c r="A8308" s="1324"/>
      <c r="B8308" s="886" t="s">
        <v>1480</v>
      </c>
      <c r="C8308" s="1411" t="s">
        <v>1</v>
      </c>
      <c r="D8308" s="887">
        <v>7</v>
      </c>
      <c r="E8308" s="854">
        <v>1</v>
      </c>
      <c r="F8308" s="863">
        <v>2.835</v>
      </c>
      <c r="G8308" s="859">
        <f>0.385-0.23</f>
        <v>0.155</v>
      </c>
      <c r="H8308" s="859"/>
      <c r="I8308" s="1165">
        <f t="shared" si="288"/>
        <v>3.08</v>
      </c>
      <c r="J8308" s="915"/>
      <c r="K8308" s="1325" t="s">
        <v>2168</v>
      </c>
      <c r="L8308" s="869"/>
      <c r="M8308" s="869"/>
      <c r="N8308" s="869"/>
    </row>
    <row r="8309" spans="1:14" s="870" customFormat="1" hidden="1" outlineLevel="1">
      <c r="A8309" s="1324"/>
      <c r="B8309" s="886" t="s">
        <v>1416</v>
      </c>
      <c r="C8309" s="1411" t="s">
        <v>1</v>
      </c>
      <c r="D8309" s="887">
        <v>7</v>
      </c>
      <c r="E8309" s="854">
        <v>2</v>
      </c>
      <c r="F8309" s="859">
        <v>0.38500000000000001</v>
      </c>
      <c r="G8309" s="859"/>
      <c r="H8309" s="859">
        <v>0.27500000000000002</v>
      </c>
      <c r="I8309" s="1165">
        <f t="shared" si="288"/>
        <v>1.48</v>
      </c>
      <c r="J8309" s="915"/>
      <c r="K8309" s="1325" t="s">
        <v>2168</v>
      </c>
      <c r="L8309" s="869"/>
      <c r="M8309" s="869"/>
      <c r="N8309" s="869"/>
    </row>
    <row r="8310" spans="1:14" s="870" customFormat="1" ht="51.75" hidden="1" outlineLevel="1">
      <c r="A8310" s="1324">
        <v>5.5</v>
      </c>
      <c r="B8310" s="886" t="s">
        <v>1483</v>
      </c>
      <c r="C8310" s="1411"/>
      <c r="D8310" s="887"/>
      <c r="E8310" s="854"/>
      <c r="F8310" s="859"/>
      <c r="G8310" s="859"/>
      <c r="H8310" s="859"/>
      <c r="I8310" s="1165" t="str">
        <f t="shared" si="288"/>
        <v/>
      </c>
      <c r="J8310" s="915"/>
      <c r="K8310" s="1325" t="s">
        <v>2168</v>
      </c>
      <c r="L8310" s="869"/>
      <c r="M8310" s="869"/>
      <c r="N8310" s="869"/>
    </row>
    <row r="8311" spans="1:14" s="870" customFormat="1" hidden="1" outlineLevel="1">
      <c r="A8311" s="1324"/>
      <c r="B8311" s="886" t="s">
        <v>835</v>
      </c>
      <c r="C8311" s="1411" t="s">
        <v>167</v>
      </c>
      <c r="D8311" s="887">
        <v>6</v>
      </c>
      <c r="E8311" s="854">
        <v>2</v>
      </c>
      <c r="F8311" s="863">
        <v>2.835</v>
      </c>
      <c r="G8311" s="859">
        <v>0.38500000000000001</v>
      </c>
      <c r="H8311" s="859">
        <v>0.27500000000000002</v>
      </c>
      <c r="I8311" s="1165">
        <f t="shared" si="288"/>
        <v>3.6</v>
      </c>
      <c r="J8311" s="915"/>
      <c r="K8311" s="1325" t="s">
        <v>2168</v>
      </c>
      <c r="L8311" s="869"/>
      <c r="M8311" s="869"/>
      <c r="N8311" s="869"/>
    </row>
    <row r="8312" spans="1:14" s="870" customFormat="1" hidden="1" outlineLevel="1">
      <c r="A8312" s="1324"/>
      <c r="B8312" s="886" t="s">
        <v>1480</v>
      </c>
      <c r="C8312" s="1411" t="s">
        <v>1</v>
      </c>
      <c r="D8312" s="887">
        <v>6</v>
      </c>
      <c r="E8312" s="854">
        <v>1</v>
      </c>
      <c r="F8312" s="863">
        <v>2.835</v>
      </c>
      <c r="G8312" s="859">
        <f>0.385-0.23</f>
        <v>0.155</v>
      </c>
      <c r="H8312" s="859"/>
      <c r="I8312" s="1165">
        <f t="shared" si="288"/>
        <v>2.64</v>
      </c>
      <c r="J8312" s="915"/>
      <c r="K8312" s="1325" t="s">
        <v>2168</v>
      </c>
      <c r="L8312" s="869"/>
      <c r="M8312" s="869"/>
      <c r="N8312" s="869"/>
    </row>
    <row r="8313" spans="1:14" s="870" customFormat="1" hidden="1" outlineLevel="1">
      <c r="A8313" s="1324"/>
      <c r="B8313" s="886" t="s">
        <v>1416</v>
      </c>
      <c r="C8313" s="1411" t="s">
        <v>1</v>
      </c>
      <c r="D8313" s="887">
        <v>6</v>
      </c>
      <c r="E8313" s="854">
        <v>2</v>
      </c>
      <c r="F8313" s="859">
        <v>0.38500000000000001</v>
      </c>
      <c r="G8313" s="859"/>
      <c r="H8313" s="859">
        <v>0.27500000000000002</v>
      </c>
      <c r="I8313" s="1165">
        <f t="shared" si="288"/>
        <v>1.27</v>
      </c>
      <c r="J8313" s="915"/>
      <c r="K8313" s="1325" t="s">
        <v>2168</v>
      </c>
      <c r="L8313" s="869"/>
      <c r="M8313" s="869"/>
      <c r="N8313" s="869"/>
    </row>
    <row r="8314" spans="1:14" s="870" customFormat="1" ht="34.5" hidden="1" outlineLevel="1">
      <c r="A8314" s="1324">
        <v>5.6</v>
      </c>
      <c r="B8314" s="886" t="s">
        <v>1484</v>
      </c>
      <c r="C8314" s="1411"/>
      <c r="D8314" s="887"/>
      <c r="E8314" s="854"/>
      <c r="F8314" s="859"/>
      <c r="G8314" s="859"/>
      <c r="H8314" s="859"/>
      <c r="I8314" s="1165" t="str">
        <f t="shared" si="288"/>
        <v/>
      </c>
      <c r="J8314" s="915"/>
      <c r="K8314" s="1325" t="s">
        <v>2168</v>
      </c>
      <c r="L8314" s="869"/>
      <c r="M8314" s="869"/>
      <c r="N8314" s="869"/>
    </row>
    <row r="8315" spans="1:14" s="870" customFormat="1" hidden="1" outlineLevel="1">
      <c r="A8315" s="1324"/>
      <c r="B8315" s="886" t="s">
        <v>835</v>
      </c>
      <c r="C8315" s="1411" t="s">
        <v>167</v>
      </c>
      <c r="D8315" s="887">
        <v>8</v>
      </c>
      <c r="E8315" s="854">
        <v>2</v>
      </c>
      <c r="F8315" s="863">
        <v>2.835</v>
      </c>
      <c r="G8315" s="859">
        <v>0.38500000000000001</v>
      </c>
      <c r="H8315" s="859">
        <v>0.27500000000000002</v>
      </c>
      <c r="I8315" s="1165">
        <f t="shared" si="288"/>
        <v>4.8</v>
      </c>
      <c r="J8315" s="915"/>
      <c r="K8315" s="1325" t="s">
        <v>2168</v>
      </c>
      <c r="L8315" s="869"/>
      <c r="M8315" s="869"/>
      <c r="N8315" s="869"/>
    </row>
    <row r="8316" spans="1:14" s="870" customFormat="1" hidden="1" outlineLevel="1">
      <c r="A8316" s="1324"/>
      <c r="B8316" s="886" t="s">
        <v>1480</v>
      </c>
      <c r="C8316" s="1411" t="s">
        <v>1</v>
      </c>
      <c r="D8316" s="887">
        <v>8</v>
      </c>
      <c r="E8316" s="854">
        <v>1</v>
      </c>
      <c r="F8316" s="863">
        <v>2.835</v>
      </c>
      <c r="G8316" s="859">
        <f>0.385-0.23</f>
        <v>0.155</v>
      </c>
      <c r="H8316" s="859"/>
      <c r="I8316" s="1165">
        <f t="shared" si="288"/>
        <v>3.52</v>
      </c>
      <c r="J8316" s="915"/>
      <c r="K8316" s="1325" t="s">
        <v>2168</v>
      </c>
      <c r="L8316" s="869"/>
      <c r="M8316" s="869">
        <v>12</v>
      </c>
      <c r="N8316" s="869"/>
    </row>
    <row r="8317" spans="1:14" s="870" customFormat="1" hidden="1" outlineLevel="1">
      <c r="A8317" s="1324"/>
      <c r="B8317" s="886" t="s">
        <v>1416</v>
      </c>
      <c r="C8317" s="1411" t="s">
        <v>1</v>
      </c>
      <c r="D8317" s="887">
        <v>8</v>
      </c>
      <c r="E8317" s="854">
        <v>2</v>
      </c>
      <c r="F8317" s="859">
        <v>0.38500000000000001</v>
      </c>
      <c r="G8317" s="859"/>
      <c r="H8317" s="859">
        <v>0.27500000000000002</v>
      </c>
      <c r="I8317" s="1165">
        <f t="shared" si="288"/>
        <v>1.69</v>
      </c>
      <c r="J8317" s="915"/>
      <c r="K8317" s="1325" t="s">
        <v>2168</v>
      </c>
      <c r="L8317" s="869"/>
      <c r="M8317" s="869"/>
      <c r="N8317" s="869"/>
    </row>
    <row r="8318" spans="1:14" s="464" customFormat="1" collapsed="1">
      <c r="A8318" s="1264"/>
      <c r="B8318" s="669" t="s">
        <v>85</v>
      </c>
      <c r="C8318" s="465" t="s">
        <v>1</v>
      </c>
      <c r="D8318" s="444"/>
      <c r="E8318" s="444"/>
      <c r="F8318" s="1381"/>
      <c r="G8318" s="1381"/>
      <c r="H8318" s="1381"/>
      <c r="I8318" s="1183" t="str">
        <f t="shared" si="255"/>
        <v/>
      </c>
      <c r="J8318" s="474">
        <f>SUM(I7295:I8318)</f>
        <v>2062.6700000000014</v>
      </c>
      <c r="K8318" s="1317">
        <v>0</v>
      </c>
      <c r="L8318" s="463"/>
      <c r="M8318" s="463"/>
      <c r="N8318" s="463"/>
    </row>
    <row r="8319" spans="1:14" s="464" customFormat="1">
      <c r="A8319" s="1264"/>
      <c r="B8319" s="311"/>
      <c r="C8319" s="1412"/>
      <c r="D8319" s="437"/>
      <c r="E8319" s="437"/>
      <c r="F8319" s="1206"/>
      <c r="G8319" s="1206"/>
      <c r="H8319" s="1206"/>
      <c r="I8319" s="1182"/>
      <c r="J8319" s="399"/>
      <c r="K8319" s="1317"/>
      <c r="L8319" s="463"/>
      <c r="M8319" s="463"/>
      <c r="N8319" s="463"/>
    </row>
    <row r="8320" spans="1:14" ht="51.75">
      <c r="A8320" s="1232"/>
      <c r="B8320" s="311" t="s">
        <v>1843</v>
      </c>
      <c r="C8320" s="165" t="s">
        <v>1</v>
      </c>
      <c r="D8320" s="392">
        <v>2</v>
      </c>
      <c r="E8320" s="165">
        <v>4</v>
      </c>
      <c r="F8320" s="401">
        <v>0.9</v>
      </c>
      <c r="G8320" s="401"/>
      <c r="H8320" s="401">
        <v>0.25</v>
      </c>
      <c r="I8320" s="399">
        <f t="shared" ref="I8320:I8333" si="289">IF(D8320&lt;&gt;0,ROUND(PRODUCT(E8320:H8320)*D8320,2),"")</f>
        <v>1.8</v>
      </c>
      <c r="J8320" s="294"/>
      <c r="K8320" s="1242" t="s">
        <v>2167</v>
      </c>
    </row>
    <row r="8321" spans="1:11">
      <c r="A8321" s="1232"/>
      <c r="B8321" s="311" t="s">
        <v>1744</v>
      </c>
      <c r="C8321" s="165" t="s">
        <v>1</v>
      </c>
      <c r="D8321" s="392">
        <v>2</v>
      </c>
      <c r="E8321" s="165">
        <v>4</v>
      </c>
      <c r="F8321" s="401">
        <v>0.25</v>
      </c>
      <c r="G8321" s="401"/>
      <c r="H8321" s="401">
        <v>1.2</v>
      </c>
      <c r="I8321" s="399">
        <f t="shared" si="289"/>
        <v>2.4</v>
      </c>
      <c r="J8321" s="294"/>
      <c r="K8321" s="1242" t="s">
        <v>2168</v>
      </c>
    </row>
    <row r="8322" spans="1:11">
      <c r="A8322" s="1232"/>
      <c r="B8322" s="311"/>
      <c r="C8322" s="165"/>
      <c r="D8322" s="392"/>
      <c r="E8322" s="165"/>
      <c r="F8322" s="401"/>
      <c r="G8322" s="401"/>
      <c r="H8322" s="401"/>
      <c r="I8322" s="399" t="str">
        <f t="shared" si="289"/>
        <v/>
      </c>
      <c r="J8322" s="294"/>
      <c r="K8322" s="1242"/>
    </row>
    <row r="8323" spans="1:11" ht="34.5">
      <c r="A8323" s="1232"/>
      <c r="B8323" s="311" t="s">
        <v>1844</v>
      </c>
      <c r="C8323" s="165" t="s">
        <v>1</v>
      </c>
      <c r="D8323" s="392">
        <v>2</v>
      </c>
      <c r="E8323" s="165">
        <v>4</v>
      </c>
      <c r="F8323" s="401">
        <v>1.5</v>
      </c>
      <c r="G8323" s="401"/>
      <c r="H8323" s="401">
        <v>0.35</v>
      </c>
      <c r="I8323" s="399">
        <f t="shared" si="289"/>
        <v>4.2</v>
      </c>
      <c r="J8323" s="294"/>
      <c r="K8323" s="1242" t="s">
        <v>2167</v>
      </c>
    </row>
    <row r="8324" spans="1:11">
      <c r="A8324" s="1232"/>
      <c r="B8324" s="311" t="s">
        <v>1746</v>
      </c>
      <c r="C8324" s="165" t="s">
        <v>1</v>
      </c>
      <c r="D8324" s="392">
        <v>2</v>
      </c>
      <c r="E8324" s="165">
        <v>4</v>
      </c>
      <c r="F8324" s="401">
        <v>0.5</v>
      </c>
      <c r="G8324" s="401"/>
      <c r="H8324" s="401">
        <v>1.9750000000000001</v>
      </c>
      <c r="I8324" s="399">
        <f t="shared" si="289"/>
        <v>7.9</v>
      </c>
      <c r="J8324" s="294"/>
      <c r="K8324" s="1242" t="s">
        <v>2168</v>
      </c>
    </row>
    <row r="8325" spans="1:11" ht="34.5">
      <c r="A8325" s="1232"/>
      <c r="B8325" s="161" t="s">
        <v>1847</v>
      </c>
      <c r="C8325" s="165"/>
      <c r="D8325" s="392"/>
      <c r="E8325" s="165"/>
      <c r="F8325" s="401"/>
      <c r="G8325" s="401"/>
      <c r="H8325" s="401"/>
      <c r="I8325" s="399" t="str">
        <f t="shared" si="289"/>
        <v/>
      </c>
      <c r="J8325" s="294"/>
      <c r="K8325" s="1242"/>
    </row>
    <row r="8326" spans="1:11" ht="34.5">
      <c r="A8326" s="1232"/>
      <c r="B8326" s="593" t="s">
        <v>718</v>
      </c>
      <c r="C8326" s="498"/>
      <c r="D8326" s="359"/>
      <c r="E8326" s="387"/>
      <c r="F8326" s="1372"/>
      <c r="G8326" s="1372"/>
      <c r="H8326" s="1372"/>
      <c r="I8326" s="399" t="str">
        <f t="shared" si="289"/>
        <v/>
      </c>
      <c r="K8326" s="1259"/>
    </row>
    <row r="8327" spans="1:11">
      <c r="A8327" s="1232"/>
      <c r="B8327" s="358"/>
      <c r="C8327" s="498"/>
      <c r="D8327" s="359"/>
      <c r="E8327" s="387"/>
      <c r="F8327" s="1372"/>
      <c r="G8327" s="1372"/>
      <c r="H8327" s="1372"/>
      <c r="I8327" s="399" t="str">
        <f t="shared" si="289"/>
        <v/>
      </c>
      <c r="K8327" s="1259"/>
    </row>
    <row r="8328" spans="1:11">
      <c r="A8328" s="1232"/>
      <c r="B8328" s="358" t="s">
        <v>263</v>
      </c>
      <c r="C8328" s="498" t="s">
        <v>1</v>
      </c>
      <c r="D8328" s="357">
        <f>1</f>
        <v>1</v>
      </c>
      <c r="E8328" s="387">
        <v>12</v>
      </c>
      <c r="F8328" s="1372">
        <f>4.5+0.15+0.15</f>
        <v>4.8000000000000007</v>
      </c>
      <c r="G8328" s="1372"/>
      <c r="H8328" s="1372">
        <v>0.3</v>
      </c>
      <c r="I8328" s="399">
        <f t="shared" si="289"/>
        <v>17.28</v>
      </c>
      <c r="K8328" s="1259" t="s">
        <v>2167</v>
      </c>
    </row>
    <row r="8329" spans="1:11">
      <c r="A8329" s="1232"/>
      <c r="B8329" s="358"/>
      <c r="C8329" s="498" t="s">
        <v>1</v>
      </c>
      <c r="D8329" s="357">
        <f>2</f>
        <v>2</v>
      </c>
      <c r="E8329" s="387">
        <v>9</v>
      </c>
      <c r="F8329" s="1372">
        <f>1+0.15+0.15</f>
        <v>1.2999999999999998</v>
      </c>
      <c r="G8329" s="1372"/>
      <c r="H8329" s="1372">
        <v>0.3</v>
      </c>
      <c r="I8329" s="399">
        <f t="shared" si="289"/>
        <v>7.02</v>
      </c>
      <c r="K8329" s="1259" t="s">
        <v>2167</v>
      </c>
    </row>
    <row r="8330" spans="1:11" ht="34.5">
      <c r="A8330" s="1232"/>
      <c r="B8330" s="593" t="s">
        <v>576</v>
      </c>
      <c r="C8330" s="498"/>
      <c r="D8330" s="357"/>
      <c r="E8330" s="387"/>
      <c r="F8330" s="1372"/>
      <c r="G8330" s="1372"/>
      <c r="H8330" s="1372"/>
      <c r="I8330" s="399" t="str">
        <f t="shared" si="289"/>
        <v/>
      </c>
      <c r="K8330" s="1259"/>
    </row>
    <row r="8331" spans="1:11">
      <c r="A8331" s="1232"/>
      <c r="B8331" s="358"/>
      <c r="C8331" s="498"/>
      <c r="D8331" s="357"/>
      <c r="E8331" s="387"/>
      <c r="F8331" s="1372"/>
      <c r="G8331" s="1372"/>
      <c r="H8331" s="1372"/>
      <c r="I8331" s="399" t="str">
        <f t="shared" si="289"/>
        <v/>
      </c>
      <c r="K8331" s="1259"/>
    </row>
    <row r="8332" spans="1:11">
      <c r="A8332" s="1232"/>
      <c r="B8332" s="358" t="s">
        <v>263</v>
      </c>
      <c r="C8332" s="498" t="s">
        <v>1</v>
      </c>
      <c r="D8332" s="357">
        <f>1</f>
        <v>1</v>
      </c>
      <c r="E8332" s="387">
        <v>10</v>
      </c>
      <c r="F8332" s="1372">
        <f>4.5+0.15+0.15</f>
        <v>4.8000000000000007</v>
      </c>
      <c r="G8332" s="1372"/>
      <c r="H8332" s="1372">
        <v>0.3</v>
      </c>
      <c r="I8332" s="399">
        <f t="shared" si="289"/>
        <v>14.4</v>
      </c>
      <c r="K8332" s="1259" t="s">
        <v>2167</v>
      </c>
    </row>
    <row r="8333" spans="1:11">
      <c r="A8333" s="1232"/>
      <c r="B8333" s="358"/>
      <c r="C8333" s="498" t="s">
        <v>1</v>
      </c>
      <c r="D8333" s="357">
        <f>2</f>
        <v>2</v>
      </c>
      <c r="E8333" s="387">
        <v>8</v>
      </c>
      <c r="F8333" s="1372">
        <f>1+0.15+0.15</f>
        <v>1.2999999999999998</v>
      </c>
      <c r="G8333" s="1372"/>
      <c r="H8333" s="1372">
        <v>0.3</v>
      </c>
      <c r="I8333" s="399">
        <f t="shared" si="289"/>
        <v>6.24</v>
      </c>
      <c r="K8333" s="1259" t="s">
        <v>2167</v>
      </c>
    </row>
    <row r="8334" spans="1:11" ht="18.75">
      <c r="A8334" s="1232"/>
      <c r="B8334" s="916" t="s">
        <v>1722</v>
      </c>
      <c r="C8334" s="165" t="s">
        <v>1</v>
      </c>
      <c r="D8334" s="672"/>
      <c r="E8334" s="323"/>
      <c r="F8334" s="1160" t="e">
        <f>#REF!</f>
        <v>#REF!</v>
      </c>
      <c r="G8334" s="1160"/>
      <c r="H8334" s="1160"/>
      <c r="I8334" s="1163" t="str">
        <f t="shared" ref="I8334:I8359" si="290">IF(D8334&lt;&gt;0,ROUND(PRODUCT(E8334:H8334)*D8334,2),"")</f>
        <v/>
      </c>
      <c r="J8334" s="394"/>
      <c r="K8334" s="1259"/>
    </row>
    <row r="8335" spans="1:11">
      <c r="A8335" s="1221"/>
      <c r="B8335" s="592" t="s">
        <v>587</v>
      </c>
      <c r="E8335" s="165"/>
      <c r="F8335" s="401"/>
      <c r="G8335" s="401"/>
      <c r="H8335" s="401"/>
      <c r="I8335" s="1163" t="str">
        <f t="shared" si="290"/>
        <v/>
      </c>
      <c r="K8335" s="1222"/>
    </row>
    <row r="8336" spans="1:11">
      <c r="A8336" s="1221"/>
      <c r="B8336" s="425" t="s">
        <v>588</v>
      </c>
      <c r="C8336" s="1412" t="s">
        <v>1</v>
      </c>
      <c r="D8336" s="437">
        <f>3</f>
        <v>3</v>
      </c>
      <c r="E8336" s="165">
        <v>2</v>
      </c>
      <c r="F8336" s="401">
        <v>1.5</v>
      </c>
      <c r="G8336" s="401"/>
      <c r="H8336" s="401">
        <v>0.873</v>
      </c>
      <c r="I8336" s="1163">
        <f t="shared" si="290"/>
        <v>7.86</v>
      </c>
      <c r="K8336" s="1222" t="s">
        <v>2168</v>
      </c>
    </row>
    <row r="8337" spans="1:11">
      <c r="A8337" s="1221"/>
      <c r="C8337" s="1412" t="s">
        <v>1</v>
      </c>
      <c r="D8337" s="437">
        <f>3</f>
        <v>3</v>
      </c>
      <c r="E8337" s="165">
        <v>2</v>
      </c>
      <c r="F8337" s="401">
        <v>3</v>
      </c>
      <c r="G8337" s="401"/>
      <c r="H8337" s="401">
        <v>0.873</v>
      </c>
      <c r="I8337" s="1163">
        <f t="shared" si="290"/>
        <v>15.71</v>
      </c>
      <c r="K8337" s="1222" t="s">
        <v>2168</v>
      </c>
    </row>
    <row r="8338" spans="1:11">
      <c r="A8338" s="1221"/>
      <c r="C8338" s="1412" t="s">
        <v>1</v>
      </c>
      <c r="D8338" s="437">
        <f>3</f>
        <v>3</v>
      </c>
      <c r="E8338" s="165">
        <v>2</v>
      </c>
      <c r="F8338" s="401">
        <v>1</v>
      </c>
      <c r="G8338" s="401"/>
      <c r="H8338" s="401">
        <v>0.72299999999999998</v>
      </c>
      <c r="I8338" s="1163">
        <f t="shared" si="290"/>
        <v>4.34</v>
      </c>
      <c r="K8338" s="1222" t="s">
        <v>2168</v>
      </c>
    </row>
    <row r="8339" spans="1:11">
      <c r="A8339" s="1221"/>
      <c r="B8339" s="425" t="s">
        <v>588</v>
      </c>
      <c r="C8339" s="1412" t="s">
        <v>1</v>
      </c>
      <c r="D8339" s="437">
        <f>6</f>
        <v>6</v>
      </c>
      <c r="E8339" s="165">
        <v>1</v>
      </c>
      <c r="F8339" s="401">
        <v>1.5</v>
      </c>
      <c r="G8339" s="401"/>
      <c r="H8339" s="401">
        <v>0.873</v>
      </c>
      <c r="I8339" s="1163">
        <f t="shared" si="290"/>
        <v>7.86</v>
      </c>
      <c r="K8339" s="1222" t="s">
        <v>2168</v>
      </c>
    </row>
    <row r="8340" spans="1:11">
      <c r="A8340" s="1221"/>
      <c r="C8340" s="1412" t="s">
        <v>1</v>
      </c>
      <c r="D8340" s="437">
        <f>6</f>
        <v>6</v>
      </c>
      <c r="E8340" s="165">
        <v>1</v>
      </c>
      <c r="F8340" s="401">
        <v>3</v>
      </c>
      <c r="G8340" s="401"/>
      <c r="H8340" s="401">
        <v>0.873</v>
      </c>
      <c r="I8340" s="1163">
        <f t="shared" si="290"/>
        <v>15.71</v>
      </c>
      <c r="K8340" s="1222" t="s">
        <v>2168</v>
      </c>
    </row>
    <row r="8341" spans="1:11">
      <c r="A8341" s="1221"/>
      <c r="C8341" s="1412" t="s">
        <v>1</v>
      </c>
      <c r="D8341" s="437">
        <f>6</f>
        <v>6</v>
      </c>
      <c r="E8341" s="165">
        <v>2</v>
      </c>
      <c r="F8341" s="401">
        <v>1</v>
      </c>
      <c r="G8341" s="401"/>
      <c r="H8341" s="401">
        <v>0.72299999999999998</v>
      </c>
      <c r="I8341" s="1163">
        <f t="shared" si="290"/>
        <v>8.68</v>
      </c>
      <c r="K8341" s="1222" t="s">
        <v>2168</v>
      </c>
    </row>
    <row r="8342" spans="1:11">
      <c r="A8342" s="1221"/>
      <c r="B8342" s="592" t="s">
        <v>589</v>
      </c>
      <c r="E8342" s="165"/>
      <c r="F8342" s="401"/>
      <c r="G8342" s="401"/>
      <c r="H8342" s="401"/>
      <c r="I8342" s="1163" t="str">
        <f t="shared" si="290"/>
        <v/>
      </c>
      <c r="K8342" s="1222"/>
    </row>
    <row r="8343" spans="1:11">
      <c r="A8343" s="1221"/>
      <c r="B8343" s="425" t="s">
        <v>588</v>
      </c>
      <c r="C8343" s="1412" t="s">
        <v>1</v>
      </c>
      <c r="D8343" s="438">
        <v>2</v>
      </c>
      <c r="E8343" s="165">
        <v>2</v>
      </c>
      <c r="F8343" s="401">
        <v>1.5</v>
      </c>
      <c r="G8343" s="401"/>
      <c r="H8343" s="401">
        <v>0.873</v>
      </c>
      <c r="I8343" s="1163">
        <f t="shared" si="290"/>
        <v>5.24</v>
      </c>
      <c r="K8343" s="1222" t="s">
        <v>2168</v>
      </c>
    </row>
    <row r="8344" spans="1:11">
      <c r="A8344" s="1221"/>
      <c r="C8344" s="1412" t="s">
        <v>1</v>
      </c>
      <c r="D8344" s="438">
        <v>2</v>
      </c>
      <c r="E8344" s="165">
        <v>2</v>
      </c>
      <c r="F8344" s="401">
        <v>3</v>
      </c>
      <c r="G8344" s="401"/>
      <c r="H8344" s="401">
        <v>0.873</v>
      </c>
      <c r="I8344" s="1163">
        <f t="shared" si="290"/>
        <v>10.48</v>
      </c>
      <c r="K8344" s="1222" t="s">
        <v>2168</v>
      </c>
    </row>
    <row r="8345" spans="1:11">
      <c r="A8345" s="1221"/>
      <c r="C8345" s="1412" t="s">
        <v>1</v>
      </c>
      <c r="D8345" s="438">
        <v>2</v>
      </c>
      <c r="E8345" s="165">
        <v>2</v>
      </c>
      <c r="F8345" s="401">
        <v>1</v>
      </c>
      <c r="G8345" s="401"/>
      <c r="H8345" s="401">
        <v>0.72299999999999998</v>
      </c>
      <c r="I8345" s="1163">
        <f t="shared" si="290"/>
        <v>2.89</v>
      </c>
      <c r="K8345" s="1222" t="s">
        <v>2168</v>
      </c>
    </row>
    <row r="8346" spans="1:11">
      <c r="A8346" s="1221"/>
      <c r="B8346" s="425" t="s">
        <v>588</v>
      </c>
      <c r="C8346" s="1412" t="s">
        <v>1</v>
      </c>
      <c r="D8346" s="437">
        <f>6</f>
        <v>6</v>
      </c>
      <c r="E8346" s="165">
        <v>1</v>
      </c>
      <c r="F8346" s="401">
        <v>1.5</v>
      </c>
      <c r="G8346" s="401"/>
      <c r="H8346" s="401">
        <v>0.873</v>
      </c>
      <c r="I8346" s="1163">
        <f t="shared" si="290"/>
        <v>7.86</v>
      </c>
      <c r="K8346" s="1222" t="s">
        <v>2168</v>
      </c>
    </row>
    <row r="8347" spans="1:11">
      <c r="A8347" s="1221"/>
      <c r="C8347" s="1412" t="s">
        <v>1</v>
      </c>
      <c r="D8347" s="437">
        <f>6</f>
        <v>6</v>
      </c>
      <c r="E8347" s="165">
        <v>1</v>
      </c>
      <c r="F8347" s="401">
        <v>3</v>
      </c>
      <c r="G8347" s="401"/>
      <c r="H8347" s="401">
        <v>0.873</v>
      </c>
      <c r="I8347" s="1163">
        <f t="shared" si="290"/>
        <v>15.71</v>
      </c>
      <c r="K8347" s="1222" t="s">
        <v>2168</v>
      </c>
    </row>
    <row r="8348" spans="1:11">
      <c r="A8348" s="1221"/>
      <c r="C8348" s="1412" t="s">
        <v>1</v>
      </c>
      <c r="D8348" s="437">
        <f>6</f>
        <v>6</v>
      </c>
      <c r="E8348" s="165">
        <v>2</v>
      </c>
      <c r="F8348" s="401">
        <v>1</v>
      </c>
      <c r="G8348" s="401"/>
      <c r="H8348" s="401">
        <v>0.72299999999999998</v>
      </c>
      <c r="I8348" s="1163">
        <f t="shared" si="290"/>
        <v>8.68</v>
      </c>
      <c r="K8348" s="1222" t="s">
        <v>2168</v>
      </c>
    </row>
    <row r="8349" spans="1:11" ht="34.5">
      <c r="A8349" s="1221"/>
      <c r="B8349" s="604" t="s">
        <v>1123</v>
      </c>
      <c r="C8349" s="319"/>
      <c r="D8349" s="392"/>
      <c r="E8349" s="165"/>
      <c r="F8349" s="401"/>
      <c r="G8349" s="401"/>
      <c r="H8349" s="401"/>
      <c r="I8349" s="1163" t="str">
        <f t="shared" si="290"/>
        <v/>
      </c>
      <c r="K8349" s="1222"/>
    </row>
    <row r="8350" spans="1:11" ht="34.5">
      <c r="A8350" s="1221"/>
      <c r="B8350" s="593" t="s">
        <v>575</v>
      </c>
      <c r="C8350" s="498"/>
      <c r="D8350" s="359"/>
      <c r="E8350" s="387"/>
      <c r="F8350" s="1372"/>
      <c r="G8350" s="1372"/>
      <c r="H8350" s="1372"/>
      <c r="I8350" s="1163" t="str">
        <f t="shared" si="290"/>
        <v/>
      </c>
      <c r="K8350" s="1222"/>
    </row>
    <row r="8351" spans="1:11" ht="34.5">
      <c r="A8351" s="1221"/>
      <c r="B8351" s="532" t="s">
        <v>713</v>
      </c>
      <c r="C8351" s="498"/>
      <c r="D8351" s="359"/>
      <c r="E8351" s="387"/>
      <c r="F8351" s="1372"/>
      <c r="G8351" s="1372"/>
      <c r="H8351" s="1372"/>
      <c r="I8351" s="1163" t="str">
        <f t="shared" si="290"/>
        <v/>
      </c>
      <c r="K8351" s="1222"/>
    </row>
    <row r="8352" spans="1:11">
      <c r="A8352" s="1221"/>
      <c r="B8352" s="358" t="s">
        <v>714</v>
      </c>
      <c r="C8352" s="498" t="s">
        <v>1</v>
      </c>
      <c r="D8352" s="359">
        <v>1</v>
      </c>
      <c r="E8352" s="387">
        <v>10</v>
      </c>
      <c r="F8352" s="1372">
        <f>1.5+3</f>
        <v>4.5</v>
      </c>
      <c r="G8352" s="1372"/>
      <c r="H8352" s="1372">
        <f>(0.8+1.25)/2</f>
        <v>1.0249999999999999</v>
      </c>
      <c r="I8352" s="1163">
        <f t="shared" si="290"/>
        <v>46.13</v>
      </c>
      <c r="K8352" s="1222" t="s">
        <v>2168</v>
      </c>
    </row>
    <row r="8353" spans="1:11">
      <c r="A8353" s="1221"/>
      <c r="B8353" s="358" t="s">
        <v>715</v>
      </c>
      <c r="C8353" s="498" t="s">
        <v>1</v>
      </c>
      <c r="D8353" s="359">
        <v>2</v>
      </c>
      <c r="E8353" s="387">
        <v>8</v>
      </c>
      <c r="F8353" s="1372">
        <f>0.6+0.2+0.2</f>
        <v>1</v>
      </c>
      <c r="G8353" s="1372"/>
      <c r="H8353" s="1372">
        <v>0.8</v>
      </c>
      <c r="I8353" s="1163">
        <f t="shared" si="290"/>
        <v>12.8</v>
      </c>
      <c r="K8353" s="1222" t="s">
        <v>2168</v>
      </c>
    </row>
    <row r="8354" spans="1:11" ht="34.5">
      <c r="A8354" s="1221"/>
      <c r="B8354" s="593" t="s">
        <v>576</v>
      </c>
      <c r="C8354" s="498"/>
      <c r="D8354" s="359"/>
      <c r="E8354" s="387"/>
      <c r="F8354" s="1372"/>
      <c r="G8354" s="1372"/>
      <c r="H8354" s="1372"/>
      <c r="I8354" s="1163" t="str">
        <f t="shared" si="290"/>
        <v/>
      </c>
      <c r="K8354" s="1222"/>
    </row>
    <row r="8355" spans="1:11" ht="34.5">
      <c r="A8355" s="1221"/>
      <c r="B8355" s="532" t="s">
        <v>713</v>
      </c>
      <c r="C8355" s="498"/>
      <c r="D8355" s="359"/>
      <c r="E8355" s="387"/>
      <c r="F8355" s="1372"/>
      <c r="G8355" s="1372"/>
      <c r="H8355" s="1372"/>
      <c r="I8355" s="1163" t="str">
        <f t="shared" si="290"/>
        <v/>
      </c>
      <c r="K8355" s="1222"/>
    </row>
    <row r="8356" spans="1:11">
      <c r="A8356" s="1221"/>
      <c r="B8356" s="358" t="s">
        <v>717</v>
      </c>
      <c r="C8356" s="498" t="s">
        <v>1</v>
      </c>
      <c r="D8356" s="359">
        <v>1</v>
      </c>
      <c r="E8356" s="387">
        <v>10</v>
      </c>
      <c r="F8356" s="1372">
        <f>1.5+3</f>
        <v>4.5</v>
      </c>
      <c r="G8356" s="1372"/>
      <c r="H8356" s="1372">
        <f>(0.8+1.25)/2</f>
        <v>1.0249999999999999</v>
      </c>
      <c r="I8356" s="1163">
        <f t="shared" si="290"/>
        <v>46.13</v>
      </c>
      <c r="K8356" s="1222" t="s">
        <v>2168</v>
      </c>
    </row>
    <row r="8357" spans="1:11">
      <c r="A8357" s="1221"/>
      <c r="B8357" s="358" t="s">
        <v>715</v>
      </c>
      <c r="C8357" s="498" t="s">
        <v>1</v>
      </c>
      <c r="D8357" s="359">
        <v>2</v>
      </c>
      <c r="E8357" s="387">
        <v>8</v>
      </c>
      <c r="F8357" s="1372">
        <f>0.6+0.2+0.2</f>
        <v>1</v>
      </c>
      <c r="G8357" s="1372"/>
      <c r="H8357" s="1372">
        <v>0.8</v>
      </c>
      <c r="I8357" s="1163">
        <f t="shared" si="290"/>
        <v>12.8</v>
      </c>
      <c r="K8357" s="1222" t="s">
        <v>2168</v>
      </c>
    </row>
    <row r="8358" spans="1:11" ht="34.5">
      <c r="A8358" s="1221"/>
      <c r="B8358" s="593" t="s">
        <v>718</v>
      </c>
      <c r="C8358" s="498"/>
      <c r="D8358" s="359"/>
      <c r="E8358" s="387"/>
      <c r="F8358" s="1372"/>
      <c r="G8358" s="1372"/>
      <c r="H8358" s="1372"/>
      <c r="I8358" s="1163" t="str">
        <f t="shared" si="290"/>
        <v/>
      </c>
      <c r="K8358" s="1222"/>
    </row>
    <row r="8359" spans="1:11">
      <c r="A8359" s="1221"/>
      <c r="B8359" s="358"/>
      <c r="C8359" s="498"/>
      <c r="D8359" s="359"/>
      <c r="E8359" s="387"/>
      <c r="F8359" s="1372"/>
      <c r="G8359" s="1372"/>
      <c r="H8359" s="1372"/>
      <c r="I8359" s="1163" t="str">
        <f t="shared" si="290"/>
        <v/>
      </c>
      <c r="K8359" s="1222"/>
    </row>
    <row r="8360" spans="1:11">
      <c r="A8360" s="1221"/>
      <c r="B8360" s="358" t="s">
        <v>263</v>
      </c>
      <c r="C8360" s="498" t="s">
        <v>1</v>
      </c>
      <c r="D8360" s="636">
        <f>1*0</f>
        <v>0</v>
      </c>
      <c r="E8360" s="387">
        <v>12</v>
      </c>
      <c r="F8360" s="1372">
        <f>4.5+0.15+0.15</f>
        <v>4.8000000000000007</v>
      </c>
      <c r="G8360" s="1372"/>
      <c r="H8360" s="1372">
        <v>0.3</v>
      </c>
      <c r="I8360" s="1163" t="str">
        <f t="shared" ref="I8360:I8371" si="291">IF(D8360&lt;&gt;0,ROUND(PRODUCT(E8360:H8360)*D8360,2),"")</f>
        <v/>
      </c>
      <c r="K8360" s="1222"/>
    </row>
    <row r="8361" spans="1:11">
      <c r="A8361" s="1221"/>
      <c r="B8361" s="358"/>
      <c r="C8361" s="498" t="s">
        <v>1</v>
      </c>
      <c r="D8361" s="636">
        <f>2*0</f>
        <v>0</v>
      </c>
      <c r="E8361" s="387">
        <v>9</v>
      </c>
      <c r="F8361" s="1372">
        <f>1+0.15+0.15</f>
        <v>1.2999999999999998</v>
      </c>
      <c r="G8361" s="1372"/>
      <c r="H8361" s="1372">
        <v>0.3</v>
      </c>
      <c r="I8361" s="1163" t="str">
        <f t="shared" si="291"/>
        <v/>
      </c>
      <c r="K8361" s="1222"/>
    </row>
    <row r="8362" spans="1:11" ht="34.5">
      <c r="A8362" s="1221"/>
      <c r="B8362" s="532" t="s">
        <v>713</v>
      </c>
      <c r="C8362" s="498"/>
      <c r="D8362" s="359"/>
      <c r="E8362" s="387"/>
      <c r="F8362" s="1372"/>
      <c r="G8362" s="1372"/>
      <c r="H8362" s="1372"/>
      <c r="I8362" s="1163" t="str">
        <f t="shared" si="291"/>
        <v/>
      </c>
      <c r="K8362" s="1222"/>
    </row>
    <row r="8363" spans="1:11">
      <c r="A8363" s="1221"/>
      <c r="B8363" s="358" t="s">
        <v>714</v>
      </c>
      <c r="C8363" s="498" t="s">
        <v>1</v>
      </c>
      <c r="D8363" s="359">
        <v>1</v>
      </c>
      <c r="E8363" s="387">
        <v>12</v>
      </c>
      <c r="F8363" s="1372">
        <f>1.5+3</f>
        <v>4.5</v>
      </c>
      <c r="G8363" s="1372"/>
      <c r="H8363" s="1372">
        <f>(0.8+1.25)/2</f>
        <v>1.0249999999999999</v>
      </c>
      <c r="I8363" s="1163">
        <f t="shared" si="291"/>
        <v>55.35</v>
      </c>
      <c r="K8363" s="1222" t="s">
        <v>2168</v>
      </c>
    </row>
    <row r="8364" spans="1:11">
      <c r="A8364" s="1221"/>
      <c r="B8364" s="358" t="s">
        <v>715</v>
      </c>
      <c r="C8364" s="498" t="s">
        <v>1</v>
      </c>
      <c r="D8364" s="359">
        <v>2</v>
      </c>
      <c r="E8364" s="387">
        <v>9</v>
      </c>
      <c r="F8364" s="1372">
        <f>0.6+0.2+0.2</f>
        <v>1</v>
      </c>
      <c r="G8364" s="1372"/>
      <c r="H8364" s="1372">
        <v>0.8</v>
      </c>
      <c r="I8364" s="1163">
        <f t="shared" si="291"/>
        <v>14.4</v>
      </c>
      <c r="K8364" s="1222" t="s">
        <v>2168</v>
      </c>
    </row>
    <row r="8365" spans="1:11" ht="34.5">
      <c r="A8365" s="1221"/>
      <c r="B8365" s="593" t="s">
        <v>576</v>
      </c>
      <c r="C8365" s="498"/>
      <c r="D8365" s="359"/>
      <c r="E8365" s="387"/>
      <c r="F8365" s="1372"/>
      <c r="G8365" s="1372"/>
      <c r="H8365" s="1372"/>
      <c r="I8365" s="1163" t="str">
        <f t="shared" si="291"/>
        <v/>
      </c>
      <c r="K8365" s="1222"/>
    </row>
    <row r="8366" spans="1:11">
      <c r="A8366" s="1221"/>
      <c r="B8366" s="358"/>
      <c r="C8366" s="498"/>
      <c r="D8366" s="359"/>
      <c r="E8366" s="387"/>
      <c r="F8366" s="1372"/>
      <c r="G8366" s="1372"/>
      <c r="H8366" s="1372"/>
      <c r="I8366" s="1163" t="str">
        <f t="shared" si="291"/>
        <v/>
      </c>
      <c r="K8366" s="1222"/>
    </row>
    <row r="8367" spans="1:11">
      <c r="A8367" s="1221"/>
      <c r="B8367" s="358" t="s">
        <v>263</v>
      </c>
      <c r="C8367" s="498" t="s">
        <v>1</v>
      </c>
      <c r="D8367" s="636">
        <f>1*0</f>
        <v>0</v>
      </c>
      <c r="E8367" s="387">
        <v>10</v>
      </c>
      <c r="F8367" s="1372">
        <f>4.5+0.15+0.15</f>
        <v>4.8000000000000007</v>
      </c>
      <c r="G8367" s="1372"/>
      <c r="H8367" s="1372">
        <v>0.3</v>
      </c>
      <c r="I8367" s="1163" t="str">
        <f t="shared" si="291"/>
        <v/>
      </c>
      <c r="K8367" s="1222" t="s">
        <v>2168</v>
      </c>
    </row>
    <row r="8368" spans="1:11">
      <c r="A8368" s="1221"/>
      <c r="B8368" s="358"/>
      <c r="C8368" s="498" t="s">
        <v>1</v>
      </c>
      <c r="D8368" s="636">
        <f>2*0</f>
        <v>0</v>
      </c>
      <c r="E8368" s="387">
        <v>8</v>
      </c>
      <c r="F8368" s="1372">
        <f>1+0.15+0.15</f>
        <v>1.2999999999999998</v>
      </c>
      <c r="G8368" s="1372"/>
      <c r="H8368" s="1372">
        <v>0.3</v>
      </c>
      <c r="I8368" s="1163" t="str">
        <f t="shared" si="291"/>
        <v/>
      </c>
      <c r="K8368" s="1222" t="s">
        <v>2168</v>
      </c>
    </row>
    <row r="8369" spans="1:14" ht="34.5">
      <c r="A8369" s="1221"/>
      <c r="B8369" s="532" t="s">
        <v>713</v>
      </c>
      <c r="C8369" s="498"/>
      <c r="D8369" s="359"/>
      <c r="E8369" s="387"/>
      <c r="F8369" s="1372"/>
      <c r="G8369" s="1372"/>
      <c r="H8369" s="1372"/>
      <c r="I8369" s="1163" t="str">
        <f t="shared" si="291"/>
        <v/>
      </c>
      <c r="K8369" s="1222"/>
    </row>
    <row r="8370" spans="1:14">
      <c r="A8370" s="1221"/>
      <c r="B8370" s="358" t="s">
        <v>714</v>
      </c>
      <c r="C8370" s="498" t="s">
        <v>1</v>
      </c>
      <c r="D8370" s="359">
        <v>1</v>
      </c>
      <c r="E8370" s="387">
        <v>10</v>
      </c>
      <c r="F8370" s="1372">
        <f>1.5+3</f>
        <v>4.5</v>
      </c>
      <c r="G8370" s="1372"/>
      <c r="H8370" s="1372">
        <f>(0.8+1.25)/2</f>
        <v>1.0249999999999999</v>
      </c>
      <c r="I8370" s="1163">
        <f t="shared" si="291"/>
        <v>46.13</v>
      </c>
      <c r="K8370" s="1222" t="s">
        <v>2168</v>
      </c>
    </row>
    <row r="8371" spans="1:14">
      <c r="A8371" s="1221"/>
      <c r="B8371" s="358" t="s">
        <v>715</v>
      </c>
      <c r="C8371" s="498" t="s">
        <v>1</v>
      </c>
      <c r="D8371" s="359">
        <v>2</v>
      </c>
      <c r="E8371" s="387">
        <v>8</v>
      </c>
      <c r="F8371" s="1372">
        <f>0.6+0.2+0.2</f>
        <v>1</v>
      </c>
      <c r="G8371" s="1372"/>
      <c r="H8371" s="1372">
        <v>0.8</v>
      </c>
      <c r="I8371" s="1163">
        <f t="shared" si="291"/>
        <v>12.8</v>
      </c>
      <c r="K8371" s="1222" t="s">
        <v>2168</v>
      </c>
    </row>
    <row r="8372" spans="1:14">
      <c r="A8372" s="1232"/>
      <c r="B8372" s="311"/>
      <c r="C8372" s="165"/>
      <c r="D8372" s="392"/>
      <c r="E8372" s="165"/>
      <c r="F8372" s="401"/>
      <c r="G8372" s="401"/>
      <c r="H8372" s="401"/>
      <c r="I8372" s="938" t="str">
        <f t="shared" ref="I8372" si="292">IF(D8372&lt;&gt;0,ROUND(PRODUCT(E8372:H8372)*D8372,2),"")</f>
        <v/>
      </c>
      <c r="J8372" s="294"/>
      <c r="K8372" s="1242"/>
    </row>
    <row r="8373" spans="1:14" s="398" customFormat="1">
      <c r="A8373" s="1250"/>
      <c r="B8373" s="161" t="s">
        <v>928</v>
      </c>
      <c r="C8373" s="388" t="s">
        <v>1</v>
      </c>
      <c r="D8373" s="437"/>
      <c r="E8373" s="165"/>
      <c r="F8373" s="401"/>
      <c r="G8373" s="401"/>
      <c r="H8373" s="401"/>
      <c r="I8373" s="938" t="str">
        <f t="shared" ref="I8373" si="293">IF(D8373&lt;&gt;0,ROUND(PRODUCT(E8373:H8373)*D8373,2),"")</f>
        <v/>
      </c>
      <c r="J8373" s="403">
        <f>SUM(I8320:I8373)</f>
        <v>418.80000000000007</v>
      </c>
      <c r="K8373" s="1277" t="s">
        <v>1690</v>
      </c>
      <c r="L8373" s="431"/>
      <c r="M8373" s="431"/>
      <c r="N8373" s="431"/>
    </row>
    <row r="8374" spans="1:14">
      <c r="A8374" s="1250"/>
      <c r="D8374" s="392"/>
      <c r="E8374" s="165"/>
      <c r="F8374" s="401"/>
      <c r="G8374" s="401"/>
      <c r="H8374" s="401"/>
      <c r="I8374" s="1182"/>
      <c r="J8374" s="432">
        <f>SUM(J8318:J8373)</f>
        <v>2481.4700000000016</v>
      </c>
      <c r="K8374" s="1242"/>
    </row>
    <row r="8375" spans="1:14" s="464" customFormat="1" ht="45">
      <c r="A8375" s="1264" t="s">
        <v>2163</v>
      </c>
      <c r="B8375" s="1403" t="s">
        <v>2162</v>
      </c>
      <c r="C8375" s="1414" t="s">
        <v>1</v>
      </c>
      <c r="D8375" s="1404">
        <v>1</v>
      </c>
      <c r="E8375" s="1404"/>
      <c r="G8375" s="1402"/>
      <c r="H8375" s="1402"/>
      <c r="I8375" s="1405"/>
      <c r="J8375" s="1402">
        <f>SUMIF($K$7296:$K$8372,"4A",$I$7296:$I$8372)</f>
        <v>1273.5000000000007</v>
      </c>
      <c r="K8375" s="1317"/>
      <c r="L8375" s="1210">
        <f>J8375+124.99</f>
        <v>1398.4900000000007</v>
      </c>
      <c r="M8375" s="463"/>
      <c r="N8375" s="463"/>
    </row>
    <row r="8376" spans="1:14" s="464" customFormat="1" ht="30">
      <c r="A8376" s="1264" t="s">
        <v>2164</v>
      </c>
      <c r="B8376" s="1403" t="s">
        <v>2165</v>
      </c>
      <c r="C8376" s="1414" t="s">
        <v>1</v>
      </c>
      <c r="D8376" s="1404">
        <v>1</v>
      </c>
      <c r="E8376" s="1404"/>
      <c r="G8376" s="1402"/>
      <c r="H8376" s="1402"/>
      <c r="I8376" s="1405"/>
      <c r="J8376" s="1402">
        <f>SUMIF($K$7296:$K$8372,"4B",$I$7296:$I$8372)</f>
        <v>1207.9700000000003</v>
      </c>
      <c r="K8376" s="1317"/>
      <c r="L8376" s="463"/>
      <c r="M8376" s="463"/>
      <c r="N8376" s="463"/>
    </row>
    <row r="8377" spans="1:14" s="464" customFormat="1">
      <c r="A8377" s="1264"/>
      <c r="B8377" s="1403"/>
      <c r="C8377" s="1414"/>
      <c r="D8377" s="1404"/>
      <c r="E8377" s="1404"/>
      <c r="G8377" s="1402"/>
      <c r="H8377" s="1402"/>
      <c r="I8377" s="1405"/>
      <c r="J8377" s="1402"/>
      <c r="K8377" s="1317"/>
      <c r="L8377" s="463"/>
      <c r="M8377" s="463"/>
      <c r="N8377" s="463"/>
    </row>
    <row r="8378" spans="1:14">
      <c r="A8378" s="1219" t="s">
        <v>2175</v>
      </c>
      <c r="B8378" s="768" t="s">
        <v>727</v>
      </c>
      <c r="C8378" s="422"/>
      <c r="D8378" s="436"/>
      <c r="E8378" s="436"/>
      <c r="F8378" s="1359"/>
      <c r="G8378" s="1359"/>
      <c r="H8378" s="1359"/>
      <c r="I8378" s="1185"/>
      <c r="J8378" s="423"/>
      <c r="K8378" s="1220"/>
      <c r="M8378" s="170"/>
      <c r="N8378" s="170"/>
    </row>
    <row r="8379" spans="1:14" s="464" customFormat="1">
      <c r="A8379" s="1264"/>
      <c r="B8379" s="669" t="s">
        <v>85</v>
      </c>
      <c r="C8379" s="465" t="s">
        <v>1</v>
      </c>
      <c r="D8379" s="444"/>
      <c r="E8379" s="345"/>
      <c r="F8379" s="1356"/>
      <c r="G8379" s="1356"/>
      <c r="H8379" s="1356"/>
      <c r="I8379" s="1170" t="str">
        <f t="shared" ref="I8379:I8390" si="294">IF(D8379&lt;&gt;0,ROUND(PRODUCT(E8379:H8379)*D8379,2),"")</f>
        <v/>
      </c>
      <c r="J8379" s="482">
        <f>SUM(I8378:I8379)</f>
        <v>0</v>
      </c>
      <c r="K8379" s="1258"/>
      <c r="L8379" s="463"/>
      <c r="M8379" s="463"/>
      <c r="N8379" s="463"/>
    </row>
    <row r="8380" spans="1:14">
      <c r="A8380" s="1221"/>
      <c r="C8380" s="298"/>
      <c r="D8380" s="392"/>
      <c r="E8380" s="165"/>
      <c r="F8380" s="401"/>
      <c r="G8380" s="401"/>
      <c r="H8380" s="401"/>
      <c r="I8380" s="938" t="str">
        <f t="shared" si="294"/>
        <v/>
      </c>
      <c r="K8380" s="1222"/>
    </row>
    <row r="8381" spans="1:14" ht="51.75">
      <c r="A8381" s="1221"/>
      <c r="B8381" s="425" t="s">
        <v>719</v>
      </c>
      <c r="C8381" s="298" t="s">
        <v>1</v>
      </c>
      <c r="D8381" s="392"/>
      <c r="E8381" s="165"/>
      <c r="F8381" s="401" t="s">
        <v>624</v>
      </c>
      <c r="G8381" s="401"/>
      <c r="H8381" s="401"/>
      <c r="I8381" s="938" t="str">
        <f t="shared" si="294"/>
        <v/>
      </c>
      <c r="K8381" s="1222"/>
    </row>
    <row r="8382" spans="1:14">
      <c r="A8382" s="1221"/>
      <c r="B8382" s="425" t="s">
        <v>1849</v>
      </c>
      <c r="C8382" s="298" t="s">
        <v>1</v>
      </c>
      <c r="D8382" s="392">
        <v>1</v>
      </c>
      <c r="E8382" s="165">
        <v>1</v>
      </c>
      <c r="F8382" s="401">
        <v>68.200800000000001</v>
      </c>
      <c r="G8382" s="401"/>
      <c r="H8382" s="401">
        <v>0.2</v>
      </c>
      <c r="I8382" s="1163">
        <f t="shared" si="294"/>
        <v>13.64</v>
      </c>
      <c r="K8382" s="1222"/>
    </row>
    <row r="8383" spans="1:14">
      <c r="A8383" s="1221"/>
      <c r="B8383" s="425" t="s">
        <v>720</v>
      </c>
      <c r="C8383" s="298" t="s">
        <v>1</v>
      </c>
      <c r="D8383" s="392">
        <v>1</v>
      </c>
      <c r="E8383" s="165">
        <v>1</v>
      </c>
      <c r="F8383" s="401">
        <v>57.524800000000006</v>
      </c>
      <c r="G8383" s="401"/>
      <c r="H8383" s="401">
        <v>0.2</v>
      </c>
      <c r="I8383" s="1163">
        <f t="shared" si="294"/>
        <v>11.5</v>
      </c>
      <c r="K8383" s="1222"/>
    </row>
    <row r="8384" spans="1:14" ht="34.5">
      <c r="A8384" s="1221"/>
      <c r="B8384" s="425" t="s">
        <v>721</v>
      </c>
      <c r="C8384" s="298" t="s">
        <v>1</v>
      </c>
      <c r="D8384" s="392">
        <v>1</v>
      </c>
      <c r="E8384" s="165">
        <v>1</v>
      </c>
      <c r="F8384" s="401">
        <v>64.4328</v>
      </c>
      <c r="G8384" s="401"/>
      <c r="H8384" s="401">
        <v>0.54499999999999993</v>
      </c>
      <c r="I8384" s="1163">
        <f t="shared" si="294"/>
        <v>35.119999999999997</v>
      </c>
      <c r="K8384" s="1222"/>
    </row>
    <row r="8385" spans="1:14">
      <c r="A8385" s="1221"/>
      <c r="B8385" s="425" t="s">
        <v>722</v>
      </c>
      <c r="C8385" s="298" t="s">
        <v>1</v>
      </c>
      <c r="D8385" s="392">
        <v>1</v>
      </c>
      <c r="E8385" s="165">
        <v>1</v>
      </c>
      <c r="F8385" s="401">
        <v>63.176800000000007</v>
      </c>
      <c r="G8385" s="401"/>
      <c r="H8385" s="401">
        <v>0.54499999999999993</v>
      </c>
      <c r="I8385" s="1163">
        <f t="shared" si="294"/>
        <v>34.43</v>
      </c>
      <c r="K8385" s="1222"/>
    </row>
    <row r="8386" spans="1:14" ht="34.5">
      <c r="A8386" s="1221"/>
      <c r="B8386" s="425" t="s">
        <v>723</v>
      </c>
      <c r="C8386" s="298" t="s">
        <v>1</v>
      </c>
      <c r="D8386" s="392">
        <v>1</v>
      </c>
      <c r="E8386" s="165">
        <v>1</v>
      </c>
      <c r="F8386" s="401">
        <v>64.4328</v>
      </c>
      <c r="G8386" s="401"/>
      <c r="H8386" s="401">
        <v>0.15</v>
      </c>
      <c r="I8386" s="1163">
        <f t="shared" si="294"/>
        <v>9.66</v>
      </c>
      <c r="K8386" s="1222"/>
    </row>
    <row r="8387" spans="1:14">
      <c r="A8387" s="1221"/>
      <c r="B8387" s="425" t="s">
        <v>724</v>
      </c>
      <c r="C8387" s="298" t="s">
        <v>1</v>
      </c>
      <c r="D8387" s="392">
        <v>1</v>
      </c>
      <c r="E8387" s="165">
        <v>1</v>
      </c>
      <c r="F8387" s="401">
        <v>63.176800000000007</v>
      </c>
      <c r="G8387" s="401"/>
      <c r="H8387" s="401">
        <v>0.33999999999999997</v>
      </c>
      <c r="I8387" s="1163">
        <f t="shared" si="294"/>
        <v>21.48</v>
      </c>
      <c r="K8387" s="1222"/>
    </row>
    <row r="8388" spans="1:14">
      <c r="A8388" s="1221"/>
      <c r="C8388" s="298"/>
      <c r="D8388" s="392"/>
      <c r="E8388" s="165"/>
      <c r="F8388" s="401"/>
      <c r="G8388" s="401"/>
      <c r="H8388" s="401"/>
      <c r="I8388" s="938" t="str">
        <f t="shared" ref="I8388:I8389" si="295">IF(D8388&lt;&gt;0,ROUND(PRODUCT(E8388:H8388)*D8388,2),"")</f>
        <v/>
      </c>
      <c r="K8388" s="1222"/>
    </row>
    <row r="8389" spans="1:14">
      <c r="A8389" s="1221"/>
      <c r="C8389" s="298"/>
      <c r="D8389" s="392"/>
      <c r="E8389" s="165"/>
      <c r="F8389" s="401"/>
      <c r="G8389" s="401"/>
      <c r="H8389" s="401"/>
      <c r="I8389" s="938" t="str">
        <f t="shared" si="295"/>
        <v/>
      </c>
      <c r="K8389" s="1222"/>
    </row>
    <row r="8390" spans="1:14" s="398" customFormat="1">
      <c r="A8390" s="1250"/>
      <c r="B8390" s="161" t="s">
        <v>928</v>
      </c>
      <c r="C8390" s="388" t="s">
        <v>1</v>
      </c>
      <c r="D8390" s="437"/>
      <c r="E8390" s="165"/>
      <c r="F8390" s="401"/>
      <c r="G8390" s="401"/>
      <c r="H8390" s="401"/>
      <c r="I8390" s="938" t="str">
        <f t="shared" si="294"/>
        <v/>
      </c>
      <c r="J8390" s="1063">
        <f>SUM(I8380:I8390)*0</f>
        <v>0</v>
      </c>
      <c r="K8390" s="1277" t="s">
        <v>1690</v>
      </c>
      <c r="L8390" s="431"/>
      <c r="M8390" s="431"/>
      <c r="N8390" s="431"/>
    </row>
    <row r="8391" spans="1:14" ht="103.5" customHeight="1">
      <c r="A8391" s="1219" t="s">
        <v>1923</v>
      </c>
      <c r="B8391" s="1397" t="s">
        <v>1124</v>
      </c>
      <c r="C8391" s="422"/>
      <c r="D8391" s="436"/>
      <c r="E8391" s="436"/>
      <c r="F8391" s="1359"/>
      <c r="G8391" s="1359"/>
      <c r="H8391" s="1359"/>
      <c r="I8391" s="1185"/>
      <c r="J8391" s="423"/>
      <c r="K8391" s="1220"/>
      <c r="M8391" s="170"/>
      <c r="N8391" s="170"/>
    </row>
    <row r="8392" spans="1:14" s="464" customFormat="1">
      <c r="A8392" s="1264"/>
      <c r="B8392" s="669" t="s">
        <v>85</v>
      </c>
      <c r="C8392" s="465" t="s">
        <v>1</v>
      </c>
      <c r="D8392" s="444"/>
      <c r="E8392" s="345"/>
      <c r="F8392" s="1356"/>
      <c r="G8392" s="1356"/>
      <c r="H8392" s="1356"/>
      <c r="I8392" s="1170" t="str">
        <f t="shared" ref="I8392:I8408" si="296">IF(D8392&lt;&gt;0,ROUND(PRODUCT(E8392:H8392)*D8392,2),"")</f>
        <v/>
      </c>
      <c r="J8392" s="482">
        <f>SUM(I8391:I8392)</f>
        <v>0</v>
      </c>
      <c r="K8392" s="1258"/>
      <c r="L8392" s="463"/>
      <c r="M8392" s="463"/>
      <c r="N8392" s="463"/>
    </row>
    <row r="8393" spans="1:14">
      <c r="A8393" s="1221"/>
      <c r="C8393" s="298"/>
      <c r="D8393" s="392"/>
      <c r="E8393" s="165"/>
      <c r="F8393" s="401"/>
      <c r="G8393" s="401"/>
      <c r="H8393" s="401"/>
      <c r="I8393" s="938" t="str">
        <f t="shared" si="296"/>
        <v/>
      </c>
      <c r="K8393" s="1222"/>
    </row>
    <row r="8394" spans="1:14" ht="34.5">
      <c r="A8394" s="1221">
        <v>1</v>
      </c>
      <c r="B8394" s="425" t="s">
        <v>1909</v>
      </c>
      <c r="C8394" s="298" t="s">
        <v>1</v>
      </c>
      <c r="D8394" s="392">
        <v>1</v>
      </c>
      <c r="E8394" s="165">
        <v>2</v>
      </c>
      <c r="F8394" s="401">
        <v>2.4000000000000004</v>
      </c>
      <c r="G8394" s="401"/>
      <c r="H8394" s="401">
        <v>2</v>
      </c>
      <c r="I8394" s="1163">
        <f t="shared" si="296"/>
        <v>9.6</v>
      </c>
      <c r="K8394" s="1222"/>
    </row>
    <row r="8395" spans="1:14">
      <c r="A8395" s="1221"/>
      <c r="C8395" s="298" t="s">
        <v>1</v>
      </c>
      <c r="D8395" s="392">
        <v>1</v>
      </c>
      <c r="E8395" s="165">
        <v>2</v>
      </c>
      <c r="F8395" s="401">
        <v>2.6300000000000008</v>
      </c>
      <c r="G8395" s="401"/>
      <c r="H8395" s="401">
        <v>2</v>
      </c>
      <c r="I8395" s="1163">
        <f t="shared" si="296"/>
        <v>10.52</v>
      </c>
      <c r="K8395" s="1222"/>
    </row>
    <row r="8396" spans="1:14">
      <c r="A8396" s="1221"/>
      <c r="C8396" s="298"/>
      <c r="D8396" s="392"/>
      <c r="E8396" s="165"/>
      <c r="F8396" s="401"/>
      <c r="G8396" s="401"/>
      <c r="H8396" s="401"/>
      <c r="I8396" s="1163" t="str">
        <f t="shared" si="296"/>
        <v/>
      </c>
      <c r="K8396" s="1222"/>
    </row>
    <row r="8397" spans="1:14">
      <c r="A8397" s="1221">
        <v>2</v>
      </c>
      <c r="B8397" s="425" t="s">
        <v>1910</v>
      </c>
      <c r="C8397" s="298" t="s">
        <v>1</v>
      </c>
      <c r="D8397" s="392">
        <v>5</v>
      </c>
      <c r="E8397" s="165">
        <v>2</v>
      </c>
      <c r="F8397" s="401">
        <v>1.3</v>
      </c>
      <c r="G8397" s="401"/>
      <c r="H8397" s="401">
        <v>0.85</v>
      </c>
      <c r="I8397" s="1163">
        <f t="shared" si="296"/>
        <v>11.05</v>
      </c>
      <c r="K8397" s="1222"/>
    </row>
    <row r="8398" spans="1:14">
      <c r="A8398" s="1221"/>
      <c r="C8398" s="298" t="s">
        <v>1</v>
      </c>
      <c r="D8398" s="392">
        <v>5</v>
      </c>
      <c r="E8398" s="165">
        <v>2</v>
      </c>
      <c r="F8398" s="401">
        <v>1.53</v>
      </c>
      <c r="G8398" s="401"/>
      <c r="H8398" s="401">
        <v>0.85</v>
      </c>
      <c r="I8398" s="1163">
        <f t="shared" si="296"/>
        <v>13.01</v>
      </c>
      <c r="K8398" s="1222"/>
    </row>
    <row r="8399" spans="1:14">
      <c r="A8399" s="1221"/>
      <c r="C8399" s="298"/>
      <c r="D8399" s="392"/>
      <c r="E8399" s="165"/>
      <c r="F8399" s="401"/>
      <c r="G8399" s="401"/>
      <c r="H8399" s="401"/>
      <c r="I8399" s="1163" t="str">
        <f t="shared" si="296"/>
        <v/>
      </c>
      <c r="K8399" s="1222"/>
    </row>
    <row r="8400" spans="1:14" ht="34.5">
      <c r="A8400" s="1221"/>
      <c r="B8400" s="425" t="s">
        <v>1911</v>
      </c>
      <c r="C8400" s="298"/>
      <c r="D8400" s="392"/>
      <c r="E8400" s="165"/>
      <c r="F8400" s="401"/>
      <c r="G8400" s="401"/>
      <c r="H8400" s="401"/>
      <c r="I8400" s="1163" t="str">
        <f t="shared" si="296"/>
        <v/>
      </c>
      <c r="K8400" s="1222"/>
    </row>
    <row r="8401" spans="1:14">
      <c r="A8401" s="1221"/>
      <c r="B8401" s="425" t="s">
        <v>1744</v>
      </c>
      <c r="C8401" s="298" t="s">
        <v>1</v>
      </c>
      <c r="D8401" s="392">
        <v>2</v>
      </c>
      <c r="E8401" s="165">
        <v>2</v>
      </c>
      <c r="F8401" s="401">
        <v>0.25</v>
      </c>
      <c r="G8401" s="401"/>
      <c r="H8401" s="401">
        <v>1.2</v>
      </c>
      <c r="I8401" s="1163">
        <f t="shared" si="296"/>
        <v>1.2</v>
      </c>
      <c r="K8401" s="1222"/>
    </row>
    <row r="8402" spans="1:14">
      <c r="A8402" s="1221"/>
      <c r="C8402" s="298" t="s">
        <v>1</v>
      </c>
      <c r="D8402" s="392">
        <v>2</v>
      </c>
      <c r="E8402" s="165">
        <v>2</v>
      </c>
      <c r="F8402" s="401">
        <v>0.48</v>
      </c>
      <c r="G8402" s="401"/>
      <c r="H8402" s="401">
        <v>1.2</v>
      </c>
      <c r="I8402" s="1163">
        <f t="shared" si="296"/>
        <v>2.2999999999999998</v>
      </c>
      <c r="K8402" s="1222"/>
    </row>
    <row r="8403" spans="1:14">
      <c r="A8403" s="1221"/>
      <c r="C8403" s="298"/>
      <c r="D8403" s="392"/>
      <c r="E8403" s="165"/>
      <c r="F8403" s="401"/>
      <c r="G8403" s="401"/>
      <c r="H8403" s="401"/>
      <c r="I8403" s="1163" t="str">
        <f t="shared" si="296"/>
        <v/>
      </c>
      <c r="K8403" s="1222"/>
    </row>
    <row r="8404" spans="1:14" ht="34.5">
      <c r="A8404" s="1221"/>
      <c r="B8404" s="425" t="s">
        <v>1912</v>
      </c>
      <c r="C8404" s="298"/>
      <c r="D8404" s="392"/>
      <c r="E8404" s="165"/>
      <c r="F8404" s="401"/>
      <c r="G8404" s="401"/>
      <c r="H8404" s="401"/>
      <c r="I8404" s="1163" t="str">
        <f t="shared" si="296"/>
        <v/>
      </c>
      <c r="K8404" s="1222"/>
    </row>
    <row r="8405" spans="1:14">
      <c r="A8405" s="1221"/>
      <c r="B8405" s="425" t="s">
        <v>1746</v>
      </c>
      <c r="C8405" s="298" t="s">
        <v>1</v>
      </c>
      <c r="D8405" s="392">
        <v>2</v>
      </c>
      <c r="E8405" s="165">
        <v>2</v>
      </c>
      <c r="F8405" s="401">
        <v>0.5</v>
      </c>
      <c r="G8405" s="401"/>
      <c r="H8405" s="401">
        <v>1.9750000000000001</v>
      </c>
      <c r="I8405" s="1163">
        <f t="shared" si="296"/>
        <v>3.95</v>
      </c>
      <c r="K8405" s="1222"/>
    </row>
    <row r="8406" spans="1:14">
      <c r="A8406" s="1221"/>
      <c r="C8406" s="298" t="s">
        <v>1</v>
      </c>
      <c r="D8406" s="392">
        <v>2</v>
      </c>
      <c r="E8406" s="165">
        <v>2</v>
      </c>
      <c r="F8406" s="401">
        <v>0.73</v>
      </c>
      <c r="G8406" s="401"/>
      <c r="H8406" s="401">
        <v>1.9750000000000001</v>
      </c>
      <c r="I8406" s="1163">
        <f t="shared" si="296"/>
        <v>5.77</v>
      </c>
      <c r="K8406" s="1222"/>
    </row>
    <row r="8407" spans="1:14">
      <c r="A8407" s="1221"/>
      <c r="C8407" s="298"/>
      <c r="D8407" s="392"/>
      <c r="E8407" s="165"/>
      <c r="F8407" s="401"/>
      <c r="G8407" s="401"/>
      <c r="H8407" s="401"/>
      <c r="I8407" s="938" t="str">
        <f t="shared" ref="I8407" si="297">IF(D8407&lt;&gt;0,ROUND(PRODUCT(E8407:H8407)*D8407,2),"")</f>
        <v/>
      </c>
      <c r="K8407" s="1222"/>
    </row>
    <row r="8408" spans="1:14" s="398" customFormat="1">
      <c r="A8408" s="1250"/>
      <c r="B8408" s="161" t="s">
        <v>928</v>
      </c>
      <c r="C8408" s="388" t="s">
        <v>1</v>
      </c>
      <c r="D8408" s="437"/>
      <c r="E8408" s="165"/>
      <c r="F8408" s="401"/>
      <c r="G8408" s="401"/>
      <c r="H8408" s="401"/>
      <c r="I8408" s="938" t="str">
        <f t="shared" si="296"/>
        <v/>
      </c>
      <c r="J8408" s="403">
        <f>SUM(I8393:I8408)</f>
        <v>57.400000000000006</v>
      </c>
      <c r="K8408" s="1277" t="s">
        <v>1690</v>
      </c>
      <c r="L8408" s="431"/>
      <c r="M8408" s="431"/>
      <c r="N8408" s="431"/>
    </row>
    <row r="8409" spans="1:14">
      <c r="A8409" s="1250"/>
      <c r="D8409" s="392"/>
      <c r="E8409" s="165"/>
      <c r="F8409" s="401"/>
      <c r="G8409" s="401"/>
      <c r="H8409" s="401"/>
      <c r="I8409" s="1182"/>
      <c r="J8409" s="432">
        <f>SUM(J8392:J8408)</f>
        <v>57.400000000000006</v>
      </c>
      <c r="K8409" s="1242"/>
    </row>
    <row r="8410" spans="1:14" ht="34.5">
      <c r="A8410" s="1219" t="s">
        <v>1926</v>
      </c>
      <c r="B8410" s="1200" t="s">
        <v>1122</v>
      </c>
      <c r="C8410" s="422"/>
      <c r="D8410" s="436"/>
      <c r="E8410" s="436"/>
      <c r="F8410" s="1359"/>
      <c r="G8410" s="1359"/>
      <c r="H8410" s="1359"/>
      <c r="I8410" s="1185"/>
      <c r="J8410" s="423"/>
      <c r="K8410" s="1220"/>
      <c r="M8410" s="170"/>
      <c r="N8410" s="170"/>
    </row>
    <row r="8411" spans="1:14" s="464" customFormat="1">
      <c r="A8411" s="1264"/>
      <c r="B8411" s="669" t="s">
        <v>85</v>
      </c>
      <c r="C8411" s="465" t="s">
        <v>2</v>
      </c>
      <c r="D8411" s="444"/>
      <c r="E8411" s="345"/>
      <c r="F8411" s="1356"/>
      <c r="G8411" s="1356"/>
      <c r="H8411" s="1356"/>
      <c r="I8411" s="1170" t="str">
        <f t="shared" ref="I8411:I8428" si="298">IF(D8411&lt;&gt;0,ROUND(PRODUCT(E8411:H8411)*D8411,2),"")</f>
        <v/>
      </c>
      <c r="J8411" s="482">
        <f>SUM(I8410:I8411)</f>
        <v>0</v>
      </c>
      <c r="K8411" s="1258"/>
      <c r="L8411" s="463"/>
      <c r="M8411" s="463"/>
      <c r="N8411" s="463"/>
    </row>
    <row r="8412" spans="1:14">
      <c r="A8412" s="1221"/>
      <c r="B8412" s="311"/>
      <c r="D8412" s="392"/>
      <c r="E8412" s="165"/>
      <c r="F8412" s="401"/>
      <c r="G8412" s="401"/>
      <c r="H8412" s="401"/>
      <c r="I8412" s="938" t="str">
        <f t="shared" si="298"/>
        <v/>
      </c>
      <c r="J8412" s="477"/>
      <c r="K8412" s="1242"/>
    </row>
    <row r="8413" spans="1:14" s="342" customFormat="1" ht="34.5">
      <c r="A8413" s="1282"/>
      <c r="B8413" s="607" t="s">
        <v>1906</v>
      </c>
      <c r="C8413" s="479" t="s">
        <v>2</v>
      </c>
      <c r="D8413" s="638">
        <v>1</v>
      </c>
      <c r="E8413" s="345">
        <v>5</v>
      </c>
      <c r="F8413" s="1356">
        <v>1.9000000000000001</v>
      </c>
      <c r="G8413" s="1356">
        <v>1.9000000000000001</v>
      </c>
      <c r="H8413" s="1356">
        <v>0.25</v>
      </c>
      <c r="I8413" s="1163">
        <f t="shared" si="298"/>
        <v>4.51</v>
      </c>
      <c r="J8413" s="1098"/>
      <c r="K8413" s="1244"/>
      <c r="L8413" s="341"/>
      <c r="M8413" s="341"/>
      <c r="N8413" s="341"/>
    </row>
    <row r="8414" spans="1:14" s="342" customFormat="1" ht="51.75">
      <c r="A8414" s="1282"/>
      <c r="B8414" s="607" t="s">
        <v>890</v>
      </c>
      <c r="C8414" s="479" t="s">
        <v>2</v>
      </c>
      <c r="D8414" s="638">
        <v>1</v>
      </c>
      <c r="E8414" s="345">
        <v>1</v>
      </c>
      <c r="F8414" s="1356">
        <v>3</v>
      </c>
      <c r="G8414" s="1356">
        <v>3</v>
      </c>
      <c r="H8414" s="1356">
        <v>0.22499999999999998</v>
      </c>
      <c r="I8414" s="1163">
        <f t="shared" si="298"/>
        <v>2.0299999999999998</v>
      </c>
      <c r="J8414" s="1098"/>
      <c r="K8414" s="1244"/>
      <c r="L8414" s="341"/>
      <c r="M8414" s="341"/>
      <c r="N8414" s="341"/>
    </row>
    <row r="8415" spans="1:14" s="342" customFormat="1">
      <c r="A8415" s="1282"/>
      <c r="B8415" s="607"/>
      <c r="C8415" s="479"/>
      <c r="D8415" s="638"/>
      <c r="E8415" s="345"/>
      <c r="F8415" s="1356"/>
      <c r="G8415" s="1356"/>
      <c r="H8415" s="1356"/>
      <c r="I8415" s="1163" t="str">
        <f t="shared" si="298"/>
        <v/>
      </c>
      <c r="J8415" s="1098"/>
      <c r="K8415" s="1244"/>
      <c r="L8415" s="341"/>
      <c r="M8415" s="341"/>
      <c r="N8415" s="341"/>
    </row>
    <row r="8416" spans="1:14" s="342" customFormat="1" ht="34.5">
      <c r="A8416" s="1282"/>
      <c r="B8416" s="607" t="s">
        <v>1907</v>
      </c>
      <c r="C8416" s="479" t="s">
        <v>2</v>
      </c>
      <c r="D8416" s="638">
        <v>2</v>
      </c>
      <c r="E8416" s="345">
        <v>1</v>
      </c>
      <c r="F8416" s="1356">
        <v>1.7</v>
      </c>
      <c r="G8416" s="1356">
        <v>1.7</v>
      </c>
      <c r="H8416" s="1356">
        <v>0.1</v>
      </c>
      <c r="I8416" s="1163">
        <f t="shared" si="298"/>
        <v>0.57999999999999996</v>
      </c>
      <c r="J8416" s="1098"/>
      <c r="K8416" s="1244"/>
      <c r="L8416" s="341"/>
      <c r="M8416" s="341"/>
      <c r="N8416" s="341"/>
    </row>
    <row r="8417" spans="1:14" s="342" customFormat="1">
      <c r="A8417" s="1282"/>
      <c r="B8417" s="607" t="s">
        <v>1908</v>
      </c>
      <c r="C8417" s="479" t="s">
        <v>2</v>
      </c>
      <c r="D8417" s="638">
        <v>2</v>
      </c>
      <c r="E8417" s="345">
        <v>1</v>
      </c>
      <c r="F8417" s="1356">
        <v>2.2999999999999998</v>
      </c>
      <c r="G8417" s="1356">
        <v>2.2999999999999998</v>
      </c>
      <c r="H8417" s="1356">
        <v>0.1</v>
      </c>
      <c r="I8417" s="1163">
        <f t="shared" si="298"/>
        <v>1.06</v>
      </c>
      <c r="J8417" s="1098"/>
      <c r="K8417" s="1244"/>
      <c r="L8417" s="341"/>
      <c r="M8417" s="341"/>
      <c r="N8417" s="341"/>
    </row>
    <row r="8418" spans="1:14" s="342" customFormat="1" ht="51.75">
      <c r="A8418" s="1282"/>
      <c r="B8418" s="1099" t="s">
        <v>1916</v>
      </c>
      <c r="C8418" s="479"/>
      <c r="D8418" s="638"/>
      <c r="E8418" s="345"/>
      <c r="F8418" s="1356"/>
      <c r="G8418" s="1356"/>
      <c r="H8418" s="1356"/>
      <c r="I8418" s="1163" t="str">
        <f t="shared" si="298"/>
        <v/>
      </c>
      <c r="J8418" s="1098"/>
      <c r="K8418" s="1244"/>
      <c r="L8418" s="341"/>
      <c r="M8418" s="341"/>
      <c r="N8418" s="341"/>
    </row>
    <row r="8419" spans="1:14" s="342" customFormat="1" ht="69">
      <c r="A8419" s="1282" t="s">
        <v>459</v>
      </c>
      <c r="B8419" s="607" t="s">
        <v>1752</v>
      </c>
      <c r="C8419" s="479"/>
      <c r="D8419" s="638"/>
      <c r="E8419" s="345"/>
      <c r="F8419" s="1356"/>
      <c r="G8419" s="1356"/>
      <c r="H8419" s="1356"/>
      <c r="I8419" s="1163" t="str">
        <f t="shared" si="298"/>
        <v/>
      </c>
      <c r="J8419" s="1098"/>
      <c r="K8419" s="1244"/>
      <c r="L8419" s="341"/>
      <c r="M8419" s="341"/>
      <c r="N8419" s="341"/>
    </row>
    <row r="8420" spans="1:14" s="342" customFormat="1" ht="34.5">
      <c r="A8420" s="1282"/>
      <c r="B8420" s="607" t="s">
        <v>1753</v>
      </c>
      <c r="C8420" s="479" t="s">
        <v>2</v>
      </c>
      <c r="D8420" s="638">
        <v>1</v>
      </c>
      <c r="E8420" s="345">
        <v>1</v>
      </c>
      <c r="F8420" s="1356">
        <v>12.538</v>
      </c>
      <c r="G8420" s="1356">
        <v>0.3</v>
      </c>
      <c r="H8420" s="1356">
        <v>0.11</v>
      </c>
      <c r="I8420" s="1163">
        <f t="shared" si="298"/>
        <v>0.41</v>
      </c>
      <c r="J8420" s="1098"/>
      <c r="K8420" s="1244"/>
      <c r="L8420" s="341"/>
      <c r="M8420" s="341"/>
      <c r="N8420" s="341"/>
    </row>
    <row r="8421" spans="1:14" s="342" customFormat="1">
      <c r="A8421" s="1282"/>
      <c r="B8421" s="607" t="s">
        <v>1754</v>
      </c>
      <c r="C8421" s="479" t="s">
        <v>2</v>
      </c>
      <c r="D8421" s="638">
        <v>1</v>
      </c>
      <c r="E8421" s="345">
        <v>1</v>
      </c>
      <c r="F8421" s="1356">
        <v>4.16</v>
      </c>
      <c r="G8421" s="1356">
        <v>0.3</v>
      </c>
      <c r="H8421" s="1356">
        <v>0.11</v>
      </c>
      <c r="I8421" s="1163">
        <f t="shared" si="298"/>
        <v>0.14000000000000001</v>
      </c>
      <c r="J8421" s="1098"/>
      <c r="K8421" s="1244"/>
      <c r="L8421" s="341"/>
      <c r="M8421" s="341"/>
      <c r="N8421" s="341"/>
    </row>
    <row r="8422" spans="1:14" s="342" customFormat="1">
      <c r="A8422" s="1282"/>
      <c r="B8422" s="607"/>
      <c r="C8422" s="479" t="s">
        <v>2</v>
      </c>
      <c r="D8422" s="638">
        <v>1</v>
      </c>
      <c r="E8422" s="345">
        <v>1</v>
      </c>
      <c r="F8422" s="1356">
        <v>15.844000000000001</v>
      </c>
      <c r="G8422" s="1356">
        <v>0.3</v>
      </c>
      <c r="H8422" s="1356">
        <v>0.11</v>
      </c>
      <c r="I8422" s="1163">
        <f t="shared" si="298"/>
        <v>0.52</v>
      </c>
      <c r="J8422" s="1098"/>
      <c r="K8422" s="1244"/>
      <c r="L8422" s="341"/>
      <c r="M8422" s="341"/>
      <c r="N8422" s="341"/>
    </row>
    <row r="8423" spans="1:14" s="342" customFormat="1" ht="34.5">
      <c r="A8423" s="1282"/>
      <c r="B8423" s="607" t="s">
        <v>1755</v>
      </c>
      <c r="C8423" s="479" t="s">
        <v>2</v>
      </c>
      <c r="D8423" s="638">
        <v>1</v>
      </c>
      <c r="E8423" s="345">
        <v>1</v>
      </c>
      <c r="F8423" s="1356">
        <v>31.93</v>
      </c>
      <c r="G8423" s="1356">
        <v>0.3</v>
      </c>
      <c r="H8423" s="1356">
        <v>0.11</v>
      </c>
      <c r="I8423" s="1163">
        <f t="shared" si="298"/>
        <v>1.05</v>
      </c>
      <c r="J8423" s="1098"/>
      <c r="K8423" s="1244"/>
      <c r="L8423" s="341"/>
      <c r="M8423" s="341"/>
      <c r="N8423" s="341"/>
    </row>
    <row r="8424" spans="1:14" s="342" customFormat="1" ht="34.5">
      <c r="A8424" s="1282"/>
      <c r="B8424" s="607" t="s">
        <v>1756</v>
      </c>
      <c r="C8424" s="479" t="s">
        <v>2</v>
      </c>
      <c r="D8424" s="638">
        <v>1</v>
      </c>
      <c r="E8424" s="345">
        <v>1</v>
      </c>
      <c r="F8424" s="1356">
        <v>24.785</v>
      </c>
      <c r="G8424" s="1356">
        <v>0.3</v>
      </c>
      <c r="H8424" s="1356">
        <v>0.11</v>
      </c>
      <c r="I8424" s="1163">
        <f t="shared" si="298"/>
        <v>0.82</v>
      </c>
      <c r="J8424" s="1098"/>
      <c r="K8424" s="1244"/>
      <c r="L8424" s="341"/>
      <c r="M8424" s="341"/>
      <c r="N8424" s="341"/>
    </row>
    <row r="8425" spans="1:14" s="342" customFormat="1">
      <c r="A8425" s="1282"/>
      <c r="B8425" s="607" t="s">
        <v>1757</v>
      </c>
      <c r="C8425" s="479" t="s">
        <v>2</v>
      </c>
      <c r="D8425" s="638">
        <v>1</v>
      </c>
      <c r="E8425" s="345">
        <v>1</v>
      </c>
      <c r="F8425" s="1356">
        <v>8</v>
      </c>
      <c r="G8425" s="1356">
        <v>0.3</v>
      </c>
      <c r="H8425" s="1356">
        <v>0.11</v>
      </c>
      <c r="I8425" s="1163">
        <f t="shared" si="298"/>
        <v>0.26</v>
      </c>
      <c r="J8425" s="1098"/>
      <c r="K8425" s="1244"/>
      <c r="L8425" s="341"/>
      <c r="M8425" s="341"/>
      <c r="N8425" s="341"/>
    </row>
    <row r="8426" spans="1:14" s="398" customFormat="1">
      <c r="A8426" s="1313"/>
      <c r="B8426" s="1079" t="s">
        <v>2137</v>
      </c>
      <c r="C8426" s="1068" t="s">
        <v>2</v>
      </c>
      <c r="D8426" s="1080">
        <v>-1</v>
      </c>
      <c r="E8426" s="1068"/>
      <c r="F8426" s="1110">
        <f>SUM(I8413:I8425)</f>
        <v>11.38</v>
      </c>
      <c r="G8426" s="1110"/>
      <c r="H8426" s="1110"/>
      <c r="I8426" s="1184">
        <f t="shared" ref="I8426:I8427" si="299">IF(D8426&lt;&gt;0,ROUND(PRODUCT(E8426:H8426)*D8426,2),"")</f>
        <v>-11.38</v>
      </c>
      <c r="J8426" s="1070"/>
      <c r="K8426" s="1338"/>
      <c r="L8426" s="431"/>
      <c r="M8426" s="431"/>
      <c r="N8426" s="431"/>
    </row>
    <row r="8427" spans="1:14">
      <c r="A8427" s="1221"/>
      <c r="B8427" s="311"/>
      <c r="D8427" s="392"/>
      <c r="E8427" s="165"/>
      <c r="F8427" s="401"/>
      <c r="G8427" s="401"/>
      <c r="H8427" s="401"/>
      <c r="I8427" s="938" t="str">
        <f t="shared" si="299"/>
        <v/>
      </c>
      <c r="J8427" s="477"/>
      <c r="K8427" s="1242"/>
    </row>
    <row r="8428" spans="1:14" s="398" customFormat="1">
      <c r="A8428" s="1250"/>
      <c r="B8428" s="161" t="s">
        <v>928</v>
      </c>
      <c r="C8428" s="388" t="s">
        <v>2</v>
      </c>
      <c r="D8428" s="437"/>
      <c r="E8428" s="165"/>
      <c r="F8428" s="401"/>
      <c r="G8428" s="401"/>
      <c r="H8428" s="401"/>
      <c r="I8428" s="938" t="str">
        <f t="shared" si="298"/>
        <v/>
      </c>
      <c r="J8428" s="403">
        <f>SUM(I8412:I8428)</f>
        <v>0</v>
      </c>
      <c r="K8428" s="1277" t="s">
        <v>1690</v>
      </c>
      <c r="L8428" s="431"/>
      <c r="M8428" s="431"/>
      <c r="N8428" s="431"/>
    </row>
    <row r="8429" spans="1:14">
      <c r="A8429" s="1219" t="s">
        <v>2160</v>
      </c>
      <c r="B8429" s="768" t="s">
        <v>1929</v>
      </c>
      <c r="C8429" s="422"/>
      <c r="D8429" s="436"/>
      <c r="E8429" s="436"/>
      <c r="F8429" s="1359"/>
      <c r="G8429" s="1359"/>
      <c r="H8429" s="1359"/>
      <c r="I8429" s="1185"/>
      <c r="J8429" s="423"/>
      <c r="K8429" s="1220"/>
      <c r="M8429" s="170"/>
      <c r="N8429" s="170"/>
    </row>
    <row r="8430" spans="1:14" s="464" customFormat="1">
      <c r="A8430" s="1264"/>
      <c r="B8430" s="669" t="s">
        <v>85</v>
      </c>
      <c r="C8430" s="465" t="s">
        <v>1930</v>
      </c>
      <c r="D8430" s="444"/>
      <c r="E8430" s="345"/>
      <c r="F8430" s="1356"/>
      <c r="G8430" s="1356"/>
      <c r="H8430" s="1356"/>
      <c r="I8430" s="1170" t="str">
        <f t="shared" ref="I8430" si="300">IF(D8430&lt;&gt;0,ROUND(PRODUCT(E8430:H8430)*D8430,2),"")</f>
        <v/>
      </c>
      <c r="J8430" s="482">
        <f>SUM(I8429:I8430)</f>
        <v>0</v>
      </c>
      <c r="K8430" s="1258"/>
      <c r="L8430" s="463"/>
      <c r="M8430" s="463"/>
      <c r="N8430" s="463"/>
    </row>
    <row r="8431" spans="1:14">
      <c r="A8431" s="1221"/>
      <c r="D8431" s="392"/>
      <c r="F8431" s="401"/>
      <c r="G8431" s="401"/>
      <c r="H8431" s="401"/>
      <c r="I8431" s="1182">
        <f>PRODUCT(D8431:H8431)</f>
        <v>0</v>
      </c>
      <c r="J8431" s="477"/>
      <c r="K8431" s="1242"/>
    </row>
    <row r="8432" spans="1:14">
      <c r="A8432" s="1221">
        <v>1</v>
      </c>
      <c r="B8432" s="425" t="s">
        <v>1444</v>
      </c>
      <c r="C8432" s="298" t="s">
        <v>1821</v>
      </c>
      <c r="D8432" s="392">
        <v>97</v>
      </c>
      <c r="E8432" s="165"/>
      <c r="F8432" s="401"/>
      <c r="G8432" s="401"/>
      <c r="H8432" s="401"/>
      <c r="I8432" s="1182"/>
      <c r="K8432" s="1222"/>
    </row>
    <row r="8433" spans="1:11">
      <c r="A8433" s="1221">
        <v>2</v>
      </c>
      <c r="B8433" s="425" t="s">
        <v>1445</v>
      </c>
      <c r="C8433" s="298" t="s">
        <v>1821</v>
      </c>
      <c r="D8433" s="392">
        <v>27</v>
      </c>
      <c r="E8433" s="165"/>
      <c r="F8433" s="401"/>
      <c r="G8433" s="401"/>
      <c r="H8433" s="401"/>
      <c r="I8433" s="1182"/>
      <c r="K8433" s="1222"/>
    </row>
    <row r="8434" spans="1:11">
      <c r="A8434" s="1221">
        <v>3</v>
      </c>
      <c r="B8434" s="425" t="s">
        <v>1447</v>
      </c>
      <c r="C8434" s="298" t="s">
        <v>1821</v>
      </c>
      <c r="D8434" s="392">
        <v>14</v>
      </c>
      <c r="E8434" s="165"/>
      <c r="F8434" s="401"/>
      <c r="G8434" s="401"/>
      <c r="H8434" s="401"/>
      <c r="I8434" s="1182"/>
      <c r="K8434" s="1222"/>
    </row>
    <row r="8435" spans="1:11">
      <c r="A8435" s="1221">
        <v>4</v>
      </c>
      <c r="B8435" s="425" t="s">
        <v>1448</v>
      </c>
      <c r="C8435" s="298" t="s">
        <v>1821</v>
      </c>
      <c r="D8435" s="392">
        <v>34</v>
      </c>
      <c r="E8435" s="165"/>
      <c r="F8435" s="401"/>
      <c r="G8435" s="401"/>
      <c r="H8435" s="401"/>
      <c r="I8435" s="1182"/>
      <c r="K8435" s="1222"/>
    </row>
    <row r="8436" spans="1:11">
      <c r="A8436" s="1221">
        <v>5</v>
      </c>
      <c r="B8436" s="425" t="s">
        <v>1450</v>
      </c>
      <c r="C8436" s="298" t="s">
        <v>1821</v>
      </c>
      <c r="D8436" s="392">
        <v>2</v>
      </c>
      <c r="E8436" s="165"/>
      <c r="F8436" s="401"/>
      <c r="G8436" s="401"/>
      <c r="H8436" s="401"/>
      <c r="I8436" s="1182"/>
      <c r="K8436" s="1222"/>
    </row>
    <row r="8437" spans="1:11">
      <c r="A8437" s="1221">
        <v>6</v>
      </c>
      <c r="B8437" s="425" t="s">
        <v>1451</v>
      </c>
      <c r="C8437" s="298" t="s">
        <v>1821</v>
      </c>
      <c r="D8437" s="392">
        <v>1</v>
      </c>
      <c r="E8437" s="165"/>
      <c r="F8437" s="401"/>
      <c r="G8437" s="401"/>
      <c r="H8437" s="401"/>
      <c r="I8437" s="1182"/>
      <c r="K8437" s="1222"/>
    </row>
    <row r="8438" spans="1:11">
      <c r="A8438" s="1221">
        <v>7</v>
      </c>
      <c r="B8438" s="425" t="s">
        <v>1456</v>
      </c>
      <c r="C8438" s="298" t="s">
        <v>1821</v>
      </c>
      <c r="D8438" s="392">
        <v>2</v>
      </c>
      <c r="E8438" s="165"/>
      <c r="F8438" s="401"/>
      <c r="G8438" s="401"/>
      <c r="H8438" s="401"/>
      <c r="I8438" s="1182"/>
      <c r="K8438" s="1222"/>
    </row>
    <row r="8439" spans="1:11">
      <c r="A8439" s="1221">
        <v>8</v>
      </c>
      <c r="B8439" s="425" t="s">
        <v>1818</v>
      </c>
      <c r="C8439" s="298" t="s">
        <v>1821</v>
      </c>
      <c r="D8439" s="392">
        <v>2</v>
      </c>
      <c r="E8439" s="165"/>
      <c r="F8439" s="401"/>
      <c r="G8439" s="401"/>
      <c r="H8439" s="401"/>
      <c r="I8439" s="1182"/>
      <c r="K8439" s="1222"/>
    </row>
    <row r="8440" spans="1:11">
      <c r="A8440" s="1221">
        <v>9</v>
      </c>
      <c r="B8440" s="425" t="s">
        <v>1819</v>
      </c>
      <c r="C8440" s="298" t="s">
        <v>1821</v>
      </c>
      <c r="D8440" s="392">
        <v>5</v>
      </c>
      <c r="E8440" s="165"/>
      <c r="F8440" s="401"/>
      <c r="G8440" s="401"/>
      <c r="H8440" s="401"/>
      <c r="I8440" s="1182"/>
      <c r="K8440" s="1222"/>
    </row>
    <row r="8441" spans="1:11">
      <c r="A8441" s="1221">
        <v>10</v>
      </c>
      <c r="B8441" s="425" t="s">
        <v>1820</v>
      </c>
      <c r="C8441" s="298" t="s">
        <v>1821</v>
      </c>
      <c r="D8441" s="392">
        <v>1</v>
      </c>
      <c r="E8441" s="165"/>
      <c r="F8441" s="401"/>
      <c r="G8441" s="401"/>
      <c r="H8441" s="401"/>
      <c r="I8441" s="1182"/>
      <c r="K8441" s="1222"/>
    </row>
    <row r="8442" spans="1:11">
      <c r="A8442" s="1221">
        <v>11</v>
      </c>
      <c r="B8442" s="425" t="s">
        <v>1822</v>
      </c>
      <c r="C8442" s="298" t="s">
        <v>1821</v>
      </c>
      <c r="D8442" s="392">
        <v>2</v>
      </c>
      <c r="E8442" s="165"/>
      <c r="F8442" s="401"/>
      <c r="G8442" s="401"/>
      <c r="H8442" s="401"/>
      <c r="I8442" s="1182"/>
      <c r="K8442" s="1222"/>
    </row>
    <row r="8443" spans="1:11">
      <c r="A8443" s="1221">
        <v>12</v>
      </c>
      <c r="B8443" s="425" t="s">
        <v>1823</v>
      </c>
      <c r="C8443" s="298" t="s">
        <v>1821</v>
      </c>
      <c r="D8443" s="392">
        <v>3</v>
      </c>
      <c r="E8443" s="165"/>
      <c r="F8443" s="401"/>
      <c r="G8443" s="401"/>
      <c r="H8443" s="401"/>
      <c r="I8443" s="1182"/>
      <c r="K8443" s="1222"/>
    </row>
    <row r="8444" spans="1:11">
      <c r="A8444" s="1221">
        <v>13</v>
      </c>
      <c r="B8444" s="425" t="s">
        <v>1824</v>
      </c>
      <c r="C8444" s="298" t="s">
        <v>1821</v>
      </c>
      <c r="D8444" s="392">
        <v>1</v>
      </c>
      <c r="E8444" s="165"/>
      <c r="F8444" s="401"/>
      <c r="G8444" s="401"/>
      <c r="H8444" s="401"/>
      <c r="I8444" s="1182"/>
      <c r="K8444" s="1222"/>
    </row>
    <row r="8445" spans="1:11">
      <c r="A8445" s="1221"/>
      <c r="C8445" s="298"/>
      <c r="D8445" s="392"/>
      <c r="E8445" s="165"/>
      <c r="F8445" s="401"/>
      <c r="G8445" s="401"/>
      <c r="H8445" s="401"/>
      <c r="I8445" s="1182"/>
      <c r="K8445" s="1222"/>
    </row>
    <row r="8446" spans="1:11" ht="34.5">
      <c r="A8446" s="1221">
        <v>1</v>
      </c>
      <c r="B8446" s="425" t="s">
        <v>1931</v>
      </c>
      <c r="C8446" s="298"/>
      <c r="D8446" s="392"/>
      <c r="E8446" s="165"/>
      <c r="F8446" s="401" t="s">
        <v>48</v>
      </c>
      <c r="G8446" s="401" t="s">
        <v>33</v>
      </c>
      <c r="H8446" s="401" t="s">
        <v>1932</v>
      </c>
      <c r="I8446" s="1182">
        <f t="shared" ref="I8446" si="301">PRODUCT(D8446:H8446)</f>
        <v>0</v>
      </c>
      <c r="K8446" s="1222"/>
    </row>
    <row r="8447" spans="1:11">
      <c r="A8447" s="1221"/>
      <c r="B8447" s="425" t="s">
        <v>1933</v>
      </c>
      <c r="C8447" s="298" t="s">
        <v>1930</v>
      </c>
      <c r="D8447" s="392">
        <v>97</v>
      </c>
      <c r="E8447" s="165">
        <v>4</v>
      </c>
      <c r="F8447" s="1110">
        <v>0.88400000000000001</v>
      </c>
      <c r="G8447" s="401"/>
      <c r="H8447" s="401">
        <v>3.06</v>
      </c>
      <c r="I8447" s="1163">
        <f t="shared" ref="I8447:I8510" si="302">IF(D8447&lt;&gt;0,ROUND(PRODUCT(E8447:H8447)*D8447,2),"")</f>
        <v>1049.56</v>
      </c>
      <c r="K8447" s="1222"/>
    </row>
    <row r="8448" spans="1:11">
      <c r="A8448" s="1221"/>
      <c r="B8448" s="425" t="s">
        <v>1934</v>
      </c>
      <c r="C8448" s="298" t="s">
        <v>1930</v>
      </c>
      <c r="D8448" s="392">
        <v>97</v>
      </c>
      <c r="E8448" s="165">
        <v>1</v>
      </c>
      <c r="F8448" s="401">
        <v>0.89</v>
      </c>
      <c r="G8448" s="401">
        <v>0.89</v>
      </c>
      <c r="H8448" s="401">
        <v>47.1</v>
      </c>
      <c r="I8448" s="1163">
        <f t="shared" si="302"/>
        <v>3618.87</v>
      </c>
      <c r="K8448" s="1222"/>
    </row>
    <row r="8449" spans="1:11">
      <c r="A8449" s="1221"/>
      <c r="B8449" s="425" t="s">
        <v>1935</v>
      </c>
      <c r="C8449" s="298" t="s">
        <v>1930</v>
      </c>
      <c r="D8449" s="392">
        <v>97</v>
      </c>
      <c r="E8449" s="165">
        <v>2</v>
      </c>
      <c r="F8449" s="401">
        <v>7.4999999999999997E-2</v>
      </c>
      <c r="G8449" s="401">
        <v>7.4999999999999997E-2</v>
      </c>
      <c r="H8449" s="401">
        <v>47.1</v>
      </c>
      <c r="I8449" s="1163">
        <f t="shared" si="302"/>
        <v>51.4</v>
      </c>
      <c r="K8449" s="1222"/>
    </row>
    <row r="8450" spans="1:11">
      <c r="A8450" s="1221"/>
      <c r="B8450" s="425" t="s">
        <v>1936</v>
      </c>
      <c r="C8450" s="298" t="s">
        <v>1930</v>
      </c>
      <c r="D8450" s="392">
        <v>97</v>
      </c>
      <c r="E8450" s="165">
        <v>4</v>
      </c>
      <c r="F8450" s="401">
        <v>0.1</v>
      </c>
      <c r="G8450" s="401"/>
      <c r="H8450" s="401">
        <v>3.06</v>
      </c>
      <c r="I8450" s="1163">
        <f t="shared" si="302"/>
        <v>118.73</v>
      </c>
      <c r="K8450" s="1222"/>
    </row>
    <row r="8451" spans="1:11">
      <c r="A8451" s="1221"/>
      <c r="C8451" s="298"/>
      <c r="D8451" s="392"/>
      <c r="E8451" s="165"/>
      <c r="F8451" s="401"/>
      <c r="G8451" s="401"/>
      <c r="H8451" s="401"/>
      <c r="I8451" s="1163" t="str">
        <f t="shared" si="302"/>
        <v/>
      </c>
      <c r="K8451" s="1222"/>
    </row>
    <row r="8452" spans="1:11" ht="34.5">
      <c r="A8452" s="1221">
        <v>2</v>
      </c>
      <c r="B8452" s="425" t="s">
        <v>1937</v>
      </c>
      <c r="C8452" s="298"/>
      <c r="D8452" s="392"/>
      <c r="E8452" s="165"/>
      <c r="F8452" s="401" t="s">
        <v>48</v>
      </c>
      <c r="G8452" s="401" t="s">
        <v>33</v>
      </c>
      <c r="H8452" s="401" t="s">
        <v>1932</v>
      </c>
      <c r="I8452" s="1163" t="str">
        <f t="shared" si="302"/>
        <v/>
      </c>
      <c r="K8452" s="1222"/>
    </row>
    <row r="8453" spans="1:11">
      <c r="A8453" s="1221"/>
      <c r="B8453" s="425" t="s">
        <v>1938</v>
      </c>
      <c r="C8453" s="298" t="s">
        <v>1930</v>
      </c>
      <c r="D8453" s="392">
        <v>27</v>
      </c>
      <c r="E8453" s="165">
        <v>4</v>
      </c>
      <c r="F8453" s="1110">
        <v>0.754</v>
      </c>
      <c r="G8453" s="401"/>
      <c r="H8453" s="401">
        <v>3.06</v>
      </c>
      <c r="I8453" s="1163">
        <f t="shared" si="302"/>
        <v>249.18</v>
      </c>
      <c r="K8453" s="1222"/>
    </row>
    <row r="8454" spans="1:11">
      <c r="A8454" s="1221"/>
      <c r="B8454" s="425" t="s">
        <v>1934</v>
      </c>
      <c r="C8454" s="298" t="s">
        <v>1930</v>
      </c>
      <c r="D8454" s="392">
        <v>27</v>
      </c>
      <c r="E8454" s="165">
        <v>1</v>
      </c>
      <c r="F8454" s="401">
        <v>0.76</v>
      </c>
      <c r="G8454" s="401">
        <v>0.76</v>
      </c>
      <c r="H8454" s="401">
        <v>47.1</v>
      </c>
      <c r="I8454" s="1163">
        <f t="shared" si="302"/>
        <v>734.53</v>
      </c>
      <c r="K8454" s="1222"/>
    </row>
    <row r="8455" spans="1:11">
      <c r="A8455" s="1221"/>
      <c r="B8455" s="425" t="s">
        <v>1935</v>
      </c>
      <c r="C8455" s="298" t="s">
        <v>1930</v>
      </c>
      <c r="D8455" s="392">
        <v>27</v>
      </c>
      <c r="E8455" s="165">
        <v>2</v>
      </c>
      <c r="F8455" s="401">
        <v>7.4999999999999997E-2</v>
      </c>
      <c r="G8455" s="401">
        <v>7.4999999999999997E-2</v>
      </c>
      <c r="H8455" s="401">
        <v>47.1</v>
      </c>
      <c r="I8455" s="1163">
        <f t="shared" si="302"/>
        <v>14.31</v>
      </c>
      <c r="K8455" s="1222"/>
    </row>
    <row r="8456" spans="1:11">
      <c r="A8456" s="1221"/>
      <c r="B8456" s="425" t="s">
        <v>1936</v>
      </c>
      <c r="C8456" s="298" t="s">
        <v>1930</v>
      </c>
      <c r="D8456" s="392">
        <v>27</v>
      </c>
      <c r="E8456" s="165">
        <v>4</v>
      </c>
      <c r="F8456" s="401">
        <v>0.1</v>
      </c>
      <c r="G8456" s="401"/>
      <c r="H8456" s="401">
        <v>3.06</v>
      </c>
      <c r="I8456" s="1163">
        <f t="shared" si="302"/>
        <v>33.049999999999997</v>
      </c>
      <c r="K8456" s="1222"/>
    </row>
    <row r="8457" spans="1:11">
      <c r="A8457" s="1221"/>
      <c r="C8457" s="298"/>
      <c r="D8457" s="392"/>
      <c r="E8457" s="165"/>
      <c r="F8457" s="401"/>
      <c r="G8457" s="401"/>
      <c r="H8457" s="401"/>
      <c r="I8457" s="1163" t="str">
        <f t="shared" si="302"/>
        <v/>
      </c>
      <c r="K8457" s="1222"/>
    </row>
    <row r="8458" spans="1:11" ht="34.5">
      <c r="A8458" s="1221">
        <v>3</v>
      </c>
      <c r="B8458" s="425" t="s">
        <v>1939</v>
      </c>
      <c r="C8458" s="298"/>
      <c r="D8458" s="392"/>
      <c r="E8458" s="165"/>
      <c r="F8458" s="401" t="s">
        <v>48</v>
      </c>
      <c r="G8458" s="401" t="s">
        <v>33</v>
      </c>
      <c r="H8458" s="401" t="s">
        <v>1932</v>
      </c>
      <c r="I8458" s="1163" t="str">
        <f t="shared" si="302"/>
        <v/>
      </c>
      <c r="K8458" s="1222"/>
    </row>
    <row r="8459" spans="1:11">
      <c r="A8459" s="1221"/>
      <c r="B8459" s="425" t="s">
        <v>1940</v>
      </c>
      <c r="C8459" s="298" t="s">
        <v>1930</v>
      </c>
      <c r="D8459" s="392">
        <v>14</v>
      </c>
      <c r="E8459" s="165">
        <v>2</v>
      </c>
      <c r="F8459" s="1110">
        <v>1.044</v>
      </c>
      <c r="G8459" s="401"/>
      <c r="H8459" s="401">
        <v>3.06</v>
      </c>
      <c r="I8459" s="1163">
        <f t="shared" si="302"/>
        <v>89.45</v>
      </c>
      <c r="K8459" s="1222"/>
    </row>
    <row r="8460" spans="1:11">
      <c r="A8460" s="1221"/>
      <c r="C8460" s="298" t="s">
        <v>1930</v>
      </c>
      <c r="D8460" s="392">
        <v>14</v>
      </c>
      <c r="E8460" s="165">
        <v>2</v>
      </c>
      <c r="F8460" s="1110">
        <v>0.94399999999999995</v>
      </c>
      <c r="G8460" s="401"/>
      <c r="H8460" s="401">
        <v>3.06</v>
      </c>
      <c r="I8460" s="1163">
        <f t="shared" si="302"/>
        <v>80.88</v>
      </c>
      <c r="K8460" s="1222"/>
    </row>
    <row r="8461" spans="1:11">
      <c r="A8461" s="1221"/>
      <c r="B8461" s="425" t="s">
        <v>1934</v>
      </c>
      <c r="C8461" s="298" t="s">
        <v>1930</v>
      </c>
      <c r="D8461" s="392">
        <v>14</v>
      </c>
      <c r="E8461" s="165">
        <v>1</v>
      </c>
      <c r="F8461" s="401">
        <v>1.05</v>
      </c>
      <c r="G8461" s="401">
        <v>0.95000000000000007</v>
      </c>
      <c r="H8461" s="401">
        <v>47.1</v>
      </c>
      <c r="I8461" s="1163">
        <f t="shared" si="302"/>
        <v>657.75</v>
      </c>
      <c r="K8461" s="1222"/>
    </row>
    <row r="8462" spans="1:11">
      <c r="A8462" s="1221"/>
      <c r="B8462" s="425" t="s">
        <v>1935</v>
      </c>
      <c r="C8462" s="298" t="s">
        <v>1930</v>
      </c>
      <c r="D8462" s="392">
        <v>14</v>
      </c>
      <c r="E8462" s="165">
        <v>2</v>
      </c>
      <c r="F8462" s="401">
        <v>7.4999999999999997E-2</v>
      </c>
      <c r="G8462" s="401">
        <v>7.4999999999999997E-2</v>
      </c>
      <c r="H8462" s="401">
        <v>47.1</v>
      </c>
      <c r="I8462" s="1163">
        <f t="shared" si="302"/>
        <v>7.42</v>
      </c>
      <c r="K8462" s="1222"/>
    </row>
    <row r="8463" spans="1:11">
      <c r="A8463" s="1221"/>
      <c r="B8463" s="425" t="s">
        <v>1936</v>
      </c>
      <c r="C8463" s="298" t="s">
        <v>1930</v>
      </c>
      <c r="D8463" s="392">
        <v>14</v>
      </c>
      <c r="E8463" s="165">
        <v>4</v>
      </c>
      <c r="F8463" s="401">
        <v>0.1</v>
      </c>
      <c r="G8463" s="401"/>
      <c r="H8463" s="401">
        <v>3.06</v>
      </c>
      <c r="I8463" s="1163">
        <f t="shared" si="302"/>
        <v>17.14</v>
      </c>
      <c r="K8463" s="1222"/>
    </row>
    <row r="8464" spans="1:11">
      <c r="A8464" s="1221"/>
      <c r="C8464" s="298"/>
      <c r="D8464" s="392"/>
      <c r="E8464" s="165"/>
      <c r="F8464" s="401"/>
      <c r="G8464" s="401"/>
      <c r="H8464" s="401"/>
      <c r="I8464" s="1163" t="str">
        <f t="shared" si="302"/>
        <v/>
      </c>
      <c r="K8464" s="1222"/>
    </row>
    <row r="8465" spans="1:11" ht="34.5">
      <c r="A8465" s="1221">
        <v>4</v>
      </c>
      <c r="B8465" s="425" t="s">
        <v>1941</v>
      </c>
      <c r="C8465" s="298"/>
      <c r="D8465" s="392"/>
      <c r="E8465" s="165"/>
      <c r="F8465" s="401" t="s">
        <v>48</v>
      </c>
      <c r="G8465" s="401" t="s">
        <v>33</v>
      </c>
      <c r="H8465" s="401" t="s">
        <v>1932</v>
      </c>
      <c r="I8465" s="1163" t="str">
        <f t="shared" si="302"/>
        <v/>
      </c>
      <c r="K8465" s="1222"/>
    </row>
    <row r="8466" spans="1:11">
      <c r="A8466" s="1221"/>
      <c r="B8466" s="425" t="s">
        <v>1942</v>
      </c>
      <c r="C8466" s="298" t="s">
        <v>1930</v>
      </c>
      <c r="D8466" s="392">
        <v>34</v>
      </c>
      <c r="E8466" s="165">
        <v>4</v>
      </c>
      <c r="F8466" s="1110">
        <v>0.45900000000000002</v>
      </c>
      <c r="G8466" s="401"/>
      <c r="H8466" s="401">
        <v>3.06</v>
      </c>
      <c r="I8466" s="1163">
        <f t="shared" si="302"/>
        <v>191.02</v>
      </c>
      <c r="K8466" s="1222"/>
    </row>
    <row r="8467" spans="1:11">
      <c r="A8467" s="1221"/>
      <c r="B8467" s="425" t="s">
        <v>1934</v>
      </c>
      <c r="C8467" s="298" t="s">
        <v>1930</v>
      </c>
      <c r="D8467" s="392">
        <v>34</v>
      </c>
      <c r="E8467" s="165">
        <v>1</v>
      </c>
      <c r="F8467" s="401">
        <v>0.46499999999999997</v>
      </c>
      <c r="G8467" s="401">
        <v>0.46499999999999997</v>
      </c>
      <c r="H8467" s="401">
        <v>47.1</v>
      </c>
      <c r="I8467" s="1163">
        <f t="shared" si="302"/>
        <v>346.26</v>
      </c>
      <c r="K8467" s="1222"/>
    </row>
    <row r="8468" spans="1:11">
      <c r="A8468" s="1221"/>
      <c r="B8468" s="425" t="s">
        <v>1935</v>
      </c>
      <c r="C8468" s="298" t="s">
        <v>1930</v>
      </c>
      <c r="D8468" s="392">
        <v>34</v>
      </c>
      <c r="E8468" s="165">
        <v>2</v>
      </c>
      <c r="F8468" s="401">
        <v>7.4999999999999997E-2</v>
      </c>
      <c r="G8468" s="401">
        <v>7.4999999999999997E-2</v>
      </c>
      <c r="H8468" s="401">
        <v>47.1</v>
      </c>
      <c r="I8468" s="1163">
        <f t="shared" si="302"/>
        <v>18.02</v>
      </c>
      <c r="K8468" s="1222"/>
    </row>
    <row r="8469" spans="1:11">
      <c r="A8469" s="1221"/>
      <c r="B8469" s="425" t="s">
        <v>1936</v>
      </c>
      <c r="C8469" s="298" t="s">
        <v>1930</v>
      </c>
      <c r="D8469" s="392">
        <v>34</v>
      </c>
      <c r="E8469" s="165">
        <v>4</v>
      </c>
      <c r="F8469" s="401">
        <v>0.1</v>
      </c>
      <c r="G8469" s="401"/>
      <c r="H8469" s="401">
        <v>3.06</v>
      </c>
      <c r="I8469" s="1163">
        <f t="shared" si="302"/>
        <v>41.62</v>
      </c>
      <c r="K8469" s="1222"/>
    </row>
    <row r="8470" spans="1:11">
      <c r="A8470" s="1221"/>
      <c r="C8470" s="298"/>
      <c r="D8470" s="392"/>
      <c r="E8470" s="165"/>
      <c r="F8470" s="401"/>
      <c r="G8470" s="401"/>
      <c r="H8470" s="401"/>
      <c r="I8470" s="1163" t="str">
        <f t="shared" si="302"/>
        <v/>
      </c>
      <c r="K8470" s="1222"/>
    </row>
    <row r="8471" spans="1:11" ht="34.5">
      <c r="A8471" s="1221">
        <v>5</v>
      </c>
      <c r="B8471" s="425" t="s">
        <v>1943</v>
      </c>
      <c r="C8471" s="298"/>
      <c r="D8471" s="392"/>
      <c r="E8471" s="165"/>
      <c r="F8471" s="401" t="s">
        <v>48</v>
      </c>
      <c r="G8471" s="401" t="s">
        <v>33</v>
      </c>
      <c r="H8471" s="401" t="s">
        <v>1932</v>
      </c>
      <c r="I8471" s="1163" t="str">
        <f t="shared" si="302"/>
        <v/>
      </c>
      <c r="K8471" s="1222"/>
    </row>
    <row r="8472" spans="1:11">
      <c r="A8472" s="1221"/>
      <c r="B8472" s="425" t="s">
        <v>1940</v>
      </c>
      <c r="C8472" s="298" t="s">
        <v>1930</v>
      </c>
      <c r="D8472" s="392">
        <v>2</v>
      </c>
      <c r="E8472" s="165">
        <v>2</v>
      </c>
      <c r="F8472" s="1110">
        <v>1.024</v>
      </c>
      <c r="G8472" s="401"/>
      <c r="H8472" s="401">
        <v>3.06</v>
      </c>
      <c r="I8472" s="1163">
        <f t="shared" si="302"/>
        <v>12.53</v>
      </c>
      <c r="K8472" s="1222"/>
    </row>
    <row r="8473" spans="1:11">
      <c r="A8473" s="1221"/>
      <c r="C8473" s="298" t="s">
        <v>1930</v>
      </c>
      <c r="D8473" s="392">
        <v>2</v>
      </c>
      <c r="E8473" s="165">
        <v>2</v>
      </c>
      <c r="F8473" s="401">
        <v>1.02</v>
      </c>
      <c r="G8473" s="401"/>
      <c r="H8473" s="401">
        <v>3.06</v>
      </c>
      <c r="I8473" s="1163">
        <f t="shared" si="302"/>
        <v>12.48</v>
      </c>
      <c r="K8473" s="1222"/>
    </row>
    <row r="8474" spans="1:11">
      <c r="A8474" s="1221"/>
      <c r="B8474" s="425" t="s">
        <v>1934</v>
      </c>
      <c r="C8474" s="298" t="s">
        <v>1930</v>
      </c>
      <c r="D8474" s="392">
        <v>2</v>
      </c>
      <c r="E8474" s="165">
        <v>1</v>
      </c>
      <c r="F8474" s="401">
        <v>1.03</v>
      </c>
      <c r="G8474" s="401">
        <v>1.02</v>
      </c>
      <c r="H8474" s="401">
        <v>47.1</v>
      </c>
      <c r="I8474" s="1163">
        <f t="shared" si="302"/>
        <v>98.97</v>
      </c>
      <c r="K8474" s="1222"/>
    </row>
    <row r="8475" spans="1:11">
      <c r="A8475" s="1221"/>
      <c r="B8475" s="425" t="s">
        <v>1935</v>
      </c>
      <c r="C8475" s="298" t="s">
        <v>1930</v>
      </c>
      <c r="D8475" s="392">
        <v>2</v>
      </c>
      <c r="E8475" s="165">
        <v>2</v>
      </c>
      <c r="F8475" s="401">
        <v>7.4999999999999997E-2</v>
      </c>
      <c r="G8475" s="401">
        <v>7.4999999999999997E-2</v>
      </c>
      <c r="H8475" s="401">
        <v>47.1</v>
      </c>
      <c r="I8475" s="1163">
        <f t="shared" si="302"/>
        <v>1.06</v>
      </c>
      <c r="K8475" s="1222"/>
    </row>
    <row r="8476" spans="1:11">
      <c r="A8476" s="1221"/>
      <c r="B8476" s="425" t="s">
        <v>1936</v>
      </c>
      <c r="C8476" s="298" t="s">
        <v>1930</v>
      </c>
      <c r="D8476" s="392">
        <v>2</v>
      </c>
      <c r="E8476" s="165">
        <v>4</v>
      </c>
      <c r="F8476" s="401">
        <v>0.1</v>
      </c>
      <c r="G8476" s="401"/>
      <c r="H8476" s="401">
        <v>3.06</v>
      </c>
      <c r="I8476" s="1163">
        <f t="shared" si="302"/>
        <v>2.4500000000000002</v>
      </c>
      <c r="K8476" s="1222"/>
    </row>
    <row r="8477" spans="1:11">
      <c r="A8477" s="1221"/>
      <c r="C8477" s="298"/>
      <c r="D8477" s="392"/>
      <c r="E8477" s="165"/>
      <c r="F8477" s="401"/>
      <c r="G8477" s="401"/>
      <c r="H8477" s="401"/>
      <c r="I8477" s="1163" t="str">
        <f t="shared" si="302"/>
        <v/>
      </c>
      <c r="K8477" s="1222"/>
    </row>
    <row r="8478" spans="1:11" ht="34.5">
      <c r="A8478" s="1221">
        <v>6</v>
      </c>
      <c r="B8478" s="425" t="s">
        <v>1944</v>
      </c>
      <c r="C8478" s="298"/>
      <c r="D8478" s="392"/>
      <c r="E8478" s="165"/>
      <c r="F8478" s="401" t="s">
        <v>48</v>
      </c>
      <c r="G8478" s="401" t="s">
        <v>33</v>
      </c>
      <c r="H8478" s="401" t="s">
        <v>1932</v>
      </c>
      <c r="I8478" s="1163" t="str">
        <f t="shared" si="302"/>
        <v/>
      </c>
      <c r="K8478" s="1222"/>
    </row>
    <row r="8479" spans="1:11">
      <c r="A8479" s="1221"/>
      <c r="B8479" s="425" t="s">
        <v>1942</v>
      </c>
      <c r="C8479" s="298" t="s">
        <v>1930</v>
      </c>
      <c r="D8479" s="392">
        <v>1</v>
      </c>
      <c r="E8479" s="165">
        <v>4</v>
      </c>
      <c r="F8479" s="1110">
        <v>0.94399999999999995</v>
      </c>
      <c r="G8479" s="401"/>
      <c r="H8479" s="401">
        <v>3.06</v>
      </c>
      <c r="I8479" s="1163">
        <f t="shared" si="302"/>
        <v>11.55</v>
      </c>
      <c r="K8479" s="1222"/>
    </row>
    <row r="8480" spans="1:11">
      <c r="A8480" s="1221"/>
      <c r="B8480" s="425" t="s">
        <v>1934</v>
      </c>
      <c r="C8480" s="298" t="s">
        <v>1930</v>
      </c>
      <c r="D8480" s="392">
        <v>1</v>
      </c>
      <c r="E8480" s="165">
        <v>1</v>
      </c>
      <c r="F8480" s="401">
        <v>0.95000000000000007</v>
      </c>
      <c r="G8480" s="401">
        <v>0.95000000000000007</v>
      </c>
      <c r="H8480" s="401">
        <v>47.1</v>
      </c>
      <c r="I8480" s="1163">
        <f t="shared" si="302"/>
        <v>42.51</v>
      </c>
      <c r="K8480" s="1222"/>
    </row>
    <row r="8481" spans="1:11">
      <c r="A8481" s="1221"/>
      <c r="B8481" s="425" t="s">
        <v>1935</v>
      </c>
      <c r="C8481" s="298" t="s">
        <v>1930</v>
      </c>
      <c r="D8481" s="392">
        <v>1</v>
      </c>
      <c r="E8481" s="165">
        <v>2</v>
      </c>
      <c r="F8481" s="401">
        <v>7.4999999999999997E-2</v>
      </c>
      <c r="G8481" s="401">
        <v>7.4999999999999997E-2</v>
      </c>
      <c r="H8481" s="401">
        <v>47.1</v>
      </c>
      <c r="I8481" s="1163">
        <f t="shared" si="302"/>
        <v>0.53</v>
      </c>
      <c r="K8481" s="1222"/>
    </row>
    <row r="8482" spans="1:11">
      <c r="A8482" s="1221"/>
      <c r="B8482" s="425" t="s">
        <v>1936</v>
      </c>
      <c r="C8482" s="298" t="s">
        <v>1930</v>
      </c>
      <c r="D8482" s="392">
        <v>1</v>
      </c>
      <c r="E8482" s="165">
        <v>4</v>
      </c>
      <c r="F8482" s="401">
        <v>0.1</v>
      </c>
      <c r="G8482" s="401"/>
      <c r="H8482" s="401">
        <v>3.06</v>
      </c>
      <c r="I8482" s="1163">
        <f t="shared" si="302"/>
        <v>1.22</v>
      </c>
      <c r="K8482" s="1222"/>
    </row>
    <row r="8483" spans="1:11">
      <c r="A8483" s="1221"/>
      <c r="C8483" s="298"/>
      <c r="D8483" s="392"/>
      <c r="E8483" s="165"/>
      <c r="F8483" s="401"/>
      <c r="G8483" s="401"/>
      <c r="H8483" s="401"/>
      <c r="I8483" s="1163" t="str">
        <f t="shared" si="302"/>
        <v/>
      </c>
      <c r="K8483" s="1222"/>
    </row>
    <row r="8484" spans="1:11" ht="34.5">
      <c r="A8484" s="1221">
        <v>7</v>
      </c>
      <c r="B8484" s="425" t="s">
        <v>1945</v>
      </c>
      <c r="C8484" s="298"/>
      <c r="D8484" s="392"/>
      <c r="E8484" s="165"/>
      <c r="F8484" s="401" t="s">
        <v>48</v>
      </c>
      <c r="G8484" s="401" t="s">
        <v>33</v>
      </c>
      <c r="H8484" s="401" t="s">
        <v>1932</v>
      </c>
      <c r="I8484" s="1163" t="str">
        <f t="shared" si="302"/>
        <v/>
      </c>
      <c r="K8484" s="1222"/>
    </row>
    <row r="8485" spans="1:11">
      <c r="A8485" s="1221"/>
      <c r="B8485" s="425" t="s">
        <v>1942</v>
      </c>
      <c r="C8485" s="298" t="s">
        <v>1930</v>
      </c>
      <c r="D8485" s="392">
        <v>2</v>
      </c>
      <c r="E8485" s="165">
        <v>4</v>
      </c>
      <c r="F8485" s="1110">
        <v>1.044</v>
      </c>
      <c r="G8485" s="401"/>
      <c r="H8485" s="401">
        <v>3.06</v>
      </c>
      <c r="I8485" s="1163">
        <f t="shared" si="302"/>
        <v>25.56</v>
      </c>
      <c r="K8485" s="1222"/>
    </row>
    <row r="8486" spans="1:11">
      <c r="A8486" s="1221"/>
      <c r="B8486" s="425" t="s">
        <v>1934</v>
      </c>
      <c r="C8486" s="298" t="s">
        <v>1930</v>
      </c>
      <c r="D8486" s="392">
        <v>2</v>
      </c>
      <c r="E8486" s="165">
        <v>1</v>
      </c>
      <c r="F8486" s="401">
        <v>1.05</v>
      </c>
      <c r="G8486" s="401">
        <v>1.05</v>
      </c>
      <c r="H8486" s="401">
        <v>47.1</v>
      </c>
      <c r="I8486" s="1163">
        <f t="shared" si="302"/>
        <v>103.86</v>
      </c>
      <c r="K8486" s="1222"/>
    </row>
    <row r="8487" spans="1:11">
      <c r="A8487" s="1221"/>
      <c r="B8487" s="425" t="s">
        <v>1935</v>
      </c>
      <c r="C8487" s="298" t="s">
        <v>1930</v>
      </c>
      <c r="D8487" s="392">
        <v>2</v>
      </c>
      <c r="E8487" s="165">
        <v>2</v>
      </c>
      <c r="F8487" s="401">
        <v>7.4999999999999997E-2</v>
      </c>
      <c r="G8487" s="401">
        <v>7.4999999999999997E-2</v>
      </c>
      <c r="H8487" s="401">
        <v>47.1</v>
      </c>
      <c r="I8487" s="1163">
        <f t="shared" si="302"/>
        <v>1.06</v>
      </c>
      <c r="K8487" s="1222"/>
    </row>
    <row r="8488" spans="1:11">
      <c r="A8488" s="1221"/>
      <c r="B8488" s="425" t="s">
        <v>1936</v>
      </c>
      <c r="C8488" s="298" t="s">
        <v>1930</v>
      </c>
      <c r="D8488" s="392">
        <v>2</v>
      </c>
      <c r="E8488" s="165">
        <v>4</v>
      </c>
      <c r="F8488" s="401">
        <v>0.1</v>
      </c>
      <c r="G8488" s="401"/>
      <c r="H8488" s="401">
        <v>3.06</v>
      </c>
      <c r="I8488" s="1163">
        <f t="shared" si="302"/>
        <v>2.4500000000000002</v>
      </c>
      <c r="K8488" s="1222"/>
    </row>
    <row r="8489" spans="1:11">
      <c r="A8489" s="1221"/>
      <c r="C8489" s="298"/>
      <c r="D8489" s="392"/>
      <c r="E8489" s="165"/>
      <c r="F8489" s="401"/>
      <c r="G8489" s="401"/>
      <c r="H8489" s="401"/>
      <c r="I8489" s="1163" t="str">
        <f t="shared" si="302"/>
        <v/>
      </c>
      <c r="K8489" s="1222"/>
    </row>
    <row r="8490" spans="1:11" ht="34.5">
      <c r="A8490" s="1221">
        <v>8</v>
      </c>
      <c r="B8490" s="425" t="s">
        <v>1946</v>
      </c>
      <c r="C8490" s="298"/>
      <c r="D8490" s="392"/>
      <c r="E8490" s="165"/>
      <c r="F8490" s="401" t="s">
        <v>48</v>
      </c>
      <c r="G8490" s="401" t="s">
        <v>33</v>
      </c>
      <c r="H8490" s="401" t="s">
        <v>1932</v>
      </c>
      <c r="I8490" s="1163" t="str">
        <f t="shared" si="302"/>
        <v/>
      </c>
      <c r="K8490" s="1222"/>
    </row>
    <row r="8491" spans="1:11">
      <c r="A8491" s="1221"/>
      <c r="B8491" s="425" t="s">
        <v>1942</v>
      </c>
      <c r="C8491" s="298" t="s">
        <v>1930</v>
      </c>
      <c r="D8491" s="392">
        <v>2</v>
      </c>
      <c r="E8491" s="165">
        <v>4</v>
      </c>
      <c r="F8491" s="1110">
        <v>0.74399999999999999</v>
      </c>
      <c r="G8491" s="401"/>
      <c r="H8491" s="401">
        <v>3.06</v>
      </c>
      <c r="I8491" s="1163">
        <f t="shared" si="302"/>
        <v>18.21</v>
      </c>
      <c r="K8491" s="1222"/>
    </row>
    <row r="8492" spans="1:11">
      <c r="A8492" s="1221"/>
      <c r="B8492" s="425" t="s">
        <v>1934</v>
      </c>
      <c r="C8492" s="298" t="s">
        <v>1930</v>
      </c>
      <c r="D8492" s="392">
        <v>2</v>
      </c>
      <c r="E8492" s="165">
        <v>1</v>
      </c>
      <c r="F8492" s="401">
        <v>0.75</v>
      </c>
      <c r="G8492" s="401">
        <v>0.75</v>
      </c>
      <c r="H8492" s="401">
        <v>47.1</v>
      </c>
      <c r="I8492" s="1163">
        <f t="shared" si="302"/>
        <v>52.99</v>
      </c>
      <c r="K8492" s="1222"/>
    </row>
    <row r="8493" spans="1:11">
      <c r="A8493" s="1221"/>
      <c r="B8493" s="425" t="s">
        <v>1935</v>
      </c>
      <c r="C8493" s="298" t="s">
        <v>1930</v>
      </c>
      <c r="D8493" s="392">
        <v>2</v>
      </c>
      <c r="E8493" s="165">
        <v>2</v>
      </c>
      <c r="F8493" s="401">
        <v>7.4999999999999997E-2</v>
      </c>
      <c r="G8493" s="401">
        <v>7.4999999999999997E-2</v>
      </c>
      <c r="H8493" s="401">
        <v>47.1</v>
      </c>
      <c r="I8493" s="1163">
        <f t="shared" si="302"/>
        <v>1.06</v>
      </c>
      <c r="K8493" s="1222"/>
    </row>
    <row r="8494" spans="1:11">
      <c r="A8494" s="1221"/>
      <c r="B8494" s="425" t="s">
        <v>1936</v>
      </c>
      <c r="C8494" s="298" t="s">
        <v>1930</v>
      </c>
      <c r="D8494" s="392">
        <v>2</v>
      </c>
      <c r="E8494" s="165">
        <v>4</v>
      </c>
      <c r="F8494" s="401">
        <v>0.1</v>
      </c>
      <c r="G8494" s="401"/>
      <c r="H8494" s="401">
        <v>3.06</v>
      </c>
      <c r="I8494" s="1163">
        <f t="shared" si="302"/>
        <v>2.4500000000000002</v>
      </c>
      <c r="K8494" s="1222"/>
    </row>
    <row r="8495" spans="1:11">
      <c r="A8495" s="1221"/>
      <c r="C8495" s="298"/>
      <c r="D8495" s="392"/>
      <c r="E8495" s="165"/>
      <c r="F8495" s="401"/>
      <c r="G8495" s="401"/>
      <c r="H8495" s="401"/>
      <c r="I8495" s="1163" t="str">
        <f t="shared" si="302"/>
        <v/>
      </c>
      <c r="K8495" s="1222"/>
    </row>
    <row r="8496" spans="1:11" ht="34.5">
      <c r="A8496" s="1221">
        <v>9</v>
      </c>
      <c r="B8496" s="425" t="s">
        <v>1947</v>
      </c>
      <c r="C8496" s="298"/>
      <c r="D8496" s="392"/>
      <c r="E8496" s="165"/>
      <c r="F8496" s="401" t="s">
        <v>48</v>
      </c>
      <c r="G8496" s="401" t="s">
        <v>33</v>
      </c>
      <c r="H8496" s="401" t="s">
        <v>1932</v>
      </c>
      <c r="I8496" s="1163" t="str">
        <f t="shared" si="302"/>
        <v/>
      </c>
      <c r="K8496" s="1222"/>
    </row>
    <row r="8497" spans="1:11">
      <c r="A8497" s="1221"/>
      <c r="B8497" s="425" t="s">
        <v>1942</v>
      </c>
      <c r="C8497" s="298" t="s">
        <v>1930</v>
      </c>
      <c r="D8497" s="392">
        <v>5</v>
      </c>
      <c r="E8497" s="165">
        <v>4</v>
      </c>
      <c r="F8497" s="1110">
        <v>1.0940000000000001</v>
      </c>
      <c r="G8497" s="401"/>
      <c r="H8497" s="401">
        <v>3.06</v>
      </c>
      <c r="I8497" s="1163">
        <f t="shared" si="302"/>
        <v>66.95</v>
      </c>
      <c r="K8497" s="1222"/>
    </row>
    <row r="8498" spans="1:11">
      <c r="A8498" s="1221"/>
      <c r="B8498" s="425" t="s">
        <v>1934</v>
      </c>
      <c r="C8498" s="298" t="s">
        <v>1930</v>
      </c>
      <c r="D8498" s="392">
        <v>5</v>
      </c>
      <c r="E8498" s="165">
        <v>1</v>
      </c>
      <c r="F8498" s="401">
        <v>1.0999999999999999</v>
      </c>
      <c r="G8498" s="401">
        <v>1.0999999999999999</v>
      </c>
      <c r="H8498" s="401">
        <v>47.1</v>
      </c>
      <c r="I8498" s="1163">
        <f t="shared" si="302"/>
        <v>284.95999999999998</v>
      </c>
      <c r="K8498" s="1222"/>
    </row>
    <row r="8499" spans="1:11">
      <c r="A8499" s="1221"/>
      <c r="B8499" s="425" t="s">
        <v>1935</v>
      </c>
      <c r="C8499" s="298" t="s">
        <v>1930</v>
      </c>
      <c r="D8499" s="392">
        <v>5</v>
      </c>
      <c r="E8499" s="165">
        <v>2</v>
      </c>
      <c r="F8499" s="401">
        <v>7.4999999999999997E-2</v>
      </c>
      <c r="G8499" s="401">
        <v>7.4999999999999997E-2</v>
      </c>
      <c r="H8499" s="401">
        <v>47.1</v>
      </c>
      <c r="I8499" s="1163">
        <f t="shared" si="302"/>
        <v>2.65</v>
      </c>
      <c r="K8499" s="1222"/>
    </row>
    <row r="8500" spans="1:11">
      <c r="A8500" s="1221"/>
      <c r="B8500" s="425" t="s">
        <v>1936</v>
      </c>
      <c r="C8500" s="298" t="s">
        <v>1930</v>
      </c>
      <c r="D8500" s="392">
        <v>5</v>
      </c>
      <c r="E8500" s="165">
        <v>4</v>
      </c>
      <c r="F8500" s="401">
        <v>0.1</v>
      </c>
      <c r="G8500" s="401"/>
      <c r="H8500" s="401">
        <v>3.06</v>
      </c>
      <c r="I8500" s="1163">
        <f t="shared" si="302"/>
        <v>6.12</v>
      </c>
      <c r="K8500" s="1222"/>
    </row>
    <row r="8501" spans="1:11">
      <c r="A8501" s="1221"/>
      <c r="C8501" s="298"/>
      <c r="D8501" s="392"/>
      <c r="E8501" s="165"/>
      <c r="F8501" s="401"/>
      <c r="G8501" s="401"/>
      <c r="H8501" s="401"/>
      <c r="I8501" s="1163" t="str">
        <f t="shared" si="302"/>
        <v/>
      </c>
      <c r="K8501" s="1222"/>
    </row>
    <row r="8502" spans="1:11" ht="34.5">
      <c r="A8502" s="1221">
        <v>10</v>
      </c>
      <c r="B8502" s="425" t="s">
        <v>1948</v>
      </c>
      <c r="C8502" s="298"/>
      <c r="D8502" s="392"/>
      <c r="E8502" s="165"/>
      <c r="F8502" s="401" t="s">
        <v>48</v>
      </c>
      <c r="G8502" s="401" t="s">
        <v>33</v>
      </c>
      <c r="H8502" s="401" t="s">
        <v>1932</v>
      </c>
      <c r="I8502" s="1163" t="str">
        <f t="shared" si="302"/>
        <v/>
      </c>
      <c r="K8502" s="1222"/>
    </row>
    <row r="8503" spans="1:11">
      <c r="A8503" s="1221"/>
      <c r="B8503" s="425" t="s">
        <v>1942</v>
      </c>
      <c r="C8503" s="298" t="s">
        <v>1930</v>
      </c>
      <c r="D8503" s="392">
        <v>1</v>
      </c>
      <c r="E8503" s="165">
        <v>4</v>
      </c>
      <c r="F8503" s="1110">
        <v>1.244</v>
      </c>
      <c r="G8503" s="401"/>
      <c r="H8503" s="401">
        <v>3.06</v>
      </c>
      <c r="I8503" s="1163">
        <f t="shared" si="302"/>
        <v>15.23</v>
      </c>
      <c r="K8503" s="1222"/>
    </row>
    <row r="8504" spans="1:11">
      <c r="A8504" s="1221"/>
      <c r="B8504" s="425" t="s">
        <v>1934</v>
      </c>
      <c r="C8504" s="298" t="s">
        <v>1930</v>
      </c>
      <c r="D8504" s="392">
        <v>1</v>
      </c>
      <c r="E8504" s="165">
        <v>1</v>
      </c>
      <c r="F8504" s="401">
        <v>1.25</v>
      </c>
      <c r="G8504" s="401">
        <v>1.25</v>
      </c>
      <c r="H8504" s="401">
        <v>47.1</v>
      </c>
      <c r="I8504" s="1163">
        <f t="shared" si="302"/>
        <v>73.59</v>
      </c>
      <c r="K8504" s="1222"/>
    </row>
    <row r="8505" spans="1:11">
      <c r="A8505" s="1221"/>
      <c r="B8505" s="425" t="s">
        <v>1935</v>
      </c>
      <c r="C8505" s="298" t="s">
        <v>1930</v>
      </c>
      <c r="D8505" s="392">
        <v>1</v>
      </c>
      <c r="E8505" s="165">
        <v>2</v>
      </c>
      <c r="F8505" s="401">
        <v>7.4999999999999997E-2</v>
      </c>
      <c r="G8505" s="401">
        <v>7.4999999999999997E-2</v>
      </c>
      <c r="H8505" s="401">
        <v>47.1</v>
      </c>
      <c r="I8505" s="1163">
        <f t="shared" si="302"/>
        <v>0.53</v>
      </c>
      <c r="K8505" s="1222"/>
    </row>
    <row r="8506" spans="1:11">
      <c r="A8506" s="1221"/>
      <c r="B8506" s="425" t="s">
        <v>1936</v>
      </c>
      <c r="C8506" s="298" t="s">
        <v>1930</v>
      </c>
      <c r="D8506" s="392">
        <v>1</v>
      </c>
      <c r="E8506" s="165">
        <v>4</v>
      </c>
      <c r="F8506" s="401">
        <v>0.1</v>
      </c>
      <c r="G8506" s="401"/>
      <c r="H8506" s="401">
        <v>3.06</v>
      </c>
      <c r="I8506" s="1163">
        <f t="shared" si="302"/>
        <v>1.22</v>
      </c>
      <c r="K8506" s="1222"/>
    </row>
    <row r="8507" spans="1:11">
      <c r="A8507" s="1221"/>
      <c r="C8507" s="298"/>
      <c r="D8507" s="392"/>
      <c r="E8507" s="165"/>
      <c r="F8507" s="401"/>
      <c r="G8507" s="401"/>
      <c r="H8507" s="401"/>
      <c r="I8507" s="1163" t="str">
        <f t="shared" si="302"/>
        <v/>
      </c>
      <c r="K8507" s="1222"/>
    </row>
    <row r="8508" spans="1:11" ht="34.5">
      <c r="A8508" s="1221">
        <v>11</v>
      </c>
      <c r="B8508" s="425" t="s">
        <v>1949</v>
      </c>
      <c r="C8508" s="298"/>
      <c r="D8508" s="392"/>
      <c r="E8508" s="165"/>
      <c r="F8508" s="401" t="s">
        <v>48</v>
      </c>
      <c r="G8508" s="401" t="s">
        <v>33</v>
      </c>
      <c r="H8508" s="401" t="s">
        <v>1932</v>
      </c>
      <c r="I8508" s="1163" t="str">
        <f t="shared" si="302"/>
        <v/>
      </c>
      <c r="K8508" s="1222"/>
    </row>
    <row r="8509" spans="1:11">
      <c r="A8509" s="1221"/>
      <c r="B8509" s="425" t="s">
        <v>1942</v>
      </c>
      <c r="C8509" s="298" t="s">
        <v>1930</v>
      </c>
      <c r="D8509" s="392">
        <v>2</v>
      </c>
      <c r="E8509" s="165">
        <v>4</v>
      </c>
      <c r="F8509" s="1110">
        <v>0.89400000000000002</v>
      </c>
      <c r="G8509" s="401"/>
      <c r="H8509" s="401">
        <v>3.06</v>
      </c>
      <c r="I8509" s="1163">
        <f t="shared" si="302"/>
        <v>21.89</v>
      </c>
      <c r="K8509" s="1222"/>
    </row>
    <row r="8510" spans="1:11">
      <c r="A8510" s="1221"/>
      <c r="B8510" s="425" t="s">
        <v>1934</v>
      </c>
      <c r="C8510" s="298" t="s">
        <v>1930</v>
      </c>
      <c r="D8510" s="392">
        <v>2</v>
      </c>
      <c r="E8510" s="165">
        <v>1</v>
      </c>
      <c r="F8510" s="401">
        <v>0.9</v>
      </c>
      <c r="G8510" s="401">
        <v>0.9</v>
      </c>
      <c r="H8510" s="401">
        <v>47.1</v>
      </c>
      <c r="I8510" s="1163">
        <f t="shared" si="302"/>
        <v>76.3</v>
      </c>
      <c r="K8510" s="1222"/>
    </row>
    <row r="8511" spans="1:11">
      <c r="A8511" s="1221"/>
      <c r="B8511" s="425" t="s">
        <v>1935</v>
      </c>
      <c r="C8511" s="298" t="s">
        <v>1930</v>
      </c>
      <c r="D8511" s="392">
        <v>2</v>
      </c>
      <c r="E8511" s="165">
        <v>2</v>
      </c>
      <c r="F8511" s="401">
        <v>7.4999999999999997E-2</v>
      </c>
      <c r="G8511" s="401">
        <v>7.4999999999999997E-2</v>
      </c>
      <c r="H8511" s="401">
        <v>47.1</v>
      </c>
      <c r="I8511" s="1163">
        <f t="shared" ref="I8511:I8530" si="303">IF(D8511&lt;&gt;0,ROUND(PRODUCT(E8511:H8511)*D8511,2),"")</f>
        <v>1.06</v>
      </c>
      <c r="K8511" s="1222"/>
    </row>
    <row r="8512" spans="1:11">
      <c r="A8512" s="1221"/>
      <c r="B8512" s="425" t="s">
        <v>1936</v>
      </c>
      <c r="C8512" s="298" t="s">
        <v>1930</v>
      </c>
      <c r="D8512" s="392">
        <v>2</v>
      </c>
      <c r="E8512" s="165">
        <v>4</v>
      </c>
      <c r="F8512" s="401">
        <v>0.1</v>
      </c>
      <c r="G8512" s="401"/>
      <c r="H8512" s="401">
        <v>3.06</v>
      </c>
      <c r="I8512" s="1163">
        <f t="shared" si="303"/>
        <v>2.4500000000000002</v>
      </c>
      <c r="K8512" s="1222"/>
    </row>
    <row r="8513" spans="1:14">
      <c r="A8513" s="1221"/>
      <c r="C8513" s="298"/>
      <c r="D8513" s="392"/>
      <c r="E8513" s="165"/>
      <c r="F8513" s="401"/>
      <c r="G8513" s="401"/>
      <c r="H8513" s="401"/>
      <c r="I8513" s="1163" t="str">
        <f t="shared" si="303"/>
        <v/>
      </c>
      <c r="K8513" s="1222"/>
    </row>
    <row r="8514" spans="1:14" ht="34.5">
      <c r="A8514" s="1221">
        <v>12</v>
      </c>
      <c r="B8514" s="425" t="s">
        <v>1950</v>
      </c>
      <c r="C8514" s="298"/>
      <c r="D8514" s="392"/>
      <c r="E8514" s="165"/>
      <c r="F8514" s="401" t="s">
        <v>48</v>
      </c>
      <c r="G8514" s="401" t="s">
        <v>33</v>
      </c>
      <c r="H8514" s="401" t="s">
        <v>1932</v>
      </c>
      <c r="I8514" s="1163" t="str">
        <f t="shared" si="303"/>
        <v/>
      </c>
      <c r="K8514" s="1222"/>
    </row>
    <row r="8515" spans="1:14">
      <c r="A8515" s="1221"/>
      <c r="B8515" s="425" t="s">
        <v>1942</v>
      </c>
      <c r="C8515" s="298" t="s">
        <v>1930</v>
      </c>
      <c r="D8515" s="392">
        <v>3</v>
      </c>
      <c r="E8515" s="165">
        <v>4</v>
      </c>
      <c r="F8515" s="1110">
        <v>0.69399999999999995</v>
      </c>
      <c r="G8515" s="401"/>
      <c r="H8515" s="401">
        <v>3.06</v>
      </c>
      <c r="I8515" s="1163">
        <f t="shared" si="303"/>
        <v>25.48</v>
      </c>
      <c r="K8515" s="1222"/>
    </row>
    <row r="8516" spans="1:14">
      <c r="A8516" s="1221"/>
      <c r="B8516" s="425" t="s">
        <v>1934</v>
      </c>
      <c r="C8516" s="298" t="s">
        <v>1930</v>
      </c>
      <c r="D8516" s="392">
        <v>3</v>
      </c>
      <c r="E8516" s="165">
        <v>1</v>
      </c>
      <c r="F8516" s="401">
        <v>0.70000000000000007</v>
      </c>
      <c r="G8516" s="401">
        <v>0.70000000000000007</v>
      </c>
      <c r="H8516" s="401">
        <v>47.1</v>
      </c>
      <c r="I8516" s="1163">
        <f t="shared" si="303"/>
        <v>69.239999999999995</v>
      </c>
      <c r="K8516" s="1222"/>
    </row>
    <row r="8517" spans="1:14">
      <c r="A8517" s="1221"/>
      <c r="B8517" s="425" t="s">
        <v>1935</v>
      </c>
      <c r="C8517" s="298" t="s">
        <v>1930</v>
      </c>
      <c r="D8517" s="392">
        <v>3</v>
      </c>
      <c r="E8517" s="165">
        <v>2</v>
      </c>
      <c r="F8517" s="401">
        <v>7.4999999999999997E-2</v>
      </c>
      <c r="G8517" s="401">
        <v>7.4999999999999997E-2</v>
      </c>
      <c r="H8517" s="401">
        <v>47.1</v>
      </c>
      <c r="I8517" s="1163">
        <f t="shared" si="303"/>
        <v>1.59</v>
      </c>
      <c r="K8517" s="1222"/>
    </row>
    <row r="8518" spans="1:14">
      <c r="A8518" s="1221"/>
      <c r="B8518" s="425" t="s">
        <v>1936</v>
      </c>
      <c r="C8518" s="298" t="s">
        <v>1930</v>
      </c>
      <c r="D8518" s="392">
        <v>3</v>
      </c>
      <c r="E8518" s="165">
        <v>4</v>
      </c>
      <c r="F8518" s="401">
        <v>0.1</v>
      </c>
      <c r="G8518" s="401"/>
      <c r="H8518" s="401">
        <v>3.06</v>
      </c>
      <c r="I8518" s="1163">
        <f t="shared" si="303"/>
        <v>3.67</v>
      </c>
      <c r="K8518" s="1222"/>
    </row>
    <row r="8519" spans="1:14">
      <c r="A8519" s="1221"/>
      <c r="C8519" s="298"/>
      <c r="D8519" s="392"/>
      <c r="E8519" s="165"/>
      <c r="F8519" s="401"/>
      <c r="G8519" s="401"/>
      <c r="H8519" s="401"/>
      <c r="I8519" s="1163" t="str">
        <f t="shared" si="303"/>
        <v/>
      </c>
      <c r="K8519" s="1222"/>
    </row>
    <row r="8520" spans="1:14" ht="34.5">
      <c r="A8520" s="1221">
        <v>13</v>
      </c>
      <c r="B8520" s="425" t="s">
        <v>1951</v>
      </c>
      <c r="C8520" s="298"/>
      <c r="D8520" s="392"/>
      <c r="E8520" s="165"/>
      <c r="F8520" s="401" t="s">
        <v>48</v>
      </c>
      <c r="G8520" s="401" t="s">
        <v>33</v>
      </c>
      <c r="H8520" s="401" t="s">
        <v>1932</v>
      </c>
      <c r="I8520" s="1163" t="str">
        <f t="shared" si="303"/>
        <v/>
      </c>
      <c r="K8520" s="1222"/>
    </row>
    <row r="8521" spans="1:14">
      <c r="A8521" s="1221"/>
      <c r="B8521" s="425" t="s">
        <v>1942</v>
      </c>
      <c r="C8521" s="298" t="s">
        <v>1930</v>
      </c>
      <c r="D8521" s="392">
        <v>1</v>
      </c>
      <c r="E8521" s="165">
        <v>4</v>
      </c>
      <c r="F8521" s="1110">
        <v>1.1439999999999999</v>
      </c>
      <c r="G8521" s="401"/>
      <c r="H8521" s="401">
        <v>3.06</v>
      </c>
      <c r="I8521" s="1163">
        <f t="shared" si="303"/>
        <v>14</v>
      </c>
      <c r="K8521" s="1222"/>
    </row>
    <row r="8522" spans="1:14">
      <c r="A8522" s="1221"/>
      <c r="B8522" s="425" t="s">
        <v>1934</v>
      </c>
      <c r="C8522" s="298" t="s">
        <v>1930</v>
      </c>
      <c r="D8522" s="392">
        <v>1</v>
      </c>
      <c r="E8522" s="165">
        <v>1</v>
      </c>
      <c r="F8522" s="401">
        <v>1.1499999999999999</v>
      </c>
      <c r="G8522" s="401">
        <v>1.1499999999999999</v>
      </c>
      <c r="H8522" s="401">
        <v>47.1</v>
      </c>
      <c r="I8522" s="1163">
        <f t="shared" si="303"/>
        <v>62.29</v>
      </c>
      <c r="K8522" s="1222"/>
    </row>
    <row r="8523" spans="1:14">
      <c r="A8523" s="1221"/>
      <c r="B8523" s="425" t="s">
        <v>1935</v>
      </c>
      <c r="C8523" s="298" t="s">
        <v>1930</v>
      </c>
      <c r="D8523" s="392">
        <v>1</v>
      </c>
      <c r="E8523" s="165">
        <v>2</v>
      </c>
      <c r="F8523" s="401">
        <v>7.4999999999999997E-2</v>
      </c>
      <c r="G8523" s="401">
        <v>7.4999999999999997E-2</v>
      </c>
      <c r="H8523" s="401">
        <v>47.1</v>
      </c>
      <c r="I8523" s="1163">
        <f t="shared" si="303"/>
        <v>0.53</v>
      </c>
      <c r="K8523" s="1222"/>
    </row>
    <row r="8524" spans="1:14">
      <c r="A8524" s="1221"/>
      <c r="B8524" s="425" t="s">
        <v>1936</v>
      </c>
      <c r="C8524" s="298" t="s">
        <v>1930</v>
      </c>
      <c r="D8524" s="392">
        <v>1</v>
      </c>
      <c r="E8524" s="165">
        <v>4</v>
      </c>
      <c r="F8524" s="401">
        <v>0.1</v>
      </c>
      <c r="G8524" s="401"/>
      <c r="H8524" s="401">
        <v>3.06</v>
      </c>
      <c r="I8524" s="1163">
        <f t="shared" si="303"/>
        <v>1.22</v>
      </c>
      <c r="K8524" s="1222"/>
    </row>
    <row r="8525" spans="1:14">
      <c r="A8525" s="1221"/>
      <c r="C8525" s="298"/>
      <c r="D8525" s="392"/>
      <c r="E8525" s="165"/>
      <c r="F8525" s="401"/>
      <c r="G8525" s="401"/>
      <c r="H8525" s="401"/>
      <c r="I8525" s="1163" t="str">
        <f t="shared" si="303"/>
        <v/>
      </c>
      <c r="K8525" s="1222"/>
    </row>
    <row r="8526" spans="1:14" ht="34.5">
      <c r="A8526" s="1221">
        <v>14</v>
      </c>
      <c r="B8526" s="425" t="s">
        <v>1951</v>
      </c>
      <c r="C8526" s="298"/>
      <c r="D8526" s="392"/>
      <c r="E8526" s="165"/>
      <c r="F8526" s="401" t="s">
        <v>48</v>
      </c>
      <c r="G8526" s="401" t="s">
        <v>33</v>
      </c>
      <c r="H8526" s="401" t="s">
        <v>1932</v>
      </c>
      <c r="I8526" s="1163" t="str">
        <f t="shared" si="303"/>
        <v/>
      </c>
      <c r="K8526" s="1222"/>
    </row>
    <row r="8527" spans="1:14" s="342" customFormat="1">
      <c r="A8527" s="1282"/>
      <c r="B8527" s="605" t="s">
        <v>1942</v>
      </c>
      <c r="C8527" s="337" t="s">
        <v>1930</v>
      </c>
      <c r="D8527" s="638">
        <v>0</v>
      </c>
      <c r="E8527" s="345">
        <v>4</v>
      </c>
      <c r="F8527" s="1356">
        <v>1.1499999999999999</v>
      </c>
      <c r="G8527" s="1356"/>
      <c r="H8527" s="1356">
        <v>3.06</v>
      </c>
      <c r="I8527" s="1163" t="str">
        <f t="shared" si="303"/>
        <v/>
      </c>
      <c r="J8527" s="480"/>
      <c r="K8527" s="1258" t="s">
        <v>2174</v>
      </c>
      <c r="L8527" s="341"/>
      <c r="M8527" s="341"/>
      <c r="N8527" s="341"/>
    </row>
    <row r="8528" spans="1:14" s="342" customFormat="1">
      <c r="A8528" s="1282"/>
      <c r="B8528" s="605" t="s">
        <v>1934</v>
      </c>
      <c r="C8528" s="337" t="s">
        <v>1930</v>
      </c>
      <c r="D8528" s="638">
        <v>0</v>
      </c>
      <c r="E8528" s="345">
        <v>1</v>
      </c>
      <c r="F8528" s="1356">
        <v>1.1499999999999999</v>
      </c>
      <c r="G8528" s="1356">
        <v>1.1499999999999999</v>
      </c>
      <c r="H8528" s="1356">
        <v>47.1</v>
      </c>
      <c r="I8528" s="1163" t="str">
        <f t="shared" si="303"/>
        <v/>
      </c>
      <c r="J8528" s="480"/>
      <c r="K8528" s="1258" t="s">
        <v>2174</v>
      </c>
      <c r="L8528" s="341"/>
      <c r="M8528" s="341"/>
      <c r="N8528" s="341"/>
    </row>
    <row r="8529" spans="1:14" s="342" customFormat="1">
      <c r="A8529" s="1282"/>
      <c r="B8529" s="605" t="s">
        <v>1935</v>
      </c>
      <c r="C8529" s="337" t="s">
        <v>1930</v>
      </c>
      <c r="D8529" s="638">
        <v>0</v>
      </c>
      <c r="E8529" s="345">
        <v>2</v>
      </c>
      <c r="F8529" s="1356">
        <v>7.4999999999999997E-2</v>
      </c>
      <c r="G8529" s="1356">
        <v>7.4999999999999997E-2</v>
      </c>
      <c r="H8529" s="1356">
        <v>47.1</v>
      </c>
      <c r="I8529" s="1163" t="str">
        <f t="shared" si="303"/>
        <v/>
      </c>
      <c r="J8529" s="480"/>
      <c r="K8529" s="1258" t="s">
        <v>2174</v>
      </c>
      <c r="L8529" s="341"/>
      <c r="M8529" s="341"/>
      <c r="N8529" s="341"/>
    </row>
    <row r="8530" spans="1:14" s="342" customFormat="1">
      <c r="A8530" s="1282"/>
      <c r="B8530" s="605" t="s">
        <v>1936</v>
      </c>
      <c r="C8530" s="337" t="s">
        <v>1930</v>
      </c>
      <c r="D8530" s="638">
        <v>0</v>
      </c>
      <c r="E8530" s="345">
        <v>4</v>
      </c>
      <c r="F8530" s="1356">
        <v>0.1</v>
      </c>
      <c r="G8530" s="1356"/>
      <c r="H8530" s="1356">
        <v>3.06</v>
      </c>
      <c r="I8530" s="1163" t="str">
        <f t="shared" si="303"/>
        <v/>
      </c>
      <c r="J8530" s="480"/>
      <c r="K8530" s="1258" t="s">
        <v>2174</v>
      </c>
      <c r="L8530" s="341"/>
      <c r="M8530" s="341"/>
      <c r="N8530" s="341"/>
    </row>
    <row r="8531" spans="1:14">
      <c r="A8531" s="1219"/>
      <c r="B8531" s="768" t="s">
        <v>1961</v>
      </c>
      <c r="C8531" s="422"/>
      <c r="D8531" s="436"/>
      <c r="E8531" s="436"/>
      <c r="F8531" s="1359"/>
      <c r="G8531" s="1359"/>
      <c r="H8531" s="1359"/>
      <c r="I8531" s="1185"/>
      <c r="J8531" s="423"/>
      <c r="K8531" s="1220"/>
      <c r="M8531" s="170"/>
      <c r="N8531" s="170"/>
    </row>
    <row r="8532" spans="1:14" s="464" customFormat="1">
      <c r="A8532" s="1264"/>
      <c r="B8532" s="669" t="s">
        <v>85</v>
      </c>
      <c r="C8532" s="465" t="s">
        <v>1930</v>
      </c>
      <c r="D8532" s="444"/>
      <c r="E8532" s="345"/>
      <c r="F8532" s="1356"/>
      <c r="G8532" s="1356"/>
      <c r="H8532" s="1356"/>
      <c r="I8532" s="1170" t="str">
        <f t="shared" ref="I8532" si="304">IF(D8532&lt;&gt;0,ROUND(PRODUCT(E8532:H8532)*D8532,2),"")</f>
        <v/>
      </c>
      <c r="J8532" s="482">
        <f>SUM(I8531:I8532)</f>
        <v>0</v>
      </c>
      <c r="K8532" s="1258"/>
      <c r="L8532" s="463"/>
      <c r="M8532" s="463"/>
      <c r="N8532" s="463"/>
    </row>
    <row r="8533" spans="1:14">
      <c r="A8533" s="1221"/>
      <c r="C8533" s="298"/>
      <c r="D8533" s="392"/>
      <c r="E8533" s="165"/>
      <c r="F8533" s="401"/>
      <c r="G8533" s="401"/>
      <c r="H8533" s="401"/>
      <c r="I8533" s="1182">
        <f>PRODUCT(D8533:H8533)</f>
        <v>0</v>
      </c>
      <c r="K8533" s="1222"/>
    </row>
    <row r="8534" spans="1:14">
      <c r="A8534" s="1221">
        <v>1</v>
      </c>
      <c r="B8534" s="425" t="s">
        <v>1952</v>
      </c>
      <c r="C8534" s="298" t="s">
        <v>1821</v>
      </c>
      <c r="D8534" s="392">
        <v>21</v>
      </c>
      <c r="E8534" s="165"/>
      <c r="F8534" s="401"/>
      <c r="G8534" s="401"/>
      <c r="H8534" s="401"/>
      <c r="I8534" s="1182"/>
      <c r="K8534" s="1222"/>
    </row>
    <row r="8535" spans="1:14">
      <c r="A8535" s="1221">
        <v>2</v>
      </c>
      <c r="B8535" s="425" t="s">
        <v>1953</v>
      </c>
      <c r="C8535" s="298" t="s">
        <v>1821</v>
      </c>
      <c r="D8535" s="392">
        <v>5</v>
      </c>
      <c r="E8535" s="165"/>
      <c r="F8535" s="401"/>
      <c r="G8535" s="401"/>
      <c r="H8535" s="401"/>
      <c r="I8535" s="1182"/>
      <c r="K8535" s="1222"/>
    </row>
    <row r="8536" spans="1:14">
      <c r="A8536" s="1221">
        <v>3</v>
      </c>
      <c r="B8536" s="425" t="s">
        <v>1954</v>
      </c>
      <c r="C8536" s="298" t="s">
        <v>1821</v>
      </c>
      <c r="D8536" s="392">
        <v>7</v>
      </c>
      <c r="E8536" s="165"/>
      <c r="F8536" s="401"/>
      <c r="G8536" s="401"/>
      <c r="H8536" s="401"/>
      <c r="I8536" s="1182"/>
      <c r="K8536" s="1222"/>
    </row>
    <row r="8537" spans="1:14">
      <c r="A8537" s="1221">
        <v>4</v>
      </c>
      <c r="B8537" s="425" t="s">
        <v>1454</v>
      </c>
      <c r="C8537" s="298" t="s">
        <v>1821</v>
      </c>
      <c r="D8537" s="392">
        <v>4</v>
      </c>
      <c r="E8537" s="165"/>
      <c r="F8537" s="401"/>
      <c r="G8537" s="401"/>
      <c r="H8537" s="401"/>
      <c r="I8537" s="1182"/>
      <c r="K8537" s="1222"/>
    </row>
    <row r="8538" spans="1:14">
      <c r="A8538" s="1221">
        <v>5</v>
      </c>
      <c r="B8538" s="425" t="s">
        <v>1455</v>
      </c>
      <c r="C8538" s="298" t="s">
        <v>1821</v>
      </c>
      <c r="D8538" s="392">
        <v>1</v>
      </c>
      <c r="E8538" s="165"/>
      <c r="F8538" s="401"/>
      <c r="G8538" s="401"/>
      <c r="H8538" s="401"/>
      <c r="I8538" s="1182"/>
      <c r="K8538" s="1222"/>
    </row>
    <row r="8539" spans="1:14">
      <c r="A8539" s="1221"/>
      <c r="C8539" s="298"/>
      <c r="D8539" s="392"/>
      <c r="E8539" s="165"/>
      <c r="F8539" s="401"/>
      <c r="G8539" s="401"/>
      <c r="H8539" s="401"/>
      <c r="I8539" s="1182"/>
      <c r="K8539" s="1222"/>
    </row>
    <row r="8540" spans="1:14" ht="34.5">
      <c r="A8540" s="1221">
        <v>1</v>
      </c>
      <c r="B8540" s="425" t="s">
        <v>1955</v>
      </c>
      <c r="C8540" s="298"/>
      <c r="D8540" s="392"/>
      <c r="E8540" s="165"/>
      <c r="F8540" s="401" t="s">
        <v>48</v>
      </c>
      <c r="G8540" s="401"/>
      <c r="H8540" s="401" t="s">
        <v>1932</v>
      </c>
      <c r="I8540" s="1182">
        <f>PRODUCT(D8540:H8540)</f>
        <v>0</v>
      </c>
      <c r="K8540" s="1222"/>
    </row>
    <row r="8541" spans="1:14">
      <c r="A8541" s="1221"/>
      <c r="B8541" s="425" t="s">
        <v>1942</v>
      </c>
      <c r="C8541" s="298" t="s">
        <v>1930</v>
      </c>
      <c r="D8541" s="392">
        <v>21</v>
      </c>
      <c r="E8541" s="165">
        <v>2</v>
      </c>
      <c r="F8541" s="1110">
        <v>0.64400000000000002</v>
      </c>
      <c r="G8541" s="401"/>
      <c r="H8541" s="401">
        <v>3.06</v>
      </c>
      <c r="I8541" s="1163">
        <f t="shared" ref="I8541:I8578" si="305">IF(D8541&lt;&gt;0,ROUND(PRODUCT(E8541:H8541)*D8541,2),"")</f>
        <v>82.77</v>
      </c>
      <c r="K8541" s="1222"/>
    </row>
    <row r="8542" spans="1:14">
      <c r="A8542" s="1221"/>
      <c r="C8542" s="298" t="s">
        <v>1930</v>
      </c>
      <c r="D8542" s="392">
        <v>21</v>
      </c>
      <c r="E8542" s="165">
        <v>2</v>
      </c>
      <c r="F8542" s="1110">
        <v>0.60399999999999998</v>
      </c>
      <c r="G8542" s="401"/>
      <c r="H8542" s="401">
        <v>3.06</v>
      </c>
      <c r="I8542" s="1163">
        <f t="shared" si="305"/>
        <v>77.63</v>
      </c>
      <c r="K8542" s="1222"/>
    </row>
    <row r="8543" spans="1:14">
      <c r="A8543" s="1221"/>
      <c r="B8543" s="425" t="s">
        <v>1956</v>
      </c>
      <c r="C8543" s="298" t="s">
        <v>1930</v>
      </c>
      <c r="D8543" s="392">
        <v>21</v>
      </c>
      <c r="E8543" s="165">
        <v>2</v>
      </c>
      <c r="F8543" s="1110">
        <v>0.63800000000000001</v>
      </c>
      <c r="G8543" s="401"/>
      <c r="H8543" s="401">
        <v>3.06</v>
      </c>
      <c r="I8543" s="1163">
        <f t="shared" si="305"/>
        <v>82</v>
      </c>
      <c r="K8543" s="1222"/>
    </row>
    <row r="8544" spans="1:14">
      <c r="A8544" s="1221"/>
      <c r="B8544" s="425" t="s">
        <v>1934</v>
      </c>
      <c r="C8544" s="298" t="s">
        <v>1930</v>
      </c>
      <c r="D8544" s="392">
        <v>21</v>
      </c>
      <c r="E8544" s="165">
        <v>1</v>
      </c>
      <c r="F8544" s="401">
        <v>0.65</v>
      </c>
      <c r="G8544" s="401">
        <v>0.61</v>
      </c>
      <c r="H8544" s="401">
        <v>47.1</v>
      </c>
      <c r="I8544" s="1163">
        <f t="shared" si="305"/>
        <v>392.18</v>
      </c>
      <c r="K8544" s="1222"/>
    </row>
    <row r="8545" spans="1:11">
      <c r="A8545" s="1221"/>
      <c r="B8545" s="425" t="s">
        <v>1935</v>
      </c>
      <c r="C8545" s="298" t="s">
        <v>1930</v>
      </c>
      <c r="D8545" s="392">
        <v>21</v>
      </c>
      <c r="E8545" s="165">
        <v>2</v>
      </c>
      <c r="F8545" s="401">
        <v>7.4999999999999997E-2</v>
      </c>
      <c r="G8545" s="401">
        <v>7.4999999999999997E-2</v>
      </c>
      <c r="H8545" s="401">
        <v>47.1</v>
      </c>
      <c r="I8545" s="1163">
        <f t="shared" si="305"/>
        <v>11.13</v>
      </c>
      <c r="K8545" s="1222"/>
    </row>
    <row r="8546" spans="1:11">
      <c r="A8546" s="1221"/>
      <c r="B8546" s="425" t="s">
        <v>1936</v>
      </c>
      <c r="C8546" s="298" t="s">
        <v>1930</v>
      </c>
      <c r="D8546" s="392">
        <v>21</v>
      </c>
      <c r="E8546" s="165">
        <v>4</v>
      </c>
      <c r="F8546" s="401">
        <v>0.1</v>
      </c>
      <c r="G8546" s="401"/>
      <c r="H8546" s="401">
        <v>3.06</v>
      </c>
      <c r="I8546" s="1163">
        <f t="shared" si="305"/>
        <v>25.7</v>
      </c>
      <c r="K8546" s="1222"/>
    </row>
    <row r="8547" spans="1:11">
      <c r="A8547" s="1221"/>
      <c r="C8547" s="298"/>
      <c r="D8547" s="392"/>
      <c r="E8547" s="165"/>
      <c r="F8547" s="401"/>
      <c r="G8547" s="401"/>
      <c r="H8547" s="401"/>
      <c r="I8547" s="1163" t="str">
        <f t="shared" si="305"/>
        <v/>
      </c>
      <c r="K8547" s="1222"/>
    </row>
    <row r="8548" spans="1:11" ht="34.5">
      <c r="A8548" s="1221">
        <v>2</v>
      </c>
      <c r="B8548" s="425" t="s">
        <v>1957</v>
      </c>
      <c r="C8548" s="298"/>
      <c r="D8548" s="392"/>
      <c r="E8548" s="165"/>
      <c r="F8548" s="401" t="s">
        <v>48</v>
      </c>
      <c r="G8548" s="401"/>
      <c r="H8548" s="401" t="s">
        <v>1932</v>
      </c>
      <c r="I8548" s="1163" t="str">
        <f t="shared" si="305"/>
        <v/>
      </c>
      <c r="K8548" s="1222"/>
    </row>
    <row r="8549" spans="1:11">
      <c r="A8549" s="1221"/>
      <c r="B8549" s="425" t="s">
        <v>1942</v>
      </c>
      <c r="C8549" s="298" t="s">
        <v>1930</v>
      </c>
      <c r="D8549" s="392">
        <v>5</v>
      </c>
      <c r="E8549" s="165">
        <v>2</v>
      </c>
      <c r="F8549" s="1110">
        <v>0.64400000000000002</v>
      </c>
      <c r="G8549" s="401"/>
      <c r="H8549" s="401">
        <v>3.06</v>
      </c>
      <c r="I8549" s="1163">
        <f t="shared" si="305"/>
        <v>19.71</v>
      </c>
      <c r="K8549" s="1222"/>
    </row>
    <row r="8550" spans="1:11">
      <c r="A8550" s="1221"/>
      <c r="C8550" s="298" t="s">
        <v>1930</v>
      </c>
      <c r="D8550" s="392">
        <v>5</v>
      </c>
      <c r="E8550" s="165">
        <v>2</v>
      </c>
      <c r="F8550" s="401">
        <v>0.55000000000000004</v>
      </c>
      <c r="G8550" s="401"/>
      <c r="H8550" s="401">
        <v>3.06</v>
      </c>
      <c r="I8550" s="1163">
        <f t="shared" si="305"/>
        <v>16.829999999999998</v>
      </c>
      <c r="K8550" s="1222"/>
    </row>
    <row r="8551" spans="1:11">
      <c r="A8551" s="1221"/>
      <c r="B8551" s="425" t="s">
        <v>1956</v>
      </c>
      <c r="C8551" s="298" t="s">
        <v>1930</v>
      </c>
      <c r="D8551" s="392">
        <v>5</v>
      </c>
      <c r="E8551" s="165">
        <v>2</v>
      </c>
      <c r="F8551" s="1110">
        <v>0.63800000000000001</v>
      </c>
      <c r="G8551" s="401"/>
      <c r="H8551" s="401">
        <v>3.06</v>
      </c>
      <c r="I8551" s="1163">
        <f t="shared" si="305"/>
        <v>19.52</v>
      </c>
      <c r="K8551" s="1222"/>
    </row>
    <row r="8552" spans="1:11">
      <c r="A8552" s="1221"/>
      <c r="B8552" s="425" t="s">
        <v>1934</v>
      </c>
      <c r="C8552" s="298" t="s">
        <v>1930</v>
      </c>
      <c r="D8552" s="392">
        <v>5</v>
      </c>
      <c r="E8552" s="165">
        <v>1</v>
      </c>
      <c r="F8552" s="401">
        <v>0.65</v>
      </c>
      <c r="G8552" s="401">
        <v>0.55000000000000004</v>
      </c>
      <c r="H8552" s="401">
        <v>47.1</v>
      </c>
      <c r="I8552" s="1163">
        <f t="shared" si="305"/>
        <v>84.19</v>
      </c>
      <c r="K8552" s="1222"/>
    </row>
    <row r="8553" spans="1:11">
      <c r="A8553" s="1221"/>
      <c r="B8553" s="425" t="s">
        <v>1935</v>
      </c>
      <c r="C8553" s="298" t="s">
        <v>1930</v>
      </c>
      <c r="D8553" s="392">
        <v>5</v>
      </c>
      <c r="E8553" s="165">
        <v>2</v>
      </c>
      <c r="F8553" s="401">
        <v>7.4999999999999997E-2</v>
      </c>
      <c r="G8553" s="401">
        <v>7.4999999999999997E-2</v>
      </c>
      <c r="H8553" s="401">
        <v>47.1</v>
      </c>
      <c r="I8553" s="1163">
        <f t="shared" si="305"/>
        <v>2.65</v>
      </c>
      <c r="K8553" s="1222"/>
    </row>
    <row r="8554" spans="1:11">
      <c r="A8554" s="1221"/>
      <c r="B8554" s="425" t="s">
        <v>1936</v>
      </c>
      <c r="C8554" s="298" t="s">
        <v>1930</v>
      </c>
      <c r="D8554" s="392">
        <v>5</v>
      </c>
      <c r="E8554" s="165">
        <v>4</v>
      </c>
      <c r="F8554" s="401">
        <v>0.1</v>
      </c>
      <c r="G8554" s="401"/>
      <c r="H8554" s="401">
        <v>3.06</v>
      </c>
      <c r="I8554" s="1163">
        <f t="shared" si="305"/>
        <v>6.12</v>
      </c>
      <c r="K8554" s="1222"/>
    </row>
    <row r="8555" spans="1:11">
      <c r="A8555" s="1221"/>
      <c r="C8555" s="298"/>
      <c r="D8555" s="392"/>
      <c r="E8555" s="165"/>
      <c r="F8555" s="401"/>
      <c r="G8555" s="401"/>
      <c r="H8555" s="401"/>
      <c r="I8555" s="1163" t="str">
        <f t="shared" si="305"/>
        <v/>
      </c>
      <c r="K8555" s="1222"/>
    </row>
    <row r="8556" spans="1:11" ht="34.5">
      <c r="A8556" s="1221">
        <v>3</v>
      </c>
      <c r="B8556" s="425" t="s">
        <v>1958</v>
      </c>
      <c r="C8556" s="298"/>
      <c r="D8556" s="392"/>
      <c r="E8556" s="165"/>
      <c r="F8556" s="401" t="s">
        <v>48</v>
      </c>
      <c r="G8556" s="401"/>
      <c r="H8556" s="401" t="s">
        <v>1932</v>
      </c>
      <c r="I8556" s="1163" t="str">
        <f t="shared" si="305"/>
        <v/>
      </c>
      <c r="K8556" s="1222"/>
    </row>
    <row r="8557" spans="1:11">
      <c r="A8557" s="1221"/>
      <c r="B8557" s="425" t="s">
        <v>1942</v>
      </c>
      <c r="C8557" s="298" t="s">
        <v>1930</v>
      </c>
      <c r="D8557" s="392">
        <v>7</v>
      </c>
      <c r="E8557" s="165">
        <v>2</v>
      </c>
      <c r="F8557" s="1110">
        <v>0.61399999999999999</v>
      </c>
      <c r="G8557" s="401"/>
      <c r="H8557" s="401">
        <v>3.06</v>
      </c>
      <c r="I8557" s="1163">
        <f t="shared" si="305"/>
        <v>26.3</v>
      </c>
      <c r="K8557" s="1222"/>
    </row>
    <row r="8558" spans="1:11">
      <c r="A8558" s="1221"/>
      <c r="C8558" s="298" t="s">
        <v>1930</v>
      </c>
      <c r="D8558" s="392">
        <v>7</v>
      </c>
      <c r="E8558" s="165">
        <v>2</v>
      </c>
      <c r="F8558" s="401">
        <v>0.57999999999999996</v>
      </c>
      <c r="G8558" s="401"/>
      <c r="H8558" s="401">
        <v>3.06</v>
      </c>
      <c r="I8558" s="1163">
        <f t="shared" si="305"/>
        <v>24.85</v>
      </c>
      <c r="K8558" s="1222"/>
    </row>
    <row r="8559" spans="1:11">
      <c r="A8559" s="1221"/>
      <c r="B8559" s="425" t="s">
        <v>1956</v>
      </c>
      <c r="C8559" s="298" t="s">
        <v>1930</v>
      </c>
      <c r="D8559" s="392">
        <v>7</v>
      </c>
      <c r="E8559" s="165">
        <v>2</v>
      </c>
      <c r="F8559" s="1110">
        <v>0.63800000000000001</v>
      </c>
      <c r="G8559" s="401"/>
      <c r="H8559" s="401">
        <v>3.06</v>
      </c>
      <c r="I8559" s="1163">
        <f t="shared" si="305"/>
        <v>27.33</v>
      </c>
      <c r="K8559" s="1222"/>
    </row>
    <row r="8560" spans="1:11">
      <c r="A8560" s="1221"/>
      <c r="B8560" s="425" t="s">
        <v>1934</v>
      </c>
      <c r="C8560" s="298" t="s">
        <v>1930</v>
      </c>
      <c r="D8560" s="392">
        <v>7</v>
      </c>
      <c r="E8560" s="165">
        <v>1</v>
      </c>
      <c r="F8560" s="401">
        <v>0.62</v>
      </c>
      <c r="G8560" s="401">
        <v>0.57999999999999996</v>
      </c>
      <c r="H8560" s="401">
        <v>47.1</v>
      </c>
      <c r="I8560" s="1163">
        <f t="shared" si="305"/>
        <v>118.56</v>
      </c>
      <c r="K8560" s="1222"/>
    </row>
    <row r="8561" spans="1:11">
      <c r="A8561" s="1221"/>
      <c r="B8561" s="425" t="s">
        <v>1935</v>
      </c>
      <c r="C8561" s="298" t="s">
        <v>1930</v>
      </c>
      <c r="D8561" s="392">
        <v>7</v>
      </c>
      <c r="E8561" s="165">
        <v>2</v>
      </c>
      <c r="F8561" s="401">
        <v>7.4999999999999997E-2</v>
      </c>
      <c r="G8561" s="401">
        <v>7.4999999999999997E-2</v>
      </c>
      <c r="H8561" s="401">
        <v>47.1</v>
      </c>
      <c r="I8561" s="1163">
        <f t="shared" si="305"/>
        <v>3.71</v>
      </c>
      <c r="K8561" s="1222"/>
    </row>
    <row r="8562" spans="1:11">
      <c r="A8562" s="1221"/>
      <c r="B8562" s="425" t="s">
        <v>1936</v>
      </c>
      <c r="C8562" s="298" t="s">
        <v>1930</v>
      </c>
      <c r="D8562" s="392">
        <v>7</v>
      </c>
      <c r="E8562" s="165">
        <v>4</v>
      </c>
      <c r="F8562" s="401">
        <v>0.1</v>
      </c>
      <c r="G8562" s="401"/>
      <c r="H8562" s="401">
        <v>3.06</v>
      </c>
      <c r="I8562" s="1163">
        <f t="shared" si="305"/>
        <v>8.57</v>
      </c>
      <c r="K8562" s="1222"/>
    </row>
    <row r="8563" spans="1:11">
      <c r="A8563" s="1221"/>
      <c r="C8563" s="298"/>
      <c r="D8563" s="392"/>
      <c r="E8563" s="165"/>
      <c r="F8563" s="401"/>
      <c r="G8563" s="401"/>
      <c r="H8563" s="401"/>
      <c r="I8563" s="1163" t="str">
        <f t="shared" si="305"/>
        <v/>
      </c>
      <c r="K8563" s="1222"/>
    </row>
    <row r="8564" spans="1:11" ht="34.5">
      <c r="A8564" s="1221">
        <v>4</v>
      </c>
      <c r="B8564" s="425" t="s">
        <v>1959</v>
      </c>
      <c r="C8564" s="298"/>
      <c r="D8564" s="392"/>
      <c r="E8564" s="165"/>
      <c r="F8564" s="401" t="s">
        <v>48</v>
      </c>
      <c r="G8564" s="401"/>
      <c r="H8564" s="401" t="s">
        <v>1932</v>
      </c>
      <c r="I8564" s="1163" t="str">
        <f t="shared" si="305"/>
        <v/>
      </c>
      <c r="K8564" s="1222"/>
    </row>
    <row r="8565" spans="1:11">
      <c r="A8565" s="1221"/>
      <c r="B8565" s="425" t="s">
        <v>1942</v>
      </c>
      <c r="C8565" s="298" t="s">
        <v>1930</v>
      </c>
      <c r="D8565" s="392">
        <v>4</v>
      </c>
      <c r="E8565" s="165">
        <v>2</v>
      </c>
      <c r="F8565" s="1110">
        <v>0.57399999999999995</v>
      </c>
      <c r="G8565" s="401"/>
      <c r="H8565" s="401">
        <v>3.06</v>
      </c>
      <c r="I8565" s="1163">
        <f t="shared" si="305"/>
        <v>14.05</v>
      </c>
      <c r="K8565" s="1222"/>
    </row>
    <row r="8566" spans="1:11">
      <c r="A8566" s="1221"/>
      <c r="C8566" s="298" t="s">
        <v>1930</v>
      </c>
      <c r="D8566" s="392">
        <v>4</v>
      </c>
      <c r="E8566" s="165">
        <v>2</v>
      </c>
      <c r="F8566" s="401">
        <v>0.57999999999999996</v>
      </c>
      <c r="G8566" s="401"/>
      <c r="H8566" s="401">
        <v>3.06</v>
      </c>
      <c r="I8566" s="1163">
        <f t="shared" si="305"/>
        <v>14.2</v>
      </c>
      <c r="K8566" s="1222"/>
    </row>
    <row r="8567" spans="1:11">
      <c r="A8567" s="1221"/>
      <c r="B8567" s="425" t="s">
        <v>1956</v>
      </c>
      <c r="C8567" s="298" t="s">
        <v>1930</v>
      </c>
      <c r="D8567" s="392">
        <v>4</v>
      </c>
      <c r="E8567" s="165">
        <v>2</v>
      </c>
      <c r="F8567" s="1110">
        <v>0.56799999999999995</v>
      </c>
      <c r="G8567" s="401"/>
      <c r="H8567" s="401">
        <v>3.06</v>
      </c>
      <c r="I8567" s="1163">
        <f t="shared" si="305"/>
        <v>13.9</v>
      </c>
      <c r="K8567" s="1222"/>
    </row>
    <row r="8568" spans="1:11">
      <c r="A8568" s="1221"/>
      <c r="B8568" s="425" t="s">
        <v>1934</v>
      </c>
      <c r="C8568" s="298" t="s">
        <v>1930</v>
      </c>
      <c r="D8568" s="392">
        <v>4</v>
      </c>
      <c r="E8568" s="165">
        <v>1</v>
      </c>
      <c r="F8568" s="401">
        <v>0.57999999999999996</v>
      </c>
      <c r="G8568" s="401">
        <v>0.57999999999999996</v>
      </c>
      <c r="H8568" s="401">
        <v>47.1</v>
      </c>
      <c r="I8568" s="1163">
        <f t="shared" si="305"/>
        <v>63.38</v>
      </c>
      <c r="K8568" s="1222"/>
    </row>
    <row r="8569" spans="1:11">
      <c r="A8569" s="1221"/>
      <c r="B8569" s="425" t="s">
        <v>1935</v>
      </c>
      <c r="C8569" s="298" t="s">
        <v>1930</v>
      </c>
      <c r="D8569" s="392">
        <v>4</v>
      </c>
      <c r="E8569" s="165">
        <v>2</v>
      </c>
      <c r="F8569" s="401">
        <v>7.4999999999999997E-2</v>
      </c>
      <c r="G8569" s="401">
        <v>7.4999999999999997E-2</v>
      </c>
      <c r="H8569" s="401">
        <v>47.1</v>
      </c>
      <c r="I8569" s="1163">
        <f t="shared" si="305"/>
        <v>2.12</v>
      </c>
      <c r="K8569" s="1222"/>
    </row>
    <row r="8570" spans="1:11">
      <c r="A8570" s="1221"/>
      <c r="B8570" s="425" t="s">
        <v>1936</v>
      </c>
      <c r="C8570" s="298" t="s">
        <v>1930</v>
      </c>
      <c r="D8570" s="392">
        <v>4</v>
      </c>
      <c r="E8570" s="165">
        <v>4</v>
      </c>
      <c r="F8570" s="401">
        <v>0.1</v>
      </c>
      <c r="G8570" s="401"/>
      <c r="H8570" s="401">
        <v>3.06</v>
      </c>
      <c r="I8570" s="1163">
        <f t="shared" si="305"/>
        <v>4.9000000000000004</v>
      </c>
      <c r="K8570" s="1222"/>
    </row>
    <row r="8571" spans="1:11">
      <c r="A8571" s="1221"/>
      <c r="C8571" s="298"/>
      <c r="D8571" s="392"/>
      <c r="E8571" s="165"/>
      <c r="F8571" s="401"/>
      <c r="G8571" s="401"/>
      <c r="H8571" s="401"/>
      <c r="I8571" s="1163" t="str">
        <f t="shared" si="305"/>
        <v/>
      </c>
      <c r="K8571" s="1222"/>
    </row>
    <row r="8572" spans="1:11" ht="34.5">
      <c r="A8572" s="1221">
        <v>5</v>
      </c>
      <c r="B8572" s="425" t="s">
        <v>1960</v>
      </c>
      <c r="C8572" s="298"/>
      <c r="D8572" s="392"/>
      <c r="E8572" s="165"/>
      <c r="F8572" s="401" t="s">
        <v>48</v>
      </c>
      <c r="G8572" s="401"/>
      <c r="H8572" s="401" t="s">
        <v>1932</v>
      </c>
      <c r="I8572" s="1163" t="str">
        <f t="shared" si="305"/>
        <v/>
      </c>
      <c r="K8572" s="1222"/>
    </row>
    <row r="8573" spans="1:11">
      <c r="A8573" s="1221"/>
      <c r="B8573" s="425" t="s">
        <v>1942</v>
      </c>
      <c r="C8573" s="298" t="s">
        <v>1930</v>
      </c>
      <c r="D8573" s="392">
        <v>1</v>
      </c>
      <c r="E8573" s="165">
        <v>2</v>
      </c>
      <c r="F8573" s="1110">
        <v>0.71399999999999997</v>
      </c>
      <c r="G8573" s="401"/>
      <c r="H8573" s="401">
        <v>3.06</v>
      </c>
      <c r="I8573" s="1163">
        <f t="shared" si="305"/>
        <v>4.37</v>
      </c>
      <c r="K8573" s="1222"/>
    </row>
    <row r="8574" spans="1:11">
      <c r="A8574" s="1221"/>
      <c r="C8574" s="298" t="s">
        <v>1930</v>
      </c>
      <c r="D8574" s="392">
        <v>1</v>
      </c>
      <c r="E8574" s="165">
        <v>2</v>
      </c>
      <c r="F8574" s="401">
        <v>0.72</v>
      </c>
      <c r="G8574" s="401"/>
      <c r="H8574" s="401">
        <v>3.06</v>
      </c>
      <c r="I8574" s="1163">
        <f t="shared" si="305"/>
        <v>4.41</v>
      </c>
      <c r="K8574" s="1222"/>
    </row>
    <row r="8575" spans="1:11">
      <c r="A8575" s="1221"/>
      <c r="B8575" s="425" t="s">
        <v>1956</v>
      </c>
      <c r="C8575" s="298" t="s">
        <v>1930</v>
      </c>
      <c r="D8575" s="392">
        <v>1</v>
      </c>
      <c r="E8575" s="165">
        <v>2</v>
      </c>
      <c r="F8575" s="1110">
        <v>0.70799999999999996</v>
      </c>
      <c r="G8575" s="401"/>
      <c r="H8575" s="401">
        <v>3.06</v>
      </c>
      <c r="I8575" s="1163">
        <f t="shared" si="305"/>
        <v>4.33</v>
      </c>
      <c r="K8575" s="1222"/>
    </row>
    <row r="8576" spans="1:11">
      <c r="A8576" s="1221"/>
      <c r="B8576" s="425" t="s">
        <v>1934</v>
      </c>
      <c r="C8576" s="298" t="s">
        <v>1930</v>
      </c>
      <c r="D8576" s="392">
        <v>1</v>
      </c>
      <c r="E8576" s="165">
        <v>1</v>
      </c>
      <c r="F8576" s="401">
        <v>0.72</v>
      </c>
      <c r="G8576" s="401">
        <v>0.72</v>
      </c>
      <c r="H8576" s="401">
        <v>47.1</v>
      </c>
      <c r="I8576" s="1163">
        <f t="shared" si="305"/>
        <v>24.42</v>
      </c>
      <c r="K8576" s="1222"/>
    </row>
    <row r="8577" spans="1:14">
      <c r="A8577" s="1221"/>
      <c r="B8577" s="425" t="s">
        <v>1935</v>
      </c>
      <c r="C8577" s="298" t="s">
        <v>1930</v>
      </c>
      <c r="D8577" s="392">
        <v>1</v>
      </c>
      <c r="E8577" s="165">
        <v>2</v>
      </c>
      <c r="F8577" s="401">
        <v>7.4999999999999997E-2</v>
      </c>
      <c r="G8577" s="401">
        <v>7.4999999999999997E-2</v>
      </c>
      <c r="H8577" s="401">
        <v>47.1</v>
      </c>
      <c r="I8577" s="1163">
        <f t="shared" si="305"/>
        <v>0.53</v>
      </c>
      <c r="K8577" s="1222"/>
    </row>
    <row r="8578" spans="1:14">
      <c r="A8578" s="1221"/>
      <c r="B8578" s="425" t="s">
        <v>1936</v>
      </c>
      <c r="C8578" s="298" t="s">
        <v>1930</v>
      </c>
      <c r="D8578" s="392">
        <v>1</v>
      </c>
      <c r="E8578" s="165">
        <v>4</v>
      </c>
      <c r="F8578" s="401">
        <v>0.1</v>
      </c>
      <c r="G8578" s="401"/>
      <c r="H8578" s="401">
        <v>3.06</v>
      </c>
      <c r="I8578" s="1163">
        <f t="shared" si="305"/>
        <v>1.22</v>
      </c>
      <c r="K8578" s="1222"/>
    </row>
    <row r="8579" spans="1:14">
      <c r="A8579" s="1221"/>
      <c r="C8579" s="298"/>
      <c r="D8579" s="392"/>
      <c r="E8579" s="165"/>
      <c r="F8579" s="401"/>
      <c r="G8579" s="401"/>
      <c r="H8579" s="401"/>
      <c r="I8579" s="1182"/>
      <c r="K8579" s="1222"/>
    </row>
    <row r="8580" spans="1:14" s="398" customFormat="1">
      <c r="A8580" s="1250"/>
      <c r="B8580" s="161" t="s">
        <v>928</v>
      </c>
      <c r="C8580" s="388" t="s">
        <v>1930</v>
      </c>
      <c r="D8580" s="437"/>
      <c r="E8580" s="165"/>
      <c r="F8580" s="401"/>
      <c r="G8580" s="401"/>
      <c r="H8580" s="401"/>
      <c r="I8580" s="938" t="str">
        <f t="shared" ref="I8580" si="306">IF(D8580&lt;&gt;0,ROUND(PRODUCT(E8580:H8580)*D8580,2),"")</f>
        <v/>
      </c>
      <c r="J8580" s="403">
        <f>SUM(I8431:I8580)</f>
        <v>9622.68</v>
      </c>
      <c r="K8580" s="1277" t="s">
        <v>1690</v>
      </c>
      <c r="L8580" s="431"/>
      <c r="M8580" s="431"/>
      <c r="N8580" s="431"/>
    </row>
    <row r="8581" spans="1:14">
      <c r="A8581" s="1250"/>
      <c r="D8581" s="392"/>
      <c r="E8581" s="165"/>
      <c r="F8581" s="401"/>
      <c r="G8581" s="401"/>
      <c r="H8581" s="401"/>
      <c r="I8581" s="1182"/>
      <c r="J8581" s="432">
        <f>SUM(J8430:J8580)</f>
        <v>9622.68</v>
      </c>
      <c r="K8581" s="1242"/>
    </row>
    <row r="8582" spans="1:14">
      <c r="A8582" s="1221"/>
      <c r="C8582" s="298"/>
      <c r="D8582" s="392"/>
      <c r="E8582" s="165"/>
      <c r="F8582" s="401"/>
      <c r="G8582" s="401"/>
      <c r="H8582" s="401"/>
      <c r="I8582" s="1182">
        <f t="shared" ref="I8582" si="307">PRODUCT(D8582:H8582)</f>
        <v>0</v>
      </c>
      <c r="K8582" s="1222"/>
    </row>
    <row r="8583" spans="1:14" ht="103.5">
      <c r="A8583" s="1219" t="s">
        <v>2065</v>
      </c>
      <c r="B8583" s="1397" t="s">
        <v>2066</v>
      </c>
      <c r="C8583" s="422"/>
      <c r="D8583" s="436"/>
      <c r="E8583" s="436"/>
      <c r="F8583" s="1359"/>
      <c r="G8583" s="1359"/>
      <c r="H8583" s="1359"/>
      <c r="I8583" s="1185"/>
      <c r="J8583" s="423"/>
      <c r="K8583" s="1220"/>
      <c r="M8583" s="170"/>
      <c r="N8583" s="170"/>
    </row>
    <row r="8584" spans="1:14" s="464" customFormat="1">
      <c r="A8584" s="1264"/>
      <c r="B8584" s="669" t="s">
        <v>85</v>
      </c>
      <c r="C8584" s="465" t="s">
        <v>1821</v>
      </c>
      <c r="D8584" s="444"/>
      <c r="E8584" s="345"/>
      <c r="F8584" s="1356"/>
      <c r="G8584" s="1356"/>
      <c r="H8584" s="1356"/>
      <c r="I8584" s="1170" t="str">
        <f t="shared" ref="I8584" si="308">IF(D8584&lt;&gt;0,ROUND(PRODUCT(E8584:H8584)*D8584,2),"")</f>
        <v/>
      </c>
      <c r="J8584" s="482">
        <f>SUM(I8583:I8584)</f>
        <v>0</v>
      </c>
      <c r="K8584" s="1258"/>
      <c r="L8584" s="463"/>
      <c r="M8584" s="463"/>
      <c r="N8584" s="463"/>
    </row>
    <row r="8585" spans="1:14">
      <c r="A8585" s="1221"/>
      <c r="C8585" s="298" t="s">
        <v>1821</v>
      </c>
      <c r="D8585" s="392"/>
      <c r="E8585" s="165"/>
      <c r="F8585" s="401"/>
      <c r="G8585" s="401"/>
      <c r="H8585" s="401"/>
      <c r="I8585" s="1182">
        <f t="shared" ref="I8585:I8602" si="309">PRODUCT(D8585:H8585)</f>
        <v>0</v>
      </c>
      <c r="J8585" s="1022"/>
      <c r="K8585" s="1222"/>
    </row>
    <row r="8586" spans="1:14" ht="34.5">
      <c r="A8586" s="1221">
        <v>1</v>
      </c>
      <c r="B8586" s="425" t="s">
        <v>2067</v>
      </c>
      <c r="C8586" s="298"/>
      <c r="D8586" s="392"/>
      <c r="E8586" s="165"/>
      <c r="F8586" s="401"/>
      <c r="G8586" s="401"/>
      <c r="H8586" s="401"/>
      <c r="I8586" s="1182">
        <f t="shared" si="309"/>
        <v>0</v>
      </c>
      <c r="J8586" s="1022"/>
      <c r="K8586" s="1222"/>
    </row>
    <row r="8587" spans="1:14">
      <c r="A8587" s="1221"/>
      <c r="B8587" s="425" t="s">
        <v>2068</v>
      </c>
      <c r="C8587" s="298"/>
      <c r="D8587" s="392"/>
      <c r="E8587" s="165"/>
      <c r="F8587" s="401"/>
      <c r="G8587" s="401"/>
      <c r="H8587" s="401"/>
      <c r="I8587" s="1182">
        <f t="shared" si="309"/>
        <v>0</v>
      </c>
      <c r="J8587" s="1022"/>
      <c r="K8587" s="1222"/>
    </row>
    <row r="8588" spans="1:14">
      <c r="A8588" s="1221"/>
      <c r="B8588" s="425" t="s">
        <v>1835</v>
      </c>
      <c r="C8588" s="298" t="s">
        <v>1821</v>
      </c>
      <c r="D8588" s="392">
        <v>1</v>
      </c>
      <c r="E8588" s="1068">
        <v>4</v>
      </c>
      <c r="F8588" s="401"/>
      <c r="G8588" s="401"/>
      <c r="H8588" s="401"/>
      <c r="I8588" s="1163">
        <f t="shared" ref="I8588:I8601" si="310">IF(D8588&lt;&gt;0,ROUND(PRODUCT(E8588:H8588)*D8588,2),"")</f>
        <v>4</v>
      </c>
      <c r="J8588" s="1022"/>
      <c r="K8588" s="1222"/>
    </row>
    <row r="8589" spans="1:14">
      <c r="A8589" s="1221"/>
      <c r="B8589" s="425" t="s">
        <v>2069</v>
      </c>
      <c r="C8589" s="298" t="s">
        <v>1821</v>
      </c>
      <c r="D8589" s="392">
        <v>1</v>
      </c>
      <c r="E8589" s="165">
        <v>5</v>
      </c>
      <c r="F8589" s="401"/>
      <c r="G8589" s="401"/>
      <c r="H8589" s="401"/>
      <c r="I8589" s="1163">
        <f t="shared" si="310"/>
        <v>5</v>
      </c>
      <c r="J8589" s="1022"/>
      <c r="K8589" s="1222"/>
    </row>
    <row r="8590" spans="1:14">
      <c r="A8590" s="1221"/>
      <c r="B8590" s="425" t="s">
        <v>2070</v>
      </c>
      <c r="C8590" s="298" t="s">
        <v>1821</v>
      </c>
      <c r="D8590" s="392">
        <v>1</v>
      </c>
      <c r="E8590" s="165">
        <v>4</v>
      </c>
      <c r="F8590" s="401"/>
      <c r="G8590" s="401"/>
      <c r="H8590" s="401"/>
      <c r="I8590" s="1163">
        <f t="shared" si="310"/>
        <v>4</v>
      </c>
      <c r="J8590" s="1022"/>
      <c r="K8590" s="1222"/>
    </row>
    <row r="8591" spans="1:14">
      <c r="A8591" s="1221"/>
      <c r="B8591" s="425" t="s">
        <v>2069</v>
      </c>
      <c r="C8591" s="298" t="s">
        <v>1821</v>
      </c>
      <c r="D8591" s="392">
        <v>1</v>
      </c>
      <c r="E8591" s="165">
        <v>5</v>
      </c>
      <c r="F8591" s="401"/>
      <c r="G8591" s="401"/>
      <c r="H8591" s="401"/>
      <c r="I8591" s="1163">
        <f t="shared" si="310"/>
        <v>5</v>
      </c>
      <c r="J8591" s="1022"/>
      <c r="K8591" s="1222"/>
    </row>
    <row r="8592" spans="1:14">
      <c r="A8592" s="1221"/>
      <c r="B8592" s="425" t="s">
        <v>2071</v>
      </c>
      <c r="C8592" s="298"/>
      <c r="D8592" s="392"/>
      <c r="E8592" s="165"/>
      <c r="F8592" s="401"/>
      <c r="G8592" s="401"/>
      <c r="H8592" s="401"/>
      <c r="I8592" s="1163" t="str">
        <f t="shared" si="310"/>
        <v/>
      </c>
      <c r="J8592" s="1022"/>
      <c r="K8592" s="1222"/>
    </row>
    <row r="8593" spans="1:14">
      <c r="A8593" s="1221"/>
      <c r="B8593" s="425" t="s">
        <v>2072</v>
      </c>
      <c r="C8593" s="298" t="s">
        <v>1821</v>
      </c>
      <c r="D8593" s="392">
        <v>1</v>
      </c>
      <c r="E8593" s="165">
        <v>5</v>
      </c>
      <c r="F8593" s="401"/>
      <c r="G8593" s="401"/>
      <c r="H8593" s="401"/>
      <c r="I8593" s="1163">
        <f t="shared" si="310"/>
        <v>5</v>
      </c>
      <c r="J8593" s="1022"/>
      <c r="K8593" s="1222"/>
    </row>
    <row r="8594" spans="1:14">
      <c r="A8594" s="1221"/>
      <c r="C8594" s="298"/>
      <c r="D8594" s="392"/>
      <c r="E8594" s="165"/>
      <c r="F8594" s="401"/>
      <c r="G8594" s="401"/>
      <c r="H8594" s="401"/>
      <c r="I8594" s="1163" t="str">
        <f t="shared" si="310"/>
        <v/>
      </c>
      <c r="J8594" s="1022"/>
      <c r="K8594" s="1222"/>
    </row>
    <row r="8595" spans="1:14">
      <c r="A8595" s="1221"/>
      <c r="B8595" s="425" t="s">
        <v>2070</v>
      </c>
      <c r="C8595" s="298" t="s">
        <v>1821</v>
      </c>
      <c r="D8595" s="392">
        <v>1</v>
      </c>
      <c r="E8595" s="165">
        <v>5</v>
      </c>
      <c r="F8595" s="401"/>
      <c r="G8595" s="401"/>
      <c r="H8595" s="401"/>
      <c r="I8595" s="1163">
        <f t="shared" si="310"/>
        <v>5</v>
      </c>
      <c r="J8595" s="1022"/>
      <c r="K8595" s="1222"/>
    </row>
    <row r="8596" spans="1:14">
      <c r="A8596" s="1221"/>
      <c r="B8596" s="425" t="s">
        <v>2069</v>
      </c>
      <c r="C8596" s="298" t="s">
        <v>1821</v>
      </c>
      <c r="D8596" s="392">
        <v>1</v>
      </c>
      <c r="E8596" s="1068">
        <v>4</v>
      </c>
      <c r="F8596" s="401"/>
      <c r="G8596" s="401"/>
      <c r="H8596" s="401"/>
      <c r="I8596" s="1163">
        <f t="shared" si="310"/>
        <v>4</v>
      </c>
      <c r="J8596" s="1022"/>
      <c r="K8596" s="1222"/>
    </row>
    <row r="8597" spans="1:14" ht="34.5">
      <c r="A8597" s="1221">
        <v>2</v>
      </c>
      <c r="B8597" s="425" t="s">
        <v>2073</v>
      </c>
      <c r="C8597" s="298"/>
      <c r="D8597" s="392"/>
      <c r="E8597" s="165"/>
      <c r="F8597" s="401"/>
      <c r="G8597" s="401"/>
      <c r="H8597" s="401"/>
      <c r="I8597" s="1163" t="str">
        <f t="shared" si="310"/>
        <v/>
      </c>
      <c r="J8597" s="1022"/>
      <c r="K8597" s="1222"/>
    </row>
    <row r="8598" spans="1:14" ht="34.5">
      <c r="A8598" s="1221"/>
      <c r="B8598" s="425" t="s">
        <v>2074</v>
      </c>
      <c r="C8598" s="298" t="s">
        <v>1821</v>
      </c>
      <c r="D8598" s="392">
        <v>9</v>
      </c>
      <c r="E8598" s="165">
        <v>2</v>
      </c>
      <c r="F8598" s="401"/>
      <c r="G8598" s="401"/>
      <c r="H8598" s="401"/>
      <c r="I8598" s="1163">
        <f t="shared" si="310"/>
        <v>18</v>
      </c>
      <c r="J8598" s="1022"/>
      <c r="K8598" s="1222"/>
    </row>
    <row r="8599" spans="1:14" ht="34.5">
      <c r="A8599" s="1221"/>
      <c r="B8599" s="425" t="s">
        <v>2075</v>
      </c>
      <c r="C8599" s="298" t="s">
        <v>1821</v>
      </c>
      <c r="D8599" s="392">
        <v>8</v>
      </c>
      <c r="E8599" s="165">
        <v>2</v>
      </c>
      <c r="F8599" s="401"/>
      <c r="G8599" s="401"/>
      <c r="H8599" s="401"/>
      <c r="I8599" s="1163">
        <f t="shared" si="310"/>
        <v>16</v>
      </c>
      <c r="J8599" s="1022"/>
      <c r="K8599" s="1222"/>
    </row>
    <row r="8600" spans="1:14" ht="34.5">
      <c r="A8600" s="1221"/>
      <c r="B8600" s="425" t="s">
        <v>2076</v>
      </c>
      <c r="C8600" s="298" t="s">
        <v>1821</v>
      </c>
      <c r="D8600" s="392">
        <v>8</v>
      </c>
      <c r="E8600" s="165">
        <v>2</v>
      </c>
      <c r="F8600" s="401"/>
      <c r="G8600" s="401"/>
      <c r="H8600" s="401"/>
      <c r="I8600" s="1163">
        <f t="shared" si="310"/>
        <v>16</v>
      </c>
      <c r="J8600" s="1022"/>
      <c r="K8600" s="1222"/>
    </row>
    <row r="8601" spans="1:14" ht="34.5">
      <c r="A8601" s="1221"/>
      <c r="B8601" s="425" t="s">
        <v>2077</v>
      </c>
      <c r="C8601" s="298" t="s">
        <v>1821</v>
      </c>
      <c r="D8601" s="392">
        <v>8</v>
      </c>
      <c r="E8601" s="165">
        <v>2</v>
      </c>
      <c r="F8601" s="401"/>
      <c r="G8601" s="401"/>
      <c r="H8601" s="401"/>
      <c r="I8601" s="1163">
        <f t="shared" si="310"/>
        <v>16</v>
      </c>
      <c r="J8601" s="1022"/>
      <c r="K8601" s="1222"/>
    </row>
    <row r="8602" spans="1:14">
      <c r="A8602" s="1221"/>
      <c r="C8602" s="298" t="s">
        <v>1821</v>
      </c>
      <c r="D8602" s="392"/>
      <c r="E8602" s="165"/>
      <c r="F8602" s="401"/>
      <c r="G8602" s="401"/>
      <c r="H8602" s="401"/>
      <c r="I8602" s="1182">
        <f t="shared" si="309"/>
        <v>0</v>
      </c>
      <c r="J8602" s="1022"/>
      <c r="K8602" s="1222"/>
    </row>
    <row r="8603" spans="1:14">
      <c r="A8603" s="1221"/>
      <c r="C8603" s="298" t="s">
        <v>1821</v>
      </c>
      <c r="D8603" s="392"/>
      <c r="E8603" s="165"/>
      <c r="F8603" s="401"/>
      <c r="G8603" s="401"/>
      <c r="H8603" s="401"/>
      <c r="I8603" s="1182">
        <f>PRODUCT(D8603:H8603)</f>
        <v>0</v>
      </c>
      <c r="J8603" s="1022"/>
      <c r="K8603" s="1222"/>
    </row>
    <row r="8604" spans="1:14" s="398" customFormat="1">
      <c r="A8604" s="1250"/>
      <c r="B8604" s="161" t="s">
        <v>928</v>
      </c>
      <c r="C8604" s="388" t="s">
        <v>1821</v>
      </c>
      <c r="D8604" s="437"/>
      <c r="E8604" s="165"/>
      <c r="F8604" s="401"/>
      <c r="G8604" s="401"/>
      <c r="H8604" s="401"/>
      <c r="I8604" s="938" t="str">
        <f t="shared" ref="I8604" si="311">IF(D8604&lt;&gt;0,ROUND(PRODUCT(E8604:H8604)*D8604,2),"")</f>
        <v/>
      </c>
      <c r="J8604" s="1191">
        <f>SUM(I8585:I8604)</f>
        <v>98</v>
      </c>
      <c r="K8604" s="1277" t="s">
        <v>1690</v>
      </c>
      <c r="L8604" s="431"/>
      <c r="M8604" s="431"/>
      <c r="N8604" s="431"/>
    </row>
    <row r="8605" spans="1:14">
      <c r="A8605" s="1250"/>
      <c r="D8605" s="392"/>
      <c r="E8605" s="165"/>
      <c r="F8605" s="401"/>
      <c r="G8605" s="401"/>
      <c r="H8605" s="401"/>
      <c r="I8605" s="1182"/>
      <c r="J8605" s="1192">
        <f>SUM(J8584:J8604)</f>
        <v>98</v>
      </c>
      <c r="K8605" s="1242"/>
    </row>
    <row r="8606" spans="1:14" ht="34.5">
      <c r="A8606" s="1219" t="s">
        <v>2101</v>
      </c>
      <c r="B8606" s="1200" t="s">
        <v>1987</v>
      </c>
      <c r="C8606" s="422"/>
      <c r="D8606" s="436"/>
      <c r="E8606" s="436"/>
      <c r="F8606" s="1359"/>
      <c r="G8606" s="1359"/>
      <c r="H8606" s="1359"/>
      <c r="I8606" s="1185"/>
      <c r="J8606" s="423"/>
      <c r="K8606" s="1220"/>
      <c r="M8606" s="170"/>
      <c r="N8606" s="170"/>
    </row>
    <row r="8607" spans="1:14" s="464" customFormat="1">
      <c r="A8607" s="1264"/>
      <c r="B8607" s="669" t="s">
        <v>85</v>
      </c>
      <c r="C8607" s="465" t="s">
        <v>1821</v>
      </c>
      <c r="D8607" s="444"/>
      <c r="E8607" s="345"/>
      <c r="F8607" s="1356"/>
      <c r="G8607" s="1356"/>
      <c r="H8607" s="1356"/>
      <c r="I8607" s="1170" t="str">
        <f t="shared" ref="I8607" si="312">IF(D8607&lt;&gt;0,ROUND(PRODUCT(E8607:H8607)*D8607,2),"")</f>
        <v/>
      </c>
      <c r="J8607" s="1021">
        <f>SUM(I8606:I8607)</f>
        <v>0</v>
      </c>
      <c r="K8607" s="1258"/>
      <c r="L8607" s="463"/>
      <c r="M8607" s="463"/>
      <c r="N8607" s="463"/>
    </row>
    <row r="8608" spans="1:14">
      <c r="A8608" s="1221"/>
      <c r="C8608" s="298" t="s">
        <v>1821</v>
      </c>
      <c r="D8608" s="392"/>
      <c r="E8608" s="165"/>
      <c r="F8608" s="401"/>
      <c r="G8608" s="401"/>
      <c r="H8608" s="401"/>
      <c r="I8608" s="1182">
        <f t="shared" ref="I8608:I8655" si="313">PRODUCT(D8608:H8608)</f>
        <v>0</v>
      </c>
      <c r="J8608" s="1022"/>
      <c r="K8608" s="1222"/>
    </row>
    <row r="8609" spans="1:11" ht="34.5">
      <c r="A8609" s="1221" t="s">
        <v>457</v>
      </c>
      <c r="B8609" s="425" t="s">
        <v>1962</v>
      </c>
      <c r="C8609" s="298"/>
      <c r="D8609" s="392"/>
      <c r="E8609" s="165"/>
      <c r="F8609" s="401"/>
      <c r="G8609" s="401"/>
      <c r="H8609" s="401"/>
      <c r="I8609" s="1182">
        <f t="shared" ref="I8609" si="314">PRODUCT(D8609:H8609)</f>
        <v>0</v>
      </c>
      <c r="J8609" s="1022"/>
      <c r="K8609" s="1222"/>
    </row>
    <row r="8610" spans="1:11" ht="34.5">
      <c r="A8610" s="1221"/>
      <c r="B8610" s="425" t="s">
        <v>1963</v>
      </c>
      <c r="C8610" s="298" t="s">
        <v>1821</v>
      </c>
      <c r="D8610" s="392">
        <v>2</v>
      </c>
      <c r="E8610" s="165">
        <v>21</v>
      </c>
      <c r="F8610" s="401"/>
      <c r="G8610" s="401"/>
      <c r="H8610" s="401"/>
      <c r="I8610" s="1163">
        <f t="shared" ref="I8610:I8653" si="315">IF(D8610&lt;&gt;0,ROUND(PRODUCT(E8610:H8610)*D8610,2),"")</f>
        <v>42</v>
      </c>
      <c r="J8610" s="1022"/>
      <c r="K8610" s="1222"/>
    </row>
    <row r="8611" spans="1:11">
      <c r="A8611" s="1221"/>
      <c r="C8611" s="298" t="s">
        <v>1821</v>
      </c>
      <c r="D8611" s="392">
        <v>2</v>
      </c>
      <c r="E8611" s="1068">
        <v>21</v>
      </c>
      <c r="F8611" s="401"/>
      <c r="G8611" s="401"/>
      <c r="H8611" s="401"/>
      <c r="I8611" s="1163">
        <f t="shared" si="315"/>
        <v>42</v>
      </c>
      <c r="J8611" s="1022"/>
      <c r="K8611" s="1222"/>
    </row>
    <row r="8612" spans="1:11">
      <c r="A8612" s="1221"/>
      <c r="B8612" s="425" t="s">
        <v>1964</v>
      </c>
      <c r="C8612" s="298" t="s">
        <v>1821</v>
      </c>
      <c r="D8612" s="392">
        <v>2</v>
      </c>
      <c r="E8612" s="165">
        <v>21</v>
      </c>
      <c r="F8612" s="401"/>
      <c r="G8612" s="401"/>
      <c r="H8612" s="401"/>
      <c r="I8612" s="1163">
        <f t="shared" si="315"/>
        <v>42</v>
      </c>
      <c r="J8612" s="1022"/>
      <c r="K8612" s="1222"/>
    </row>
    <row r="8613" spans="1:11">
      <c r="A8613" s="1221"/>
      <c r="C8613" s="298" t="s">
        <v>1821</v>
      </c>
      <c r="D8613" s="392">
        <v>2</v>
      </c>
      <c r="E8613" s="1068">
        <v>12</v>
      </c>
      <c r="F8613" s="401"/>
      <c r="G8613" s="401"/>
      <c r="H8613" s="401"/>
      <c r="I8613" s="1163">
        <f t="shared" si="315"/>
        <v>24</v>
      </c>
      <c r="J8613" s="1022"/>
      <c r="K8613" s="1222"/>
    </row>
    <row r="8614" spans="1:11">
      <c r="A8614" s="1221"/>
      <c r="B8614" s="425" t="s">
        <v>1965</v>
      </c>
      <c r="C8614" s="298" t="s">
        <v>1821</v>
      </c>
      <c r="D8614" s="392">
        <v>2</v>
      </c>
      <c r="E8614" s="1068">
        <v>43</v>
      </c>
      <c r="F8614" s="401"/>
      <c r="G8614" s="401"/>
      <c r="H8614" s="401"/>
      <c r="I8614" s="1163">
        <f t="shared" si="315"/>
        <v>86</v>
      </c>
      <c r="J8614" s="1022"/>
      <c r="K8614" s="1222"/>
    </row>
    <row r="8615" spans="1:11" ht="34.5">
      <c r="A8615" s="1221"/>
      <c r="B8615" s="425" t="s">
        <v>1966</v>
      </c>
      <c r="C8615" s="298" t="s">
        <v>1821</v>
      </c>
      <c r="D8615" s="392">
        <v>2</v>
      </c>
      <c r="E8615" s="1068">
        <v>27</v>
      </c>
      <c r="F8615" s="401"/>
      <c r="G8615" s="401"/>
      <c r="H8615" s="401"/>
      <c r="I8615" s="1163">
        <f t="shared" si="315"/>
        <v>54</v>
      </c>
      <c r="J8615" s="1022"/>
      <c r="K8615" s="1222"/>
    </row>
    <row r="8616" spans="1:11">
      <c r="A8616" s="1221"/>
      <c r="C8616" s="298" t="s">
        <v>1821</v>
      </c>
      <c r="D8616" s="392">
        <v>2</v>
      </c>
      <c r="E8616" s="165">
        <v>24</v>
      </c>
      <c r="F8616" s="401"/>
      <c r="G8616" s="401"/>
      <c r="H8616" s="401"/>
      <c r="I8616" s="1163">
        <f t="shared" si="315"/>
        <v>48</v>
      </c>
      <c r="J8616" s="1022"/>
      <c r="K8616" s="1222"/>
    </row>
    <row r="8617" spans="1:11">
      <c r="A8617" s="1221"/>
      <c r="C8617" s="298"/>
      <c r="D8617" s="392"/>
      <c r="E8617" s="165"/>
      <c r="F8617" s="401"/>
      <c r="G8617" s="401"/>
      <c r="H8617" s="401"/>
      <c r="I8617" s="1163" t="str">
        <f t="shared" si="315"/>
        <v/>
      </c>
      <c r="J8617" s="1022"/>
      <c r="K8617" s="1222"/>
    </row>
    <row r="8618" spans="1:11" ht="34.5">
      <c r="A8618" s="1221"/>
      <c r="B8618" s="425" t="s">
        <v>1967</v>
      </c>
      <c r="C8618" s="298" t="s">
        <v>1821</v>
      </c>
      <c r="D8618" s="392">
        <v>4</v>
      </c>
      <c r="E8618" s="165">
        <v>11</v>
      </c>
      <c r="F8618" s="401"/>
      <c r="G8618" s="401"/>
      <c r="H8618" s="401"/>
      <c r="I8618" s="1163">
        <f t="shared" si="315"/>
        <v>44</v>
      </c>
      <c r="J8618" s="1022"/>
      <c r="K8618" s="1222"/>
    </row>
    <row r="8619" spans="1:11">
      <c r="A8619" s="1221"/>
      <c r="C8619" s="298"/>
      <c r="D8619" s="392"/>
      <c r="E8619" s="165"/>
      <c r="F8619" s="401"/>
      <c r="G8619" s="401"/>
      <c r="H8619" s="401"/>
      <c r="I8619" s="1163" t="str">
        <f t="shared" si="315"/>
        <v/>
      </c>
      <c r="J8619" s="1022"/>
      <c r="K8619" s="1222"/>
    </row>
    <row r="8620" spans="1:11" ht="34.5">
      <c r="A8620" s="1221" t="s">
        <v>459</v>
      </c>
      <c r="B8620" s="425" t="s">
        <v>1968</v>
      </c>
      <c r="C8620" s="298"/>
      <c r="D8620" s="392"/>
      <c r="E8620" s="165"/>
      <c r="F8620" s="401"/>
      <c r="G8620" s="401"/>
      <c r="H8620" s="401"/>
      <c r="I8620" s="1163" t="str">
        <f t="shared" si="315"/>
        <v/>
      </c>
      <c r="J8620" s="1022"/>
      <c r="K8620" s="1222"/>
    </row>
    <row r="8621" spans="1:11">
      <c r="A8621" s="1221"/>
      <c r="C8621" s="298"/>
      <c r="D8621" s="392"/>
      <c r="E8621" s="165"/>
      <c r="F8621" s="401"/>
      <c r="G8621" s="401"/>
      <c r="H8621" s="401"/>
      <c r="I8621" s="1163" t="str">
        <f t="shared" si="315"/>
        <v/>
      </c>
      <c r="J8621" s="1022"/>
      <c r="K8621" s="1222"/>
    </row>
    <row r="8622" spans="1:11">
      <c r="A8622" s="1221"/>
      <c r="B8622" s="425" t="s">
        <v>1969</v>
      </c>
      <c r="C8622" s="298" t="s">
        <v>1821</v>
      </c>
      <c r="D8622" s="392">
        <v>1</v>
      </c>
      <c r="E8622" s="165">
        <v>21</v>
      </c>
      <c r="F8622" s="401"/>
      <c r="G8622" s="401"/>
      <c r="H8622" s="401"/>
      <c r="I8622" s="1163">
        <f t="shared" si="315"/>
        <v>21</v>
      </c>
      <c r="J8622" s="1022"/>
      <c r="K8622" s="1222"/>
    </row>
    <row r="8623" spans="1:11">
      <c r="A8623" s="1221"/>
      <c r="C8623" s="298" t="s">
        <v>1821</v>
      </c>
      <c r="D8623" s="392">
        <v>1</v>
      </c>
      <c r="E8623" s="1068">
        <v>21</v>
      </c>
      <c r="F8623" s="401"/>
      <c r="G8623" s="401"/>
      <c r="H8623" s="401"/>
      <c r="I8623" s="1163">
        <f t="shared" si="315"/>
        <v>21</v>
      </c>
      <c r="J8623" s="1022"/>
      <c r="K8623" s="1222"/>
    </row>
    <row r="8624" spans="1:11">
      <c r="A8624" s="1221"/>
      <c r="B8624" s="425" t="s">
        <v>1964</v>
      </c>
      <c r="C8624" s="298" t="s">
        <v>1821</v>
      </c>
      <c r="D8624" s="392">
        <v>1</v>
      </c>
      <c r="E8624" s="165">
        <v>21</v>
      </c>
      <c r="F8624" s="401"/>
      <c r="G8624" s="401"/>
      <c r="H8624" s="401"/>
      <c r="I8624" s="1163">
        <f t="shared" si="315"/>
        <v>21</v>
      </c>
      <c r="J8624" s="1022"/>
      <c r="K8624" s="1222"/>
    </row>
    <row r="8625" spans="1:11">
      <c r="A8625" s="1221"/>
      <c r="C8625" s="298" t="s">
        <v>1821</v>
      </c>
      <c r="D8625" s="392">
        <v>1</v>
      </c>
      <c r="E8625" s="1068">
        <v>12</v>
      </c>
      <c r="F8625" s="401"/>
      <c r="G8625" s="401"/>
      <c r="H8625" s="401"/>
      <c r="I8625" s="1163">
        <f t="shared" si="315"/>
        <v>12</v>
      </c>
      <c r="J8625" s="1022"/>
      <c r="K8625" s="1222"/>
    </row>
    <row r="8626" spans="1:11">
      <c r="A8626" s="1221"/>
      <c r="B8626" s="425" t="s">
        <v>1965</v>
      </c>
      <c r="C8626" s="298" t="s">
        <v>1821</v>
      </c>
      <c r="D8626" s="392">
        <v>1</v>
      </c>
      <c r="E8626" s="1068">
        <v>43</v>
      </c>
      <c r="F8626" s="401"/>
      <c r="G8626" s="401"/>
      <c r="H8626" s="401"/>
      <c r="I8626" s="1163">
        <f t="shared" si="315"/>
        <v>43</v>
      </c>
      <c r="J8626" s="1022"/>
      <c r="K8626" s="1222"/>
    </row>
    <row r="8627" spans="1:11" ht="34.5">
      <c r="A8627" s="1221"/>
      <c r="B8627" s="425" t="s">
        <v>1966</v>
      </c>
      <c r="C8627" s="298" t="s">
        <v>1821</v>
      </c>
      <c r="D8627" s="392">
        <v>1</v>
      </c>
      <c r="E8627" s="1068">
        <v>27</v>
      </c>
      <c r="F8627" s="401"/>
      <c r="G8627" s="401"/>
      <c r="H8627" s="401"/>
      <c r="I8627" s="1163">
        <f t="shared" si="315"/>
        <v>27</v>
      </c>
      <c r="J8627" s="1022"/>
      <c r="K8627" s="1222"/>
    </row>
    <row r="8628" spans="1:11">
      <c r="A8628" s="1221"/>
      <c r="C8628" s="298" t="s">
        <v>1821</v>
      </c>
      <c r="D8628" s="392">
        <v>1</v>
      </c>
      <c r="E8628" s="165">
        <v>24</v>
      </c>
      <c r="F8628" s="401"/>
      <c r="G8628" s="401"/>
      <c r="H8628" s="401"/>
      <c r="I8628" s="1163">
        <f t="shared" si="315"/>
        <v>24</v>
      </c>
      <c r="J8628" s="1022"/>
      <c r="K8628" s="1222"/>
    </row>
    <row r="8629" spans="1:11">
      <c r="A8629" s="1221"/>
      <c r="C8629" s="298"/>
      <c r="D8629" s="392"/>
      <c r="E8629" s="165"/>
      <c r="F8629" s="401"/>
      <c r="G8629" s="401"/>
      <c r="H8629" s="401"/>
      <c r="I8629" s="1163" t="str">
        <f t="shared" si="315"/>
        <v/>
      </c>
      <c r="J8629" s="1022"/>
      <c r="K8629" s="1222"/>
    </row>
    <row r="8630" spans="1:11" ht="34.5">
      <c r="A8630" s="1221"/>
      <c r="B8630" s="425" t="s">
        <v>1967</v>
      </c>
      <c r="C8630" s="298" t="s">
        <v>1821</v>
      </c>
      <c r="D8630" s="392">
        <v>2</v>
      </c>
      <c r="E8630" s="165">
        <v>11</v>
      </c>
      <c r="F8630" s="401"/>
      <c r="G8630" s="401"/>
      <c r="H8630" s="401"/>
      <c r="I8630" s="1163">
        <f t="shared" si="315"/>
        <v>22</v>
      </c>
      <c r="J8630" s="1022"/>
      <c r="K8630" s="1222"/>
    </row>
    <row r="8631" spans="1:11">
      <c r="A8631" s="1221"/>
      <c r="C8631" s="298"/>
      <c r="D8631" s="392"/>
      <c r="E8631" s="165"/>
      <c r="F8631" s="401"/>
      <c r="G8631" s="401"/>
      <c r="H8631" s="401"/>
      <c r="I8631" s="1163" t="str">
        <f t="shared" si="315"/>
        <v/>
      </c>
      <c r="J8631" s="1022"/>
      <c r="K8631" s="1222"/>
    </row>
    <row r="8632" spans="1:11">
      <c r="A8632" s="1221"/>
      <c r="B8632" s="425" t="s">
        <v>1970</v>
      </c>
      <c r="C8632" s="298"/>
      <c r="D8632" s="392"/>
      <c r="E8632" s="165"/>
      <c r="F8632" s="401"/>
      <c r="G8632" s="401"/>
      <c r="H8632" s="401"/>
      <c r="I8632" s="1163" t="str">
        <f t="shared" si="315"/>
        <v/>
      </c>
      <c r="J8632" s="1022"/>
      <c r="K8632" s="1222"/>
    </row>
    <row r="8633" spans="1:11" ht="34.5">
      <c r="A8633" s="1221" t="s">
        <v>1511</v>
      </c>
      <c r="B8633" s="425" t="s">
        <v>1971</v>
      </c>
      <c r="C8633" s="298"/>
      <c r="D8633" s="392"/>
      <c r="E8633" s="165"/>
      <c r="F8633" s="401"/>
      <c r="G8633" s="401"/>
      <c r="H8633" s="401"/>
      <c r="I8633" s="1163" t="str">
        <f t="shared" si="315"/>
        <v/>
      </c>
      <c r="J8633" s="1022"/>
      <c r="K8633" s="1222"/>
    </row>
    <row r="8634" spans="1:11">
      <c r="A8634" s="1221" t="s">
        <v>1972</v>
      </c>
      <c r="B8634" s="425" t="s">
        <v>1973</v>
      </c>
      <c r="C8634" s="298"/>
      <c r="D8634" s="392"/>
      <c r="E8634" s="165"/>
      <c r="F8634" s="401"/>
      <c r="G8634" s="401"/>
      <c r="H8634" s="401"/>
      <c r="I8634" s="1163" t="str">
        <f t="shared" si="315"/>
        <v/>
      </c>
      <c r="J8634" s="1022"/>
      <c r="K8634" s="1222"/>
    </row>
    <row r="8635" spans="1:11" ht="34.5">
      <c r="A8635" s="1221"/>
      <c r="B8635" s="425" t="s">
        <v>1974</v>
      </c>
      <c r="C8635" s="298" t="s">
        <v>1821</v>
      </c>
      <c r="D8635" s="392">
        <v>1</v>
      </c>
      <c r="E8635" s="1068">
        <v>16</v>
      </c>
      <c r="F8635" s="401"/>
      <c r="G8635" s="401"/>
      <c r="H8635" s="401"/>
      <c r="I8635" s="1163">
        <f t="shared" si="315"/>
        <v>16</v>
      </c>
      <c r="J8635" s="1022"/>
      <c r="K8635" s="1222"/>
    </row>
    <row r="8636" spans="1:11" ht="34.5">
      <c r="A8636" s="1221"/>
      <c r="B8636" s="425" t="s">
        <v>1975</v>
      </c>
      <c r="C8636" s="298" t="s">
        <v>1821</v>
      </c>
      <c r="D8636" s="392">
        <v>1</v>
      </c>
      <c r="E8636" s="1068">
        <v>5</v>
      </c>
      <c r="F8636" s="401"/>
      <c r="G8636" s="401"/>
      <c r="H8636" s="401"/>
      <c r="I8636" s="1163">
        <f t="shared" si="315"/>
        <v>5</v>
      </c>
      <c r="J8636" s="1022"/>
      <c r="K8636" s="1222"/>
    </row>
    <row r="8637" spans="1:11" ht="34.5">
      <c r="A8637" s="1221"/>
      <c r="B8637" s="425" t="s">
        <v>1976</v>
      </c>
      <c r="C8637" s="298" t="s">
        <v>1821</v>
      </c>
      <c r="D8637" s="392">
        <v>1</v>
      </c>
      <c r="E8637" s="165">
        <v>32</v>
      </c>
      <c r="F8637" s="401"/>
      <c r="G8637" s="401"/>
      <c r="H8637" s="401"/>
      <c r="I8637" s="1163">
        <f t="shared" si="315"/>
        <v>32</v>
      </c>
      <c r="J8637" s="1022"/>
      <c r="K8637" s="1222"/>
    </row>
    <row r="8638" spans="1:11">
      <c r="A8638" s="1221"/>
      <c r="C8638" s="298"/>
      <c r="D8638" s="392"/>
      <c r="E8638" s="165"/>
      <c r="F8638" s="401"/>
      <c r="G8638" s="401"/>
      <c r="H8638" s="401"/>
      <c r="I8638" s="1163" t="str">
        <f t="shared" si="315"/>
        <v/>
      </c>
      <c r="J8638" s="1022"/>
      <c r="K8638" s="1222"/>
    </row>
    <row r="8639" spans="1:11" ht="34.5">
      <c r="A8639" s="1221"/>
      <c r="B8639" s="425" t="s">
        <v>1977</v>
      </c>
      <c r="C8639" s="298" t="s">
        <v>1821</v>
      </c>
      <c r="D8639" s="392">
        <v>1</v>
      </c>
      <c r="E8639" s="165">
        <v>24</v>
      </c>
      <c r="F8639" s="401"/>
      <c r="G8639" s="401"/>
      <c r="H8639" s="401"/>
      <c r="I8639" s="1163">
        <f t="shared" si="315"/>
        <v>24</v>
      </c>
      <c r="J8639" s="1022"/>
      <c r="K8639" s="1222"/>
    </row>
    <row r="8640" spans="1:11">
      <c r="A8640" s="1221"/>
      <c r="C8640" s="298"/>
      <c r="D8640" s="392"/>
      <c r="E8640" s="165"/>
      <c r="F8640" s="401"/>
      <c r="G8640" s="401"/>
      <c r="H8640" s="401"/>
      <c r="I8640" s="1163" t="str">
        <f t="shared" si="315"/>
        <v/>
      </c>
      <c r="J8640" s="1022"/>
      <c r="K8640" s="1222"/>
    </row>
    <row r="8641" spans="1:14" ht="34.5">
      <c r="A8641" s="1221"/>
      <c r="B8641" s="425" t="s">
        <v>1978</v>
      </c>
      <c r="C8641" s="298"/>
      <c r="D8641" s="392"/>
      <c r="E8641" s="165"/>
      <c r="F8641" s="401"/>
      <c r="G8641" s="401"/>
      <c r="H8641" s="401"/>
      <c r="I8641" s="1163" t="str">
        <f t="shared" si="315"/>
        <v/>
      </c>
      <c r="J8641" s="1022"/>
      <c r="K8641" s="1222"/>
    </row>
    <row r="8642" spans="1:14">
      <c r="A8642" s="1221"/>
      <c r="C8642" s="298"/>
      <c r="D8642" s="392"/>
      <c r="E8642" s="165"/>
      <c r="F8642" s="401"/>
      <c r="G8642" s="401"/>
      <c r="H8642" s="401"/>
      <c r="I8642" s="1163" t="str">
        <f t="shared" si="315"/>
        <v/>
      </c>
      <c r="J8642" s="1022"/>
      <c r="K8642" s="1222"/>
    </row>
    <row r="8643" spans="1:14" s="342" customFormat="1" ht="34.5">
      <c r="A8643" s="1282"/>
      <c r="B8643" s="605" t="s">
        <v>1979</v>
      </c>
      <c r="C8643" s="337" t="s">
        <v>1821</v>
      </c>
      <c r="D8643" s="1111">
        <f>1*0</f>
        <v>0</v>
      </c>
      <c r="E8643" s="345">
        <v>10</v>
      </c>
      <c r="F8643" s="1356"/>
      <c r="G8643" s="1356"/>
      <c r="H8643" s="1356"/>
      <c r="I8643" s="1163" t="str">
        <f t="shared" si="315"/>
        <v/>
      </c>
      <c r="J8643" s="1100"/>
      <c r="K8643" s="1258"/>
      <c r="L8643" s="341"/>
      <c r="M8643" s="341"/>
      <c r="N8643" s="341"/>
    </row>
    <row r="8644" spans="1:14" ht="34.5">
      <c r="A8644" s="1221"/>
      <c r="B8644" s="425" t="s">
        <v>1980</v>
      </c>
      <c r="C8644" s="298" t="s">
        <v>1821</v>
      </c>
      <c r="D8644" s="392">
        <v>1</v>
      </c>
      <c r="E8644" s="165">
        <v>8</v>
      </c>
      <c r="F8644" s="401"/>
      <c r="G8644" s="401"/>
      <c r="H8644" s="401"/>
      <c r="I8644" s="1163">
        <f t="shared" si="315"/>
        <v>8</v>
      </c>
      <c r="J8644" s="1022"/>
      <c r="K8644" s="1222"/>
    </row>
    <row r="8645" spans="1:14">
      <c r="A8645" s="1221"/>
      <c r="C8645" s="298"/>
      <c r="D8645" s="392"/>
      <c r="E8645" s="165"/>
      <c r="F8645" s="401"/>
      <c r="G8645" s="401"/>
      <c r="H8645" s="401"/>
      <c r="I8645" s="1163" t="str">
        <f t="shared" si="315"/>
        <v/>
      </c>
      <c r="J8645" s="1022"/>
      <c r="K8645" s="1222"/>
    </row>
    <row r="8646" spans="1:14">
      <c r="A8646" s="1221" t="s">
        <v>1981</v>
      </c>
      <c r="B8646" s="425" t="s">
        <v>1982</v>
      </c>
      <c r="C8646" s="298"/>
      <c r="D8646" s="392"/>
      <c r="E8646" s="165"/>
      <c r="F8646" s="401"/>
      <c r="G8646" s="401"/>
      <c r="H8646" s="401"/>
      <c r="I8646" s="1163" t="str">
        <f t="shared" si="315"/>
        <v/>
      </c>
      <c r="J8646" s="1022"/>
      <c r="K8646" s="1222"/>
    </row>
    <row r="8647" spans="1:14">
      <c r="A8647" s="1221"/>
      <c r="B8647" s="425" t="s">
        <v>1983</v>
      </c>
      <c r="C8647" s="298" t="s">
        <v>1821</v>
      </c>
      <c r="D8647" s="392">
        <v>1</v>
      </c>
      <c r="E8647" s="165">
        <v>38</v>
      </c>
      <c r="F8647" s="401"/>
      <c r="G8647" s="401"/>
      <c r="H8647" s="401"/>
      <c r="I8647" s="1163">
        <f t="shared" si="315"/>
        <v>38</v>
      </c>
      <c r="J8647" s="1022"/>
      <c r="K8647" s="1222"/>
    </row>
    <row r="8648" spans="1:14" ht="34.5">
      <c r="A8648" s="1221"/>
      <c r="B8648" s="425" t="s">
        <v>1984</v>
      </c>
      <c r="C8648" s="298" t="s">
        <v>1821</v>
      </c>
      <c r="D8648" s="392">
        <v>1</v>
      </c>
      <c r="E8648" s="1068">
        <v>13</v>
      </c>
      <c r="F8648" s="401"/>
      <c r="G8648" s="401"/>
      <c r="H8648" s="401"/>
      <c r="I8648" s="1163">
        <f t="shared" si="315"/>
        <v>13</v>
      </c>
      <c r="J8648" s="1022"/>
      <c r="K8648" s="1222"/>
    </row>
    <row r="8649" spans="1:14">
      <c r="A8649" s="1221"/>
      <c r="C8649" s="298"/>
      <c r="D8649" s="392"/>
      <c r="E8649" s="165"/>
      <c r="F8649" s="401"/>
      <c r="G8649" s="401"/>
      <c r="H8649" s="401"/>
      <c r="I8649" s="1163" t="str">
        <f t="shared" si="315"/>
        <v/>
      </c>
      <c r="J8649" s="1022"/>
      <c r="K8649" s="1222"/>
    </row>
    <row r="8650" spans="1:14" s="342" customFormat="1" ht="34.5">
      <c r="A8650" s="1282"/>
      <c r="B8650" s="605" t="s">
        <v>1978</v>
      </c>
      <c r="C8650" s="337" t="s">
        <v>1821</v>
      </c>
      <c r="D8650" s="1111">
        <f>1*0</f>
        <v>0</v>
      </c>
      <c r="E8650" s="345">
        <v>15</v>
      </c>
      <c r="F8650" s="1356"/>
      <c r="G8650" s="1356"/>
      <c r="H8650" s="1356"/>
      <c r="I8650" s="1163" t="str">
        <f t="shared" si="315"/>
        <v/>
      </c>
      <c r="J8650" s="1100"/>
      <c r="K8650" s="1258"/>
      <c r="L8650" s="341"/>
      <c r="M8650" s="341"/>
      <c r="N8650" s="341"/>
    </row>
    <row r="8651" spans="1:14">
      <c r="A8651" s="1221"/>
      <c r="C8651" s="298"/>
      <c r="D8651" s="392"/>
      <c r="E8651" s="165"/>
      <c r="F8651" s="401"/>
      <c r="G8651" s="401"/>
      <c r="H8651" s="401"/>
      <c r="I8651" s="1163" t="str">
        <f t="shared" si="315"/>
        <v/>
      </c>
      <c r="J8651" s="1022"/>
      <c r="K8651" s="1222"/>
    </row>
    <row r="8652" spans="1:14" s="342" customFormat="1" ht="34.5">
      <c r="A8652" s="1282"/>
      <c r="B8652" s="605" t="s">
        <v>1985</v>
      </c>
      <c r="C8652" s="337" t="s">
        <v>1821</v>
      </c>
      <c r="D8652" s="1111">
        <f>1*0</f>
        <v>0</v>
      </c>
      <c r="E8652" s="345">
        <v>4</v>
      </c>
      <c r="F8652" s="1356"/>
      <c r="G8652" s="1356"/>
      <c r="H8652" s="1356"/>
      <c r="I8652" s="1163" t="str">
        <f t="shared" si="315"/>
        <v/>
      </c>
      <c r="J8652" s="1100"/>
      <c r="K8652" s="1258"/>
      <c r="L8652" s="341"/>
      <c r="M8652" s="341"/>
      <c r="N8652" s="341"/>
    </row>
    <row r="8653" spans="1:14" ht="34.5">
      <c r="A8653" s="1221"/>
      <c r="B8653" s="425" t="s">
        <v>1986</v>
      </c>
      <c r="C8653" s="298" t="s">
        <v>1821</v>
      </c>
      <c r="D8653" s="392">
        <v>1</v>
      </c>
      <c r="E8653" s="165">
        <v>8</v>
      </c>
      <c r="F8653" s="401"/>
      <c r="G8653" s="401"/>
      <c r="H8653" s="401"/>
      <c r="I8653" s="1163">
        <f t="shared" si="315"/>
        <v>8</v>
      </c>
      <c r="J8653" s="1022"/>
      <c r="K8653" s="1222"/>
    </row>
    <row r="8654" spans="1:14">
      <c r="A8654" s="1221"/>
      <c r="C8654" s="298" t="s">
        <v>1821</v>
      </c>
      <c r="D8654" s="392"/>
      <c r="E8654" s="165"/>
      <c r="F8654" s="401"/>
      <c r="G8654" s="401"/>
      <c r="H8654" s="401"/>
      <c r="I8654" s="1182">
        <f t="shared" si="313"/>
        <v>0</v>
      </c>
      <c r="J8654" s="1022"/>
      <c r="K8654" s="1222"/>
    </row>
    <row r="8655" spans="1:14">
      <c r="A8655" s="1221"/>
      <c r="C8655" s="298" t="s">
        <v>1821</v>
      </c>
      <c r="D8655" s="392"/>
      <c r="E8655" s="165"/>
      <c r="F8655" s="401"/>
      <c r="G8655" s="401"/>
      <c r="H8655" s="401"/>
      <c r="I8655" s="1182">
        <f t="shared" si="313"/>
        <v>0</v>
      </c>
      <c r="J8655" s="1022"/>
      <c r="K8655" s="1222"/>
    </row>
    <row r="8656" spans="1:14">
      <c r="A8656" s="1221"/>
      <c r="C8656" s="298" t="s">
        <v>1821</v>
      </c>
      <c r="D8656" s="392"/>
      <c r="E8656" s="165"/>
      <c r="F8656" s="401"/>
      <c r="G8656" s="401"/>
      <c r="H8656" s="401"/>
      <c r="I8656" s="1182">
        <f>PRODUCT(D8656:H8656)</f>
        <v>0</v>
      </c>
      <c r="J8656" s="1022"/>
      <c r="K8656" s="1222"/>
    </row>
    <row r="8657" spans="1:14" s="398" customFormat="1">
      <c r="A8657" s="1250"/>
      <c r="B8657" s="161" t="s">
        <v>928</v>
      </c>
      <c r="C8657" s="388" t="s">
        <v>1821</v>
      </c>
      <c r="D8657" s="437"/>
      <c r="E8657" s="165"/>
      <c r="F8657" s="401"/>
      <c r="G8657" s="401"/>
      <c r="H8657" s="401"/>
      <c r="I8657" s="938" t="str">
        <f t="shared" ref="I8657" si="316">IF(D8657&lt;&gt;0,ROUND(PRODUCT(E8657:H8657)*D8657,2),"")</f>
        <v/>
      </c>
      <c r="J8657" s="1023">
        <f>SUM(I8608:I8657)</f>
        <v>717</v>
      </c>
      <c r="K8657" s="1277" t="s">
        <v>1690</v>
      </c>
      <c r="L8657" s="431"/>
      <c r="M8657" s="431"/>
      <c r="N8657" s="431"/>
    </row>
    <row r="8658" spans="1:14">
      <c r="A8658" s="1250"/>
      <c r="D8658" s="392"/>
      <c r="E8658" s="165"/>
      <c r="F8658" s="401"/>
      <c r="G8658" s="401"/>
      <c r="H8658" s="401"/>
      <c r="I8658" s="1182"/>
      <c r="J8658" s="1024">
        <f>SUM(J8606:J8657)</f>
        <v>717</v>
      </c>
      <c r="K8658" s="1242"/>
    </row>
    <row r="8659" spans="1:14" ht="86.25">
      <c r="A8659" s="1219" t="s">
        <v>2152</v>
      </c>
      <c r="B8659" s="1200" t="s">
        <v>725</v>
      </c>
      <c r="C8659" s="422"/>
      <c r="D8659" s="436"/>
      <c r="E8659" s="436"/>
      <c r="F8659" s="1359"/>
      <c r="G8659" s="1359"/>
      <c r="H8659" s="1359"/>
      <c r="I8659" s="1172"/>
      <c r="J8659" s="423"/>
      <c r="K8659" s="1220"/>
      <c r="M8659" s="170"/>
      <c r="N8659" s="170"/>
    </row>
    <row r="8660" spans="1:14" s="464" customFormat="1">
      <c r="A8660" s="1264"/>
      <c r="B8660" s="669" t="s">
        <v>85</v>
      </c>
      <c r="C8660" s="465" t="s">
        <v>2</v>
      </c>
      <c r="D8660" s="444"/>
      <c r="E8660" s="345"/>
      <c r="F8660" s="1356"/>
      <c r="G8660" s="1356"/>
      <c r="H8660" s="1356"/>
      <c r="I8660" s="1170" t="str">
        <f t="shared" ref="I8660:I8664" si="317">IF(D8660&lt;&gt;0,ROUND(PRODUCT(E8660:H8660)*D8660,2),"")</f>
        <v/>
      </c>
      <c r="J8660" s="482">
        <f>SUM(I8659:I8660)</f>
        <v>0</v>
      </c>
      <c r="K8660" s="1258"/>
      <c r="L8660" s="463"/>
      <c r="M8660" s="463"/>
      <c r="N8660" s="463"/>
    </row>
    <row r="8661" spans="1:14">
      <c r="A8661" s="1221"/>
      <c r="B8661" s="425" t="s">
        <v>656</v>
      </c>
      <c r="C8661" s="319"/>
      <c r="D8661" s="392"/>
      <c r="E8661" s="165"/>
      <c r="F8661" s="401"/>
      <c r="G8661" s="401"/>
      <c r="H8661" s="401"/>
      <c r="I8661" s="938" t="str">
        <f t="shared" ref="I8661:I8662" si="318">IF(D8661&lt;&gt;0,ROUND(PRODUCT(E8661:H8661)*D8661,2),"")</f>
        <v/>
      </c>
      <c r="K8661" s="1222"/>
    </row>
    <row r="8662" spans="1:14" ht="34.5">
      <c r="A8662" s="1221"/>
      <c r="B8662" s="425" t="s">
        <v>1848</v>
      </c>
      <c r="C8662" s="319" t="s">
        <v>2</v>
      </c>
      <c r="D8662" s="392">
        <v>1</v>
      </c>
      <c r="E8662" s="165">
        <v>1</v>
      </c>
      <c r="F8662" s="401">
        <v>64.998000000000005</v>
      </c>
      <c r="G8662" s="401">
        <v>0.23</v>
      </c>
      <c r="H8662" s="401">
        <v>0.54499999999999993</v>
      </c>
      <c r="I8662" s="1163">
        <f t="shared" si="318"/>
        <v>8.15</v>
      </c>
      <c r="K8662" s="1222"/>
    </row>
    <row r="8663" spans="1:14" s="398" customFormat="1">
      <c r="A8663" s="1313"/>
      <c r="B8663" s="1079"/>
      <c r="C8663" s="1415"/>
      <c r="D8663" s="1073">
        <v>-1</v>
      </c>
      <c r="E8663" s="1066"/>
      <c r="F8663" s="1388">
        <f>SUM(I8661:I8662)</f>
        <v>8.15</v>
      </c>
      <c r="G8663" s="1388"/>
      <c r="H8663" s="1388"/>
      <c r="I8663" s="1184">
        <f t="shared" ref="I8663" si="319">IF(D8663&lt;&gt;0,ROUND(PRODUCT(E8663:H8663)*D8663,2),"")</f>
        <v>-8.15</v>
      </c>
      <c r="J8663" s="1095"/>
      <c r="K8663" s="1337"/>
      <c r="L8663" s="431"/>
      <c r="M8663" s="431"/>
      <c r="N8663" s="431"/>
    </row>
    <row r="8664" spans="1:14" s="398" customFormat="1">
      <c r="A8664" s="1250"/>
      <c r="B8664" s="161" t="s">
        <v>928</v>
      </c>
      <c r="C8664" s="388" t="s">
        <v>2</v>
      </c>
      <c r="D8664" s="437"/>
      <c r="E8664" s="165"/>
      <c r="F8664" s="401"/>
      <c r="G8664" s="401"/>
      <c r="H8664" s="401"/>
      <c r="I8664" s="938" t="str">
        <f t="shared" si="317"/>
        <v/>
      </c>
      <c r="J8664" s="403">
        <f>SUM(I8661:I8664)</f>
        <v>0</v>
      </c>
      <c r="K8664" s="1277" t="s">
        <v>1690</v>
      </c>
      <c r="L8664" s="431"/>
      <c r="M8664" s="431"/>
      <c r="N8664" s="431"/>
    </row>
    <row r="8665" spans="1:14">
      <c r="A8665" s="1250"/>
      <c r="D8665" s="392"/>
      <c r="E8665" s="165"/>
      <c r="F8665" s="401"/>
      <c r="G8665" s="401"/>
      <c r="H8665" s="401"/>
      <c r="I8665" s="1182"/>
      <c r="J8665" s="432">
        <f>SUM(J8660:J8664)</f>
        <v>0</v>
      </c>
      <c r="K8665" s="1242"/>
    </row>
    <row r="8666" spans="1:14">
      <c r="A8666" s="1219" t="s">
        <v>2153</v>
      </c>
      <c r="B8666" s="768" t="s">
        <v>2017</v>
      </c>
      <c r="C8666" s="422"/>
      <c r="D8666" s="436"/>
      <c r="E8666" s="436"/>
      <c r="F8666" s="1359"/>
      <c r="G8666" s="1359"/>
      <c r="H8666" s="1359"/>
      <c r="I8666" s="1185"/>
      <c r="J8666" s="423"/>
      <c r="K8666" s="1220"/>
      <c r="M8666" s="170"/>
      <c r="N8666" s="170"/>
    </row>
    <row r="8667" spans="1:14" s="464" customFormat="1">
      <c r="A8667" s="1264"/>
      <c r="B8667" s="669" t="s">
        <v>85</v>
      </c>
      <c r="C8667" s="465" t="s">
        <v>1990</v>
      </c>
      <c r="D8667" s="444"/>
      <c r="E8667" s="345"/>
      <c r="F8667" s="1356"/>
      <c r="G8667" s="1356"/>
      <c r="H8667" s="1356"/>
      <c r="I8667" s="1170" t="str">
        <f t="shared" ref="I8667" si="320">IF(D8667&lt;&gt;0,ROUND(PRODUCT(E8667:H8667)*D8667,2),"")</f>
        <v/>
      </c>
      <c r="J8667" s="1028">
        <f>SUM(I8666:I8667)</f>
        <v>0</v>
      </c>
      <c r="K8667" s="1258"/>
      <c r="L8667" s="463"/>
      <c r="M8667" s="463"/>
      <c r="N8667" s="463"/>
    </row>
    <row r="8668" spans="1:14">
      <c r="A8668" s="1221"/>
      <c r="C8668" s="298"/>
      <c r="D8668" s="392"/>
      <c r="E8668" s="165"/>
      <c r="F8668" s="401"/>
      <c r="G8668" s="401"/>
      <c r="H8668" s="401"/>
      <c r="I8668" s="1182">
        <f t="shared" ref="I8668:I8788" si="321">PRODUCT(D8668:H8668)</f>
        <v>0</v>
      </c>
      <c r="J8668" s="1027"/>
      <c r="K8668" s="1222"/>
    </row>
    <row r="8669" spans="1:14" ht="34.5">
      <c r="A8669" s="1221">
        <v>1</v>
      </c>
      <c r="B8669" s="425" t="s">
        <v>1991</v>
      </c>
      <c r="C8669" s="298"/>
      <c r="D8669" s="392"/>
      <c r="E8669" s="165"/>
      <c r="F8669" s="401"/>
      <c r="G8669" s="401"/>
      <c r="H8669" s="401"/>
      <c r="I8669" s="1182">
        <f t="shared" si="321"/>
        <v>0</v>
      </c>
      <c r="J8669" s="1027"/>
      <c r="K8669" s="1222"/>
    </row>
    <row r="8670" spans="1:14" ht="34.5">
      <c r="A8670" s="1221"/>
      <c r="B8670" s="425" t="s">
        <v>1367</v>
      </c>
      <c r="C8670" s="298"/>
      <c r="D8670" s="392"/>
      <c r="E8670" s="165"/>
      <c r="F8670" s="401"/>
      <c r="G8670" s="401"/>
      <c r="H8670" s="401"/>
      <c r="I8670" s="1182">
        <f t="shared" si="321"/>
        <v>0</v>
      </c>
      <c r="J8670" s="1027"/>
      <c r="K8670" s="1222"/>
    </row>
    <row r="8671" spans="1:14">
      <c r="A8671" s="1221"/>
      <c r="B8671" s="425" t="s">
        <v>1368</v>
      </c>
      <c r="C8671" s="298" t="s">
        <v>1990</v>
      </c>
      <c r="D8671" s="392">
        <v>1</v>
      </c>
      <c r="E8671" s="165">
        <v>3</v>
      </c>
      <c r="F8671" s="401">
        <v>3.8220000000000001</v>
      </c>
      <c r="G8671" s="401"/>
      <c r="H8671" s="401"/>
      <c r="I8671" s="1163">
        <f t="shared" ref="I8671:I8734" si="322">IF(D8671&lt;&gt;0,ROUND(PRODUCT(E8671:H8671)*D8671,2),"")</f>
        <v>11.47</v>
      </c>
      <c r="J8671" s="1027"/>
      <c r="K8671" s="1222"/>
    </row>
    <row r="8672" spans="1:14">
      <c r="A8672" s="1221"/>
      <c r="B8672" s="425" t="s">
        <v>1369</v>
      </c>
      <c r="C8672" s="298" t="s">
        <v>1990</v>
      </c>
      <c r="D8672" s="392">
        <v>1</v>
      </c>
      <c r="E8672" s="165">
        <v>1</v>
      </c>
      <c r="F8672" s="401">
        <v>3.4710000000000001</v>
      </c>
      <c r="G8672" s="401"/>
      <c r="H8672" s="401"/>
      <c r="I8672" s="1163">
        <f t="shared" si="322"/>
        <v>3.47</v>
      </c>
      <c r="J8672" s="1027"/>
      <c r="K8672" s="1222"/>
    </row>
    <row r="8673" spans="1:11">
      <c r="A8673" s="1221"/>
      <c r="B8673" s="425" t="s">
        <v>1370</v>
      </c>
      <c r="C8673" s="298" t="s">
        <v>1990</v>
      </c>
      <c r="D8673" s="392">
        <v>1</v>
      </c>
      <c r="E8673" s="165">
        <v>3</v>
      </c>
      <c r="F8673" s="401">
        <v>2.794</v>
      </c>
      <c r="G8673" s="401"/>
      <c r="H8673" s="401"/>
      <c r="I8673" s="1163">
        <f t="shared" si="322"/>
        <v>8.3800000000000008</v>
      </c>
      <c r="J8673" s="1027"/>
      <c r="K8673" s="1222"/>
    </row>
    <row r="8674" spans="1:11" ht="34.5">
      <c r="A8674" s="1221"/>
      <c r="B8674" s="425" t="s">
        <v>1371</v>
      </c>
      <c r="C8674" s="298"/>
      <c r="D8674" s="392"/>
      <c r="E8674" s="165"/>
      <c r="F8674" s="401"/>
      <c r="G8674" s="401"/>
      <c r="H8674" s="401"/>
      <c r="I8674" s="1163" t="str">
        <f t="shared" si="322"/>
        <v/>
      </c>
      <c r="J8674" s="1027"/>
      <c r="K8674" s="1222"/>
    </row>
    <row r="8675" spans="1:11">
      <c r="A8675" s="1221"/>
      <c r="B8675" s="425" t="s">
        <v>1368</v>
      </c>
      <c r="C8675" s="298" t="s">
        <v>1990</v>
      </c>
      <c r="D8675" s="392">
        <v>1</v>
      </c>
      <c r="E8675" s="165">
        <v>3</v>
      </c>
      <c r="F8675" s="401">
        <v>3.8220000000000001</v>
      </c>
      <c r="G8675" s="401"/>
      <c r="H8675" s="401"/>
      <c r="I8675" s="1163">
        <f t="shared" si="322"/>
        <v>11.47</v>
      </c>
      <c r="J8675" s="1027"/>
      <c r="K8675" s="1222"/>
    </row>
    <row r="8676" spans="1:11">
      <c r="A8676" s="1221"/>
      <c r="B8676" s="425" t="s">
        <v>1369</v>
      </c>
      <c r="C8676" s="298" t="s">
        <v>1990</v>
      </c>
      <c r="D8676" s="392">
        <v>1</v>
      </c>
      <c r="E8676" s="165">
        <v>1</v>
      </c>
      <c r="F8676" s="401">
        <v>3.4710000000000001</v>
      </c>
      <c r="G8676" s="401"/>
      <c r="H8676" s="401"/>
      <c r="I8676" s="1163">
        <f t="shared" si="322"/>
        <v>3.47</v>
      </c>
      <c r="J8676" s="1027"/>
      <c r="K8676" s="1222"/>
    </row>
    <row r="8677" spans="1:11">
      <c r="A8677" s="1221"/>
      <c r="B8677" s="425" t="s">
        <v>1370</v>
      </c>
      <c r="C8677" s="298" t="s">
        <v>1990</v>
      </c>
      <c r="D8677" s="392">
        <v>1</v>
      </c>
      <c r="E8677" s="165">
        <v>3</v>
      </c>
      <c r="F8677" s="401">
        <v>2.794</v>
      </c>
      <c r="G8677" s="401"/>
      <c r="H8677" s="401"/>
      <c r="I8677" s="1163">
        <f t="shared" si="322"/>
        <v>8.3800000000000008</v>
      </c>
      <c r="J8677" s="1027"/>
      <c r="K8677" s="1222"/>
    </row>
    <row r="8678" spans="1:11">
      <c r="A8678" s="1221"/>
      <c r="B8678" s="425" t="s">
        <v>1372</v>
      </c>
      <c r="C8678" s="298" t="s">
        <v>1990</v>
      </c>
      <c r="D8678" s="392">
        <v>1</v>
      </c>
      <c r="E8678" s="165">
        <v>2</v>
      </c>
      <c r="F8678" s="401">
        <v>0.3</v>
      </c>
      <c r="G8678" s="401"/>
      <c r="H8678" s="401"/>
      <c r="I8678" s="1163">
        <f t="shared" si="322"/>
        <v>0.6</v>
      </c>
      <c r="J8678" s="1027"/>
      <c r="K8678" s="1222"/>
    </row>
    <row r="8679" spans="1:11">
      <c r="A8679" s="1221"/>
      <c r="C8679" s="298" t="s">
        <v>1990</v>
      </c>
      <c r="D8679" s="392">
        <v>1</v>
      </c>
      <c r="E8679" s="165">
        <v>2</v>
      </c>
      <c r="F8679" s="401">
        <v>0.9</v>
      </c>
      <c r="G8679" s="401"/>
      <c r="H8679" s="401"/>
      <c r="I8679" s="1163">
        <f t="shared" si="322"/>
        <v>1.8</v>
      </c>
      <c r="J8679" s="1027"/>
      <c r="K8679" s="1222"/>
    </row>
    <row r="8680" spans="1:11">
      <c r="A8680" s="1221"/>
      <c r="C8680" s="298"/>
      <c r="D8680" s="392"/>
      <c r="E8680" s="165"/>
      <c r="F8680" s="401"/>
      <c r="G8680" s="401"/>
      <c r="H8680" s="401"/>
      <c r="I8680" s="1163" t="str">
        <f t="shared" si="322"/>
        <v/>
      </c>
      <c r="J8680" s="1027"/>
      <c r="K8680" s="1222"/>
    </row>
    <row r="8681" spans="1:11">
      <c r="A8681" s="1221"/>
      <c r="B8681" s="425" t="s">
        <v>1992</v>
      </c>
      <c r="C8681" s="298" t="s">
        <v>1990</v>
      </c>
      <c r="D8681" s="392">
        <v>1</v>
      </c>
      <c r="E8681" s="165">
        <v>47</v>
      </c>
      <c r="F8681" s="401">
        <v>5.9</v>
      </c>
      <c r="G8681" s="401"/>
      <c r="H8681" s="401"/>
      <c r="I8681" s="1163">
        <f t="shared" si="322"/>
        <v>277.3</v>
      </c>
      <c r="J8681" s="1027"/>
      <c r="K8681" s="1222"/>
    </row>
    <row r="8682" spans="1:11">
      <c r="A8682" s="1221"/>
      <c r="C8682" s="298"/>
      <c r="D8682" s="392"/>
      <c r="E8682" s="165"/>
      <c r="F8682" s="401"/>
      <c r="G8682" s="401"/>
      <c r="H8682" s="401"/>
      <c r="I8682" s="1163" t="str">
        <f t="shared" si="322"/>
        <v/>
      </c>
      <c r="J8682" s="1027"/>
      <c r="K8682" s="1222"/>
    </row>
    <row r="8683" spans="1:11" ht="51.75">
      <c r="A8683" s="1221">
        <v>2</v>
      </c>
      <c r="B8683" s="425" t="s">
        <v>1993</v>
      </c>
      <c r="C8683" s="298"/>
      <c r="D8683" s="392"/>
      <c r="E8683" s="165"/>
      <c r="F8683" s="401"/>
      <c r="G8683" s="401"/>
      <c r="H8683" s="401"/>
      <c r="I8683" s="1163" t="str">
        <f t="shared" si="322"/>
        <v/>
      </c>
      <c r="J8683" s="1027"/>
      <c r="K8683" s="1222"/>
    </row>
    <row r="8684" spans="1:11">
      <c r="A8684" s="1221" t="s">
        <v>457</v>
      </c>
      <c r="B8684" s="425" t="s">
        <v>1994</v>
      </c>
      <c r="C8684" s="298"/>
      <c r="D8684" s="392"/>
      <c r="E8684" s="165"/>
      <c r="F8684" s="401"/>
      <c r="G8684" s="401"/>
      <c r="H8684" s="401"/>
      <c r="I8684" s="1163" t="str">
        <f t="shared" si="322"/>
        <v/>
      </c>
      <c r="J8684" s="1027"/>
      <c r="K8684" s="1222"/>
    </row>
    <row r="8685" spans="1:11" ht="34.5">
      <c r="A8685" s="1221"/>
      <c r="B8685" s="425" t="s">
        <v>1995</v>
      </c>
      <c r="C8685" s="298" t="s">
        <v>1990</v>
      </c>
      <c r="D8685" s="392">
        <v>6</v>
      </c>
      <c r="E8685" s="165">
        <v>2</v>
      </c>
      <c r="F8685" s="401">
        <v>3</v>
      </c>
      <c r="G8685" s="401"/>
      <c r="H8685" s="401"/>
      <c r="I8685" s="1163">
        <f t="shared" si="322"/>
        <v>36</v>
      </c>
      <c r="J8685" s="1027"/>
      <c r="K8685" s="1222"/>
    </row>
    <row r="8686" spans="1:11">
      <c r="A8686" s="1221"/>
      <c r="C8686" s="298" t="s">
        <v>1990</v>
      </c>
      <c r="D8686" s="392">
        <v>6</v>
      </c>
      <c r="E8686" s="165">
        <v>2</v>
      </c>
      <c r="F8686" s="401">
        <v>0.5</v>
      </c>
      <c r="G8686" s="401"/>
      <c r="H8686" s="401"/>
      <c r="I8686" s="1163">
        <f t="shared" si="322"/>
        <v>6</v>
      </c>
      <c r="J8686" s="1027"/>
      <c r="K8686" s="1222"/>
    </row>
    <row r="8687" spans="1:11">
      <c r="A8687" s="1221"/>
      <c r="B8687" s="425" t="s">
        <v>1996</v>
      </c>
      <c r="C8687" s="298" t="s">
        <v>1990</v>
      </c>
      <c r="D8687" s="392">
        <v>6</v>
      </c>
      <c r="E8687" s="165">
        <v>4</v>
      </c>
      <c r="F8687" s="401"/>
      <c r="G8687" s="401"/>
      <c r="H8687" s="401">
        <v>0.33500000000000002</v>
      </c>
      <c r="I8687" s="1163">
        <f t="shared" si="322"/>
        <v>8.0399999999999991</v>
      </c>
      <c r="J8687" s="1027"/>
      <c r="K8687" s="1222"/>
    </row>
    <row r="8688" spans="1:11">
      <c r="A8688" s="1221" t="s">
        <v>459</v>
      </c>
      <c r="B8688" s="425" t="s">
        <v>1354</v>
      </c>
      <c r="C8688" s="298"/>
      <c r="D8688" s="392"/>
      <c r="E8688" s="165"/>
      <c r="F8688" s="401"/>
      <c r="G8688" s="401"/>
      <c r="H8688" s="401"/>
      <c r="I8688" s="1163" t="str">
        <f t="shared" si="322"/>
        <v/>
      </c>
      <c r="J8688" s="1027"/>
      <c r="K8688" s="1222"/>
    </row>
    <row r="8689" spans="1:11">
      <c r="A8689" s="1221"/>
      <c r="B8689" s="425" t="s">
        <v>1513</v>
      </c>
      <c r="C8689" s="298" t="s">
        <v>1990</v>
      </c>
      <c r="D8689" s="392">
        <v>7</v>
      </c>
      <c r="E8689" s="165">
        <v>2</v>
      </c>
      <c r="F8689" s="401">
        <v>3</v>
      </c>
      <c r="G8689" s="401"/>
      <c r="H8689" s="401"/>
      <c r="I8689" s="1163">
        <f t="shared" si="322"/>
        <v>42</v>
      </c>
      <c r="J8689" s="1027"/>
      <c r="K8689" s="1222"/>
    </row>
    <row r="8690" spans="1:11">
      <c r="A8690" s="1221"/>
      <c r="C8690" s="298" t="s">
        <v>1990</v>
      </c>
      <c r="D8690" s="392">
        <v>7</v>
      </c>
      <c r="E8690" s="165">
        <v>2</v>
      </c>
      <c r="F8690" s="401">
        <v>0.5</v>
      </c>
      <c r="G8690" s="401"/>
      <c r="H8690" s="401"/>
      <c r="I8690" s="1163">
        <f t="shared" si="322"/>
        <v>7</v>
      </c>
      <c r="J8690" s="1027"/>
      <c r="K8690" s="1222"/>
    </row>
    <row r="8691" spans="1:11">
      <c r="A8691" s="1221"/>
      <c r="B8691" s="425" t="s">
        <v>1996</v>
      </c>
      <c r="C8691" s="298" t="s">
        <v>1990</v>
      </c>
      <c r="D8691" s="392">
        <v>7</v>
      </c>
      <c r="E8691" s="165">
        <v>4</v>
      </c>
      <c r="F8691" s="401"/>
      <c r="G8691" s="401"/>
      <c r="H8691" s="401">
        <v>0.33500000000000002</v>
      </c>
      <c r="I8691" s="1163">
        <f t="shared" si="322"/>
        <v>9.3800000000000008</v>
      </c>
      <c r="J8691" s="1027"/>
      <c r="K8691" s="1222"/>
    </row>
    <row r="8692" spans="1:11">
      <c r="A8692" s="1221" t="s">
        <v>1511</v>
      </c>
      <c r="B8692" s="425" t="s">
        <v>1355</v>
      </c>
      <c r="C8692" s="298"/>
      <c r="D8692" s="392"/>
      <c r="E8692" s="165"/>
      <c r="F8692" s="401"/>
      <c r="G8692" s="401"/>
      <c r="H8692" s="401"/>
      <c r="I8692" s="1163" t="str">
        <f t="shared" si="322"/>
        <v/>
      </c>
      <c r="J8692" s="1027"/>
      <c r="K8692" s="1222"/>
    </row>
    <row r="8693" spans="1:11">
      <c r="A8693" s="1221"/>
      <c r="B8693" s="425" t="s">
        <v>1513</v>
      </c>
      <c r="C8693" s="298" t="s">
        <v>1990</v>
      </c>
      <c r="D8693" s="392">
        <v>6</v>
      </c>
      <c r="E8693" s="165">
        <v>2</v>
      </c>
      <c r="F8693" s="401">
        <v>3</v>
      </c>
      <c r="G8693" s="401"/>
      <c r="H8693" s="401"/>
      <c r="I8693" s="1163">
        <f t="shared" si="322"/>
        <v>36</v>
      </c>
      <c r="J8693" s="1027"/>
      <c r="K8693" s="1222"/>
    </row>
    <row r="8694" spans="1:11">
      <c r="A8694" s="1221"/>
      <c r="C8694" s="298" t="s">
        <v>1990</v>
      </c>
      <c r="D8694" s="392">
        <v>6</v>
      </c>
      <c r="E8694" s="165">
        <v>2</v>
      </c>
      <c r="F8694" s="401">
        <v>0.5</v>
      </c>
      <c r="G8694" s="401"/>
      <c r="H8694" s="401"/>
      <c r="I8694" s="1163">
        <f t="shared" si="322"/>
        <v>6</v>
      </c>
      <c r="J8694" s="1027"/>
      <c r="K8694" s="1222"/>
    </row>
    <row r="8695" spans="1:11">
      <c r="A8695" s="1221"/>
      <c r="B8695" s="425" t="s">
        <v>1996</v>
      </c>
      <c r="C8695" s="298" t="s">
        <v>1990</v>
      </c>
      <c r="D8695" s="392">
        <v>6</v>
      </c>
      <c r="E8695" s="165">
        <v>4</v>
      </c>
      <c r="F8695" s="401"/>
      <c r="G8695" s="401"/>
      <c r="H8695" s="401">
        <v>0.33500000000000002</v>
      </c>
      <c r="I8695" s="1163">
        <f t="shared" si="322"/>
        <v>8.0399999999999991</v>
      </c>
      <c r="J8695" s="1027"/>
      <c r="K8695" s="1222"/>
    </row>
    <row r="8696" spans="1:11">
      <c r="A8696" s="1221" t="s">
        <v>1515</v>
      </c>
      <c r="B8696" s="425" t="s">
        <v>1356</v>
      </c>
      <c r="C8696" s="298"/>
      <c r="D8696" s="392"/>
      <c r="E8696" s="165"/>
      <c r="F8696" s="401"/>
      <c r="G8696" s="401"/>
      <c r="H8696" s="401"/>
      <c r="I8696" s="1163" t="str">
        <f t="shared" si="322"/>
        <v/>
      </c>
      <c r="J8696" s="1027"/>
      <c r="K8696" s="1222"/>
    </row>
    <row r="8697" spans="1:11">
      <c r="A8697" s="1221"/>
      <c r="B8697" s="425" t="s">
        <v>1513</v>
      </c>
      <c r="C8697" s="298" t="s">
        <v>1990</v>
      </c>
      <c r="D8697" s="392">
        <v>4</v>
      </c>
      <c r="E8697" s="165">
        <v>2</v>
      </c>
      <c r="F8697" s="401">
        <v>3</v>
      </c>
      <c r="G8697" s="401"/>
      <c r="H8697" s="401"/>
      <c r="I8697" s="1163">
        <f t="shared" si="322"/>
        <v>24</v>
      </c>
      <c r="J8697" s="1027"/>
      <c r="K8697" s="1222"/>
    </row>
    <row r="8698" spans="1:11">
      <c r="A8698" s="1221"/>
      <c r="C8698" s="298" t="s">
        <v>1990</v>
      </c>
      <c r="D8698" s="392">
        <v>4</v>
      </c>
      <c r="E8698" s="165">
        <v>2</v>
      </c>
      <c r="F8698" s="401">
        <v>0.5</v>
      </c>
      <c r="G8698" s="401"/>
      <c r="H8698" s="401"/>
      <c r="I8698" s="1163">
        <f t="shared" si="322"/>
        <v>4</v>
      </c>
      <c r="J8698" s="1027"/>
      <c r="K8698" s="1222"/>
    </row>
    <row r="8699" spans="1:11">
      <c r="A8699" s="1221"/>
      <c r="B8699" s="425" t="s">
        <v>1996</v>
      </c>
      <c r="C8699" s="298" t="s">
        <v>1990</v>
      </c>
      <c r="D8699" s="392">
        <v>4</v>
      </c>
      <c r="E8699" s="165">
        <v>4</v>
      </c>
      <c r="F8699" s="401"/>
      <c r="G8699" s="401"/>
      <c r="H8699" s="401">
        <v>0.33500000000000002</v>
      </c>
      <c r="I8699" s="1163">
        <f t="shared" si="322"/>
        <v>5.36</v>
      </c>
      <c r="J8699" s="1027"/>
      <c r="K8699" s="1222"/>
    </row>
    <row r="8700" spans="1:11">
      <c r="A8700" s="1221" t="s">
        <v>1518</v>
      </c>
      <c r="B8700" s="425" t="s">
        <v>1797</v>
      </c>
      <c r="C8700" s="298"/>
      <c r="D8700" s="392"/>
      <c r="E8700" s="165"/>
      <c r="F8700" s="401"/>
      <c r="G8700" s="401"/>
      <c r="H8700" s="401"/>
      <c r="I8700" s="1163" t="str">
        <f t="shared" si="322"/>
        <v/>
      </c>
      <c r="J8700" s="1027"/>
      <c r="K8700" s="1222"/>
    </row>
    <row r="8701" spans="1:11">
      <c r="A8701" s="1221"/>
      <c r="B8701" s="425" t="s">
        <v>1513</v>
      </c>
      <c r="C8701" s="298" t="s">
        <v>1990</v>
      </c>
      <c r="D8701" s="392">
        <v>2</v>
      </c>
      <c r="E8701" s="165">
        <v>2</v>
      </c>
      <c r="F8701" s="401">
        <v>3</v>
      </c>
      <c r="G8701" s="401"/>
      <c r="H8701" s="401"/>
      <c r="I8701" s="1163">
        <f t="shared" si="322"/>
        <v>12</v>
      </c>
      <c r="J8701" s="1027"/>
      <c r="K8701" s="1222"/>
    </row>
    <row r="8702" spans="1:11">
      <c r="A8702" s="1221"/>
      <c r="C8702" s="298" t="s">
        <v>1990</v>
      </c>
      <c r="D8702" s="392">
        <v>2</v>
      </c>
      <c r="E8702" s="165">
        <v>2</v>
      </c>
      <c r="F8702" s="401">
        <v>0.5</v>
      </c>
      <c r="G8702" s="401"/>
      <c r="H8702" s="401"/>
      <c r="I8702" s="1163">
        <f t="shared" si="322"/>
        <v>2</v>
      </c>
      <c r="J8702" s="1027"/>
      <c r="K8702" s="1222"/>
    </row>
    <row r="8703" spans="1:11">
      <c r="A8703" s="1221"/>
      <c r="B8703" s="425" t="s">
        <v>1996</v>
      </c>
      <c r="C8703" s="298" t="s">
        <v>1990</v>
      </c>
      <c r="D8703" s="392">
        <v>2</v>
      </c>
      <c r="E8703" s="165">
        <v>4</v>
      </c>
      <c r="F8703" s="401"/>
      <c r="G8703" s="401"/>
      <c r="H8703" s="401">
        <v>0.33500000000000002</v>
      </c>
      <c r="I8703" s="1163">
        <f t="shared" si="322"/>
        <v>2.68</v>
      </c>
      <c r="J8703" s="1027"/>
      <c r="K8703" s="1222"/>
    </row>
    <row r="8704" spans="1:11">
      <c r="A8704" s="1221" t="s">
        <v>1530</v>
      </c>
      <c r="B8704" s="425" t="s">
        <v>1798</v>
      </c>
      <c r="C8704" s="298"/>
      <c r="D8704" s="392"/>
      <c r="E8704" s="165"/>
      <c r="F8704" s="401"/>
      <c r="G8704" s="401"/>
      <c r="H8704" s="401"/>
      <c r="I8704" s="1163" t="str">
        <f t="shared" si="322"/>
        <v/>
      </c>
      <c r="J8704" s="1027"/>
      <c r="K8704" s="1222"/>
    </row>
    <row r="8705" spans="1:11">
      <c r="A8705" s="1221"/>
      <c r="B8705" s="425" t="s">
        <v>1513</v>
      </c>
      <c r="C8705" s="298" t="s">
        <v>1990</v>
      </c>
      <c r="D8705" s="392">
        <v>8</v>
      </c>
      <c r="E8705" s="165">
        <v>2</v>
      </c>
      <c r="F8705" s="401">
        <v>3</v>
      </c>
      <c r="G8705" s="401"/>
      <c r="H8705" s="401"/>
      <c r="I8705" s="1163">
        <f t="shared" si="322"/>
        <v>48</v>
      </c>
      <c r="J8705" s="1027"/>
      <c r="K8705" s="1222"/>
    </row>
    <row r="8706" spans="1:11">
      <c r="A8706" s="1221"/>
      <c r="C8706" s="298" t="s">
        <v>1990</v>
      </c>
      <c r="D8706" s="392">
        <v>8</v>
      </c>
      <c r="E8706" s="165">
        <v>2</v>
      </c>
      <c r="F8706" s="401">
        <v>0.5</v>
      </c>
      <c r="G8706" s="401"/>
      <c r="H8706" s="401"/>
      <c r="I8706" s="1163">
        <f t="shared" si="322"/>
        <v>8</v>
      </c>
      <c r="J8706" s="1027"/>
      <c r="K8706" s="1222"/>
    </row>
    <row r="8707" spans="1:11">
      <c r="A8707" s="1221"/>
      <c r="B8707" s="425" t="s">
        <v>1996</v>
      </c>
      <c r="C8707" s="298" t="s">
        <v>1990</v>
      </c>
      <c r="D8707" s="392">
        <v>8</v>
      </c>
      <c r="E8707" s="165">
        <v>4</v>
      </c>
      <c r="F8707" s="401"/>
      <c r="G8707" s="401"/>
      <c r="H8707" s="401">
        <v>0.33500000000000002</v>
      </c>
      <c r="I8707" s="1163">
        <f t="shared" si="322"/>
        <v>10.72</v>
      </c>
      <c r="J8707" s="1027"/>
      <c r="K8707" s="1222"/>
    </row>
    <row r="8708" spans="1:11">
      <c r="A8708" s="1221" t="s">
        <v>1799</v>
      </c>
      <c r="B8708" s="425" t="s">
        <v>1357</v>
      </c>
      <c r="C8708" s="298"/>
      <c r="D8708" s="392"/>
      <c r="E8708" s="165"/>
      <c r="F8708" s="401"/>
      <c r="G8708" s="401"/>
      <c r="H8708" s="401"/>
      <c r="I8708" s="1163" t="str">
        <f t="shared" si="322"/>
        <v/>
      </c>
      <c r="J8708" s="1027"/>
      <c r="K8708" s="1222"/>
    </row>
    <row r="8709" spans="1:11">
      <c r="A8709" s="1221"/>
      <c r="B8709" s="425" t="s">
        <v>1513</v>
      </c>
      <c r="C8709" s="298" t="s">
        <v>1990</v>
      </c>
      <c r="D8709" s="392">
        <v>4</v>
      </c>
      <c r="E8709" s="165">
        <v>2</v>
      </c>
      <c r="F8709" s="401">
        <v>3</v>
      </c>
      <c r="G8709" s="401"/>
      <c r="H8709" s="401"/>
      <c r="I8709" s="1163">
        <f t="shared" si="322"/>
        <v>24</v>
      </c>
      <c r="J8709" s="1027"/>
      <c r="K8709" s="1222"/>
    </row>
    <row r="8710" spans="1:11">
      <c r="A8710" s="1221"/>
      <c r="C8710" s="298" t="s">
        <v>1990</v>
      </c>
      <c r="D8710" s="392">
        <v>4</v>
      </c>
      <c r="E8710" s="165">
        <v>2</v>
      </c>
      <c r="F8710" s="401">
        <v>0.5</v>
      </c>
      <c r="G8710" s="401"/>
      <c r="H8710" s="401"/>
      <c r="I8710" s="1163">
        <f t="shared" si="322"/>
        <v>4</v>
      </c>
      <c r="J8710" s="1027"/>
      <c r="K8710" s="1222"/>
    </row>
    <row r="8711" spans="1:11">
      <c r="A8711" s="1221"/>
      <c r="B8711" s="425" t="s">
        <v>1996</v>
      </c>
      <c r="C8711" s="298" t="s">
        <v>1990</v>
      </c>
      <c r="D8711" s="392">
        <v>4</v>
      </c>
      <c r="E8711" s="165">
        <v>4</v>
      </c>
      <c r="F8711" s="401"/>
      <c r="G8711" s="401"/>
      <c r="H8711" s="401">
        <v>0.33500000000000002</v>
      </c>
      <c r="I8711" s="1163">
        <f t="shared" si="322"/>
        <v>5.36</v>
      </c>
      <c r="J8711" s="1027"/>
      <c r="K8711" s="1222"/>
    </row>
    <row r="8712" spans="1:11" ht="34.5">
      <c r="A8712" s="1221" t="s">
        <v>1800</v>
      </c>
      <c r="B8712" s="425" t="s">
        <v>1358</v>
      </c>
      <c r="C8712" s="298"/>
      <c r="D8712" s="392"/>
      <c r="E8712" s="165"/>
      <c r="F8712" s="401"/>
      <c r="G8712" s="401"/>
      <c r="H8712" s="401"/>
      <c r="I8712" s="1163" t="str">
        <f t="shared" si="322"/>
        <v/>
      </c>
      <c r="J8712" s="1027"/>
      <c r="K8712" s="1222"/>
    </row>
    <row r="8713" spans="1:11">
      <c r="A8713" s="1221"/>
      <c r="B8713" s="425" t="s">
        <v>1513</v>
      </c>
      <c r="C8713" s="298" t="s">
        <v>1990</v>
      </c>
      <c r="D8713" s="392">
        <v>8</v>
      </c>
      <c r="E8713" s="165">
        <v>2</v>
      </c>
      <c r="F8713" s="401">
        <v>3</v>
      </c>
      <c r="G8713" s="401"/>
      <c r="H8713" s="401"/>
      <c r="I8713" s="1163">
        <f t="shared" si="322"/>
        <v>48</v>
      </c>
      <c r="J8713" s="1027"/>
      <c r="K8713" s="1222"/>
    </row>
    <row r="8714" spans="1:11">
      <c r="A8714" s="1221"/>
      <c r="C8714" s="298" t="s">
        <v>1990</v>
      </c>
      <c r="D8714" s="392">
        <v>8</v>
      </c>
      <c r="E8714" s="165">
        <v>2</v>
      </c>
      <c r="F8714" s="401">
        <v>0.5</v>
      </c>
      <c r="G8714" s="401"/>
      <c r="H8714" s="401"/>
      <c r="I8714" s="1163">
        <f t="shared" si="322"/>
        <v>8</v>
      </c>
      <c r="J8714" s="1027"/>
      <c r="K8714" s="1222"/>
    </row>
    <row r="8715" spans="1:11">
      <c r="A8715" s="1221"/>
      <c r="B8715" s="425" t="s">
        <v>1996</v>
      </c>
      <c r="C8715" s="298" t="s">
        <v>1990</v>
      </c>
      <c r="D8715" s="392">
        <v>8</v>
      </c>
      <c r="E8715" s="165">
        <v>4</v>
      </c>
      <c r="F8715" s="401"/>
      <c r="G8715" s="401"/>
      <c r="H8715" s="401">
        <v>0.33500000000000002</v>
      </c>
      <c r="I8715" s="1163">
        <f t="shared" si="322"/>
        <v>10.72</v>
      </c>
      <c r="J8715" s="1027"/>
      <c r="K8715" s="1222"/>
    </row>
    <row r="8716" spans="1:11" ht="34.5">
      <c r="A8716" s="1221" t="s">
        <v>1801</v>
      </c>
      <c r="B8716" s="425" t="s">
        <v>1359</v>
      </c>
      <c r="C8716" s="298"/>
      <c r="D8716" s="392"/>
      <c r="E8716" s="165"/>
      <c r="F8716" s="401"/>
      <c r="G8716" s="401"/>
      <c r="H8716" s="401"/>
      <c r="I8716" s="1163" t="str">
        <f t="shared" si="322"/>
        <v/>
      </c>
      <c r="J8716" s="1027"/>
      <c r="K8716" s="1222"/>
    </row>
    <row r="8717" spans="1:11">
      <c r="A8717" s="1221"/>
      <c r="B8717" s="425" t="s">
        <v>1513</v>
      </c>
      <c r="C8717" s="298" t="s">
        <v>1990</v>
      </c>
      <c r="D8717" s="392">
        <v>4</v>
      </c>
      <c r="E8717" s="165">
        <v>2</v>
      </c>
      <c r="F8717" s="401">
        <v>3</v>
      </c>
      <c r="G8717" s="401"/>
      <c r="H8717" s="401"/>
      <c r="I8717" s="1163">
        <f t="shared" si="322"/>
        <v>24</v>
      </c>
      <c r="J8717" s="1027"/>
      <c r="K8717" s="1222"/>
    </row>
    <row r="8718" spans="1:11">
      <c r="A8718" s="1221"/>
      <c r="C8718" s="298" t="s">
        <v>1990</v>
      </c>
      <c r="D8718" s="392">
        <v>4</v>
      </c>
      <c r="E8718" s="165">
        <v>2</v>
      </c>
      <c r="F8718" s="401">
        <v>0.5</v>
      </c>
      <c r="G8718" s="401"/>
      <c r="H8718" s="401"/>
      <c r="I8718" s="1163">
        <f t="shared" si="322"/>
        <v>4</v>
      </c>
      <c r="J8718" s="1027"/>
      <c r="K8718" s="1222"/>
    </row>
    <row r="8719" spans="1:11">
      <c r="A8719" s="1221"/>
      <c r="B8719" s="425" t="s">
        <v>1996</v>
      </c>
      <c r="C8719" s="298" t="s">
        <v>1990</v>
      </c>
      <c r="D8719" s="392">
        <v>4</v>
      </c>
      <c r="E8719" s="165">
        <v>4</v>
      </c>
      <c r="F8719" s="401"/>
      <c r="G8719" s="401"/>
      <c r="H8719" s="401">
        <v>0.33500000000000002</v>
      </c>
      <c r="I8719" s="1163">
        <f t="shared" si="322"/>
        <v>5.36</v>
      </c>
      <c r="J8719" s="1027"/>
      <c r="K8719" s="1222"/>
    </row>
    <row r="8720" spans="1:11" ht="34.5">
      <c r="A8720" s="1221" t="s">
        <v>1802</v>
      </c>
      <c r="B8720" s="425" t="s">
        <v>1803</v>
      </c>
      <c r="C8720" s="298"/>
      <c r="D8720" s="392"/>
      <c r="E8720" s="165"/>
      <c r="F8720" s="401"/>
      <c r="G8720" s="401"/>
      <c r="H8720" s="401"/>
      <c r="I8720" s="1163" t="str">
        <f t="shared" si="322"/>
        <v/>
      </c>
      <c r="J8720" s="1027"/>
      <c r="K8720" s="1222"/>
    </row>
    <row r="8721" spans="1:11">
      <c r="A8721" s="1221"/>
      <c r="B8721" s="425" t="s">
        <v>1513</v>
      </c>
      <c r="C8721" s="298" t="s">
        <v>1990</v>
      </c>
      <c r="D8721" s="392">
        <v>3</v>
      </c>
      <c r="E8721" s="165">
        <v>2</v>
      </c>
      <c r="F8721" s="401">
        <v>3</v>
      </c>
      <c r="G8721" s="401"/>
      <c r="H8721" s="401"/>
      <c r="I8721" s="1163">
        <f t="shared" si="322"/>
        <v>18</v>
      </c>
      <c r="J8721" s="1027"/>
      <c r="K8721" s="1222"/>
    </row>
    <row r="8722" spans="1:11">
      <c r="A8722" s="1221"/>
      <c r="C8722" s="298" t="s">
        <v>1990</v>
      </c>
      <c r="D8722" s="392">
        <v>3</v>
      </c>
      <c r="E8722" s="165">
        <v>2</v>
      </c>
      <c r="F8722" s="401">
        <v>0.5</v>
      </c>
      <c r="G8722" s="401"/>
      <c r="H8722" s="401"/>
      <c r="I8722" s="1163">
        <f t="shared" si="322"/>
        <v>3</v>
      </c>
      <c r="J8722" s="1027"/>
      <c r="K8722" s="1222"/>
    </row>
    <row r="8723" spans="1:11">
      <c r="A8723" s="1221"/>
      <c r="B8723" s="425" t="s">
        <v>1996</v>
      </c>
      <c r="C8723" s="298" t="s">
        <v>1990</v>
      </c>
      <c r="D8723" s="392">
        <v>3</v>
      </c>
      <c r="E8723" s="165">
        <v>4</v>
      </c>
      <c r="F8723" s="401"/>
      <c r="G8723" s="401"/>
      <c r="H8723" s="401">
        <v>0.33500000000000002</v>
      </c>
      <c r="I8723" s="1163">
        <f t="shared" si="322"/>
        <v>4.0199999999999996</v>
      </c>
      <c r="J8723" s="1027"/>
      <c r="K8723" s="1222"/>
    </row>
    <row r="8724" spans="1:11" ht="51.75">
      <c r="A8724" s="1221" t="s">
        <v>1804</v>
      </c>
      <c r="B8724" s="425" t="s">
        <v>1805</v>
      </c>
      <c r="C8724" s="298"/>
      <c r="D8724" s="392"/>
      <c r="E8724" s="165"/>
      <c r="F8724" s="401"/>
      <c r="G8724" s="401"/>
      <c r="H8724" s="401"/>
      <c r="I8724" s="1163" t="str">
        <f t="shared" si="322"/>
        <v/>
      </c>
      <c r="J8724" s="1027"/>
      <c r="K8724" s="1222"/>
    </row>
    <row r="8725" spans="1:11">
      <c r="A8725" s="1221"/>
      <c r="B8725" s="425" t="s">
        <v>1513</v>
      </c>
      <c r="C8725" s="298" t="s">
        <v>1990</v>
      </c>
      <c r="D8725" s="392">
        <v>11</v>
      </c>
      <c r="E8725" s="165">
        <v>2</v>
      </c>
      <c r="F8725" s="401">
        <v>3</v>
      </c>
      <c r="G8725" s="401"/>
      <c r="H8725" s="401"/>
      <c r="I8725" s="1163">
        <f t="shared" si="322"/>
        <v>66</v>
      </c>
      <c r="J8725" s="1027"/>
      <c r="K8725" s="1222"/>
    </row>
    <row r="8726" spans="1:11">
      <c r="A8726" s="1221"/>
      <c r="C8726" s="298" t="s">
        <v>1990</v>
      </c>
      <c r="D8726" s="392">
        <v>11</v>
      </c>
      <c r="E8726" s="165">
        <v>2</v>
      </c>
      <c r="F8726" s="401">
        <v>0.5</v>
      </c>
      <c r="G8726" s="401"/>
      <c r="H8726" s="401"/>
      <c r="I8726" s="1163">
        <f t="shared" si="322"/>
        <v>11</v>
      </c>
      <c r="J8726" s="1027"/>
      <c r="K8726" s="1222"/>
    </row>
    <row r="8727" spans="1:11">
      <c r="A8727" s="1221"/>
      <c r="B8727" s="425" t="s">
        <v>1996</v>
      </c>
      <c r="C8727" s="298" t="s">
        <v>1990</v>
      </c>
      <c r="D8727" s="392">
        <v>11</v>
      </c>
      <c r="E8727" s="165">
        <v>4</v>
      </c>
      <c r="F8727" s="401"/>
      <c r="G8727" s="401"/>
      <c r="H8727" s="401">
        <v>0.33500000000000002</v>
      </c>
      <c r="I8727" s="1163">
        <f t="shared" si="322"/>
        <v>14.74</v>
      </c>
      <c r="J8727" s="1027"/>
      <c r="K8727" s="1222"/>
    </row>
    <row r="8728" spans="1:11">
      <c r="A8728" s="1221" t="s">
        <v>1806</v>
      </c>
      <c r="B8728" s="425" t="s">
        <v>1807</v>
      </c>
      <c r="C8728" s="298"/>
      <c r="D8728" s="392"/>
      <c r="E8728" s="165"/>
      <c r="F8728" s="401"/>
      <c r="G8728" s="401"/>
      <c r="H8728" s="401"/>
      <c r="I8728" s="1163" t="str">
        <f t="shared" si="322"/>
        <v/>
      </c>
      <c r="J8728" s="1027"/>
      <c r="K8728" s="1222"/>
    </row>
    <row r="8729" spans="1:11">
      <c r="A8729" s="1221"/>
      <c r="B8729" s="425" t="s">
        <v>1513</v>
      </c>
      <c r="C8729" s="298" t="s">
        <v>1990</v>
      </c>
      <c r="D8729" s="392">
        <v>4</v>
      </c>
      <c r="E8729" s="165">
        <v>2</v>
      </c>
      <c r="F8729" s="401">
        <v>3</v>
      </c>
      <c r="G8729" s="401"/>
      <c r="H8729" s="401"/>
      <c r="I8729" s="1163">
        <f t="shared" si="322"/>
        <v>24</v>
      </c>
      <c r="J8729" s="1027"/>
      <c r="K8729" s="1222"/>
    </row>
    <row r="8730" spans="1:11">
      <c r="A8730" s="1221"/>
      <c r="C8730" s="298" t="s">
        <v>1990</v>
      </c>
      <c r="D8730" s="392">
        <v>4</v>
      </c>
      <c r="E8730" s="165">
        <v>2</v>
      </c>
      <c r="F8730" s="401">
        <v>0.5</v>
      </c>
      <c r="G8730" s="401"/>
      <c r="H8730" s="401"/>
      <c r="I8730" s="1163">
        <f t="shared" si="322"/>
        <v>4</v>
      </c>
      <c r="J8730" s="1027"/>
      <c r="K8730" s="1222"/>
    </row>
    <row r="8731" spans="1:11">
      <c r="A8731" s="1221"/>
      <c r="B8731" s="425" t="s">
        <v>1996</v>
      </c>
      <c r="C8731" s="298" t="s">
        <v>1990</v>
      </c>
      <c r="D8731" s="392">
        <v>4</v>
      </c>
      <c r="E8731" s="165">
        <v>4</v>
      </c>
      <c r="F8731" s="401"/>
      <c r="G8731" s="401"/>
      <c r="H8731" s="401">
        <v>0.33500000000000002</v>
      </c>
      <c r="I8731" s="1163">
        <f t="shared" si="322"/>
        <v>5.36</v>
      </c>
      <c r="J8731" s="1027"/>
      <c r="K8731" s="1222"/>
    </row>
    <row r="8732" spans="1:11" ht="34.5">
      <c r="A8732" s="1221" t="s">
        <v>1808</v>
      </c>
      <c r="B8732" s="425" t="s">
        <v>1809</v>
      </c>
      <c r="C8732" s="298"/>
      <c r="D8732" s="392"/>
      <c r="E8732" s="165"/>
      <c r="F8732" s="401"/>
      <c r="G8732" s="401"/>
      <c r="H8732" s="401"/>
      <c r="I8732" s="1163" t="str">
        <f t="shared" si="322"/>
        <v/>
      </c>
      <c r="J8732" s="1027"/>
      <c r="K8732" s="1222"/>
    </row>
    <row r="8733" spans="1:11">
      <c r="A8733" s="1221"/>
      <c r="B8733" s="425" t="s">
        <v>1513</v>
      </c>
      <c r="C8733" s="298" t="s">
        <v>1990</v>
      </c>
      <c r="D8733" s="392">
        <v>12</v>
      </c>
      <c r="E8733" s="165">
        <v>2</v>
      </c>
      <c r="F8733" s="401">
        <v>3</v>
      </c>
      <c r="G8733" s="401"/>
      <c r="H8733" s="401"/>
      <c r="I8733" s="1163">
        <f t="shared" si="322"/>
        <v>72</v>
      </c>
      <c r="J8733" s="1027"/>
      <c r="K8733" s="1222"/>
    </row>
    <row r="8734" spans="1:11">
      <c r="A8734" s="1221"/>
      <c r="C8734" s="298" t="s">
        <v>1990</v>
      </c>
      <c r="D8734" s="392">
        <v>12</v>
      </c>
      <c r="E8734" s="165">
        <v>2</v>
      </c>
      <c r="F8734" s="401">
        <v>0.5</v>
      </c>
      <c r="G8734" s="401"/>
      <c r="H8734" s="401"/>
      <c r="I8734" s="1163">
        <f t="shared" si="322"/>
        <v>12</v>
      </c>
      <c r="J8734" s="1027"/>
      <c r="K8734" s="1222"/>
    </row>
    <row r="8735" spans="1:11">
      <c r="A8735" s="1221"/>
      <c r="B8735" s="425" t="s">
        <v>1996</v>
      </c>
      <c r="C8735" s="298" t="s">
        <v>1990</v>
      </c>
      <c r="D8735" s="392">
        <v>12</v>
      </c>
      <c r="E8735" s="165">
        <v>4</v>
      </c>
      <c r="F8735" s="401"/>
      <c r="G8735" s="401"/>
      <c r="H8735" s="401">
        <v>0.33500000000000002</v>
      </c>
      <c r="I8735" s="1163">
        <f t="shared" ref="I8735:I8787" si="323">IF(D8735&lt;&gt;0,ROUND(PRODUCT(E8735:H8735)*D8735,2),"")</f>
        <v>16.079999999999998</v>
      </c>
      <c r="J8735" s="1027"/>
      <c r="K8735" s="1222"/>
    </row>
    <row r="8736" spans="1:11">
      <c r="A8736" s="1221" t="s">
        <v>1810</v>
      </c>
      <c r="B8736" s="425" t="s">
        <v>1811</v>
      </c>
      <c r="C8736" s="298"/>
      <c r="D8736" s="392"/>
      <c r="E8736" s="165"/>
      <c r="F8736" s="401"/>
      <c r="G8736" s="401"/>
      <c r="H8736" s="401"/>
      <c r="I8736" s="1163" t="str">
        <f t="shared" si="323"/>
        <v/>
      </c>
      <c r="J8736" s="1027"/>
      <c r="K8736" s="1222"/>
    </row>
    <row r="8737" spans="1:11">
      <c r="A8737" s="1221"/>
      <c r="B8737" s="425" t="s">
        <v>1513</v>
      </c>
      <c r="C8737" s="298" t="s">
        <v>1990</v>
      </c>
      <c r="D8737" s="392">
        <v>8</v>
      </c>
      <c r="E8737" s="165">
        <v>2</v>
      </c>
      <c r="F8737" s="401">
        <v>3</v>
      </c>
      <c r="G8737" s="401"/>
      <c r="H8737" s="401"/>
      <c r="I8737" s="1163">
        <f t="shared" si="323"/>
        <v>48</v>
      </c>
      <c r="J8737" s="1027"/>
      <c r="K8737" s="1222"/>
    </row>
    <row r="8738" spans="1:11">
      <c r="A8738" s="1221"/>
      <c r="C8738" s="298" t="s">
        <v>1990</v>
      </c>
      <c r="D8738" s="392">
        <v>8</v>
      </c>
      <c r="E8738" s="165">
        <v>2</v>
      </c>
      <c r="F8738" s="401">
        <v>0.5</v>
      </c>
      <c r="G8738" s="401"/>
      <c r="H8738" s="401"/>
      <c r="I8738" s="1163">
        <f t="shared" si="323"/>
        <v>8</v>
      </c>
      <c r="J8738" s="1027"/>
      <c r="K8738" s="1222"/>
    </row>
    <row r="8739" spans="1:11">
      <c r="A8739" s="1221"/>
      <c r="B8739" s="425" t="s">
        <v>1996</v>
      </c>
      <c r="C8739" s="298" t="s">
        <v>1990</v>
      </c>
      <c r="D8739" s="392">
        <v>8</v>
      </c>
      <c r="E8739" s="165">
        <v>4</v>
      </c>
      <c r="F8739" s="401"/>
      <c r="G8739" s="401"/>
      <c r="H8739" s="401">
        <v>0.33500000000000002</v>
      </c>
      <c r="I8739" s="1163">
        <f t="shared" si="323"/>
        <v>10.72</v>
      </c>
      <c r="J8739" s="1027"/>
      <c r="K8739" s="1222"/>
    </row>
    <row r="8740" spans="1:11">
      <c r="A8740" s="1221">
        <v>3</v>
      </c>
      <c r="B8740" s="425" t="s">
        <v>1997</v>
      </c>
      <c r="C8740" s="298"/>
      <c r="D8740" s="392"/>
      <c r="E8740" s="165"/>
      <c r="F8740" s="401"/>
      <c r="G8740" s="401"/>
      <c r="H8740" s="401"/>
      <c r="I8740" s="1163" t="str">
        <f t="shared" si="323"/>
        <v/>
      </c>
      <c r="J8740" s="1027"/>
      <c r="K8740" s="1222"/>
    </row>
    <row r="8741" spans="1:11" ht="34.5">
      <c r="A8741" s="1221"/>
      <c r="B8741" s="425" t="s">
        <v>1998</v>
      </c>
      <c r="C8741" s="298" t="s">
        <v>1990</v>
      </c>
      <c r="D8741" s="392">
        <v>1</v>
      </c>
      <c r="E8741" s="165">
        <v>1</v>
      </c>
      <c r="F8741" s="401">
        <v>63.176800000000007</v>
      </c>
      <c r="G8741" s="401"/>
      <c r="H8741" s="401"/>
      <c r="I8741" s="1163">
        <f t="shared" si="323"/>
        <v>63.18</v>
      </c>
      <c r="J8741" s="1027"/>
      <c r="K8741" s="1222"/>
    </row>
    <row r="8742" spans="1:11" ht="34.5">
      <c r="A8742" s="1221"/>
      <c r="B8742" s="425" t="s">
        <v>1999</v>
      </c>
      <c r="C8742" s="298" t="s">
        <v>1990</v>
      </c>
      <c r="D8742" s="392">
        <v>1</v>
      </c>
      <c r="E8742" s="165">
        <v>1</v>
      </c>
      <c r="F8742" s="401">
        <v>66.756400000000014</v>
      </c>
      <c r="G8742" s="401"/>
      <c r="H8742" s="401"/>
      <c r="I8742" s="1163">
        <f t="shared" si="323"/>
        <v>66.760000000000005</v>
      </c>
      <c r="J8742" s="1027"/>
      <c r="K8742" s="1222"/>
    </row>
    <row r="8743" spans="1:11">
      <c r="A8743" s="1221"/>
      <c r="B8743" s="425" t="s">
        <v>2000</v>
      </c>
      <c r="C8743" s="298" t="s">
        <v>1990</v>
      </c>
      <c r="D8743" s="392">
        <v>1</v>
      </c>
      <c r="E8743" s="165">
        <v>2</v>
      </c>
      <c r="F8743" s="401">
        <v>3.7679999999999998</v>
      </c>
      <c r="G8743" s="401"/>
      <c r="H8743" s="401"/>
      <c r="I8743" s="1163">
        <f t="shared" si="323"/>
        <v>7.54</v>
      </c>
      <c r="J8743" s="1027"/>
      <c r="K8743" s="1222"/>
    </row>
    <row r="8744" spans="1:11">
      <c r="A8744" s="1221"/>
      <c r="C8744" s="298"/>
      <c r="D8744" s="392"/>
      <c r="E8744" s="165"/>
      <c r="F8744" s="401"/>
      <c r="G8744" s="401"/>
      <c r="H8744" s="401"/>
      <c r="I8744" s="1163" t="str">
        <f t="shared" si="323"/>
        <v/>
      </c>
      <c r="J8744" s="1027"/>
      <c r="K8744" s="1222"/>
    </row>
    <row r="8745" spans="1:11" ht="51.75">
      <c r="A8745" s="1221">
        <v>4</v>
      </c>
      <c r="B8745" s="425" t="s">
        <v>2001</v>
      </c>
      <c r="C8745" s="298"/>
      <c r="D8745" s="392"/>
      <c r="E8745" s="165"/>
      <c r="F8745" s="401"/>
      <c r="G8745" s="401"/>
      <c r="H8745" s="401"/>
      <c r="I8745" s="1163" t="str">
        <f t="shared" si="323"/>
        <v/>
      </c>
      <c r="J8745" s="1027"/>
      <c r="K8745" s="1222"/>
    </row>
    <row r="8746" spans="1:11">
      <c r="A8746" s="1221"/>
      <c r="C8746" s="298"/>
      <c r="D8746" s="392"/>
      <c r="E8746" s="165"/>
      <c r="F8746" s="401"/>
      <c r="G8746" s="401"/>
      <c r="H8746" s="401"/>
      <c r="I8746" s="1163" t="str">
        <f t="shared" si="323"/>
        <v/>
      </c>
      <c r="J8746" s="1027"/>
      <c r="K8746" s="1222"/>
    </row>
    <row r="8747" spans="1:11" ht="34.5">
      <c r="A8747" s="1221">
        <v>4.0999999999999996</v>
      </c>
      <c r="B8747" s="425" t="s">
        <v>2002</v>
      </c>
      <c r="C8747" s="298"/>
      <c r="D8747" s="392"/>
      <c r="E8747" s="165"/>
      <c r="F8747" s="401"/>
      <c r="G8747" s="401"/>
      <c r="H8747" s="401"/>
      <c r="I8747" s="1163" t="str">
        <f t="shared" si="323"/>
        <v/>
      </c>
      <c r="J8747" s="1027"/>
      <c r="K8747" s="1222"/>
    </row>
    <row r="8748" spans="1:11" ht="34.5">
      <c r="A8748" s="1221"/>
      <c r="B8748" s="425" t="s">
        <v>2003</v>
      </c>
      <c r="C8748" s="298" t="s">
        <v>1990</v>
      </c>
      <c r="D8748" s="392">
        <v>1</v>
      </c>
      <c r="E8748" s="165">
        <v>2</v>
      </c>
      <c r="F8748" s="401">
        <v>22.08</v>
      </c>
      <c r="G8748" s="401"/>
      <c r="H8748" s="401"/>
      <c r="I8748" s="1163">
        <f t="shared" si="323"/>
        <v>44.16</v>
      </c>
      <c r="J8748" s="1027"/>
      <c r="K8748" s="1222"/>
    </row>
    <row r="8749" spans="1:11">
      <c r="A8749" s="1221"/>
      <c r="C8749" s="298" t="s">
        <v>1990</v>
      </c>
      <c r="D8749" s="392">
        <v>1</v>
      </c>
      <c r="E8749" s="165">
        <v>2</v>
      </c>
      <c r="F8749" s="401">
        <v>2.74</v>
      </c>
      <c r="G8749" s="401"/>
      <c r="H8749" s="401"/>
      <c r="I8749" s="1163">
        <f t="shared" si="323"/>
        <v>5.48</v>
      </c>
      <c r="J8749" s="1027"/>
      <c r="K8749" s="1222"/>
    </row>
    <row r="8750" spans="1:11">
      <c r="A8750" s="1221"/>
      <c r="B8750" s="425" t="s">
        <v>2004</v>
      </c>
      <c r="C8750" s="298" t="s">
        <v>1990</v>
      </c>
      <c r="D8750" s="392">
        <v>1</v>
      </c>
      <c r="E8750" s="165">
        <v>2</v>
      </c>
      <c r="F8750" s="401">
        <v>21.419999999999998</v>
      </c>
      <c r="G8750" s="401"/>
      <c r="H8750" s="401"/>
      <c r="I8750" s="1163">
        <f t="shared" si="323"/>
        <v>42.84</v>
      </c>
      <c r="J8750" s="1027"/>
      <c r="K8750" s="1222"/>
    </row>
    <row r="8751" spans="1:11">
      <c r="A8751" s="1221"/>
      <c r="C8751" s="298" t="s">
        <v>1990</v>
      </c>
      <c r="D8751" s="392">
        <v>1</v>
      </c>
      <c r="E8751" s="165">
        <v>2</v>
      </c>
      <c r="F8751" s="401">
        <v>2.41</v>
      </c>
      <c r="G8751" s="401"/>
      <c r="H8751" s="401"/>
      <c r="I8751" s="1163">
        <f t="shared" si="323"/>
        <v>4.82</v>
      </c>
      <c r="J8751" s="1027"/>
      <c r="K8751" s="1222"/>
    </row>
    <row r="8752" spans="1:11">
      <c r="A8752" s="1221"/>
      <c r="C8752" s="298"/>
      <c r="D8752" s="392"/>
      <c r="E8752" s="165"/>
      <c r="F8752" s="401"/>
      <c r="G8752" s="401"/>
      <c r="H8752" s="401"/>
      <c r="I8752" s="1163" t="str">
        <f t="shared" si="323"/>
        <v/>
      </c>
      <c r="J8752" s="1027"/>
      <c r="K8752" s="1222"/>
    </row>
    <row r="8753" spans="1:11" ht="34.5">
      <c r="A8753" s="1221"/>
      <c r="B8753" s="425" t="s">
        <v>2005</v>
      </c>
      <c r="C8753" s="298" t="s">
        <v>1990</v>
      </c>
      <c r="D8753" s="392">
        <v>5</v>
      </c>
      <c r="E8753" s="165">
        <v>2</v>
      </c>
      <c r="F8753" s="401">
        <v>5.04</v>
      </c>
      <c r="G8753" s="401"/>
      <c r="H8753" s="401"/>
      <c r="I8753" s="1163">
        <f t="shared" si="323"/>
        <v>50.4</v>
      </c>
      <c r="J8753" s="1027"/>
      <c r="K8753" s="1222"/>
    </row>
    <row r="8754" spans="1:11">
      <c r="A8754" s="1221"/>
      <c r="C8754" s="298" t="s">
        <v>1990</v>
      </c>
      <c r="D8754" s="392">
        <v>5</v>
      </c>
      <c r="E8754" s="165">
        <v>2</v>
      </c>
      <c r="F8754" s="401">
        <v>2.08</v>
      </c>
      <c r="G8754" s="401"/>
      <c r="H8754" s="401"/>
      <c r="I8754" s="1163">
        <f t="shared" si="323"/>
        <v>20.8</v>
      </c>
      <c r="J8754" s="1027"/>
      <c r="K8754" s="1222"/>
    </row>
    <row r="8755" spans="1:11">
      <c r="A8755" s="1221"/>
      <c r="B8755" s="425" t="s">
        <v>2006</v>
      </c>
      <c r="C8755" s="298" t="s">
        <v>1990</v>
      </c>
      <c r="D8755" s="392">
        <v>5</v>
      </c>
      <c r="E8755" s="165">
        <v>2</v>
      </c>
      <c r="F8755" s="401">
        <v>4.38</v>
      </c>
      <c r="G8755" s="401"/>
      <c r="H8755" s="401"/>
      <c r="I8755" s="1163">
        <f t="shared" si="323"/>
        <v>43.8</v>
      </c>
      <c r="J8755" s="1027"/>
      <c r="K8755" s="1222"/>
    </row>
    <row r="8756" spans="1:11">
      <c r="A8756" s="1221"/>
      <c r="C8756" s="298" t="s">
        <v>1990</v>
      </c>
      <c r="D8756" s="392">
        <v>5</v>
      </c>
      <c r="E8756" s="165">
        <v>2</v>
      </c>
      <c r="F8756" s="401">
        <v>1.42</v>
      </c>
      <c r="G8756" s="401"/>
      <c r="H8756" s="401"/>
      <c r="I8756" s="1163">
        <f t="shared" si="323"/>
        <v>14.2</v>
      </c>
      <c r="J8756" s="1027"/>
      <c r="K8756" s="1222"/>
    </row>
    <row r="8757" spans="1:11">
      <c r="A8757" s="1221"/>
      <c r="C8757" s="298"/>
      <c r="D8757" s="392"/>
      <c r="E8757" s="165"/>
      <c r="F8757" s="401"/>
      <c r="G8757" s="401"/>
      <c r="H8757" s="401"/>
      <c r="I8757" s="1163" t="str">
        <f t="shared" si="323"/>
        <v/>
      </c>
      <c r="J8757" s="1027"/>
      <c r="K8757" s="1222"/>
    </row>
    <row r="8758" spans="1:11" ht="34.5">
      <c r="A8758" s="1221"/>
      <c r="B8758" s="425" t="s">
        <v>2007</v>
      </c>
      <c r="C8758" s="298" t="s">
        <v>1990</v>
      </c>
      <c r="D8758" s="392">
        <v>4</v>
      </c>
      <c r="E8758" s="165">
        <v>4</v>
      </c>
      <c r="F8758" s="401">
        <v>3</v>
      </c>
      <c r="G8758" s="401"/>
      <c r="H8758" s="401"/>
      <c r="I8758" s="1163">
        <f t="shared" si="323"/>
        <v>48</v>
      </c>
      <c r="J8758" s="1027"/>
      <c r="K8758" s="1222"/>
    </row>
    <row r="8759" spans="1:11" ht="34.5">
      <c r="A8759" s="1221"/>
      <c r="B8759" s="425" t="s">
        <v>2008</v>
      </c>
      <c r="C8759" s="298" t="s">
        <v>1990</v>
      </c>
      <c r="D8759" s="392">
        <v>5</v>
      </c>
      <c r="E8759" s="165">
        <v>2</v>
      </c>
      <c r="F8759" s="401">
        <v>5.04</v>
      </c>
      <c r="G8759" s="401"/>
      <c r="H8759" s="401"/>
      <c r="I8759" s="1163">
        <f t="shared" si="323"/>
        <v>50.4</v>
      </c>
      <c r="J8759" s="1027"/>
      <c r="K8759" s="1222"/>
    </row>
    <row r="8760" spans="1:11">
      <c r="A8760" s="1221"/>
      <c r="C8760" s="298" t="s">
        <v>1990</v>
      </c>
      <c r="D8760" s="392">
        <v>5</v>
      </c>
      <c r="E8760" s="165">
        <v>2</v>
      </c>
      <c r="F8760" s="401">
        <v>2.08</v>
      </c>
      <c r="G8760" s="401"/>
      <c r="H8760" s="401"/>
      <c r="I8760" s="1163">
        <f t="shared" si="323"/>
        <v>20.8</v>
      </c>
      <c r="J8760" s="1027"/>
      <c r="K8760" s="1222"/>
    </row>
    <row r="8761" spans="1:11">
      <c r="A8761" s="1221"/>
      <c r="B8761" s="425" t="s">
        <v>2009</v>
      </c>
      <c r="C8761" s="298" t="s">
        <v>1990</v>
      </c>
      <c r="D8761" s="392">
        <v>5</v>
      </c>
      <c r="E8761" s="165">
        <v>2</v>
      </c>
      <c r="F8761" s="401">
        <v>4.38</v>
      </c>
      <c r="G8761" s="401"/>
      <c r="H8761" s="401"/>
      <c r="I8761" s="1163">
        <f t="shared" si="323"/>
        <v>43.8</v>
      </c>
      <c r="J8761" s="1027"/>
      <c r="K8761" s="1222"/>
    </row>
    <row r="8762" spans="1:11">
      <c r="A8762" s="1221"/>
      <c r="C8762" s="298" t="s">
        <v>1990</v>
      </c>
      <c r="D8762" s="392">
        <v>5</v>
      </c>
      <c r="E8762" s="165">
        <v>2</v>
      </c>
      <c r="F8762" s="401">
        <v>1.42</v>
      </c>
      <c r="G8762" s="401"/>
      <c r="H8762" s="401"/>
      <c r="I8762" s="1163">
        <f t="shared" si="323"/>
        <v>14.2</v>
      </c>
      <c r="J8762" s="1027"/>
      <c r="K8762" s="1222"/>
    </row>
    <row r="8763" spans="1:11">
      <c r="A8763" s="1221"/>
      <c r="C8763" s="298"/>
      <c r="D8763" s="392"/>
      <c r="E8763" s="165"/>
      <c r="F8763" s="401"/>
      <c r="G8763" s="401"/>
      <c r="H8763" s="401"/>
      <c r="I8763" s="1163" t="str">
        <f t="shared" si="323"/>
        <v/>
      </c>
      <c r="J8763" s="1027"/>
      <c r="K8763" s="1222"/>
    </row>
    <row r="8764" spans="1:11">
      <c r="A8764" s="1221"/>
      <c r="B8764" s="425" t="s">
        <v>1392</v>
      </c>
      <c r="C8764" s="298" t="s">
        <v>1990</v>
      </c>
      <c r="D8764" s="392">
        <v>24</v>
      </c>
      <c r="E8764" s="165">
        <v>4</v>
      </c>
      <c r="F8764" s="401">
        <v>1</v>
      </c>
      <c r="G8764" s="401"/>
      <c r="H8764" s="401"/>
      <c r="I8764" s="1163">
        <f t="shared" si="323"/>
        <v>96</v>
      </c>
      <c r="J8764" s="1027"/>
      <c r="K8764" s="1222"/>
    </row>
    <row r="8765" spans="1:11">
      <c r="A8765" s="1221"/>
      <c r="C8765" s="298"/>
      <c r="D8765" s="392"/>
      <c r="E8765" s="165"/>
      <c r="F8765" s="401"/>
      <c r="G8765" s="401"/>
      <c r="H8765" s="401"/>
      <c r="I8765" s="1163" t="str">
        <f t="shared" si="323"/>
        <v/>
      </c>
      <c r="J8765" s="1027"/>
      <c r="K8765" s="1222"/>
    </row>
    <row r="8766" spans="1:11" ht="34.5">
      <c r="A8766" s="1221" t="s">
        <v>2010</v>
      </c>
      <c r="B8766" s="425" t="s">
        <v>2011</v>
      </c>
      <c r="C8766" s="298"/>
      <c r="D8766" s="392"/>
      <c r="E8766" s="165"/>
      <c r="F8766" s="401"/>
      <c r="G8766" s="401"/>
      <c r="H8766" s="401"/>
      <c r="I8766" s="1163" t="str">
        <f t="shared" si="323"/>
        <v/>
      </c>
      <c r="J8766" s="1027"/>
      <c r="K8766" s="1222"/>
    </row>
    <row r="8767" spans="1:11">
      <c r="A8767" s="1221"/>
      <c r="B8767" s="425" t="s">
        <v>2012</v>
      </c>
      <c r="C8767" s="298" t="s">
        <v>1990</v>
      </c>
      <c r="D8767" s="392">
        <v>1</v>
      </c>
      <c r="E8767" s="165">
        <v>2</v>
      </c>
      <c r="F8767" s="401">
        <v>29.114999999999998</v>
      </c>
      <c r="G8767" s="401"/>
      <c r="H8767" s="401"/>
      <c r="I8767" s="1163">
        <f t="shared" si="323"/>
        <v>58.23</v>
      </c>
      <c r="J8767" s="1027"/>
      <c r="K8767" s="1222"/>
    </row>
    <row r="8768" spans="1:11">
      <c r="A8768" s="1221"/>
      <c r="C8768" s="298" t="s">
        <v>1990</v>
      </c>
      <c r="D8768" s="392">
        <v>1</v>
      </c>
      <c r="E8768" s="165">
        <v>2</v>
      </c>
      <c r="F8768" s="401">
        <v>3.08</v>
      </c>
      <c r="G8768" s="401"/>
      <c r="H8768" s="401"/>
      <c r="I8768" s="1163">
        <f t="shared" si="323"/>
        <v>6.16</v>
      </c>
      <c r="J8768" s="1027"/>
      <c r="K8768" s="1222"/>
    </row>
    <row r="8769" spans="1:11">
      <c r="A8769" s="1221"/>
      <c r="B8769" s="425" t="s">
        <v>2013</v>
      </c>
      <c r="C8769" s="298" t="s">
        <v>1990</v>
      </c>
      <c r="D8769" s="392">
        <v>1</v>
      </c>
      <c r="E8769" s="165">
        <v>2</v>
      </c>
      <c r="F8769" s="401">
        <v>28.454999999999998</v>
      </c>
      <c r="G8769" s="401"/>
      <c r="H8769" s="401"/>
      <c r="I8769" s="1163">
        <f t="shared" si="323"/>
        <v>56.91</v>
      </c>
      <c r="J8769" s="1027"/>
      <c r="K8769" s="1222"/>
    </row>
    <row r="8770" spans="1:11">
      <c r="A8770" s="1221"/>
      <c r="C8770" s="298" t="s">
        <v>1990</v>
      </c>
      <c r="D8770" s="392">
        <v>1</v>
      </c>
      <c r="E8770" s="165">
        <v>2</v>
      </c>
      <c r="F8770" s="401">
        <v>2.42</v>
      </c>
      <c r="G8770" s="401"/>
      <c r="H8770" s="401"/>
      <c r="I8770" s="1163">
        <f t="shared" si="323"/>
        <v>4.84</v>
      </c>
      <c r="J8770" s="1027"/>
      <c r="K8770" s="1222"/>
    </row>
    <row r="8771" spans="1:11" ht="34.5">
      <c r="A8771" s="1221"/>
      <c r="B8771" s="425" t="s">
        <v>2014</v>
      </c>
      <c r="C8771" s="298" t="s">
        <v>1990</v>
      </c>
      <c r="D8771" s="392">
        <v>5</v>
      </c>
      <c r="E8771" s="165">
        <v>2</v>
      </c>
      <c r="F8771" s="401">
        <v>5.08</v>
      </c>
      <c r="G8771" s="401"/>
      <c r="H8771" s="401"/>
      <c r="I8771" s="1163">
        <f t="shared" si="323"/>
        <v>50.8</v>
      </c>
      <c r="J8771" s="1027"/>
      <c r="K8771" s="1222"/>
    </row>
    <row r="8772" spans="1:11">
      <c r="A8772" s="1221"/>
      <c r="C8772" s="298" t="s">
        <v>1990</v>
      </c>
      <c r="D8772" s="392">
        <v>5</v>
      </c>
      <c r="E8772" s="165">
        <v>1</v>
      </c>
      <c r="F8772" s="401">
        <v>2.08</v>
      </c>
      <c r="G8772" s="401"/>
      <c r="H8772" s="401"/>
      <c r="I8772" s="1163">
        <f t="shared" si="323"/>
        <v>10.4</v>
      </c>
      <c r="J8772" s="1027"/>
      <c r="K8772" s="1222"/>
    </row>
    <row r="8773" spans="1:11">
      <c r="A8773" s="1221"/>
      <c r="B8773" s="425" t="s">
        <v>2013</v>
      </c>
      <c r="C8773" s="298" t="s">
        <v>1990</v>
      </c>
      <c r="D8773" s="392">
        <v>5</v>
      </c>
      <c r="E8773" s="165">
        <v>2</v>
      </c>
      <c r="F8773" s="401">
        <v>4.42</v>
      </c>
      <c r="G8773" s="401"/>
      <c r="H8773" s="401"/>
      <c r="I8773" s="1163">
        <f t="shared" si="323"/>
        <v>44.2</v>
      </c>
      <c r="J8773" s="1027"/>
      <c r="K8773" s="1222"/>
    </row>
    <row r="8774" spans="1:11">
      <c r="A8774" s="1221"/>
      <c r="C8774" s="298" t="s">
        <v>1990</v>
      </c>
      <c r="D8774" s="392">
        <v>5</v>
      </c>
      <c r="E8774" s="165">
        <v>1</v>
      </c>
      <c r="F8774" s="401">
        <v>1.42</v>
      </c>
      <c r="G8774" s="401"/>
      <c r="H8774" s="401"/>
      <c r="I8774" s="1163">
        <f t="shared" si="323"/>
        <v>7.1</v>
      </c>
      <c r="J8774" s="1027"/>
      <c r="K8774" s="1222"/>
    </row>
    <row r="8775" spans="1:11">
      <c r="A8775" s="1221"/>
      <c r="C8775" s="298"/>
      <c r="D8775" s="392"/>
      <c r="E8775" s="165"/>
      <c r="F8775" s="401"/>
      <c r="G8775" s="401"/>
      <c r="H8775" s="401"/>
      <c r="I8775" s="1163" t="str">
        <f t="shared" si="323"/>
        <v/>
      </c>
      <c r="J8775" s="1027"/>
      <c r="K8775" s="1222"/>
    </row>
    <row r="8776" spans="1:11">
      <c r="A8776" s="1221"/>
      <c r="B8776" s="425" t="s">
        <v>2015</v>
      </c>
      <c r="C8776" s="298" t="s">
        <v>1990</v>
      </c>
      <c r="D8776" s="392">
        <v>3</v>
      </c>
      <c r="E8776" s="165">
        <v>2</v>
      </c>
      <c r="F8776" s="401">
        <v>2.7650000000000001</v>
      </c>
      <c r="G8776" s="401"/>
      <c r="H8776" s="401"/>
      <c r="I8776" s="1163">
        <f t="shared" si="323"/>
        <v>16.59</v>
      </c>
      <c r="J8776" s="1027"/>
      <c r="K8776" s="1222"/>
    </row>
    <row r="8777" spans="1:11">
      <c r="A8777" s="1221"/>
      <c r="C8777" s="298" t="s">
        <v>1990</v>
      </c>
      <c r="D8777" s="392">
        <v>3</v>
      </c>
      <c r="E8777" s="165">
        <v>2</v>
      </c>
      <c r="F8777" s="401">
        <v>2.38</v>
      </c>
      <c r="G8777" s="401"/>
      <c r="H8777" s="401"/>
      <c r="I8777" s="1163">
        <f t="shared" si="323"/>
        <v>14.28</v>
      </c>
      <c r="J8777" s="1027"/>
      <c r="K8777" s="1222"/>
    </row>
    <row r="8778" spans="1:11">
      <c r="A8778" s="1221"/>
      <c r="B8778" s="425" t="s">
        <v>2016</v>
      </c>
      <c r="C8778" s="298" t="s">
        <v>1990</v>
      </c>
      <c r="D8778" s="392">
        <v>3</v>
      </c>
      <c r="E8778" s="165">
        <v>2</v>
      </c>
      <c r="F8778" s="401">
        <v>2.105</v>
      </c>
      <c r="G8778" s="401"/>
      <c r="H8778" s="401"/>
      <c r="I8778" s="1163">
        <f t="shared" si="323"/>
        <v>12.63</v>
      </c>
      <c r="J8778" s="1027"/>
      <c r="K8778" s="1222"/>
    </row>
    <row r="8779" spans="1:11">
      <c r="A8779" s="1221"/>
      <c r="C8779" s="298" t="s">
        <v>1990</v>
      </c>
      <c r="D8779" s="392">
        <v>3</v>
      </c>
      <c r="E8779" s="165">
        <v>2</v>
      </c>
      <c r="F8779" s="401">
        <v>1.7199999999999998</v>
      </c>
      <c r="G8779" s="401"/>
      <c r="H8779" s="401"/>
      <c r="I8779" s="1163">
        <f t="shared" si="323"/>
        <v>10.32</v>
      </c>
      <c r="J8779" s="1027"/>
      <c r="K8779" s="1222"/>
    </row>
    <row r="8780" spans="1:11">
      <c r="A8780" s="1221"/>
      <c r="C8780" s="298"/>
      <c r="D8780" s="392"/>
      <c r="E8780" s="165"/>
      <c r="F8780" s="401"/>
      <c r="G8780" s="401"/>
      <c r="H8780" s="401"/>
      <c r="I8780" s="1163" t="str">
        <f t="shared" si="323"/>
        <v/>
      </c>
      <c r="J8780" s="1027"/>
      <c r="K8780" s="1222"/>
    </row>
    <row r="8781" spans="1:11">
      <c r="A8781" s="1221"/>
      <c r="B8781" s="425" t="s">
        <v>1398</v>
      </c>
      <c r="C8781" s="298" t="s">
        <v>1990</v>
      </c>
      <c r="D8781" s="392">
        <v>5</v>
      </c>
      <c r="E8781" s="165">
        <v>2</v>
      </c>
      <c r="F8781" s="401">
        <v>2.7120000000000002</v>
      </c>
      <c r="G8781" s="401"/>
      <c r="H8781" s="401"/>
      <c r="I8781" s="1163">
        <f t="shared" si="323"/>
        <v>27.12</v>
      </c>
      <c r="J8781" s="1027"/>
      <c r="K8781" s="1222"/>
    </row>
    <row r="8782" spans="1:11">
      <c r="A8782" s="1221"/>
      <c r="C8782" s="298" t="s">
        <v>1990</v>
      </c>
      <c r="D8782" s="392">
        <v>5</v>
      </c>
      <c r="E8782" s="165">
        <v>2</v>
      </c>
      <c r="F8782" s="401">
        <v>2.08</v>
      </c>
      <c r="G8782" s="401"/>
      <c r="H8782" s="401"/>
      <c r="I8782" s="1163">
        <f t="shared" si="323"/>
        <v>20.8</v>
      </c>
      <c r="J8782" s="1027"/>
      <c r="K8782" s="1222"/>
    </row>
    <row r="8783" spans="1:11">
      <c r="A8783" s="1221"/>
      <c r="C8783" s="298" t="s">
        <v>1990</v>
      </c>
      <c r="D8783" s="392">
        <v>5</v>
      </c>
      <c r="E8783" s="165">
        <v>2</v>
      </c>
      <c r="F8783" s="401">
        <v>2.052</v>
      </c>
      <c r="G8783" s="401"/>
      <c r="H8783" s="401"/>
      <c r="I8783" s="1163">
        <f t="shared" si="323"/>
        <v>20.52</v>
      </c>
      <c r="J8783" s="1027"/>
      <c r="K8783" s="1222"/>
    </row>
    <row r="8784" spans="1:11">
      <c r="A8784" s="1221"/>
      <c r="C8784" s="298" t="s">
        <v>1990</v>
      </c>
      <c r="D8784" s="392">
        <v>5</v>
      </c>
      <c r="E8784" s="165">
        <v>2</v>
      </c>
      <c r="F8784" s="401">
        <v>1.42</v>
      </c>
      <c r="G8784" s="401"/>
      <c r="H8784" s="401"/>
      <c r="I8784" s="1163">
        <f t="shared" si="323"/>
        <v>14.2</v>
      </c>
      <c r="J8784" s="1027"/>
      <c r="K8784" s="1222"/>
    </row>
    <row r="8785" spans="1:14">
      <c r="A8785" s="1221"/>
      <c r="C8785" s="298"/>
      <c r="D8785" s="392"/>
      <c r="E8785" s="165"/>
      <c r="F8785" s="401"/>
      <c r="G8785" s="401"/>
      <c r="H8785" s="401"/>
      <c r="I8785" s="1163" t="str">
        <f t="shared" si="323"/>
        <v/>
      </c>
      <c r="J8785" s="1027"/>
      <c r="K8785" s="1222"/>
    </row>
    <row r="8786" spans="1:14">
      <c r="A8786" s="1221"/>
      <c r="B8786" s="425" t="s">
        <v>1399</v>
      </c>
      <c r="C8786" s="298" t="s">
        <v>1990</v>
      </c>
      <c r="D8786" s="392">
        <v>10</v>
      </c>
      <c r="E8786" s="165">
        <v>4</v>
      </c>
      <c r="F8786" s="401">
        <v>1.5</v>
      </c>
      <c r="G8786" s="401"/>
      <c r="H8786" s="401"/>
      <c r="I8786" s="1163">
        <f t="shared" si="323"/>
        <v>60</v>
      </c>
      <c r="J8786" s="1027"/>
      <c r="K8786" s="1222"/>
    </row>
    <row r="8787" spans="1:14">
      <c r="A8787" s="1221"/>
      <c r="B8787" s="425" t="s">
        <v>1400</v>
      </c>
      <c r="C8787" s="298" t="s">
        <v>1990</v>
      </c>
      <c r="D8787" s="392">
        <v>40</v>
      </c>
      <c r="E8787" s="165">
        <v>4</v>
      </c>
      <c r="F8787" s="401">
        <v>0.5</v>
      </c>
      <c r="G8787" s="401"/>
      <c r="H8787" s="401"/>
      <c r="I8787" s="1163">
        <f t="shared" si="323"/>
        <v>80</v>
      </c>
      <c r="J8787" s="1027"/>
      <c r="K8787" s="1222"/>
    </row>
    <row r="8788" spans="1:14" s="398" customFormat="1">
      <c r="A8788" s="1313"/>
      <c r="B8788" s="1079"/>
      <c r="C8788" s="1106"/>
      <c r="D8788" s="1073">
        <v>-1</v>
      </c>
      <c r="E8788" s="1066"/>
      <c r="F8788" s="1388">
        <f>SUM(I8671:I8787)</f>
        <v>2204.2000000000003</v>
      </c>
      <c r="G8788" s="1388"/>
      <c r="H8788" s="1388"/>
      <c r="I8788" s="1184">
        <f t="shared" si="321"/>
        <v>-2204.2000000000003</v>
      </c>
      <c r="J8788" s="1081"/>
      <c r="K8788" s="1337"/>
      <c r="L8788" s="431"/>
      <c r="M8788" s="431"/>
      <c r="N8788" s="431"/>
    </row>
    <row r="8789" spans="1:14">
      <c r="A8789" s="1221"/>
      <c r="C8789" s="298"/>
      <c r="D8789" s="392"/>
      <c r="E8789" s="165"/>
      <c r="F8789" s="401"/>
      <c r="G8789" s="401"/>
      <c r="H8789" s="401"/>
      <c r="I8789" s="1182">
        <f>PRODUCT(D8789:H8789)</f>
        <v>0</v>
      </c>
      <c r="J8789" s="1027"/>
      <c r="K8789" s="1222"/>
    </row>
    <row r="8790" spans="1:14" s="398" customFormat="1">
      <c r="A8790" s="1250"/>
      <c r="B8790" s="161" t="s">
        <v>928</v>
      </c>
      <c r="C8790" s="388" t="s">
        <v>1990</v>
      </c>
      <c r="D8790" s="437"/>
      <c r="E8790" s="165"/>
      <c r="F8790" s="401"/>
      <c r="G8790" s="401"/>
      <c r="H8790" s="401"/>
      <c r="I8790" s="938" t="str">
        <f t="shared" ref="I8790" si="324">IF(D8790&lt;&gt;0,ROUND(PRODUCT(E8790:H8790)*D8790,2),"")</f>
        <v/>
      </c>
      <c r="J8790" s="1025">
        <f>SUM(I8668:I8790)</f>
        <v>0</v>
      </c>
      <c r="K8790" s="1277" t="s">
        <v>1690</v>
      </c>
      <c r="L8790" s="431"/>
      <c r="M8790" s="431"/>
      <c r="N8790" s="431"/>
    </row>
    <row r="8791" spans="1:14">
      <c r="A8791" s="1250"/>
      <c r="D8791" s="392"/>
      <c r="E8791" s="165"/>
      <c r="F8791" s="401"/>
      <c r="G8791" s="401"/>
      <c r="H8791" s="401"/>
      <c r="I8791" s="1182"/>
      <c r="J8791" s="1026">
        <f>SUM(J8666:J8790)</f>
        <v>0</v>
      </c>
      <c r="K8791" s="1242"/>
    </row>
    <row r="8792" spans="1:14">
      <c r="A8792" s="1219" t="s">
        <v>2155</v>
      </c>
      <c r="B8792" s="768" t="s">
        <v>2018</v>
      </c>
      <c r="C8792" s="422"/>
      <c r="D8792" s="436"/>
      <c r="E8792" s="436"/>
      <c r="F8792" s="1359"/>
      <c r="G8792" s="1359"/>
      <c r="H8792" s="1359"/>
      <c r="I8792" s="1185"/>
      <c r="J8792" s="423"/>
      <c r="K8792" s="1220"/>
      <c r="M8792" s="170"/>
      <c r="N8792" s="170"/>
    </row>
    <row r="8793" spans="1:14" s="464" customFormat="1">
      <c r="A8793" s="1264"/>
      <c r="B8793" s="669" t="s">
        <v>85</v>
      </c>
      <c r="C8793" s="465" t="s">
        <v>2</v>
      </c>
      <c r="D8793" s="444"/>
      <c r="E8793" s="345"/>
      <c r="F8793" s="1356"/>
      <c r="G8793" s="1356"/>
      <c r="H8793" s="1356"/>
      <c r="I8793" s="1170" t="str">
        <f t="shared" ref="I8793" si="325">IF(D8793&lt;&gt;0,ROUND(PRODUCT(E8793:H8793)*D8793,2),"")</f>
        <v/>
      </c>
      <c r="J8793" s="482">
        <f>SUM(I8792:I8793)</f>
        <v>0</v>
      </c>
      <c r="K8793" s="1258"/>
      <c r="L8793" s="463"/>
      <c r="M8793" s="463"/>
      <c r="N8793" s="463"/>
    </row>
    <row r="8794" spans="1:14">
      <c r="A8794" s="1221"/>
      <c r="C8794" s="298"/>
      <c r="D8794" s="392"/>
      <c r="E8794" s="165"/>
      <c r="F8794" s="401"/>
      <c r="G8794" s="401"/>
      <c r="H8794" s="401"/>
      <c r="I8794" s="1182">
        <f t="shared" ref="I8794:I8796" si="326">PRODUCT(D8794:H8794)</f>
        <v>0</v>
      </c>
      <c r="J8794" s="1022"/>
      <c r="K8794" s="1222"/>
    </row>
    <row r="8795" spans="1:14" ht="34.5">
      <c r="A8795" s="1221">
        <v>1</v>
      </c>
      <c r="B8795" s="425" t="s">
        <v>2022</v>
      </c>
      <c r="C8795" s="298"/>
      <c r="D8795" s="392"/>
      <c r="E8795" s="165"/>
      <c r="F8795" s="401"/>
      <c r="G8795" s="401"/>
      <c r="H8795" s="401"/>
      <c r="I8795" s="1182">
        <f t="shared" si="326"/>
        <v>0</v>
      </c>
      <c r="J8795" s="1022"/>
      <c r="K8795" s="1222"/>
    </row>
    <row r="8796" spans="1:14" ht="34.5">
      <c r="A8796" s="1221"/>
      <c r="B8796" s="425" t="s">
        <v>1367</v>
      </c>
      <c r="C8796" s="298"/>
      <c r="D8796" s="392"/>
      <c r="E8796" s="165"/>
      <c r="F8796" s="401"/>
      <c r="G8796" s="401"/>
      <c r="H8796" s="401"/>
      <c r="I8796" s="1182">
        <f t="shared" si="326"/>
        <v>0</v>
      </c>
      <c r="J8796" s="1022"/>
      <c r="K8796" s="1222"/>
    </row>
    <row r="8797" spans="1:14">
      <c r="A8797" s="1221"/>
      <c r="B8797" s="425" t="s">
        <v>1368</v>
      </c>
      <c r="C8797" s="298" t="s">
        <v>1990</v>
      </c>
      <c r="D8797" s="392">
        <v>1</v>
      </c>
      <c r="E8797" s="165">
        <v>3</v>
      </c>
      <c r="F8797" s="401">
        <v>3.8220000000000001</v>
      </c>
      <c r="G8797" s="401"/>
      <c r="H8797" s="401"/>
      <c r="I8797" s="1163">
        <f t="shared" ref="I8797:I8860" si="327">IF(D8797&lt;&gt;0,ROUND(PRODUCT(E8797:H8797)*D8797,2),"")</f>
        <v>11.47</v>
      </c>
      <c r="J8797" s="1022"/>
      <c r="K8797" s="1222"/>
    </row>
    <row r="8798" spans="1:14">
      <c r="A8798" s="1221"/>
      <c r="B8798" s="425" t="s">
        <v>1369</v>
      </c>
      <c r="C8798" s="298" t="s">
        <v>1990</v>
      </c>
      <c r="D8798" s="392">
        <v>1</v>
      </c>
      <c r="E8798" s="165">
        <v>1</v>
      </c>
      <c r="F8798" s="401">
        <v>3.4710000000000001</v>
      </c>
      <c r="G8798" s="401"/>
      <c r="H8798" s="401"/>
      <c r="I8798" s="1163">
        <f t="shared" si="327"/>
        <v>3.47</v>
      </c>
      <c r="J8798" s="1022"/>
      <c r="K8798" s="1222"/>
    </row>
    <row r="8799" spans="1:14">
      <c r="A8799" s="1221"/>
      <c r="B8799" s="425" t="s">
        <v>1370</v>
      </c>
      <c r="C8799" s="298" t="s">
        <v>1990</v>
      </c>
      <c r="D8799" s="392">
        <v>1</v>
      </c>
      <c r="E8799" s="165">
        <v>3</v>
      </c>
      <c r="F8799" s="401">
        <v>2.794</v>
      </c>
      <c r="G8799" s="401"/>
      <c r="H8799" s="401"/>
      <c r="I8799" s="1163">
        <f t="shared" si="327"/>
        <v>8.3800000000000008</v>
      </c>
      <c r="J8799" s="1022"/>
      <c r="K8799" s="1222"/>
    </row>
    <row r="8800" spans="1:14" ht="34.5">
      <c r="A8800" s="1221"/>
      <c r="B8800" s="425" t="s">
        <v>1371</v>
      </c>
      <c r="C8800" s="298"/>
      <c r="D8800" s="392"/>
      <c r="E8800" s="165"/>
      <c r="F8800" s="401"/>
      <c r="G8800" s="401"/>
      <c r="H8800" s="401"/>
      <c r="I8800" s="1163" t="str">
        <f t="shared" si="327"/>
        <v/>
      </c>
      <c r="J8800" s="1022"/>
      <c r="K8800" s="1222"/>
    </row>
    <row r="8801" spans="1:11">
      <c r="A8801" s="1221"/>
      <c r="B8801" s="425" t="s">
        <v>1368</v>
      </c>
      <c r="C8801" s="298" t="s">
        <v>1990</v>
      </c>
      <c r="D8801" s="392">
        <v>1</v>
      </c>
      <c r="E8801" s="165">
        <v>3</v>
      </c>
      <c r="F8801" s="401">
        <v>3.8220000000000001</v>
      </c>
      <c r="G8801" s="401"/>
      <c r="H8801" s="401"/>
      <c r="I8801" s="1163">
        <f t="shared" si="327"/>
        <v>11.47</v>
      </c>
      <c r="J8801" s="1022"/>
      <c r="K8801" s="1222"/>
    </row>
    <row r="8802" spans="1:11">
      <c r="A8802" s="1221"/>
      <c r="B8802" s="425" t="s">
        <v>1369</v>
      </c>
      <c r="C8802" s="298" t="s">
        <v>1990</v>
      </c>
      <c r="D8802" s="392">
        <v>1</v>
      </c>
      <c r="E8802" s="165">
        <v>1</v>
      </c>
      <c r="F8802" s="401">
        <v>3.4710000000000001</v>
      </c>
      <c r="G8802" s="401"/>
      <c r="H8802" s="401"/>
      <c r="I8802" s="1163">
        <f t="shared" si="327"/>
        <v>3.47</v>
      </c>
      <c r="J8802" s="1022"/>
      <c r="K8802" s="1222"/>
    </row>
    <row r="8803" spans="1:11">
      <c r="A8803" s="1221"/>
      <c r="B8803" s="425" t="s">
        <v>1370</v>
      </c>
      <c r="C8803" s="298" t="s">
        <v>1990</v>
      </c>
      <c r="D8803" s="392">
        <v>1</v>
      </c>
      <c r="E8803" s="165">
        <v>3</v>
      </c>
      <c r="F8803" s="401">
        <v>2.794</v>
      </c>
      <c r="G8803" s="401"/>
      <c r="H8803" s="401"/>
      <c r="I8803" s="1163">
        <f t="shared" si="327"/>
        <v>8.3800000000000008</v>
      </c>
      <c r="J8803" s="1022"/>
      <c r="K8803" s="1222"/>
    </row>
    <row r="8804" spans="1:11">
      <c r="A8804" s="1221"/>
      <c r="B8804" s="425" t="s">
        <v>1372</v>
      </c>
      <c r="C8804" s="298" t="s">
        <v>1990</v>
      </c>
      <c r="D8804" s="392">
        <v>1</v>
      </c>
      <c r="E8804" s="165">
        <v>2</v>
      </c>
      <c r="F8804" s="401">
        <v>0.3</v>
      </c>
      <c r="G8804" s="401"/>
      <c r="H8804" s="401"/>
      <c r="I8804" s="1163">
        <f t="shared" si="327"/>
        <v>0.6</v>
      </c>
      <c r="J8804" s="1022"/>
      <c r="K8804" s="1222"/>
    </row>
    <row r="8805" spans="1:11">
      <c r="A8805" s="1221"/>
      <c r="C8805" s="298" t="s">
        <v>1990</v>
      </c>
      <c r="D8805" s="392">
        <v>1</v>
      </c>
      <c r="E8805" s="165">
        <v>2</v>
      </c>
      <c r="F8805" s="401">
        <v>0.9</v>
      </c>
      <c r="G8805" s="401"/>
      <c r="H8805" s="401"/>
      <c r="I8805" s="1163">
        <f t="shared" si="327"/>
        <v>1.8</v>
      </c>
      <c r="J8805" s="1022"/>
      <c r="K8805" s="1222"/>
    </row>
    <row r="8806" spans="1:11">
      <c r="A8806" s="1221"/>
      <c r="B8806" s="425" t="s">
        <v>2023</v>
      </c>
      <c r="C8806" s="298" t="s">
        <v>1990</v>
      </c>
      <c r="D8806" s="392">
        <v>1</v>
      </c>
      <c r="E8806" s="165">
        <v>47</v>
      </c>
      <c r="F8806" s="401">
        <v>5.9</v>
      </c>
      <c r="G8806" s="401"/>
      <c r="H8806" s="401"/>
      <c r="I8806" s="1163">
        <f t="shared" si="327"/>
        <v>277.3</v>
      </c>
      <c r="J8806" s="1022"/>
      <c r="K8806" s="1222"/>
    </row>
    <row r="8807" spans="1:11">
      <c r="A8807" s="1221"/>
      <c r="C8807" s="298"/>
      <c r="D8807" s="392"/>
      <c r="E8807" s="165"/>
      <c r="F8807" s="401"/>
      <c r="G8807" s="401"/>
      <c r="H8807" s="401"/>
      <c r="I8807" s="1163" t="str">
        <f t="shared" si="327"/>
        <v/>
      </c>
      <c r="J8807" s="1022"/>
      <c r="K8807" s="1222"/>
    </row>
    <row r="8808" spans="1:11" ht="51.75">
      <c r="A8808" s="1221">
        <v>2</v>
      </c>
      <c r="B8808" s="425" t="s">
        <v>2024</v>
      </c>
      <c r="C8808" s="298"/>
      <c r="D8808" s="392"/>
      <c r="E8808" s="165"/>
      <c r="F8808" s="401"/>
      <c r="G8808" s="401"/>
      <c r="H8808" s="401"/>
      <c r="I8808" s="1163" t="str">
        <f t="shared" si="327"/>
        <v/>
      </c>
      <c r="J8808" s="1022"/>
      <c r="K8808" s="1222"/>
    </row>
    <row r="8809" spans="1:11">
      <c r="A8809" s="1221" t="s">
        <v>457</v>
      </c>
      <c r="B8809" s="425" t="s">
        <v>1994</v>
      </c>
      <c r="C8809" s="298"/>
      <c r="D8809" s="392"/>
      <c r="E8809" s="165"/>
      <c r="F8809" s="401"/>
      <c r="G8809" s="401"/>
      <c r="H8809" s="401"/>
      <c r="I8809" s="1163" t="str">
        <f t="shared" si="327"/>
        <v/>
      </c>
      <c r="J8809" s="1022"/>
      <c r="K8809" s="1222"/>
    </row>
    <row r="8810" spans="1:11">
      <c r="A8810" s="1221"/>
      <c r="B8810" s="425" t="s">
        <v>1513</v>
      </c>
      <c r="C8810" s="298" t="s">
        <v>1990</v>
      </c>
      <c r="D8810" s="392">
        <v>6</v>
      </c>
      <c r="E8810" s="165">
        <v>2</v>
      </c>
      <c r="F8810" s="401">
        <v>3</v>
      </c>
      <c r="G8810" s="401"/>
      <c r="H8810" s="401"/>
      <c r="I8810" s="1163">
        <f t="shared" si="327"/>
        <v>36</v>
      </c>
      <c r="J8810" s="1022"/>
      <c r="K8810" s="1222"/>
    </row>
    <row r="8811" spans="1:11">
      <c r="A8811" s="1221"/>
      <c r="C8811" s="298" t="s">
        <v>1990</v>
      </c>
      <c r="D8811" s="392">
        <v>6</v>
      </c>
      <c r="E8811" s="165">
        <v>2</v>
      </c>
      <c r="F8811" s="401">
        <v>0.5</v>
      </c>
      <c r="G8811" s="401"/>
      <c r="H8811" s="401"/>
      <c r="I8811" s="1163">
        <f t="shared" si="327"/>
        <v>6</v>
      </c>
      <c r="J8811" s="1022"/>
      <c r="K8811" s="1222"/>
    </row>
    <row r="8812" spans="1:11">
      <c r="A8812" s="1221" t="s">
        <v>459</v>
      </c>
      <c r="B8812" s="425" t="s">
        <v>2025</v>
      </c>
      <c r="C8812" s="298"/>
      <c r="D8812" s="392"/>
      <c r="E8812" s="165"/>
      <c r="F8812" s="401"/>
      <c r="G8812" s="401"/>
      <c r="H8812" s="401"/>
      <c r="I8812" s="1163" t="str">
        <f t="shared" si="327"/>
        <v/>
      </c>
      <c r="J8812" s="1022"/>
      <c r="K8812" s="1222"/>
    </row>
    <row r="8813" spans="1:11">
      <c r="A8813" s="1221"/>
      <c r="B8813" s="425" t="s">
        <v>1513</v>
      </c>
      <c r="C8813" s="298" t="s">
        <v>1990</v>
      </c>
      <c r="D8813" s="392">
        <v>7</v>
      </c>
      <c r="E8813" s="165">
        <v>2</v>
      </c>
      <c r="F8813" s="401">
        <v>3</v>
      </c>
      <c r="G8813" s="401"/>
      <c r="H8813" s="401"/>
      <c r="I8813" s="1163">
        <f t="shared" si="327"/>
        <v>42</v>
      </c>
      <c r="J8813" s="1022"/>
      <c r="K8813" s="1222"/>
    </row>
    <row r="8814" spans="1:11">
      <c r="A8814" s="1221"/>
      <c r="C8814" s="298" t="s">
        <v>1990</v>
      </c>
      <c r="D8814" s="392">
        <v>7</v>
      </c>
      <c r="E8814" s="165">
        <v>2</v>
      </c>
      <c r="F8814" s="401">
        <v>0.5</v>
      </c>
      <c r="G8814" s="401"/>
      <c r="H8814" s="401"/>
      <c r="I8814" s="1163">
        <f t="shared" si="327"/>
        <v>7</v>
      </c>
      <c r="J8814" s="1022"/>
      <c r="K8814" s="1222"/>
    </row>
    <row r="8815" spans="1:11">
      <c r="A8815" s="1221" t="s">
        <v>1511</v>
      </c>
      <c r="B8815" s="425" t="s">
        <v>2026</v>
      </c>
      <c r="C8815" s="298"/>
      <c r="D8815" s="392"/>
      <c r="E8815" s="165"/>
      <c r="F8815" s="401"/>
      <c r="G8815" s="401"/>
      <c r="H8815" s="401"/>
      <c r="I8815" s="1163" t="str">
        <f t="shared" si="327"/>
        <v/>
      </c>
      <c r="J8815" s="1022"/>
      <c r="K8815" s="1222"/>
    </row>
    <row r="8816" spans="1:11">
      <c r="A8816" s="1221"/>
      <c r="B8816" s="425" t="s">
        <v>1513</v>
      </c>
      <c r="C8816" s="298" t="s">
        <v>1990</v>
      </c>
      <c r="D8816" s="392">
        <v>6</v>
      </c>
      <c r="E8816" s="165">
        <v>2</v>
      </c>
      <c r="F8816" s="401">
        <v>3</v>
      </c>
      <c r="G8816" s="401"/>
      <c r="H8816" s="401"/>
      <c r="I8816" s="1163">
        <f t="shared" si="327"/>
        <v>36</v>
      </c>
      <c r="J8816" s="1022"/>
      <c r="K8816" s="1222"/>
    </row>
    <row r="8817" spans="1:11">
      <c r="A8817" s="1221"/>
      <c r="C8817" s="298" t="s">
        <v>1990</v>
      </c>
      <c r="D8817" s="392">
        <v>6</v>
      </c>
      <c r="E8817" s="165">
        <v>2</v>
      </c>
      <c r="F8817" s="401">
        <v>0.5</v>
      </c>
      <c r="G8817" s="401"/>
      <c r="H8817" s="401"/>
      <c r="I8817" s="1163">
        <f t="shared" si="327"/>
        <v>6</v>
      </c>
      <c r="J8817" s="1022"/>
      <c r="K8817" s="1222"/>
    </row>
    <row r="8818" spans="1:11">
      <c r="A8818" s="1221" t="s">
        <v>1515</v>
      </c>
      <c r="B8818" s="425" t="s">
        <v>2027</v>
      </c>
      <c r="C8818" s="298"/>
      <c r="D8818" s="392"/>
      <c r="E8818" s="165"/>
      <c r="F8818" s="401"/>
      <c r="G8818" s="401"/>
      <c r="H8818" s="401"/>
      <c r="I8818" s="1163" t="str">
        <f t="shared" si="327"/>
        <v/>
      </c>
      <c r="J8818" s="1022"/>
      <c r="K8818" s="1222"/>
    </row>
    <row r="8819" spans="1:11">
      <c r="A8819" s="1221"/>
      <c r="B8819" s="425" t="s">
        <v>1513</v>
      </c>
      <c r="C8819" s="298" t="s">
        <v>1990</v>
      </c>
      <c r="D8819" s="392">
        <v>4</v>
      </c>
      <c r="E8819" s="165">
        <v>2</v>
      </c>
      <c r="F8819" s="401">
        <v>3</v>
      </c>
      <c r="G8819" s="401"/>
      <c r="H8819" s="401"/>
      <c r="I8819" s="1163">
        <f t="shared" si="327"/>
        <v>24</v>
      </c>
      <c r="J8819" s="1022"/>
      <c r="K8819" s="1222"/>
    </row>
    <row r="8820" spans="1:11">
      <c r="A8820" s="1221"/>
      <c r="C8820" s="298" t="s">
        <v>1990</v>
      </c>
      <c r="D8820" s="392">
        <v>4</v>
      </c>
      <c r="E8820" s="165">
        <v>2</v>
      </c>
      <c r="F8820" s="401">
        <v>0.5</v>
      </c>
      <c r="G8820" s="401"/>
      <c r="H8820" s="401"/>
      <c r="I8820" s="1163">
        <f t="shared" si="327"/>
        <v>4</v>
      </c>
      <c r="J8820" s="1022"/>
      <c r="K8820" s="1222"/>
    </row>
    <row r="8821" spans="1:11">
      <c r="A8821" s="1221" t="s">
        <v>1518</v>
      </c>
      <c r="B8821" s="425" t="s">
        <v>1797</v>
      </c>
      <c r="C8821" s="298"/>
      <c r="D8821" s="392"/>
      <c r="E8821" s="165"/>
      <c r="F8821" s="401"/>
      <c r="G8821" s="401"/>
      <c r="H8821" s="401"/>
      <c r="I8821" s="1163" t="str">
        <f t="shared" si="327"/>
        <v/>
      </c>
      <c r="J8821" s="1022"/>
      <c r="K8821" s="1222"/>
    </row>
    <row r="8822" spans="1:11">
      <c r="A8822" s="1221"/>
      <c r="B8822" s="425" t="s">
        <v>1513</v>
      </c>
      <c r="C8822" s="298" t="s">
        <v>1990</v>
      </c>
      <c r="D8822" s="392">
        <v>2</v>
      </c>
      <c r="E8822" s="165">
        <v>2</v>
      </c>
      <c r="F8822" s="401">
        <v>3</v>
      </c>
      <c r="G8822" s="401"/>
      <c r="H8822" s="401"/>
      <c r="I8822" s="1163">
        <f t="shared" si="327"/>
        <v>12</v>
      </c>
      <c r="J8822" s="1022"/>
      <c r="K8822" s="1222"/>
    </row>
    <row r="8823" spans="1:11">
      <c r="A8823" s="1221"/>
      <c r="C8823" s="298" t="s">
        <v>1990</v>
      </c>
      <c r="D8823" s="392">
        <v>2</v>
      </c>
      <c r="E8823" s="165">
        <v>2</v>
      </c>
      <c r="F8823" s="401">
        <v>0.5</v>
      </c>
      <c r="G8823" s="401"/>
      <c r="H8823" s="401"/>
      <c r="I8823" s="1163">
        <f t="shared" si="327"/>
        <v>2</v>
      </c>
      <c r="J8823" s="1022"/>
      <c r="K8823" s="1222"/>
    </row>
    <row r="8824" spans="1:11">
      <c r="A8824" s="1221" t="s">
        <v>1530</v>
      </c>
      <c r="B8824" s="425" t="s">
        <v>1798</v>
      </c>
      <c r="C8824" s="298"/>
      <c r="D8824" s="392"/>
      <c r="E8824" s="165"/>
      <c r="F8824" s="401"/>
      <c r="G8824" s="401"/>
      <c r="H8824" s="401"/>
      <c r="I8824" s="1163" t="str">
        <f t="shared" si="327"/>
        <v/>
      </c>
      <c r="J8824" s="1022"/>
      <c r="K8824" s="1222"/>
    </row>
    <row r="8825" spans="1:11">
      <c r="A8825" s="1221"/>
      <c r="B8825" s="425" t="s">
        <v>1513</v>
      </c>
      <c r="C8825" s="298" t="s">
        <v>1990</v>
      </c>
      <c r="D8825" s="392">
        <v>8</v>
      </c>
      <c r="E8825" s="165">
        <v>2</v>
      </c>
      <c r="F8825" s="401">
        <v>3</v>
      </c>
      <c r="G8825" s="401"/>
      <c r="H8825" s="401"/>
      <c r="I8825" s="1163">
        <f t="shared" si="327"/>
        <v>48</v>
      </c>
      <c r="J8825" s="1022"/>
      <c r="K8825" s="1222"/>
    </row>
    <row r="8826" spans="1:11">
      <c r="A8826" s="1221"/>
      <c r="C8826" s="298" t="s">
        <v>1990</v>
      </c>
      <c r="D8826" s="392">
        <v>8</v>
      </c>
      <c r="E8826" s="165">
        <v>2</v>
      </c>
      <c r="F8826" s="401">
        <v>0.5</v>
      </c>
      <c r="G8826" s="401"/>
      <c r="H8826" s="401"/>
      <c r="I8826" s="1163">
        <f t="shared" si="327"/>
        <v>8</v>
      </c>
      <c r="J8826" s="1022"/>
      <c r="K8826" s="1222"/>
    </row>
    <row r="8827" spans="1:11">
      <c r="A8827" s="1221" t="s">
        <v>1799</v>
      </c>
      <c r="B8827" s="425" t="s">
        <v>1357</v>
      </c>
      <c r="C8827" s="298"/>
      <c r="D8827" s="392"/>
      <c r="E8827" s="165"/>
      <c r="F8827" s="401"/>
      <c r="G8827" s="401"/>
      <c r="H8827" s="401"/>
      <c r="I8827" s="1163" t="str">
        <f t="shared" si="327"/>
        <v/>
      </c>
      <c r="J8827" s="1022"/>
      <c r="K8827" s="1222"/>
    </row>
    <row r="8828" spans="1:11">
      <c r="A8828" s="1221"/>
      <c r="B8828" s="425" t="s">
        <v>1513</v>
      </c>
      <c r="C8828" s="298" t="s">
        <v>1990</v>
      </c>
      <c r="D8828" s="392">
        <v>4</v>
      </c>
      <c r="E8828" s="165">
        <v>2</v>
      </c>
      <c r="F8828" s="401">
        <v>3</v>
      </c>
      <c r="G8828" s="401"/>
      <c r="H8828" s="401"/>
      <c r="I8828" s="1163">
        <f t="shared" si="327"/>
        <v>24</v>
      </c>
      <c r="J8828" s="1022"/>
      <c r="K8828" s="1222"/>
    </row>
    <row r="8829" spans="1:11">
      <c r="A8829" s="1221"/>
      <c r="C8829" s="298" t="s">
        <v>1990</v>
      </c>
      <c r="D8829" s="392">
        <v>4</v>
      </c>
      <c r="E8829" s="165">
        <v>2</v>
      </c>
      <c r="F8829" s="401">
        <v>0.5</v>
      </c>
      <c r="G8829" s="401"/>
      <c r="H8829" s="401"/>
      <c r="I8829" s="1163">
        <f t="shared" si="327"/>
        <v>4</v>
      </c>
      <c r="J8829" s="1022"/>
      <c r="K8829" s="1222"/>
    </row>
    <row r="8830" spans="1:11" ht="34.5">
      <c r="A8830" s="1221" t="s">
        <v>1800</v>
      </c>
      <c r="B8830" s="425" t="s">
        <v>1358</v>
      </c>
      <c r="C8830" s="298"/>
      <c r="D8830" s="392"/>
      <c r="E8830" s="165"/>
      <c r="F8830" s="401"/>
      <c r="G8830" s="401"/>
      <c r="H8830" s="401"/>
      <c r="I8830" s="1163" t="str">
        <f t="shared" si="327"/>
        <v/>
      </c>
      <c r="J8830" s="1022"/>
      <c r="K8830" s="1222"/>
    </row>
    <row r="8831" spans="1:11">
      <c r="A8831" s="1221"/>
      <c r="B8831" s="425" t="s">
        <v>1513</v>
      </c>
      <c r="C8831" s="298" t="s">
        <v>1990</v>
      </c>
      <c r="D8831" s="392">
        <v>8</v>
      </c>
      <c r="E8831" s="165">
        <v>2</v>
      </c>
      <c r="F8831" s="401">
        <v>3</v>
      </c>
      <c r="G8831" s="401"/>
      <c r="H8831" s="401"/>
      <c r="I8831" s="1163">
        <f t="shared" si="327"/>
        <v>48</v>
      </c>
      <c r="J8831" s="1022"/>
      <c r="K8831" s="1222"/>
    </row>
    <row r="8832" spans="1:11">
      <c r="A8832" s="1221"/>
      <c r="C8832" s="298" t="s">
        <v>1990</v>
      </c>
      <c r="D8832" s="392">
        <v>8</v>
      </c>
      <c r="E8832" s="165">
        <v>2</v>
      </c>
      <c r="F8832" s="401">
        <v>0.5</v>
      </c>
      <c r="G8832" s="401"/>
      <c r="H8832" s="401"/>
      <c r="I8832" s="1163">
        <f t="shared" si="327"/>
        <v>8</v>
      </c>
      <c r="J8832" s="1022"/>
      <c r="K8832" s="1222"/>
    </row>
    <row r="8833" spans="1:11" ht="34.5">
      <c r="A8833" s="1221" t="s">
        <v>1801</v>
      </c>
      <c r="B8833" s="425" t="s">
        <v>1359</v>
      </c>
      <c r="C8833" s="298"/>
      <c r="D8833" s="392"/>
      <c r="E8833" s="165"/>
      <c r="F8833" s="401"/>
      <c r="G8833" s="401"/>
      <c r="H8833" s="401"/>
      <c r="I8833" s="1163" t="str">
        <f t="shared" si="327"/>
        <v/>
      </c>
      <c r="J8833" s="1022"/>
      <c r="K8833" s="1222"/>
    </row>
    <row r="8834" spans="1:11">
      <c r="A8834" s="1221"/>
      <c r="B8834" s="425" t="s">
        <v>1513</v>
      </c>
      <c r="C8834" s="298" t="s">
        <v>1990</v>
      </c>
      <c r="D8834" s="392">
        <v>4</v>
      </c>
      <c r="E8834" s="165">
        <v>2</v>
      </c>
      <c r="F8834" s="401">
        <v>3</v>
      </c>
      <c r="G8834" s="401"/>
      <c r="H8834" s="401"/>
      <c r="I8834" s="1163">
        <f t="shared" si="327"/>
        <v>24</v>
      </c>
      <c r="J8834" s="1022"/>
      <c r="K8834" s="1222"/>
    </row>
    <row r="8835" spans="1:11">
      <c r="A8835" s="1221"/>
      <c r="C8835" s="298" t="s">
        <v>1990</v>
      </c>
      <c r="D8835" s="392">
        <v>4</v>
      </c>
      <c r="E8835" s="165">
        <v>2</v>
      </c>
      <c r="F8835" s="401">
        <v>0.5</v>
      </c>
      <c r="G8835" s="401"/>
      <c r="H8835" s="401"/>
      <c r="I8835" s="1163">
        <f t="shared" si="327"/>
        <v>4</v>
      </c>
      <c r="J8835" s="1022"/>
      <c r="K8835" s="1222"/>
    </row>
    <row r="8836" spans="1:11" ht="34.5">
      <c r="A8836" s="1221" t="s">
        <v>1802</v>
      </c>
      <c r="B8836" s="425" t="s">
        <v>1803</v>
      </c>
      <c r="C8836" s="298"/>
      <c r="D8836" s="392"/>
      <c r="E8836" s="165"/>
      <c r="F8836" s="401"/>
      <c r="G8836" s="401"/>
      <c r="H8836" s="401"/>
      <c r="I8836" s="1163" t="str">
        <f t="shared" si="327"/>
        <v/>
      </c>
      <c r="J8836" s="1022"/>
      <c r="K8836" s="1222"/>
    </row>
    <row r="8837" spans="1:11">
      <c r="A8837" s="1221"/>
      <c r="B8837" s="425" t="s">
        <v>1513</v>
      </c>
      <c r="C8837" s="298" t="s">
        <v>1990</v>
      </c>
      <c r="D8837" s="392">
        <v>3</v>
      </c>
      <c r="E8837" s="165">
        <v>2</v>
      </c>
      <c r="F8837" s="401">
        <v>3</v>
      </c>
      <c r="G8837" s="401"/>
      <c r="H8837" s="401"/>
      <c r="I8837" s="1163">
        <f t="shared" si="327"/>
        <v>18</v>
      </c>
      <c r="J8837" s="1022"/>
      <c r="K8837" s="1222"/>
    </row>
    <row r="8838" spans="1:11">
      <c r="A8838" s="1221"/>
      <c r="C8838" s="298" t="s">
        <v>1990</v>
      </c>
      <c r="D8838" s="392">
        <v>3</v>
      </c>
      <c r="E8838" s="165">
        <v>2</v>
      </c>
      <c r="F8838" s="401">
        <v>0.5</v>
      </c>
      <c r="G8838" s="401"/>
      <c r="H8838" s="401"/>
      <c r="I8838" s="1163">
        <f t="shared" si="327"/>
        <v>3</v>
      </c>
      <c r="J8838" s="1022"/>
      <c r="K8838" s="1222"/>
    </row>
    <row r="8839" spans="1:11" ht="51.75">
      <c r="A8839" s="1221" t="s">
        <v>1804</v>
      </c>
      <c r="B8839" s="425" t="s">
        <v>1805</v>
      </c>
      <c r="C8839" s="298"/>
      <c r="D8839" s="392"/>
      <c r="E8839" s="165"/>
      <c r="F8839" s="401"/>
      <c r="G8839" s="401"/>
      <c r="H8839" s="401"/>
      <c r="I8839" s="1163" t="str">
        <f t="shared" si="327"/>
        <v/>
      </c>
      <c r="J8839" s="1022"/>
      <c r="K8839" s="1222"/>
    </row>
    <row r="8840" spans="1:11">
      <c r="A8840" s="1221"/>
      <c r="B8840" s="425" t="s">
        <v>1513</v>
      </c>
      <c r="C8840" s="298" t="s">
        <v>1990</v>
      </c>
      <c r="D8840" s="392">
        <v>11</v>
      </c>
      <c r="E8840" s="165">
        <v>2</v>
      </c>
      <c r="F8840" s="401">
        <v>3</v>
      </c>
      <c r="G8840" s="401"/>
      <c r="H8840" s="401"/>
      <c r="I8840" s="1163">
        <f t="shared" si="327"/>
        <v>66</v>
      </c>
      <c r="J8840" s="1022"/>
      <c r="K8840" s="1222"/>
    </row>
    <row r="8841" spans="1:11">
      <c r="A8841" s="1221"/>
      <c r="C8841" s="298" t="s">
        <v>1990</v>
      </c>
      <c r="D8841" s="392">
        <v>11</v>
      </c>
      <c r="E8841" s="165">
        <v>2</v>
      </c>
      <c r="F8841" s="401">
        <v>0.5</v>
      </c>
      <c r="G8841" s="401"/>
      <c r="H8841" s="401"/>
      <c r="I8841" s="1163">
        <f t="shared" si="327"/>
        <v>11</v>
      </c>
      <c r="J8841" s="1022"/>
      <c r="K8841" s="1222"/>
    </row>
    <row r="8842" spans="1:11">
      <c r="A8842" s="1221" t="s">
        <v>1806</v>
      </c>
      <c r="B8842" s="425" t="s">
        <v>1807</v>
      </c>
      <c r="C8842" s="298"/>
      <c r="D8842" s="392"/>
      <c r="E8842" s="165"/>
      <c r="F8842" s="401"/>
      <c r="G8842" s="401"/>
      <c r="H8842" s="401"/>
      <c r="I8842" s="1163" t="str">
        <f t="shared" si="327"/>
        <v/>
      </c>
      <c r="J8842" s="1022"/>
      <c r="K8842" s="1222"/>
    </row>
    <row r="8843" spans="1:11">
      <c r="A8843" s="1221"/>
      <c r="B8843" s="425" t="s">
        <v>1513</v>
      </c>
      <c r="C8843" s="298" t="s">
        <v>1990</v>
      </c>
      <c r="D8843" s="392">
        <v>4</v>
      </c>
      <c r="E8843" s="165">
        <v>2</v>
      </c>
      <c r="F8843" s="401">
        <v>3</v>
      </c>
      <c r="G8843" s="401"/>
      <c r="H8843" s="401"/>
      <c r="I8843" s="1163">
        <f t="shared" si="327"/>
        <v>24</v>
      </c>
      <c r="J8843" s="1022"/>
      <c r="K8843" s="1222"/>
    </row>
    <row r="8844" spans="1:11">
      <c r="A8844" s="1221"/>
      <c r="C8844" s="298" t="s">
        <v>1990</v>
      </c>
      <c r="D8844" s="392">
        <v>4</v>
      </c>
      <c r="E8844" s="165">
        <v>2</v>
      </c>
      <c r="F8844" s="401">
        <v>0.5</v>
      </c>
      <c r="G8844" s="401"/>
      <c r="H8844" s="401"/>
      <c r="I8844" s="1163">
        <f t="shared" si="327"/>
        <v>4</v>
      </c>
      <c r="J8844" s="1022"/>
      <c r="K8844" s="1222"/>
    </row>
    <row r="8845" spans="1:11" ht="34.5">
      <c r="A8845" s="1221" t="s">
        <v>1808</v>
      </c>
      <c r="B8845" s="425" t="s">
        <v>1809</v>
      </c>
      <c r="C8845" s="298"/>
      <c r="D8845" s="392"/>
      <c r="E8845" s="165"/>
      <c r="F8845" s="401"/>
      <c r="G8845" s="401"/>
      <c r="H8845" s="401"/>
      <c r="I8845" s="1163" t="str">
        <f t="shared" si="327"/>
        <v/>
      </c>
      <c r="J8845" s="1022"/>
      <c r="K8845" s="1222"/>
    </row>
    <row r="8846" spans="1:11">
      <c r="A8846" s="1221"/>
      <c r="B8846" s="425" t="s">
        <v>1513</v>
      </c>
      <c r="C8846" s="298" t="s">
        <v>1990</v>
      </c>
      <c r="D8846" s="392">
        <v>12</v>
      </c>
      <c r="E8846" s="165">
        <v>2</v>
      </c>
      <c r="F8846" s="401">
        <v>3</v>
      </c>
      <c r="G8846" s="401"/>
      <c r="H8846" s="401"/>
      <c r="I8846" s="1163">
        <f t="shared" si="327"/>
        <v>72</v>
      </c>
      <c r="J8846" s="1022"/>
      <c r="K8846" s="1222"/>
    </row>
    <row r="8847" spans="1:11">
      <c r="A8847" s="1221"/>
      <c r="C8847" s="298" t="s">
        <v>1990</v>
      </c>
      <c r="D8847" s="392">
        <v>12</v>
      </c>
      <c r="E8847" s="165">
        <v>2</v>
      </c>
      <c r="F8847" s="401">
        <v>0.5</v>
      </c>
      <c r="G8847" s="401"/>
      <c r="H8847" s="401"/>
      <c r="I8847" s="1163">
        <f t="shared" si="327"/>
        <v>12</v>
      </c>
      <c r="J8847" s="1022"/>
      <c r="K8847" s="1222"/>
    </row>
    <row r="8848" spans="1:11">
      <c r="A8848" s="1221" t="s">
        <v>1810</v>
      </c>
      <c r="B8848" s="425" t="s">
        <v>1811</v>
      </c>
      <c r="C8848" s="298"/>
      <c r="D8848" s="392"/>
      <c r="E8848" s="165"/>
      <c r="F8848" s="401"/>
      <c r="G8848" s="401"/>
      <c r="H8848" s="401"/>
      <c r="I8848" s="1163" t="str">
        <f t="shared" si="327"/>
        <v/>
      </c>
      <c r="J8848" s="1022"/>
      <c r="K8848" s="1222"/>
    </row>
    <row r="8849" spans="1:11">
      <c r="A8849" s="1221"/>
      <c r="B8849" s="425" t="s">
        <v>1513</v>
      </c>
      <c r="C8849" s="298" t="s">
        <v>1990</v>
      </c>
      <c r="D8849" s="392">
        <v>8</v>
      </c>
      <c r="E8849" s="165">
        <v>2</v>
      </c>
      <c r="F8849" s="401">
        <v>3</v>
      </c>
      <c r="G8849" s="401"/>
      <c r="H8849" s="401"/>
      <c r="I8849" s="1163">
        <f t="shared" si="327"/>
        <v>48</v>
      </c>
      <c r="J8849" s="1022"/>
      <c r="K8849" s="1222"/>
    </row>
    <row r="8850" spans="1:11">
      <c r="A8850" s="1221"/>
      <c r="C8850" s="298" t="s">
        <v>1990</v>
      </c>
      <c r="D8850" s="392">
        <v>8</v>
      </c>
      <c r="E8850" s="165">
        <v>2</v>
      </c>
      <c r="F8850" s="401">
        <v>0.5</v>
      </c>
      <c r="G8850" s="401"/>
      <c r="H8850" s="401"/>
      <c r="I8850" s="1163">
        <f t="shared" si="327"/>
        <v>8</v>
      </c>
      <c r="J8850" s="1022"/>
      <c r="K8850" s="1222"/>
    </row>
    <row r="8851" spans="1:11">
      <c r="A8851" s="1221">
        <v>3</v>
      </c>
      <c r="B8851" s="425" t="s">
        <v>2028</v>
      </c>
      <c r="C8851" s="298"/>
      <c r="D8851" s="392"/>
      <c r="E8851" s="165"/>
      <c r="F8851" s="401"/>
      <c r="G8851" s="401"/>
      <c r="H8851" s="401"/>
      <c r="I8851" s="1163" t="str">
        <f t="shared" si="327"/>
        <v/>
      </c>
      <c r="J8851" s="1022"/>
      <c r="K8851" s="1222"/>
    </row>
    <row r="8852" spans="1:11" ht="34.5">
      <c r="A8852" s="1221"/>
      <c r="B8852" s="425" t="s">
        <v>2029</v>
      </c>
      <c r="C8852" s="298" t="s">
        <v>1990</v>
      </c>
      <c r="D8852" s="392">
        <v>1</v>
      </c>
      <c r="E8852" s="165">
        <v>1</v>
      </c>
      <c r="F8852" s="401">
        <v>63.176800000000007</v>
      </c>
      <c r="G8852" s="401"/>
      <c r="H8852" s="401"/>
      <c r="I8852" s="1163">
        <f t="shared" si="327"/>
        <v>63.18</v>
      </c>
      <c r="J8852" s="1022"/>
      <c r="K8852" s="1222"/>
    </row>
    <row r="8853" spans="1:11" ht="34.5">
      <c r="A8853" s="1221"/>
      <c r="B8853" s="425" t="s">
        <v>2030</v>
      </c>
      <c r="C8853" s="298" t="s">
        <v>1990</v>
      </c>
      <c r="D8853" s="392">
        <v>1</v>
      </c>
      <c r="E8853" s="165">
        <v>1</v>
      </c>
      <c r="F8853" s="401">
        <v>66.756400000000014</v>
      </c>
      <c r="G8853" s="401"/>
      <c r="H8853" s="401"/>
      <c r="I8853" s="1163">
        <f t="shared" si="327"/>
        <v>66.760000000000005</v>
      </c>
      <c r="J8853" s="1022"/>
      <c r="K8853" s="1222"/>
    </row>
    <row r="8854" spans="1:11">
      <c r="A8854" s="1221"/>
      <c r="C8854" s="298"/>
      <c r="D8854" s="392"/>
      <c r="E8854" s="165"/>
      <c r="F8854" s="401"/>
      <c r="G8854" s="401"/>
      <c r="H8854" s="401"/>
      <c r="I8854" s="1163" t="str">
        <f t="shared" si="327"/>
        <v/>
      </c>
      <c r="J8854" s="1022"/>
      <c r="K8854" s="1222"/>
    </row>
    <row r="8855" spans="1:11" ht="51.75">
      <c r="A8855" s="1221">
        <v>4</v>
      </c>
      <c r="B8855" s="425" t="s">
        <v>2031</v>
      </c>
      <c r="C8855" s="298"/>
      <c r="D8855" s="392"/>
      <c r="E8855" s="165"/>
      <c r="F8855" s="401"/>
      <c r="G8855" s="401"/>
      <c r="H8855" s="401"/>
      <c r="I8855" s="1163" t="str">
        <f t="shared" si="327"/>
        <v/>
      </c>
      <c r="J8855" s="1022"/>
      <c r="K8855" s="1222"/>
    </row>
    <row r="8856" spans="1:11">
      <c r="A8856" s="1221"/>
      <c r="C8856" s="298"/>
      <c r="D8856" s="392"/>
      <c r="E8856" s="165"/>
      <c r="F8856" s="401"/>
      <c r="G8856" s="401"/>
      <c r="H8856" s="401"/>
      <c r="I8856" s="1163" t="str">
        <f t="shared" si="327"/>
        <v/>
      </c>
      <c r="J8856" s="1022"/>
      <c r="K8856" s="1222"/>
    </row>
    <row r="8857" spans="1:11" ht="34.5">
      <c r="A8857" s="1221">
        <v>4.0999999999999996</v>
      </c>
      <c r="B8857" s="425" t="s">
        <v>2032</v>
      </c>
      <c r="C8857" s="298"/>
      <c r="D8857" s="392"/>
      <c r="E8857" s="165"/>
      <c r="F8857" s="401"/>
      <c r="G8857" s="401"/>
      <c r="H8857" s="401"/>
      <c r="I8857" s="1163" t="str">
        <f t="shared" si="327"/>
        <v/>
      </c>
      <c r="J8857" s="1022"/>
      <c r="K8857" s="1222"/>
    </row>
    <row r="8858" spans="1:11" ht="34.5">
      <c r="A8858" s="1221"/>
      <c r="B8858" s="425" t="s">
        <v>2033</v>
      </c>
      <c r="C8858" s="298" t="s">
        <v>1990</v>
      </c>
      <c r="D8858" s="392">
        <v>1</v>
      </c>
      <c r="E8858" s="165">
        <v>2</v>
      </c>
      <c r="F8858" s="401">
        <v>22.08</v>
      </c>
      <c r="G8858" s="401"/>
      <c r="H8858" s="401"/>
      <c r="I8858" s="1163">
        <f t="shared" si="327"/>
        <v>44.16</v>
      </c>
      <c r="J8858" s="1022"/>
      <c r="K8858" s="1222"/>
    </row>
    <row r="8859" spans="1:11">
      <c r="A8859" s="1221"/>
      <c r="C8859" s="298" t="s">
        <v>1990</v>
      </c>
      <c r="D8859" s="392">
        <v>2</v>
      </c>
      <c r="E8859" s="165">
        <v>2</v>
      </c>
      <c r="F8859" s="401">
        <v>2.74</v>
      </c>
      <c r="G8859" s="401"/>
      <c r="H8859" s="401"/>
      <c r="I8859" s="1163">
        <f t="shared" si="327"/>
        <v>10.96</v>
      </c>
      <c r="J8859" s="1022"/>
      <c r="K8859" s="1222"/>
    </row>
    <row r="8860" spans="1:11">
      <c r="A8860" s="1221"/>
      <c r="C8860" s="298" t="s">
        <v>1990</v>
      </c>
      <c r="D8860" s="392">
        <v>2</v>
      </c>
      <c r="E8860" s="165">
        <v>2</v>
      </c>
      <c r="F8860" s="401">
        <v>8</v>
      </c>
      <c r="G8860" s="401"/>
      <c r="H8860" s="401"/>
      <c r="I8860" s="1163">
        <f t="shared" si="327"/>
        <v>32</v>
      </c>
      <c r="J8860" s="1022"/>
      <c r="K8860" s="1222"/>
    </row>
    <row r="8861" spans="1:11">
      <c r="A8861" s="1221"/>
      <c r="C8861" s="298"/>
      <c r="D8861" s="392"/>
      <c r="E8861" s="165"/>
      <c r="F8861" s="401"/>
      <c r="G8861" s="401"/>
      <c r="H8861" s="401"/>
      <c r="I8861" s="1163" t="str">
        <f t="shared" ref="I8861:I8924" si="328">IF(D8861&lt;&gt;0,ROUND(PRODUCT(E8861:H8861)*D8861,2),"")</f>
        <v/>
      </c>
      <c r="J8861" s="1022"/>
      <c r="K8861" s="1222"/>
    </row>
    <row r="8862" spans="1:11" ht="34.5">
      <c r="A8862" s="1221"/>
      <c r="B8862" s="425" t="s">
        <v>1390</v>
      </c>
      <c r="C8862" s="298" t="s">
        <v>1990</v>
      </c>
      <c r="D8862" s="392">
        <v>3</v>
      </c>
      <c r="E8862" s="165">
        <v>4</v>
      </c>
      <c r="F8862" s="401">
        <v>5.04</v>
      </c>
      <c r="G8862" s="401"/>
      <c r="H8862" s="401"/>
      <c r="I8862" s="1163">
        <f t="shared" si="328"/>
        <v>60.48</v>
      </c>
      <c r="J8862" s="1022"/>
      <c r="K8862" s="1222"/>
    </row>
    <row r="8863" spans="1:11">
      <c r="A8863" s="1221"/>
      <c r="C8863" s="298" t="s">
        <v>1990</v>
      </c>
      <c r="D8863" s="392">
        <v>3</v>
      </c>
      <c r="E8863" s="165">
        <v>4</v>
      </c>
      <c r="F8863" s="401">
        <v>2.08</v>
      </c>
      <c r="G8863" s="401"/>
      <c r="H8863" s="401"/>
      <c r="I8863" s="1163">
        <f t="shared" si="328"/>
        <v>24.96</v>
      </c>
      <c r="J8863" s="1022"/>
      <c r="K8863" s="1222"/>
    </row>
    <row r="8864" spans="1:11">
      <c r="A8864" s="1221"/>
      <c r="C8864" s="298"/>
      <c r="D8864" s="392"/>
      <c r="E8864" s="165"/>
      <c r="F8864" s="401"/>
      <c r="G8864" s="401"/>
      <c r="H8864" s="401"/>
      <c r="I8864" s="1163" t="str">
        <f t="shared" si="328"/>
        <v/>
      </c>
      <c r="J8864" s="1022"/>
      <c r="K8864" s="1222"/>
    </row>
    <row r="8865" spans="1:11">
      <c r="A8865" s="1221"/>
      <c r="B8865" s="425" t="s">
        <v>2034</v>
      </c>
      <c r="C8865" s="298" t="s">
        <v>1990</v>
      </c>
      <c r="D8865" s="392">
        <v>2</v>
      </c>
      <c r="E8865" s="165">
        <v>4</v>
      </c>
      <c r="F8865" s="401">
        <v>5.04</v>
      </c>
      <c r="G8865" s="401"/>
      <c r="H8865" s="401"/>
      <c r="I8865" s="1163">
        <f t="shared" si="328"/>
        <v>40.32</v>
      </c>
      <c r="J8865" s="1022"/>
      <c r="K8865" s="1222"/>
    </row>
    <row r="8866" spans="1:11">
      <c r="A8866" s="1221"/>
      <c r="C8866" s="298" t="s">
        <v>1990</v>
      </c>
      <c r="D8866" s="392">
        <v>2</v>
      </c>
      <c r="E8866" s="165">
        <v>4</v>
      </c>
      <c r="F8866" s="401">
        <v>2.08</v>
      </c>
      <c r="G8866" s="401"/>
      <c r="H8866" s="401"/>
      <c r="I8866" s="1163">
        <f t="shared" si="328"/>
        <v>16.64</v>
      </c>
      <c r="J8866" s="1022"/>
      <c r="K8866" s="1222"/>
    </row>
    <row r="8867" spans="1:11">
      <c r="A8867" s="1221"/>
      <c r="C8867" s="298"/>
      <c r="D8867" s="392"/>
      <c r="E8867" s="165"/>
      <c r="F8867" s="401"/>
      <c r="G8867" s="401"/>
      <c r="H8867" s="401"/>
      <c r="I8867" s="1163" t="str">
        <f t="shared" si="328"/>
        <v/>
      </c>
      <c r="J8867" s="1022"/>
      <c r="K8867" s="1222"/>
    </row>
    <row r="8868" spans="1:11">
      <c r="A8868" s="1221"/>
      <c r="B8868" s="425" t="s">
        <v>1391</v>
      </c>
      <c r="C8868" s="298" t="s">
        <v>1990</v>
      </c>
      <c r="D8868" s="392">
        <v>4</v>
      </c>
      <c r="E8868" s="165">
        <v>2</v>
      </c>
      <c r="F8868" s="401">
        <v>3</v>
      </c>
      <c r="G8868" s="401"/>
      <c r="H8868" s="401"/>
      <c r="I8868" s="1163">
        <f t="shared" si="328"/>
        <v>24</v>
      </c>
      <c r="J8868" s="1022"/>
      <c r="K8868" s="1222"/>
    </row>
    <row r="8869" spans="1:11" ht="34.5">
      <c r="A8869" s="1221"/>
      <c r="B8869" s="425" t="s">
        <v>1390</v>
      </c>
      <c r="C8869" s="298" t="s">
        <v>1990</v>
      </c>
      <c r="D8869" s="392">
        <v>5</v>
      </c>
      <c r="E8869" s="165">
        <v>4</v>
      </c>
      <c r="F8869" s="401">
        <v>5.04</v>
      </c>
      <c r="G8869" s="401"/>
      <c r="H8869" s="401"/>
      <c r="I8869" s="1163">
        <f t="shared" si="328"/>
        <v>100.8</v>
      </c>
      <c r="J8869" s="1022"/>
      <c r="K8869" s="1222"/>
    </row>
    <row r="8870" spans="1:11">
      <c r="A8870" s="1221"/>
      <c r="C8870" s="298" t="s">
        <v>1990</v>
      </c>
      <c r="D8870" s="392">
        <v>5</v>
      </c>
      <c r="E8870" s="165">
        <v>4</v>
      </c>
      <c r="F8870" s="401">
        <v>2.08</v>
      </c>
      <c r="G8870" s="401"/>
      <c r="H8870" s="401"/>
      <c r="I8870" s="1163">
        <f t="shared" si="328"/>
        <v>41.6</v>
      </c>
      <c r="J8870" s="1022"/>
      <c r="K8870" s="1222"/>
    </row>
    <row r="8871" spans="1:11">
      <c r="A8871" s="1221"/>
      <c r="B8871" s="425" t="s">
        <v>1392</v>
      </c>
      <c r="C8871" s="298" t="s">
        <v>1990</v>
      </c>
      <c r="D8871" s="392">
        <v>24</v>
      </c>
      <c r="E8871" s="165">
        <v>4</v>
      </c>
      <c r="F8871" s="401">
        <v>1</v>
      </c>
      <c r="G8871" s="401"/>
      <c r="H8871" s="401"/>
      <c r="I8871" s="1163">
        <f t="shared" si="328"/>
        <v>96</v>
      </c>
      <c r="J8871" s="1022"/>
      <c r="K8871" s="1222"/>
    </row>
    <row r="8872" spans="1:11">
      <c r="A8872" s="1221"/>
      <c r="C8872" s="298"/>
      <c r="D8872" s="392"/>
      <c r="E8872" s="165"/>
      <c r="F8872" s="401"/>
      <c r="G8872" s="401"/>
      <c r="H8872" s="401"/>
      <c r="I8872" s="1163" t="str">
        <f t="shared" si="328"/>
        <v/>
      </c>
      <c r="J8872" s="1022"/>
      <c r="K8872" s="1222"/>
    </row>
    <row r="8873" spans="1:11" ht="34.5">
      <c r="A8873" s="1221"/>
      <c r="B8873" s="425" t="s">
        <v>2035</v>
      </c>
      <c r="C8873" s="298"/>
      <c r="D8873" s="392"/>
      <c r="E8873" s="165"/>
      <c r="F8873" s="401"/>
      <c r="G8873" s="401"/>
      <c r="H8873" s="401"/>
      <c r="I8873" s="1163" t="str">
        <f t="shared" si="328"/>
        <v/>
      </c>
      <c r="J8873" s="1022"/>
      <c r="K8873" s="1222"/>
    </row>
    <row r="8874" spans="1:11">
      <c r="A8874" s="1221"/>
      <c r="B8874" s="425" t="s">
        <v>2036</v>
      </c>
      <c r="C8874" s="298" t="s">
        <v>1990</v>
      </c>
      <c r="D8874" s="392">
        <v>1</v>
      </c>
      <c r="E8874" s="165">
        <v>2</v>
      </c>
      <c r="F8874" s="401">
        <v>0.49999999999999994</v>
      </c>
      <c r="G8874" s="401"/>
      <c r="H8874" s="401"/>
      <c r="I8874" s="1163">
        <f t="shared" si="328"/>
        <v>1</v>
      </c>
      <c r="J8874" s="1022"/>
      <c r="K8874" s="1222"/>
    </row>
    <row r="8875" spans="1:11">
      <c r="A8875" s="1221"/>
      <c r="B8875" s="425" t="s">
        <v>2037</v>
      </c>
      <c r="C8875" s="298" t="s">
        <v>1990</v>
      </c>
      <c r="D8875" s="392">
        <v>3</v>
      </c>
      <c r="E8875" s="165">
        <v>2</v>
      </c>
      <c r="F8875" s="401">
        <v>0.64999999999999991</v>
      </c>
      <c r="G8875" s="401"/>
      <c r="H8875" s="401"/>
      <c r="I8875" s="1163">
        <f t="shared" si="328"/>
        <v>3.9</v>
      </c>
      <c r="J8875" s="1022"/>
      <c r="K8875" s="1222"/>
    </row>
    <row r="8876" spans="1:11">
      <c r="A8876" s="1221"/>
      <c r="B8876" s="425" t="s">
        <v>2037</v>
      </c>
      <c r="C8876" s="298" t="s">
        <v>1990</v>
      </c>
      <c r="D8876" s="392">
        <v>2</v>
      </c>
      <c r="E8876" s="165">
        <v>4</v>
      </c>
      <c r="F8876" s="401">
        <v>0.64999999999999991</v>
      </c>
      <c r="G8876" s="401"/>
      <c r="H8876" s="401"/>
      <c r="I8876" s="1163">
        <f t="shared" si="328"/>
        <v>5.2</v>
      </c>
      <c r="J8876" s="1022"/>
      <c r="K8876" s="1222"/>
    </row>
    <row r="8877" spans="1:11" ht="34.5">
      <c r="A8877" s="1221"/>
      <c r="B8877" s="425" t="s">
        <v>2038</v>
      </c>
      <c r="C8877" s="298"/>
      <c r="D8877" s="392"/>
      <c r="E8877" s="165"/>
      <c r="F8877" s="401"/>
      <c r="G8877" s="401"/>
      <c r="H8877" s="401"/>
      <c r="I8877" s="1163" t="str">
        <f t="shared" si="328"/>
        <v/>
      </c>
      <c r="J8877" s="1022"/>
      <c r="K8877" s="1222"/>
    </row>
    <row r="8878" spans="1:11">
      <c r="A8878" s="1221"/>
      <c r="B8878" s="425" t="s">
        <v>2039</v>
      </c>
      <c r="C8878" s="298" t="s">
        <v>1990</v>
      </c>
      <c r="D8878" s="392">
        <v>1</v>
      </c>
      <c r="E8878" s="165">
        <v>12</v>
      </c>
      <c r="F8878" s="401">
        <v>0.64999999999999991</v>
      </c>
      <c r="G8878" s="401"/>
      <c r="H8878" s="401"/>
      <c r="I8878" s="1163">
        <f t="shared" si="328"/>
        <v>7.8</v>
      </c>
      <c r="J8878" s="1022"/>
      <c r="K8878" s="1222"/>
    </row>
    <row r="8879" spans="1:11">
      <c r="A8879" s="1221"/>
      <c r="C8879" s="298"/>
      <c r="D8879" s="392"/>
      <c r="E8879" s="165"/>
      <c r="F8879" s="401"/>
      <c r="G8879" s="401"/>
      <c r="H8879" s="401"/>
      <c r="I8879" s="1163" t="str">
        <f t="shared" si="328"/>
        <v/>
      </c>
      <c r="J8879" s="1022"/>
      <c r="K8879" s="1222"/>
    </row>
    <row r="8880" spans="1:11" ht="34.5">
      <c r="A8880" s="1221"/>
      <c r="B8880" s="425" t="s">
        <v>2040</v>
      </c>
      <c r="C8880" s="298" t="s">
        <v>1990</v>
      </c>
      <c r="D8880" s="392">
        <v>8</v>
      </c>
      <c r="E8880" s="165">
        <v>4</v>
      </c>
      <c r="F8880" s="401">
        <v>0.45</v>
      </c>
      <c r="G8880" s="401"/>
      <c r="H8880" s="401"/>
      <c r="I8880" s="1163">
        <f t="shared" si="328"/>
        <v>14.4</v>
      </c>
      <c r="J8880" s="1022"/>
      <c r="K8880" s="1222"/>
    </row>
    <row r="8881" spans="1:11">
      <c r="A8881" s="1221"/>
      <c r="C8881" s="298"/>
      <c r="D8881" s="392"/>
      <c r="E8881" s="165"/>
      <c r="F8881" s="401"/>
      <c r="G8881" s="401"/>
      <c r="H8881" s="401"/>
      <c r="I8881" s="1163" t="str">
        <f t="shared" si="328"/>
        <v/>
      </c>
      <c r="J8881" s="1022"/>
      <c r="K8881" s="1222"/>
    </row>
    <row r="8882" spans="1:11">
      <c r="A8882" s="1221"/>
      <c r="B8882" s="425" t="s">
        <v>2041</v>
      </c>
      <c r="C8882" s="298"/>
      <c r="D8882" s="392"/>
      <c r="E8882" s="165"/>
      <c r="F8882" s="401"/>
      <c r="G8882" s="401"/>
      <c r="H8882" s="401"/>
      <c r="I8882" s="1163" t="str">
        <f t="shared" si="328"/>
        <v/>
      </c>
      <c r="J8882" s="1022"/>
      <c r="K8882" s="1222"/>
    </row>
    <row r="8883" spans="1:11" ht="34.5">
      <c r="A8883" s="1221"/>
      <c r="B8883" s="425" t="s">
        <v>2033</v>
      </c>
      <c r="C8883" s="298"/>
      <c r="D8883" s="392"/>
      <c r="E8883" s="165"/>
      <c r="F8883" s="401"/>
      <c r="G8883" s="401"/>
      <c r="H8883" s="401"/>
      <c r="I8883" s="1163" t="str">
        <f t="shared" si="328"/>
        <v/>
      </c>
      <c r="J8883" s="1022"/>
      <c r="K8883" s="1222"/>
    </row>
    <row r="8884" spans="1:11">
      <c r="A8884" s="1221"/>
      <c r="B8884" s="425" t="s">
        <v>2041</v>
      </c>
      <c r="C8884" s="298" t="s">
        <v>1990</v>
      </c>
      <c r="D8884" s="392">
        <v>1</v>
      </c>
      <c r="E8884" s="165">
        <v>73.599999999999994</v>
      </c>
      <c r="F8884" s="401"/>
      <c r="G8884" s="401"/>
      <c r="H8884" s="401">
        <v>0.49999999999999994</v>
      </c>
      <c r="I8884" s="1163">
        <f t="shared" si="328"/>
        <v>36.799999999999997</v>
      </c>
      <c r="J8884" s="1022"/>
      <c r="K8884" s="1222"/>
    </row>
    <row r="8885" spans="1:11">
      <c r="A8885" s="1221"/>
      <c r="C8885" s="298" t="s">
        <v>1990</v>
      </c>
      <c r="D8885" s="392">
        <v>2</v>
      </c>
      <c r="E8885" s="165">
        <v>9.1333333333333346</v>
      </c>
      <c r="F8885" s="401"/>
      <c r="G8885" s="401"/>
      <c r="H8885" s="401">
        <v>0.49999999999999994</v>
      </c>
      <c r="I8885" s="1163">
        <f t="shared" si="328"/>
        <v>9.1300000000000008</v>
      </c>
      <c r="J8885" s="1022"/>
      <c r="K8885" s="1222"/>
    </row>
    <row r="8886" spans="1:11">
      <c r="A8886" s="1221"/>
      <c r="C8886" s="298" t="s">
        <v>1990</v>
      </c>
      <c r="D8886" s="392">
        <v>2</v>
      </c>
      <c r="E8886" s="165">
        <v>26.666666666666668</v>
      </c>
      <c r="F8886" s="401"/>
      <c r="G8886" s="401"/>
      <c r="H8886" s="401">
        <v>0.49999999999999994</v>
      </c>
      <c r="I8886" s="1163">
        <f t="shared" si="328"/>
        <v>26.67</v>
      </c>
      <c r="J8886" s="1022"/>
      <c r="K8886" s="1222"/>
    </row>
    <row r="8887" spans="1:11">
      <c r="A8887" s="1221"/>
      <c r="C8887" s="298"/>
      <c r="D8887" s="392"/>
      <c r="E8887" s="165"/>
      <c r="F8887" s="401"/>
      <c r="G8887" s="401"/>
      <c r="H8887" s="401"/>
      <c r="I8887" s="1163" t="str">
        <f t="shared" si="328"/>
        <v/>
      </c>
      <c r="J8887" s="1022"/>
      <c r="K8887" s="1222"/>
    </row>
    <row r="8888" spans="1:11" ht="34.5">
      <c r="A8888" s="1221"/>
      <c r="B8888" s="425" t="s">
        <v>1390</v>
      </c>
      <c r="C8888" s="298"/>
      <c r="D8888" s="392"/>
      <c r="E8888" s="165"/>
      <c r="F8888" s="401"/>
      <c r="G8888" s="401"/>
      <c r="H8888" s="401"/>
      <c r="I8888" s="1163" t="str">
        <f t="shared" si="328"/>
        <v/>
      </c>
      <c r="J8888" s="1022"/>
      <c r="K8888" s="1222"/>
    </row>
    <row r="8889" spans="1:11">
      <c r="A8889" s="1221"/>
      <c r="C8889" s="298" t="s">
        <v>1990</v>
      </c>
      <c r="D8889" s="392">
        <v>3</v>
      </c>
      <c r="E8889" s="165">
        <v>33.6</v>
      </c>
      <c r="F8889" s="401"/>
      <c r="G8889" s="401"/>
      <c r="H8889" s="401">
        <v>0.64999999999999991</v>
      </c>
      <c r="I8889" s="1163">
        <f t="shared" si="328"/>
        <v>65.52</v>
      </c>
      <c r="J8889" s="1022"/>
      <c r="K8889" s="1222"/>
    </row>
    <row r="8890" spans="1:11">
      <c r="A8890" s="1221"/>
      <c r="C8890" s="298" t="s">
        <v>1990</v>
      </c>
      <c r="D8890" s="392">
        <v>3</v>
      </c>
      <c r="E8890" s="165">
        <v>13.866666666666667</v>
      </c>
      <c r="F8890" s="401"/>
      <c r="G8890" s="401"/>
      <c r="H8890" s="401">
        <v>0.64999999999999991</v>
      </c>
      <c r="I8890" s="1163">
        <f t="shared" si="328"/>
        <v>27.04</v>
      </c>
      <c r="J8890" s="1022"/>
      <c r="K8890" s="1222"/>
    </row>
    <row r="8891" spans="1:11">
      <c r="A8891" s="1221"/>
      <c r="C8891" s="298"/>
      <c r="D8891" s="392"/>
      <c r="E8891" s="165"/>
      <c r="F8891" s="401"/>
      <c r="G8891" s="401"/>
      <c r="H8891" s="401"/>
      <c r="I8891" s="1163" t="str">
        <f t="shared" si="328"/>
        <v/>
      </c>
      <c r="J8891" s="1022"/>
      <c r="K8891" s="1222"/>
    </row>
    <row r="8892" spans="1:11">
      <c r="A8892" s="1221"/>
      <c r="B8892" s="425" t="s">
        <v>2034</v>
      </c>
      <c r="C8892" s="298"/>
      <c r="D8892" s="392"/>
      <c r="E8892" s="165"/>
      <c r="F8892" s="401"/>
      <c r="G8892" s="401"/>
      <c r="H8892" s="401"/>
      <c r="I8892" s="1163" t="str">
        <f t="shared" si="328"/>
        <v/>
      </c>
      <c r="J8892" s="1022"/>
      <c r="K8892" s="1222"/>
    </row>
    <row r="8893" spans="1:11">
      <c r="A8893" s="1221"/>
      <c r="C8893" s="298" t="s">
        <v>1990</v>
      </c>
      <c r="D8893" s="392">
        <v>2</v>
      </c>
      <c r="E8893" s="165">
        <v>33.6</v>
      </c>
      <c r="F8893" s="401"/>
      <c r="G8893" s="401"/>
      <c r="H8893" s="401">
        <v>0.64999999999999991</v>
      </c>
      <c r="I8893" s="1163">
        <f t="shared" si="328"/>
        <v>43.68</v>
      </c>
      <c r="J8893" s="1022"/>
      <c r="K8893" s="1222"/>
    </row>
    <row r="8894" spans="1:11">
      <c r="A8894" s="1221"/>
      <c r="C8894" s="298" t="s">
        <v>1990</v>
      </c>
      <c r="D8894" s="392">
        <v>2</v>
      </c>
      <c r="E8894" s="165">
        <v>13.866666666666667</v>
      </c>
      <c r="F8894" s="401"/>
      <c r="G8894" s="401"/>
      <c r="H8894" s="401">
        <v>0.64999999999999991</v>
      </c>
      <c r="I8894" s="1163">
        <f t="shared" si="328"/>
        <v>18.03</v>
      </c>
      <c r="J8894" s="1022"/>
      <c r="K8894" s="1222"/>
    </row>
    <row r="8895" spans="1:11">
      <c r="A8895" s="1221"/>
      <c r="C8895" s="298"/>
      <c r="D8895" s="392"/>
      <c r="E8895" s="165"/>
      <c r="F8895" s="401"/>
      <c r="G8895" s="401"/>
      <c r="H8895" s="401"/>
      <c r="I8895" s="1163" t="str">
        <f t="shared" si="328"/>
        <v/>
      </c>
      <c r="J8895" s="1022"/>
      <c r="K8895" s="1222"/>
    </row>
    <row r="8896" spans="1:11">
      <c r="A8896" s="1221"/>
      <c r="B8896" s="425" t="s">
        <v>1391</v>
      </c>
      <c r="C8896" s="298"/>
      <c r="D8896" s="392"/>
      <c r="E8896" s="165"/>
      <c r="F8896" s="401"/>
      <c r="G8896" s="401"/>
      <c r="H8896" s="401"/>
      <c r="I8896" s="1163" t="str">
        <f t="shared" si="328"/>
        <v/>
      </c>
      <c r="J8896" s="1022"/>
      <c r="K8896" s="1222"/>
    </row>
    <row r="8897" spans="1:11">
      <c r="A8897" s="1221"/>
      <c r="B8897" s="425" t="s">
        <v>2042</v>
      </c>
      <c r="C8897" s="298" t="s">
        <v>1990</v>
      </c>
      <c r="D8897" s="392">
        <v>4</v>
      </c>
      <c r="E8897" s="165">
        <v>20</v>
      </c>
      <c r="F8897" s="401"/>
      <c r="G8897" s="401"/>
      <c r="H8897" s="401">
        <v>0.49999999999999994</v>
      </c>
      <c r="I8897" s="1163">
        <f t="shared" si="328"/>
        <v>40</v>
      </c>
      <c r="J8897" s="1022"/>
      <c r="K8897" s="1222"/>
    </row>
    <row r="8898" spans="1:11" ht="34.5">
      <c r="A8898" s="1221"/>
      <c r="B8898" s="425" t="s">
        <v>1390</v>
      </c>
      <c r="C8898" s="298" t="s">
        <v>1990</v>
      </c>
      <c r="D8898" s="392">
        <v>2</v>
      </c>
      <c r="E8898" s="165">
        <v>16.666666666666668</v>
      </c>
      <c r="F8898" s="401"/>
      <c r="G8898" s="401"/>
      <c r="H8898" s="401">
        <v>0.64999999999999991</v>
      </c>
      <c r="I8898" s="1163">
        <f t="shared" si="328"/>
        <v>21.67</v>
      </c>
      <c r="J8898" s="1022"/>
      <c r="K8898" s="1222"/>
    </row>
    <row r="8899" spans="1:11">
      <c r="A8899" s="1221"/>
      <c r="C8899" s="298" t="s">
        <v>1990</v>
      </c>
      <c r="D8899" s="392">
        <v>8</v>
      </c>
      <c r="E8899" s="165">
        <v>6.666666666666667</v>
      </c>
      <c r="F8899" s="401"/>
      <c r="G8899" s="401"/>
      <c r="H8899" s="401">
        <v>0.64999999999999991</v>
      </c>
      <c r="I8899" s="1163">
        <f t="shared" si="328"/>
        <v>34.67</v>
      </c>
      <c r="J8899" s="1022"/>
      <c r="K8899" s="1222"/>
    </row>
    <row r="8900" spans="1:11">
      <c r="A8900" s="1221"/>
      <c r="C8900" s="298"/>
      <c r="D8900" s="392"/>
      <c r="E8900" s="165"/>
      <c r="F8900" s="401"/>
      <c r="G8900" s="401"/>
      <c r="H8900" s="401"/>
      <c r="I8900" s="1163" t="str">
        <f t="shared" si="328"/>
        <v/>
      </c>
      <c r="J8900" s="1022"/>
      <c r="K8900" s="1222"/>
    </row>
    <row r="8901" spans="1:11">
      <c r="A8901" s="1221"/>
      <c r="B8901" s="425" t="s">
        <v>1392</v>
      </c>
      <c r="C8901" s="298" t="s">
        <v>1990</v>
      </c>
      <c r="D8901" s="392">
        <v>24</v>
      </c>
      <c r="E8901" s="165">
        <v>4</v>
      </c>
      <c r="F8901" s="401">
        <v>1</v>
      </c>
      <c r="G8901" s="401"/>
      <c r="H8901" s="401"/>
      <c r="I8901" s="1163">
        <f t="shared" si="328"/>
        <v>96</v>
      </c>
      <c r="J8901" s="1022"/>
      <c r="K8901" s="1222"/>
    </row>
    <row r="8902" spans="1:11">
      <c r="A8902" s="1221"/>
      <c r="C8902" s="298"/>
      <c r="D8902" s="392"/>
      <c r="E8902" s="165"/>
      <c r="F8902" s="401"/>
      <c r="G8902" s="401"/>
      <c r="H8902" s="401"/>
      <c r="I8902" s="1163" t="str">
        <f t="shared" si="328"/>
        <v/>
      </c>
      <c r="J8902" s="1022"/>
      <c r="K8902" s="1222"/>
    </row>
    <row r="8903" spans="1:11">
      <c r="A8903" s="1221" t="s">
        <v>2010</v>
      </c>
      <c r="B8903" s="425" t="s">
        <v>1393</v>
      </c>
      <c r="C8903" s="298"/>
      <c r="D8903" s="392"/>
      <c r="E8903" s="165"/>
      <c r="F8903" s="401"/>
      <c r="G8903" s="401"/>
      <c r="H8903" s="401"/>
      <c r="I8903" s="1163" t="str">
        <f t="shared" si="328"/>
        <v/>
      </c>
      <c r="J8903" s="1022"/>
      <c r="K8903" s="1222"/>
    </row>
    <row r="8904" spans="1:11">
      <c r="A8904" s="1221"/>
      <c r="B8904" s="425" t="s">
        <v>2043</v>
      </c>
      <c r="C8904" s="298"/>
      <c r="D8904" s="392"/>
      <c r="E8904" s="165"/>
      <c r="F8904" s="401"/>
      <c r="G8904" s="401"/>
      <c r="H8904" s="401"/>
      <c r="I8904" s="1163" t="str">
        <f t="shared" si="328"/>
        <v/>
      </c>
      <c r="J8904" s="1022"/>
      <c r="K8904" s="1222"/>
    </row>
    <row r="8905" spans="1:11">
      <c r="A8905" s="1221"/>
      <c r="B8905" s="425" t="s">
        <v>2044</v>
      </c>
      <c r="C8905" s="298" t="s">
        <v>1990</v>
      </c>
      <c r="D8905" s="392">
        <v>1</v>
      </c>
      <c r="E8905" s="165">
        <v>2</v>
      </c>
      <c r="F8905" s="401">
        <v>29.114999999999998</v>
      </c>
      <c r="G8905" s="401"/>
      <c r="H8905" s="401"/>
      <c r="I8905" s="1163">
        <f t="shared" si="328"/>
        <v>58.23</v>
      </c>
      <c r="J8905" s="1022"/>
      <c r="K8905" s="1222"/>
    </row>
    <row r="8906" spans="1:11">
      <c r="A8906" s="1221"/>
      <c r="C8906" s="298" t="s">
        <v>1990</v>
      </c>
      <c r="D8906" s="392">
        <v>1</v>
      </c>
      <c r="E8906" s="165">
        <v>4</v>
      </c>
      <c r="F8906" s="401">
        <v>3.08</v>
      </c>
      <c r="G8906" s="401"/>
      <c r="H8906" s="401"/>
      <c r="I8906" s="1163">
        <f t="shared" si="328"/>
        <v>12.32</v>
      </c>
      <c r="J8906" s="1022"/>
      <c r="K8906" s="1222"/>
    </row>
    <row r="8907" spans="1:11">
      <c r="A8907" s="1221"/>
      <c r="C8907" s="298" t="s">
        <v>1990</v>
      </c>
      <c r="D8907" s="392">
        <v>1</v>
      </c>
      <c r="E8907" s="165">
        <v>2</v>
      </c>
      <c r="F8907" s="401">
        <v>3.04</v>
      </c>
      <c r="G8907" s="401"/>
      <c r="H8907" s="401"/>
      <c r="I8907" s="1163">
        <f t="shared" si="328"/>
        <v>6.08</v>
      </c>
      <c r="J8907" s="1022"/>
      <c r="K8907" s="1222"/>
    </row>
    <row r="8908" spans="1:11">
      <c r="A8908" s="1221"/>
      <c r="C8908" s="298" t="s">
        <v>1990</v>
      </c>
      <c r="D8908" s="392">
        <v>1</v>
      </c>
      <c r="E8908" s="165">
        <v>8</v>
      </c>
      <c r="F8908" s="401">
        <v>3</v>
      </c>
      <c r="G8908" s="401"/>
      <c r="H8908" s="401"/>
      <c r="I8908" s="1163">
        <f t="shared" si="328"/>
        <v>24</v>
      </c>
      <c r="J8908" s="1022"/>
      <c r="K8908" s="1222"/>
    </row>
    <row r="8909" spans="1:11">
      <c r="A8909" s="1221"/>
      <c r="C8909" s="298" t="s">
        <v>1990</v>
      </c>
      <c r="D8909" s="392">
        <v>1</v>
      </c>
      <c r="E8909" s="165">
        <v>2</v>
      </c>
      <c r="F8909" s="401">
        <v>4.0750000000000002</v>
      </c>
      <c r="G8909" s="401"/>
      <c r="H8909" s="401"/>
      <c r="I8909" s="1163">
        <f t="shared" si="328"/>
        <v>8.15</v>
      </c>
      <c r="J8909" s="1022"/>
      <c r="K8909" s="1222"/>
    </row>
    <row r="8910" spans="1:11" ht="34.5">
      <c r="A8910" s="1221"/>
      <c r="B8910" s="425" t="s">
        <v>1390</v>
      </c>
      <c r="C8910" s="298" t="s">
        <v>1990</v>
      </c>
      <c r="D8910" s="392">
        <v>5</v>
      </c>
      <c r="E8910" s="165">
        <v>4</v>
      </c>
      <c r="F8910" s="401">
        <v>5.08</v>
      </c>
      <c r="G8910" s="401"/>
      <c r="H8910" s="401"/>
      <c r="I8910" s="1163">
        <f t="shared" si="328"/>
        <v>101.6</v>
      </c>
      <c r="J8910" s="1022"/>
      <c r="K8910" s="1222"/>
    </row>
    <row r="8911" spans="1:11">
      <c r="A8911" s="1221"/>
      <c r="C8911" s="298" t="s">
        <v>1990</v>
      </c>
      <c r="D8911" s="392">
        <v>5</v>
      </c>
      <c r="E8911" s="165">
        <v>4</v>
      </c>
      <c r="F8911" s="401">
        <v>2.08</v>
      </c>
      <c r="G8911" s="401"/>
      <c r="H8911" s="401"/>
      <c r="I8911" s="1163">
        <f t="shared" si="328"/>
        <v>41.6</v>
      </c>
      <c r="J8911" s="1022"/>
      <c r="K8911" s="1222"/>
    </row>
    <row r="8912" spans="1:11">
      <c r="A8912" s="1221"/>
      <c r="B8912" s="425" t="s">
        <v>1395</v>
      </c>
      <c r="C8912" s="298" t="s">
        <v>1990</v>
      </c>
      <c r="D8912" s="392">
        <v>1</v>
      </c>
      <c r="E8912" s="165">
        <v>4</v>
      </c>
      <c r="F8912" s="401">
        <v>2.7650000000000001</v>
      </c>
      <c r="G8912" s="401"/>
      <c r="H8912" s="401"/>
      <c r="I8912" s="1163">
        <f t="shared" si="328"/>
        <v>11.06</v>
      </c>
      <c r="J8912" s="1022"/>
      <c r="K8912" s="1222"/>
    </row>
    <row r="8913" spans="1:11">
      <c r="A8913" s="1221"/>
      <c r="C8913" s="298" t="s">
        <v>1990</v>
      </c>
      <c r="D8913" s="392">
        <v>1</v>
      </c>
      <c r="E8913" s="165">
        <v>4</v>
      </c>
      <c r="F8913" s="401">
        <v>2.38</v>
      </c>
      <c r="G8913" s="401"/>
      <c r="H8913" s="401"/>
      <c r="I8913" s="1163">
        <f t="shared" si="328"/>
        <v>9.52</v>
      </c>
      <c r="J8913" s="1022"/>
      <c r="K8913" s="1222"/>
    </row>
    <row r="8914" spans="1:11">
      <c r="A8914" s="1221"/>
      <c r="B8914" s="425" t="s">
        <v>1396</v>
      </c>
      <c r="C8914" s="298" t="s">
        <v>1990</v>
      </c>
      <c r="D8914" s="392">
        <v>1</v>
      </c>
      <c r="E8914" s="165">
        <v>4</v>
      </c>
      <c r="F8914" s="401">
        <v>2.7650000000000001</v>
      </c>
      <c r="G8914" s="401"/>
      <c r="H8914" s="401"/>
      <c r="I8914" s="1163">
        <f t="shared" si="328"/>
        <v>11.06</v>
      </c>
      <c r="J8914" s="1022"/>
      <c r="K8914" s="1222"/>
    </row>
    <row r="8915" spans="1:11">
      <c r="A8915" s="1221"/>
      <c r="C8915" s="298" t="s">
        <v>1990</v>
      </c>
      <c r="D8915" s="392">
        <v>1</v>
      </c>
      <c r="E8915" s="165">
        <v>4</v>
      </c>
      <c r="F8915" s="401">
        <v>2.2800000000000002</v>
      </c>
      <c r="G8915" s="401"/>
      <c r="H8915" s="401"/>
      <c r="I8915" s="1163">
        <f t="shared" si="328"/>
        <v>9.1199999999999992</v>
      </c>
      <c r="J8915" s="1022"/>
      <c r="K8915" s="1222"/>
    </row>
    <row r="8916" spans="1:11">
      <c r="A8916" s="1221"/>
      <c r="B8916" s="425" t="s">
        <v>1397</v>
      </c>
      <c r="C8916" s="298" t="s">
        <v>1990</v>
      </c>
      <c r="D8916" s="392">
        <v>1</v>
      </c>
      <c r="E8916" s="165">
        <v>4</v>
      </c>
      <c r="F8916" s="401">
        <v>2.7650000000000001</v>
      </c>
      <c r="G8916" s="401"/>
      <c r="H8916" s="401"/>
      <c r="I8916" s="1163">
        <f t="shared" si="328"/>
        <v>11.06</v>
      </c>
      <c r="J8916" s="1022"/>
      <c r="K8916" s="1222"/>
    </row>
    <row r="8917" spans="1:11">
      <c r="A8917" s="1221"/>
      <c r="C8917" s="298" t="s">
        <v>1990</v>
      </c>
      <c r="D8917" s="392">
        <v>1</v>
      </c>
      <c r="E8917" s="165">
        <v>4</v>
      </c>
      <c r="F8917" s="401">
        <v>2.68</v>
      </c>
      <c r="G8917" s="401"/>
      <c r="H8917" s="401"/>
      <c r="I8917" s="1163">
        <f t="shared" si="328"/>
        <v>10.72</v>
      </c>
      <c r="J8917" s="1022"/>
      <c r="K8917" s="1222"/>
    </row>
    <row r="8918" spans="1:11">
      <c r="A8918" s="1221"/>
      <c r="B8918" s="425" t="s">
        <v>1398</v>
      </c>
      <c r="C8918" s="298" t="s">
        <v>1990</v>
      </c>
      <c r="D8918" s="392">
        <v>5</v>
      </c>
      <c r="E8918" s="165">
        <v>4</v>
      </c>
      <c r="F8918" s="401">
        <v>2.7120000000000002</v>
      </c>
      <c r="G8918" s="401"/>
      <c r="H8918" s="401"/>
      <c r="I8918" s="1163">
        <f t="shared" si="328"/>
        <v>54.24</v>
      </c>
      <c r="J8918" s="1022"/>
      <c r="K8918" s="1222"/>
    </row>
    <row r="8919" spans="1:11">
      <c r="A8919" s="1221"/>
      <c r="C8919" s="298" t="s">
        <v>1990</v>
      </c>
      <c r="D8919" s="392">
        <v>5</v>
      </c>
      <c r="E8919" s="165">
        <v>4</v>
      </c>
      <c r="F8919" s="401">
        <v>2.08</v>
      </c>
      <c r="G8919" s="401"/>
      <c r="H8919" s="401"/>
      <c r="I8919" s="1163">
        <f t="shared" si="328"/>
        <v>41.6</v>
      </c>
      <c r="J8919" s="1022"/>
      <c r="K8919" s="1222"/>
    </row>
    <row r="8920" spans="1:11">
      <c r="A8920" s="1221"/>
      <c r="C8920" s="298"/>
      <c r="D8920" s="392"/>
      <c r="E8920" s="165"/>
      <c r="F8920" s="401"/>
      <c r="G8920" s="401"/>
      <c r="H8920" s="401"/>
      <c r="I8920" s="1163" t="str">
        <f t="shared" si="328"/>
        <v/>
      </c>
      <c r="J8920" s="1022"/>
      <c r="K8920" s="1222"/>
    </row>
    <row r="8921" spans="1:11" ht="34.5">
      <c r="A8921" s="1221"/>
      <c r="B8921" s="425" t="s">
        <v>2045</v>
      </c>
      <c r="C8921" s="298" t="s">
        <v>1990</v>
      </c>
      <c r="D8921" s="392">
        <v>10</v>
      </c>
      <c r="E8921" s="165">
        <v>4</v>
      </c>
      <c r="F8921" s="401">
        <v>1.5</v>
      </c>
      <c r="G8921" s="401"/>
      <c r="H8921" s="401"/>
      <c r="I8921" s="1163">
        <f t="shared" si="328"/>
        <v>60</v>
      </c>
      <c r="J8921" s="1022"/>
      <c r="K8921" s="1222"/>
    </row>
    <row r="8922" spans="1:11">
      <c r="A8922" s="1221"/>
      <c r="B8922" s="425" t="s">
        <v>1400</v>
      </c>
      <c r="C8922" s="298" t="s">
        <v>1990</v>
      </c>
      <c r="D8922" s="392">
        <v>10</v>
      </c>
      <c r="E8922" s="165">
        <v>16</v>
      </c>
      <c r="F8922" s="401">
        <v>0.5</v>
      </c>
      <c r="G8922" s="401"/>
      <c r="H8922" s="401"/>
      <c r="I8922" s="1163">
        <f t="shared" si="328"/>
        <v>80</v>
      </c>
      <c r="J8922" s="1022"/>
      <c r="K8922" s="1222"/>
    </row>
    <row r="8923" spans="1:11">
      <c r="A8923" s="1221"/>
      <c r="C8923" s="298"/>
      <c r="D8923" s="392"/>
      <c r="E8923" s="165"/>
      <c r="F8923" s="401"/>
      <c r="G8923" s="401"/>
      <c r="H8923" s="401"/>
      <c r="I8923" s="1163" t="str">
        <f t="shared" si="328"/>
        <v/>
      </c>
      <c r="J8923" s="1022"/>
      <c r="K8923" s="1222"/>
    </row>
    <row r="8924" spans="1:11">
      <c r="A8924" s="1221"/>
      <c r="B8924" s="425" t="s">
        <v>2041</v>
      </c>
      <c r="C8924" s="298"/>
      <c r="D8924" s="392"/>
      <c r="E8924" s="165"/>
      <c r="F8924" s="401"/>
      <c r="G8924" s="401"/>
      <c r="H8924" s="401"/>
      <c r="I8924" s="1163" t="str">
        <f t="shared" si="328"/>
        <v/>
      </c>
      <c r="J8924" s="1022"/>
      <c r="K8924" s="1222"/>
    </row>
    <row r="8925" spans="1:11">
      <c r="A8925" s="1221"/>
      <c r="B8925" s="425" t="s">
        <v>2046</v>
      </c>
      <c r="C8925" s="298" t="s">
        <v>1990</v>
      </c>
      <c r="D8925" s="392">
        <v>1</v>
      </c>
      <c r="E8925" s="165">
        <v>97.066666666666677</v>
      </c>
      <c r="F8925" s="401"/>
      <c r="G8925" s="401"/>
      <c r="H8925" s="401"/>
      <c r="I8925" s="1163">
        <f t="shared" ref="I8925:I8949" si="329">IF(D8925&lt;&gt;0,ROUND(PRODUCT(E8925:H8925)*D8925,2),"")</f>
        <v>97.07</v>
      </c>
      <c r="J8925" s="1022"/>
      <c r="K8925" s="1222"/>
    </row>
    <row r="8926" spans="1:11">
      <c r="A8926" s="1221"/>
      <c r="B8926" s="425" t="s">
        <v>2047</v>
      </c>
      <c r="C8926" s="298" t="s">
        <v>1990</v>
      </c>
      <c r="D8926" s="392">
        <v>1</v>
      </c>
      <c r="E8926" s="165">
        <v>10.266666666666667</v>
      </c>
      <c r="F8926" s="401"/>
      <c r="G8926" s="401"/>
      <c r="H8926" s="401"/>
      <c r="I8926" s="1163">
        <f t="shared" si="329"/>
        <v>10.27</v>
      </c>
      <c r="J8926" s="1022"/>
      <c r="K8926" s="1222"/>
    </row>
    <row r="8927" spans="1:11">
      <c r="A8927" s="1221"/>
      <c r="B8927" s="425" t="s">
        <v>2048</v>
      </c>
      <c r="C8927" s="298" t="s">
        <v>1990</v>
      </c>
      <c r="D8927" s="392">
        <v>1</v>
      </c>
      <c r="E8927" s="165">
        <v>10.133333333333335</v>
      </c>
      <c r="F8927" s="401"/>
      <c r="G8927" s="401"/>
      <c r="H8927" s="401"/>
      <c r="I8927" s="1163">
        <f t="shared" si="329"/>
        <v>10.130000000000001</v>
      </c>
      <c r="J8927" s="1022"/>
      <c r="K8927" s="1222"/>
    </row>
    <row r="8928" spans="1:11">
      <c r="A8928" s="1221"/>
      <c r="B8928" s="425" t="s">
        <v>2049</v>
      </c>
      <c r="C8928" s="298" t="s">
        <v>1990</v>
      </c>
      <c r="D8928" s="392">
        <v>4</v>
      </c>
      <c r="E8928" s="165">
        <v>10</v>
      </c>
      <c r="F8928" s="401"/>
      <c r="G8928" s="401"/>
      <c r="H8928" s="401"/>
      <c r="I8928" s="1163">
        <f t="shared" si="329"/>
        <v>40</v>
      </c>
      <c r="J8928" s="1022"/>
      <c r="K8928" s="1222"/>
    </row>
    <row r="8929" spans="1:11">
      <c r="A8929" s="1221"/>
      <c r="B8929" s="425" t="s">
        <v>2050</v>
      </c>
      <c r="C8929" s="298" t="s">
        <v>1990</v>
      </c>
      <c r="D8929" s="392">
        <v>1</v>
      </c>
      <c r="E8929" s="165">
        <v>13.600000000000001</v>
      </c>
      <c r="F8929" s="401"/>
      <c r="G8929" s="401"/>
      <c r="H8929" s="401"/>
      <c r="I8929" s="1163">
        <f t="shared" si="329"/>
        <v>13.6</v>
      </c>
      <c r="J8929" s="1022"/>
      <c r="K8929" s="1222"/>
    </row>
    <row r="8930" spans="1:11" ht="34.5">
      <c r="A8930" s="1221"/>
      <c r="B8930" s="425" t="s">
        <v>2051</v>
      </c>
      <c r="C8930" s="298" t="s">
        <v>1990</v>
      </c>
      <c r="D8930" s="392">
        <v>2</v>
      </c>
      <c r="E8930" s="165">
        <v>16.933333333333334</v>
      </c>
      <c r="F8930" s="401">
        <v>5.08</v>
      </c>
      <c r="G8930" s="401"/>
      <c r="H8930" s="401"/>
      <c r="I8930" s="1163">
        <f t="shared" si="329"/>
        <v>172.04</v>
      </c>
      <c r="J8930" s="1022"/>
      <c r="K8930" s="1222"/>
    </row>
    <row r="8931" spans="1:11">
      <c r="A8931" s="1221"/>
      <c r="B8931" s="425" t="s">
        <v>2052</v>
      </c>
      <c r="C8931" s="298" t="s">
        <v>1990</v>
      </c>
      <c r="D8931" s="392">
        <v>8</v>
      </c>
      <c r="E8931" s="165">
        <v>6.666666666666667</v>
      </c>
      <c r="F8931" s="401">
        <v>2.08</v>
      </c>
      <c r="G8931" s="401"/>
      <c r="H8931" s="401"/>
      <c r="I8931" s="1163">
        <f t="shared" si="329"/>
        <v>110.93</v>
      </c>
      <c r="J8931" s="1022"/>
      <c r="K8931" s="1222"/>
    </row>
    <row r="8932" spans="1:11">
      <c r="A8932" s="1221"/>
      <c r="B8932" s="425" t="s">
        <v>2053</v>
      </c>
      <c r="C8932" s="298" t="s">
        <v>1990</v>
      </c>
      <c r="D8932" s="392">
        <v>2</v>
      </c>
      <c r="E8932" s="165">
        <v>9.2333333333333343</v>
      </c>
      <c r="F8932" s="401">
        <v>2.7650000000000001</v>
      </c>
      <c r="G8932" s="401"/>
      <c r="H8932" s="401"/>
      <c r="I8932" s="1163">
        <f t="shared" si="329"/>
        <v>51.06</v>
      </c>
      <c r="J8932" s="1022"/>
      <c r="K8932" s="1222"/>
    </row>
    <row r="8933" spans="1:11">
      <c r="A8933" s="1221"/>
      <c r="B8933" s="425" t="s">
        <v>2054</v>
      </c>
      <c r="C8933" s="298" t="s">
        <v>1990</v>
      </c>
      <c r="D8933" s="392">
        <v>2</v>
      </c>
      <c r="E8933" s="165">
        <v>7.9333333333333336</v>
      </c>
      <c r="F8933" s="401">
        <v>2.38</v>
      </c>
      <c r="G8933" s="401"/>
      <c r="H8933" s="401"/>
      <c r="I8933" s="1163">
        <f t="shared" si="329"/>
        <v>37.76</v>
      </c>
      <c r="J8933" s="1022"/>
      <c r="K8933" s="1222"/>
    </row>
    <row r="8934" spans="1:11">
      <c r="A8934" s="1221"/>
      <c r="B8934" s="425" t="s">
        <v>2055</v>
      </c>
      <c r="C8934" s="298" t="s">
        <v>1990</v>
      </c>
      <c r="D8934" s="392">
        <v>2</v>
      </c>
      <c r="E8934" s="165">
        <v>9.2333333333333343</v>
      </c>
      <c r="F8934" s="401">
        <v>2.7650000000000001</v>
      </c>
      <c r="G8934" s="401"/>
      <c r="H8934" s="401"/>
      <c r="I8934" s="1163">
        <f t="shared" si="329"/>
        <v>51.06</v>
      </c>
      <c r="J8934" s="1022"/>
      <c r="K8934" s="1222"/>
    </row>
    <row r="8935" spans="1:11">
      <c r="A8935" s="1221"/>
      <c r="B8935" s="425" t="s">
        <v>2056</v>
      </c>
      <c r="C8935" s="298" t="s">
        <v>1990</v>
      </c>
      <c r="D8935" s="392">
        <v>2</v>
      </c>
      <c r="E8935" s="165">
        <v>7.6</v>
      </c>
      <c r="F8935" s="401">
        <v>2.2800000000000002</v>
      </c>
      <c r="G8935" s="401"/>
      <c r="H8935" s="401"/>
      <c r="I8935" s="1163">
        <f t="shared" si="329"/>
        <v>34.659999999999997</v>
      </c>
      <c r="J8935" s="1022"/>
      <c r="K8935" s="1222"/>
    </row>
    <row r="8936" spans="1:11">
      <c r="A8936" s="1221"/>
      <c r="B8936" s="425" t="s">
        <v>2057</v>
      </c>
      <c r="C8936" s="298" t="s">
        <v>1990</v>
      </c>
      <c r="D8936" s="392">
        <v>2</v>
      </c>
      <c r="E8936" s="165">
        <v>9.2333333333333343</v>
      </c>
      <c r="F8936" s="401">
        <v>2.7650000000000001</v>
      </c>
      <c r="G8936" s="401"/>
      <c r="H8936" s="401"/>
      <c r="I8936" s="1163">
        <f t="shared" si="329"/>
        <v>51.06</v>
      </c>
      <c r="J8936" s="1022"/>
      <c r="K8936" s="1222"/>
    </row>
    <row r="8937" spans="1:11">
      <c r="A8937" s="1221"/>
      <c r="B8937" s="425" t="s">
        <v>2058</v>
      </c>
      <c r="C8937" s="298" t="s">
        <v>1990</v>
      </c>
      <c r="D8937" s="392">
        <v>2</v>
      </c>
      <c r="E8937" s="165">
        <v>8.9333333333333336</v>
      </c>
      <c r="F8937" s="401">
        <v>2.68</v>
      </c>
      <c r="G8937" s="401"/>
      <c r="H8937" s="401"/>
      <c r="I8937" s="1163">
        <f t="shared" si="329"/>
        <v>47.88</v>
      </c>
      <c r="J8937" s="1022"/>
      <c r="K8937" s="1222"/>
    </row>
    <row r="8938" spans="1:11">
      <c r="A8938" s="1221"/>
      <c r="B8938" s="425" t="s">
        <v>2059</v>
      </c>
      <c r="C8938" s="298" t="s">
        <v>1990</v>
      </c>
      <c r="D8938" s="392">
        <v>5</v>
      </c>
      <c r="E8938" s="165">
        <v>9.0333333333333332</v>
      </c>
      <c r="F8938" s="401">
        <v>2.7120000000000002</v>
      </c>
      <c r="G8938" s="401"/>
      <c r="H8938" s="401"/>
      <c r="I8938" s="1163">
        <f t="shared" si="329"/>
        <v>122.49</v>
      </c>
      <c r="J8938" s="1022"/>
      <c r="K8938" s="1222"/>
    </row>
    <row r="8939" spans="1:11">
      <c r="A8939" s="1221"/>
      <c r="B8939" s="425" t="s">
        <v>2052</v>
      </c>
      <c r="C8939" s="298" t="s">
        <v>1990</v>
      </c>
      <c r="D8939" s="392">
        <v>5</v>
      </c>
      <c r="E8939" s="165">
        <v>6.9333333333333336</v>
      </c>
      <c r="F8939" s="401">
        <v>2.08</v>
      </c>
      <c r="G8939" s="401"/>
      <c r="H8939" s="401"/>
      <c r="I8939" s="1163">
        <f t="shared" si="329"/>
        <v>72.11</v>
      </c>
      <c r="J8939" s="1022"/>
      <c r="K8939" s="1222"/>
    </row>
    <row r="8940" spans="1:11">
      <c r="A8940" s="1221"/>
      <c r="C8940" s="298"/>
      <c r="D8940" s="392"/>
      <c r="E8940" s="165"/>
      <c r="F8940" s="401"/>
      <c r="G8940" s="401"/>
      <c r="H8940" s="401"/>
      <c r="I8940" s="1163" t="str">
        <f t="shared" si="329"/>
        <v/>
      </c>
      <c r="J8940" s="1022"/>
      <c r="K8940" s="1222"/>
    </row>
    <row r="8941" spans="1:11" ht="34.5">
      <c r="A8941" s="1221"/>
      <c r="B8941" s="425" t="s">
        <v>2045</v>
      </c>
      <c r="C8941" s="298" t="s">
        <v>1990</v>
      </c>
      <c r="D8941" s="392">
        <v>10</v>
      </c>
      <c r="E8941" s="165">
        <v>4</v>
      </c>
      <c r="F8941" s="401">
        <v>1.5</v>
      </c>
      <c r="G8941" s="401"/>
      <c r="H8941" s="401"/>
      <c r="I8941" s="1163">
        <f t="shared" si="329"/>
        <v>60</v>
      </c>
      <c r="J8941" s="1022"/>
      <c r="K8941" s="1222"/>
    </row>
    <row r="8942" spans="1:11">
      <c r="A8942" s="1221"/>
      <c r="B8942" s="425" t="s">
        <v>1400</v>
      </c>
      <c r="C8942" s="298" t="s">
        <v>1990</v>
      </c>
      <c r="D8942" s="392">
        <v>40</v>
      </c>
      <c r="E8942" s="165">
        <v>4</v>
      </c>
      <c r="F8942" s="401">
        <v>0.5</v>
      </c>
      <c r="G8942" s="401"/>
      <c r="H8942" s="401"/>
      <c r="I8942" s="1163">
        <f t="shared" si="329"/>
        <v>80</v>
      </c>
      <c r="J8942" s="1022"/>
      <c r="K8942" s="1222"/>
    </row>
    <row r="8943" spans="1:11">
      <c r="A8943" s="1221"/>
      <c r="C8943" s="298"/>
      <c r="D8943" s="392"/>
      <c r="E8943" s="165"/>
      <c r="F8943" s="401"/>
      <c r="G8943" s="401"/>
      <c r="H8943" s="401"/>
      <c r="I8943" s="1163" t="str">
        <f t="shared" si="329"/>
        <v/>
      </c>
      <c r="J8943" s="1022"/>
      <c r="K8943" s="1222"/>
    </row>
    <row r="8944" spans="1:11">
      <c r="A8944" s="1221"/>
      <c r="B8944" s="425" t="s">
        <v>2060</v>
      </c>
      <c r="C8944" s="298"/>
      <c r="D8944" s="392"/>
      <c r="E8944" s="165"/>
      <c r="F8944" s="401"/>
      <c r="G8944" s="401"/>
      <c r="H8944" s="401"/>
      <c r="I8944" s="1163" t="str">
        <f t="shared" si="329"/>
        <v/>
      </c>
      <c r="J8944" s="1022"/>
      <c r="K8944" s="1222"/>
    </row>
    <row r="8945" spans="1:14">
      <c r="A8945" s="1221"/>
      <c r="B8945" s="425" t="s">
        <v>2036</v>
      </c>
      <c r="C8945" s="298" t="s">
        <v>1990</v>
      </c>
      <c r="D8945" s="392">
        <v>1</v>
      </c>
      <c r="E8945" s="165">
        <v>4</v>
      </c>
      <c r="F8945" s="401">
        <v>0.49999999999999994</v>
      </c>
      <c r="G8945" s="401"/>
      <c r="H8945" s="401"/>
      <c r="I8945" s="1163">
        <f t="shared" si="329"/>
        <v>2</v>
      </c>
      <c r="J8945" s="1022"/>
      <c r="K8945" s="1222"/>
    </row>
    <row r="8946" spans="1:14">
      <c r="A8946" s="1221"/>
      <c r="B8946" s="425" t="s">
        <v>2061</v>
      </c>
      <c r="C8946" s="298" t="s">
        <v>1990</v>
      </c>
      <c r="D8946" s="392">
        <v>5</v>
      </c>
      <c r="E8946" s="165">
        <v>2</v>
      </c>
      <c r="F8946" s="401">
        <v>0.64999999999999991</v>
      </c>
      <c r="G8946" s="401"/>
      <c r="H8946" s="401"/>
      <c r="I8946" s="1163">
        <f t="shared" si="329"/>
        <v>6.5</v>
      </c>
      <c r="J8946" s="1022"/>
      <c r="K8946" s="1222"/>
    </row>
    <row r="8947" spans="1:14">
      <c r="A8947" s="1221"/>
      <c r="B8947" s="425" t="s">
        <v>2062</v>
      </c>
      <c r="C8947" s="298" t="s">
        <v>1990</v>
      </c>
      <c r="D8947" s="392">
        <v>8</v>
      </c>
      <c r="E8947" s="165">
        <v>4</v>
      </c>
      <c r="F8947" s="401">
        <v>0.49999999999999994</v>
      </c>
      <c r="G8947" s="401"/>
      <c r="H8947" s="401"/>
      <c r="I8947" s="1163">
        <f t="shared" si="329"/>
        <v>16</v>
      </c>
      <c r="J8947" s="1022"/>
      <c r="K8947" s="1222"/>
    </row>
    <row r="8948" spans="1:14">
      <c r="A8948" s="1221"/>
      <c r="B8948" s="425" t="s">
        <v>2063</v>
      </c>
      <c r="C8948" s="298" t="s">
        <v>1990</v>
      </c>
      <c r="D8948" s="392">
        <v>10</v>
      </c>
      <c r="E8948" s="165">
        <v>4</v>
      </c>
      <c r="F8948" s="401">
        <v>0.95</v>
      </c>
      <c r="G8948" s="401"/>
      <c r="H8948" s="401"/>
      <c r="I8948" s="1163">
        <f t="shared" si="329"/>
        <v>38</v>
      </c>
      <c r="J8948" s="1022"/>
      <c r="K8948" s="1222"/>
    </row>
    <row r="8949" spans="1:14">
      <c r="A8949" s="1221"/>
      <c r="B8949" s="425" t="s">
        <v>2064</v>
      </c>
      <c r="C8949" s="298" t="s">
        <v>1990</v>
      </c>
      <c r="D8949" s="392">
        <v>40</v>
      </c>
      <c r="E8949" s="165">
        <v>4</v>
      </c>
      <c r="F8949" s="401">
        <v>0.45</v>
      </c>
      <c r="G8949" s="401"/>
      <c r="H8949" s="401"/>
      <c r="I8949" s="1163">
        <f t="shared" si="329"/>
        <v>72</v>
      </c>
      <c r="J8949" s="1022"/>
      <c r="K8949" s="1222"/>
    </row>
    <row r="8950" spans="1:14" s="398" customFormat="1">
      <c r="A8950" s="1313"/>
      <c r="B8950" s="1079"/>
      <c r="C8950" s="1106"/>
      <c r="D8950" s="1073">
        <v>-1</v>
      </c>
      <c r="E8950" s="1066"/>
      <c r="F8950" s="1388">
        <f>SUM(I8797:I8949)</f>
        <v>3755.6899999999996</v>
      </c>
      <c r="G8950" s="1388"/>
      <c r="H8950" s="1388"/>
      <c r="I8950" s="1184">
        <f t="shared" ref="I8950" si="330">PRODUCT(D8950:H8950)</f>
        <v>-3755.6899999999996</v>
      </c>
      <c r="J8950" s="1082"/>
      <c r="K8950" s="1337"/>
      <c r="L8950" s="431"/>
      <c r="M8950" s="431"/>
      <c r="N8950" s="431"/>
    </row>
    <row r="8951" spans="1:14">
      <c r="A8951" s="1221"/>
      <c r="C8951" s="298"/>
      <c r="D8951" s="392"/>
      <c r="E8951" s="165"/>
      <c r="F8951" s="401"/>
      <c r="G8951" s="401"/>
      <c r="H8951" s="401"/>
      <c r="I8951" s="1182">
        <f>PRODUCT(D8951:H8951)</f>
        <v>0</v>
      </c>
      <c r="J8951" s="1022"/>
      <c r="K8951" s="1222"/>
    </row>
    <row r="8952" spans="1:14" s="398" customFormat="1">
      <c r="A8952" s="1250"/>
      <c r="B8952" s="161" t="s">
        <v>928</v>
      </c>
      <c r="C8952" s="388" t="s">
        <v>1990</v>
      </c>
      <c r="D8952" s="437"/>
      <c r="E8952" s="165"/>
      <c r="F8952" s="401"/>
      <c r="G8952" s="401"/>
      <c r="H8952" s="401"/>
      <c r="I8952" s="938" t="str">
        <f t="shared" ref="I8952" si="331">IF(D8952&lt;&gt;0,ROUND(PRODUCT(E8952:H8952)*D8952,2),"")</f>
        <v/>
      </c>
      <c r="J8952" s="1025">
        <f>SUM(I8794:I8952)</f>
        <v>0</v>
      </c>
      <c r="K8952" s="1277" t="s">
        <v>1690</v>
      </c>
      <c r="L8952" s="431"/>
      <c r="M8952" s="431"/>
      <c r="N8952" s="431"/>
    </row>
    <row r="8953" spans="1:14">
      <c r="A8953" s="1250"/>
      <c r="D8953" s="392"/>
      <c r="E8953" s="165"/>
      <c r="F8953" s="401"/>
      <c r="G8953" s="401"/>
      <c r="H8953" s="401"/>
      <c r="I8953" s="1182"/>
      <c r="J8953" s="1026">
        <f>SUM(J8792:J8952)</f>
        <v>0</v>
      </c>
      <c r="K8953" s="1242"/>
    </row>
    <row r="8954" spans="1:14">
      <c r="A8954" s="1250"/>
      <c r="D8954" s="392"/>
      <c r="E8954" s="165"/>
      <c r="F8954" s="401"/>
      <c r="G8954" s="401"/>
      <c r="H8954" s="401"/>
      <c r="I8954" s="1182"/>
      <c r="J8954" s="432">
        <f>SUM(J8411:J8428)</f>
        <v>0</v>
      </c>
      <c r="K8954" s="1242"/>
    </row>
    <row r="8955" spans="1:14" ht="51.75">
      <c r="A8955" s="1219" t="s">
        <v>1917</v>
      </c>
      <c r="B8955" s="1200" t="s">
        <v>1269</v>
      </c>
      <c r="C8955" s="422"/>
      <c r="D8955" s="436"/>
      <c r="E8955" s="436"/>
      <c r="F8955" s="1359"/>
      <c r="G8955" s="1359"/>
      <c r="H8955" s="1359"/>
      <c r="I8955" s="1185"/>
      <c r="J8955" s="423"/>
      <c r="K8955" s="1220"/>
      <c r="M8955" s="170"/>
      <c r="N8955" s="170"/>
    </row>
    <row r="8956" spans="1:14" s="464" customFormat="1">
      <c r="A8956" s="1264"/>
      <c r="B8956" s="669" t="s">
        <v>85</v>
      </c>
      <c r="C8956" s="465" t="s">
        <v>1</v>
      </c>
      <c r="D8956" s="444"/>
      <c r="E8956" s="345"/>
      <c r="F8956" s="1356"/>
      <c r="G8956" s="1356"/>
      <c r="H8956" s="1356"/>
      <c r="I8956" s="1170" t="str">
        <f t="shared" ref="I8956:I8957" si="332">IF(D8956&lt;&gt;0,ROUND(PRODUCT(E8956:H8956)*D8956,2),"")</f>
        <v/>
      </c>
      <c r="J8956" s="482">
        <f>SUM(I8955:I8956)</f>
        <v>0</v>
      </c>
      <c r="K8956" s="1258"/>
      <c r="L8956" s="463"/>
      <c r="M8956" s="463"/>
      <c r="N8956" s="463"/>
    </row>
    <row r="8957" spans="1:14" ht="34.5">
      <c r="A8957" s="1221"/>
      <c r="B8957" s="425" t="s">
        <v>1913</v>
      </c>
      <c r="C8957" s="414" t="s">
        <v>1</v>
      </c>
      <c r="D8957" s="392">
        <v>1</v>
      </c>
      <c r="F8957" s="401">
        <f>J5687</f>
        <v>8881.6599999999908</v>
      </c>
      <c r="G8957" s="401"/>
      <c r="H8957" s="401"/>
      <c r="I8957" s="1163">
        <f t="shared" si="332"/>
        <v>8881.66</v>
      </c>
      <c r="J8957" s="477"/>
      <c r="K8957" s="1242"/>
    </row>
    <row r="8958" spans="1:14" s="398" customFormat="1">
      <c r="A8958" s="1313"/>
      <c r="B8958" s="1079"/>
      <c r="C8958" s="1106"/>
      <c r="D8958" s="1080"/>
      <c r="E8958" s="1068"/>
      <c r="F8958" s="1110"/>
      <c r="G8958" s="1110"/>
      <c r="H8958" s="1110"/>
      <c r="I8958" s="1184">
        <f>PRODUCT(D8958:H8958)</f>
        <v>0</v>
      </c>
      <c r="J8958" s="1095"/>
      <c r="K8958" s="1337"/>
      <c r="L8958" s="431"/>
      <c r="M8958" s="431"/>
      <c r="N8958" s="431"/>
    </row>
    <row r="8959" spans="1:14" s="398" customFormat="1">
      <c r="A8959" s="1250"/>
      <c r="B8959" s="161" t="s">
        <v>928</v>
      </c>
      <c r="C8959" s="388" t="s">
        <v>1</v>
      </c>
      <c r="D8959" s="437"/>
      <c r="E8959" s="165"/>
      <c r="F8959" s="401"/>
      <c r="G8959" s="401"/>
      <c r="H8959" s="401"/>
      <c r="I8959" s="938" t="str">
        <f t="shared" ref="I8959" si="333">IF(D8959&lt;&gt;0,ROUND(PRODUCT(E8959:H8959)*D8959,2),"")</f>
        <v/>
      </c>
      <c r="J8959" s="403">
        <f>SUM(I8957:I8959)</f>
        <v>8881.66</v>
      </c>
      <c r="K8959" s="1277" t="s">
        <v>1690</v>
      </c>
      <c r="L8959" s="431"/>
      <c r="M8959" s="431"/>
      <c r="N8959" s="431"/>
    </row>
    <row r="8960" spans="1:14">
      <c r="A8960" s="1250"/>
      <c r="D8960" s="392"/>
      <c r="E8960" s="165"/>
      <c r="F8960" s="401"/>
      <c r="G8960" s="401"/>
      <c r="H8960" s="401"/>
      <c r="I8960" s="1182"/>
      <c r="J8960" s="432">
        <f>SUM(J8956:J8959)</f>
        <v>8881.66</v>
      </c>
      <c r="K8960" s="1242"/>
    </row>
    <row r="8961" spans="1:16" ht="51.75">
      <c r="A8961" s="1219" t="s">
        <v>1918</v>
      </c>
      <c r="B8961" s="1200" t="s">
        <v>1919</v>
      </c>
      <c r="C8961" s="422"/>
      <c r="D8961" s="436"/>
      <c r="E8961" s="436"/>
      <c r="F8961" s="1359"/>
      <c r="G8961" s="1359"/>
      <c r="H8961" s="1359"/>
      <c r="I8961" s="1185"/>
      <c r="J8961" s="423"/>
      <c r="K8961" s="1220"/>
      <c r="M8961" s="170"/>
      <c r="N8961" s="170"/>
    </row>
    <row r="8962" spans="1:16" s="464" customFormat="1">
      <c r="A8962" s="1264"/>
      <c r="B8962" s="669" t="s">
        <v>85</v>
      </c>
      <c r="C8962" s="465" t="s">
        <v>1</v>
      </c>
      <c r="D8962" s="444"/>
      <c r="E8962" s="345"/>
      <c r="F8962" s="1356"/>
      <c r="G8962" s="1356"/>
      <c r="H8962" s="1356"/>
      <c r="I8962" s="1163" t="str">
        <f t="shared" ref="I8962:I8966" si="334">IF(D8962&lt;&gt;0,ROUND(PRODUCT(E8962:H8962)*D8962,2),"")</f>
        <v/>
      </c>
      <c r="J8962" s="482">
        <f>SUM(I8961:I8962)</f>
        <v>0</v>
      </c>
      <c r="K8962" s="1258"/>
      <c r="L8962" s="463"/>
      <c r="M8962" s="463"/>
      <c r="N8962" s="463"/>
    </row>
    <row r="8963" spans="1:16">
      <c r="A8963" s="1221"/>
      <c r="D8963" s="392"/>
      <c r="F8963" s="401"/>
      <c r="G8963" s="401"/>
      <c r="H8963" s="401"/>
      <c r="I8963" s="1163" t="str">
        <f t="shared" si="334"/>
        <v/>
      </c>
      <c r="J8963" s="477"/>
      <c r="K8963" s="1242"/>
    </row>
    <row r="8964" spans="1:16" ht="34.5">
      <c r="A8964" s="1221"/>
      <c r="B8964" s="425" t="s">
        <v>1437</v>
      </c>
      <c r="C8964" s="298" t="s">
        <v>1</v>
      </c>
      <c r="D8964" s="392">
        <v>1</v>
      </c>
      <c r="E8964" s="165">
        <v>1</v>
      </c>
      <c r="F8964" s="401">
        <v>317.77930400000002</v>
      </c>
      <c r="G8964" s="401"/>
      <c r="H8964" s="401"/>
      <c r="I8964" s="1163">
        <f t="shared" si="334"/>
        <v>317.77999999999997</v>
      </c>
      <c r="K8964" s="1222" t="s">
        <v>1920</v>
      </c>
    </row>
    <row r="8965" spans="1:16">
      <c r="A8965" s="1221"/>
      <c r="B8965" s="425" t="s">
        <v>1438</v>
      </c>
      <c r="C8965" s="298" t="s">
        <v>1</v>
      </c>
      <c r="D8965" s="392">
        <v>1</v>
      </c>
      <c r="E8965" s="165">
        <v>1</v>
      </c>
      <c r="F8965" s="401">
        <v>63.176800000000007</v>
      </c>
      <c r="G8965" s="401"/>
      <c r="H8965" s="401">
        <v>0.71</v>
      </c>
      <c r="I8965" s="1163">
        <f t="shared" si="334"/>
        <v>44.86</v>
      </c>
      <c r="K8965" s="1222"/>
    </row>
    <row r="8966" spans="1:16" ht="34.5">
      <c r="A8966" s="1221"/>
      <c r="B8966" s="425" t="s">
        <v>1439</v>
      </c>
      <c r="C8966" s="298" t="s">
        <v>1</v>
      </c>
      <c r="D8966" s="392">
        <v>1</v>
      </c>
      <c r="E8966" s="165">
        <v>1</v>
      </c>
      <c r="F8966" s="401">
        <v>66.567999999999998</v>
      </c>
      <c r="G8966" s="401"/>
      <c r="H8966" s="401">
        <v>0.41000000000000003</v>
      </c>
      <c r="I8966" s="1163">
        <f t="shared" si="334"/>
        <v>27.29</v>
      </c>
      <c r="K8966" s="1222"/>
    </row>
    <row r="8967" spans="1:16">
      <c r="A8967" s="1221"/>
      <c r="C8967" s="298"/>
      <c r="D8967" s="392"/>
      <c r="E8967" s="165"/>
      <c r="F8967" s="401"/>
      <c r="G8967" s="401"/>
      <c r="H8967" s="401"/>
      <c r="I8967" s="1182">
        <f>PRODUCT(D8967:H8967)</f>
        <v>0</v>
      </c>
      <c r="K8967" s="1222"/>
    </row>
    <row r="8968" spans="1:16" s="398" customFormat="1">
      <c r="A8968" s="1250"/>
      <c r="B8968" s="161" t="s">
        <v>928</v>
      </c>
      <c r="C8968" s="388" t="s">
        <v>1</v>
      </c>
      <c r="D8968" s="437"/>
      <c r="E8968" s="165"/>
      <c r="F8968" s="401"/>
      <c r="G8968" s="401"/>
      <c r="H8968" s="401"/>
      <c r="I8968" s="938" t="str">
        <f t="shared" ref="I8968" si="335">IF(D8968&lt;&gt;0,ROUND(PRODUCT(E8968:H8968)*D8968,2),"")</f>
        <v/>
      </c>
      <c r="J8968" s="403">
        <f>SUM(I8963:I8968)</f>
        <v>389.93</v>
      </c>
      <c r="K8968" s="1277" t="s">
        <v>1690</v>
      </c>
      <c r="L8968" s="431"/>
      <c r="M8968" s="431"/>
      <c r="N8968" s="431"/>
    </row>
    <row r="8969" spans="1:16">
      <c r="A8969" s="1250"/>
      <c r="D8969" s="392"/>
      <c r="E8969" s="165"/>
      <c r="F8969" s="401"/>
      <c r="G8969" s="401"/>
      <c r="H8969" s="401"/>
      <c r="I8969" s="1182"/>
      <c r="J8969" s="432">
        <f>SUM(J8962:J8968)</f>
        <v>389.93</v>
      </c>
      <c r="K8969" s="1242"/>
    </row>
    <row r="8970" spans="1:16" ht="99.95" customHeight="1">
      <c r="A8970" s="1219" t="s">
        <v>1915</v>
      </c>
      <c r="B8970" s="1397" t="s">
        <v>1289</v>
      </c>
      <c r="C8970" s="422"/>
      <c r="D8970" s="436"/>
      <c r="E8970" s="436"/>
      <c r="F8970" s="1359"/>
      <c r="G8970" s="1359"/>
      <c r="H8970" s="1359"/>
      <c r="I8970" s="1185"/>
      <c r="J8970" s="423"/>
      <c r="K8970" s="1220"/>
      <c r="M8970" s="170"/>
      <c r="N8970" s="170"/>
    </row>
    <row r="8971" spans="1:16" s="464" customFormat="1">
      <c r="A8971" s="1264"/>
      <c r="B8971" s="669" t="s">
        <v>85</v>
      </c>
      <c r="C8971" s="465" t="s">
        <v>2</v>
      </c>
      <c r="D8971" s="444"/>
      <c r="E8971" s="345"/>
      <c r="F8971" s="1356"/>
      <c r="G8971" s="1356"/>
      <c r="H8971" s="1356"/>
      <c r="I8971" s="1170" t="str">
        <f t="shared" ref="I8971" si="336">IF(D8971&lt;&gt;0,ROUND(PRODUCT(E8971:H8971)*D8971,2),"")</f>
        <v/>
      </c>
      <c r="J8971" s="482">
        <f>SUM(I8970:I8971)</f>
        <v>0</v>
      </c>
      <c r="K8971" s="1258"/>
      <c r="L8971" s="463"/>
      <c r="M8971" s="463"/>
      <c r="N8971" s="463"/>
    </row>
    <row r="8972" spans="1:16" s="398" customFormat="1">
      <c r="A8972" s="1250"/>
      <c r="B8972" s="161" t="s">
        <v>1670</v>
      </c>
      <c r="C8972" s="165"/>
      <c r="D8972" s="368"/>
      <c r="E8972" s="323"/>
      <c r="F8972" s="1160"/>
      <c r="G8972" s="1160"/>
      <c r="H8972" s="1369"/>
      <c r="I8972" s="938" t="str">
        <f t="shared" ref="I8972" si="337">IF(D8972&lt;&gt;0,ROUND(PRODUCT(E8972:H8972)*D8972,2),"")</f>
        <v/>
      </c>
      <c r="J8972" s="374"/>
      <c r="K8972" s="1237"/>
      <c r="L8972" s="431"/>
      <c r="M8972" s="431"/>
      <c r="N8972" s="431"/>
    </row>
    <row r="8973" spans="1:16" ht="34.5">
      <c r="A8973" s="1228"/>
      <c r="B8973" s="311" t="s">
        <v>258</v>
      </c>
      <c r="C8973" s="165"/>
      <c r="D8973" s="308"/>
      <c r="E8973" s="540"/>
      <c r="F8973" s="401"/>
      <c r="G8973" s="401"/>
      <c r="H8973" s="401"/>
      <c r="I8973" s="939"/>
      <c r="J8973" s="162"/>
      <c r="K8973" s="1229"/>
      <c r="O8973" s="169"/>
      <c r="P8973" s="169"/>
    </row>
    <row r="8974" spans="1:16">
      <c r="A8974" s="1228"/>
      <c r="B8974" s="307"/>
      <c r="C8974" s="165" t="s">
        <v>2</v>
      </c>
      <c r="D8974" s="308">
        <v>1</v>
      </c>
      <c r="E8974" s="309">
        <v>1</v>
      </c>
      <c r="F8974" s="401">
        <v>27.54</v>
      </c>
      <c r="G8974" s="401">
        <v>14.739999999999998</v>
      </c>
      <c r="H8974" s="401">
        <v>0.2</v>
      </c>
      <c r="I8974" s="399">
        <f t="shared" ref="I8974:I9037" si="338">IF(D8974&lt;&gt;0,ROUND(PRODUCT(E8974:H8974)*D8974,2),"")</f>
        <v>81.19</v>
      </c>
      <c r="J8974" s="162"/>
      <c r="K8974" s="1239"/>
      <c r="O8974" s="169"/>
      <c r="P8974" s="169"/>
    </row>
    <row r="8975" spans="1:16">
      <c r="A8975" s="1228"/>
      <c r="B8975" s="307"/>
      <c r="C8975" s="165"/>
      <c r="D8975" s="308">
        <f t="shared" ref="D8975:D9036" si="339">-1*0</f>
        <v>0</v>
      </c>
      <c r="E8975" s="309"/>
      <c r="F8975" s="401"/>
      <c r="G8975" s="401"/>
      <c r="H8975" s="401"/>
      <c r="I8975" s="399" t="str">
        <f t="shared" si="338"/>
        <v/>
      </c>
      <c r="J8975" s="162"/>
      <c r="K8975" s="1239"/>
      <c r="O8975" s="169"/>
      <c r="P8975" s="169"/>
    </row>
    <row r="8976" spans="1:16">
      <c r="A8976" s="1228"/>
      <c r="B8976" s="311" t="s">
        <v>259</v>
      </c>
      <c r="C8976" s="165"/>
      <c r="D8976" s="308">
        <f t="shared" si="339"/>
        <v>0</v>
      </c>
      <c r="E8976" s="309"/>
      <c r="F8976" s="401"/>
      <c r="G8976" s="401"/>
      <c r="H8976" s="401"/>
      <c r="I8976" s="399" t="str">
        <f t="shared" si="338"/>
        <v/>
      </c>
      <c r="J8976" s="162"/>
      <c r="K8976" s="1239"/>
      <c r="O8976" s="169"/>
      <c r="P8976" s="169"/>
    </row>
    <row r="8977" spans="1:16">
      <c r="A8977" s="1228"/>
      <c r="B8977" s="311" t="s">
        <v>260</v>
      </c>
      <c r="C8977" s="165" t="s">
        <v>2</v>
      </c>
      <c r="D8977" s="308">
        <v>1</v>
      </c>
      <c r="E8977" s="309">
        <v>1</v>
      </c>
      <c r="F8977" s="401">
        <v>29.2</v>
      </c>
      <c r="G8977" s="401">
        <v>6</v>
      </c>
      <c r="H8977" s="401">
        <v>0.2</v>
      </c>
      <c r="I8977" s="399">
        <f t="shared" si="338"/>
        <v>35.04</v>
      </c>
      <c r="J8977" s="162"/>
      <c r="K8977" s="1239"/>
      <c r="O8977" s="169"/>
      <c r="P8977" s="169"/>
    </row>
    <row r="8978" spans="1:16">
      <c r="A8978" s="1228"/>
      <c r="B8978" s="311"/>
      <c r="C8978" s="165" t="s">
        <v>2</v>
      </c>
      <c r="D8978" s="308">
        <v>1</v>
      </c>
      <c r="E8978" s="309">
        <v>1</v>
      </c>
      <c r="F8978" s="401">
        <v>8.32</v>
      </c>
      <c r="G8978" s="401">
        <v>6.78</v>
      </c>
      <c r="H8978" s="401">
        <v>0.2</v>
      </c>
      <c r="I8978" s="399">
        <f t="shared" si="338"/>
        <v>11.28</v>
      </c>
      <c r="J8978" s="162"/>
      <c r="K8978" s="1239"/>
      <c r="O8978" s="169"/>
      <c r="P8978" s="169"/>
    </row>
    <row r="8979" spans="1:16">
      <c r="A8979" s="1228"/>
      <c r="B8979" s="311" t="s">
        <v>261</v>
      </c>
      <c r="C8979" s="165" t="s">
        <v>2</v>
      </c>
      <c r="D8979" s="308">
        <v>1</v>
      </c>
      <c r="E8979" s="309">
        <v>1</v>
      </c>
      <c r="F8979" s="401">
        <v>23.234999999999999</v>
      </c>
      <c r="G8979" s="401">
        <v>6</v>
      </c>
      <c r="H8979" s="401">
        <v>0.2</v>
      </c>
      <c r="I8979" s="399">
        <f t="shared" si="338"/>
        <v>27.88</v>
      </c>
      <c r="J8979" s="162"/>
      <c r="K8979" s="1239"/>
      <c r="O8979" s="169"/>
      <c r="P8979" s="169"/>
    </row>
    <row r="8980" spans="1:16">
      <c r="A8980" s="1228"/>
      <c r="B8980" s="311" t="s">
        <v>261</v>
      </c>
      <c r="C8980" s="165" t="s">
        <v>2</v>
      </c>
      <c r="D8980" s="308">
        <v>1</v>
      </c>
      <c r="E8980" s="309">
        <v>1</v>
      </c>
      <c r="F8980" s="401">
        <v>2.2749999999999999</v>
      </c>
      <c r="G8980" s="401">
        <v>6</v>
      </c>
      <c r="H8980" s="401">
        <v>0.2</v>
      </c>
      <c r="I8980" s="399">
        <f t="shared" si="338"/>
        <v>2.73</v>
      </c>
      <c r="J8980" s="162"/>
      <c r="K8980" s="1239"/>
      <c r="O8980" s="169"/>
      <c r="P8980" s="169"/>
    </row>
    <row r="8981" spans="1:16">
      <c r="A8981" s="1228"/>
      <c r="B8981" s="311" t="s">
        <v>261</v>
      </c>
      <c r="C8981" s="165" t="s">
        <v>2</v>
      </c>
      <c r="D8981" s="308">
        <v>1</v>
      </c>
      <c r="E8981" s="309">
        <v>1</v>
      </c>
      <c r="F8981" s="401">
        <v>32.39</v>
      </c>
      <c r="G8981" s="401">
        <v>6</v>
      </c>
      <c r="H8981" s="401">
        <v>0.2</v>
      </c>
      <c r="I8981" s="399">
        <f t="shared" si="338"/>
        <v>38.869999999999997</v>
      </c>
      <c r="J8981" s="162"/>
      <c r="K8981" s="1239"/>
      <c r="O8981" s="169"/>
      <c r="P8981" s="169"/>
    </row>
    <row r="8982" spans="1:16">
      <c r="A8982" s="1228"/>
      <c r="B8982" s="311" t="s">
        <v>261</v>
      </c>
      <c r="C8982" s="165" t="s">
        <v>2</v>
      </c>
      <c r="D8982" s="308">
        <v>1</v>
      </c>
      <c r="E8982" s="309">
        <v>1</v>
      </c>
      <c r="F8982" s="401">
        <v>5.2949999999999999</v>
      </c>
      <c r="G8982" s="401">
        <v>6</v>
      </c>
      <c r="H8982" s="401">
        <v>0.2</v>
      </c>
      <c r="I8982" s="399">
        <f t="shared" si="338"/>
        <v>6.35</v>
      </c>
      <c r="J8982" s="162"/>
      <c r="K8982" s="1239"/>
      <c r="O8982" s="169"/>
      <c r="P8982" s="169"/>
    </row>
    <row r="8983" spans="1:16">
      <c r="A8983" s="1228"/>
      <c r="B8983" s="311"/>
      <c r="C8983" s="165"/>
      <c r="D8983" s="308">
        <f t="shared" si="339"/>
        <v>0</v>
      </c>
      <c r="E8983" s="309"/>
      <c r="F8983" s="401"/>
      <c r="G8983" s="401"/>
      <c r="H8983" s="401">
        <v>0.2</v>
      </c>
      <c r="I8983" s="399" t="str">
        <f t="shared" si="338"/>
        <v/>
      </c>
      <c r="J8983" s="162"/>
      <c r="K8983" s="1239"/>
      <c r="O8983" s="169"/>
      <c r="P8983" s="169"/>
    </row>
    <row r="8984" spans="1:16" ht="34.5">
      <c r="A8984" s="1228"/>
      <c r="B8984" s="311" t="s">
        <v>314</v>
      </c>
      <c r="C8984" s="165" t="s">
        <v>2</v>
      </c>
      <c r="D8984" s="308">
        <v>1</v>
      </c>
      <c r="E8984" s="309">
        <v>1</v>
      </c>
      <c r="F8984" s="401">
        <v>31.463000000000001</v>
      </c>
      <c r="G8984" s="401">
        <v>6</v>
      </c>
      <c r="H8984" s="401">
        <v>0.2</v>
      </c>
      <c r="I8984" s="399">
        <f t="shared" si="338"/>
        <v>37.76</v>
      </c>
      <c r="J8984" s="162"/>
      <c r="K8984" s="1239"/>
      <c r="O8984" s="169"/>
      <c r="P8984" s="169"/>
    </row>
    <row r="8985" spans="1:16" ht="34.5">
      <c r="A8985" s="1228"/>
      <c r="B8985" s="311" t="s">
        <v>315</v>
      </c>
      <c r="C8985" s="165" t="s">
        <v>2</v>
      </c>
      <c r="D8985" s="308">
        <v>1</v>
      </c>
      <c r="E8985" s="309">
        <v>1</v>
      </c>
      <c r="F8985" s="401">
        <v>33.192999999999998</v>
      </c>
      <c r="G8985" s="401">
        <v>6</v>
      </c>
      <c r="H8985" s="401">
        <v>0.2</v>
      </c>
      <c r="I8985" s="399">
        <f t="shared" si="338"/>
        <v>39.83</v>
      </c>
      <c r="J8985" s="162"/>
      <c r="K8985" s="1239"/>
      <c r="O8985" s="169"/>
      <c r="P8985" s="169"/>
    </row>
    <row r="8986" spans="1:16">
      <c r="A8986" s="1228"/>
      <c r="B8986" s="311"/>
      <c r="C8986" s="165" t="s">
        <v>2</v>
      </c>
      <c r="D8986" s="308">
        <v>1</v>
      </c>
      <c r="E8986" s="309">
        <v>1</v>
      </c>
      <c r="F8986" s="401">
        <v>29.853999999999999</v>
      </c>
      <c r="G8986" s="401">
        <v>6</v>
      </c>
      <c r="H8986" s="401">
        <v>0.2</v>
      </c>
      <c r="I8986" s="399">
        <f t="shared" si="338"/>
        <v>35.82</v>
      </c>
      <c r="J8986" s="162"/>
      <c r="K8986" s="1239"/>
      <c r="O8986" s="169"/>
      <c r="P8986" s="169"/>
    </row>
    <row r="8987" spans="1:16">
      <c r="A8987" s="1228"/>
      <c r="B8987" s="311"/>
      <c r="C8987" s="165" t="s">
        <v>2</v>
      </c>
      <c r="D8987" s="308">
        <v>1</v>
      </c>
      <c r="E8987" s="309">
        <v>1</v>
      </c>
      <c r="F8987" s="401">
        <v>33.667000000000002</v>
      </c>
      <c r="G8987" s="401">
        <v>6</v>
      </c>
      <c r="H8987" s="401">
        <v>0.2</v>
      </c>
      <c r="I8987" s="399">
        <f t="shared" si="338"/>
        <v>40.4</v>
      </c>
      <c r="J8987" s="162"/>
      <c r="K8987" s="1239"/>
      <c r="O8987" s="169"/>
      <c r="P8987" s="169"/>
    </row>
    <row r="8988" spans="1:16">
      <c r="A8988" s="1228"/>
      <c r="B8988" s="311"/>
      <c r="C8988" s="165" t="s">
        <v>2</v>
      </c>
      <c r="D8988" s="308">
        <v>1</v>
      </c>
      <c r="E8988" s="309">
        <v>1</v>
      </c>
      <c r="F8988" s="401">
        <v>12.3</v>
      </c>
      <c r="G8988" s="401">
        <v>6</v>
      </c>
      <c r="H8988" s="401">
        <v>0.2</v>
      </c>
      <c r="I8988" s="399">
        <f t="shared" si="338"/>
        <v>14.76</v>
      </c>
      <c r="J8988" s="162"/>
      <c r="K8988" s="1239"/>
      <c r="O8988" s="169"/>
      <c r="P8988" s="169"/>
    </row>
    <row r="8989" spans="1:16">
      <c r="A8989" s="1228"/>
      <c r="B8989" s="311"/>
      <c r="C8989" s="165"/>
      <c r="D8989" s="308">
        <f t="shared" si="339"/>
        <v>0</v>
      </c>
      <c r="E8989" s="309"/>
      <c r="F8989" s="401"/>
      <c r="G8989" s="401"/>
      <c r="H8989" s="401"/>
      <c r="I8989" s="399" t="str">
        <f t="shared" si="338"/>
        <v/>
      </c>
      <c r="J8989" s="162"/>
      <c r="K8989" s="1239"/>
      <c r="O8989" s="169"/>
      <c r="P8989" s="169"/>
    </row>
    <row r="8990" spans="1:16">
      <c r="A8990" s="1228"/>
      <c r="B8990" s="311" t="s">
        <v>319</v>
      </c>
      <c r="C8990" s="165"/>
      <c r="D8990" s="308">
        <f t="shared" si="339"/>
        <v>0</v>
      </c>
      <c r="E8990" s="309"/>
      <c r="F8990" s="401"/>
      <c r="G8990" s="401"/>
      <c r="H8990" s="401"/>
      <c r="I8990" s="399" t="str">
        <f t="shared" si="338"/>
        <v/>
      </c>
      <c r="J8990" s="162"/>
      <c r="K8990" s="1239"/>
      <c r="O8990" s="169"/>
      <c r="P8990" s="169"/>
    </row>
    <row r="8991" spans="1:16" ht="34.5">
      <c r="A8991" s="1228"/>
      <c r="B8991" s="311" t="s">
        <v>266</v>
      </c>
      <c r="C8991" s="165" t="s">
        <v>2</v>
      </c>
      <c r="D8991" s="308">
        <v>1</v>
      </c>
      <c r="E8991" s="309">
        <v>1</v>
      </c>
      <c r="F8991" s="401">
        <v>6.38</v>
      </c>
      <c r="G8991" s="401">
        <v>1.9750000000000001</v>
      </c>
      <c r="H8991" s="401">
        <v>0.2</v>
      </c>
      <c r="I8991" s="399">
        <f t="shared" si="338"/>
        <v>2.52</v>
      </c>
      <c r="J8991" s="162"/>
      <c r="K8991" s="1239"/>
      <c r="O8991" s="169"/>
      <c r="P8991" s="169"/>
    </row>
    <row r="8992" spans="1:16">
      <c r="A8992" s="1228"/>
      <c r="B8992" s="307"/>
      <c r="C8992" s="165" t="s">
        <v>2</v>
      </c>
      <c r="D8992" s="308">
        <v>1</v>
      </c>
      <c r="E8992" s="309">
        <v>2</v>
      </c>
      <c r="F8992" s="401">
        <v>6.95</v>
      </c>
      <c r="G8992" s="401">
        <v>1.9750000000000001</v>
      </c>
      <c r="H8992" s="401">
        <v>0.2</v>
      </c>
      <c r="I8992" s="399">
        <f t="shared" si="338"/>
        <v>5.49</v>
      </c>
      <c r="J8992" s="162"/>
      <c r="K8992" s="1239"/>
      <c r="O8992" s="169"/>
      <c r="P8992" s="169"/>
    </row>
    <row r="8993" spans="1:16">
      <c r="A8993" s="1228"/>
      <c r="B8993" s="307"/>
      <c r="C8993" s="165" t="s">
        <v>2</v>
      </c>
      <c r="D8993" s="308">
        <v>1</v>
      </c>
      <c r="E8993" s="309">
        <v>1</v>
      </c>
      <c r="F8993" s="401">
        <v>6.12</v>
      </c>
      <c r="G8993" s="401">
        <v>1.67</v>
      </c>
      <c r="H8993" s="401">
        <v>0.2</v>
      </c>
      <c r="I8993" s="399">
        <f t="shared" si="338"/>
        <v>2.04</v>
      </c>
      <c r="J8993" s="162"/>
      <c r="K8993" s="1239"/>
      <c r="O8993" s="169"/>
      <c r="P8993" s="169"/>
    </row>
    <row r="8994" spans="1:16">
      <c r="A8994" s="1228"/>
      <c r="B8994" s="307"/>
      <c r="C8994" s="165" t="s">
        <v>2</v>
      </c>
      <c r="D8994" s="308">
        <v>1</v>
      </c>
      <c r="E8994" s="309">
        <v>1</v>
      </c>
      <c r="F8994" s="401">
        <v>4.6449999999999996</v>
      </c>
      <c r="G8994" s="401">
        <v>1.9750000000000001</v>
      </c>
      <c r="H8994" s="401">
        <v>0.2</v>
      </c>
      <c r="I8994" s="399">
        <f t="shared" si="338"/>
        <v>1.83</v>
      </c>
      <c r="J8994" s="162"/>
      <c r="K8994" s="1239"/>
      <c r="O8994" s="169"/>
      <c r="P8994" s="169"/>
    </row>
    <row r="8995" spans="1:16">
      <c r="A8995" s="1228"/>
      <c r="B8995" s="307"/>
      <c r="C8995" s="165"/>
      <c r="D8995" s="308">
        <f t="shared" si="339"/>
        <v>0</v>
      </c>
      <c r="E8995" s="309"/>
      <c r="F8995" s="401"/>
      <c r="G8995" s="401"/>
      <c r="H8995" s="401"/>
      <c r="I8995" s="399" t="str">
        <f t="shared" si="338"/>
        <v/>
      </c>
      <c r="J8995" s="162"/>
      <c r="K8995" s="1239"/>
      <c r="O8995" s="169"/>
      <c r="P8995" s="169"/>
    </row>
    <row r="8996" spans="1:16">
      <c r="A8996" s="1228"/>
      <c r="B8996" s="307"/>
      <c r="C8996" s="165" t="s">
        <v>2</v>
      </c>
      <c r="D8996" s="308">
        <v>1</v>
      </c>
      <c r="E8996" s="309">
        <v>1</v>
      </c>
      <c r="F8996" s="401">
        <v>6.8849999999999998</v>
      </c>
      <c r="G8996" s="401">
        <v>1.27</v>
      </c>
      <c r="H8996" s="401">
        <v>0.2</v>
      </c>
      <c r="I8996" s="399">
        <f t="shared" si="338"/>
        <v>1.75</v>
      </c>
      <c r="J8996" s="162"/>
      <c r="K8996" s="1239"/>
      <c r="O8996" s="169"/>
      <c r="P8996" s="169"/>
    </row>
    <row r="8997" spans="1:16">
      <c r="A8997" s="1228"/>
      <c r="B8997" s="307"/>
      <c r="C8997" s="165" t="s">
        <v>2</v>
      </c>
      <c r="D8997" s="308">
        <v>1</v>
      </c>
      <c r="E8997" s="309">
        <v>1</v>
      </c>
      <c r="F8997" s="401">
        <v>2.3849999999999998</v>
      </c>
      <c r="G8997" s="401">
        <v>2.2599999999999998</v>
      </c>
      <c r="H8997" s="401">
        <v>0.2</v>
      </c>
      <c r="I8997" s="399">
        <f t="shared" si="338"/>
        <v>1.08</v>
      </c>
      <c r="J8997" s="162"/>
      <c r="K8997" s="1239"/>
      <c r="O8997" s="169"/>
      <c r="P8997" s="169"/>
    </row>
    <row r="8998" spans="1:16">
      <c r="A8998" s="1228"/>
      <c r="B8998" s="311" t="s">
        <v>267</v>
      </c>
      <c r="C8998" s="165" t="s">
        <v>2</v>
      </c>
      <c r="D8998" s="308">
        <v>1</v>
      </c>
      <c r="E8998" s="309">
        <v>1</v>
      </c>
      <c r="F8998" s="401">
        <v>20.170000000000002</v>
      </c>
      <c r="G8998" s="401">
        <v>2.125</v>
      </c>
      <c r="H8998" s="401">
        <v>0.2</v>
      </c>
      <c r="I8998" s="399">
        <f t="shared" si="338"/>
        <v>8.57</v>
      </c>
      <c r="J8998" s="162"/>
      <c r="K8998" s="1239"/>
      <c r="O8998" s="169"/>
      <c r="P8998" s="169"/>
    </row>
    <row r="8999" spans="1:16">
      <c r="A8999" s="1228"/>
      <c r="B8999" s="311"/>
      <c r="C8999" s="165"/>
      <c r="D8999" s="308">
        <f t="shared" si="339"/>
        <v>0</v>
      </c>
      <c r="E8999" s="309"/>
      <c r="F8999" s="401"/>
      <c r="G8999" s="401"/>
      <c r="H8999" s="401"/>
      <c r="I8999" s="399" t="str">
        <f t="shared" si="338"/>
        <v/>
      </c>
      <c r="J8999" s="162"/>
      <c r="K8999" s="1239"/>
      <c r="O8999" s="169"/>
      <c r="P8999" s="169"/>
    </row>
    <row r="9000" spans="1:16">
      <c r="A9000" s="1228"/>
      <c r="B9000" s="311" t="s">
        <v>268</v>
      </c>
      <c r="C9000" s="165" t="s">
        <v>2</v>
      </c>
      <c r="D9000" s="308">
        <v>1</v>
      </c>
      <c r="E9000" s="309">
        <v>1</v>
      </c>
      <c r="F9000" s="401">
        <v>12.58</v>
      </c>
      <c r="G9000" s="401">
        <v>1.19</v>
      </c>
      <c r="H9000" s="401">
        <v>0.2</v>
      </c>
      <c r="I9000" s="399">
        <f t="shared" si="338"/>
        <v>2.99</v>
      </c>
      <c r="J9000" s="162"/>
      <c r="K9000" s="1239"/>
      <c r="O9000" s="169"/>
      <c r="P9000" s="169"/>
    </row>
    <row r="9001" spans="1:16">
      <c r="A9001" s="1228"/>
      <c r="B9001" s="311"/>
      <c r="C9001" s="165" t="s">
        <v>2</v>
      </c>
      <c r="D9001" s="308">
        <v>1</v>
      </c>
      <c r="E9001" s="309">
        <v>1</v>
      </c>
      <c r="F9001" s="401">
        <v>7.09</v>
      </c>
      <c r="G9001" s="401">
        <v>0.9</v>
      </c>
      <c r="H9001" s="401">
        <v>0.2</v>
      </c>
      <c r="I9001" s="399">
        <f t="shared" si="338"/>
        <v>1.28</v>
      </c>
      <c r="J9001" s="162"/>
      <c r="K9001" s="1239"/>
      <c r="O9001" s="169"/>
      <c r="P9001" s="169"/>
    </row>
    <row r="9002" spans="1:16">
      <c r="A9002" s="1228"/>
      <c r="B9002" s="311"/>
      <c r="C9002" s="165" t="s">
        <v>2</v>
      </c>
      <c r="D9002" s="308">
        <v>1</v>
      </c>
      <c r="E9002" s="309">
        <v>1</v>
      </c>
      <c r="F9002" s="401">
        <v>1.6</v>
      </c>
      <c r="G9002" s="401">
        <v>5.98</v>
      </c>
      <c r="H9002" s="401">
        <v>0.2</v>
      </c>
      <c r="I9002" s="399">
        <f t="shared" si="338"/>
        <v>1.91</v>
      </c>
      <c r="J9002" s="162"/>
      <c r="K9002" s="1239"/>
      <c r="O9002" s="169"/>
      <c r="P9002" s="169"/>
    </row>
    <row r="9003" spans="1:16">
      <c r="A9003" s="1228"/>
      <c r="B9003" s="311"/>
      <c r="C9003" s="165" t="s">
        <v>2</v>
      </c>
      <c r="D9003" s="308">
        <v>1</v>
      </c>
      <c r="E9003" s="309">
        <v>1</v>
      </c>
      <c r="F9003" s="401">
        <v>1.6</v>
      </c>
      <c r="G9003" s="401">
        <v>4.18</v>
      </c>
      <c r="H9003" s="401">
        <v>0.2</v>
      </c>
      <c r="I9003" s="399">
        <f t="shared" si="338"/>
        <v>1.34</v>
      </c>
      <c r="J9003" s="162"/>
      <c r="K9003" s="1239"/>
      <c r="O9003" s="169"/>
      <c r="P9003" s="169"/>
    </row>
    <row r="9004" spans="1:16">
      <c r="A9004" s="1228"/>
      <c r="B9004" s="311"/>
      <c r="C9004" s="165" t="s">
        <v>2</v>
      </c>
      <c r="D9004" s="308">
        <v>1</v>
      </c>
      <c r="E9004" s="309">
        <v>2</v>
      </c>
      <c r="F9004" s="401">
        <v>1.6</v>
      </c>
      <c r="G9004" s="401">
        <v>2.38</v>
      </c>
      <c r="H9004" s="401">
        <v>0.2</v>
      </c>
      <c r="I9004" s="399">
        <f t="shared" si="338"/>
        <v>1.52</v>
      </c>
      <c r="J9004" s="162"/>
      <c r="K9004" s="1239"/>
      <c r="O9004" s="169"/>
      <c r="P9004" s="169"/>
    </row>
    <row r="9005" spans="1:16">
      <c r="A9005" s="1228"/>
      <c r="B9005" s="311"/>
      <c r="C9005" s="165" t="s">
        <v>2</v>
      </c>
      <c r="D9005" s="308">
        <v>1</v>
      </c>
      <c r="E9005" s="309">
        <v>1</v>
      </c>
      <c r="F9005" s="401">
        <v>1.145</v>
      </c>
      <c r="G9005" s="401">
        <v>0.9</v>
      </c>
      <c r="H9005" s="401">
        <v>0.2</v>
      </c>
      <c r="I9005" s="399">
        <f t="shared" si="338"/>
        <v>0.21</v>
      </c>
      <c r="J9005" s="162"/>
      <c r="K9005" s="1239"/>
      <c r="O9005" s="169"/>
      <c r="P9005" s="169"/>
    </row>
    <row r="9006" spans="1:16">
      <c r="A9006" s="1228"/>
      <c r="B9006" s="311"/>
      <c r="C9006" s="165"/>
      <c r="D9006" s="308">
        <f t="shared" si="339"/>
        <v>0</v>
      </c>
      <c r="E9006" s="309"/>
      <c r="F9006" s="401"/>
      <c r="G9006" s="401"/>
      <c r="H9006" s="401"/>
      <c r="I9006" s="399" t="str">
        <f t="shared" si="338"/>
        <v/>
      </c>
      <c r="J9006" s="162"/>
      <c r="K9006" s="1239"/>
      <c r="O9006" s="169"/>
      <c r="P9006" s="169"/>
    </row>
    <row r="9007" spans="1:16">
      <c r="A9007" s="1228"/>
      <c r="B9007" s="311"/>
      <c r="C9007" s="165" t="s">
        <v>2</v>
      </c>
      <c r="D9007" s="308">
        <v>1</v>
      </c>
      <c r="E9007" s="309">
        <v>1</v>
      </c>
      <c r="F9007" s="401">
        <v>2.7450000000000001</v>
      </c>
      <c r="G9007" s="401">
        <v>1.5</v>
      </c>
      <c r="H9007" s="401">
        <v>0.2</v>
      </c>
      <c r="I9007" s="399">
        <f t="shared" si="338"/>
        <v>0.82</v>
      </c>
      <c r="J9007" s="162"/>
      <c r="K9007" s="1239"/>
      <c r="O9007" s="169"/>
      <c r="P9007" s="169"/>
    </row>
    <row r="9008" spans="1:16">
      <c r="A9008" s="1228"/>
      <c r="B9008" s="311"/>
      <c r="C9008" s="165" t="s">
        <v>2</v>
      </c>
      <c r="D9008" s="308">
        <v>1</v>
      </c>
      <c r="E9008" s="309">
        <v>1</v>
      </c>
      <c r="F9008" s="401">
        <v>1.6</v>
      </c>
      <c r="G9008" s="401">
        <v>6.6749999999999998</v>
      </c>
      <c r="H9008" s="401">
        <v>0.2</v>
      </c>
      <c r="I9008" s="399">
        <f t="shared" si="338"/>
        <v>2.14</v>
      </c>
      <c r="J9008" s="162"/>
      <c r="K9008" s="1239"/>
      <c r="O9008" s="169"/>
      <c r="P9008" s="169"/>
    </row>
    <row r="9009" spans="1:16">
      <c r="A9009" s="1228"/>
      <c r="B9009" s="311"/>
      <c r="C9009" s="165" t="s">
        <v>2</v>
      </c>
      <c r="D9009" s="308">
        <v>1</v>
      </c>
      <c r="E9009" s="309">
        <v>1</v>
      </c>
      <c r="F9009" s="401">
        <v>3.07</v>
      </c>
      <c r="G9009" s="401">
        <v>1.0649999999999999</v>
      </c>
      <c r="H9009" s="401">
        <v>0.2</v>
      </c>
      <c r="I9009" s="399">
        <f t="shared" si="338"/>
        <v>0.65</v>
      </c>
      <c r="J9009" s="162"/>
      <c r="K9009" s="1239"/>
      <c r="O9009" s="169"/>
      <c r="P9009" s="169"/>
    </row>
    <row r="9010" spans="1:16">
      <c r="A9010" s="1228"/>
      <c r="B9010" s="311"/>
      <c r="C9010" s="165" t="s">
        <v>2</v>
      </c>
      <c r="D9010" s="308">
        <v>1</v>
      </c>
      <c r="E9010" s="309">
        <v>1</v>
      </c>
      <c r="F9010" s="401">
        <v>1.6</v>
      </c>
      <c r="G9010" s="401">
        <v>3.9</v>
      </c>
      <c r="H9010" s="401">
        <v>0.2</v>
      </c>
      <c r="I9010" s="399">
        <f t="shared" si="338"/>
        <v>1.25</v>
      </c>
      <c r="J9010" s="162"/>
      <c r="K9010" s="1239"/>
      <c r="O9010" s="169"/>
      <c r="P9010" s="169"/>
    </row>
    <row r="9011" spans="1:16">
      <c r="A9011" s="1228"/>
      <c r="B9011" s="311"/>
      <c r="C9011" s="165" t="s">
        <v>2</v>
      </c>
      <c r="D9011" s="308">
        <v>1</v>
      </c>
      <c r="E9011" s="309">
        <v>1</v>
      </c>
      <c r="F9011" s="401">
        <v>2.77</v>
      </c>
      <c r="G9011" s="401">
        <v>0.96</v>
      </c>
      <c r="H9011" s="401">
        <v>0.2</v>
      </c>
      <c r="I9011" s="399">
        <f t="shared" si="338"/>
        <v>0.53</v>
      </c>
      <c r="J9011" s="162"/>
      <c r="K9011" s="1239"/>
      <c r="O9011" s="169"/>
      <c r="P9011" s="169"/>
    </row>
    <row r="9012" spans="1:16">
      <c r="A9012" s="1228"/>
      <c r="B9012" s="311"/>
      <c r="C9012" s="165" t="s">
        <v>2</v>
      </c>
      <c r="D9012" s="308">
        <v>1</v>
      </c>
      <c r="E9012" s="309">
        <v>1</v>
      </c>
      <c r="F9012" s="401">
        <v>1.6</v>
      </c>
      <c r="G9012" s="401">
        <v>4.09</v>
      </c>
      <c r="H9012" s="401">
        <v>0.2</v>
      </c>
      <c r="I9012" s="399">
        <f t="shared" si="338"/>
        <v>1.31</v>
      </c>
      <c r="J9012" s="162"/>
      <c r="K9012" s="1239"/>
      <c r="O9012" s="169"/>
      <c r="P9012" s="169"/>
    </row>
    <row r="9013" spans="1:16">
      <c r="A9013" s="1228"/>
      <c r="B9013" s="311"/>
      <c r="C9013" s="165" t="s">
        <v>2</v>
      </c>
      <c r="D9013" s="308">
        <v>1</v>
      </c>
      <c r="E9013" s="309">
        <v>1</v>
      </c>
      <c r="F9013" s="401">
        <v>3.25</v>
      </c>
      <c r="G9013" s="401">
        <v>1.095</v>
      </c>
      <c r="H9013" s="401">
        <v>0.2</v>
      </c>
      <c r="I9013" s="399">
        <f t="shared" si="338"/>
        <v>0.71</v>
      </c>
      <c r="J9013" s="162"/>
      <c r="K9013" s="1239"/>
      <c r="O9013" s="169"/>
      <c r="P9013" s="169"/>
    </row>
    <row r="9014" spans="1:16">
      <c r="A9014" s="1228"/>
      <c r="B9014" s="311"/>
      <c r="C9014" s="165" t="s">
        <v>2</v>
      </c>
      <c r="D9014" s="308">
        <v>1</v>
      </c>
      <c r="E9014" s="309">
        <v>1</v>
      </c>
      <c r="F9014" s="401">
        <v>8.61</v>
      </c>
      <c r="G9014" s="401">
        <v>4.6150000000000002</v>
      </c>
      <c r="H9014" s="401">
        <v>0.2</v>
      </c>
      <c r="I9014" s="399">
        <f t="shared" si="338"/>
        <v>7.95</v>
      </c>
      <c r="J9014" s="162"/>
      <c r="K9014" s="1239"/>
      <c r="O9014" s="169"/>
      <c r="P9014" s="169"/>
    </row>
    <row r="9015" spans="1:16">
      <c r="A9015" s="1228"/>
      <c r="B9015" s="311"/>
      <c r="C9015" s="165"/>
      <c r="D9015" s="308">
        <f t="shared" si="339"/>
        <v>0</v>
      </c>
      <c r="E9015" s="309"/>
      <c r="F9015" s="401"/>
      <c r="G9015" s="401"/>
      <c r="H9015" s="401"/>
      <c r="I9015" s="399" t="str">
        <f t="shared" si="338"/>
        <v/>
      </c>
      <c r="J9015" s="162"/>
      <c r="K9015" s="1239"/>
      <c r="O9015" s="169"/>
      <c r="P9015" s="169"/>
    </row>
    <row r="9016" spans="1:16" ht="34.5">
      <c r="A9016" s="1228"/>
      <c r="B9016" s="311" t="s">
        <v>320</v>
      </c>
      <c r="C9016" s="165" t="s">
        <v>2</v>
      </c>
      <c r="D9016" s="308">
        <v>1</v>
      </c>
      <c r="E9016" s="309">
        <v>1</v>
      </c>
      <c r="F9016" s="401">
        <v>1.6</v>
      </c>
      <c r="G9016" s="401">
        <v>8.56</v>
      </c>
      <c r="H9016" s="401">
        <v>0.2</v>
      </c>
      <c r="I9016" s="399">
        <f t="shared" si="338"/>
        <v>2.74</v>
      </c>
      <c r="J9016" s="162"/>
      <c r="K9016" s="1239"/>
      <c r="O9016" s="169"/>
      <c r="P9016" s="169"/>
    </row>
    <row r="9017" spans="1:16">
      <c r="A9017" s="1228"/>
      <c r="B9017" s="311"/>
      <c r="C9017" s="165" t="s">
        <v>2</v>
      </c>
      <c r="D9017" s="308">
        <v>1</v>
      </c>
      <c r="E9017" s="309">
        <v>1</v>
      </c>
      <c r="F9017" s="401">
        <v>1.6</v>
      </c>
      <c r="G9017" s="401">
        <v>6.85</v>
      </c>
      <c r="H9017" s="401">
        <v>0.2</v>
      </c>
      <c r="I9017" s="399">
        <f t="shared" si="338"/>
        <v>2.19</v>
      </c>
      <c r="J9017" s="162"/>
      <c r="K9017" s="1239"/>
      <c r="O9017" s="169"/>
      <c r="P9017" s="169"/>
    </row>
    <row r="9018" spans="1:16">
      <c r="A9018" s="1228"/>
      <c r="B9018" s="311"/>
      <c r="C9018" s="165" t="s">
        <v>2</v>
      </c>
      <c r="D9018" s="308">
        <v>1</v>
      </c>
      <c r="E9018" s="309">
        <v>1</v>
      </c>
      <c r="F9018" s="401">
        <v>1.6</v>
      </c>
      <c r="G9018" s="401">
        <v>7.4499999999999993</v>
      </c>
      <c r="H9018" s="401">
        <v>0.2</v>
      </c>
      <c r="I9018" s="399">
        <f t="shared" si="338"/>
        <v>2.38</v>
      </c>
      <c r="J9018" s="162"/>
      <c r="K9018" s="1239"/>
      <c r="O9018" s="169"/>
      <c r="P9018" s="169"/>
    </row>
    <row r="9019" spans="1:16">
      <c r="A9019" s="1228"/>
      <c r="B9019" s="311"/>
      <c r="C9019" s="165" t="s">
        <v>2</v>
      </c>
      <c r="D9019" s="308">
        <v>1</v>
      </c>
      <c r="E9019" s="309">
        <v>1</v>
      </c>
      <c r="F9019" s="401">
        <v>0.99</v>
      </c>
      <c r="G9019" s="401">
        <v>8.85</v>
      </c>
      <c r="H9019" s="401">
        <v>0.2</v>
      </c>
      <c r="I9019" s="399">
        <f t="shared" si="338"/>
        <v>1.75</v>
      </c>
      <c r="J9019" s="162"/>
      <c r="K9019" s="1239"/>
      <c r="O9019" s="169"/>
      <c r="P9019" s="169"/>
    </row>
    <row r="9020" spans="1:16">
      <c r="A9020" s="1228"/>
      <c r="B9020" s="311"/>
      <c r="C9020" s="165" t="s">
        <v>2</v>
      </c>
      <c r="D9020" s="308">
        <v>1</v>
      </c>
      <c r="E9020" s="309">
        <v>1</v>
      </c>
      <c r="F9020" s="401">
        <v>1.6</v>
      </c>
      <c r="G9020" s="401">
        <v>4.8899999999999997</v>
      </c>
      <c r="H9020" s="401">
        <v>0.2</v>
      </c>
      <c r="I9020" s="399">
        <f t="shared" si="338"/>
        <v>1.56</v>
      </c>
      <c r="J9020" s="162"/>
      <c r="K9020" s="1239"/>
      <c r="O9020" s="169"/>
      <c r="P9020" s="169"/>
    </row>
    <row r="9021" spans="1:16">
      <c r="A9021" s="1228"/>
      <c r="B9021" s="311"/>
      <c r="C9021" s="165" t="s">
        <v>2</v>
      </c>
      <c r="D9021" s="308">
        <v>1</v>
      </c>
      <c r="E9021" s="309">
        <v>1</v>
      </c>
      <c r="F9021" s="401">
        <v>1.6</v>
      </c>
      <c r="G9021" s="401">
        <v>5.3299999999999992</v>
      </c>
      <c r="H9021" s="401">
        <v>0.2</v>
      </c>
      <c r="I9021" s="399">
        <f t="shared" si="338"/>
        <v>1.71</v>
      </c>
      <c r="J9021" s="162"/>
      <c r="K9021" s="1239"/>
      <c r="O9021" s="169"/>
      <c r="P9021" s="169"/>
    </row>
    <row r="9022" spans="1:16">
      <c r="A9022" s="1228"/>
      <c r="B9022" s="311"/>
      <c r="C9022" s="165" t="s">
        <v>2</v>
      </c>
      <c r="D9022" s="308">
        <v>1</v>
      </c>
      <c r="E9022" s="309">
        <v>1</v>
      </c>
      <c r="F9022" s="401">
        <v>1.6</v>
      </c>
      <c r="G9022" s="401">
        <v>1.45</v>
      </c>
      <c r="H9022" s="401">
        <v>0.2</v>
      </c>
      <c r="I9022" s="399">
        <f t="shared" si="338"/>
        <v>0.46</v>
      </c>
      <c r="J9022" s="162"/>
      <c r="K9022" s="1239"/>
      <c r="O9022" s="169"/>
      <c r="P9022" s="169"/>
    </row>
    <row r="9023" spans="1:16">
      <c r="A9023" s="1228"/>
      <c r="B9023" s="311"/>
      <c r="C9023" s="165" t="s">
        <v>2</v>
      </c>
      <c r="D9023" s="308">
        <v>1</v>
      </c>
      <c r="E9023" s="309">
        <v>1</v>
      </c>
      <c r="F9023" s="401">
        <v>1.6</v>
      </c>
      <c r="G9023" s="401">
        <v>3.8299999999999996</v>
      </c>
      <c r="H9023" s="401">
        <v>0.2</v>
      </c>
      <c r="I9023" s="399">
        <f t="shared" si="338"/>
        <v>1.23</v>
      </c>
      <c r="J9023" s="162"/>
      <c r="K9023" s="1239"/>
      <c r="O9023" s="169"/>
      <c r="P9023" s="169"/>
    </row>
    <row r="9024" spans="1:16">
      <c r="A9024" s="1228"/>
      <c r="B9024" s="311"/>
      <c r="C9024" s="165" t="s">
        <v>2</v>
      </c>
      <c r="D9024" s="308">
        <v>1</v>
      </c>
      <c r="E9024" s="309">
        <v>1</v>
      </c>
      <c r="F9024" s="401">
        <v>1.415</v>
      </c>
      <c r="G9024" s="401">
        <v>2.4249999999999998</v>
      </c>
      <c r="H9024" s="401">
        <v>0.2</v>
      </c>
      <c r="I9024" s="399">
        <f t="shared" si="338"/>
        <v>0.69</v>
      </c>
      <c r="J9024" s="162"/>
      <c r="K9024" s="1239"/>
      <c r="O9024" s="169"/>
      <c r="P9024" s="169"/>
    </row>
    <row r="9025" spans="1:16">
      <c r="A9025" s="1228"/>
      <c r="B9025" s="311"/>
      <c r="C9025" s="165" t="s">
        <v>2</v>
      </c>
      <c r="D9025" s="308">
        <v>1</v>
      </c>
      <c r="E9025" s="309">
        <v>1</v>
      </c>
      <c r="F9025" s="401">
        <v>0.755</v>
      </c>
      <c r="G9025" s="401">
        <v>1.9650000000000001</v>
      </c>
      <c r="H9025" s="401">
        <v>0.2</v>
      </c>
      <c r="I9025" s="399">
        <f t="shared" si="338"/>
        <v>0.3</v>
      </c>
      <c r="J9025" s="162"/>
      <c r="K9025" s="1239"/>
      <c r="O9025" s="169"/>
      <c r="P9025" s="169"/>
    </row>
    <row r="9026" spans="1:16">
      <c r="A9026" s="1228"/>
      <c r="B9026" s="311"/>
      <c r="C9026" s="165" t="s">
        <v>2</v>
      </c>
      <c r="D9026" s="308">
        <v>1</v>
      </c>
      <c r="E9026" s="309">
        <v>1</v>
      </c>
      <c r="F9026" s="401">
        <v>5.4649999999999999</v>
      </c>
      <c r="G9026" s="401">
        <v>4.2</v>
      </c>
      <c r="H9026" s="401">
        <v>0.2</v>
      </c>
      <c r="I9026" s="399">
        <f t="shared" si="338"/>
        <v>4.59</v>
      </c>
      <c r="J9026" s="162"/>
      <c r="K9026" s="1239"/>
      <c r="O9026" s="169"/>
      <c r="P9026" s="169"/>
    </row>
    <row r="9027" spans="1:16">
      <c r="A9027" s="1228"/>
      <c r="B9027" s="311"/>
      <c r="C9027" s="165"/>
      <c r="D9027" s="308">
        <f t="shared" si="339"/>
        <v>0</v>
      </c>
      <c r="E9027" s="309"/>
      <c r="F9027" s="401"/>
      <c r="G9027" s="401"/>
      <c r="H9027" s="401"/>
      <c r="I9027" s="399" t="str">
        <f t="shared" si="338"/>
        <v/>
      </c>
      <c r="J9027" s="162"/>
      <c r="K9027" s="1239"/>
      <c r="O9027" s="169"/>
      <c r="P9027" s="169"/>
    </row>
    <row r="9028" spans="1:16" ht="34.5">
      <c r="A9028" s="1228"/>
      <c r="B9028" s="311" t="s">
        <v>321</v>
      </c>
      <c r="C9028" s="165" t="s">
        <v>2</v>
      </c>
      <c r="D9028" s="308">
        <v>1</v>
      </c>
      <c r="E9028" s="309">
        <v>1</v>
      </c>
      <c r="F9028" s="401">
        <v>1.6</v>
      </c>
      <c r="G9028" s="401">
        <v>4</v>
      </c>
      <c r="H9028" s="401">
        <v>0.2</v>
      </c>
      <c r="I9028" s="399">
        <f t="shared" si="338"/>
        <v>1.28</v>
      </c>
      <c r="J9028" s="162"/>
      <c r="K9028" s="1239"/>
      <c r="O9028" s="169"/>
      <c r="P9028" s="169"/>
    </row>
    <row r="9029" spans="1:16">
      <c r="A9029" s="1228"/>
      <c r="B9029" s="311"/>
      <c r="C9029" s="165" t="s">
        <v>2</v>
      </c>
      <c r="D9029" s="308">
        <v>1</v>
      </c>
      <c r="E9029" s="309">
        <v>1</v>
      </c>
      <c r="F9029" s="401">
        <v>1.6</v>
      </c>
      <c r="G9029" s="401">
        <v>1</v>
      </c>
      <c r="H9029" s="401">
        <v>0.2</v>
      </c>
      <c r="I9029" s="399">
        <f t="shared" si="338"/>
        <v>0.32</v>
      </c>
      <c r="J9029" s="162"/>
      <c r="K9029" s="1239"/>
      <c r="O9029" s="169"/>
      <c r="P9029" s="169"/>
    </row>
    <row r="9030" spans="1:16">
      <c r="A9030" s="1228"/>
      <c r="B9030" s="311"/>
      <c r="C9030" s="165" t="s">
        <v>2</v>
      </c>
      <c r="D9030" s="308">
        <v>1</v>
      </c>
      <c r="E9030" s="309">
        <v>1</v>
      </c>
      <c r="F9030" s="401">
        <v>5.49</v>
      </c>
      <c r="G9030" s="401">
        <v>0.96499999999999997</v>
      </c>
      <c r="H9030" s="401">
        <v>0.2</v>
      </c>
      <c r="I9030" s="399">
        <f t="shared" si="338"/>
        <v>1.06</v>
      </c>
      <c r="J9030" s="162"/>
      <c r="K9030" s="1239"/>
      <c r="O9030" s="169"/>
      <c r="P9030" s="169"/>
    </row>
    <row r="9031" spans="1:16">
      <c r="A9031" s="1228"/>
      <c r="B9031" s="311"/>
      <c r="C9031" s="165" t="s">
        <v>2</v>
      </c>
      <c r="D9031" s="308">
        <v>1</v>
      </c>
      <c r="E9031" s="309">
        <v>1</v>
      </c>
      <c r="F9031" s="401">
        <v>7.09</v>
      </c>
      <c r="G9031" s="401">
        <v>1</v>
      </c>
      <c r="H9031" s="401">
        <v>0.2</v>
      </c>
      <c r="I9031" s="399">
        <f t="shared" si="338"/>
        <v>1.42</v>
      </c>
      <c r="J9031" s="162"/>
      <c r="K9031" s="1239"/>
      <c r="O9031" s="169"/>
      <c r="P9031" s="169"/>
    </row>
    <row r="9032" spans="1:16">
      <c r="A9032" s="1228"/>
      <c r="B9032" s="311"/>
      <c r="C9032" s="165" t="s">
        <v>2</v>
      </c>
      <c r="D9032" s="308">
        <v>1</v>
      </c>
      <c r="E9032" s="309">
        <v>1</v>
      </c>
      <c r="F9032" s="401">
        <v>1.6</v>
      </c>
      <c r="G9032" s="401">
        <v>3</v>
      </c>
      <c r="H9032" s="401">
        <v>0.2</v>
      </c>
      <c r="I9032" s="399">
        <f t="shared" si="338"/>
        <v>0.96</v>
      </c>
      <c r="J9032" s="162"/>
      <c r="K9032" s="1239"/>
      <c r="O9032" s="169"/>
      <c r="P9032" s="169"/>
    </row>
    <row r="9033" spans="1:16">
      <c r="A9033" s="1228"/>
      <c r="B9033" s="311"/>
      <c r="C9033" s="165" t="s">
        <v>2</v>
      </c>
      <c r="D9033" s="308">
        <v>1</v>
      </c>
      <c r="E9033" s="309">
        <v>1</v>
      </c>
      <c r="F9033" s="401">
        <v>4.3449999999999998</v>
      </c>
      <c r="G9033" s="401">
        <v>1</v>
      </c>
      <c r="H9033" s="401">
        <v>0.2</v>
      </c>
      <c r="I9033" s="399">
        <f t="shared" si="338"/>
        <v>0.87</v>
      </c>
      <c r="J9033" s="162"/>
      <c r="K9033" s="1239"/>
      <c r="O9033" s="169"/>
      <c r="P9033" s="169"/>
    </row>
    <row r="9034" spans="1:16">
      <c r="A9034" s="1228"/>
      <c r="B9034" s="311"/>
      <c r="C9034" s="165" t="s">
        <v>2</v>
      </c>
      <c r="D9034" s="308">
        <v>1</v>
      </c>
      <c r="E9034" s="309">
        <v>1</v>
      </c>
      <c r="F9034" s="401">
        <v>1.6</v>
      </c>
      <c r="G9034" s="401">
        <v>4</v>
      </c>
      <c r="H9034" s="401">
        <v>0.2</v>
      </c>
      <c r="I9034" s="399">
        <f t="shared" si="338"/>
        <v>1.28</v>
      </c>
      <c r="J9034" s="162"/>
      <c r="K9034" s="1239"/>
      <c r="O9034" s="169"/>
      <c r="P9034" s="169"/>
    </row>
    <row r="9035" spans="1:16">
      <c r="A9035" s="1228"/>
      <c r="B9035" s="311"/>
      <c r="C9035" s="165" t="s">
        <v>2</v>
      </c>
      <c r="D9035" s="308">
        <v>1</v>
      </c>
      <c r="E9035" s="309">
        <v>2</v>
      </c>
      <c r="F9035" s="401">
        <v>1.6</v>
      </c>
      <c r="G9035" s="401">
        <v>3</v>
      </c>
      <c r="H9035" s="401">
        <v>0.2</v>
      </c>
      <c r="I9035" s="399">
        <f t="shared" si="338"/>
        <v>1.92</v>
      </c>
      <c r="J9035" s="162"/>
      <c r="K9035" s="1239"/>
      <c r="O9035" s="169"/>
      <c r="P9035" s="169"/>
    </row>
    <row r="9036" spans="1:16">
      <c r="A9036" s="1228"/>
      <c r="B9036" s="311"/>
      <c r="C9036" s="165"/>
      <c r="D9036" s="308">
        <f t="shared" si="339"/>
        <v>0</v>
      </c>
      <c r="E9036" s="309"/>
      <c r="F9036" s="401"/>
      <c r="G9036" s="401"/>
      <c r="H9036" s="401"/>
      <c r="I9036" s="399" t="str">
        <f t="shared" si="338"/>
        <v/>
      </c>
      <c r="J9036" s="162"/>
      <c r="K9036" s="1239"/>
      <c r="O9036" s="169"/>
      <c r="P9036" s="169"/>
    </row>
    <row r="9037" spans="1:16">
      <c r="A9037" s="1228"/>
      <c r="B9037" s="311"/>
      <c r="C9037" s="165" t="s">
        <v>2</v>
      </c>
      <c r="D9037" s="308">
        <v>1</v>
      </c>
      <c r="E9037" s="309">
        <v>1</v>
      </c>
      <c r="F9037" s="401">
        <v>20.145</v>
      </c>
      <c r="G9037" s="401">
        <v>2.2349999999999999</v>
      </c>
      <c r="H9037" s="401">
        <v>0.2</v>
      </c>
      <c r="I9037" s="399">
        <f t="shared" si="338"/>
        <v>9</v>
      </c>
      <c r="J9037" s="162"/>
      <c r="K9037" s="1239"/>
      <c r="O9037" s="169"/>
      <c r="P9037" s="169"/>
    </row>
    <row r="9038" spans="1:16">
      <c r="A9038" s="1228"/>
      <c r="B9038" s="311"/>
      <c r="C9038" s="165" t="s">
        <v>2</v>
      </c>
      <c r="D9038" s="308">
        <v>1</v>
      </c>
      <c r="E9038" s="309">
        <v>1</v>
      </c>
      <c r="F9038" s="401">
        <v>1.845</v>
      </c>
      <c r="G9038" s="401">
        <v>4.07</v>
      </c>
      <c r="H9038" s="401">
        <v>0.2</v>
      </c>
      <c r="I9038" s="399">
        <f t="shared" ref="I9038:I9065" si="340">IF(D9038&lt;&gt;0,ROUND(PRODUCT(E9038:H9038)*D9038,2),"")</f>
        <v>1.5</v>
      </c>
      <c r="J9038" s="162"/>
      <c r="K9038" s="1239"/>
      <c r="O9038" s="169"/>
      <c r="P9038" s="169"/>
    </row>
    <row r="9039" spans="1:16">
      <c r="A9039" s="1228"/>
      <c r="B9039" s="311"/>
      <c r="C9039" s="165"/>
      <c r="D9039" s="308">
        <f t="shared" ref="D9039:D9064" si="341">-1*0</f>
        <v>0</v>
      </c>
      <c r="E9039" s="309"/>
      <c r="F9039" s="401"/>
      <c r="G9039" s="401"/>
      <c r="H9039" s="401"/>
      <c r="I9039" s="399" t="str">
        <f t="shared" si="340"/>
        <v/>
      </c>
      <c r="J9039" s="162"/>
      <c r="K9039" s="1239"/>
      <c r="O9039" s="169"/>
      <c r="P9039" s="169"/>
    </row>
    <row r="9040" spans="1:16">
      <c r="A9040" s="1228"/>
      <c r="B9040" s="311"/>
      <c r="C9040" s="165" t="s">
        <v>2</v>
      </c>
      <c r="D9040" s="308">
        <v>1</v>
      </c>
      <c r="E9040" s="309">
        <v>1</v>
      </c>
      <c r="F9040" s="401">
        <v>0.68500000000000005</v>
      </c>
      <c r="G9040" s="401">
        <v>4.13</v>
      </c>
      <c r="H9040" s="401">
        <v>0.2</v>
      </c>
      <c r="I9040" s="399">
        <f t="shared" si="340"/>
        <v>0.56999999999999995</v>
      </c>
      <c r="J9040" s="162"/>
      <c r="K9040" s="1239"/>
      <c r="O9040" s="169"/>
      <c r="P9040" s="169"/>
    </row>
    <row r="9041" spans="1:16">
      <c r="A9041" s="1228"/>
      <c r="B9041" s="311"/>
      <c r="C9041" s="165" t="s">
        <v>2</v>
      </c>
      <c r="D9041" s="308">
        <v>1</v>
      </c>
      <c r="E9041" s="309">
        <v>1</v>
      </c>
      <c r="F9041" s="401">
        <v>3.43</v>
      </c>
      <c r="G9041" s="401">
        <v>1.2</v>
      </c>
      <c r="H9041" s="401">
        <v>0.2</v>
      </c>
      <c r="I9041" s="399">
        <f t="shared" si="340"/>
        <v>0.82</v>
      </c>
      <c r="J9041" s="162"/>
      <c r="K9041" s="1239"/>
      <c r="O9041" s="169"/>
      <c r="P9041" s="169"/>
    </row>
    <row r="9042" spans="1:16">
      <c r="A9042" s="1228"/>
      <c r="B9042" s="311"/>
      <c r="C9042" s="165" t="s">
        <v>2</v>
      </c>
      <c r="D9042" s="308">
        <v>1</v>
      </c>
      <c r="E9042" s="309">
        <v>1</v>
      </c>
      <c r="F9042" s="401">
        <v>1.6</v>
      </c>
      <c r="G9042" s="401">
        <v>3</v>
      </c>
      <c r="H9042" s="401">
        <v>0.2</v>
      </c>
      <c r="I9042" s="399">
        <f t="shared" si="340"/>
        <v>0.96</v>
      </c>
      <c r="J9042" s="162"/>
      <c r="K9042" s="1239"/>
      <c r="O9042" s="169"/>
      <c r="P9042" s="169"/>
    </row>
    <row r="9043" spans="1:16">
      <c r="A9043" s="1228"/>
      <c r="B9043" s="311"/>
      <c r="C9043" s="165" t="s">
        <v>2</v>
      </c>
      <c r="D9043" s="308">
        <v>1</v>
      </c>
      <c r="E9043" s="309">
        <v>1</v>
      </c>
      <c r="F9043" s="401">
        <v>3.7349999999999999</v>
      </c>
      <c r="G9043" s="401">
        <v>1.2</v>
      </c>
      <c r="H9043" s="401">
        <v>0.2</v>
      </c>
      <c r="I9043" s="399">
        <f t="shared" si="340"/>
        <v>0.9</v>
      </c>
      <c r="J9043" s="162"/>
      <c r="K9043" s="1239"/>
      <c r="O9043" s="169"/>
      <c r="P9043" s="169"/>
    </row>
    <row r="9044" spans="1:16">
      <c r="A9044" s="1228"/>
      <c r="B9044" s="311"/>
      <c r="C9044" s="165" t="s">
        <v>2</v>
      </c>
      <c r="D9044" s="308">
        <v>1</v>
      </c>
      <c r="E9044" s="309">
        <v>1</v>
      </c>
      <c r="F9044" s="401">
        <v>3.43</v>
      </c>
      <c r="G9044" s="401">
        <v>4.2350000000000003</v>
      </c>
      <c r="H9044" s="401">
        <v>0.2</v>
      </c>
      <c r="I9044" s="399">
        <f t="shared" si="340"/>
        <v>2.91</v>
      </c>
      <c r="J9044" s="162"/>
      <c r="K9044" s="1239"/>
      <c r="O9044" s="169"/>
      <c r="P9044" s="169"/>
    </row>
    <row r="9045" spans="1:16">
      <c r="A9045" s="1228"/>
      <c r="B9045" s="311"/>
      <c r="C9045" s="165" t="s">
        <v>2</v>
      </c>
      <c r="D9045" s="308">
        <v>1</v>
      </c>
      <c r="E9045" s="309">
        <v>1</v>
      </c>
      <c r="F9045" s="401">
        <v>1.6</v>
      </c>
      <c r="G9045" s="401">
        <v>1.8</v>
      </c>
      <c r="H9045" s="401">
        <v>0.2</v>
      </c>
      <c r="I9045" s="399">
        <f t="shared" si="340"/>
        <v>0.57999999999999996</v>
      </c>
      <c r="J9045" s="162"/>
      <c r="K9045" s="1239"/>
      <c r="O9045" s="169"/>
      <c r="P9045" s="169"/>
    </row>
    <row r="9046" spans="1:16">
      <c r="A9046" s="1228"/>
      <c r="B9046" s="311"/>
      <c r="C9046" s="165" t="s">
        <v>2</v>
      </c>
      <c r="D9046" s="308">
        <v>1</v>
      </c>
      <c r="E9046" s="309">
        <v>1</v>
      </c>
      <c r="F9046" s="401">
        <v>1.6</v>
      </c>
      <c r="G9046" s="401">
        <v>4.2</v>
      </c>
      <c r="H9046" s="401">
        <v>0.2</v>
      </c>
      <c r="I9046" s="399">
        <f t="shared" si="340"/>
        <v>1.34</v>
      </c>
      <c r="J9046" s="162"/>
      <c r="K9046" s="1239"/>
      <c r="O9046" s="169"/>
      <c r="P9046" s="169"/>
    </row>
    <row r="9047" spans="1:16">
      <c r="A9047" s="1228"/>
      <c r="B9047" s="311"/>
      <c r="C9047" s="165" t="s">
        <v>2</v>
      </c>
      <c r="D9047" s="308">
        <v>1</v>
      </c>
      <c r="E9047" s="309">
        <v>1</v>
      </c>
      <c r="F9047" s="401">
        <v>1.6</v>
      </c>
      <c r="G9047" s="401">
        <v>5</v>
      </c>
      <c r="H9047" s="401">
        <v>0.2</v>
      </c>
      <c r="I9047" s="399">
        <f t="shared" si="340"/>
        <v>1.6</v>
      </c>
      <c r="J9047" s="162"/>
      <c r="K9047" s="1239"/>
      <c r="O9047" s="169"/>
      <c r="P9047" s="169"/>
    </row>
    <row r="9048" spans="1:16">
      <c r="A9048" s="1228"/>
      <c r="B9048" s="311"/>
      <c r="C9048" s="165" t="s">
        <v>2</v>
      </c>
      <c r="D9048" s="308">
        <v>1</v>
      </c>
      <c r="E9048" s="309">
        <v>1</v>
      </c>
      <c r="F9048" s="401">
        <v>2.1349999999999998</v>
      </c>
      <c r="G9048" s="401">
        <v>3.2349999999999999</v>
      </c>
      <c r="H9048" s="401">
        <v>0.2</v>
      </c>
      <c r="I9048" s="399">
        <f t="shared" si="340"/>
        <v>1.38</v>
      </c>
      <c r="J9048" s="162"/>
      <c r="K9048" s="1239"/>
      <c r="O9048" s="169"/>
      <c r="P9048" s="169"/>
    </row>
    <row r="9049" spans="1:16">
      <c r="A9049" s="1228"/>
      <c r="B9049" s="311"/>
      <c r="C9049" s="165" t="s">
        <v>2</v>
      </c>
      <c r="D9049" s="308">
        <v>1</v>
      </c>
      <c r="E9049" s="309">
        <v>1</v>
      </c>
      <c r="F9049" s="401">
        <v>3.7349999999999999</v>
      </c>
      <c r="G9049" s="401">
        <v>3.2</v>
      </c>
      <c r="H9049" s="401">
        <v>0.2</v>
      </c>
      <c r="I9049" s="399">
        <f t="shared" si="340"/>
        <v>2.39</v>
      </c>
      <c r="J9049" s="162"/>
      <c r="K9049" s="1239"/>
      <c r="O9049" s="169"/>
      <c r="P9049" s="169"/>
    </row>
    <row r="9050" spans="1:16">
      <c r="A9050" s="1228"/>
      <c r="B9050" s="311"/>
      <c r="C9050" s="165" t="s">
        <v>2</v>
      </c>
      <c r="D9050" s="308">
        <v>1</v>
      </c>
      <c r="E9050" s="309">
        <v>1</v>
      </c>
      <c r="F9050" s="401">
        <v>12.12</v>
      </c>
      <c r="G9050" s="401">
        <v>1.5</v>
      </c>
      <c r="H9050" s="401">
        <v>0.2</v>
      </c>
      <c r="I9050" s="399">
        <f t="shared" si="340"/>
        <v>3.64</v>
      </c>
      <c r="J9050" s="162"/>
      <c r="K9050" s="1239"/>
      <c r="O9050" s="169"/>
      <c r="P9050" s="169"/>
    </row>
    <row r="9051" spans="1:16">
      <c r="A9051" s="1228"/>
      <c r="B9051" s="311"/>
      <c r="C9051" s="165" t="s">
        <v>2</v>
      </c>
      <c r="D9051" s="308">
        <v>1</v>
      </c>
      <c r="E9051" s="309">
        <v>1</v>
      </c>
      <c r="F9051" s="401">
        <v>0.99</v>
      </c>
      <c r="G9051" s="401">
        <v>4.13</v>
      </c>
      <c r="H9051" s="401">
        <v>0.2</v>
      </c>
      <c r="I9051" s="399">
        <f t="shared" si="340"/>
        <v>0.82</v>
      </c>
      <c r="J9051" s="162"/>
      <c r="K9051" s="1239"/>
      <c r="O9051" s="169"/>
      <c r="P9051" s="169"/>
    </row>
    <row r="9052" spans="1:16">
      <c r="A9052" s="1228"/>
      <c r="B9052" s="311"/>
      <c r="C9052" s="165" t="s">
        <v>2</v>
      </c>
      <c r="D9052" s="308">
        <v>1</v>
      </c>
      <c r="E9052" s="309">
        <v>1</v>
      </c>
      <c r="F9052" s="401">
        <v>1.6</v>
      </c>
      <c r="G9052" s="401">
        <v>4.5</v>
      </c>
      <c r="H9052" s="401">
        <v>0.2</v>
      </c>
      <c r="I9052" s="399">
        <f t="shared" si="340"/>
        <v>1.44</v>
      </c>
      <c r="J9052" s="162"/>
      <c r="K9052" s="1239"/>
      <c r="O9052" s="169"/>
      <c r="P9052" s="169"/>
    </row>
    <row r="9053" spans="1:16">
      <c r="A9053" s="1228"/>
      <c r="B9053" s="311"/>
      <c r="C9053" s="165" t="s">
        <v>2</v>
      </c>
      <c r="D9053" s="308">
        <v>1</v>
      </c>
      <c r="E9053" s="309">
        <v>1</v>
      </c>
      <c r="F9053" s="401">
        <v>1.46</v>
      </c>
      <c r="G9053" s="401">
        <v>2.7</v>
      </c>
      <c r="H9053" s="401">
        <v>0.2</v>
      </c>
      <c r="I9053" s="399">
        <f t="shared" si="340"/>
        <v>0.79</v>
      </c>
      <c r="J9053" s="162"/>
      <c r="K9053" s="1239"/>
      <c r="O9053" s="169"/>
      <c r="P9053" s="169"/>
    </row>
    <row r="9054" spans="1:16">
      <c r="A9054" s="1228"/>
      <c r="B9054" s="311"/>
      <c r="C9054" s="165" t="s">
        <v>2</v>
      </c>
      <c r="D9054" s="308">
        <v>1</v>
      </c>
      <c r="E9054" s="309">
        <v>1</v>
      </c>
      <c r="F9054" s="401">
        <v>1.6</v>
      </c>
      <c r="G9054" s="401">
        <v>6</v>
      </c>
      <c r="H9054" s="401">
        <v>0.2</v>
      </c>
      <c r="I9054" s="399">
        <f t="shared" si="340"/>
        <v>1.92</v>
      </c>
      <c r="J9054" s="162"/>
      <c r="K9054" s="1239"/>
      <c r="O9054" s="169"/>
      <c r="P9054" s="169"/>
    </row>
    <row r="9055" spans="1:16">
      <c r="A9055" s="1228"/>
      <c r="B9055" s="311"/>
      <c r="C9055" s="165"/>
      <c r="D9055" s="308">
        <f t="shared" si="341"/>
        <v>0</v>
      </c>
      <c r="E9055" s="309"/>
      <c r="F9055" s="401"/>
      <c r="G9055" s="401"/>
      <c r="H9055" s="401"/>
      <c r="I9055" s="399" t="str">
        <f t="shared" si="340"/>
        <v/>
      </c>
      <c r="J9055" s="162"/>
      <c r="K9055" s="1239"/>
      <c r="O9055" s="169"/>
      <c r="P9055" s="169"/>
    </row>
    <row r="9056" spans="1:16">
      <c r="A9056" s="1228"/>
      <c r="B9056" s="311"/>
      <c r="C9056" s="165" t="s">
        <v>2</v>
      </c>
      <c r="D9056" s="308">
        <v>1</v>
      </c>
      <c r="E9056" s="309">
        <v>1</v>
      </c>
      <c r="F9056" s="401">
        <v>20.97</v>
      </c>
      <c r="G9056" s="401">
        <v>2</v>
      </c>
      <c r="H9056" s="401">
        <v>0.2</v>
      </c>
      <c r="I9056" s="399">
        <f t="shared" si="340"/>
        <v>8.39</v>
      </c>
      <c r="J9056" s="162"/>
      <c r="K9056" s="1239"/>
      <c r="O9056" s="169"/>
      <c r="P9056" s="169"/>
    </row>
    <row r="9057" spans="1:16">
      <c r="A9057" s="1228"/>
      <c r="B9057" s="311"/>
      <c r="C9057" s="165" t="s">
        <v>2</v>
      </c>
      <c r="D9057" s="308">
        <v>1</v>
      </c>
      <c r="E9057" s="309">
        <v>1</v>
      </c>
      <c r="F9057" s="401">
        <v>1.905</v>
      </c>
      <c r="G9057" s="401">
        <v>6.2350000000000003</v>
      </c>
      <c r="H9057" s="401">
        <v>0.2</v>
      </c>
      <c r="I9057" s="399">
        <f t="shared" si="340"/>
        <v>2.38</v>
      </c>
      <c r="J9057" s="162"/>
      <c r="K9057" s="1239"/>
      <c r="O9057" s="169"/>
      <c r="P9057" s="169"/>
    </row>
    <row r="9058" spans="1:16">
      <c r="A9058" s="1228"/>
      <c r="B9058" s="311"/>
      <c r="C9058" s="165" t="s">
        <v>2</v>
      </c>
      <c r="D9058" s="308">
        <v>1</v>
      </c>
      <c r="E9058" s="309">
        <v>1</v>
      </c>
      <c r="F9058" s="401">
        <v>1.145</v>
      </c>
      <c r="G9058" s="401">
        <v>2</v>
      </c>
      <c r="H9058" s="401">
        <v>0.2</v>
      </c>
      <c r="I9058" s="399">
        <f t="shared" si="340"/>
        <v>0.46</v>
      </c>
      <c r="J9058" s="162"/>
      <c r="K9058" s="1239"/>
      <c r="O9058" s="169"/>
      <c r="P9058" s="169"/>
    </row>
    <row r="9059" spans="1:16">
      <c r="A9059" s="1228"/>
      <c r="B9059" s="311"/>
      <c r="C9059" s="165"/>
      <c r="D9059" s="308">
        <f t="shared" si="341"/>
        <v>0</v>
      </c>
      <c r="E9059" s="309"/>
      <c r="F9059" s="401"/>
      <c r="G9059" s="401"/>
      <c r="H9059" s="401"/>
      <c r="I9059" s="399" t="str">
        <f t="shared" si="340"/>
        <v/>
      </c>
      <c r="J9059" s="162"/>
      <c r="K9059" s="1239"/>
      <c r="O9059" s="169"/>
      <c r="P9059" s="169"/>
    </row>
    <row r="9060" spans="1:16">
      <c r="A9060" s="1228"/>
      <c r="B9060" s="311"/>
      <c r="C9060" s="165" t="s">
        <v>2</v>
      </c>
      <c r="D9060" s="308">
        <v>1</v>
      </c>
      <c r="E9060" s="309">
        <v>1</v>
      </c>
      <c r="F9060" s="401">
        <v>4.3449999999999998</v>
      </c>
      <c r="G9060" s="401">
        <v>1.2</v>
      </c>
      <c r="H9060" s="401">
        <v>0.2</v>
      </c>
      <c r="I9060" s="399">
        <f t="shared" si="340"/>
        <v>1.04</v>
      </c>
      <c r="J9060" s="162"/>
      <c r="K9060" s="1239"/>
      <c r="O9060" s="169"/>
      <c r="P9060" s="169"/>
    </row>
    <row r="9061" spans="1:16">
      <c r="A9061" s="1228"/>
      <c r="B9061" s="311"/>
      <c r="C9061" s="165" t="s">
        <v>2</v>
      </c>
      <c r="D9061" s="308">
        <v>1</v>
      </c>
      <c r="E9061" s="309">
        <v>1</v>
      </c>
      <c r="F9061" s="401">
        <v>1.6</v>
      </c>
      <c r="G9061" s="401">
        <v>1.8</v>
      </c>
      <c r="H9061" s="401">
        <v>0.2</v>
      </c>
      <c r="I9061" s="399">
        <f t="shared" si="340"/>
        <v>0.57999999999999996</v>
      </c>
      <c r="J9061" s="162"/>
      <c r="K9061" s="1239"/>
      <c r="O9061" s="169"/>
      <c r="P9061" s="169"/>
    </row>
    <row r="9062" spans="1:16">
      <c r="A9062" s="1228"/>
      <c r="B9062" s="311"/>
      <c r="C9062" s="165" t="s">
        <v>2</v>
      </c>
      <c r="D9062" s="308">
        <v>1</v>
      </c>
      <c r="E9062" s="309">
        <v>1</v>
      </c>
      <c r="F9062" s="401">
        <v>4.6500000000000004</v>
      </c>
      <c r="G9062" s="401">
        <v>1</v>
      </c>
      <c r="H9062" s="401">
        <v>0.2</v>
      </c>
      <c r="I9062" s="399">
        <f t="shared" si="340"/>
        <v>0.93</v>
      </c>
      <c r="J9062" s="162"/>
      <c r="K9062" s="1239"/>
      <c r="O9062" s="169"/>
      <c r="P9062" s="169"/>
    </row>
    <row r="9063" spans="1:16">
      <c r="A9063" s="1228"/>
      <c r="B9063" s="311"/>
      <c r="C9063" s="165" t="s">
        <v>2</v>
      </c>
      <c r="D9063" s="308">
        <v>1</v>
      </c>
      <c r="E9063" s="309">
        <v>1</v>
      </c>
      <c r="F9063" s="401">
        <v>1.905</v>
      </c>
      <c r="G9063" s="401">
        <v>1.8</v>
      </c>
      <c r="H9063" s="401">
        <v>0.2</v>
      </c>
      <c r="I9063" s="399">
        <f t="shared" si="340"/>
        <v>0.69</v>
      </c>
      <c r="J9063" s="162"/>
      <c r="K9063" s="1239"/>
      <c r="O9063" s="169"/>
      <c r="P9063" s="169"/>
    </row>
    <row r="9064" spans="1:16" ht="34.5">
      <c r="A9064" s="1228"/>
      <c r="B9064" s="311" t="s">
        <v>322</v>
      </c>
      <c r="C9064" s="165"/>
      <c r="D9064" s="308">
        <f t="shared" si="341"/>
        <v>0</v>
      </c>
      <c r="E9064" s="309"/>
      <c r="F9064" s="401"/>
      <c r="G9064" s="401"/>
      <c r="H9064" s="401"/>
      <c r="I9064" s="399" t="str">
        <f t="shared" si="340"/>
        <v/>
      </c>
      <c r="J9064" s="162"/>
      <c r="K9064" s="1239"/>
      <c r="O9064" s="169"/>
      <c r="P9064" s="169"/>
    </row>
    <row r="9065" spans="1:16">
      <c r="A9065" s="1228"/>
      <c r="B9065" s="307"/>
      <c r="C9065" s="165" t="s">
        <v>2</v>
      </c>
      <c r="D9065" s="308">
        <v>1</v>
      </c>
      <c r="E9065" s="309">
        <v>1</v>
      </c>
      <c r="F9065" s="401">
        <v>24.135000000000002</v>
      </c>
      <c r="G9065" s="401">
        <v>6.2</v>
      </c>
      <c r="H9065" s="401">
        <v>0.2</v>
      </c>
      <c r="I9065" s="399">
        <f t="shared" si="340"/>
        <v>29.93</v>
      </c>
      <c r="J9065" s="162"/>
      <c r="K9065" s="1239"/>
      <c r="O9065" s="169"/>
      <c r="P9065" s="169"/>
    </row>
    <row r="9066" spans="1:16" s="398" customFormat="1">
      <c r="A9066" s="1339"/>
      <c r="B9066" s="1079"/>
      <c r="C9066" s="1068"/>
      <c r="D9066" s="1101">
        <v>-1</v>
      </c>
      <c r="E9066" s="1102"/>
      <c r="F9066" s="1110">
        <f>SUM(I8974:I9065)</f>
        <v>525.46999999999957</v>
      </c>
      <c r="G9066" s="1110"/>
      <c r="H9066" s="1110"/>
      <c r="I9066" s="1184">
        <f t="shared" ref="I9066" si="342">IF(D9066&lt;&gt;0,ROUND(PRODUCT(E9066:H9066)*D9066,2),"")</f>
        <v>-525.47</v>
      </c>
      <c r="J9066" s="1095"/>
      <c r="K9066" s="1340" t="s">
        <v>2135</v>
      </c>
      <c r="L9066" s="431"/>
      <c r="M9066" s="431"/>
      <c r="N9066" s="431"/>
      <c r="O9066" s="431"/>
      <c r="P9066" s="431"/>
    </row>
    <row r="9067" spans="1:16" s="398" customFormat="1">
      <c r="A9067" s="1250"/>
      <c r="B9067" s="161" t="s">
        <v>928</v>
      </c>
      <c r="C9067" s="388" t="s">
        <v>1</v>
      </c>
      <c r="D9067" s="437"/>
      <c r="E9067" s="165"/>
      <c r="F9067" s="401"/>
      <c r="G9067" s="401"/>
      <c r="H9067" s="401"/>
      <c r="I9067" s="938" t="str">
        <f t="shared" ref="I9067" si="343">IF(D9067&lt;&gt;0,ROUND(PRODUCT(E9067:H9067)*D9067,2),"")</f>
        <v/>
      </c>
      <c r="J9067" s="403">
        <f>SUM(I8974:I9067)</f>
        <v>0</v>
      </c>
      <c r="K9067" s="1277" t="s">
        <v>1690</v>
      </c>
      <c r="L9067" s="431"/>
      <c r="M9067" s="431"/>
      <c r="N9067" s="431"/>
    </row>
    <row r="9068" spans="1:16">
      <c r="A9068" s="1250"/>
      <c r="D9068" s="392"/>
      <c r="E9068" s="165"/>
      <c r="F9068" s="401"/>
      <c r="G9068" s="401"/>
      <c r="H9068" s="401"/>
      <c r="I9068" s="1182"/>
      <c r="J9068" s="432">
        <f>SUM(J8971:J9067)</f>
        <v>0</v>
      </c>
      <c r="K9068" s="1242"/>
    </row>
  </sheetData>
  <mergeCells count="16">
    <mergeCell ref="F908:H908"/>
    <mergeCell ref="F3128:H3128"/>
    <mergeCell ref="F3146:H3146"/>
    <mergeCell ref="F3165:H3165"/>
    <mergeCell ref="A1:K1"/>
    <mergeCell ref="A2:K2"/>
    <mergeCell ref="A3:K3"/>
    <mergeCell ref="A4:K4"/>
    <mergeCell ref="F876:H876"/>
    <mergeCell ref="F4713:H4713"/>
    <mergeCell ref="F4731:H4731"/>
    <mergeCell ref="F3183:H3183"/>
    <mergeCell ref="F4402:H4402"/>
    <mergeCell ref="F4406:H4406"/>
    <mergeCell ref="F4410:H4410"/>
    <mergeCell ref="F4414:H4414"/>
  </mergeCells>
  <conditionalFormatting sqref="B8265:B8333 B8375:B8377">
    <cfRule type="containsText" dxfId="12" priority="4" operator="containsText" text="BASE">
      <formula>NOT(ISERROR(SEARCH("BASE",B8265)))</formula>
    </cfRule>
    <cfRule type="containsText" dxfId="11" priority="5" operator="containsText" text="BASE FOOTING">
      <formula>NOT(ISERROR(SEARCH("BASE FOOTING",B8265)))</formula>
    </cfRule>
    <cfRule type="containsText" dxfId="10" priority="6" operator="containsText" text="RCC PLANTER">
      <formula>NOT(ISERROR(SEARCH("RCC PLANTER",B8265)))</formula>
    </cfRule>
  </conditionalFormatting>
  <conditionalFormatting sqref="B7296:B8317">
    <cfRule type="containsText" dxfId="9" priority="1" operator="containsText" text="less">
      <formula>NOT(ISERROR(SEARCH("less",B7296)))</formula>
    </cfRule>
    <cfRule type="containsText" dxfId="8" priority="3" operator="containsText" text="REVISE">
      <formula>NOT(ISERROR(SEARCH("REVISE",B7296)))</formula>
    </cfRule>
  </conditionalFormatting>
  <conditionalFormatting sqref="B1:B1048576">
    <cfRule type="containsText" dxfId="7" priority="2" operator="containsText" text=" R.C.C.">
      <formula>NOT(ISERROR(SEARCH(" R.C.C.",B1)))</formula>
    </cfRule>
  </conditionalFormatting>
  <printOptions horizontalCentered="1" gridLines="1"/>
  <pageMargins left="0.7" right="0" top="0.54" bottom="0.93" header="0.3" footer="0.3"/>
  <pageSetup paperSize="9" scale="56" fitToHeight="0" orientation="portrait" r:id="rId1"/>
  <headerFooter>
    <oddFooter>&amp;R&amp;P/&amp;N</oddFooter>
  </headerFooter>
  <ignoredErrors>
    <ignoredError sqref="G157"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3:L13"/>
  <sheetViews>
    <sheetView workbookViewId="0">
      <selection activeCell="I12" sqref="I12"/>
    </sheetView>
  </sheetViews>
  <sheetFormatPr defaultRowHeight="12.75"/>
  <cols>
    <col min="1" max="4" width="9.140625" style="1424"/>
    <col min="5" max="5" width="4.42578125" style="1424" customWidth="1"/>
    <col min="6" max="6" width="2.5703125" style="1424" hidden="1" customWidth="1"/>
    <col min="7" max="7" width="15.140625" style="1424" customWidth="1"/>
    <col min="8" max="8" width="10.7109375" style="1424" customWidth="1"/>
    <col min="9" max="11" width="9.140625" style="1424"/>
    <col min="12" max="12" width="11" style="1424" customWidth="1"/>
    <col min="13" max="16384" width="9.140625" style="1424"/>
  </cols>
  <sheetData>
    <row r="3" spans="7:12" ht="45" customHeight="1">
      <c r="G3" s="1516" t="s">
        <v>2190</v>
      </c>
      <c r="H3" s="1517"/>
      <c r="I3" s="1517"/>
      <c r="J3" s="1517"/>
      <c r="K3" s="1517"/>
      <c r="L3" s="1518"/>
    </row>
    <row r="4" spans="7:12" ht="25.5" customHeight="1">
      <c r="G4" s="1425" t="s">
        <v>4</v>
      </c>
      <c r="H4" s="1425" t="s">
        <v>2177</v>
      </c>
      <c r="I4" s="1425" t="s">
        <v>2178</v>
      </c>
      <c r="J4" s="1425" t="s">
        <v>2179</v>
      </c>
      <c r="K4" s="1425" t="s">
        <v>2180</v>
      </c>
      <c r="L4" s="1425" t="s">
        <v>803</v>
      </c>
    </row>
    <row r="5" spans="7:12" ht="20.25" customHeight="1">
      <c r="G5" s="1426" t="s">
        <v>2181</v>
      </c>
      <c r="H5" s="1426" t="s">
        <v>167</v>
      </c>
      <c r="I5" s="1426">
        <v>19.475999999999999</v>
      </c>
      <c r="J5" s="1426">
        <v>6</v>
      </c>
      <c r="K5" s="1426">
        <v>0.3</v>
      </c>
      <c r="L5" s="1426">
        <f t="shared" ref="L5:L12" si="0">I5*J5*K5</f>
        <v>35.056799999999996</v>
      </c>
    </row>
    <row r="6" spans="7:12" ht="20.25" customHeight="1">
      <c r="G6" s="1426" t="s">
        <v>2182</v>
      </c>
      <c r="H6" s="1426" t="s">
        <v>167</v>
      </c>
      <c r="I6" s="1426">
        <v>50.243000000000002</v>
      </c>
      <c r="J6" s="1426">
        <v>6</v>
      </c>
      <c r="K6" s="1426">
        <v>0.3</v>
      </c>
      <c r="L6" s="1426">
        <f t="shared" si="0"/>
        <v>90.437400000000011</v>
      </c>
    </row>
    <row r="7" spans="7:12" ht="20.25" customHeight="1">
      <c r="G7" s="1426" t="s">
        <v>2183</v>
      </c>
      <c r="H7" s="1426" t="s">
        <v>167</v>
      </c>
      <c r="I7" s="1426">
        <v>67.397000000000006</v>
      </c>
      <c r="J7" s="1426">
        <v>6</v>
      </c>
      <c r="K7" s="1426">
        <v>0.3</v>
      </c>
      <c r="L7" s="1426">
        <f t="shared" si="0"/>
        <v>121.31460000000001</v>
      </c>
    </row>
    <row r="8" spans="7:12" ht="20.25" customHeight="1">
      <c r="G8" s="1426" t="s">
        <v>2184</v>
      </c>
      <c r="H8" s="1426" t="s">
        <v>167</v>
      </c>
      <c r="I8" s="1426">
        <v>149.30199999999999</v>
      </c>
      <c r="J8" s="1426">
        <v>6</v>
      </c>
      <c r="K8" s="1426">
        <v>0.3</v>
      </c>
      <c r="L8" s="1426">
        <f t="shared" si="0"/>
        <v>268.74359999999996</v>
      </c>
    </row>
    <row r="9" spans="7:12" ht="20.25" customHeight="1">
      <c r="G9" s="1426" t="s">
        <v>2185</v>
      </c>
      <c r="H9" s="1426" t="s">
        <v>167</v>
      </c>
      <c r="I9" s="1426">
        <v>33.761000000000003</v>
      </c>
      <c r="J9" s="1426">
        <v>1</v>
      </c>
      <c r="K9" s="1426">
        <v>0.3</v>
      </c>
      <c r="L9" s="1426">
        <f t="shared" si="0"/>
        <v>10.128300000000001</v>
      </c>
    </row>
    <row r="10" spans="7:12" ht="20.25" customHeight="1">
      <c r="G10" s="1426" t="s">
        <v>2186</v>
      </c>
      <c r="H10" s="1426" t="s">
        <v>167</v>
      </c>
      <c r="I10" s="1426">
        <v>45.213999999999999</v>
      </c>
      <c r="J10" s="1426">
        <v>1</v>
      </c>
      <c r="K10" s="1426">
        <v>0.3</v>
      </c>
      <c r="L10" s="1426">
        <f t="shared" si="0"/>
        <v>13.5642</v>
      </c>
    </row>
    <row r="11" spans="7:12" ht="20.25" customHeight="1">
      <c r="G11" s="1426" t="s">
        <v>2187</v>
      </c>
      <c r="H11" s="1426" t="s">
        <v>167</v>
      </c>
      <c r="I11" s="1426">
        <v>45.514000000000003</v>
      </c>
      <c r="J11" s="1426">
        <v>1</v>
      </c>
      <c r="K11" s="1426">
        <v>0.3</v>
      </c>
      <c r="L11" s="1426">
        <f t="shared" si="0"/>
        <v>13.654200000000001</v>
      </c>
    </row>
    <row r="12" spans="7:12" ht="20.25" customHeight="1">
      <c r="G12" s="1426" t="s">
        <v>2188</v>
      </c>
      <c r="H12" s="1426" t="s">
        <v>167</v>
      </c>
      <c r="I12" s="1426">
        <v>11.750999999999999</v>
      </c>
      <c r="J12" s="1426">
        <v>1</v>
      </c>
      <c r="K12" s="1426">
        <v>0.3</v>
      </c>
      <c r="L12" s="1426">
        <f t="shared" si="0"/>
        <v>3.5252999999999997</v>
      </c>
    </row>
    <row r="13" spans="7:12" ht="17.25" customHeight="1">
      <c r="G13" s="1519" t="s">
        <v>2189</v>
      </c>
      <c r="H13" s="1520"/>
      <c r="I13" s="1520"/>
      <c r="J13" s="1520"/>
      <c r="K13" s="1521"/>
      <c r="L13" s="1427">
        <f>SUM(L5:L12)</f>
        <v>556.42439999999999</v>
      </c>
    </row>
  </sheetData>
  <mergeCells count="2">
    <mergeCell ref="G3:L3"/>
    <mergeCell ref="G13:K13"/>
  </mergeCells>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1885"/>
  <sheetViews>
    <sheetView showZeros="0" view="pageBreakPreview" zoomScaleNormal="85" zoomScaleSheetLayoutView="100" workbookViewId="0">
      <pane ySplit="5" topLeftCell="A1107" activePane="bottomLeft" state="frozen"/>
      <selection activeCell="J231" sqref="J231"/>
      <selection pane="bottomLeft" activeCell="J1118" sqref="J1118"/>
    </sheetView>
  </sheetViews>
  <sheetFormatPr defaultRowHeight="16.5" outlineLevelRow="1"/>
  <cols>
    <col min="1" max="1" width="8.7109375" style="9" customWidth="1"/>
    <col min="2" max="2" width="44.7109375" style="22" customWidth="1"/>
    <col min="3" max="3" width="7.5703125" style="9" bestFit="1" customWidth="1"/>
    <col min="4" max="4" width="5.140625" style="29" bestFit="1" customWidth="1"/>
    <col min="5" max="5" width="8.7109375" style="25" bestFit="1" customWidth="1"/>
    <col min="6" max="6" width="11.5703125" style="26" customWidth="1"/>
    <col min="7" max="8" width="9.7109375" style="26" customWidth="1"/>
    <col min="9" max="9" width="17.42578125" style="21" customWidth="1"/>
    <col min="10" max="10" width="13" style="32" customWidth="1"/>
    <col min="11" max="11" width="33.28515625" style="27" bestFit="1" customWidth="1"/>
    <col min="12" max="12" width="15.7109375" style="2" bestFit="1" customWidth="1"/>
    <col min="13" max="13" width="13.140625" style="2" bestFit="1" customWidth="1"/>
    <col min="14" max="14" width="15.85546875" style="2" customWidth="1"/>
    <col min="15" max="15" width="10.42578125" style="2" customWidth="1"/>
    <col min="16" max="16" width="9.140625" style="2"/>
    <col min="17" max="245" width="9.140625" style="3"/>
    <col min="246" max="246" width="14.85546875" style="3" customWidth="1"/>
    <col min="247" max="247" width="52.28515625" style="3" bestFit="1" customWidth="1"/>
    <col min="248" max="248" width="7.7109375" style="3" customWidth="1"/>
    <col min="249" max="249" width="8" style="3" customWidth="1"/>
    <col min="250" max="250" width="8.85546875" style="3" customWidth="1"/>
    <col min="251" max="251" width="8.140625" style="3" customWidth="1"/>
    <col min="252" max="252" width="8.28515625" style="3" customWidth="1"/>
    <col min="253" max="253" width="10.42578125" style="3" customWidth="1"/>
    <col min="254" max="254" width="11" style="3" customWidth="1"/>
    <col min="255" max="255" width="27.28515625" style="3" customWidth="1"/>
    <col min="256" max="259" width="9.140625" style="3" customWidth="1"/>
    <col min="260" max="501" width="9.140625" style="3"/>
    <col min="502" max="502" width="14.85546875" style="3" customWidth="1"/>
    <col min="503" max="503" width="52.28515625" style="3" bestFit="1" customWidth="1"/>
    <col min="504" max="504" width="7.7109375" style="3" customWidth="1"/>
    <col min="505" max="505" width="8" style="3" customWidth="1"/>
    <col min="506" max="506" width="8.85546875" style="3" customWidth="1"/>
    <col min="507" max="507" width="8.140625" style="3" customWidth="1"/>
    <col min="508" max="508" width="8.28515625" style="3" customWidth="1"/>
    <col min="509" max="509" width="10.42578125" style="3" customWidth="1"/>
    <col min="510" max="510" width="11" style="3" customWidth="1"/>
    <col min="511" max="511" width="27.28515625" style="3" customWidth="1"/>
    <col min="512" max="515" width="9.140625" style="3" customWidth="1"/>
    <col min="516" max="757" width="9.140625" style="3"/>
    <col min="758" max="758" width="14.85546875" style="3" customWidth="1"/>
    <col min="759" max="759" width="52.28515625" style="3" bestFit="1" customWidth="1"/>
    <col min="760" max="760" width="7.7109375" style="3" customWidth="1"/>
    <col min="761" max="761" width="8" style="3" customWidth="1"/>
    <col min="762" max="762" width="8.85546875" style="3" customWidth="1"/>
    <col min="763" max="763" width="8.140625" style="3" customWidth="1"/>
    <col min="764" max="764" width="8.28515625" style="3" customWidth="1"/>
    <col min="765" max="765" width="10.42578125" style="3" customWidth="1"/>
    <col min="766" max="766" width="11" style="3" customWidth="1"/>
    <col min="767" max="767" width="27.28515625" style="3" customWidth="1"/>
    <col min="768" max="771" width="9.140625" style="3" customWidth="1"/>
    <col min="772" max="1013" width="9.140625" style="3"/>
    <col min="1014" max="1014" width="14.85546875" style="3" customWidth="1"/>
    <col min="1015" max="1015" width="52.28515625" style="3" bestFit="1" customWidth="1"/>
    <col min="1016" max="1016" width="7.7109375" style="3" customWidth="1"/>
    <col min="1017" max="1017" width="8" style="3" customWidth="1"/>
    <col min="1018" max="1018" width="8.85546875" style="3" customWidth="1"/>
    <col min="1019" max="1019" width="8.140625" style="3" customWidth="1"/>
    <col min="1020" max="1020" width="8.28515625" style="3" customWidth="1"/>
    <col min="1021" max="1021" width="10.42578125" style="3" customWidth="1"/>
    <col min="1022" max="1022" width="11" style="3" customWidth="1"/>
    <col min="1023" max="1023" width="27.28515625" style="3" customWidth="1"/>
    <col min="1024" max="1027" width="9.140625" style="3" customWidth="1"/>
    <col min="1028" max="1269" width="9.140625" style="3"/>
    <col min="1270" max="1270" width="14.85546875" style="3" customWidth="1"/>
    <col min="1271" max="1271" width="52.28515625" style="3" bestFit="1" customWidth="1"/>
    <col min="1272" max="1272" width="7.7109375" style="3" customWidth="1"/>
    <col min="1273" max="1273" width="8" style="3" customWidth="1"/>
    <col min="1274" max="1274" width="8.85546875" style="3" customWidth="1"/>
    <col min="1275" max="1275" width="8.140625" style="3" customWidth="1"/>
    <col min="1276" max="1276" width="8.28515625" style="3" customWidth="1"/>
    <col min="1277" max="1277" width="10.42578125" style="3" customWidth="1"/>
    <col min="1278" max="1278" width="11" style="3" customWidth="1"/>
    <col min="1279" max="1279" width="27.28515625" style="3" customWidth="1"/>
    <col min="1280" max="1283" width="9.140625" style="3" customWidth="1"/>
    <col min="1284" max="1525" width="9.140625" style="3"/>
    <col min="1526" max="1526" width="14.85546875" style="3" customWidth="1"/>
    <col min="1527" max="1527" width="52.28515625" style="3" bestFit="1" customWidth="1"/>
    <col min="1528" max="1528" width="7.7109375" style="3" customWidth="1"/>
    <col min="1529" max="1529" width="8" style="3" customWidth="1"/>
    <col min="1530" max="1530" width="8.85546875" style="3" customWidth="1"/>
    <col min="1531" max="1531" width="8.140625" style="3" customWidth="1"/>
    <col min="1532" max="1532" width="8.28515625" style="3" customWidth="1"/>
    <col min="1533" max="1533" width="10.42578125" style="3" customWidth="1"/>
    <col min="1534" max="1534" width="11" style="3" customWidth="1"/>
    <col min="1535" max="1535" width="27.28515625" style="3" customWidth="1"/>
    <col min="1536" max="1539" width="9.140625" style="3" customWidth="1"/>
    <col min="1540" max="1781" width="9.140625" style="3"/>
    <col min="1782" max="1782" width="14.85546875" style="3" customWidth="1"/>
    <col min="1783" max="1783" width="52.28515625" style="3" bestFit="1" customWidth="1"/>
    <col min="1784" max="1784" width="7.7109375" style="3" customWidth="1"/>
    <col min="1785" max="1785" width="8" style="3" customWidth="1"/>
    <col min="1786" max="1786" width="8.85546875" style="3" customWidth="1"/>
    <col min="1787" max="1787" width="8.140625" style="3" customWidth="1"/>
    <col min="1788" max="1788" width="8.28515625" style="3" customWidth="1"/>
    <col min="1789" max="1789" width="10.42578125" style="3" customWidth="1"/>
    <col min="1790" max="1790" width="11" style="3" customWidth="1"/>
    <col min="1791" max="1791" width="27.28515625" style="3" customWidth="1"/>
    <col min="1792" max="1795" width="9.140625" style="3" customWidth="1"/>
    <col min="1796" max="2037" width="9.140625" style="3"/>
    <col min="2038" max="2038" width="14.85546875" style="3" customWidth="1"/>
    <col min="2039" max="2039" width="52.28515625" style="3" bestFit="1" customWidth="1"/>
    <col min="2040" max="2040" width="7.7109375" style="3" customWidth="1"/>
    <col min="2041" max="2041" width="8" style="3" customWidth="1"/>
    <col min="2042" max="2042" width="8.85546875" style="3" customWidth="1"/>
    <col min="2043" max="2043" width="8.140625" style="3" customWidth="1"/>
    <col min="2044" max="2044" width="8.28515625" style="3" customWidth="1"/>
    <col min="2045" max="2045" width="10.42578125" style="3" customWidth="1"/>
    <col min="2046" max="2046" width="11" style="3" customWidth="1"/>
    <col min="2047" max="2047" width="27.28515625" style="3" customWidth="1"/>
    <col min="2048" max="2051" width="9.140625" style="3" customWidth="1"/>
    <col min="2052" max="2293" width="9.140625" style="3"/>
    <col min="2294" max="2294" width="14.85546875" style="3" customWidth="1"/>
    <col min="2295" max="2295" width="52.28515625" style="3" bestFit="1" customWidth="1"/>
    <col min="2296" max="2296" width="7.7109375" style="3" customWidth="1"/>
    <col min="2297" max="2297" width="8" style="3" customWidth="1"/>
    <col min="2298" max="2298" width="8.85546875" style="3" customWidth="1"/>
    <col min="2299" max="2299" width="8.140625" style="3" customWidth="1"/>
    <col min="2300" max="2300" width="8.28515625" style="3" customWidth="1"/>
    <col min="2301" max="2301" width="10.42578125" style="3" customWidth="1"/>
    <col min="2302" max="2302" width="11" style="3" customWidth="1"/>
    <col min="2303" max="2303" width="27.28515625" style="3" customWidth="1"/>
    <col min="2304" max="2307" width="9.140625" style="3" customWidth="1"/>
    <col min="2308" max="2549" width="9.140625" style="3"/>
    <col min="2550" max="2550" width="14.85546875" style="3" customWidth="1"/>
    <col min="2551" max="2551" width="52.28515625" style="3" bestFit="1" customWidth="1"/>
    <col min="2552" max="2552" width="7.7109375" style="3" customWidth="1"/>
    <col min="2553" max="2553" width="8" style="3" customWidth="1"/>
    <col min="2554" max="2554" width="8.85546875" style="3" customWidth="1"/>
    <col min="2555" max="2555" width="8.140625" style="3" customWidth="1"/>
    <col min="2556" max="2556" width="8.28515625" style="3" customWidth="1"/>
    <col min="2557" max="2557" width="10.42578125" style="3" customWidth="1"/>
    <col min="2558" max="2558" width="11" style="3" customWidth="1"/>
    <col min="2559" max="2559" width="27.28515625" style="3" customWidth="1"/>
    <col min="2560" max="2563" width="9.140625" style="3" customWidth="1"/>
    <col min="2564" max="2805" width="9.140625" style="3"/>
    <col min="2806" max="2806" width="14.85546875" style="3" customWidth="1"/>
    <col min="2807" max="2807" width="52.28515625" style="3" bestFit="1" customWidth="1"/>
    <col min="2808" max="2808" width="7.7109375" style="3" customWidth="1"/>
    <col min="2809" max="2809" width="8" style="3" customWidth="1"/>
    <col min="2810" max="2810" width="8.85546875" style="3" customWidth="1"/>
    <col min="2811" max="2811" width="8.140625" style="3" customWidth="1"/>
    <col min="2812" max="2812" width="8.28515625" style="3" customWidth="1"/>
    <col min="2813" max="2813" width="10.42578125" style="3" customWidth="1"/>
    <col min="2814" max="2814" width="11" style="3" customWidth="1"/>
    <col min="2815" max="2815" width="27.28515625" style="3" customWidth="1"/>
    <col min="2816" max="2819" width="9.140625" style="3" customWidth="1"/>
    <col min="2820" max="3061" width="9.140625" style="3"/>
    <col min="3062" max="3062" width="14.85546875" style="3" customWidth="1"/>
    <col min="3063" max="3063" width="52.28515625" style="3" bestFit="1" customWidth="1"/>
    <col min="3064" max="3064" width="7.7109375" style="3" customWidth="1"/>
    <col min="3065" max="3065" width="8" style="3" customWidth="1"/>
    <col min="3066" max="3066" width="8.85546875" style="3" customWidth="1"/>
    <col min="3067" max="3067" width="8.140625" style="3" customWidth="1"/>
    <col min="3068" max="3068" width="8.28515625" style="3" customWidth="1"/>
    <col min="3069" max="3069" width="10.42578125" style="3" customWidth="1"/>
    <col min="3070" max="3070" width="11" style="3" customWidth="1"/>
    <col min="3071" max="3071" width="27.28515625" style="3" customWidth="1"/>
    <col min="3072" max="3075" width="9.140625" style="3" customWidth="1"/>
    <col min="3076" max="3317" width="9.140625" style="3"/>
    <col min="3318" max="3318" width="14.85546875" style="3" customWidth="1"/>
    <col min="3319" max="3319" width="52.28515625" style="3" bestFit="1" customWidth="1"/>
    <col min="3320" max="3320" width="7.7109375" style="3" customWidth="1"/>
    <col min="3321" max="3321" width="8" style="3" customWidth="1"/>
    <col min="3322" max="3322" width="8.85546875" style="3" customWidth="1"/>
    <col min="3323" max="3323" width="8.140625" style="3" customWidth="1"/>
    <col min="3324" max="3324" width="8.28515625" style="3" customWidth="1"/>
    <col min="3325" max="3325" width="10.42578125" style="3" customWidth="1"/>
    <col min="3326" max="3326" width="11" style="3" customWidth="1"/>
    <col min="3327" max="3327" width="27.28515625" style="3" customWidth="1"/>
    <col min="3328" max="3331" width="9.140625" style="3" customWidth="1"/>
    <col min="3332" max="3573" width="9.140625" style="3"/>
    <col min="3574" max="3574" width="14.85546875" style="3" customWidth="1"/>
    <col min="3575" max="3575" width="52.28515625" style="3" bestFit="1" customWidth="1"/>
    <col min="3576" max="3576" width="7.7109375" style="3" customWidth="1"/>
    <col min="3577" max="3577" width="8" style="3" customWidth="1"/>
    <col min="3578" max="3578" width="8.85546875" style="3" customWidth="1"/>
    <col min="3579" max="3579" width="8.140625" style="3" customWidth="1"/>
    <col min="3580" max="3580" width="8.28515625" style="3" customWidth="1"/>
    <col min="3581" max="3581" width="10.42578125" style="3" customWidth="1"/>
    <col min="3582" max="3582" width="11" style="3" customWidth="1"/>
    <col min="3583" max="3583" width="27.28515625" style="3" customWidth="1"/>
    <col min="3584" max="3587" width="9.140625" style="3" customWidth="1"/>
    <col min="3588" max="3829" width="9.140625" style="3"/>
    <col min="3830" max="3830" width="14.85546875" style="3" customWidth="1"/>
    <col min="3831" max="3831" width="52.28515625" style="3" bestFit="1" customWidth="1"/>
    <col min="3832" max="3832" width="7.7109375" style="3" customWidth="1"/>
    <col min="3833" max="3833" width="8" style="3" customWidth="1"/>
    <col min="3834" max="3834" width="8.85546875" style="3" customWidth="1"/>
    <col min="3835" max="3835" width="8.140625" style="3" customWidth="1"/>
    <col min="3836" max="3836" width="8.28515625" style="3" customWidth="1"/>
    <col min="3837" max="3837" width="10.42578125" style="3" customWidth="1"/>
    <col min="3838" max="3838" width="11" style="3" customWidth="1"/>
    <col min="3839" max="3839" width="27.28515625" style="3" customWidth="1"/>
    <col min="3840" max="3843" width="9.140625" style="3" customWidth="1"/>
    <col min="3844" max="4085" width="9.140625" style="3"/>
    <col min="4086" max="4086" width="14.85546875" style="3" customWidth="1"/>
    <col min="4087" max="4087" width="52.28515625" style="3" bestFit="1" customWidth="1"/>
    <col min="4088" max="4088" width="7.7109375" style="3" customWidth="1"/>
    <col min="4089" max="4089" width="8" style="3" customWidth="1"/>
    <col min="4090" max="4090" width="8.85546875" style="3" customWidth="1"/>
    <col min="4091" max="4091" width="8.140625" style="3" customWidth="1"/>
    <col min="4092" max="4092" width="8.28515625" style="3" customWidth="1"/>
    <col min="4093" max="4093" width="10.42578125" style="3" customWidth="1"/>
    <col min="4094" max="4094" width="11" style="3" customWidth="1"/>
    <col min="4095" max="4095" width="27.28515625" style="3" customWidth="1"/>
    <col min="4096" max="4099" width="9.140625" style="3" customWidth="1"/>
    <col min="4100" max="4341" width="9.140625" style="3"/>
    <col min="4342" max="4342" width="14.85546875" style="3" customWidth="1"/>
    <col min="4343" max="4343" width="52.28515625" style="3" bestFit="1" customWidth="1"/>
    <col min="4344" max="4344" width="7.7109375" style="3" customWidth="1"/>
    <col min="4345" max="4345" width="8" style="3" customWidth="1"/>
    <col min="4346" max="4346" width="8.85546875" style="3" customWidth="1"/>
    <col min="4347" max="4347" width="8.140625" style="3" customWidth="1"/>
    <col min="4348" max="4348" width="8.28515625" style="3" customWidth="1"/>
    <col min="4349" max="4349" width="10.42578125" style="3" customWidth="1"/>
    <col min="4350" max="4350" width="11" style="3" customWidth="1"/>
    <col min="4351" max="4351" width="27.28515625" style="3" customWidth="1"/>
    <col min="4352" max="4355" width="9.140625" style="3" customWidth="1"/>
    <col min="4356" max="4597" width="9.140625" style="3"/>
    <col min="4598" max="4598" width="14.85546875" style="3" customWidth="1"/>
    <col min="4599" max="4599" width="52.28515625" style="3" bestFit="1" customWidth="1"/>
    <col min="4600" max="4600" width="7.7109375" style="3" customWidth="1"/>
    <col min="4601" max="4601" width="8" style="3" customWidth="1"/>
    <col min="4602" max="4602" width="8.85546875" style="3" customWidth="1"/>
    <col min="4603" max="4603" width="8.140625" style="3" customWidth="1"/>
    <col min="4604" max="4604" width="8.28515625" style="3" customWidth="1"/>
    <col min="4605" max="4605" width="10.42578125" style="3" customWidth="1"/>
    <col min="4606" max="4606" width="11" style="3" customWidth="1"/>
    <col min="4607" max="4607" width="27.28515625" style="3" customWidth="1"/>
    <col min="4608" max="4611" width="9.140625" style="3" customWidth="1"/>
    <col min="4612" max="4853" width="9.140625" style="3"/>
    <col min="4854" max="4854" width="14.85546875" style="3" customWidth="1"/>
    <col min="4855" max="4855" width="52.28515625" style="3" bestFit="1" customWidth="1"/>
    <col min="4856" max="4856" width="7.7109375" style="3" customWidth="1"/>
    <col min="4857" max="4857" width="8" style="3" customWidth="1"/>
    <col min="4858" max="4858" width="8.85546875" style="3" customWidth="1"/>
    <col min="4859" max="4859" width="8.140625" style="3" customWidth="1"/>
    <col min="4860" max="4860" width="8.28515625" style="3" customWidth="1"/>
    <col min="4861" max="4861" width="10.42578125" style="3" customWidth="1"/>
    <col min="4862" max="4862" width="11" style="3" customWidth="1"/>
    <col min="4863" max="4863" width="27.28515625" style="3" customWidth="1"/>
    <col min="4864" max="4867" width="9.140625" style="3" customWidth="1"/>
    <col min="4868" max="5109" width="9.140625" style="3"/>
    <col min="5110" max="5110" width="14.85546875" style="3" customWidth="1"/>
    <col min="5111" max="5111" width="52.28515625" style="3" bestFit="1" customWidth="1"/>
    <col min="5112" max="5112" width="7.7109375" style="3" customWidth="1"/>
    <col min="5113" max="5113" width="8" style="3" customWidth="1"/>
    <col min="5114" max="5114" width="8.85546875" style="3" customWidth="1"/>
    <col min="5115" max="5115" width="8.140625" style="3" customWidth="1"/>
    <col min="5116" max="5116" width="8.28515625" style="3" customWidth="1"/>
    <col min="5117" max="5117" width="10.42578125" style="3" customWidth="1"/>
    <col min="5118" max="5118" width="11" style="3" customWidth="1"/>
    <col min="5119" max="5119" width="27.28515625" style="3" customWidth="1"/>
    <col min="5120" max="5123" width="9.140625" style="3" customWidth="1"/>
    <col min="5124" max="5365" width="9.140625" style="3"/>
    <col min="5366" max="5366" width="14.85546875" style="3" customWidth="1"/>
    <col min="5367" max="5367" width="52.28515625" style="3" bestFit="1" customWidth="1"/>
    <col min="5368" max="5368" width="7.7109375" style="3" customWidth="1"/>
    <col min="5369" max="5369" width="8" style="3" customWidth="1"/>
    <col min="5370" max="5370" width="8.85546875" style="3" customWidth="1"/>
    <col min="5371" max="5371" width="8.140625" style="3" customWidth="1"/>
    <col min="5372" max="5372" width="8.28515625" style="3" customWidth="1"/>
    <col min="5373" max="5373" width="10.42578125" style="3" customWidth="1"/>
    <col min="5374" max="5374" width="11" style="3" customWidth="1"/>
    <col min="5375" max="5375" width="27.28515625" style="3" customWidth="1"/>
    <col min="5376" max="5379" width="9.140625" style="3" customWidth="1"/>
    <col min="5380" max="5621" width="9.140625" style="3"/>
    <col min="5622" max="5622" width="14.85546875" style="3" customWidth="1"/>
    <col min="5623" max="5623" width="52.28515625" style="3" bestFit="1" customWidth="1"/>
    <col min="5624" max="5624" width="7.7109375" style="3" customWidth="1"/>
    <col min="5625" max="5625" width="8" style="3" customWidth="1"/>
    <col min="5626" max="5626" width="8.85546875" style="3" customWidth="1"/>
    <col min="5627" max="5627" width="8.140625" style="3" customWidth="1"/>
    <col min="5628" max="5628" width="8.28515625" style="3" customWidth="1"/>
    <col min="5629" max="5629" width="10.42578125" style="3" customWidth="1"/>
    <col min="5630" max="5630" width="11" style="3" customWidth="1"/>
    <col min="5631" max="5631" width="27.28515625" style="3" customWidth="1"/>
    <col min="5632" max="5635" width="9.140625" style="3" customWidth="1"/>
    <col min="5636" max="5877" width="9.140625" style="3"/>
    <col min="5878" max="5878" width="14.85546875" style="3" customWidth="1"/>
    <col min="5879" max="5879" width="52.28515625" style="3" bestFit="1" customWidth="1"/>
    <col min="5880" max="5880" width="7.7109375" style="3" customWidth="1"/>
    <col min="5881" max="5881" width="8" style="3" customWidth="1"/>
    <col min="5882" max="5882" width="8.85546875" style="3" customWidth="1"/>
    <col min="5883" max="5883" width="8.140625" style="3" customWidth="1"/>
    <col min="5884" max="5884" width="8.28515625" style="3" customWidth="1"/>
    <col min="5885" max="5885" width="10.42578125" style="3" customWidth="1"/>
    <col min="5886" max="5886" width="11" style="3" customWidth="1"/>
    <col min="5887" max="5887" width="27.28515625" style="3" customWidth="1"/>
    <col min="5888" max="5891" width="9.140625" style="3" customWidth="1"/>
    <col min="5892" max="6133" width="9.140625" style="3"/>
    <col min="6134" max="6134" width="14.85546875" style="3" customWidth="1"/>
    <col min="6135" max="6135" width="52.28515625" style="3" bestFit="1" customWidth="1"/>
    <col min="6136" max="6136" width="7.7109375" style="3" customWidth="1"/>
    <col min="6137" max="6137" width="8" style="3" customWidth="1"/>
    <col min="6138" max="6138" width="8.85546875" style="3" customWidth="1"/>
    <col min="6139" max="6139" width="8.140625" style="3" customWidth="1"/>
    <col min="6140" max="6140" width="8.28515625" style="3" customWidth="1"/>
    <col min="6141" max="6141" width="10.42578125" style="3" customWidth="1"/>
    <col min="6142" max="6142" width="11" style="3" customWidth="1"/>
    <col min="6143" max="6143" width="27.28515625" style="3" customWidth="1"/>
    <col min="6144" max="6147" width="9.140625" style="3" customWidth="1"/>
    <col min="6148" max="6389" width="9.140625" style="3"/>
    <col min="6390" max="6390" width="14.85546875" style="3" customWidth="1"/>
    <col min="6391" max="6391" width="52.28515625" style="3" bestFit="1" customWidth="1"/>
    <col min="6392" max="6392" width="7.7109375" style="3" customWidth="1"/>
    <col min="6393" max="6393" width="8" style="3" customWidth="1"/>
    <col min="6394" max="6394" width="8.85546875" style="3" customWidth="1"/>
    <col min="6395" max="6395" width="8.140625" style="3" customWidth="1"/>
    <col min="6396" max="6396" width="8.28515625" style="3" customWidth="1"/>
    <col min="6397" max="6397" width="10.42578125" style="3" customWidth="1"/>
    <col min="6398" max="6398" width="11" style="3" customWidth="1"/>
    <col min="6399" max="6399" width="27.28515625" style="3" customWidth="1"/>
    <col min="6400" max="6403" width="9.140625" style="3" customWidth="1"/>
    <col min="6404" max="6645" width="9.140625" style="3"/>
    <col min="6646" max="6646" width="14.85546875" style="3" customWidth="1"/>
    <col min="6647" max="6647" width="52.28515625" style="3" bestFit="1" customWidth="1"/>
    <col min="6648" max="6648" width="7.7109375" style="3" customWidth="1"/>
    <col min="6649" max="6649" width="8" style="3" customWidth="1"/>
    <col min="6650" max="6650" width="8.85546875" style="3" customWidth="1"/>
    <col min="6651" max="6651" width="8.140625" style="3" customWidth="1"/>
    <col min="6652" max="6652" width="8.28515625" style="3" customWidth="1"/>
    <col min="6653" max="6653" width="10.42578125" style="3" customWidth="1"/>
    <col min="6654" max="6654" width="11" style="3" customWidth="1"/>
    <col min="6655" max="6655" width="27.28515625" style="3" customWidth="1"/>
    <col min="6656" max="6659" width="9.140625" style="3" customWidth="1"/>
    <col min="6660" max="6901" width="9.140625" style="3"/>
    <col min="6902" max="6902" width="14.85546875" style="3" customWidth="1"/>
    <col min="6903" max="6903" width="52.28515625" style="3" bestFit="1" customWidth="1"/>
    <col min="6904" max="6904" width="7.7109375" style="3" customWidth="1"/>
    <col min="6905" max="6905" width="8" style="3" customWidth="1"/>
    <col min="6906" max="6906" width="8.85546875" style="3" customWidth="1"/>
    <col min="6907" max="6907" width="8.140625" style="3" customWidth="1"/>
    <col min="6908" max="6908" width="8.28515625" style="3" customWidth="1"/>
    <col min="6909" max="6909" width="10.42578125" style="3" customWidth="1"/>
    <col min="6910" max="6910" width="11" style="3" customWidth="1"/>
    <col min="6911" max="6911" width="27.28515625" style="3" customWidth="1"/>
    <col min="6912" max="6915" width="9.140625" style="3" customWidth="1"/>
    <col min="6916" max="7157" width="9.140625" style="3"/>
    <col min="7158" max="7158" width="14.85546875" style="3" customWidth="1"/>
    <col min="7159" max="7159" width="52.28515625" style="3" bestFit="1" customWidth="1"/>
    <col min="7160" max="7160" width="7.7109375" style="3" customWidth="1"/>
    <col min="7161" max="7161" width="8" style="3" customWidth="1"/>
    <col min="7162" max="7162" width="8.85546875" style="3" customWidth="1"/>
    <col min="7163" max="7163" width="8.140625" style="3" customWidth="1"/>
    <col min="7164" max="7164" width="8.28515625" style="3" customWidth="1"/>
    <col min="7165" max="7165" width="10.42578125" style="3" customWidth="1"/>
    <col min="7166" max="7166" width="11" style="3" customWidth="1"/>
    <col min="7167" max="7167" width="27.28515625" style="3" customWidth="1"/>
    <col min="7168" max="7171" width="9.140625" style="3" customWidth="1"/>
    <col min="7172" max="7413" width="9.140625" style="3"/>
    <col min="7414" max="7414" width="14.85546875" style="3" customWidth="1"/>
    <col min="7415" max="7415" width="52.28515625" style="3" bestFit="1" customWidth="1"/>
    <col min="7416" max="7416" width="7.7109375" style="3" customWidth="1"/>
    <col min="7417" max="7417" width="8" style="3" customWidth="1"/>
    <col min="7418" max="7418" width="8.85546875" style="3" customWidth="1"/>
    <col min="7419" max="7419" width="8.140625" style="3" customWidth="1"/>
    <col min="7420" max="7420" width="8.28515625" style="3" customWidth="1"/>
    <col min="7421" max="7421" width="10.42578125" style="3" customWidth="1"/>
    <col min="7422" max="7422" width="11" style="3" customWidth="1"/>
    <col min="7423" max="7423" width="27.28515625" style="3" customWidth="1"/>
    <col min="7424" max="7427" width="9.140625" style="3" customWidth="1"/>
    <col min="7428" max="7669" width="9.140625" style="3"/>
    <col min="7670" max="7670" width="14.85546875" style="3" customWidth="1"/>
    <col min="7671" max="7671" width="52.28515625" style="3" bestFit="1" customWidth="1"/>
    <col min="7672" max="7672" width="7.7109375" style="3" customWidth="1"/>
    <col min="7673" max="7673" width="8" style="3" customWidth="1"/>
    <col min="7674" max="7674" width="8.85546875" style="3" customWidth="1"/>
    <col min="7675" max="7675" width="8.140625" style="3" customWidth="1"/>
    <col min="7676" max="7676" width="8.28515625" style="3" customWidth="1"/>
    <col min="7677" max="7677" width="10.42578125" style="3" customWidth="1"/>
    <col min="7678" max="7678" width="11" style="3" customWidth="1"/>
    <col min="7679" max="7679" width="27.28515625" style="3" customWidth="1"/>
    <col min="7680" max="7683" width="9.140625" style="3" customWidth="1"/>
    <col min="7684" max="7925" width="9.140625" style="3"/>
    <col min="7926" max="7926" width="14.85546875" style="3" customWidth="1"/>
    <col min="7927" max="7927" width="52.28515625" style="3" bestFit="1" customWidth="1"/>
    <col min="7928" max="7928" width="7.7109375" style="3" customWidth="1"/>
    <col min="7929" max="7929" width="8" style="3" customWidth="1"/>
    <col min="7930" max="7930" width="8.85546875" style="3" customWidth="1"/>
    <col min="7931" max="7931" width="8.140625" style="3" customWidth="1"/>
    <col min="7932" max="7932" width="8.28515625" style="3" customWidth="1"/>
    <col min="7933" max="7933" width="10.42578125" style="3" customWidth="1"/>
    <col min="7934" max="7934" width="11" style="3" customWidth="1"/>
    <col min="7935" max="7935" width="27.28515625" style="3" customWidth="1"/>
    <col min="7936" max="7939" width="9.140625" style="3" customWidth="1"/>
    <col min="7940" max="8181" width="9.140625" style="3"/>
    <col min="8182" max="8182" width="14.85546875" style="3" customWidth="1"/>
    <col min="8183" max="8183" width="52.28515625" style="3" bestFit="1" customWidth="1"/>
    <col min="8184" max="8184" width="7.7109375" style="3" customWidth="1"/>
    <col min="8185" max="8185" width="8" style="3" customWidth="1"/>
    <col min="8186" max="8186" width="8.85546875" style="3" customWidth="1"/>
    <col min="8187" max="8187" width="8.140625" style="3" customWidth="1"/>
    <col min="8188" max="8188" width="8.28515625" style="3" customWidth="1"/>
    <col min="8189" max="8189" width="10.42578125" style="3" customWidth="1"/>
    <col min="8190" max="8190" width="11" style="3" customWidth="1"/>
    <col min="8191" max="8191" width="27.28515625" style="3" customWidth="1"/>
    <col min="8192" max="8195" width="9.140625" style="3" customWidth="1"/>
    <col min="8196" max="8437" width="9.140625" style="3"/>
    <col min="8438" max="8438" width="14.85546875" style="3" customWidth="1"/>
    <col min="8439" max="8439" width="52.28515625" style="3" bestFit="1" customWidth="1"/>
    <col min="8440" max="8440" width="7.7109375" style="3" customWidth="1"/>
    <col min="8441" max="8441" width="8" style="3" customWidth="1"/>
    <col min="8442" max="8442" width="8.85546875" style="3" customWidth="1"/>
    <col min="8443" max="8443" width="8.140625" style="3" customWidth="1"/>
    <col min="8444" max="8444" width="8.28515625" style="3" customWidth="1"/>
    <col min="8445" max="8445" width="10.42578125" style="3" customWidth="1"/>
    <col min="8446" max="8446" width="11" style="3" customWidth="1"/>
    <col min="8447" max="8447" width="27.28515625" style="3" customWidth="1"/>
    <col min="8448" max="8451" width="9.140625" style="3" customWidth="1"/>
    <col min="8452" max="8693" width="9.140625" style="3"/>
    <col min="8694" max="8694" width="14.85546875" style="3" customWidth="1"/>
    <col min="8695" max="8695" width="52.28515625" style="3" bestFit="1" customWidth="1"/>
    <col min="8696" max="8696" width="7.7109375" style="3" customWidth="1"/>
    <col min="8697" max="8697" width="8" style="3" customWidth="1"/>
    <col min="8698" max="8698" width="8.85546875" style="3" customWidth="1"/>
    <col min="8699" max="8699" width="8.140625" style="3" customWidth="1"/>
    <col min="8700" max="8700" width="8.28515625" style="3" customWidth="1"/>
    <col min="8701" max="8701" width="10.42578125" style="3" customWidth="1"/>
    <col min="8702" max="8702" width="11" style="3" customWidth="1"/>
    <col min="8703" max="8703" width="27.28515625" style="3" customWidth="1"/>
    <col min="8704" max="8707" width="9.140625" style="3" customWidth="1"/>
    <col min="8708" max="8949" width="9.140625" style="3"/>
    <col min="8950" max="8950" width="14.85546875" style="3" customWidth="1"/>
    <col min="8951" max="8951" width="52.28515625" style="3" bestFit="1" customWidth="1"/>
    <col min="8952" max="8952" width="7.7109375" style="3" customWidth="1"/>
    <col min="8953" max="8953" width="8" style="3" customWidth="1"/>
    <col min="8954" max="8954" width="8.85546875" style="3" customWidth="1"/>
    <col min="8955" max="8955" width="8.140625" style="3" customWidth="1"/>
    <col min="8956" max="8956" width="8.28515625" style="3" customWidth="1"/>
    <col min="8957" max="8957" width="10.42578125" style="3" customWidth="1"/>
    <col min="8958" max="8958" width="11" style="3" customWidth="1"/>
    <col min="8959" max="8959" width="27.28515625" style="3" customWidth="1"/>
    <col min="8960" max="8963" width="9.140625" style="3" customWidth="1"/>
    <col min="8964" max="9205" width="9.140625" style="3"/>
    <col min="9206" max="9206" width="14.85546875" style="3" customWidth="1"/>
    <col min="9207" max="9207" width="52.28515625" style="3" bestFit="1" customWidth="1"/>
    <col min="9208" max="9208" width="7.7109375" style="3" customWidth="1"/>
    <col min="9209" max="9209" width="8" style="3" customWidth="1"/>
    <col min="9210" max="9210" width="8.85546875" style="3" customWidth="1"/>
    <col min="9211" max="9211" width="8.140625" style="3" customWidth="1"/>
    <col min="9212" max="9212" width="8.28515625" style="3" customWidth="1"/>
    <col min="9213" max="9213" width="10.42578125" style="3" customWidth="1"/>
    <col min="9214" max="9214" width="11" style="3" customWidth="1"/>
    <col min="9215" max="9215" width="27.28515625" style="3" customWidth="1"/>
    <col min="9216" max="9219" width="9.140625" style="3" customWidth="1"/>
    <col min="9220" max="9461" width="9.140625" style="3"/>
    <col min="9462" max="9462" width="14.85546875" style="3" customWidth="1"/>
    <col min="9463" max="9463" width="52.28515625" style="3" bestFit="1" customWidth="1"/>
    <col min="9464" max="9464" width="7.7109375" style="3" customWidth="1"/>
    <col min="9465" max="9465" width="8" style="3" customWidth="1"/>
    <col min="9466" max="9466" width="8.85546875" style="3" customWidth="1"/>
    <col min="9467" max="9467" width="8.140625" style="3" customWidth="1"/>
    <col min="9468" max="9468" width="8.28515625" style="3" customWidth="1"/>
    <col min="9469" max="9469" width="10.42578125" style="3" customWidth="1"/>
    <col min="9470" max="9470" width="11" style="3" customWidth="1"/>
    <col min="9471" max="9471" width="27.28515625" style="3" customWidth="1"/>
    <col min="9472" max="9475" width="9.140625" style="3" customWidth="1"/>
    <col min="9476" max="9717" width="9.140625" style="3"/>
    <col min="9718" max="9718" width="14.85546875" style="3" customWidth="1"/>
    <col min="9719" max="9719" width="52.28515625" style="3" bestFit="1" customWidth="1"/>
    <col min="9720" max="9720" width="7.7109375" style="3" customWidth="1"/>
    <col min="9721" max="9721" width="8" style="3" customWidth="1"/>
    <col min="9722" max="9722" width="8.85546875" style="3" customWidth="1"/>
    <col min="9723" max="9723" width="8.140625" style="3" customWidth="1"/>
    <col min="9724" max="9724" width="8.28515625" style="3" customWidth="1"/>
    <col min="9725" max="9725" width="10.42578125" style="3" customWidth="1"/>
    <col min="9726" max="9726" width="11" style="3" customWidth="1"/>
    <col min="9727" max="9727" width="27.28515625" style="3" customWidth="1"/>
    <col min="9728" max="9731" width="9.140625" style="3" customWidth="1"/>
    <col min="9732" max="9973" width="9.140625" style="3"/>
    <col min="9974" max="9974" width="14.85546875" style="3" customWidth="1"/>
    <col min="9975" max="9975" width="52.28515625" style="3" bestFit="1" customWidth="1"/>
    <col min="9976" max="9976" width="7.7109375" style="3" customWidth="1"/>
    <col min="9977" max="9977" width="8" style="3" customWidth="1"/>
    <col min="9978" max="9978" width="8.85546875" style="3" customWidth="1"/>
    <col min="9979" max="9979" width="8.140625" style="3" customWidth="1"/>
    <col min="9980" max="9980" width="8.28515625" style="3" customWidth="1"/>
    <col min="9981" max="9981" width="10.42578125" style="3" customWidth="1"/>
    <col min="9982" max="9982" width="11" style="3" customWidth="1"/>
    <col min="9983" max="9983" width="27.28515625" style="3" customWidth="1"/>
    <col min="9984" max="9987" width="9.140625" style="3" customWidth="1"/>
    <col min="9988" max="10229" width="9.140625" style="3"/>
    <col min="10230" max="10230" width="14.85546875" style="3" customWidth="1"/>
    <col min="10231" max="10231" width="52.28515625" style="3" bestFit="1" customWidth="1"/>
    <col min="10232" max="10232" width="7.7109375" style="3" customWidth="1"/>
    <col min="10233" max="10233" width="8" style="3" customWidth="1"/>
    <col min="10234" max="10234" width="8.85546875" style="3" customWidth="1"/>
    <col min="10235" max="10235" width="8.140625" style="3" customWidth="1"/>
    <col min="10236" max="10236" width="8.28515625" style="3" customWidth="1"/>
    <col min="10237" max="10237" width="10.42578125" style="3" customWidth="1"/>
    <col min="10238" max="10238" width="11" style="3" customWidth="1"/>
    <col min="10239" max="10239" width="27.28515625" style="3" customWidth="1"/>
    <col min="10240" max="10243" width="9.140625" style="3" customWidth="1"/>
    <col min="10244" max="10485" width="9.140625" style="3"/>
    <col min="10486" max="10486" width="14.85546875" style="3" customWidth="1"/>
    <col min="10487" max="10487" width="52.28515625" style="3" bestFit="1" customWidth="1"/>
    <col min="10488" max="10488" width="7.7109375" style="3" customWidth="1"/>
    <col min="10489" max="10489" width="8" style="3" customWidth="1"/>
    <col min="10490" max="10490" width="8.85546875" style="3" customWidth="1"/>
    <col min="10491" max="10491" width="8.140625" style="3" customWidth="1"/>
    <col min="10492" max="10492" width="8.28515625" style="3" customWidth="1"/>
    <col min="10493" max="10493" width="10.42578125" style="3" customWidth="1"/>
    <col min="10494" max="10494" width="11" style="3" customWidth="1"/>
    <col min="10495" max="10495" width="27.28515625" style="3" customWidth="1"/>
    <col min="10496" max="10499" width="9.140625" style="3" customWidth="1"/>
    <col min="10500" max="10741" width="9.140625" style="3"/>
    <col min="10742" max="10742" width="14.85546875" style="3" customWidth="1"/>
    <col min="10743" max="10743" width="52.28515625" style="3" bestFit="1" customWidth="1"/>
    <col min="10744" max="10744" width="7.7109375" style="3" customWidth="1"/>
    <col min="10745" max="10745" width="8" style="3" customWidth="1"/>
    <col min="10746" max="10746" width="8.85546875" style="3" customWidth="1"/>
    <col min="10747" max="10747" width="8.140625" style="3" customWidth="1"/>
    <col min="10748" max="10748" width="8.28515625" style="3" customWidth="1"/>
    <col min="10749" max="10749" width="10.42578125" style="3" customWidth="1"/>
    <col min="10750" max="10750" width="11" style="3" customWidth="1"/>
    <col min="10751" max="10751" width="27.28515625" style="3" customWidth="1"/>
    <col min="10752" max="10755" width="9.140625" style="3" customWidth="1"/>
    <col min="10756" max="10997" width="9.140625" style="3"/>
    <col min="10998" max="10998" width="14.85546875" style="3" customWidth="1"/>
    <col min="10999" max="10999" width="52.28515625" style="3" bestFit="1" customWidth="1"/>
    <col min="11000" max="11000" width="7.7109375" style="3" customWidth="1"/>
    <col min="11001" max="11001" width="8" style="3" customWidth="1"/>
    <col min="11002" max="11002" width="8.85546875" style="3" customWidth="1"/>
    <col min="11003" max="11003" width="8.140625" style="3" customWidth="1"/>
    <col min="11004" max="11004" width="8.28515625" style="3" customWidth="1"/>
    <col min="11005" max="11005" width="10.42578125" style="3" customWidth="1"/>
    <col min="11006" max="11006" width="11" style="3" customWidth="1"/>
    <col min="11007" max="11007" width="27.28515625" style="3" customWidth="1"/>
    <col min="11008" max="11011" width="9.140625" style="3" customWidth="1"/>
    <col min="11012" max="11253" width="9.140625" style="3"/>
    <col min="11254" max="11254" width="14.85546875" style="3" customWidth="1"/>
    <col min="11255" max="11255" width="52.28515625" style="3" bestFit="1" customWidth="1"/>
    <col min="11256" max="11256" width="7.7109375" style="3" customWidth="1"/>
    <col min="11257" max="11257" width="8" style="3" customWidth="1"/>
    <col min="11258" max="11258" width="8.85546875" style="3" customWidth="1"/>
    <col min="11259" max="11259" width="8.140625" style="3" customWidth="1"/>
    <col min="11260" max="11260" width="8.28515625" style="3" customWidth="1"/>
    <col min="11261" max="11261" width="10.42578125" style="3" customWidth="1"/>
    <col min="11262" max="11262" width="11" style="3" customWidth="1"/>
    <col min="11263" max="11263" width="27.28515625" style="3" customWidth="1"/>
    <col min="11264" max="11267" width="9.140625" style="3" customWidth="1"/>
    <col min="11268" max="11509" width="9.140625" style="3"/>
    <col min="11510" max="11510" width="14.85546875" style="3" customWidth="1"/>
    <col min="11511" max="11511" width="52.28515625" style="3" bestFit="1" customWidth="1"/>
    <col min="11512" max="11512" width="7.7109375" style="3" customWidth="1"/>
    <col min="11513" max="11513" width="8" style="3" customWidth="1"/>
    <col min="11514" max="11514" width="8.85546875" style="3" customWidth="1"/>
    <col min="11515" max="11515" width="8.140625" style="3" customWidth="1"/>
    <col min="11516" max="11516" width="8.28515625" style="3" customWidth="1"/>
    <col min="11517" max="11517" width="10.42578125" style="3" customWidth="1"/>
    <col min="11518" max="11518" width="11" style="3" customWidth="1"/>
    <col min="11519" max="11519" width="27.28515625" style="3" customWidth="1"/>
    <col min="11520" max="11523" width="9.140625" style="3" customWidth="1"/>
    <col min="11524" max="11765" width="9.140625" style="3"/>
    <col min="11766" max="11766" width="14.85546875" style="3" customWidth="1"/>
    <col min="11767" max="11767" width="52.28515625" style="3" bestFit="1" customWidth="1"/>
    <col min="11768" max="11768" width="7.7109375" style="3" customWidth="1"/>
    <col min="11769" max="11769" width="8" style="3" customWidth="1"/>
    <col min="11770" max="11770" width="8.85546875" style="3" customWidth="1"/>
    <col min="11771" max="11771" width="8.140625" style="3" customWidth="1"/>
    <col min="11772" max="11772" width="8.28515625" style="3" customWidth="1"/>
    <col min="11773" max="11773" width="10.42578125" style="3" customWidth="1"/>
    <col min="11774" max="11774" width="11" style="3" customWidth="1"/>
    <col min="11775" max="11775" width="27.28515625" style="3" customWidth="1"/>
    <col min="11776" max="11779" width="9.140625" style="3" customWidth="1"/>
    <col min="11780" max="12021" width="9.140625" style="3"/>
    <col min="12022" max="12022" width="14.85546875" style="3" customWidth="1"/>
    <col min="12023" max="12023" width="52.28515625" style="3" bestFit="1" customWidth="1"/>
    <col min="12024" max="12024" width="7.7109375" style="3" customWidth="1"/>
    <col min="12025" max="12025" width="8" style="3" customWidth="1"/>
    <col min="12026" max="12026" width="8.85546875" style="3" customWidth="1"/>
    <col min="12027" max="12027" width="8.140625" style="3" customWidth="1"/>
    <col min="12028" max="12028" width="8.28515625" style="3" customWidth="1"/>
    <col min="12029" max="12029" width="10.42578125" style="3" customWidth="1"/>
    <col min="12030" max="12030" width="11" style="3" customWidth="1"/>
    <col min="12031" max="12031" width="27.28515625" style="3" customWidth="1"/>
    <col min="12032" max="12035" width="9.140625" style="3" customWidth="1"/>
    <col min="12036" max="12277" width="9.140625" style="3"/>
    <col min="12278" max="12278" width="14.85546875" style="3" customWidth="1"/>
    <col min="12279" max="12279" width="52.28515625" style="3" bestFit="1" customWidth="1"/>
    <col min="12280" max="12280" width="7.7109375" style="3" customWidth="1"/>
    <col min="12281" max="12281" width="8" style="3" customWidth="1"/>
    <col min="12282" max="12282" width="8.85546875" style="3" customWidth="1"/>
    <col min="12283" max="12283" width="8.140625" style="3" customWidth="1"/>
    <col min="12284" max="12284" width="8.28515625" style="3" customWidth="1"/>
    <col min="12285" max="12285" width="10.42578125" style="3" customWidth="1"/>
    <col min="12286" max="12286" width="11" style="3" customWidth="1"/>
    <col min="12287" max="12287" width="27.28515625" style="3" customWidth="1"/>
    <col min="12288" max="12291" width="9.140625" style="3" customWidth="1"/>
    <col min="12292" max="12533" width="9.140625" style="3"/>
    <col min="12534" max="12534" width="14.85546875" style="3" customWidth="1"/>
    <col min="12535" max="12535" width="52.28515625" style="3" bestFit="1" customWidth="1"/>
    <col min="12536" max="12536" width="7.7109375" style="3" customWidth="1"/>
    <col min="12537" max="12537" width="8" style="3" customWidth="1"/>
    <col min="12538" max="12538" width="8.85546875" style="3" customWidth="1"/>
    <col min="12539" max="12539" width="8.140625" style="3" customWidth="1"/>
    <col min="12540" max="12540" width="8.28515625" style="3" customWidth="1"/>
    <col min="12541" max="12541" width="10.42578125" style="3" customWidth="1"/>
    <col min="12542" max="12542" width="11" style="3" customWidth="1"/>
    <col min="12543" max="12543" width="27.28515625" style="3" customWidth="1"/>
    <col min="12544" max="12547" width="9.140625" style="3" customWidth="1"/>
    <col min="12548" max="12789" width="9.140625" style="3"/>
    <col min="12790" max="12790" width="14.85546875" style="3" customWidth="1"/>
    <col min="12791" max="12791" width="52.28515625" style="3" bestFit="1" customWidth="1"/>
    <col min="12792" max="12792" width="7.7109375" style="3" customWidth="1"/>
    <col min="12793" max="12793" width="8" style="3" customWidth="1"/>
    <col min="12794" max="12794" width="8.85546875" style="3" customWidth="1"/>
    <col min="12795" max="12795" width="8.140625" style="3" customWidth="1"/>
    <col min="12796" max="12796" width="8.28515625" style="3" customWidth="1"/>
    <col min="12797" max="12797" width="10.42578125" style="3" customWidth="1"/>
    <col min="12798" max="12798" width="11" style="3" customWidth="1"/>
    <col min="12799" max="12799" width="27.28515625" style="3" customWidth="1"/>
    <col min="12800" max="12803" width="9.140625" style="3" customWidth="1"/>
    <col min="12804" max="13045" width="9.140625" style="3"/>
    <col min="13046" max="13046" width="14.85546875" style="3" customWidth="1"/>
    <col min="13047" max="13047" width="52.28515625" style="3" bestFit="1" customWidth="1"/>
    <col min="13048" max="13048" width="7.7109375" style="3" customWidth="1"/>
    <col min="13049" max="13049" width="8" style="3" customWidth="1"/>
    <col min="13050" max="13050" width="8.85546875" style="3" customWidth="1"/>
    <col min="13051" max="13051" width="8.140625" style="3" customWidth="1"/>
    <col min="13052" max="13052" width="8.28515625" style="3" customWidth="1"/>
    <col min="13053" max="13053" width="10.42578125" style="3" customWidth="1"/>
    <col min="13054" max="13054" width="11" style="3" customWidth="1"/>
    <col min="13055" max="13055" width="27.28515625" style="3" customWidth="1"/>
    <col min="13056" max="13059" width="9.140625" style="3" customWidth="1"/>
    <col min="13060" max="13301" width="9.140625" style="3"/>
    <col min="13302" max="13302" width="14.85546875" style="3" customWidth="1"/>
    <col min="13303" max="13303" width="52.28515625" style="3" bestFit="1" customWidth="1"/>
    <col min="13304" max="13304" width="7.7109375" style="3" customWidth="1"/>
    <col min="13305" max="13305" width="8" style="3" customWidth="1"/>
    <col min="13306" max="13306" width="8.85546875" style="3" customWidth="1"/>
    <col min="13307" max="13307" width="8.140625" style="3" customWidth="1"/>
    <col min="13308" max="13308" width="8.28515625" style="3" customWidth="1"/>
    <col min="13309" max="13309" width="10.42578125" style="3" customWidth="1"/>
    <col min="13310" max="13310" width="11" style="3" customWidth="1"/>
    <col min="13311" max="13311" width="27.28515625" style="3" customWidth="1"/>
    <col min="13312" max="13315" width="9.140625" style="3" customWidth="1"/>
    <col min="13316" max="13557" width="9.140625" style="3"/>
    <col min="13558" max="13558" width="14.85546875" style="3" customWidth="1"/>
    <col min="13559" max="13559" width="52.28515625" style="3" bestFit="1" customWidth="1"/>
    <col min="13560" max="13560" width="7.7109375" style="3" customWidth="1"/>
    <col min="13561" max="13561" width="8" style="3" customWidth="1"/>
    <col min="13562" max="13562" width="8.85546875" style="3" customWidth="1"/>
    <col min="13563" max="13563" width="8.140625" style="3" customWidth="1"/>
    <col min="13564" max="13564" width="8.28515625" style="3" customWidth="1"/>
    <col min="13565" max="13565" width="10.42578125" style="3" customWidth="1"/>
    <col min="13566" max="13566" width="11" style="3" customWidth="1"/>
    <col min="13567" max="13567" width="27.28515625" style="3" customWidth="1"/>
    <col min="13568" max="13571" width="9.140625" style="3" customWidth="1"/>
    <col min="13572" max="13813" width="9.140625" style="3"/>
    <col min="13814" max="13814" width="14.85546875" style="3" customWidth="1"/>
    <col min="13815" max="13815" width="52.28515625" style="3" bestFit="1" customWidth="1"/>
    <col min="13816" max="13816" width="7.7109375" style="3" customWidth="1"/>
    <col min="13817" max="13817" width="8" style="3" customWidth="1"/>
    <col min="13818" max="13818" width="8.85546875" style="3" customWidth="1"/>
    <col min="13819" max="13819" width="8.140625" style="3" customWidth="1"/>
    <col min="13820" max="13820" width="8.28515625" style="3" customWidth="1"/>
    <col min="13821" max="13821" width="10.42578125" style="3" customWidth="1"/>
    <col min="13822" max="13822" width="11" style="3" customWidth="1"/>
    <col min="13823" max="13823" width="27.28515625" style="3" customWidth="1"/>
    <col min="13824" max="13827" width="9.140625" style="3" customWidth="1"/>
    <col min="13828" max="14069" width="9.140625" style="3"/>
    <col min="14070" max="14070" width="14.85546875" style="3" customWidth="1"/>
    <col min="14071" max="14071" width="52.28515625" style="3" bestFit="1" customWidth="1"/>
    <col min="14072" max="14072" width="7.7109375" style="3" customWidth="1"/>
    <col min="14073" max="14073" width="8" style="3" customWidth="1"/>
    <col min="14074" max="14074" width="8.85546875" style="3" customWidth="1"/>
    <col min="14075" max="14075" width="8.140625" style="3" customWidth="1"/>
    <col min="14076" max="14076" width="8.28515625" style="3" customWidth="1"/>
    <col min="14077" max="14077" width="10.42578125" style="3" customWidth="1"/>
    <col min="14078" max="14078" width="11" style="3" customWidth="1"/>
    <col min="14079" max="14079" width="27.28515625" style="3" customWidth="1"/>
    <col min="14080" max="14083" width="9.140625" style="3" customWidth="1"/>
    <col min="14084" max="14325" width="9.140625" style="3"/>
    <col min="14326" max="14326" width="14.85546875" style="3" customWidth="1"/>
    <col min="14327" max="14327" width="52.28515625" style="3" bestFit="1" customWidth="1"/>
    <col min="14328" max="14328" width="7.7109375" style="3" customWidth="1"/>
    <col min="14329" max="14329" width="8" style="3" customWidth="1"/>
    <col min="14330" max="14330" width="8.85546875" style="3" customWidth="1"/>
    <col min="14331" max="14331" width="8.140625" style="3" customWidth="1"/>
    <col min="14332" max="14332" width="8.28515625" style="3" customWidth="1"/>
    <col min="14333" max="14333" width="10.42578125" style="3" customWidth="1"/>
    <col min="14334" max="14334" width="11" style="3" customWidth="1"/>
    <col min="14335" max="14335" width="27.28515625" style="3" customWidth="1"/>
    <col min="14336" max="14339" width="9.140625" style="3" customWidth="1"/>
    <col min="14340" max="14581" width="9.140625" style="3"/>
    <col min="14582" max="14582" width="14.85546875" style="3" customWidth="1"/>
    <col min="14583" max="14583" width="52.28515625" style="3" bestFit="1" customWidth="1"/>
    <col min="14584" max="14584" width="7.7109375" style="3" customWidth="1"/>
    <col min="14585" max="14585" width="8" style="3" customWidth="1"/>
    <col min="14586" max="14586" width="8.85546875" style="3" customWidth="1"/>
    <col min="14587" max="14587" width="8.140625" style="3" customWidth="1"/>
    <col min="14588" max="14588" width="8.28515625" style="3" customWidth="1"/>
    <col min="14589" max="14589" width="10.42578125" style="3" customWidth="1"/>
    <col min="14590" max="14590" width="11" style="3" customWidth="1"/>
    <col min="14591" max="14591" width="27.28515625" style="3" customWidth="1"/>
    <col min="14592" max="14595" width="9.140625" style="3" customWidth="1"/>
    <col min="14596" max="14837" width="9.140625" style="3"/>
    <col min="14838" max="14838" width="14.85546875" style="3" customWidth="1"/>
    <col min="14839" max="14839" width="52.28515625" style="3" bestFit="1" customWidth="1"/>
    <col min="14840" max="14840" width="7.7109375" style="3" customWidth="1"/>
    <col min="14841" max="14841" width="8" style="3" customWidth="1"/>
    <col min="14842" max="14842" width="8.85546875" style="3" customWidth="1"/>
    <col min="14843" max="14843" width="8.140625" style="3" customWidth="1"/>
    <col min="14844" max="14844" width="8.28515625" style="3" customWidth="1"/>
    <col min="14845" max="14845" width="10.42578125" style="3" customWidth="1"/>
    <col min="14846" max="14846" width="11" style="3" customWidth="1"/>
    <col min="14847" max="14847" width="27.28515625" style="3" customWidth="1"/>
    <col min="14848" max="14851" width="9.140625" style="3" customWidth="1"/>
    <col min="14852" max="15093" width="9.140625" style="3"/>
    <col min="15094" max="15094" width="14.85546875" style="3" customWidth="1"/>
    <col min="15095" max="15095" width="52.28515625" style="3" bestFit="1" customWidth="1"/>
    <col min="15096" max="15096" width="7.7109375" style="3" customWidth="1"/>
    <col min="15097" max="15097" width="8" style="3" customWidth="1"/>
    <col min="15098" max="15098" width="8.85546875" style="3" customWidth="1"/>
    <col min="15099" max="15099" width="8.140625" style="3" customWidth="1"/>
    <col min="15100" max="15100" width="8.28515625" style="3" customWidth="1"/>
    <col min="15101" max="15101" width="10.42578125" style="3" customWidth="1"/>
    <col min="15102" max="15102" width="11" style="3" customWidth="1"/>
    <col min="15103" max="15103" width="27.28515625" style="3" customWidth="1"/>
    <col min="15104" max="15107" width="9.140625" style="3" customWidth="1"/>
    <col min="15108" max="15349" width="9.140625" style="3"/>
    <col min="15350" max="15350" width="14.85546875" style="3" customWidth="1"/>
    <col min="15351" max="15351" width="52.28515625" style="3" bestFit="1" customWidth="1"/>
    <col min="15352" max="15352" width="7.7109375" style="3" customWidth="1"/>
    <col min="15353" max="15353" width="8" style="3" customWidth="1"/>
    <col min="15354" max="15354" width="8.85546875" style="3" customWidth="1"/>
    <col min="15355" max="15355" width="8.140625" style="3" customWidth="1"/>
    <col min="15356" max="15356" width="8.28515625" style="3" customWidth="1"/>
    <col min="15357" max="15357" width="10.42578125" style="3" customWidth="1"/>
    <col min="15358" max="15358" width="11" style="3" customWidth="1"/>
    <col min="15359" max="15359" width="27.28515625" style="3" customWidth="1"/>
    <col min="15360" max="15363" width="9.140625" style="3" customWidth="1"/>
    <col min="15364" max="15605" width="9.140625" style="3"/>
    <col min="15606" max="15606" width="14.85546875" style="3" customWidth="1"/>
    <col min="15607" max="15607" width="52.28515625" style="3" bestFit="1" customWidth="1"/>
    <col min="15608" max="15608" width="7.7109375" style="3" customWidth="1"/>
    <col min="15609" max="15609" width="8" style="3" customWidth="1"/>
    <col min="15610" max="15610" width="8.85546875" style="3" customWidth="1"/>
    <col min="15611" max="15611" width="8.140625" style="3" customWidth="1"/>
    <col min="15612" max="15612" width="8.28515625" style="3" customWidth="1"/>
    <col min="15613" max="15613" width="10.42578125" style="3" customWidth="1"/>
    <col min="15614" max="15614" width="11" style="3" customWidth="1"/>
    <col min="15615" max="15615" width="27.28515625" style="3" customWidth="1"/>
    <col min="15616" max="15619" width="9.140625" style="3" customWidth="1"/>
    <col min="15620" max="15861" width="9.140625" style="3"/>
    <col min="15862" max="15862" width="14.85546875" style="3" customWidth="1"/>
    <col min="15863" max="15863" width="52.28515625" style="3" bestFit="1" customWidth="1"/>
    <col min="15864" max="15864" width="7.7109375" style="3" customWidth="1"/>
    <col min="15865" max="15865" width="8" style="3" customWidth="1"/>
    <col min="15866" max="15866" width="8.85546875" style="3" customWidth="1"/>
    <col min="15867" max="15867" width="8.140625" style="3" customWidth="1"/>
    <col min="15868" max="15868" width="8.28515625" style="3" customWidth="1"/>
    <col min="15869" max="15869" width="10.42578125" style="3" customWidth="1"/>
    <col min="15870" max="15870" width="11" style="3" customWidth="1"/>
    <col min="15871" max="15871" width="27.28515625" style="3" customWidth="1"/>
    <col min="15872" max="15875" width="9.140625" style="3" customWidth="1"/>
    <col min="15876" max="16117" width="9.140625" style="3"/>
    <col min="16118" max="16118" width="14.85546875" style="3" customWidth="1"/>
    <col min="16119" max="16119" width="52.28515625" style="3" bestFit="1" customWidth="1"/>
    <col min="16120" max="16120" width="7.7109375" style="3" customWidth="1"/>
    <col min="16121" max="16121" width="8" style="3" customWidth="1"/>
    <col min="16122" max="16122" width="8.85546875" style="3" customWidth="1"/>
    <col min="16123" max="16123" width="8.140625" style="3" customWidth="1"/>
    <col min="16124" max="16124" width="8.28515625" style="3" customWidth="1"/>
    <col min="16125" max="16125" width="10.42578125" style="3" customWidth="1"/>
    <col min="16126" max="16126" width="11" style="3" customWidth="1"/>
    <col min="16127" max="16127" width="27.28515625" style="3" customWidth="1"/>
    <col min="16128" max="16131" width="9.140625" style="3" customWidth="1"/>
    <col min="16132" max="16384" width="9.140625" style="3"/>
  </cols>
  <sheetData>
    <row r="1" spans="1:16" ht="34.5" customHeight="1">
      <c r="A1" s="1522" t="s">
        <v>43</v>
      </c>
      <c r="B1" s="1522"/>
      <c r="C1" s="1522"/>
      <c r="D1" s="1522"/>
      <c r="E1" s="1522"/>
      <c r="F1" s="1522"/>
      <c r="G1" s="1522"/>
      <c r="H1" s="1522"/>
      <c r="I1" s="1522"/>
      <c r="J1" s="1522"/>
      <c r="K1" s="1522"/>
    </row>
    <row r="2" spans="1:16" ht="17.25">
      <c r="A2" s="1523" t="s">
        <v>84</v>
      </c>
      <c r="B2" s="1523"/>
      <c r="C2" s="1523"/>
      <c r="D2" s="1523"/>
      <c r="E2" s="1523"/>
      <c r="F2" s="1523"/>
      <c r="G2" s="1523"/>
      <c r="H2" s="1523"/>
      <c r="I2" s="1523"/>
      <c r="J2" s="1523"/>
      <c r="K2" s="1523"/>
    </row>
    <row r="3" spans="1:16" ht="17.25">
      <c r="A3" s="1524" t="str">
        <f>'MB BH'!A3:K3</f>
        <v>MEASUREMENT SHEET (RA-06)</v>
      </c>
      <c r="B3" s="1524"/>
      <c r="C3" s="1524"/>
      <c r="D3" s="1524"/>
      <c r="E3" s="1524"/>
      <c r="F3" s="1524"/>
      <c r="G3" s="1524"/>
      <c r="H3" s="1524"/>
      <c r="I3" s="1524"/>
      <c r="J3" s="1524"/>
      <c r="K3" s="1524"/>
    </row>
    <row r="4" spans="1:16" ht="17.25">
      <c r="A4" s="1525" t="s">
        <v>801</v>
      </c>
      <c r="B4" s="1525"/>
      <c r="C4" s="1525"/>
      <c r="D4" s="1525"/>
      <c r="E4" s="1525"/>
      <c r="F4" s="1525"/>
      <c r="G4" s="1525"/>
      <c r="H4" s="1525"/>
      <c r="I4" s="1525"/>
      <c r="J4" s="1525"/>
      <c r="K4" s="1525"/>
      <c r="L4" s="1060"/>
    </row>
    <row r="5" spans="1:16" s="9" customFormat="1" ht="33">
      <c r="A5" s="4" t="s">
        <v>45</v>
      </c>
      <c r="B5" s="4" t="s">
        <v>0</v>
      </c>
      <c r="C5" s="5" t="s">
        <v>41</v>
      </c>
      <c r="D5" s="642" t="s">
        <v>46</v>
      </c>
      <c r="E5" s="643" t="s">
        <v>47</v>
      </c>
      <c r="F5" s="644" t="s">
        <v>48</v>
      </c>
      <c r="G5" s="644" t="s">
        <v>33</v>
      </c>
      <c r="H5" s="644" t="s">
        <v>49</v>
      </c>
      <c r="I5" s="28" t="s">
        <v>50</v>
      </c>
      <c r="J5" s="6" t="s">
        <v>51</v>
      </c>
      <c r="K5" s="7" t="s">
        <v>14</v>
      </c>
      <c r="L5" s="8"/>
      <c r="M5" s="8"/>
      <c r="N5" s="8"/>
      <c r="O5" s="8"/>
      <c r="P5" s="8"/>
    </row>
    <row r="6" spans="1:16">
      <c r="A6" s="316">
        <v>2</v>
      </c>
      <c r="B6" s="11" t="s">
        <v>97</v>
      </c>
      <c r="C6" s="38"/>
      <c r="D6" s="38"/>
      <c r="E6" s="645"/>
      <c r="F6" s="645"/>
      <c r="G6" s="645"/>
      <c r="H6" s="645"/>
      <c r="I6" s="13"/>
      <c r="J6" s="24"/>
      <c r="K6" s="14"/>
    </row>
    <row r="7" spans="1:16" s="165" customFormat="1" ht="34.5" outlineLevel="1">
      <c r="A7" s="160"/>
      <c r="B7" s="312" t="s">
        <v>323</v>
      </c>
      <c r="C7" s="313"/>
      <c r="D7" s="323"/>
      <c r="E7" s="304"/>
      <c r="F7" s="304"/>
      <c r="G7" s="304"/>
      <c r="H7" s="304"/>
      <c r="I7" s="294"/>
      <c r="J7" s="162"/>
      <c r="K7" s="163"/>
      <c r="L7" s="164"/>
      <c r="M7" s="164"/>
      <c r="N7" s="164"/>
      <c r="O7" s="164"/>
      <c r="P7" s="164"/>
    </row>
    <row r="8" spans="1:16" s="165" customFormat="1" ht="17.25" outlineLevel="1">
      <c r="A8" s="160"/>
      <c r="B8" s="313" t="s">
        <v>767</v>
      </c>
      <c r="C8" s="313" t="s">
        <v>2</v>
      </c>
      <c r="D8" s="368"/>
      <c r="E8" s="298"/>
      <c r="F8" s="298"/>
      <c r="G8" s="298"/>
      <c r="H8" s="298"/>
      <c r="I8" s="294"/>
      <c r="J8" s="162"/>
      <c r="K8" s="163"/>
      <c r="L8" s="164"/>
      <c r="M8" s="164"/>
      <c r="N8" s="164"/>
      <c r="O8" s="164"/>
      <c r="P8" s="164"/>
    </row>
    <row r="9" spans="1:16" s="165" customFormat="1" ht="69" outlineLevel="1">
      <c r="A9" s="160"/>
      <c r="B9" s="312" t="s">
        <v>768</v>
      </c>
      <c r="C9" s="313" t="s">
        <v>2</v>
      </c>
      <c r="D9" s="368"/>
      <c r="E9" s="298"/>
      <c r="F9" s="304" t="s">
        <v>624</v>
      </c>
      <c r="G9" s="298"/>
      <c r="H9" s="298"/>
      <c r="I9" s="294"/>
      <c r="J9" s="162"/>
      <c r="K9" s="163"/>
      <c r="L9" s="164"/>
      <c r="M9" s="164"/>
      <c r="N9" s="164"/>
      <c r="O9" s="164"/>
      <c r="P9" s="164"/>
    </row>
    <row r="10" spans="1:16" s="165" customFormat="1" ht="17.25" outlineLevel="1">
      <c r="A10" s="160"/>
      <c r="B10" s="313" t="s">
        <v>769</v>
      </c>
      <c r="C10" s="313" t="s">
        <v>2</v>
      </c>
      <c r="D10" s="368">
        <v>1</v>
      </c>
      <c r="E10" s="298">
        <v>1</v>
      </c>
      <c r="F10" s="298">
        <f>3.14*4.3^2</f>
        <v>58.058599999999998</v>
      </c>
      <c r="G10" s="298"/>
      <c r="H10" s="298">
        <v>0.2</v>
      </c>
      <c r="I10" s="399">
        <f t="shared" ref="I10:I70" si="0">IF(D10&lt;&gt;0,ROUND(PRODUCT(E10:H10)*D10,2),"")</f>
        <v>11.61</v>
      </c>
      <c r="J10" s="162"/>
      <c r="K10" s="163"/>
      <c r="L10" s="164"/>
      <c r="M10" s="164"/>
      <c r="N10" s="164"/>
      <c r="O10" s="164"/>
      <c r="P10" s="164"/>
    </row>
    <row r="11" spans="1:16" s="165" customFormat="1" ht="17.25" outlineLevel="1">
      <c r="A11" s="160"/>
      <c r="B11" s="313" t="s">
        <v>770</v>
      </c>
      <c r="C11" s="313" t="s">
        <v>2</v>
      </c>
      <c r="D11" s="368">
        <v>-1</v>
      </c>
      <c r="E11" s="298">
        <v>1</v>
      </c>
      <c r="F11" s="298">
        <f>3.14*2.6^2</f>
        <v>21.226400000000002</v>
      </c>
      <c r="G11" s="298"/>
      <c r="H11" s="298">
        <v>0.2</v>
      </c>
      <c r="I11" s="399">
        <f t="shared" si="0"/>
        <v>-4.25</v>
      </c>
      <c r="J11" s="162"/>
      <c r="K11" s="163"/>
      <c r="L11" s="164"/>
      <c r="M11" s="164"/>
      <c r="N11" s="164"/>
      <c r="O11" s="164"/>
      <c r="P11" s="164"/>
    </row>
    <row r="12" spans="1:16" s="165" customFormat="1" ht="17.25" outlineLevel="1">
      <c r="A12" s="160"/>
      <c r="B12" s="313" t="s">
        <v>678</v>
      </c>
      <c r="C12" s="313" t="s">
        <v>2</v>
      </c>
      <c r="D12" s="368">
        <v>1</v>
      </c>
      <c r="E12" s="298">
        <v>1</v>
      </c>
      <c r="F12" s="329">
        <v>22.68</v>
      </c>
      <c r="G12" s="298">
        <v>0.23</v>
      </c>
      <c r="H12" s="298">
        <f>0.75+0.45-0.15-0.1-0.2-0.055-0.15</f>
        <v>0.54499999999999993</v>
      </c>
      <c r="I12" s="399">
        <f t="shared" si="0"/>
        <v>2.84</v>
      </c>
      <c r="J12" s="162"/>
      <c r="K12" s="163"/>
      <c r="L12" s="164"/>
      <c r="M12" s="164"/>
      <c r="N12" s="164"/>
      <c r="O12" s="164"/>
      <c r="P12" s="164"/>
    </row>
    <row r="13" spans="1:16" s="165" customFormat="1" ht="17.25" outlineLevel="1">
      <c r="A13" s="160"/>
      <c r="B13" s="313" t="s">
        <v>679</v>
      </c>
      <c r="C13" s="313" t="s">
        <v>2</v>
      </c>
      <c r="D13" s="368">
        <v>1</v>
      </c>
      <c r="E13" s="298">
        <v>1</v>
      </c>
      <c r="F13" s="329">
        <v>23.216000000000001</v>
      </c>
      <c r="G13" s="298">
        <v>0.39</v>
      </c>
      <c r="H13" s="298">
        <v>0.15</v>
      </c>
      <c r="I13" s="399">
        <f t="shared" si="0"/>
        <v>1.36</v>
      </c>
      <c r="J13" s="162"/>
      <c r="K13" s="163"/>
      <c r="L13" s="164"/>
      <c r="M13" s="164"/>
      <c r="N13" s="164"/>
      <c r="O13" s="164"/>
      <c r="P13" s="164"/>
    </row>
    <row r="14" spans="1:16" s="165" customFormat="1" ht="17.25" outlineLevel="1">
      <c r="A14" s="160"/>
      <c r="B14" s="313"/>
      <c r="C14" s="313" t="s">
        <v>2</v>
      </c>
      <c r="D14" s="368"/>
      <c r="E14" s="298"/>
      <c r="F14" s="298"/>
      <c r="G14" s="298"/>
      <c r="H14" s="298"/>
      <c r="I14" s="399" t="str">
        <f t="shared" si="0"/>
        <v/>
      </c>
      <c r="J14" s="162"/>
      <c r="K14" s="163"/>
      <c r="L14" s="164"/>
      <c r="M14" s="164"/>
      <c r="N14" s="164"/>
      <c r="O14" s="164"/>
      <c r="P14" s="164"/>
    </row>
    <row r="15" spans="1:16" s="165" customFormat="1" ht="34.5" outlineLevel="1">
      <c r="A15" s="160"/>
      <c r="B15" s="312" t="s">
        <v>772</v>
      </c>
      <c r="C15" s="313" t="s">
        <v>2</v>
      </c>
      <c r="D15" s="368"/>
      <c r="E15" s="298"/>
      <c r="F15" s="298"/>
      <c r="G15" s="298"/>
      <c r="H15" s="298"/>
      <c r="I15" s="399" t="str">
        <f t="shared" si="0"/>
        <v/>
      </c>
      <c r="J15" s="162"/>
      <c r="K15" s="163"/>
      <c r="L15" s="164"/>
      <c r="M15" s="164"/>
      <c r="N15" s="164"/>
      <c r="O15" s="164"/>
      <c r="P15" s="164"/>
    </row>
    <row r="16" spans="1:16" s="165" customFormat="1" ht="17.25" outlineLevel="1">
      <c r="A16" s="160"/>
      <c r="B16" s="313" t="s">
        <v>735</v>
      </c>
      <c r="C16" s="313" t="s">
        <v>2</v>
      </c>
      <c r="D16" s="368">
        <v>1</v>
      </c>
      <c r="E16" s="298">
        <v>1</v>
      </c>
      <c r="F16" s="298">
        <f>3.14*3</f>
        <v>9.42</v>
      </c>
      <c r="G16" s="298">
        <v>0.23</v>
      </c>
      <c r="H16" s="298">
        <v>0.2</v>
      </c>
      <c r="I16" s="399">
        <f t="shared" si="0"/>
        <v>0.43</v>
      </c>
      <c r="J16" s="162"/>
      <c r="K16" s="163"/>
      <c r="L16" s="164"/>
      <c r="M16" s="164"/>
      <c r="N16" s="164"/>
      <c r="O16" s="164"/>
      <c r="P16" s="164"/>
    </row>
    <row r="17" spans="1:16" s="165" customFormat="1" ht="17.25" outlineLevel="1">
      <c r="A17" s="160"/>
      <c r="B17" s="313" t="s">
        <v>736</v>
      </c>
      <c r="C17" s="313" t="s">
        <v>2</v>
      </c>
      <c r="D17" s="368">
        <v>1</v>
      </c>
      <c r="E17" s="298">
        <v>1</v>
      </c>
      <c r="F17" s="298">
        <f>3.14*3</f>
        <v>9.42</v>
      </c>
      <c r="G17" s="298">
        <v>0.23</v>
      </c>
      <c r="H17" s="298">
        <v>0.2</v>
      </c>
      <c r="I17" s="399">
        <f t="shared" si="0"/>
        <v>0.43</v>
      </c>
      <c r="J17" s="162"/>
      <c r="K17" s="163"/>
      <c r="L17" s="164"/>
      <c r="M17" s="164"/>
      <c r="N17" s="164"/>
      <c r="O17" s="164"/>
      <c r="P17" s="164"/>
    </row>
    <row r="18" spans="1:16" s="165" customFormat="1" ht="17.25" outlineLevel="1">
      <c r="A18" s="160"/>
      <c r="B18" s="313" t="s">
        <v>737</v>
      </c>
      <c r="C18" s="313" t="s">
        <v>2</v>
      </c>
      <c r="D18" s="368">
        <v>1</v>
      </c>
      <c r="E18" s="298">
        <v>1</v>
      </c>
      <c r="F18" s="298">
        <f>3.14*3.7</f>
        <v>11.618</v>
      </c>
      <c r="G18" s="298">
        <v>0.23</v>
      </c>
      <c r="H18" s="298">
        <v>0.2</v>
      </c>
      <c r="I18" s="399">
        <f t="shared" si="0"/>
        <v>0.53</v>
      </c>
      <c r="J18" s="162"/>
      <c r="K18" s="163"/>
      <c r="L18" s="164"/>
      <c r="M18" s="164"/>
      <c r="N18" s="164"/>
      <c r="O18" s="164"/>
      <c r="P18" s="164"/>
    </row>
    <row r="19" spans="1:16" s="165" customFormat="1" ht="17.25" outlineLevel="1">
      <c r="A19" s="160"/>
      <c r="B19" s="313" t="s">
        <v>738</v>
      </c>
      <c r="C19" s="313" t="s">
        <v>2</v>
      </c>
      <c r="D19" s="368">
        <v>1</v>
      </c>
      <c r="E19" s="298">
        <v>1</v>
      </c>
      <c r="F19" s="298">
        <f>3.14*3</f>
        <v>9.42</v>
      </c>
      <c r="G19" s="298">
        <v>0.23</v>
      </c>
      <c r="H19" s="298">
        <v>0.2</v>
      </c>
      <c r="I19" s="399">
        <f t="shared" si="0"/>
        <v>0.43</v>
      </c>
      <c r="J19" s="162"/>
      <c r="K19" s="163"/>
      <c r="L19" s="164"/>
      <c r="M19" s="164"/>
      <c r="N19" s="164"/>
      <c r="O19" s="164"/>
      <c r="P19" s="164"/>
    </row>
    <row r="20" spans="1:16" s="165" customFormat="1" ht="17.25" outlineLevel="1">
      <c r="A20" s="160"/>
      <c r="B20" s="313" t="s">
        <v>739</v>
      </c>
      <c r="C20" s="313" t="s">
        <v>2</v>
      </c>
      <c r="D20" s="368">
        <v>1</v>
      </c>
      <c r="E20" s="298">
        <v>1</v>
      </c>
      <c r="F20" s="298">
        <v>8.5660000000000007</v>
      </c>
      <c r="G20" s="298">
        <v>0.23</v>
      </c>
      <c r="H20" s="298">
        <v>0.2</v>
      </c>
      <c r="I20" s="399">
        <f t="shared" si="0"/>
        <v>0.39</v>
      </c>
      <c r="J20" s="162"/>
      <c r="K20" s="163"/>
      <c r="L20" s="164"/>
      <c r="M20" s="164"/>
      <c r="N20" s="164"/>
      <c r="O20" s="164"/>
      <c r="P20" s="164"/>
    </row>
    <row r="21" spans="1:16" s="165" customFormat="1" ht="17.25" outlineLevel="1">
      <c r="A21" s="160"/>
      <c r="B21" s="313" t="s">
        <v>740</v>
      </c>
      <c r="C21" s="313" t="s">
        <v>2</v>
      </c>
      <c r="D21" s="368">
        <v>1</v>
      </c>
      <c r="E21" s="298">
        <v>1</v>
      </c>
      <c r="F21" s="298">
        <f>3.14*2.7</f>
        <v>8.4780000000000015</v>
      </c>
      <c r="G21" s="298">
        <v>0.23</v>
      </c>
      <c r="H21" s="298">
        <v>0.2</v>
      </c>
      <c r="I21" s="399">
        <f t="shared" si="0"/>
        <v>0.39</v>
      </c>
      <c r="J21" s="162"/>
      <c r="K21" s="163"/>
      <c r="L21" s="164"/>
      <c r="M21" s="164"/>
      <c r="N21" s="164"/>
      <c r="O21" s="164"/>
      <c r="P21" s="164"/>
    </row>
    <row r="22" spans="1:16" s="165" customFormat="1" ht="17.25" outlineLevel="1">
      <c r="A22" s="160"/>
      <c r="B22" s="313" t="s">
        <v>741</v>
      </c>
      <c r="C22" s="313" t="s">
        <v>2</v>
      </c>
      <c r="D22" s="368">
        <v>1</v>
      </c>
      <c r="E22" s="298">
        <v>1</v>
      </c>
      <c r="F22" s="298">
        <f t="shared" ref="F22:F32" si="1">3.14*3</f>
        <v>9.42</v>
      </c>
      <c r="G22" s="298">
        <v>0.23</v>
      </c>
      <c r="H22" s="298">
        <v>0.2</v>
      </c>
      <c r="I22" s="399">
        <f t="shared" si="0"/>
        <v>0.43</v>
      </c>
      <c r="J22" s="162"/>
      <c r="K22" s="163"/>
      <c r="L22" s="164"/>
      <c r="M22" s="164"/>
      <c r="N22" s="164"/>
      <c r="O22" s="164"/>
      <c r="P22" s="164"/>
    </row>
    <row r="23" spans="1:16" s="165" customFormat="1" ht="17.25" outlineLevel="1">
      <c r="A23" s="160"/>
      <c r="B23" s="313" t="s">
        <v>742</v>
      </c>
      <c r="C23" s="313" t="s">
        <v>2</v>
      </c>
      <c r="D23" s="368">
        <v>1</v>
      </c>
      <c r="E23" s="298">
        <v>1</v>
      </c>
      <c r="F23" s="298">
        <f t="shared" si="1"/>
        <v>9.42</v>
      </c>
      <c r="G23" s="298">
        <v>0.23</v>
      </c>
      <c r="H23" s="298">
        <v>0.2</v>
      </c>
      <c r="I23" s="399">
        <f t="shared" si="0"/>
        <v>0.43</v>
      </c>
      <c r="J23" s="162"/>
      <c r="K23" s="163"/>
      <c r="L23" s="164"/>
      <c r="M23" s="164"/>
      <c r="N23" s="164"/>
      <c r="O23" s="164"/>
      <c r="P23" s="164"/>
    </row>
    <row r="24" spans="1:16" s="165" customFormat="1" ht="17.25" outlineLevel="1">
      <c r="A24" s="160"/>
      <c r="B24" s="313" t="s">
        <v>743</v>
      </c>
      <c r="C24" s="313" t="s">
        <v>2</v>
      </c>
      <c r="D24" s="368">
        <v>1</v>
      </c>
      <c r="E24" s="298">
        <v>1</v>
      </c>
      <c r="F24" s="298">
        <f t="shared" si="1"/>
        <v>9.42</v>
      </c>
      <c r="G24" s="298">
        <v>0.23</v>
      </c>
      <c r="H24" s="298">
        <v>0.2</v>
      </c>
      <c r="I24" s="399">
        <f t="shared" si="0"/>
        <v>0.43</v>
      </c>
      <c r="J24" s="162"/>
      <c r="K24" s="163"/>
      <c r="L24" s="164"/>
      <c r="M24" s="164"/>
      <c r="N24" s="164"/>
      <c r="O24" s="164"/>
      <c r="P24" s="164"/>
    </row>
    <row r="25" spans="1:16" s="165" customFormat="1" ht="17.25" outlineLevel="1">
      <c r="A25" s="160"/>
      <c r="B25" s="313" t="s">
        <v>744</v>
      </c>
      <c r="C25" s="313" t="s">
        <v>2</v>
      </c>
      <c r="D25" s="368">
        <v>1</v>
      </c>
      <c r="E25" s="298">
        <v>1</v>
      </c>
      <c r="F25" s="298">
        <f t="shared" si="1"/>
        <v>9.42</v>
      </c>
      <c r="G25" s="298">
        <v>0.23</v>
      </c>
      <c r="H25" s="298">
        <v>0.2</v>
      </c>
      <c r="I25" s="399">
        <f t="shared" si="0"/>
        <v>0.43</v>
      </c>
      <c r="J25" s="162"/>
      <c r="K25" s="163"/>
      <c r="L25" s="164"/>
      <c r="M25" s="164"/>
      <c r="N25" s="164"/>
      <c r="O25" s="164"/>
      <c r="P25" s="164"/>
    </row>
    <row r="26" spans="1:16" s="165" customFormat="1" ht="17.25" outlineLevel="1">
      <c r="A26" s="160"/>
      <c r="B26" s="313" t="s">
        <v>745</v>
      </c>
      <c r="C26" s="313" t="s">
        <v>2</v>
      </c>
      <c r="D26" s="368">
        <v>1</v>
      </c>
      <c r="E26" s="298">
        <v>1</v>
      </c>
      <c r="F26" s="298">
        <f t="shared" si="1"/>
        <v>9.42</v>
      </c>
      <c r="G26" s="298">
        <v>0.23</v>
      </c>
      <c r="H26" s="298">
        <v>0.2</v>
      </c>
      <c r="I26" s="399">
        <f t="shared" si="0"/>
        <v>0.43</v>
      </c>
      <c r="J26" s="162"/>
      <c r="K26" s="163"/>
      <c r="L26" s="164"/>
      <c r="M26" s="164"/>
      <c r="N26" s="164"/>
      <c r="O26" s="164"/>
      <c r="P26" s="164"/>
    </row>
    <row r="27" spans="1:16" s="165" customFormat="1" ht="17.25" outlineLevel="1">
      <c r="A27" s="160"/>
      <c r="B27" s="313" t="s">
        <v>746</v>
      </c>
      <c r="C27" s="313" t="s">
        <v>2</v>
      </c>
      <c r="D27" s="368">
        <v>1</v>
      </c>
      <c r="E27" s="298">
        <v>1</v>
      </c>
      <c r="F27" s="298">
        <f t="shared" si="1"/>
        <v>9.42</v>
      </c>
      <c r="G27" s="298">
        <v>0.23</v>
      </c>
      <c r="H27" s="298">
        <v>0.2</v>
      </c>
      <c r="I27" s="399">
        <f t="shared" si="0"/>
        <v>0.43</v>
      </c>
      <c r="J27" s="162"/>
      <c r="K27" s="163"/>
      <c r="L27" s="164"/>
      <c r="M27" s="164"/>
      <c r="N27" s="164"/>
      <c r="O27" s="164"/>
      <c r="P27" s="164"/>
    </row>
    <row r="28" spans="1:16" s="165" customFormat="1" ht="17.25" outlineLevel="1">
      <c r="A28" s="160"/>
      <c r="B28" s="313" t="s">
        <v>747</v>
      </c>
      <c r="C28" s="313" t="s">
        <v>2</v>
      </c>
      <c r="D28" s="368">
        <v>1</v>
      </c>
      <c r="E28" s="298">
        <v>1</v>
      </c>
      <c r="F28" s="298">
        <f t="shared" si="1"/>
        <v>9.42</v>
      </c>
      <c r="G28" s="298">
        <v>0.23</v>
      </c>
      <c r="H28" s="298">
        <v>0.2</v>
      </c>
      <c r="I28" s="399">
        <f t="shared" si="0"/>
        <v>0.43</v>
      </c>
      <c r="J28" s="162"/>
      <c r="K28" s="163"/>
      <c r="L28" s="164"/>
      <c r="M28" s="164"/>
      <c r="N28" s="164"/>
      <c r="O28" s="164"/>
      <c r="P28" s="164"/>
    </row>
    <row r="29" spans="1:16" s="165" customFormat="1" ht="17.25" outlineLevel="1">
      <c r="A29" s="160"/>
      <c r="B29" s="313" t="s">
        <v>748</v>
      </c>
      <c r="C29" s="313" t="s">
        <v>2</v>
      </c>
      <c r="D29" s="368">
        <v>1</v>
      </c>
      <c r="E29" s="298">
        <v>1</v>
      </c>
      <c r="F29" s="298">
        <f t="shared" si="1"/>
        <v>9.42</v>
      </c>
      <c r="G29" s="298">
        <v>0.23</v>
      </c>
      <c r="H29" s="298">
        <v>0.2</v>
      </c>
      <c r="I29" s="399">
        <f t="shared" si="0"/>
        <v>0.43</v>
      </c>
      <c r="J29" s="162"/>
      <c r="K29" s="163"/>
      <c r="L29" s="164"/>
      <c r="M29" s="164"/>
      <c r="N29" s="164"/>
      <c r="O29" s="164"/>
      <c r="P29" s="164"/>
    </row>
    <row r="30" spans="1:16" s="345" customFormat="1" ht="17.25" outlineLevel="1">
      <c r="A30" s="353"/>
      <c r="B30" s="344" t="s">
        <v>749</v>
      </c>
      <c r="C30" s="344" t="s">
        <v>2</v>
      </c>
      <c r="D30" s="658">
        <f>1*0</f>
        <v>0</v>
      </c>
      <c r="E30" s="337">
        <v>1</v>
      </c>
      <c r="F30" s="337">
        <f t="shared" si="1"/>
        <v>9.42</v>
      </c>
      <c r="G30" s="337">
        <v>0.46</v>
      </c>
      <c r="H30" s="337">
        <v>0.3</v>
      </c>
      <c r="I30" s="399" t="str">
        <f t="shared" si="0"/>
        <v/>
      </c>
      <c r="J30" s="339"/>
      <c r="K30" s="354"/>
      <c r="L30" s="355"/>
      <c r="M30" s="355"/>
      <c r="N30" s="355"/>
      <c r="O30" s="355"/>
      <c r="P30" s="355"/>
    </row>
    <row r="31" spans="1:16" s="345" customFormat="1" ht="17.25" outlineLevel="1">
      <c r="A31" s="353"/>
      <c r="B31" s="344"/>
      <c r="C31" s="344" t="s">
        <v>2</v>
      </c>
      <c r="D31" s="658">
        <f t="shared" ref="D31:D32" si="2">1*0</f>
        <v>0</v>
      </c>
      <c r="E31" s="337">
        <v>1</v>
      </c>
      <c r="F31" s="337">
        <f t="shared" si="1"/>
        <v>9.42</v>
      </c>
      <c r="G31" s="337">
        <v>0.34499999999999997</v>
      </c>
      <c r="H31" s="337">
        <v>0.3</v>
      </c>
      <c r="I31" s="399" t="str">
        <f t="shared" si="0"/>
        <v/>
      </c>
      <c r="J31" s="339"/>
      <c r="K31" s="354"/>
      <c r="L31" s="355"/>
      <c r="M31" s="355"/>
      <c r="N31" s="355"/>
      <c r="O31" s="355"/>
      <c r="P31" s="355"/>
    </row>
    <row r="32" spans="1:16" s="345" customFormat="1" ht="17.25" outlineLevel="1">
      <c r="A32" s="353"/>
      <c r="B32" s="344"/>
      <c r="C32" s="344" t="s">
        <v>2</v>
      </c>
      <c r="D32" s="658">
        <f t="shared" si="2"/>
        <v>0</v>
      </c>
      <c r="E32" s="337">
        <v>1</v>
      </c>
      <c r="F32" s="337">
        <f t="shared" si="1"/>
        <v>9.42</v>
      </c>
      <c r="G32" s="337">
        <v>0.23</v>
      </c>
      <c r="H32" s="337">
        <f>1.2-0.15-0.3-0.3-0.06-0.2</f>
        <v>0.19</v>
      </c>
      <c r="I32" s="399" t="str">
        <f t="shared" si="0"/>
        <v/>
      </c>
      <c r="J32" s="339"/>
      <c r="K32" s="354"/>
      <c r="L32" s="355"/>
      <c r="M32" s="355"/>
      <c r="N32" s="355"/>
      <c r="O32" s="355"/>
      <c r="P32" s="355"/>
    </row>
    <row r="33" spans="1:16" s="165" customFormat="1" ht="17.25" outlineLevel="1">
      <c r="A33" s="160"/>
      <c r="B33" s="313"/>
      <c r="C33" s="313" t="s">
        <v>2</v>
      </c>
      <c r="D33" s="368"/>
      <c r="E33" s="298"/>
      <c r="F33" s="298"/>
      <c r="G33" s="298"/>
      <c r="H33" s="298"/>
      <c r="I33" s="399" t="str">
        <f t="shared" si="0"/>
        <v/>
      </c>
      <c r="J33" s="162"/>
      <c r="K33" s="163"/>
      <c r="L33" s="164"/>
      <c r="M33" s="164"/>
      <c r="N33" s="164"/>
      <c r="O33" s="164"/>
      <c r="P33" s="164"/>
    </row>
    <row r="34" spans="1:16" s="345" customFormat="1" ht="17.25" outlineLevel="1">
      <c r="A34" s="353"/>
      <c r="B34" s="344" t="s">
        <v>750</v>
      </c>
      <c r="C34" s="344" t="s">
        <v>2</v>
      </c>
      <c r="D34" s="658">
        <f t="shared" ref="D34:D36" si="3">1*0</f>
        <v>0</v>
      </c>
      <c r="E34" s="337">
        <v>1</v>
      </c>
      <c r="F34" s="337">
        <f>3.14*3</f>
        <v>9.42</v>
      </c>
      <c r="G34" s="337">
        <v>0.46</v>
      </c>
      <c r="H34" s="337">
        <v>0.3</v>
      </c>
      <c r="I34" s="399" t="str">
        <f t="shared" si="0"/>
        <v/>
      </c>
      <c r="J34" s="339"/>
      <c r="K34" s="354"/>
      <c r="L34" s="355"/>
      <c r="M34" s="355"/>
      <c r="N34" s="355"/>
      <c r="O34" s="355"/>
      <c r="P34" s="355"/>
    </row>
    <row r="35" spans="1:16" s="345" customFormat="1" ht="17.25" outlineLevel="1">
      <c r="A35" s="353"/>
      <c r="B35" s="344"/>
      <c r="C35" s="344" t="s">
        <v>2</v>
      </c>
      <c r="D35" s="658">
        <f t="shared" si="3"/>
        <v>0</v>
      </c>
      <c r="E35" s="337">
        <v>1</v>
      </c>
      <c r="F35" s="337">
        <f>3.14*3</f>
        <v>9.42</v>
      </c>
      <c r="G35" s="337">
        <v>0.34499999999999997</v>
      </c>
      <c r="H35" s="337">
        <v>0.3</v>
      </c>
      <c r="I35" s="399" t="str">
        <f t="shared" si="0"/>
        <v/>
      </c>
      <c r="J35" s="339"/>
      <c r="K35" s="354"/>
      <c r="L35" s="355"/>
      <c r="M35" s="355"/>
      <c r="N35" s="355"/>
      <c r="O35" s="355"/>
      <c r="P35" s="355"/>
    </row>
    <row r="36" spans="1:16" s="345" customFormat="1" ht="17.25" outlineLevel="1">
      <c r="A36" s="353"/>
      <c r="B36" s="344"/>
      <c r="C36" s="344" t="s">
        <v>2</v>
      </c>
      <c r="D36" s="658">
        <f t="shared" si="3"/>
        <v>0</v>
      </c>
      <c r="E36" s="337">
        <v>1</v>
      </c>
      <c r="F36" s="337">
        <f>3.14*3</f>
        <v>9.42</v>
      </c>
      <c r="G36" s="337">
        <v>0.23</v>
      </c>
      <c r="H36" s="337">
        <f>1.2-0.15-0.3-0.3-0.06-0.2</f>
        <v>0.19</v>
      </c>
      <c r="I36" s="399" t="str">
        <f t="shared" si="0"/>
        <v/>
      </c>
      <c r="J36" s="339"/>
      <c r="K36" s="354"/>
      <c r="L36" s="355"/>
      <c r="M36" s="355"/>
      <c r="N36" s="355"/>
      <c r="O36" s="355"/>
      <c r="P36" s="355"/>
    </row>
    <row r="37" spans="1:16" s="345" customFormat="1" ht="17.25" outlineLevel="1">
      <c r="A37" s="353"/>
      <c r="B37" s="344"/>
      <c r="C37" s="344" t="s">
        <v>2</v>
      </c>
      <c r="D37" s="658"/>
      <c r="E37" s="337"/>
      <c r="F37" s="337"/>
      <c r="G37" s="337"/>
      <c r="H37" s="337"/>
      <c r="I37" s="399" t="str">
        <f t="shared" si="0"/>
        <v/>
      </c>
      <c r="J37" s="339"/>
      <c r="K37" s="354"/>
      <c r="L37" s="355"/>
      <c r="M37" s="355"/>
      <c r="N37" s="355"/>
      <c r="O37" s="355"/>
      <c r="P37" s="355"/>
    </row>
    <row r="38" spans="1:16" s="345" customFormat="1" ht="17.25" outlineLevel="1">
      <c r="A38" s="353"/>
      <c r="B38" s="344" t="s">
        <v>751</v>
      </c>
      <c r="C38" s="344" t="s">
        <v>2</v>
      </c>
      <c r="D38" s="658">
        <f t="shared" ref="D38:D40" si="4">1*0</f>
        <v>0</v>
      </c>
      <c r="E38" s="337">
        <v>1</v>
      </c>
      <c r="F38" s="337">
        <f>3.14*3</f>
        <v>9.42</v>
      </c>
      <c r="G38" s="337">
        <v>0.46</v>
      </c>
      <c r="H38" s="337">
        <v>0.3</v>
      </c>
      <c r="I38" s="399" t="str">
        <f t="shared" si="0"/>
        <v/>
      </c>
      <c r="J38" s="339"/>
      <c r="K38" s="354"/>
      <c r="L38" s="355"/>
      <c r="M38" s="355"/>
      <c r="N38" s="355"/>
      <c r="O38" s="355"/>
      <c r="P38" s="355"/>
    </row>
    <row r="39" spans="1:16" s="345" customFormat="1" ht="17.25" outlineLevel="1">
      <c r="A39" s="353"/>
      <c r="B39" s="344"/>
      <c r="C39" s="344" t="s">
        <v>2</v>
      </c>
      <c r="D39" s="658">
        <f t="shared" si="4"/>
        <v>0</v>
      </c>
      <c r="E39" s="337">
        <v>1</v>
      </c>
      <c r="F39" s="337">
        <f>3.14*3</f>
        <v>9.42</v>
      </c>
      <c r="G39" s="337">
        <v>0.34499999999999997</v>
      </c>
      <c r="H39" s="337">
        <v>0.3</v>
      </c>
      <c r="I39" s="399" t="str">
        <f t="shared" si="0"/>
        <v/>
      </c>
      <c r="J39" s="339"/>
      <c r="K39" s="354"/>
      <c r="L39" s="355"/>
      <c r="M39" s="355"/>
      <c r="N39" s="355"/>
      <c r="O39" s="355"/>
      <c r="P39" s="355"/>
    </row>
    <row r="40" spans="1:16" s="345" customFormat="1" ht="17.25" outlineLevel="1">
      <c r="A40" s="353"/>
      <c r="B40" s="344"/>
      <c r="C40" s="344" t="s">
        <v>2</v>
      </c>
      <c r="D40" s="658">
        <f t="shared" si="4"/>
        <v>0</v>
      </c>
      <c r="E40" s="337">
        <v>1</v>
      </c>
      <c r="F40" s="337">
        <f>3.14*3</f>
        <v>9.42</v>
      </c>
      <c r="G40" s="337">
        <v>0.23</v>
      </c>
      <c r="H40" s="337">
        <f>1.2-0.15-0.3-0.3-0.06-0.2</f>
        <v>0.19</v>
      </c>
      <c r="I40" s="399" t="str">
        <f t="shared" si="0"/>
        <v/>
      </c>
      <c r="J40" s="339"/>
      <c r="K40" s="354"/>
      <c r="L40" s="355"/>
      <c r="M40" s="355"/>
      <c r="N40" s="355"/>
      <c r="O40" s="355"/>
      <c r="P40" s="355"/>
    </row>
    <row r="41" spans="1:16" s="345" customFormat="1" ht="17.25" outlineLevel="1">
      <c r="A41" s="353"/>
      <c r="B41" s="344"/>
      <c r="C41" s="344" t="s">
        <v>2</v>
      </c>
      <c r="D41" s="658"/>
      <c r="E41" s="337"/>
      <c r="F41" s="337"/>
      <c r="G41" s="337"/>
      <c r="H41" s="337"/>
      <c r="I41" s="399" t="str">
        <f t="shared" si="0"/>
        <v/>
      </c>
      <c r="J41" s="339"/>
      <c r="K41" s="354"/>
      <c r="L41" s="355"/>
      <c r="M41" s="355"/>
      <c r="N41" s="355"/>
      <c r="O41" s="355"/>
      <c r="P41" s="355"/>
    </row>
    <row r="42" spans="1:16" s="345" customFormat="1" ht="17.25" outlineLevel="1">
      <c r="A42" s="353"/>
      <c r="B42" s="344" t="s">
        <v>752</v>
      </c>
      <c r="C42" s="344" t="s">
        <v>2</v>
      </c>
      <c r="D42" s="658">
        <f t="shared" ref="D42:D44" si="5">1*0</f>
        <v>0</v>
      </c>
      <c r="E42" s="337">
        <v>1</v>
      </c>
      <c r="F42" s="337">
        <f>3.14*3</f>
        <v>9.42</v>
      </c>
      <c r="G42" s="337">
        <v>0.46</v>
      </c>
      <c r="H42" s="337">
        <v>0.3</v>
      </c>
      <c r="I42" s="399" t="str">
        <f t="shared" si="0"/>
        <v/>
      </c>
      <c r="J42" s="339"/>
      <c r="K42" s="354"/>
      <c r="L42" s="355"/>
      <c r="M42" s="355"/>
      <c r="N42" s="355"/>
      <c r="O42" s="355"/>
      <c r="P42" s="355"/>
    </row>
    <row r="43" spans="1:16" s="345" customFormat="1" ht="17.25" outlineLevel="1">
      <c r="A43" s="353"/>
      <c r="B43" s="344"/>
      <c r="C43" s="344" t="s">
        <v>2</v>
      </c>
      <c r="D43" s="658">
        <f t="shared" si="5"/>
        <v>0</v>
      </c>
      <c r="E43" s="337">
        <v>1</v>
      </c>
      <c r="F43" s="337">
        <f>3.14*3</f>
        <v>9.42</v>
      </c>
      <c r="G43" s="337">
        <v>0.34499999999999997</v>
      </c>
      <c r="H43" s="337">
        <v>0.3</v>
      </c>
      <c r="I43" s="399" t="str">
        <f t="shared" si="0"/>
        <v/>
      </c>
      <c r="J43" s="339"/>
      <c r="K43" s="354"/>
      <c r="L43" s="355"/>
      <c r="M43" s="355"/>
      <c r="N43" s="355"/>
      <c r="O43" s="355"/>
      <c r="P43" s="355"/>
    </row>
    <row r="44" spans="1:16" s="345" customFormat="1" ht="17.25" outlineLevel="1">
      <c r="A44" s="353"/>
      <c r="B44" s="344"/>
      <c r="C44" s="344" t="s">
        <v>2</v>
      </c>
      <c r="D44" s="658">
        <f t="shared" si="5"/>
        <v>0</v>
      </c>
      <c r="E44" s="337">
        <v>1</v>
      </c>
      <c r="F44" s="337">
        <f>3.14*3</f>
        <v>9.42</v>
      </c>
      <c r="G44" s="337">
        <v>0.23</v>
      </c>
      <c r="H44" s="337">
        <f>1.2-0.15-0.3-0.3-0.06-0.2</f>
        <v>0.19</v>
      </c>
      <c r="I44" s="399" t="str">
        <f t="shared" si="0"/>
        <v/>
      </c>
      <c r="J44" s="339"/>
      <c r="K44" s="354"/>
      <c r="L44" s="355"/>
      <c r="M44" s="355"/>
      <c r="N44" s="355"/>
      <c r="O44" s="355"/>
      <c r="P44" s="355"/>
    </row>
    <row r="45" spans="1:16" s="165" customFormat="1" ht="17.25" outlineLevel="1">
      <c r="A45" s="160"/>
      <c r="B45" s="313"/>
      <c r="C45" s="313" t="s">
        <v>2</v>
      </c>
      <c r="D45" s="368"/>
      <c r="E45" s="298"/>
      <c r="F45" s="298"/>
      <c r="G45" s="298"/>
      <c r="H45" s="298"/>
      <c r="I45" s="399" t="str">
        <f t="shared" si="0"/>
        <v/>
      </c>
      <c r="J45" s="162"/>
      <c r="K45" s="163"/>
      <c r="L45" s="164"/>
      <c r="M45" s="164"/>
      <c r="N45" s="164"/>
      <c r="O45" s="164"/>
      <c r="P45" s="164"/>
    </row>
    <row r="46" spans="1:16" s="165" customFormat="1" ht="34.5" outlineLevel="1">
      <c r="A46" s="160"/>
      <c r="B46" s="312" t="s">
        <v>771</v>
      </c>
      <c r="C46" s="313" t="s">
        <v>2</v>
      </c>
      <c r="D46" s="368"/>
      <c r="E46" s="298"/>
      <c r="F46" s="298"/>
      <c r="G46" s="298"/>
      <c r="H46" s="298"/>
      <c r="I46" s="399" t="str">
        <f t="shared" si="0"/>
        <v/>
      </c>
      <c r="J46" s="162"/>
      <c r="K46" s="163"/>
      <c r="L46" s="164"/>
      <c r="M46" s="164"/>
      <c r="N46" s="164"/>
      <c r="O46" s="164"/>
      <c r="P46" s="164"/>
    </row>
    <row r="47" spans="1:16" s="165" customFormat="1" ht="17.25" outlineLevel="1">
      <c r="A47" s="160"/>
      <c r="B47" s="313" t="s">
        <v>754</v>
      </c>
      <c r="C47" s="313" t="s">
        <v>2</v>
      </c>
      <c r="D47" s="368">
        <v>1</v>
      </c>
      <c r="E47" s="298">
        <v>1</v>
      </c>
      <c r="F47" s="329">
        <v>8.2149999999999999</v>
      </c>
      <c r="G47" s="298">
        <v>0.23</v>
      </c>
      <c r="H47" s="298">
        <v>0.2</v>
      </c>
      <c r="I47" s="399">
        <f t="shared" si="0"/>
        <v>0.38</v>
      </c>
      <c r="J47" s="162"/>
      <c r="K47" s="163"/>
      <c r="L47" s="164"/>
      <c r="M47" s="164"/>
      <c r="N47" s="164"/>
      <c r="O47" s="164"/>
      <c r="P47" s="164"/>
    </row>
    <row r="48" spans="1:16" s="165" customFormat="1" ht="17.25" outlineLevel="1">
      <c r="A48" s="160"/>
      <c r="B48" s="313"/>
      <c r="C48" s="313" t="s">
        <v>2</v>
      </c>
      <c r="D48" s="368">
        <v>1</v>
      </c>
      <c r="E48" s="298">
        <v>1</v>
      </c>
      <c r="F48" s="360">
        <f>(8.653+7.854)/2</f>
        <v>8.2535000000000007</v>
      </c>
      <c r="G48" s="298">
        <f>0.44-0.23</f>
        <v>0.21</v>
      </c>
      <c r="H48" s="298">
        <v>0.1</v>
      </c>
      <c r="I48" s="399">
        <f t="shared" si="0"/>
        <v>0.17</v>
      </c>
      <c r="J48" s="162"/>
      <c r="K48" s="163"/>
      <c r="L48" s="164"/>
      <c r="M48" s="164"/>
      <c r="N48" s="164"/>
      <c r="O48" s="164"/>
      <c r="P48" s="164"/>
    </row>
    <row r="49" spans="1:16" s="165" customFormat="1" ht="17.25" outlineLevel="1">
      <c r="A49" s="160"/>
      <c r="B49" s="313" t="s">
        <v>755</v>
      </c>
      <c r="C49" s="313" t="s">
        <v>2</v>
      </c>
      <c r="D49" s="368">
        <v>1</v>
      </c>
      <c r="E49" s="298">
        <v>1</v>
      </c>
      <c r="F49" s="329">
        <v>2.343</v>
      </c>
      <c r="G49" s="298">
        <v>0.23</v>
      </c>
      <c r="H49" s="298">
        <v>0.2</v>
      </c>
      <c r="I49" s="399">
        <f t="shared" si="0"/>
        <v>0.11</v>
      </c>
      <c r="J49" s="162"/>
      <c r="K49" s="163"/>
      <c r="L49" s="164"/>
      <c r="M49" s="164"/>
      <c r="N49" s="164"/>
      <c r="O49" s="164"/>
      <c r="P49" s="164"/>
    </row>
    <row r="50" spans="1:16" s="165" customFormat="1" ht="17.25" outlineLevel="1">
      <c r="A50" s="160"/>
      <c r="B50" s="313"/>
      <c r="C50" s="313" t="s">
        <v>2</v>
      </c>
      <c r="D50" s="368">
        <v>1</v>
      </c>
      <c r="E50" s="298">
        <v>1</v>
      </c>
      <c r="F50" s="329">
        <v>1.98</v>
      </c>
      <c r="G50" s="298">
        <f>0.44-0.23</f>
        <v>0.21</v>
      </c>
      <c r="H50" s="298">
        <v>0.1</v>
      </c>
      <c r="I50" s="399">
        <f t="shared" si="0"/>
        <v>0.04</v>
      </c>
      <c r="J50" s="162"/>
      <c r="K50" s="163"/>
      <c r="L50" s="164"/>
      <c r="M50" s="164"/>
      <c r="N50" s="164"/>
      <c r="O50" s="164"/>
      <c r="P50" s="164"/>
    </row>
    <row r="51" spans="1:16" s="165" customFormat="1" ht="17.25" outlineLevel="1">
      <c r="A51" s="160"/>
      <c r="B51" s="313" t="s">
        <v>756</v>
      </c>
      <c r="C51" s="313" t="s">
        <v>2</v>
      </c>
      <c r="D51" s="368">
        <v>1</v>
      </c>
      <c r="E51" s="298">
        <v>1</v>
      </c>
      <c r="F51" s="329">
        <v>5.1429999999999998</v>
      </c>
      <c r="G51" s="298">
        <v>0.23</v>
      </c>
      <c r="H51" s="298">
        <v>0.2</v>
      </c>
      <c r="I51" s="399">
        <f t="shared" si="0"/>
        <v>0.24</v>
      </c>
      <c r="J51" s="162"/>
      <c r="K51" s="163"/>
      <c r="L51" s="164"/>
      <c r="M51" s="164"/>
      <c r="N51" s="164"/>
      <c r="O51" s="164"/>
      <c r="P51" s="164"/>
    </row>
    <row r="52" spans="1:16" s="165" customFormat="1" ht="17.25" outlineLevel="1">
      <c r="A52" s="160"/>
      <c r="B52" s="313"/>
      <c r="C52" s="313" t="s">
        <v>2</v>
      </c>
      <c r="D52" s="368">
        <v>1</v>
      </c>
      <c r="E52" s="298">
        <v>1</v>
      </c>
      <c r="F52" s="329">
        <v>4.6950000000000003</v>
      </c>
      <c r="G52" s="298">
        <f>0.44-0.23</f>
        <v>0.21</v>
      </c>
      <c r="H52" s="298">
        <v>0.1</v>
      </c>
      <c r="I52" s="399">
        <f t="shared" si="0"/>
        <v>0.1</v>
      </c>
      <c r="J52" s="162"/>
      <c r="K52" s="163"/>
      <c r="L52" s="164"/>
      <c r="M52" s="164"/>
      <c r="N52" s="164"/>
      <c r="O52" s="164"/>
      <c r="P52" s="164"/>
    </row>
    <row r="53" spans="1:16" s="165" customFormat="1" ht="17.25" outlineLevel="1">
      <c r="A53" s="160"/>
      <c r="B53" s="370"/>
      <c r="C53" s="370"/>
      <c r="D53" s="368"/>
      <c r="E53" s="323"/>
      <c r="F53" s="323"/>
      <c r="G53" s="323"/>
      <c r="H53" s="323"/>
      <c r="I53" s="399" t="str">
        <f t="shared" si="0"/>
        <v/>
      </c>
      <c r="J53" s="162"/>
      <c r="K53" s="163"/>
      <c r="L53" s="164"/>
      <c r="M53" s="164"/>
      <c r="N53" s="164"/>
      <c r="O53" s="164"/>
      <c r="P53" s="164"/>
    </row>
    <row r="54" spans="1:16" s="165" customFormat="1" ht="34.5" outlineLevel="1">
      <c r="A54" s="538"/>
      <c r="B54" s="533" t="s">
        <v>772</v>
      </c>
      <c r="C54" s="388"/>
      <c r="D54" s="548"/>
      <c r="E54" s="307"/>
      <c r="F54" s="540"/>
      <c r="G54" s="540"/>
      <c r="H54" s="540"/>
      <c r="I54" s="399" t="str">
        <f t="shared" si="0"/>
        <v/>
      </c>
      <c r="J54" s="166"/>
      <c r="K54" s="166"/>
      <c r="L54" s="164"/>
      <c r="M54" s="164"/>
      <c r="N54" s="164"/>
      <c r="O54" s="164"/>
      <c r="P54" s="164"/>
    </row>
    <row r="55" spans="1:16" s="345" customFormat="1" ht="17.25" outlineLevel="1">
      <c r="A55" s="534"/>
      <c r="B55" s="313" t="s">
        <v>749</v>
      </c>
      <c r="C55" s="313" t="s">
        <v>2</v>
      </c>
      <c r="D55" s="368">
        <f>1</f>
        <v>1</v>
      </c>
      <c r="E55" s="298">
        <v>1</v>
      </c>
      <c r="F55" s="360">
        <f>3.14*3.23</f>
        <v>10.142200000000001</v>
      </c>
      <c r="G55" s="298">
        <v>0.23</v>
      </c>
      <c r="H55" s="298">
        <v>0.2</v>
      </c>
      <c r="I55" s="399">
        <f t="shared" si="0"/>
        <v>0.47</v>
      </c>
      <c r="J55" s="535"/>
      <c r="K55" s="536"/>
      <c r="L55" s="355"/>
      <c r="M55" s="355"/>
      <c r="N55" s="355"/>
      <c r="O55" s="355"/>
      <c r="P55" s="355"/>
    </row>
    <row r="56" spans="1:16" s="345" customFormat="1" ht="17.25" outlineLevel="1">
      <c r="A56" s="534"/>
      <c r="B56" s="313" t="s">
        <v>750</v>
      </c>
      <c r="C56" s="313" t="s">
        <v>2</v>
      </c>
      <c r="D56" s="368">
        <f>1</f>
        <v>1</v>
      </c>
      <c r="E56" s="298">
        <v>1</v>
      </c>
      <c r="F56" s="360">
        <f>3.14*3.23</f>
        <v>10.142200000000001</v>
      </c>
      <c r="G56" s="298">
        <v>0.23</v>
      </c>
      <c r="H56" s="298">
        <v>0.2</v>
      </c>
      <c r="I56" s="399">
        <f t="shared" si="0"/>
        <v>0.47</v>
      </c>
      <c r="J56" s="535"/>
      <c r="K56" s="536"/>
      <c r="L56" s="355"/>
      <c r="M56" s="355"/>
      <c r="N56" s="355"/>
      <c r="O56" s="355"/>
      <c r="P56" s="355"/>
    </row>
    <row r="57" spans="1:16" s="345" customFormat="1" ht="17.25" outlineLevel="1">
      <c r="A57" s="534"/>
      <c r="B57" s="313" t="s">
        <v>751</v>
      </c>
      <c r="C57" s="313" t="s">
        <v>2</v>
      </c>
      <c r="D57" s="368">
        <f>1</f>
        <v>1</v>
      </c>
      <c r="E57" s="298">
        <v>1</v>
      </c>
      <c r="F57" s="360">
        <f>3.14*3.23</f>
        <v>10.142200000000001</v>
      </c>
      <c r="G57" s="298">
        <v>0.23</v>
      </c>
      <c r="H57" s="298">
        <v>0.2</v>
      </c>
      <c r="I57" s="399">
        <f t="shared" si="0"/>
        <v>0.47</v>
      </c>
      <c r="J57" s="535"/>
      <c r="K57" s="536"/>
      <c r="L57" s="355"/>
      <c r="M57" s="355"/>
      <c r="N57" s="355"/>
      <c r="O57" s="355"/>
      <c r="P57" s="355"/>
    </row>
    <row r="58" spans="1:16" s="345" customFormat="1" ht="17.25" outlineLevel="1">
      <c r="A58" s="534"/>
      <c r="B58" s="313" t="s">
        <v>752</v>
      </c>
      <c r="C58" s="313" t="s">
        <v>2</v>
      </c>
      <c r="D58" s="368">
        <f>1</f>
        <v>1</v>
      </c>
      <c r="E58" s="298">
        <v>1</v>
      </c>
      <c r="F58" s="360">
        <f>3.14*3.23</f>
        <v>10.142200000000001</v>
      </c>
      <c r="G58" s="298">
        <v>0.23</v>
      </c>
      <c r="H58" s="298">
        <v>0.2</v>
      </c>
      <c r="I58" s="399">
        <f t="shared" si="0"/>
        <v>0.47</v>
      </c>
      <c r="J58" s="535"/>
      <c r="K58" s="536"/>
      <c r="L58" s="355"/>
      <c r="M58" s="355"/>
      <c r="N58" s="355"/>
      <c r="O58" s="355"/>
      <c r="P58" s="355"/>
    </row>
    <row r="59" spans="1:16" s="165" customFormat="1" ht="17.25" outlineLevel="1">
      <c r="A59" s="534"/>
      <c r="B59" s="313"/>
      <c r="C59" s="313"/>
      <c r="D59" s="368"/>
      <c r="E59" s="298"/>
      <c r="F59" s="323"/>
      <c r="G59" s="298"/>
      <c r="H59" s="298"/>
      <c r="I59" s="399" t="str">
        <f t="shared" si="0"/>
        <v/>
      </c>
      <c r="J59" s="535"/>
      <c r="K59" s="536"/>
      <c r="L59" s="164"/>
      <c r="M59" s="164"/>
      <c r="N59" s="164"/>
      <c r="O59" s="164"/>
      <c r="P59" s="164"/>
    </row>
    <row r="60" spans="1:16" s="377" customFormat="1" ht="51.75" outlineLevel="1">
      <c r="A60" s="539"/>
      <c r="B60" s="533" t="s">
        <v>1125</v>
      </c>
      <c r="C60" s="313"/>
      <c r="D60" s="323"/>
      <c r="E60" s="298"/>
      <c r="F60" s="323"/>
      <c r="G60" s="298"/>
      <c r="H60" s="298"/>
      <c r="I60" s="399" t="str">
        <f t="shared" si="0"/>
        <v/>
      </c>
      <c r="J60" s="374"/>
      <c r="K60" s="163"/>
      <c r="L60" s="376"/>
      <c r="M60" s="376"/>
      <c r="N60" s="376"/>
      <c r="O60" s="376"/>
      <c r="P60" s="376"/>
    </row>
    <row r="61" spans="1:16" s="377" customFormat="1" ht="17.25" outlineLevel="1">
      <c r="A61" s="617"/>
      <c r="B61" s="312" t="s">
        <v>1126</v>
      </c>
      <c r="C61" s="313" t="s">
        <v>2</v>
      </c>
      <c r="D61" s="323">
        <v>1</v>
      </c>
      <c r="E61" s="298">
        <v>1</v>
      </c>
      <c r="F61" s="323">
        <v>4.5309999999999997</v>
      </c>
      <c r="G61" s="298">
        <v>0.23</v>
      </c>
      <c r="H61" s="298">
        <v>0.2</v>
      </c>
      <c r="I61" s="399">
        <f t="shared" si="0"/>
        <v>0.21</v>
      </c>
      <c r="J61" s="374"/>
      <c r="K61" s="163"/>
      <c r="L61" s="376"/>
      <c r="M61" s="376"/>
      <c r="N61" s="376"/>
      <c r="O61" s="376"/>
      <c r="P61" s="376"/>
    </row>
    <row r="62" spans="1:16" s="377" customFormat="1" ht="17.25" outlineLevel="1">
      <c r="A62" s="617"/>
      <c r="B62" s="312"/>
      <c r="C62" s="313" t="s">
        <v>2</v>
      </c>
      <c r="D62" s="323">
        <v>1</v>
      </c>
      <c r="E62" s="298">
        <v>1</v>
      </c>
      <c r="F62" s="323">
        <v>4.0019999999999998</v>
      </c>
      <c r="G62" s="298">
        <f>0.44-0.23</f>
        <v>0.21</v>
      </c>
      <c r="H62" s="298">
        <v>0.1</v>
      </c>
      <c r="I62" s="399">
        <f t="shared" si="0"/>
        <v>0.08</v>
      </c>
      <c r="J62" s="374"/>
      <c r="K62" s="163"/>
      <c r="L62" s="376"/>
      <c r="M62" s="376"/>
      <c r="N62" s="376"/>
      <c r="O62" s="376"/>
      <c r="P62" s="376"/>
    </row>
    <row r="63" spans="1:16" s="377" customFormat="1" ht="17.25" outlineLevel="1">
      <c r="A63" s="617"/>
      <c r="B63" s="312"/>
      <c r="C63" s="313"/>
      <c r="D63" s="323"/>
      <c r="E63" s="298"/>
      <c r="F63" s="323"/>
      <c r="G63" s="298"/>
      <c r="H63" s="298"/>
      <c r="I63" s="399" t="str">
        <f t="shared" si="0"/>
        <v/>
      </c>
      <c r="J63" s="374"/>
      <c r="K63" s="163"/>
      <c r="L63" s="376"/>
      <c r="M63" s="376"/>
      <c r="N63" s="376"/>
      <c r="O63" s="376"/>
      <c r="P63" s="376"/>
    </row>
    <row r="64" spans="1:16" s="377" customFormat="1" ht="17.25" outlineLevel="1">
      <c r="A64" s="617"/>
      <c r="B64" s="312" t="s">
        <v>1127</v>
      </c>
      <c r="C64" s="313" t="s">
        <v>2</v>
      </c>
      <c r="D64" s="323">
        <v>1</v>
      </c>
      <c r="E64" s="298">
        <v>1</v>
      </c>
      <c r="F64" s="1106">
        <v>5.2839999999999998</v>
      </c>
      <c r="G64" s="298">
        <v>0.23</v>
      </c>
      <c r="H64" s="298">
        <v>0.2</v>
      </c>
      <c r="I64" s="399">
        <f t="shared" si="0"/>
        <v>0.24</v>
      </c>
      <c r="J64" s="374"/>
      <c r="K64" s="163"/>
      <c r="L64" s="376"/>
      <c r="M64" s="376"/>
      <c r="N64" s="376"/>
      <c r="O64" s="376"/>
      <c r="P64" s="376"/>
    </row>
    <row r="65" spans="1:16" s="377" customFormat="1" ht="17.25" outlineLevel="1">
      <c r="A65" s="617"/>
      <c r="B65" s="312"/>
      <c r="C65" s="313" t="s">
        <v>2</v>
      </c>
      <c r="D65" s="323">
        <v>1</v>
      </c>
      <c r="E65" s="298">
        <v>1</v>
      </c>
      <c r="F65" s="1106">
        <v>4.8070000000000004</v>
      </c>
      <c r="G65" s="298">
        <f>0.44-0.23</f>
        <v>0.21</v>
      </c>
      <c r="H65" s="298">
        <v>0.1</v>
      </c>
      <c r="I65" s="399">
        <f t="shared" si="0"/>
        <v>0.1</v>
      </c>
      <c r="J65" s="374"/>
      <c r="K65" s="163"/>
      <c r="L65" s="376"/>
      <c r="M65" s="376"/>
      <c r="N65" s="376"/>
      <c r="O65" s="376"/>
      <c r="P65" s="376"/>
    </row>
    <row r="66" spans="1:16" s="377" customFormat="1" ht="17.25" outlineLevel="1">
      <c r="A66" s="617"/>
      <c r="B66" s="312"/>
      <c r="C66" s="313"/>
      <c r="D66" s="323"/>
      <c r="E66" s="298"/>
      <c r="F66" s="323"/>
      <c r="G66" s="298"/>
      <c r="H66" s="298"/>
      <c r="I66" s="399" t="str">
        <f t="shared" si="0"/>
        <v/>
      </c>
      <c r="J66" s="374"/>
      <c r="K66" s="163"/>
      <c r="L66" s="376"/>
      <c r="M66" s="376"/>
      <c r="N66" s="376"/>
      <c r="O66" s="376"/>
      <c r="P66" s="376"/>
    </row>
    <row r="67" spans="1:16" s="377" customFormat="1" ht="17.25" outlineLevel="1">
      <c r="A67" s="617"/>
      <c r="B67" s="312" t="s">
        <v>1128</v>
      </c>
      <c r="C67" s="313" t="s">
        <v>2</v>
      </c>
      <c r="D67" s="323">
        <v>1</v>
      </c>
      <c r="E67" s="298">
        <v>1</v>
      </c>
      <c r="F67" s="323">
        <v>3.1429999999999998</v>
      </c>
      <c r="G67" s="298">
        <v>0.23</v>
      </c>
      <c r="H67" s="298">
        <v>0.2</v>
      </c>
      <c r="I67" s="399">
        <f t="shared" si="0"/>
        <v>0.14000000000000001</v>
      </c>
      <c r="J67" s="374"/>
      <c r="K67" s="163"/>
      <c r="L67" s="376"/>
      <c r="M67" s="376"/>
      <c r="N67" s="376"/>
      <c r="O67" s="376"/>
      <c r="P67" s="376"/>
    </row>
    <row r="68" spans="1:16" s="377" customFormat="1" ht="17.25" outlineLevel="1">
      <c r="A68" s="617"/>
      <c r="B68" s="312"/>
      <c r="C68" s="313" t="s">
        <v>2</v>
      </c>
      <c r="D68" s="323">
        <v>1</v>
      </c>
      <c r="E68" s="298">
        <v>1</v>
      </c>
      <c r="F68" s="323">
        <v>2.8530000000000002</v>
      </c>
      <c r="G68" s="298">
        <f>0.44-0.23</f>
        <v>0.21</v>
      </c>
      <c r="H68" s="298">
        <v>0.1</v>
      </c>
      <c r="I68" s="399">
        <f t="shared" si="0"/>
        <v>0.06</v>
      </c>
      <c r="J68" s="374"/>
      <c r="K68" s="163"/>
      <c r="L68" s="376"/>
      <c r="M68" s="376"/>
      <c r="N68" s="376"/>
      <c r="O68" s="376"/>
      <c r="P68" s="376"/>
    </row>
    <row r="69" spans="1:16" s="377" customFormat="1" ht="17.25" outlineLevel="1">
      <c r="A69" s="617"/>
      <c r="B69" s="312"/>
      <c r="C69" s="313"/>
      <c r="D69" s="323"/>
      <c r="E69" s="298"/>
      <c r="F69" s="323"/>
      <c r="G69" s="298"/>
      <c r="H69" s="298"/>
      <c r="I69" s="399" t="str">
        <f t="shared" si="0"/>
        <v/>
      </c>
      <c r="J69" s="374"/>
      <c r="K69" s="163"/>
      <c r="L69" s="376"/>
      <c r="M69" s="376"/>
      <c r="N69" s="376"/>
      <c r="O69" s="376"/>
      <c r="P69" s="376"/>
    </row>
    <row r="70" spans="1:16" s="377" customFormat="1" ht="17.25" outlineLevel="1">
      <c r="A70" s="617"/>
      <c r="B70" s="312" t="s">
        <v>1128</v>
      </c>
      <c r="C70" s="313" t="s">
        <v>2</v>
      </c>
      <c r="D70" s="323">
        <v>1</v>
      </c>
      <c r="E70" s="298">
        <v>1</v>
      </c>
      <c r="F70" s="323">
        <v>3.121</v>
      </c>
      <c r="G70" s="298">
        <v>0.23</v>
      </c>
      <c r="H70" s="298">
        <v>0.2</v>
      </c>
      <c r="I70" s="399">
        <f t="shared" si="0"/>
        <v>0.14000000000000001</v>
      </c>
      <c r="J70" s="374"/>
      <c r="K70" s="163"/>
      <c r="L70" s="376"/>
      <c r="M70" s="376"/>
      <c r="N70" s="376"/>
      <c r="O70" s="376"/>
      <c r="P70" s="376"/>
    </row>
    <row r="71" spans="1:16" s="377" customFormat="1" ht="17.25" outlineLevel="1">
      <c r="A71" s="617"/>
      <c r="B71" s="312"/>
      <c r="C71" s="313" t="s">
        <v>2</v>
      </c>
      <c r="D71" s="323">
        <v>1</v>
      </c>
      <c r="E71" s="298">
        <v>1</v>
      </c>
      <c r="F71" s="323">
        <v>2.8330000000000002</v>
      </c>
      <c r="G71" s="298">
        <f>0.44-0.23</f>
        <v>0.21</v>
      </c>
      <c r="H71" s="298">
        <v>0.1</v>
      </c>
      <c r="I71" s="399">
        <f t="shared" ref="I71:I116" si="6">IF(D71&lt;&gt;0,ROUND(PRODUCT(E71:H71)*D71,2),"")</f>
        <v>0.06</v>
      </c>
      <c r="J71" s="374"/>
      <c r="K71" s="163"/>
      <c r="L71" s="376"/>
      <c r="M71" s="376"/>
      <c r="N71" s="376"/>
      <c r="O71" s="376"/>
      <c r="P71" s="376"/>
    </row>
    <row r="72" spans="1:16" s="377" customFormat="1" ht="17.25" outlineLevel="1">
      <c r="A72" s="414"/>
      <c r="B72" s="425"/>
      <c r="C72" s="313"/>
      <c r="D72" s="323"/>
      <c r="E72" s="298"/>
      <c r="F72" s="540"/>
      <c r="G72" s="540"/>
      <c r="H72" s="540"/>
      <c r="I72" s="399" t="str">
        <f t="shared" si="6"/>
        <v/>
      </c>
      <c r="J72" s="394"/>
      <c r="K72" s="394"/>
      <c r="L72" s="376"/>
      <c r="M72" s="376"/>
      <c r="N72" s="376"/>
      <c r="O72" s="376"/>
      <c r="P72" s="376"/>
    </row>
    <row r="73" spans="1:16" s="377" customFormat="1" ht="34.5" outlineLevel="1">
      <c r="A73" s="541"/>
      <c r="B73" s="542" t="s">
        <v>1129</v>
      </c>
      <c r="C73" s="313"/>
      <c r="D73" s="323"/>
      <c r="E73" s="298"/>
      <c r="F73" s="540"/>
      <c r="G73" s="540"/>
      <c r="H73" s="540"/>
      <c r="I73" s="399" t="str">
        <f t="shared" si="6"/>
        <v/>
      </c>
      <c r="J73" s="394"/>
      <c r="K73" s="394"/>
      <c r="L73" s="376"/>
      <c r="M73" s="376"/>
      <c r="N73" s="376"/>
      <c r="O73" s="376"/>
      <c r="P73" s="376"/>
    </row>
    <row r="74" spans="1:16" s="377" customFormat="1" ht="34.5" outlineLevel="1">
      <c r="A74" s="541"/>
      <c r="B74" s="537" t="s">
        <v>1130</v>
      </c>
      <c r="C74" s="313" t="s">
        <v>2</v>
      </c>
      <c r="D74" s="323"/>
      <c r="E74" s="298"/>
      <c r="F74" s="298"/>
      <c r="G74" s="298"/>
      <c r="H74" s="298"/>
      <c r="I74" s="399" t="str">
        <f t="shared" si="6"/>
        <v/>
      </c>
      <c r="J74" s="374"/>
      <c r="K74" s="163"/>
      <c r="L74" s="376"/>
      <c r="M74" s="376"/>
      <c r="N74" s="376"/>
      <c r="O74" s="376"/>
      <c r="P74" s="376"/>
    </row>
    <row r="75" spans="1:16" s="377" customFormat="1" ht="34.5" outlineLevel="1">
      <c r="A75" s="541"/>
      <c r="B75" s="312" t="s">
        <v>1131</v>
      </c>
      <c r="C75" s="313" t="s">
        <v>2</v>
      </c>
      <c r="D75" s="323">
        <v>1</v>
      </c>
      <c r="E75" s="298">
        <v>1</v>
      </c>
      <c r="F75" s="360">
        <f>3.14*3.23</f>
        <v>10.142200000000001</v>
      </c>
      <c r="G75" s="298">
        <v>0.23</v>
      </c>
      <c r="H75" s="298">
        <v>0.2</v>
      </c>
      <c r="I75" s="399">
        <f t="shared" si="6"/>
        <v>0.47</v>
      </c>
      <c r="J75" s="374"/>
      <c r="K75" s="163"/>
      <c r="L75" s="376"/>
      <c r="M75" s="376"/>
      <c r="N75" s="376"/>
      <c r="O75" s="376"/>
      <c r="P75" s="376"/>
    </row>
    <row r="76" spans="1:16" s="377" customFormat="1" ht="17.25" outlineLevel="1">
      <c r="A76" s="541"/>
      <c r="B76" s="312" t="s">
        <v>736</v>
      </c>
      <c r="C76" s="313" t="s">
        <v>2</v>
      </c>
      <c r="D76" s="323">
        <v>1</v>
      </c>
      <c r="E76" s="298">
        <v>1</v>
      </c>
      <c r="F76" s="360">
        <f>3.14*3.23</f>
        <v>10.142200000000001</v>
      </c>
      <c r="G76" s="298">
        <v>0.23</v>
      </c>
      <c r="H76" s="298">
        <v>0.2</v>
      </c>
      <c r="I76" s="399">
        <f t="shared" si="6"/>
        <v>0.47</v>
      </c>
      <c r="J76" s="374"/>
      <c r="K76" s="163"/>
      <c r="L76" s="376"/>
      <c r="M76" s="376"/>
      <c r="N76" s="376"/>
      <c r="O76" s="376"/>
      <c r="P76" s="376"/>
    </row>
    <row r="77" spans="1:16" s="377" customFormat="1" ht="34.5" outlineLevel="1">
      <c r="A77" s="541"/>
      <c r="B77" s="312" t="s">
        <v>1132</v>
      </c>
      <c r="C77" s="313" t="s">
        <v>2</v>
      </c>
      <c r="D77" s="323">
        <v>1</v>
      </c>
      <c r="E77" s="298">
        <v>1</v>
      </c>
      <c r="F77" s="360">
        <f>3.14*3.93</f>
        <v>12.340200000000001</v>
      </c>
      <c r="G77" s="298">
        <v>0.23</v>
      </c>
      <c r="H77" s="298">
        <v>0.2</v>
      </c>
      <c r="I77" s="399">
        <f t="shared" si="6"/>
        <v>0.56999999999999995</v>
      </c>
      <c r="J77" s="374"/>
      <c r="K77" s="163"/>
      <c r="L77" s="376"/>
      <c r="M77" s="376"/>
      <c r="N77" s="376"/>
      <c r="O77" s="376"/>
      <c r="P77" s="376"/>
    </row>
    <row r="78" spans="1:16" s="377" customFormat="1" ht="17.25" outlineLevel="1">
      <c r="A78" s="541"/>
      <c r="B78" s="312" t="s">
        <v>738</v>
      </c>
      <c r="C78" s="313" t="s">
        <v>2</v>
      </c>
      <c r="D78" s="323">
        <v>1</v>
      </c>
      <c r="E78" s="298">
        <v>1</v>
      </c>
      <c r="F78" s="360">
        <f>3.14*3.23</f>
        <v>10.142200000000001</v>
      </c>
      <c r="G78" s="298">
        <v>0.23</v>
      </c>
      <c r="H78" s="298">
        <v>0.2</v>
      </c>
      <c r="I78" s="399">
        <f t="shared" si="6"/>
        <v>0.47</v>
      </c>
      <c r="J78" s="374"/>
      <c r="K78" s="163"/>
      <c r="L78" s="376"/>
      <c r="M78" s="376"/>
      <c r="N78" s="376"/>
      <c r="O78" s="376"/>
      <c r="P78" s="376"/>
    </row>
    <row r="79" spans="1:16" s="377" customFormat="1" ht="17.25" outlineLevel="1">
      <c r="A79" s="541"/>
      <c r="B79" s="312" t="s">
        <v>739</v>
      </c>
      <c r="C79" s="313" t="s">
        <v>2</v>
      </c>
      <c r="D79" s="323">
        <v>1</v>
      </c>
      <c r="E79" s="298">
        <v>1</v>
      </c>
      <c r="F79" s="298">
        <v>8.5660000000000007</v>
      </c>
      <c r="G79" s="298">
        <v>0.23</v>
      </c>
      <c r="H79" s="298">
        <v>0.2</v>
      </c>
      <c r="I79" s="399">
        <f t="shared" si="6"/>
        <v>0.39</v>
      </c>
      <c r="J79" s="374"/>
      <c r="K79" s="163"/>
      <c r="L79" s="376"/>
      <c r="M79" s="376"/>
      <c r="N79" s="376"/>
      <c r="O79" s="376"/>
      <c r="P79" s="376"/>
    </row>
    <row r="80" spans="1:16" s="377" customFormat="1" ht="17.25" outlineLevel="1">
      <c r="A80" s="541"/>
      <c r="B80" s="312" t="s">
        <v>740</v>
      </c>
      <c r="C80" s="313" t="s">
        <v>2</v>
      </c>
      <c r="D80" s="323">
        <v>1</v>
      </c>
      <c r="E80" s="298">
        <v>1</v>
      </c>
      <c r="F80" s="360">
        <f>3.14*2.93</f>
        <v>9.2002000000000006</v>
      </c>
      <c r="G80" s="298">
        <v>0.23</v>
      </c>
      <c r="H80" s="298">
        <v>0.2</v>
      </c>
      <c r="I80" s="399">
        <f t="shared" si="6"/>
        <v>0.42</v>
      </c>
      <c r="J80" s="374"/>
      <c r="K80" s="163"/>
      <c r="L80" s="376"/>
      <c r="M80" s="376"/>
      <c r="N80" s="376"/>
      <c r="O80" s="376"/>
      <c r="P80" s="376"/>
    </row>
    <row r="81" spans="1:16" s="377" customFormat="1" ht="17.25" outlineLevel="1">
      <c r="A81" s="541"/>
      <c r="B81" s="312" t="s">
        <v>741</v>
      </c>
      <c r="C81" s="313" t="s">
        <v>2</v>
      </c>
      <c r="D81" s="323">
        <v>1</v>
      </c>
      <c r="E81" s="298">
        <v>1</v>
      </c>
      <c r="F81" s="360">
        <f t="shared" ref="F81:F88" si="7">3.14*3.23</f>
        <v>10.142200000000001</v>
      </c>
      <c r="G81" s="298">
        <v>0.23</v>
      </c>
      <c r="H81" s="298">
        <v>0.2</v>
      </c>
      <c r="I81" s="399">
        <f t="shared" si="6"/>
        <v>0.47</v>
      </c>
      <c r="J81" s="374"/>
      <c r="K81" s="163"/>
      <c r="L81" s="376"/>
      <c r="M81" s="376"/>
      <c r="N81" s="376"/>
      <c r="O81" s="376"/>
      <c r="P81" s="376"/>
    </row>
    <row r="82" spans="1:16" s="377" customFormat="1" ht="17.25" outlineLevel="1">
      <c r="A82" s="541"/>
      <c r="B82" s="312" t="s">
        <v>742</v>
      </c>
      <c r="C82" s="313" t="s">
        <v>2</v>
      </c>
      <c r="D82" s="323">
        <v>1</v>
      </c>
      <c r="E82" s="298">
        <v>1</v>
      </c>
      <c r="F82" s="360">
        <f t="shared" si="7"/>
        <v>10.142200000000001</v>
      </c>
      <c r="G82" s="298">
        <v>0.23</v>
      </c>
      <c r="H82" s="298">
        <v>0.2</v>
      </c>
      <c r="I82" s="399">
        <f t="shared" si="6"/>
        <v>0.47</v>
      </c>
      <c r="J82" s="374"/>
      <c r="K82" s="163"/>
      <c r="L82" s="376"/>
      <c r="M82" s="376"/>
      <c r="N82" s="376"/>
      <c r="O82" s="376"/>
      <c r="P82" s="376"/>
    </row>
    <row r="83" spans="1:16" s="377" customFormat="1" ht="17.25" outlineLevel="1">
      <c r="A83" s="541"/>
      <c r="B83" s="312" t="s">
        <v>743</v>
      </c>
      <c r="C83" s="313" t="s">
        <v>2</v>
      </c>
      <c r="D83" s="323">
        <v>1</v>
      </c>
      <c r="E83" s="298">
        <v>1</v>
      </c>
      <c r="F83" s="360">
        <f t="shared" si="7"/>
        <v>10.142200000000001</v>
      </c>
      <c r="G83" s="298">
        <v>0.23</v>
      </c>
      <c r="H83" s="298">
        <v>0.2</v>
      </c>
      <c r="I83" s="399">
        <f t="shared" si="6"/>
        <v>0.47</v>
      </c>
      <c r="J83" s="374"/>
      <c r="K83" s="163"/>
      <c r="L83" s="376"/>
      <c r="M83" s="376"/>
      <c r="N83" s="376"/>
      <c r="O83" s="376"/>
      <c r="P83" s="376"/>
    </row>
    <row r="84" spans="1:16" s="377" customFormat="1" ht="17.25" outlineLevel="1">
      <c r="A84" s="541"/>
      <c r="B84" s="312" t="s">
        <v>744</v>
      </c>
      <c r="C84" s="313" t="s">
        <v>2</v>
      </c>
      <c r="D84" s="323">
        <v>1</v>
      </c>
      <c r="E84" s="298">
        <v>1</v>
      </c>
      <c r="F84" s="360">
        <f t="shared" si="7"/>
        <v>10.142200000000001</v>
      </c>
      <c r="G84" s="298">
        <v>0.23</v>
      </c>
      <c r="H84" s="298">
        <v>0.2</v>
      </c>
      <c r="I84" s="399">
        <f t="shared" si="6"/>
        <v>0.47</v>
      </c>
      <c r="J84" s="374"/>
      <c r="K84" s="163"/>
      <c r="L84" s="376"/>
      <c r="M84" s="376"/>
      <c r="N84" s="376"/>
      <c r="O84" s="376"/>
      <c r="P84" s="376"/>
    </row>
    <row r="85" spans="1:16" s="377" customFormat="1" ht="17.25" outlineLevel="1">
      <c r="A85" s="541"/>
      <c r="B85" s="312" t="s">
        <v>745</v>
      </c>
      <c r="C85" s="313" t="s">
        <v>2</v>
      </c>
      <c r="D85" s="323">
        <v>1</v>
      </c>
      <c r="E85" s="298">
        <v>1</v>
      </c>
      <c r="F85" s="360">
        <f t="shared" si="7"/>
        <v>10.142200000000001</v>
      </c>
      <c r="G85" s="298">
        <v>0.23</v>
      </c>
      <c r="H85" s="298">
        <v>0.2</v>
      </c>
      <c r="I85" s="399">
        <f t="shared" si="6"/>
        <v>0.47</v>
      </c>
      <c r="J85" s="374"/>
      <c r="K85" s="163"/>
      <c r="L85" s="376"/>
      <c r="M85" s="376"/>
      <c r="N85" s="376"/>
      <c r="O85" s="376"/>
      <c r="P85" s="376"/>
    </row>
    <row r="86" spans="1:16" s="377" customFormat="1" ht="17.25" outlineLevel="1">
      <c r="A86" s="541"/>
      <c r="B86" s="312" t="s">
        <v>746</v>
      </c>
      <c r="C86" s="313" t="s">
        <v>2</v>
      </c>
      <c r="D86" s="323">
        <v>1</v>
      </c>
      <c r="E86" s="298">
        <v>1</v>
      </c>
      <c r="F86" s="360">
        <f t="shared" si="7"/>
        <v>10.142200000000001</v>
      </c>
      <c r="G86" s="298">
        <v>0.23</v>
      </c>
      <c r="H86" s="298">
        <v>0.2</v>
      </c>
      <c r="I86" s="399">
        <f t="shared" si="6"/>
        <v>0.47</v>
      </c>
      <c r="J86" s="374"/>
      <c r="K86" s="163"/>
      <c r="L86" s="376"/>
      <c r="M86" s="376"/>
      <c r="N86" s="376"/>
      <c r="O86" s="376"/>
      <c r="P86" s="376"/>
    </row>
    <row r="87" spans="1:16" s="377" customFormat="1" ht="17.25" outlineLevel="1">
      <c r="A87" s="541"/>
      <c r="B87" s="312" t="s">
        <v>747</v>
      </c>
      <c r="C87" s="313" t="s">
        <v>2</v>
      </c>
      <c r="D87" s="323">
        <v>1</v>
      </c>
      <c r="E87" s="298">
        <v>1</v>
      </c>
      <c r="F87" s="360">
        <f t="shared" si="7"/>
        <v>10.142200000000001</v>
      </c>
      <c r="G87" s="298">
        <v>0.23</v>
      </c>
      <c r="H87" s="298">
        <v>0.2</v>
      </c>
      <c r="I87" s="399">
        <f t="shared" si="6"/>
        <v>0.47</v>
      </c>
      <c r="J87" s="374"/>
      <c r="K87" s="163"/>
      <c r="L87" s="376"/>
      <c r="M87" s="376"/>
      <c r="N87" s="376"/>
      <c r="O87" s="376"/>
      <c r="P87" s="376"/>
    </row>
    <row r="88" spans="1:16" s="377" customFormat="1" ht="17.25" outlineLevel="1">
      <c r="A88" s="541"/>
      <c r="B88" s="312" t="s">
        <v>748</v>
      </c>
      <c r="C88" s="313" t="s">
        <v>2</v>
      </c>
      <c r="D88" s="323">
        <v>1</v>
      </c>
      <c r="E88" s="298">
        <v>1</v>
      </c>
      <c r="F88" s="360">
        <f t="shared" si="7"/>
        <v>10.142200000000001</v>
      </c>
      <c r="G88" s="298">
        <v>0.23</v>
      </c>
      <c r="H88" s="298">
        <v>0.2</v>
      </c>
      <c r="I88" s="399">
        <f t="shared" si="6"/>
        <v>0.47</v>
      </c>
      <c r="J88" s="374"/>
      <c r="K88" s="163"/>
      <c r="L88" s="376"/>
      <c r="M88" s="376"/>
      <c r="N88" s="376"/>
      <c r="O88" s="376"/>
      <c r="P88" s="376"/>
    </row>
    <row r="89" spans="1:16" s="377" customFormat="1" ht="17.25" outlineLevel="1">
      <c r="A89" s="541"/>
      <c r="B89" s="312"/>
      <c r="C89" s="313"/>
      <c r="D89" s="323"/>
      <c r="E89" s="298"/>
      <c r="F89" s="298"/>
      <c r="G89" s="298"/>
      <c r="H89" s="298"/>
      <c r="I89" s="399" t="str">
        <f t="shared" si="6"/>
        <v/>
      </c>
      <c r="J89" s="374"/>
      <c r="K89" s="163"/>
      <c r="L89" s="376"/>
      <c r="M89" s="376"/>
      <c r="N89" s="376"/>
      <c r="O89" s="376"/>
      <c r="P89" s="376"/>
    </row>
    <row r="90" spans="1:16" s="377" customFormat="1" ht="69" outlineLevel="1">
      <c r="A90" s="541"/>
      <c r="B90" s="312" t="s">
        <v>1133</v>
      </c>
      <c r="C90" s="313" t="s">
        <v>2</v>
      </c>
      <c r="D90" s="323"/>
      <c r="E90" s="298"/>
      <c r="F90" s="298"/>
      <c r="G90" s="298"/>
      <c r="H90" s="298"/>
      <c r="I90" s="399" t="str">
        <f t="shared" si="6"/>
        <v/>
      </c>
      <c r="J90" s="374"/>
      <c r="K90" s="163"/>
      <c r="L90" s="376"/>
      <c r="M90" s="376"/>
      <c r="N90" s="376"/>
      <c r="O90" s="376"/>
      <c r="P90" s="376"/>
    </row>
    <row r="91" spans="1:16" s="377" customFormat="1" ht="17.25" outlineLevel="1">
      <c r="A91" s="541"/>
      <c r="B91" s="312" t="s">
        <v>735</v>
      </c>
      <c r="C91" s="313" t="s">
        <v>2</v>
      </c>
      <c r="D91" s="323">
        <v>-1</v>
      </c>
      <c r="E91" s="298">
        <v>1</v>
      </c>
      <c r="F91" s="298">
        <f>3.14*3</f>
        <v>9.42</v>
      </c>
      <c r="G91" s="298">
        <v>0.23</v>
      </c>
      <c r="H91" s="298">
        <v>0.2</v>
      </c>
      <c r="I91" s="399">
        <f t="shared" si="6"/>
        <v>-0.43</v>
      </c>
      <c r="J91" s="374"/>
      <c r="K91" s="163"/>
      <c r="L91" s="376"/>
      <c r="M91" s="376"/>
      <c r="N91" s="376"/>
      <c r="O91" s="376"/>
      <c r="P91" s="376"/>
    </row>
    <row r="92" spans="1:16" s="377" customFormat="1" ht="17.25" outlineLevel="1">
      <c r="A92" s="541"/>
      <c r="B92" s="312" t="s">
        <v>736</v>
      </c>
      <c r="C92" s="313" t="s">
        <v>2</v>
      </c>
      <c r="D92" s="323">
        <v>-1</v>
      </c>
      <c r="E92" s="298">
        <v>1</v>
      </c>
      <c r="F92" s="298">
        <f>3.14*3</f>
        <v>9.42</v>
      </c>
      <c r="G92" s="298">
        <v>0.23</v>
      </c>
      <c r="H92" s="298">
        <v>0.2</v>
      </c>
      <c r="I92" s="399">
        <f t="shared" si="6"/>
        <v>-0.43</v>
      </c>
      <c r="J92" s="374"/>
      <c r="K92" s="163"/>
      <c r="L92" s="376"/>
      <c r="M92" s="376"/>
      <c r="N92" s="376"/>
      <c r="O92" s="376"/>
      <c r="P92" s="376"/>
    </row>
    <row r="93" spans="1:16" s="377" customFormat="1" ht="17.25" outlineLevel="1">
      <c r="A93" s="541"/>
      <c r="B93" s="312" t="s">
        <v>737</v>
      </c>
      <c r="C93" s="313" t="s">
        <v>2</v>
      </c>
      <c r="D93" s="323">
        <v>-1</v>
      </c>
      <c r="E93" s="298">
        <v>1</v>
      </c>
      <c r="F93" s="298">
        <f>3.14*3.7</f>
        <v>11.618</v>
      </c>
      <c r="G93" s="298">
        <v>0.23</v>
      </c>
      <c r="H93" s="298">
        <v>0.2</v>
      </c>
      <c r="I93" s="399">
        <f t="shared" si="6"/>
        <v>-0.53</v>
      </c>
      <c r="J93" s="374"/>
      <c r="K93" s="163"/>
      <c r="L93" s="376"/>
      <c r="M93" s="376"/>
      <c r="N93" s="376"/>
      <c r="O93" s="376"/>
      <c r="P93" s="376"/>
    </row>
    <row r="94" spans="1:16" s="377" customFormat="1" ht="17.25" outlineLevel="1">
      <c r="A94" s="541"/>
      <c r="B94" s="312" t="s">
        <v>738</v>
      </c>
      <c r="C94" s="313" t="s">
        <v>2</v>
      </c>
      <c r="D94" s="323">
        <v>-1</v>
      </c>
      <c r="E94" s="298">
        <v>1</v>
      </c>
      <c r="F94" s="298">
        <f>3.14*3</f>
        <v>9.42</v>
      </c>
      <c r="G94" s="298">
        <v>0.23</v>
      </c>
      <c r="H94" s="298">
        <v>0.2</v>
      </c>
      <c r="I94" s="399">
        <f t="shared" si="6"/>
        <v>-0.43</v>
      </c>
      <c r="J94" s="374"/>
      <c r="K94" s="163"/>
      <c r="L94" s="376"/>
      <c r="M94" s="376"/>
      <c r="N94" s="376"/>
      <c r="O94" s="376"/>
      <c r="P94" s="376"/>
    </row>
    <row r="95" spans="1:16" s="377" customFormat="1" ht="17.25" outlineLevel="1">
      <c r="A95" s="541"/>
      <c r="B95" s="312" t="s">
        <v>739</v>
      </c>
      <c r="C95" s="313" t="s">
        <v>2</v>
      </c>
      <c r="D95" s="323">
        <v>-1</v>
      </c>
      <c r="E95" s="298">
        <v>1</v>
      </c>
      <c r="F95" s="298">
        <v>8.5660000000000007</v>
      </c>
      <c r="G95" s="298">
        <v>0.23</v>
      </c>
      <c r="H95" s="298">
        <v>0.2</v>
      </c>
      <c r="I95" s="399">
        <f t="shared" si="6"/>
        <v>-0.39</v>
      </c>
      <c r="J95" s="374"/>
      <c r="K95" s="163"/>
      <c r="L95" s="376"/>
      <c r="M95" s="376"/>
      <c r="N95" s="376"/>
      <c r="O95" s="376"/>
      <c r="P95" s="376"/>
    </row>
    <row r="96" spans="1:16" s="377" customFormat="1" ht="17.25" outlineLevel="1">
      <c r="A96" s="541"/>
      <c r="B96" s="312" t="s">
        <v>740</v>
      </c>
      <c r="C96" s="313" t="s">
        <v>2</v>
      </c>
      <c r="D96" s="323">
        <v>-1</v>
      </c>
      <c r="E96" s="298">
        <v>1</v>
      </c>
      <c r="F96" s="298">
        <f>3.14*2.7</f>
        <v>8.4780000000000015</v>
      </c>
      <c r="G96" s="298">
        <v>0.23</v>
      </c>
      <c r="H96" s="298">
        <v>0.2</v>
      </c>
      <c r="I96" s="399">
        <f t="shared" si="6"/>
        <v>-0.39</v>
      </c>
      <c r="J96" s="374"/>
      <c r="K96" s="163"/>
      <c r="L96" s="376"/>
      <c r="M96" s="376"/>
      <c r="N96" s="376"/>
      <c r="O96" s="376"/>
      <c r="P96" s="376"/>
    </row>
    <row r="97" spans="1:16" s="377" customFormat="1" ht="17.25" outlineLevel="1">
      <c r="A97" s="541"/>
      <c r="B97" s="312" t="s">
        <v>741</v>
      </c>
      <c r="C97" s="313" t="s">
        <v>2</v>
      </c>
      <c r="D97" s="323">
        <v>-1</v>
      </c>
      <c r="E97" s="298">
        <v>1</v>
      </c>
      <c r="F97" s="298">
        <f t="shared" ref="F97:F104" si="8">3.14*3</f>
        <v>9.42</v>
      </c>
      <c r="G97" s="298">
        <v>0.23</v>
      </c>
      <c r="H97" s="298">
        <v>0.2</v>
      </c>
      <c r="I97" s="399">
        <f t="shared" si="6"/>
        <v>-0.43</v>
      </c>
      <c r="J97" s="374"/>
      <c r="K97" s="163"/>
      <c r="L97" s="376"/>
      <c r="M97" s="376"/>
      <c r="N97" s="376"/>
      <c r="O97" s="376"/>
      <c r="P97" s="376"/>
    </row>
    <row r="98" spans="1:16" s="377" customFormat="1" ht="17.25" outlineLevel="1">
      <c r="A98" s="541"/>
      <c r="B98" s="312" t="s">
        <v>742</v>
      </c>
      <c r="C98" s="313" t="s">
        <v>2</v>
      </c>
      <c r="D98" s="323">
        <v>-1</v>
      </c>
      <c r="E98" s="298">
        <v>1</v>
      </c>
      <c r="F98" s="298">
        <f t="shared" si="8"/>
        <v>9.42</v>
      </c>
      <c r="G98" s="298">
        <v>0.23</v>
      </c>
      <c r="H98" s="298">
        <v>0.2</v>
      </c>
      <c r="I98" s="399">
        <f t="shared" si="6"/>
        <v>-0.43</v>
      </c>
      <c r="J98" s="374"/>
      <c r="K98" s="163"/>
      <c r="L98" s="376"/>
      <c r="M98" s="376"/>
      <c r="N98" s="376"/>
      <c r="O98" s="376"/>
      <c r="P98" s="376"/>
    </row>
    <row r="99" spans="1:16" s="377" customFormat="1" ht="17.25" outlineLevel="1">
      <c r="A99" s="541"/>
      <c r="B99" s="312" t="s">
        <v>743</v>
      </c>
      <c r="C99" s="313" t="s">
        <v>2</v>
      </c>
      <c r="D99" s="323">
        <v>-1</v>
      </c>
      <c r="E99" s="298">
        <v>1</v>
      </c>
      <c r="F99" s="298">
        <f t="shared" si="8"/>
        <v>9.42</v>
      </c>
      <c r="G99" s="298">
        <v>0.23</v>
      </c>
      <c r="H99" s="298">
        <v>0.2</v>
      </c>
      <c r="I99" s="399">
        <f t="shared" si="6"/>
        <v>-0.43</v>
      </c>
      <c r="J99" s="374"/>
      <c r="K99" s="163"/>
      <c r="L99" s="376"/>
      <c r="M99" s="376"/>
      <c r="N99" s="376"/>
      <c r="O99" s="376"/>
      <c r="P99" s="376"/>
    </row>
    <row r="100" spans="1:16" s="377" customFormat="1" ht="17.25" outlineLevel="1">
      <c r="A100" s="541"/>
      <c r="B100" s="312" t="s">
        <v>744</v>
      </c>
      <c r="C100" s="313" t="s">
        <v>2</v>
      </c>
      <c r="D100" s="323">
        <v>-1</v>
      </c>
      <c r="E100" s="298">
        <v>1</v>
      </c>
      <c r="F100" s="298">
        <f t="shared" si="8"/>
        <v>9.42</v>
      </c>
      <c r="G100" s="298">
        <v>0.23</v>
      </c>
      <c r="H100" s="298">
        <v>0.2</v>
      </c>
      <c r="I100" s="399">
        <f t="shared" si="6"/>
        <v>-0.43</v>
      </c>
      <c r="J100" s="374"/>
      <c r="K100" s="163"/>
      <c r="L100" s="376"/>
      <c r="M100" s="376"/>
      <c r="N100" s="376"/>
      <c r="O100" s="376"/>
      <c r="P100" s="376"/>
    </row>
    <row r="101" spans="1:16" s="377" customFormat="1" ht="17.25" outlineLevel="1">
      <c r="A101" s="541"/>
      <c r="B101" s="312" t="s">
        <v>745</v>
      </c>
      <c r="C101" s="313" t="s">
        <v>2</v>
      </c>
      <c r="D101" s="323">
        <v>-1</v>
      </c>
      <c r="E101" s="298">
        <v>1</v>
      </c>
      <c r="F101" s="298">
        <f t="shared" si="8"/>
        <v>9.42</v>
      </c>
      <c r="G101" s="298">
        <v>0.23</v>
      </c>
      <c r="H101" s="298">
        <v>0.2</v>
      </c>
      <c r="I101" s="399">
        <f t="shared" si="6"/>
        <v>-0.43</v>
      </c>
      <c r="J101" s="374"/>
      <c r="K101" s="163"/>
      <c r="L101" s="376"/>
      <c r="M101" s="376"/>
      <c r="N101" s="376"/>
      <c r="O101" s="376"/>
      <c r="P101" s="376"/>
    </row>
    <row r="102" spans="1:16" s="377" customFormat="1" ht="17.25" outlineLevel="1">
      <c r="A102" s="541"/>
      <c r="B102" s="312" t="s">
        <v>746</v>
      </c>
      <c r="C102" s="313" t="s">
        <v>2</v>
      </c>
      <c r="D102" s="323">
        <v>-1</v>
      </c>
      <c r="E102" s="298">
        <v>1</v>
      </c>
      <c r="F102" s="298">
        <f t="shared" si="8"/>
        <v>9.42</v>
      </c>
      <c r="G102" s="298">
        <v>0.23</v>
      </c>
      <c r="H102" s="298">
        <v>0.2</v>
      </c>
      <c r="I102" s="399">
        <f t="shared" si="6"/>
        <v>-0.43</v>
      </c>
      <c r="J102" s="374"/>
      <c r="K102" s="163"/>
      <c r="L102" s="376"/>
      <c r="M102" s="376"/>
      <c r="N102" s="376"/>
      <c r="O102" s="376"/>
      <c r="P102" s="376"/>
    </row>
    <row r="103" spans="1:16" s="377" customFormat="1" ht="17.25" outlineLevel="1">
      <c r="A103" s="541"/>
      <c r="B103" s="312" t="s">
        <v>747</v>
      </c>
      <c r="C103" s="313" t="s">
        <v>2</v>
      </c>
      <c r="D103" s="323">
        <v>-1</v>
      </c>
      <c r="E103" s="298">
        <v>1</v>
      </c>
      <c r="F103" s="298">
        <f t="shared" si="8"/>
        <v>9.42</v>
      </c>
      <c r="G103" s="298">
        <v>0.23</v>
      </c>
      <c r="H103" s="298">
        <v>0.2</v>
      </c>
      <c r="I103" s="399">
        <f t="shared" si="6"/>
        <v>-0.43</v>
      </c>
      <c r="J103" s="374"/>
      <c r="K103" s="163"/>
      <c r="L103" s="376"/>
      <c r="M103" s="376"/>
      <c r="N103" s="376"/>
      <c r="O103" s="376"/>
      <c r="P103" s="376"/>
    </row>
    <row r="104" spans="1:16" s="377" customFormat="1" ht="17.25" outlineLevel="1">
      <c r="A104" s="541"/>
      <c r="B104" s="312" t="s">
        <v>748</v>
      </c>
      <c r="C104" s="313" t="s">
        <v>2</v>
      </c>
      <c r="D104" s="323">
        <v>-1</v>
      </c>
      <c r="E104" s="298">
        <v>1</v>
      </c>
      <c r="F104" s="298">
        <f t="shared" si="8"/>
        <v>9.42</v>
      </c>
      <c r="G104" s="298">
        <v>0.23</v>
      </c>
      <c r="H104" s="298">
        <v>0.2</v>
      </c>
      <c r="I104" s="399">
        <f t="shared" si="6"/>
        <v>-0.43</v>
      </c>
      <c r="J104" s="374"/>
      <c r="K104" s="163"/>
      <c r="L104" s="376"/>
      <c r="M104" s="376"/>
      <c r="N104" s="376"/>
      <c r="O104" s="376"/>
      <c r="P104" s="376"/>
    </row>
    <row r="105" spans="1:16" s="377" customFormat="1" ht="17.25" outlineLevel="1">
      <c r="A105" s="617"/>
      <c r="B105" s="312"/>
      <c r="C105" s="313"/>
      <c r="D105" s="323"/>
      <c r="E105" s="298"/>
      <c r="F105" s="298"/>
      <c r="G105" s="298"/>
      <c r="H105" s="298"/>
      <c r="I105" s="399" t="str">
        <f t="shared" si="6"/>
        <v/>
      </c>
      <c r="J105" s="374"/>
      <c r="K105" s="163"/>
      <c r="L105" s="376"/>
      <c r="M105" s="376"/>
      <c r="N105" s="376"/>
      <c r="O105" s="376"/>
      <c r="P105" s="376"/>
    </row>
    <row r="106" spans="1:16" s="165" customFormat="1" ht="17.25" outlineLevel="1">
      <c r="A106" s="160"/>
      <c r="B106" s="313" t="s">
        <v>767</v>
      </c>
      <c r="C106" s="313"/>
      <c r="D106" s="368"/>
      <c r="E106" s="298"/>
      <c r="F106" s="298"/>
      <c r="G106" s="298"/>
      <c r="H106" s="298"/>
      <c r="I106" s="399" t="str">
        <f t="shared" si="6"/>
        <v/>
      </c>
      <c r="J106" s="162"/>
      <c r="K106" s="163"/>
      <c r="L106" s="164"/>
      <c r="M106" s="164"/>
      <c r="N106" s="164"/>
      <c r="O106" s="164"/>
      <c r="P106" s="164"/>
    </row>
    <row r="107" spans="1:16" s="165" customFormat="1" ht="69" outlineLevel="1">
      <c r="A107" s="160"/>
      <c r="B107" s="312" t="s">
        <v>768</v>
      </c>
      <c r="C107" s="313"/>
      <c r="D107" s="368"/>
      <c r="E107" s="298"/>
      <c r="F107" s="304" t="s">
        <v>624</v>
      </c>
      <c r="G107" s="298"/>
      <c r="H107" s="298"/>
      <c r="I107" s="399" t="str">
        <f t="shared" si="6"/>
        <v/>
      </c>
      <c r="J107" s="162"/>
      <c r="K107" s="163"/>
      <c r="L107" s="164"/>
      <c r="M107" s="164"/>
      <c r="N107" s="164"/>
      <c r="O107" s="164"/>
      <c r="P107" s="164"/>
    </row>
    <row r="108" spans="1:16" s="165" customFormat="1" ht="17.25" outlineLevel="1">
      <c r="A108" s="160"/>
      <c r="B108" s="313" t="s">
        <v>769</v>
      </c>
      <c r="C108" s="313" t="s">
        <v>2</v>
      </c>
      <c r="D108" s="368">
        <f>1*0</f>
        <v>0</v>
      </c>
      <c r="E108" s="298">
        <v>1</v>
      </c>
      <c r="F108" s="298">
        <f>3.14*4.3^2</f>
        <v>58.058599999999998</v>
      </c>
      <c r="G108" s="298"/>
      <c r="H108" s="298">
        <v>0.2</v>
      </c>
      <c r="I108" s="399" t="str">
        <f t="shared" si="6"/>
        <v/>
      </c>
      <c r="J108" s="162"/>
      <c r="K108" s="163"/>
      <c r="L108" s="164"/>
      <c r="M108" s="164"/>
      <c r="N108" s="164"/>
      <c r="O108" s="164"/>
      <c r="P108" s="164"/>
    </row>
    <row r="109" spans="1:16" s="165" customFormat="1" ht="17.25" outlineLevel="1">
      <c r="A109" s="160"/>
      <c r="B109" s="313" t="s">
        <v>1134</v>
      </c>
      <c r="C109" s="313" t="s">
        <v>2</v>
      </c>
      <c r="D109" s="368">
        <v>1</v>
      </c>
      <c r="E109" s="298">
        <v>1</v>
      </c>
      <c r="F109" s="298">
        <f>3.14*2.6^2</f>
        <v>21.226400000000002</v>
      </c>
      <c r="G109" s="298"/>
      <c r="H109" s="298">
        <v>0.2</v>
      </c>
      <c r="I109" s="399">
        <f t="shared" si="6"/>
        <v>4.25</v>
      </c>
      <c r="J109" s="162"/>
      <c r="K109" s="304" t="s">
        <v>624</v>
      </c>
      <c r="L109" s="164"/>
      <c r="M109" s="164"/>
      <c r="N109" s="164"/>
      <c r="O109" s="164"/>
      <c r="P109" s="164"/>
    </row>
    <row r="110" spans="1:16" s="165" customFormat="1" ht="17.25" outlineLevel="1">
      <c r="A110" s="160"/>
      <c r="B110" s="313"/>
      <c r="C110" s="313"/>
      <c r="D110" s="368"/>
      <c r="E110" s="298"/>
      <c r="F110" s="298"/>
      <c r="G110" s="298"/>
      <c r="H110" s="298"/>
      <c r="I110" s="399" t="str">
        <f t="shared" si="6"/>
        <v/>
      </c>
      <c r="J110" s="162"/>
      <c r="K110" s="163"/>
      <c r="L110" s="164"/>
      <c r="M110" s="164"/>
      <c r="N110" s="164"/>
      <c r="O110" s="164"/>
      <c r="P110" s="164"/>
    </row>
    <row r="111" spans="1:16" s="165" customFormat="1" ht="34.5" outlineLevel="1">
      <c r="A111" s="160"/>
      <c r="B111" s="312" t="s">
        <v>1135</v>
      </c>
      <c r="C111" s="313" t="s">
        <v>2</v>
      </c>
      <c r="D111" s="368">
        <v>2</v>
      </c>
      <c r="E111" s="298">
        <v>2</v>
      </c>
      <c r="F111" s="298">
        <v>0.75</v>
      </c>
      <c r="G111" s="298">
        <v>0.2</v>
      </c>
      <c r="H111" s="298">
        <v>0.85</v>
      </c>
      <c r="I111" s="399">
        <f t="shared" si="6"/>
        <v>0.51</v>
      </c>
      <c r="J111" s="162"/>
      <c r="K111" s="163"/>
      <c r="L111" s="164"/>
      <c r="M111" s="164"/>
      <c r="N111" s="164"/>
      <c r="O111" s="164"/>
      <c r="P111" s="164"/>
    </row>
    <row r="112" spans="1:16" s="165" customFormat="1" ht="17.25" outlineLevel="1">
      <c r="A112" s="160"/>
      <c r="B112" s="313"/>
      <c r="C112" s="313" t="s">
        <v>2</v>
      </c>
      <c r="D112" s="368">
        <v>2</v>
      </c>
      <c r="E112" s="298">
        <v>2</v>
      </c>
      <c r="F112" s="298">
        <f>0.75+0.2+0.2</f>
        <v>1.1499999999999999</v>
      </c>
      <c r="G112" s="298">
        <v>0.2</v>
      </c>
      <c r="H112" s="298">
        <v>0.85</v>
      </c>
      <c r="I112" s="399">
        <f t="shared" si="6"/>
        <v>0.78</v>
      </c>
      <c r="J112" s="162"/>
      <c r="K112" s="163"/>
      <c r="L112" s="164"/>
      <c r="M112" s="164"/>
      <c r="N112" s="164"/>
      <c r="O112" s="164"/>
      <c r="P112" s="164"/>
    </row>
    <row r="113" spans="1:16" s="377" customFormat="1" ht="34.5" outlineLevel="1">
      <c r="A113" s="414"/>
      <c r="B113" s="312" t="s">
        <v>1136</v>
      </c>
      <c r="C113" s="313"/>
      <c r="D113" s="368"/>
      <c r="E113" s="298"/>
      <c r="F113" s="540"/>
      <c r="G113" s="298"/>
      <c r="H113" s="540"/>
      <c r="I113" s="399" t="str">
        <f t="shared" si="6"/>
        <v/>
      </c>
      <c r="J113" s="394"/>
      <c r="K113" s="394"/>
      <c r="L113" s="376"/>
      <c r="M113" s="376"/>
      <c r="N113" s="376"/>
      <c r="O113" s="376"/>
      <c r="P113" s="376"/>
    </row>
    <row r="114" spans="1:16" s="165" customFormat="1" ht="17.25" outlineLevel="1">
      <c r="A114" s="160"/>
      <c r="B114" s="453" t="s">
        <v>1137</v>
      </c>
      <c r="C114" s="313" t="s">
        <v>2</v>
      </c>
      <c r="D114" s="368">
        <v>1</v>
      </c>
      <c r="E114" s="298">
        <v>2</v>
      </c>
      <c r="F114" s="540">
        <v>1</v>
      </c>
      <c r="G114" s="298">
        <v>0.2</v>
      </c>
      <c r="H114" s="540">
        <v>1</v>
      </c>
      <c r="I114" s="399">
        <f t="shared" si="6"/>
        <v>0.4</v>
      </c>
      <c r="J114" s="166"/>
      <c r="K114" s="166"/>
      <c r="L114" s="164"/>
      <c r="M114" s="164"/>
      <c r="N114" s="164"/>
      <c r="O114" s="164"/>
      <c r="P114" s="164"/>
    </row>
    <row r="115" spans="1:16" s="165" customFormat="1" ht="17.25" outlineLevel="1">
      <c r="A115" s="497"/>
      <c r="B115" s="425"/>
      <c r="C115" s="313" t="s">
        <v>2</v>
      </c>
      <c r="D115" s="368">
        <v>1</v>
      </c>
      <c r="E115" s="298">
        <v>2</v>
      </c>
      <c r="F115" s="540">
        <f>1+0.2+0.2</f>
        <v>1.4</v>
      </c>
      <c r="G115" s="298">
        <v>0.2</v>
      </c>
      <c r="H115" s="540">
        <v>1</v>
      </c>
      <c r="I115" s="399">
        <f t="shared" si="6"/>
        <v>0.56000000000000005</v>
      </c>
      <c r="J115" s="166"/>
      <c r="K115" s="166"/>
      <c r="L115" s="164"/>
      <c r="M115" s="164"/>
      <c r="N115" s="164"/>
      <c r="O115" s="164"/>
      <c r="P115" s="164"/>
    </row>
    <row r="116" spans="1:16" s="165" customFormat="1" ht="17.25" outlineLevel="1">
      <c r="A116" s="497"/>
      <c r="B116" s="425" t="s">
        <v>1138</v>
      </c>
      <c r="C116" s="313" t="s">
        <v>2</v>
      </c>
      <c r="D116" s="368">
        <v>1</v>
      </c>
      <c r="E116" s="307">
        <v>1</v>
      </c>
      <c r="F116" s="540">
        <f>1+0.2+0.2</f>
        <v>1.4</v>
      </c>
      <c r="G116" s="540">
        <f>1+0.2+0.2</f>
        <v>1.4</v>
      </c>
      <c r="H116" s="540">
        <v>0.2</v>
      </c>
      <c r="I116" s="399">
        <f t="shared" si="6"/>
        <v>0.39</v>
      </c>
      <c r="J116" s="166"/>
      <c r="K116" s="166"/>
      <c r="L116" s="164"/>
      <c r="M116" s="164"/>
      <c r="N116" s="164"/>
      <c r="O116" s="164"/>
      <c r="P116" s="164"/>
    </row>
    <row r="117" spans="1:16" s="165" customFormat="1" ht="17.25" outlineLevel="1">
      <c r="A117" s="160"/>
      <c r="B117" s="366"/>
      <c r="C117" s="323"/>
      <c r="D117" s="306"/>
      <c r="E117" s="319"/>
      <c r="F117" s="667">
        <f>(J52+SUM(I53:I53))*B117*0</f>
        <v>0</v>
      </c>
      <c r="G117" s="667"/>
      <c r="H117" s="667"/>
      <c r="I117" s="294" t="str">
        <f t="shared" ref="I117" si="9">IF(D117&lt;&gt;0,ROUND(PRODUCT(E117:H117)*D117,2),"")</f>
        <v/>
      </c>
      <c r="J117" s="162"/>
      <c r="K117" s="163"/>
      <c r="L117" s="164"/>
      <c r="M117" s="164"/>
      <c r="N117" s="164"/>
      <c r="O117" s="164"/>
      <c r="P117" s="164"/>
    </row>
    <row r="118" spans="1:16" s="49" customFormat="1">
      <c r="A118" s="157"/>
      <c r="B118" s="158" t="s">
        <v>85</v>
      </c>
      <c r="C118" s="159" t="s">
        <v>2</v>
      </c>
      <c r="D118" s="646"/>
      <c r="E118" s="647"/>
      <c r="F118" s="648"/>
      <c r="G118" s="648"/>
      <c r="H118" s="648"/>
      <c r="I118" s="30" t="s">
        <v>313</v>
      </c>
      <c r="J118" s="227">
        <f>SUM(I6:I118)</f>
        <v>28.949999999999982</v>
      </c>
      <c r="K118" s="43"/>
      <c r="L118" s="233"/>
      <c r="M118" s="233"/>
      <c r="N118" s="233"/>
      <c r="O118" s="233"/>
      <c r="P118" s="233"/>
    </row>
    <row r="119" spans="1:16" s="165" customFormat="1" ht="17.25">
      <c r="A119" s="160"/>
      <c r="B119" s="366"/>
      <c r="C119" s="323"/>
      <c r="D119" s="306"/>
      <c r="E119" s="319"/>
      <c r="F119" s="640"/>
      <c r="G119" s="640"/>
      <c r="H119" s="640"/>
      <c r="I119" s="294" t="str">
        <f t="shared" ref="I119" si="10">IF(D119&lt;&gt;0,ROUND(PRODUCT(E119:H119)*D119,2),"")</f>
        <v/>
      </c>
      <c r="J119" s="162"/>
      <c r="K119" s="163"/>
      <c r="L119" s="164"/>
      <c r="M119" s="164"/>
      <c r="N119" s="164"/>
      <c r="O119" s="164"/>
      <c r="P119" s="164"/>
    </row>
    <row r="120" spans="1:16" s="15" customFormat="1" ht="17.25">
      <c r="A120" s="155"/>
      <c r="B120" s="33" t="s">
        <v>86</v>
      </c>
      <c r="C120" s="23" t="s">
        <v>2</v>
      </c>
      <c r="D120" s="649"/>
      <c r="E120" s="16"/>
      <c r="F120" s="1"/>
      <c r="G120" s="1"/>
      <c r="H120" s="1"/>
      <c r="I120" s="166" t="str">
        <f t="shared" ref="I120:I121" si="11">IF(D120&lt;&gt;0,ROUND(PRODUCT(E120:H120)*D120,2),"")</f>
        <v/>
      </c>
      <c r="J120" s="36">
        <f>SUM(I119:I120)</f>
        <v>0</v>
      </c>
      <c r="K120" s="35" t="s">
        <v>1690</v>
      </c>
      <c r="L120" s="156"/>
      <c r="M120" s="156"/>
      <c r="N120" s="156"/>
      <c r="O120" s="156"/>
      <c r="P120" s="156"/>
    </row>
    <row r="121" spans="1:16" s="15" customFormat="1">
      <c r="A121" s="155"/>
      <c r="B121" s="22"/>
      <c r="C121" s="9"/>
      <c r="D121" s="29"/>
      <c r="E121" s="16"/>
      <c r="F121" s="1"/>
      <c r="G121" s="1"/>
      <c r="H121" s="1"/>
      <c r="I121" s="46" t="str">
        <f t="shared" si="11"/>
        <v/>
      </c>
      <c r="J121" s="31">
        <f>SUM(J118:J120)</f>
        <v>28.949999999999982</v>
      </c>
      <c r="K121" s="27"/>
      <c r="L121" s="156"/>
      <c r="M121" s="156"/>
      <c r="N121" s="156"/>
      <c r="O121" s="156"/>
      <c r="P121" s="156"/>
    </row>
    <row r="122" spans="1:16">
      <c r="A122" s="316">
        <v>2</v>
      </c>
      <c r="B122" s="11" t="s">
        <v>373</v>
      </c>
      <c r="C122" s="38"/>
      <c r="D122" s="38"/>
      <c r="E122" s="645"/>
      <c r="F122" s="645"/>
      <c r="G122" s="645"/>
      <c r="H122" s="645"/>
      <c r="I122" s="13"/>
      <c r="J122" s="24"/>
      <c r="K122" s="14"/>
    </row>
    <row r="123" spans="1:16" s="19" customFormat="1" ht="15.75" customHeight="1" outlineLevel="1">
      <c r="A123" s="223"/>
      <c r="B123" s="16" t="s">
        <v>594</v>
      </c>
      <c r="C123" s="15" t="s">
        <v>374</v>
      </c>
      <c r="D123" s="173">
        <v>1</v>
      </c>
      <c r="E123" s="45"/>
      <c r="F123" s="45">
        <v>2.12</v>
      </c>
      <c r="G123" s="45"/>
      <c r="H123" s="45"/>
      <c r="I123" s="1150">
        <f t="shared" ref="I123:I124" si="12">IF(D123&lt;&gt;0,ROUND(PRODUCT(E123:H123)*D123,2),"")</f>
        <v>2.12</v>
      </c>
      <c r="J123" s="174"/>
      <c r="K123" s="175" t="s">
        <v>805</v>
      </c>
      <c r="L123" s="18"/>
      <c r="M123" s="18"/>
      <c r="N123" s="18"/>
    </row>
    <row r="124" spans="1:16" s="165" customFormat="1" ht="17.25" outlineLevel="1">
      <c r="A124" s="160"/>
      <c r="B124" s="311" t="s">
        <v>773</v>
      </c>
      <c r="C124" s="319" t="s">
        <v>374</v>
      </c>
      <c r="D124" s="306">
        <v>1</v>
      </c>
      <c r="E124" s="311"/>
      <c r="F124" s="543">
        <v>1.1936618365432101</v>
      </c>
      <c r="G124" s="543"/>
      <c r="H124" s="543"/>
      <c r="I124" s="1150">
        <f t="shared" si="12"/>
        <v>1.19</v>
      </c>
      <c r="J124" s="162"/>
      <c r="K124" s="163"/>
      <c r="L124" s="164"/>
      <c r="M124" s="164"/>
      <c r="N124" s="164"/>
      <c r="O124" s="164"/>
      <c r="P124" s="164"/>
    </row>
    <row r="125" spans="1:16" s="49" customFormat="1">
      <c r="A125" s="157"/>
      <c r="B125" s="158" t="s">
        <v>85</v>
      </c>
      <c r="C125" s="159" t="s">
        <v>374</v>
      </c>
      <c r="D125" s="646"/>
      <c r="E125" s="647"/>
      <c r="F125" s="648"/>
      <c r="G125" s="648"/>
      <c r="H125" s="648"/>
      <c r="I125" s="30" t="s">
        <v>313</v>
      </c>
      <c r="J125" s="227">
        <f>SUM(I122:I125)</f>
        <v>3.31</v>
      </c>
      <c r="K125" s="43"/>
      <c r="L125" s="233"/>
      <c r="M125" s="233"/>
      <c r="N125" s="233"/>
      <c r="O125" s="233"/>
      <c r="P125" s="233"/>
    </row>
    <row r="126" spans="1:16" s="165" customFormat="1" ht="17.25">
      <c r="A126" s="160"/>
      <c r="B126" s="311" t="s">
        <v>773</v>
      </c>
      <c r="C126" s="319" t="s">
        <v>374</v>
      </c>
      <c r="D126" s="306"/>
      <c r="E126" s="311"/>
      <c r="F126" s="543"/>
      <c r="G126" s="543"/>
      <c r="H126" s="543"/>
      <c r="I126" s="917"/>
      <c r="J126" s="162"/>
      <c r="K126" s="163"/>
      <c r="L126" s="164"/>
      <c r="M126" s="164"/>
      <c r="N126" s="164"/>
      <c r="O126" s="164"/>
      <c r="P126" s="164"/>
    </row>
    <row r="127" spans="1:16" s="15" customFormat="1" ht="17.25">
      <c r="A127" s="155"/>
      <c r="B127" s="33" t="s">
        <v>86</v>
      </c>
      <c r="C127" s="23" t="s">
        <v>374</v>
      </c>
      <c r="D127" s="649"/>
      <c r="E127" s="16"/>
      <c r="F127" s="1"/>
      <c r="G127" s="1"/>
      <c r="H127" s="1"/>
      <c r="I127" s="166" t="str">
        <f t="shared" ref="I127:I128" si="13">IF(D127&lt;&gt;0,ROUND(PRODUCT(E127:H127)*D127,2),"")</f>
        <v/>
      </c>
      <c r="J127" s="36">
        <f>SUM(I126:I127)</f>
        <v>0</v>
      </c>
      <c r="K127" s="27"/>
      <c r="L127" s="156"/>
      <c r="M127" s="156"/>
      <c r="N127" s="156"/>
      <c r="O127" s="156"/>
      <c r="P127" s="156"/>
    </row>
    <row r="128" spans="1:16" s="15" customFormat="1">
      <c r="A128" s="155"/>
      <c r="B128" s="22"/>
      <c r="C128" s="9"/>
      <c r="D128" s="29"/>
      <c r="E128" s="16"/>
      <c r="F128" s="1"/>
      <c r="G128" s="1"/>
      <c r="H128" s="1"/>
      <c r="I128" s="46" t="str">
        <f t="shared" si="13"/>
        <v/>
      </c>
      <c r="J128" s="31">
        <f>SUM(J125:J127)</f>
        <v>3.31</v>
      </c>
      <c r="K128" s="27"/>
      <c r="L128" s="156"/>
      <c r="M128" s="156"/>
      <c r="N128" s="156"/>
      <c r="O128" s="156"/>
      <c r="P128" s="156"/>
    </row>
    <row r="129" spans="1:16">
      <c r="A129" s="316">
        <v>3</v>
      </c>
      <c r="B129" s="11" t="s">
        <v>759</v>
      </c>
      <c r="C129" s="38"/>
      <c r="D129" s="38"/>
      <c r="E129" s="645"/>
      <c r="F129" s="645"/>
      <c r="G129" s="645"/>
      <c r="H129" s="645"/>
      <c r="I129" s="13"/>
      <c r="J129" s="24"/>
      <c r="K129" s="14"/>
    </row>
    <row r="130" spans="1:16" s="170" customFormat="1" ht="17.25" outlineLevel="1">
      <c r="A130" s="167"/>
      <c r="B130" s="312" t="s">
        <v>729</v>
      </c>
      <c r="C130" s="313"/>
      <c r="D130" s="323"/>
      <c r="E130" s="304"/>
      <c r="F130" s="304"/>
      <c r="G130" s="304"/>
      <c r="H130" s="304"/>
      <c r="I130" s="294" t="str">
        <f t="shared" ref="I130:I169" si="14">IF(D130&lt;&gt;0,ROUND(PRODUCT(E130:H130)*D130,2),"")</f>
        <v/>
      </c>
      <c r="J130" s="162"/>
      <c r="K130" s="168"/>
      <c r="L130" s="169"/>
      <c r="M130" s="169"/>
      <c r="N130" s="169"/>
      <c r="O130" s="169"/>
      <c r="P130" s="169"/>
    </row>
    <row r="131" spans="1:16" s="170" customFormat="1" ht="17.25" outlineLevel="1">
      <c r="A131" s="167"/>
      <c r="B131" s="312"/>
      <c r="C131" s="313" t="s">
        <v>2</v>
      </c>
      <c r="D131" s="323"/>
      <c r="E131" s="298"/>
      <c r="F131" s="298"/>
      <c r="G131" s="298"/>
      <c r="H131" s="298"/>
      <c r="I131" s="294" t="str">
        <f t="shared" si="14"/>
        <v/>
      </c>
      <c r="J131" s="162"/>
      <c r="K131" s="168"/>
      <c r="L131" s="169"/>
      <c r="M131" s="169"/>
      <c r="N131" s="169"/>
      <c r="O131" s="169"/>
      <c r="P131" s="169"/>
    </row>
    <row r="132" spans="1:16" s="170" customFormat="1" ht="17.25" outlineLevel="1">
      <c r="A132" s="167"/>
      <c r="B132" s="312" t="s">
        <v>730</v>
      </c>
      <c r="C132" s="313" t="s">
        <v>2</v>
      </c>
      <c r="D132" s="323">
        <v>1</v>
      </c>
      <c r="E132" s="298">
        <v>1</v>
      </c>
      <c r="F132" s="1155">
        <v>67.037999999999997</v>
      </c>
      <c r="G132" s="1156">
        <f>0.46+0.15</f>
        <v>0.61</v>
      </c>
      <c r="H132" s="1156">
        <v>0.15</v>
      </c>
      <c r="I132" s="399">
        <f t="shared" si="14"/>
        <v>6.13</v>
      </c>
      <c r="J132" s="162"/>
      <c r="K132" s="168"/>
      <c r="L132" s="169"/>
      <c r="M132" s="169"/>
      <c r="N132" s="169"/>
      <c r="O132" s="169"/>
      <c r="P132" s="169"/>
    </row>
    <row r="133" spans="1:16" s="170" customFormat="1" ht="17.25" outlineLevel="1">
      <c r="A133" s="167"/>
      <c r="B133" s="312" t="s">
        <v>731</v>
      </c>
      <c r="C133" s="313" t="s">
        <v>2</v>
      </c>
      <c r="D133" s="323">
        <v>1</v>
      </c>
      <c r="E133" s="298">
        <v>1</v>
      </c>
      <c r="F133" s="1155">
        <v>1.4530000000000001</v>
      </c>
      <c r="G133" s="1156">
        <f>0.6+0.1</f>
        <v>0.7</v>
      </c>
      <c r="H133" s="1156">
        <v>0.1</v>
      </c>
      <c r="I133" s="399">
        <f t="shared" si="14"/>
        <v>0.1</v>
      </c>
      <c r="J133" s="162"/>
      <c r="K133" s="168"/>
      <c r="L133" s="169"/>
      <c r="M133" s="169"/>
      <c r="N133" s="169"/>
      <c r="O133" s="169"/>
      <c r="P133" s="169"/>
    </row>
    <row r="134" spans="1:16" s="170" customFormat="1" ht="17.25" outlineLevel="1">
      <c r="A134" s="167"/>
      <c r="B134" s="312"/>
      <c r="C134" s="313" t="s">
        <v>2</v>
      </c>
      <c r="D134" s="323">
        <v>1</v>
      </c>
      <c r="E134" s="298">
        <v>1</v>
      </c>
      <c r="F134" s="1155">
        <v>1.304</v>
      </c>
      <c r="G134" s="1156">
        <f>0.6+0.1</f>
        <v>0.7</v>
      </c>
      <c r="H134" s="1156">
        <v>0.1</v>
      </c>
      <c r="I134" s="399">
        <f t="shared" si="14"/>
        <v>0.09</v>
      </c>
      <c r="J134" s="162"/>
      <c r="K134" s="168"/>
      <c r="L134" s="169"/>
      <c r="M134" s="169"/>
      <c r="N134" s="169"/>
      <c r="O134" s="169"/>
      <c r="P134" s="169"/>
    </row>
    <row r="135" spans="1:16" s="170" customFormat="1" ht="17.25" outlineLevel="1">
      <c r="A135" s="167"/>
      <c r="B135" s="312"/>
      <c r="C135" s="313" t="s">
        <v>2</v>
      </c>
      <c r="D135" s="323">
        <v>1</v>
      </c>
      <c r="E135" s="298">
        <v>1</v>
      </c>
      <c r="F135" s="1155">
        <v>1.2</v>
      </c>
      <c r="G135" s="1156">
        <f>0.6+0.1</f>
        <v>0.7</v>
      </c>
      <c r="H135" s="1156">
        <v>0.1</v>
      </c>
      <c r="I135" s="399">
        <f t="shared" si="14"/>
        <v>0.08</v>
      </c>
      <c r="J135" s="162"/>
      <c r="K135" s="168"/>
      <c r="L135" s="169"/>
      <c r="M135" s="169"/>
      <c r="N135" s="169"/>
      <c r="O135" s="169"/>
      <c r="P135" s="169"/>
    </row>
    <row r="136" spans="1:16" s="170" customFormat="1" ht="17.25" outlineLevel="1">
      <c r="A136" s="167"/>
      <c r="B136" s="312"/>
      <c r="C136" s="313" t="s">
        <v>2</v>
      </c>
      <c r="D136" s="323">
        <v>1</v>
      </c>
      <c r="E136" s="298">
        <v>1</v>
      </c>
      <c r="F136" s="1155">
        <v>1.252</v>
      </c>
      <c r="G136" s="1156">
        <f>0.6+0.1</f>
        <v>0.7</v>
      </c>
      <c r="H136" s="1156">
        <v>0.1</v>
      </c>
      <c r="I136" s="399">
        <f t="shared" si="14"/>
        <v>0.09</v>
      </c>
      <c r="J136" s="162"/>
      <c r="K136" s="168"/>
      <c r="L136" s="169"/>
      <c r="M136" s="169"/>
      <c r="N136" s="169"/>
      <c r="O136" s="169"/>
      <c r="P136" s="169"/>
    </row>
    <row r="137" spans="1:16" s="170" customFormat="1" ht="17.25" outlineLevel="1">
      <c r="A137" s="167"/>
      <c r="B137" s="312"/>
      <c r="C137" s="313" t="s">
        <v>2</v>
      </c>
      <c r="D137" s="323"/>
      <c r="E137" s="298"/>
      <c r="F137" s="1156" t="s">
        <v>624</v>
      </c>
      <c r="G137" s="1156"/>
      <c r="H137" s="1156"/>
      <c r="I137" s="399" t="str">
        <f t="shared" si="14"/>
        <v/>
      </c>
      <c r="J137" s="162"/>
      <c r="K137" s="168"/>
      <c r="L137" s="169"/>
      <c r="M137" s="169"/>
      <c r="N137" s="169"/>
      <c r="O137" s="169"/>
      <c r="P137" s="169"/>
    </row>
    <row r="138" spans="1:16" s="170" customFormat="1" ht="17.25" outlineLevel="1">
      <c r="A138" s="167"/>
      <c r="B138" s="312" t="s">
        <v>732</v>
      </c>
      <c r="C138" s="313" t="s">
        <v>2</v>
      </c>
      <c r="D138" s="323">
        <v>1</v>
      </c>
      <c r="E138" s="298">
        <v>1</v>
      </c>
      <c r="F138" s="1156">
        <v>152.084</v>
      </c>
      <c r="G138" s="1156"/>
      <c r="H138" s="1156">
        <v>7.4999999999999997E-2</v>
      </c>
      <c r="I138" s="399">
        <f t="shared" si="14"/>
        <v>11.41</v>
      </c>
      <c r="J138" s="162"/>
      <c r="K138" s="168"/>
      <c r="L138" s="169"/>
      <c r="M138" s="169"/>
      <c r="N138" s="169"/>
      <c r="O138" s="169"/>
      <c r="P138" s="169"/>
    </row>
    <row r="139" spans="1:16" s="170" customFormat="1" ht="17.25" outlineLevel="1">
      <c r="A139" s="167"/>
      <c r="B139" s="312"/>
      <c r="C139" s="313" t="s">
        <v>2</v>
      </c>
      <c r="D139" s="323"/>
      <c r="E139" s="298"/>
      <c r="F139" s="1156"/>
      <c r="G139" s="1156"/>
      <c r="H139" s="1156"/>
      <c r="I139" s="399" t="str">
        <f t="shared" si="14"/>
        <v/>
      </c>
      <c r="J139" s="162"/>
      <c r="K139" s="168"/>
      <c r="L139" s="169"/>
      <c r="M139" s="169"/>
      <c r="N139" s="169"/>
      <c r="O139" s="169"/>
      <c r="P139" s="169"/>
    </row>
    <row r="140" spans="1:16" s="170" customFormat="1" ht="17.25" outlineLevel="1">
      <c r="A140" s="167"/>
      <c r="B140" s="312" t="s">
        <v>733</v>
      </c>
      <c r="C140" s="313" t="s">
        <v>2</v>
      </c>
      <c r="D140" s="323">
        <v>24</v>
      </c>
      <c r="E140" s="298">
        <v>1</v>
      </c>
      <c r="F140" s="1156">
        <f>2-0.04</f>
        <v>1.96</v>
      </c>
      <c r="G140" s="1156">
        <f>0.345+0.15+0.15</f>
        <v>0.64500000000000002</v>
      </c>
      <c r="H140" s="1156">
        <v>0.15</v>
      </c>
      <c r="I140" s="399">
        <f t="shared" si="14"/>
        <v>4.55</v>
      </c>
      <c r="J140" s="162"/>
      <c r="K140" s="168"/>
      <c r="L140" s="169"/>
      <c r="M140" s="169"/>
      <c r="N140" s="169"/>
      <c r="O140" s="169"/>
      <c r="P140" s="169"/>
    </row>
    <row r="141" spans="1:16" s="170" customFormat="1" ht="17.25" outlineLevel="1">
      <c r="A141" s="167"/>
      <c r="B141" s="312"/>
      <c r="C141" s="313" t="s">
        <v>2</v>
      </c>
      <c r="D141" s="323"/>
      <c r="E141" s="298"/>
      <c r="F141" s="1156" t="s">
        <v>624</v>
      </c>
      <c r="G141" s="1156"/>
      <c r="H141" s="1156"/>
      <c r="I141" s="399" t="str">
        <f t="shared" si="14"/>
        <v/>
      </c>
      <c r="J141" s="162"/>
      <c r="K141" s="168"/>
      <c r="L141" s="169"/>
      <c r="M141" s="169"/>
      <c r="N141" s="169"/>
      <c r="O141" s="169"/>
      <c r="P141" s="169"/>
    </row>
    <row r="142" spans="1:16" s="170" customFormat="1" ht="34.5" outlineLevel="1">
      <c r="A142" s="167"/>
      <c r="B142" s="312" t="s">
        <v>734</v>
      </c>
      <c r="C142" s="313" t="s">
        <v>2</v>
      </c>
      <c r="D142" s="323">
        <v>7</v>
      </c>
      <c r="E142" s="298">
        <v>1</v>
      </c>
      <c r="F142" s="1156">
        <f>3.14*0.58^2</f>
        <v>1.0562959999999999</v>
      </c>
      <c r="G142" s="1156"/>
      <c r="H142" s="1156">
        <v>0.15</v>
      </c>
      <c r="I142" s="399">
        <f t="shared" si="14"/>
        <v>1.1100000000000001</v>
      </c>
      <c r="J142" s="162"/>
      <c r="K142" s="168"/>
      <c r="L142" s="169"/>
      <c r="M142" s="169"/>
      <c r="N142" s="169"/>
      <c r="O142" s="169"/>
      <c r="P142" s="169"/>
    </row>
    <row r="143" spans="1:16" s="170" customFormat="1" ht="34.5" outlineLevel="1">
      <c r="A143" s="167"/>
      <c r="B143" s="312" t="s">
        <v>758</v>
      </c>
      <c r="C143" s="313" t="s">
        <v>2</v>
      </c>
      <c r="D143" s="323"/>
      <c r="E143" s="298"/>
      <c r="F143" s="1156"/>
      <c r="G143" s="1156"/>
      <c r="H143" s="1156"/>
      <c r="I143" s="399" t="str">
        <f t="shared" si="14"/>
        <v/>
      </c>
      <c r="J143" s="162"/>
      <c r="K143" s="168"/>
      <c r="L143" s="169"/>
      <c r="M143" s="169"/>
      <c r="N143" s="169"/>
      <c r="O143" s="169"/>
      <c r="P143" s="169"/>
    </row>
    <row r="144" spans="1:16" s="170" customFormat="1" ht="17.25" outlineLevel="1">
      <c r="A144" s="167"/>
      <c r="B144" s="312" t="s">
        <v>735</v>
      </c>
      <c r="C144" s="313" t="s">
        <v>2</v>
      </c>
      <c r="D144" s="323">
        <v>1</v>
      </c>
      <c r="E144" s="298">
        <v>1</v>
      </c>
      <c r="F144" s="1156">
        <f>3.14*3</f>
        <v>9.42</v>
      </c>
      <c r="G144" s="1156">
        <f t="shared" ref="G144:G157" si="15">0.46+0.15</f>
        <v>0.61</v>
      </c>
      <c r="H144" s="1156">
        <v>0.15</v>
      </c>
      <c r="I144" s="399">
        <f t="shared" si="14"/>
        <v>0.86</v>
      </c>
      <c r="J144" s="162"/>
      <c r="K144" s="168"/>
      <c r="L144" s="169"/>
      <c r="M144" s="169"/>
      <c r="N144" s="169"/>
      <c r="O144" s="169"/>
      <c r="P144" s="169"/>
    </row>
    <row r="145" spans="1:16" s="170" customFormat="1" ht="17.25" outlineLevel="1">
      <c r="A145" s="167"/>
      <c r="B145" s="312" t="s">
        <v>736</v>
      </c>
      <c r="C145" s="313" t="s">
        <v>2</v>
      </c>
      <c r="D145" s="323">
        <v>1</v>
      </c>
      <c r="E145" s="298">
        <v>1</v>
      </c>
      <c r="F145" s="1156">
        <f>3.14*3</f>
        <v>9.42</v>
      </c>
      <c r="G145" s="1156">
        <f t="shared" si="15"/>
        <v>0.61</v>
      </c>
      <c r="H145" s="1156">
        <v>0.15</v>
      </c>
      <c r="I145" s="399">
        <f t="shared" si="14"/>
        <v>0.86</v>
      </c>
      <c r="J145" s="162"/>
      <c r="K145" s="168"/>
      <c r="L145" s="169"/>
      <c r="M145" s="169"/>
      <c r="N145" s="169"/>
      <c r="O145" s="169"/>
      <c r="P145" s="169"/>
    </row>
    <row r="146" spans="1:16" s="170" customFormat="1" ht="17.25" outlineLevel="1">
      <c r="A146" s="167"/>
      <c r="B146" s="312" t="s">
        <v>737</v>
      </c>
      <c r="C146" s="313" t="s">
        <v>2</v>
      </c>
      <c r="D146" s="323">
        <v>1</v>
      </c>
      <c r="E146" s="298">
        <v>1</v>
      </c>
      <c r="F146" s="1156">
        <f>3.14*3.7</f>
        <v>11.618</v>
      </c>
      <c r="G146" s="1156">
        <f t="shared" si="15"/>
        <v>0.61</v>
      </c>
      <c r="H146" s="1156">
        <v>0.15</v>
      </c>
      <c r="I146" s="399">
        <f t="shared" si="14"/>
        <v>1.06</v>
      </c>
      <c r="J146" s="162"/>
      <c r="K146" s="168"/>
      <c r="L146" s="169"/>
      <c r="M146" s="169"/>
      <c r="N146" s="169"/>
      <c r="O146" s="169"/>
      <c r="P146" s="169"/>
    </row>
    <row r="147" spans="1:16" s="170" customFormat="1" ht="17.25" outlineLevel="1">
      <c r="A147" s="167"/>
      <c r="B147" s="312" t="s">
        <v>738</v>
      </c>
      <c r="C147" s="313" t="s">
        <v>2</v>
      </c>
      <c r="D147" s="323">
        <v>1</v>
      </c>
      <c r="E147" s="298">
        <v>1</v>
      </c>
      <c r="F147" s="1156">
        <f>3.14*3</f>
        <v>9.42</v>
      </c>
      <c r="G147" s="1156">
        <f t="shared" si="15"/>
        <v>0.61</v>
      </c>
      <c r="H147" s="1156">
        <v>0.15</v>
      </c>
      <c r="I147" s="399">
        <f t="shared" si="14"/>
        <v>0.86</v>
      </c>
      <c r="J147" s="162"/>
      <c r="K147" s="168"/>
      <c r="L147" s="169"/>
      <c r="M147" s="169"/>
      <c r="N147" s="169"/>
      <c r="O147" s="169"/>
      <c r="P147" s="169"/>
    </row>
    <row r="148" spans="1:16" s="170" customFormat="1" ht="17.25" outlineLevel="1">
      <c r="A148" s="167"/>
      <c r="B148" s="312" t="s">
        <v>739</v>
      </c>
      <c r="C148" s="313" t="s">
        <v>2</v>
      </c>
      <c r="D148" s="323">
        <v>1</v>
      </c>
      <c r="E148" s="298">
        <v>1</v>
      </c>
      <c r="F148" s="1156">
        <v>8.5660000000000007</v>
      </c>
      <c r="G148" s="1156">
        <f t="shared" si="15"/>
        <v>0.61</v>
      </c>
      <c r="H148" s="1156">
        <v>0.15</v>
      </c>
      <c r="I148" s="399">
        <f t="shared" si="14"/>
        <v>0.78</v>
      </c>
      <c r="J148" s="162"/>
      <c r="K148" s="168"/>
      <c r="L148" s="169"/>
      <c r="M148" s="169"/>
      <c r="N148" s="169"/>
      <c r="O148" s="169"/>
      <c r="P148" s="169"/>
    </row>
    <row r="149" spans="1:16" s="170" customFormat="1" ht="17.25" outlineLevel="1">
      <c r="A149" s="167"/>
      <c r="B149" s="312" t="s">
        <v>740</v>
      </c>
      <c r="C149" s="313" t="s">
        <v>2</v>
      </c>
      <c r="D149" s="323">
        <v>1</v>
      </c>
      <c r="E149" s="298">
        <v>1</v>
      </c>
      <c r="F149" s="1156">
        <f>3.14*2.7</f>
        <v>8.4780000000000015</v>
      </c>
      <c r="G149" s="1156">
        <f t="shared" si="15"/>
        <v>0.61</v>
      </c>
      <c r="H149" s="1156">
        <v>0.15</v>
      </c>
      <c r="I149" s="399">
        <f t="shared" si="14"/>
        <v>0.78</v>
      </c>
      <c r="J149" s="162"/>
      <c r="K149" s="168"/>
      <c r="L149" s="169"/>
      <c r="M149" s="169"/>
      <c r="N149" s="169"/>
      <c r="O149" s="169"/>
      <c r="P149" s="169"/>
    </row>
    <row r="150" spans="1:16" s="170" customFormat="1" ht="17.25" outlineLevel="1">
      <c r="A150" s="167"/>
      <c r="B150" s="312" t="s">
        <v>741</v>
      </c>
      <c r="C150" s="313" t="s">
        <v>2</v>
      </c>
      <c r="D150" s="323">
        <v>1</v>
      </c>
      <c r="E150" s="298">
        <v>1</v>
      </c>
      <c r="F150" s="1156">
        <f t="shared" ref="F150:F157" si="16">3.14*3</f>
        <v>9.42</v>
      </c>
      <c r="G150" s="1156">
        <f t="shared" si="15"/>
        <v>0.61</v>
      </c>
      <c r="H150" s="1156">
        <v>0.15</v>
      </c>
      <c r="I150" s="399">
        <f t="shared" si="14"/>
        <v>0.86</v>
      </c>
      <c r="J150" s="162"/>
      <c r="K150" s="168"/>
      <c r="L150" s="169"/>
      <c r="M150" s="169"/>
      <c r="N150" s="169"/>
      <c r="O150" s="169"/>
      <c r="P150" s="169"/>
    </row>
    <row r="151" spans="1:16" s="170" customFormat="1" ht="17.25" outlineLevel="1">
      <c r="A151" s="167"/>
      <c r="B151" s="312" t="s">
        <v>742</v>
      </c>
      <c r="C151" s="313" t="s">
        <v>2</v>
      </c>
      <c r="D151" s="323">
        <v>1</v>
      </c>
      <c r="E151" s="298">
        <v>1</v>
      </c>
      <c r="F151" s="1156">
        <f t="shared" si="16"/>
        <v>9.42</v>
      </c>
      <c r="G151" s="1156">
        <f t="shared" si="15"/>
        <v>0.61</v>
      </c>
      <c r="H151" s="1156">
        <v>0.15</v>
      </c>
      <c r="I151" s="399">
        <f t="shared" si="14"/>
        <v>0.86</v>
      </c>
      <c r="J151" s="162"/>
      <c r="K151" s="168"/>
      <c r="L151" s="169"/>
      <c r="M151" s="169"/>
      <c r="N151" s="169"/>
      <c r="O151" s="169"/>
      <c r="P151" s="169"/>
    </row>
    <row r="152" spans="1:16" s="170" customFormat="1" ht="17.25" outlineLevel="1">
      <c r="A152" s="167"/>
      <c r="B152" s="312" t="s">
        <v>743</v>
      </c>
      <c r="C152" s="313" t="s">
        <v>2</v>
      </c>
      <c r="D152" s="323">
        <v>1</v>
      </c>
      <c r="E152" s="298">
        <v>1</v>
      </c>
      <c r="F152" s="1156">
        <f t="shared" si="16"/>
        <v>9.42</v>
      </c>
      <c r="G152" s="1156">
        <f t="shared" si="15"/>
        <v>0.61</v>
      </c>
      <c r="H152" s="1156">
        <v>0.15</v>
      </c>
      <c r="I152" s="399">
        <f t="shared" si="14"/>
        <v>0.86</v>
      </c>
      <c r="J152" s="162"/>
      <c r="K152" s="168"/>
      <c r="L152" s="169"/>
      <c r="M152" s="169"/>
      <c r="N152" s="169"/>
      <c r="O152" s="169"/>
      <c r="P152" s="169"/>
    </row>
    <row r="153" spans="1:16" s="170" customFormat="1" ht="17.25" outlineLevel="1">
      <c r="A153" s="167"/>
      <c r="B153" s="312" t="s">
        <v>744</v>
      </c>
      <c r="C153" s="313" t="s">
        <v>2</v>
      </c>
      <c r="D153" s="323">
        <v>1</v>
      </c>
      <c r="E153" s="298">
        <v>1</v>
      </c>
      <c r="F153" s="1156">
        <f t="shared" si="16"/>
        <v>9.42</v>
      </c>
      <c r="G153" s="1156">
        <f t="shared" si="15"/>
        <v>0.61</v>
      </c>
      <c r="H153" s="1156">
        <v>0.15</v>
      </c>
      <c r="I153" s="399">
        <f t="shared" si="14"/>
        <v>0.86</v>
      </c>
      <c r="J153" s="162"/>
      <c r="K153" s="168"/>
      <c r="L153" s="169"/>
      <c r="M153" s="169"/>
      <c r="N153" s="169"/>
      <c r="O153" s="169"/>
      <c r="P153" s="169"/>
    </row>
    <row r="154" spans="1:16" s="170" customFormat="1" ht="17.25" outlineLevel="1">
      <c r="A154" s="167"/>
      <c r="B154" s="312" t="s">
        <v>745</v>
      </c>
      <c r="C154" s="313" t="s">
        <v>2</v>
      </c>
      <c r="D154" s="323">
        <v>1</v>
      </c>
      <c r="E154" s="298">
        <v>1</v>
      </c>
      <c r="F154" s="1156">
        <f t="shared" si="16"/>
        <v>9.42</v>
      </c>
      <c r="G154" s="1156">
        <f t="shared" si="15"/>
        <v>0.61</v>
      </c>
      <c r="H154" s="1156">
        <v>0.15</v>
      </c>
      <c r="I154" s="399">
        <f t="shared" si="14"/>
        <v>0.86</v>
      </c>
      <c r="J154" s="162"/>
      <c r="K154" s="168"/>
      <c r="L154" s="169"/>
      <c r="M154" s="169"/>
      <c r="N154" s="169"/>
      <c r="O154" s="169"/>
      <c r="P154" s="169"/>
    </row>
    <row r="155" spans="1:16" s="170" customFormat="1" ht="17.25" outlineLevel="1">
      <c r="A155" s="167"/>
      <c r="B155" s="312" t="s">
        <v>746</v>
      </c>
      <c r="C155" s="313" t="s">
        <v>2</v>
      </c>
      <c r="D155" s="323">
        <v>1</v>
      </c>
      <c r="E155" s="298">
        <v>1</v>
      </c>
      <c r="F155" s="1156">
        <f t="shared" si="16"/>
        <v>9.42</v>
      </c>
      <c r="G155" s="1156">
        <f t="shared" si="15"/>
        <v>0.61</v>
      </c>
      <c r="H155" s="1156">
        <v>0.15</v>
      </c>
      <c r="I155" s="399">
        <f t="shared" si="14"/>
        <v>0.86</v>
      </c>
      <c r="J155" s="162"/>
      <c r="K155" s="168"/>
      <c r="L155" s="169"/>
      <c r="M155" s="169"/>
      <c r="N155" s="169"/>
      <c r="O155" s="169"/>
      <c r="P155" s="169"/>
    </row>
    <row r="156" spans="1:16" s="170" customFormat="1" ht="17.25" outlineLevel="1">
      <c r="A156" s="167"/>
      <c r="B156" s="312" t="s">
        <v>747</v>
      </c>
      <c r="C156" s="313" t="s">
        <v>2</v>
      </c>
      <c r="D156" s="323">
        <v>1</v>
      </c>
      <c r="E156" s="298">
        <v>1</v>
      </c>
      <c r="F156" s="1156">
        <f t="shared" si="16"/>
        <v>9.42</v>
      </c>
      <c r="G156" s="1156">
        <f t="shared" si="15"/>
        <v>0.61</v>
      </c>
      <c r="H156" s="1156">
        <v>0.15</v>
      </c>
      <c r="I156" s="399">
        <f t="shared" si="14"/>
        <v>0.86</v>
      </c>
      <c r="J156" s="162"/>
      <c r="K156" s="168"/>
      <c r="L156" s="169"/>
      <c r="M156" s="169"/>
      <c r="N156" s="169"/>
      <c r="O156" s="169"/>
      <c r="P156" s="169"/>
    </row>
    <row r="157" spans="1:16" s="170" customFormat="1" ht="17.25" outlineLevel="1">
      <c r="A157" s="167"/>
      <c r="B157" s="312" t="s">
        <v>748</v>
      </c>
      <c r="C157" s="313" t="s">
        <v>2</v>
      </c>
      <c r="D157" s="323">
        <v>1</v>
      </c>
      <c r="E157" s="298">
        <v>1</v>
      </c>
      <c r="F157" s="1156">
        <f t="shared" si="16"/>
        <v>9.42</v>
      </c>
      <c r="G157" s="1156">
        <f t="shared" si="15"/>
        <v>0.61</v>
      </c>
      <c r="H157" s="1156">
        <v>0.15</v>
      </c>
      <c r="I157" s="399">
        <f t="shared" si="14"/>
        <v>0.86</v>
      </c>
      <c r="J157" s="162"/>
      <c r="K157" s="168"/>
      <c r="L157" s="169"/>
      <c r="M157" s="169"/>
      <c r="N157" s="169"/>
      <c r="O157" s="169"/>
      <c r="P157" s="169"/>
    </row>
    <row r="158" spans="1:16" s="170" customFormat="1" ht="17.25" outlineLevel="1">
      <c r="A158" s="167"/>
      <c r="B158" s="312"/>
      <c r="C158" s="313" t="s">
        <v>2</v>
      </c>
      <c r="D158" s="323"/>
      <c r="E158" s="298"/>
      <c r="F158" s="1156"/>
      <c r="G158" s="1156"/>
      <c r="H158" s="1156"/>
      <c r="I158" s="399" t="str">
        <f t="shared" si="14"/>
        <v/>
      </c>
      <c r="J158" s="162"/>
      <c r="K158" s="168"/>
      <c r="L158" s="169"/>
      <c r="M158" s="169"/>
      <c r="N158" s="169"/>
      <c r="O158" s="169"/>
      <c r="P158" s="169"/>
    </row>
    <row r="159" spans="1:16" s="342" customFormat="1" ht="17.25" outlineLevel="1">
      <c r="A159" s="334"/>
      <c r="B159" s="361" t="s">
        <v>749</v>
      </c>
      <c r="C159" s="344" t="s">
        <v>2</v>
      </c>
      <c r="D159" s="363">
        <f t="shared" ref="D159:D162" si="17">1*0</f>
        <v>0</v>
      </c>
      <c r="E159" s="337">
        <v>1</v>
      </c>
      <c r="F159" s="1157">
        <f>3.14*3</f>
        <v>9.42</v>
      </c>
      <c r="G159" s="1157">
        <f>0.46+0.15</f>
        <v>0.61</v>
      </c>
      <c r="H159" s="1157">
        <v>0.15</v>
      </c>
      <c r="I159" s="399" t="str">
        <f t="shared" si="14"/>
        <v/>
      </c>
      <c r="J159" s="339"/>
      <c r="K159" s="340"/>
      <c r="L159" s="341"/>
      <c r="M159" s="341"/>
      <c r="N159" s="341"/>
      <c r="O159" s="341"/>
      <c r="P159" s="341"/>
    </row>
    <row r="160" spans="1:16" s="342" customFormat="1" ht="17.25" outlineLevel="1">
      <c r="A160" s="334"/>
      <c r="B160" s="361" t="s">
        <v>750</v>
      </c>
      <c r="C160" s="344" t="s">
        <v>2</v>
      </c>
      <c r="D160" s="363">
        <f t="shared" si="17"/>
        <v>0</v>
      </c>
      <c r="E160" s="337">
        <v>1</v>
      </c>
      <c r="F160" s="1157">
        <f>3.14*3</f>
        <v>9.42</v>
      </c>
      <c r="G160" s="1157">
        <f>0.46+0.15</f>
        <v>0.61</v>
      </c>
      <c r="H160" s="1157">
        <v>0.15</v>
      </c>
      <c r="I160" s="399" t="str">
        <f t="shared" si="14"/>
        <v/>
      </c>
      <c r="J160" s="339"/>
      <c r="K160" s="340"/>
      <c r="L160" s="341"/>
      <c r="M160" s="341"/>
      <c r="N160" s="341"/>
      <c r="O160" s="341"/>
      <c r="P160" s="341"/>
    </row>
    <row r="161" spans="1:16" s="342" customFormat="1" ht="17.25" outlineLevel="1">
      <c r="A161" s="334"/>
      <c r="B161" s="361" t="s">
        <v>751</v>
      </c>
      <c r="C161" s="344" t="s">
        <v>2</v>
      </c>
      <c r="D161" s="363">
        <f t="shared" si="17"/>
        <v>0</v>
      </c>
      <c r="E161" s="337">
        <v>1</v>
      </c>
      <c r="F161" s="1157">
        <f>3.14*3</f>
        <v>9.42</v>
      </c>
      <c r="G161" s="1157">
        <f>0.46+0.15</f>
        <v>0.61</v>
      </c>
      <c r="H161" s="1157">
        <v>0.15</v>
      </c>
      <c r="I161" s="399" t="str">
        <f t="shared" si="14"/>
        <v/>
      </c>
      <c r="J161" s="339"/>
      <c r="K161" s="340"/>
      <c r="L161" s="341"/>
      <c r="M161" s="341"/>
      <c r="N161" s="341"/>
      <c r="O161" s="341"/>
      <c r="P161" s="341"/>
    </row>
    <row r="162" spans="1:16" s="342" customFormat="1" ht="17.25" outlineLevel="1">
      <c r="A162" s="334"/>
      <c r="B162" s="361" t="s">
        <v>752</v>
      </c>
      <c r="C162" s="344" t="s">
        <v>2</v>
      </c>
      <c r="D162" s="363">
        <f t="shared" si="17"/>
        <v>0</v>
      </c>
      <c r="E162" s="337">
        <v>1</v>
      </c>
      <c r="F162" s="1157">
        <f>3.14*3</f>
        <v>9.42</v>
      </c>
      <c r="G162" s="1157">
        <f>0.46+0.15</f>
        <v>0.61</v>
      </c>
      <c r="H162" s="1157">
        <v>0.15</v>
      </c>
      <c r="I162" s="399" t="str">
        <f t="shared" si="14"/>
        <v/>
      </c>
      <c r="J162" s="339"/>
      <c r="K162" s="340"/>
      <c r="L162" s="341"/>
      <c r="M162" s="341"/>
      <c r="N162" s="341"/>
      <c r="O162" s="341"/>
      <c r="P162" s="341"/>
    </row>
    <row r="163" spans="1:16" s="170" customFormat="1" ht="17.25" outlineLevel="1">
      <c r="A163" s="167"/>
      <c r="B163" s="312"/>
      <c r="C163" s="313" t="s">
        <v>2</v>
      </c>
      <c r="D163" s="323"/>
      <c r="E163" s="298"/>
      <c r="F163" s="1156"/>
      <c r="G163" s="1156"/>
      <c r="H163" s="1156"/>
      <c r="I163" s="399" t="str">
        <f t="shared" si="14"/>
        <v/>
      </c>
      <c r="J163" s="162"/>
      <c r="K163" s="168"/>
      <c r="L163" s="169"/>
      <c r="M163" s="169"/>
      <c r="N163" s="169"/>
      <c r="O163" s="169"/>
      <c r="P163" s="169"/>
    </row>
    <row r="164" spans="1:16" s="170" customFormat="1" ht="34.5" outlineLevel="1">
      <c r="A164" s="167"/>
      <c r="B164" s="312" t="s">
        <v>753</v>
      </c>
      <c r="C164" s="313" t="s">
        <v>2</v>
      </c>
      <c r="D164" s="323"/>
      <c r="E164" s="298"/>
      <c r="F164" s="1156"/>
      <c r="G164" s="1156"/>
      <c r="H164" s="1156"/>
      <c r="I164" s="399" t="str">
        <f t="shared" si="14"/>
        <v/>
      </c>
      <c r="J164" s="162"/>
      <c r="K164" s="168"/>
      <c r="L164" s="169"/>
      <c r="M164" s="169"/>
      <c r="N164" s="169"/>
      <c r="O164" s="169"/>
      <c r="P164" s="169"/>
    </row>
    <row r="165" spans="1:16" s="170" customFormat="1" ht="17.25" outlineLevel="1">
      <c r="A165" s="167"/>
      <c r="B165" s="312" t="s">
        <v>754</v>
      </c>
      <c r="C165" s="313" t="s">
        <v>2</v>
      </c>
      <c r="D165" s="323">
        <v>1</v>
      </c>
      <c r="E165" s="298">
        <v>1</v>
      </c>
      <c r="F165" s="1155">
        <v>8.2149999999999999</v>
      </c>
      <c r="G165" s="1156">
        <f>0.46+0.15</f>
        <v>0.61</v>
      </c>
      <c r="H165" s="1156">
        <v>0.15</v>
      </c>
      <c r="I165" s="399">
        <f t="shared" si="14"/>
        <v>0.75</v>
      </c>
      <c r="J165" s="162"/>
      <c r="K165" s="168"/>
      <c r="L165" s="169"/>
      <c r="M165" s="169"/>
      <c r="N165" s="169"/>
      <c r="O165" s="169"/>
      <c r="P165" s="169"/>
    </row>
    <row r="166" spans="1:16" s="170" customFormat="1" ht="17.25" outlineLevel="1">
      <c r="A166" s="167"/>
      <c r="B166" s="312" t="s">
        <v>755</v>
      </c>
      <c r="C166" s="313" t="s">
        <v>2</v>
      </c>
      <c r="D166" s="323">
        <v>1</v>
      </c>
      <c r="E166" s="298">
        <v>1</v>
      </c>
      <c r="F166" s="1155">
        <v>2.343</v>
      </c>
      <c r="G166" s="1156">
        <f>0.46+0.15</f>
        <v>0.61</v>
      </c>
      <c r="H166" s="1156">
        <v>0.15</v>
      </c>
      <c r="I166" s="399">
        <f t="shared" si="14"/>
        <v>0.21</v>
      </c>
      <c r="J166" s="162"/>
      <c r="K166" s="168"/>
      <c r="L166" s="169"/>
      <c r="M166" s="169"/>
      <c r="N166" s="169"/>
      <c r="O166" s="169"/>
      <c r="P166" s="169"/>
    </row>
    <row r="167" spans="1:16" s="170" customFormat="1" ht="17.25" outlineLevel="1">
      <c r="A167" s="167"/>
      <c r="B167" s="312" t="s">
        <v>756</v>
      </c>
      <c r="C167" s="313" t="s">
        <v>2</v>
      </c>
      <c r="D167" s="323">
        <v>1</v>
      </c>
      <c r="E167" s="298">
        <v>1</v>
      </c>
      <c r="F167" s="1155">
        <v>5.1429999999999998</v>
      </c>
      <c r="G167" s="1156">
        <f>0.46+0.15</f>
        <v>0.61</v>
      </c>
      <c r="H167" s="1156">
        <v>0.15</v>
      </c>
      <c r="I167" s="399">
        <f t="shared" si="14"/>
        <v>0.47</v>
      </c>
      <c r="J167" s="162"/>
      <c r="K167" s="168"/>
      <c r="L167" s="169"/>
      <c r="M167" s="169"/>
      <c r="N167" s="169"/>
      <c r="O167" s="169"/>
      <c r="P167" s="169"/>
    </row>
    <row r="168" spans="1:16" s="170" customFormat="1" ht="51.75" outlineLevel="1">
      <c r="A168" s="167"/>
      <c r="B168" s="312" t="s">
        <v>757</v>
      </c>
      <c r="C168" s="313" t="s">
        <v>2</v>
      </c>
      <c r="D168" s="323"/>
      <c r="E168" s="298"/>
      <c r="F168" s="1156" t="s">
        <v>624</v>
      </c>
      <c r="G168" s="1156"/>
      <c r="H168" s="1156"/>
      <c r="I168" s="399" t="str">
        <f t="shared" si="14"/>
        <v/>
      </c>
      <c r="J168" s="162"/>
      <c r="K168" s="168"/>
      <c r="L168" s="169"/>
      <c r="M168" s="169"/>
      <c r="N168" s="169"/>
      <c r="O168" s="169"/>
      <c r="P168" s="169"/>
    </row>
    <row r="169" spans="1:16" s="170" customFormat="1" ht="17.25" outlineLevel="1">
      <c r="A169" s="167"/>
      <c r="B169" s="313"/>
      <c r="C169" s="313" t="s">
        <v>2</v>
      </c>
      <c r="D169" s="323">
        <v>1</v>
      </c>
      <c r="E169" s="298">
        <v>1</v>
      </c>
      <c r="F169" s="1156">
        <f>3.14*4.5^2</f>
        <v>63.585000000000001</v>
      </c>
      <c r="G169" s="1156"/>
      <c r="H169" s="1156">
        <v>0.1</v>
      </c>
      <c r="I169" s="399">
        <f t="shared" si="14"/>
        <v>6.36</v>
      </c>
      <c r="J169" s="162"/>
      <c r="K169" s="168"/>
      <c r="L169" s="169"/>
      <c r="M169" s="169"/>
      <c r="N169" s="169"/>
      <c r="O169" s="169"/>
      <c r="P169" s="169"/>
    </row>
    <row r="170" spans="1:16" s="377" customFormat="1" ht="34.5" outlineLevel="1">
      <c r="A170" s="617">
        <v>1</v>
      </c>
      <c r="B170" s="315" t="s">
        <v>1139</v>
      </c>
      <c r="C170" s="165"/>
      <c r="D170" s="548"/>
      <c r="E170" s="307"/>
      <c r="F170" s="401"/>
      <c r="G170" s="401"/>
      <c r="H170" s="401"/>
      <c r="I170" s="399"/>
      <c r="J170" s="394"/>
      <c r="K170" s="394"/>
      <c r="L170" s="376"/>
      <c r="M170" s="376"/>
      <c r="N170" s="376"/>
      <c r="O170" s="376"/>
      <c r="P170" s="376"/>
    </row>
    <row r="171" spans="1:16" s="170" customFormat="1" ht="17.25" outlineLevel="1">
      <c r="A171" s="544"/>
      <c r="B171" s="312"/>
      <c r="C171" s="313" t="s">
        <v>2</v>
      </c>
      <c r="D171" s="323"/>
      <c r="E171" s="298"/>
      <c r="F171" s="1156"/>
      <c r="G171" s="1156"/>
      <c r="H171" s="1156"/>
      <c r="I171" s="399" t="str">
        <f t="shared" ref="I171:I176" si="18">IF(D171&lt;&gt;0,ROUND(PRODUCT(E171:H171)*D171,2),"")</f>
        <v/>
      </c>
      <c r="J171" s="545"/>
      <c r="K171" s="546"/>
      <c r="L171" s="169"/>
      <c r="M171" s="169"/>
      <c r="N171" s="169"/>
      <c r="O171" s="169"/>
      <c r="P171" s="169"/>
    </row>
    <row r="172" spans="1:16" s="342" customFormat="1" ht="17.25" outlineLevel="1">
      <c r="A172" s="544"/>
      <c r="B172" s="312" t="s">
        <v>749</v>
      </c>
      <c r="C172" s="313" t="s">
        <v>2</v>
      </c>
      <c r="D172" s="323">
        <f>1</f>
        <v>1</v>
      </c>
      <c r="E172" s="298">
        <v>1</v>
      </c>
      <c r="F172" s="1156">
        <f>3.14*3</f>
        <v>9.42</v>
      </c>
      <c r="G172" s="1158">
        <v>0.61</v>
      </c>
      <c r="H172" s="1156">
        <v>0.15</v>
      </c>
      <c r="I172" s="399">
        <f t="shared" si="18"/>
        <v>0.86</v>
      </c>
      <c r="J172" s="545"/>
      <c r="K172" s="546"/>
      <c r="L172" s="341"/>
      <c r="M172" s="341"/>
      <c r="N172" s="341"/>
      <c r="O172" s="341"/>
      <c r="P172" s="341"/>
    </row>
    <row r="173" spans="1:16" s="342" customFormat="1" ht="17.25" outlineLevel="1">
      <c r="A173" s="544"/>
      <c r="B173" s="312" t="s">
        <v>750</v>
      </c>
      <c r="C173" s="313" t="s">
        <v>2</v>
      </c>
      <c r="D173" s="323">
        <f>1</f>
        <v>1</v>
      </c>
      <c r="E173" s="298">
        <v>1</v>
      </c>
      <c r="F173" s="1156">
        <f>3.14*3</f>
        <v>9.42</v>
      </c>
      <c r="G173" s="1158">
        <v>0.61</v>
      </c>
      <c r="H173" s="1156">
        <v>0.15</v>
      </c>
      <c r="I173" s="399">
        <f t="shared" si="18"/>
        <v>0.86</v>
      </c>
      <c r="J173" s="545"/>
      <c r="K173" s="546"/>
      <c r="L173" s="341"/>
      <c r="M173" s="341"/>
      <c r="N173" s="341"/>
      <c r="O173" s="341"/>
      <c r="P173" s="341"/>
    </row>
    <row r="174" spans="1:16" s="342" customFormat="1" ht="17.25" outlineLevel="1">
      <c r="A174" s="544"/>
      <c r="B174" s="312" t="s">
        <v>751</v>
      </c>
      <c r="C174" s="313" t="s">
        <v>2</v>
      </c>
      <c r="D174" s="323">
        <f>1</f>
        <v>1</v>
      </c>
      <c r="E174" s="298">
        <v>1</v>
      </c>
      <c r="F174" s="1156">
        <f>3.14*3</f>
        <v>9.42</v>
      </c>
      <c r="G174" s="1158">
        <v>0.61</v>
      </c>
      <c r="H174" s="1156">
        <v>0.15</v>
      </c>
      <c r="I174" s="399">
        <f t="shared" si="18"/>
        <v>0.86</v>
      </c>
      <c r="J174" s="545"/>
      <c r="K174" s="546"/>
      <c r="L174" s="341"/>
      <c r="M174" s="341"/>
      <c r="N174" s="341"/>
      <c r="O174" s="341"/>
      <c r="P174" s="341"/>
    </row>
    <row r="175" spans="1:16" s="342" customFormat="1" ht="17.25" outlineLevel="1">
      <c r="A175" s="544"/>
      <c r="B175" s="312" t="s">
        <v>752</v>
      </c>
      <c r="C175" s="313" t="s">
        <v>2</v>
      </c>
      <c r="D175" s="323">
        <f>1</f>
        <v>1</v>
      </c>
      <c r="E175" s="298">
        <v>1</v>
      </c>
      <c r="F175" s="1156">
        <f>3.14*3</f>
        <v>9.42</v>
      </c>
      <c r="G175" s="1158">
        <v>0.61</v>
      </c>
      <c r="H175" s="1156">
        <v>0.15</v>
      </c>
      <c r="I175" s="399">
        <f t="shared" si="18"/>
        <v>0.86</v>
      </c>
      <c r="J175" s="545"/>
      <c r="K175" s="546"/>
      <c r="L175" s="341"/>
      <c r="M175" s="341"/>
      <c r="N175" s="341"/>
      <c r="O175" s="341"/>
      <c r="P175" s="341"/>
    </row>
    <row r="176" spans="1:16" s="170" customFormat="1" ht="17.25" outlineLevel="1">
      <c r="A176" s="167"/>
      <c r="B176" s="312"/>
      <c r="C176" s="313" t="s">
        <v>2</v>
      </c>
      <c r="D176" s="323"/>
      <c r="E176" s="298"/>
      <c r="F176" s="1156"/>
      <c r="G176" s="1156"/>
      <c r="H176" s="1156"/>
      <c r="I176" s="399" t="str">
        <f t="shared" si="18"/>
        <v/>
      </c>
      <c r="J176" s="162"/>
      <c r="K176" s="168"/>
      <c r="L176" s="169"/>
      <c r="M176" s="169"/>
      <c r="N176" s="169"/>
      <c r="O176" s="169"/>
      <c r="P176" s="169"/>
    </row>
    <row r="177" spans="1:16" s="170" customFormat="1" ht="17.25" outlineLevel="1">
      <c r="A177" s="167"/>
      <c r="B177" s="312"/>
      <c r="C177" s="313"/>
      <c r="D177" s="323"/>
      <c r="E177" s="298"/>
      <c r="F177" s="1156"/>
      <c r="G177" s="1156"/>
      <c r="H177" s="1156"/>
      <c r="I177" s="399"/>
      <c r="J177" s="162"/>
      <c r="K177" s="168"/>
      <c r="L177" s="169"/>
      <c r="M177" s="169"/>
      <c r="N177" s="169"/>
      <c r="O177" s="169"/>
      <c r="P177" s="169"/>
    </row>
    <row r="178" spans="1:16" s="170" customFormat="1" ht="34.5" outlineLevel="1">
      <c r="A178" s="420"/>
      <c r="B178" s="315" t="s">
        <v>1140</v>
      </c>
      <c r="C178" s="313"/>
      <c r="D178" s="323"/>
      <c r="E178" s="298"/>
      <c r="F178" s="1156"/>
      <c r="G178" s="1156"/>
      <c r="H178" s="1156"/>
      <c r="I178" s="399"/>
      <c r="J178" s="162"/>
      <c r="K178" s="168"/>
      <c r="L178" s="169"/>
      <c r="M178" s="169"/>
      <c r="N178" s="169"/>
      <c r="O178" s="169"/>
      <c r="P178" s="169"/>
    </row>
    <row r="179" spans="1:16" s="170" customFormat="1" ht="34.5" outlineLevel="1">
      <c r="A179" s="420"/>
      <c r="B179" s="312" t="s">
        <v>758</v>
      </c>
      <c r="C179" s="313" t="s">
        <v>2</v>
      </c>
      <c r="D179" s="323"/>
      <c r="E179" s="298"/>
      <c r="F179" s="1156"/>
      <c r="G179" s="1156"/>
      <c r="H179" s="1156"/>
      <c r="I179" s="399" t="str">
        <f t="shared" ref="I179:I198" si="19">IF(D179&lt;&gt;0,ROUND(PRODUCT(E179:H179)*D179,2),"")</f>
        <v/>
      </c>
      <c r="J179" s="162"/>
      <c r="K179" s="168"/>
      <c r="L179" s="169"/>
      <c r="M179" s="169"/>
      <c r="N179" s="169"/>
      <c r="O179" s="169"/>
      <c r="P179" s="169"/>
    </row>
    <row r="180" spans="1:16" s="170" customFormat="1" ht="17.25" outlineLevel="1">
      <c r="A180" s="420"/>
      <c r="B180" s="312" t="s">
        <v>735</v>
      </c>
      <c r="C180" s="313" t="s">
        <v>2</v>
      </c>
      <c r="D180" s="323">
        <v>1</v>
      </c>
      <c r="E180" s="298">
        <v>1</v>
      </c>
      <c r="F180" s="1156">
        <f>3.14*3</f>
        <v>9.42</v>
      </c>
      <c r="G180" s="1158">
        <v>0.61</v>
      </c>
      <c r="H180" s="1156">
        <v>0.15</v>
      </c>
      <c r="I180" s="399">
        <f t="shared" si="19"/>
        <v>0.86</v>
      </c>
      <c r="J180" s="162"/>
      <c r="K180" s="168"/>
      <c r="L180" s="169"/>
      <c r="M180" s="169"/>
      <c r="N180" s="169"/>
      <c r="O180" s="169"/>
      <c r="P180" s="169"/>
    </row>
    <row r="181" spans="1:16" s="170" customFormat="1" ht="17.25" outlineLevel="1">
      <c r="A181" s="420"/>
      <c r="B181" s="312" t="s">
        <v>736</v>
      </c>
      <c r="C181" s="313" t="s">
        <v>2</v>
      </c>
      <c r="D181" s="323">
        <v>1</v>
      </c>
      <c r="E181" s="298">
        <v>1</v>
      </c>
      <c r="F181" s="1156">
        <f>3.14*3</f>
        <v>9.42</v>
      </c>
      <c r="G181" s="1158">
        <v>0.61</v>
      </c>
      <c r="H181" s="1156">
        <v>0.15</v>
      </c>
      <c r="I181" s="399">
        <f t="shared" si="19"/>
        <v>0.86</v>
      </c>
      <c r="J181" s="162"/>
      <c r="K181" s="168"/>
      <c r="L181" s="169"/>
      <c r="M181" s="169"/>
      <c r="N181" s="169"/>
      <c r="O181" s="169"/>
      <c r="P181" s="169"/>
    </row>
    <row r="182" spans="1:16" s="170" customFormat="1" ht="17.25" outlineLevel="1">
      <c r="A182" s="420"/>
      <c r="B182" s="312" t="s">
        <v>737</v>
      </c>
      <c r="C182" s="313" t="s">
        <v>2</v>
      </c>
      <c r="D182" s="323">
        <v>1</v>
      </c>
      <c r="E182" s="298">
        <v>1</v>
      </c>
      <c r="F182" s="1156">
        <f>3.14*3.7</f>
        <v>11.618</v>
      </c>
      <c r="G182" s="1158">
        <v>0.61</v>
      </c>
      <c r="H182" s="1156">
        <v>0.15</v>
      </c>
      <c r="I182" s="399">
        <f t="shared" si="19"/>
        <v>1.06</v>
      </c>
      <c r="J182" s="162"/>
      <c r="K182" s="168"/>
      <c r="L182" s="169"/>
      <c r="M182" s="169"/>
      <c r="N182" s="169"/>
      <c r="O182" s="169"/>
      <c r="P182" s="169"/>
    </row>
    <row r="183" spans="1:16" s="170" customFormat="1" ht="17.25" outlineLevel="1">
      <c r="A183" s="420"/>
      <c r="B183" s="312" t="s">
        <v>738</v>
      </c>
      <c r="C183" s="313" t="s">
        <v>2</v>
      </c>
      <c r="D183" s="323">
        <v>1</v>
      </c>
      <c r="E183" s="298">
        <v>1</v>
      </c>
      <c r="F183" s="1156">
        <f>3.14*3</f>
        <v>9.42</v>
      </c>
      <c r="G183" s="1158">
        <v>0.61</v>
      </c>
      <c r="H183" s="1156">
        <v>0.15</v>
      </c>
      <c r="I183" s="399">
        <f t="shared" si="19"/>
        <v>0.86</v>
      </c>
      <c r="J183" s="162"/>
      <c r="K183" s="168"/>
      <c r="L183" s="169"/>
      <c r="M183" s="169"/>
      <c r="N183" s="169"/>
      <c r="O183" s="169"/>
      <c r="P183" s="169"/>
    </row>
    <row r="184" spans="1:16" s="170" customFormat="1" ht="17.25" outlineLevel="1">
      <c r="A184" s="420"/>
      <c r="B184" s="312" t="s">
        <v>739</v>
      </c>
      <c r="C184" s="313" t="s">
        <v>2</v>
      </c>
      <c r="D184" s="323">
        <v>1</v>
      </c>
      <c r="E184" s="298">
        <v>1</v>
      </c>
      <c r="F184" s="1156">
        <v>8.5660000000000007</v>
      </c>
      <c r="G184" s="1158">
        <v>0.61</v>
      </c>
      <c r="H184" s="1156">
        <v>0.15</v>
      </c>
      <c r="I184" s="399">
        <f t="shared" si="19"/>
        <v>0.78</v>
      </c>
      <c r="J184" s="162"/>
      <c r="K184" s="168"/>
      <c r="L184" s="169"/>
      <c r="M184" s="169"/>
      <c r="N184" s="169"/>
      <c r="O184" s="169"/>
      <c r="P184" s="169"/>
    </row>
    <row r="185" spans="1:16" s="170" customFormat="1" ht="17.25" outlineLevel="1">
      <c r="A185" s="420"/>
      <c r="B185" s="312" t="s">
        <v>740</v>
      </c>
      <c r="C185" s="313" t="s">
        <v>2</v>
      </c>
      <c r="D185" s="323">
        <v>1</v>
      </c>
      <c r="E185" s="298">
        <v>1</v>
      </c>
      <c r="F185" s="1156">
        <f>3.14*2.7</f>
        <v>8.4780000000000015</v>
      </c>
      <c r="G185" s="1158">
        <v>0.61</v>
      </c>
      <c r="H185" s="1156">
        <v>0.15</v>
      </c>
      <c r="I185" s="399">
        <f t="shared" si="19"/>
        <v>0.78</v>
      </c>
      <c r="J185" s="162"/>
      <c r="K185" s="168"/>
      <c r="L185" s="169"/>
      <c r="M185" s="169"/>
      <c r="N185" s="169"/>
      <c r="O185" s="169"/>
      <c r="P185" s="169"/>
    </row>
    <row r="186" spans="1:16" s="170" customFormat="1" ht="17.25" outlineLevel="1">
      <c r="A186" s="420"/>
      <c r="B186" s="312" t="s">
        <v>741</v>
      </c>
      <c r="C186" s="313" t="s">
        <v>2</v>
      </c>
      <c r="D186" s="323">
        <v>1</v>
      </c>
      <c r="E186" s="298">
        <v>1</v>
      </c>
      <c r="F186" s="1156">
        <f t="shared" ref="F186:F193" si="20">3.14*3</f>
        <v>9.42</v>
      </c>
      <c r="G186" s="1158">
        <v>0.61</v>
      </c>
      <c r="H186" s="1156">
        <v>0.15</v>
      </c>
      <c r="I186" s="399">
        <f t="shared" si="19"/>
        <v>0.86</v>
      </c>
      <c r="J186" s="162"/>
      <c r="K186" s="168"/>
      <c r="L186" s="169"/>
      <c r="M186" s="169"/>
      <c r="N186" s="169"/>
      <c r="O186" s="169"/>
      <c r="P186" s="169"/>
    </row>
    <row r="187" spans="1:16" s="170" customFormat="1" ht="17.25" outlineLevel="1">
      <c r="A187" s="420"/>
      <c r="B187" s="312" t="s">
        <v>742</v>
      </c>
      <c r="C187" s="313" t="s">
        <v>2</v>
      </c>
      <c r="D187" s="323">
        <v>1</v>
      </c>
      <c r="E187" s="298">
        <v>1</v>
      </c>
      <c r="F187" s="1156">
        <f t="shared" si="20"/>
        <v>9.42</v>
      </c>
      <c r="G187" s="1158">
        <v>0.61</v>
      </c>
      <c r="H187" s="1156">
        <v>0.15</v>
      </c>
      <c r="I187" s="399">
        <f t="shared" si="19"/>
        <v>0.86</v>
      </c>
      <c r="J187" s="162"/>
      <c r="K187" s="168"/>
      <c r="L187" s="169"/>
      <c r="M187" s="169"/>
      <c r="N187" s="169"/>
      <c r="O187" s="169"/>
      <c r="P187" s="169"/>
    </row>
    <row r="188" spans="1:16" s="170" customFormat="1" ht="17.25" outlineLevel="1">
      <c r="A188" s="420"/>
      <c r="B188" s="312" t="s">
        <v>743</v>
      </c>
      <c r="C188" s="313" t="s">
        <v>2</v>
      </c>
      <c r="D188" s="323">
        <v>1</v>
      </c>
      <c r="E188" s="298">
        <v>1</v>
      </c>
      <c r="F188" s="1156">
        <f t="shared" si="20"/>
        <v>9.42</v>
      </c>
      <c r="G188" s="1158">
        <v>0.61</v>
      </c>
      <c r="H188" s="1156">
        <v>0.15</v>
      </c>
      <c r="I188" s="399">
        <f t="shared" si="19"/>
        <v>0.86</v>
      </c>
      <c r="J188" s="162"/>
      <c r="K188" s="168"/>
      <c r="L188" s="169"/>
      <c r="M188" s="169"/>
      <c r="N188" s="169"/>
      <c r="O188" s="169"/>
      <c r="P188" s="169"/>
    </row>
    <row r="189" spans="1:16" s="170" customFormat="1" ht="17.25" outlineLevel="1">
      <c r="A189" s="420"/>
      <c r="B189" s="312" t="s">
        <v>744</v>
      </c>
      <c r="C189" s="313" t="s">
        <v>2</v>
      </c>
      <c r="D189" s="323">
        <v>1</v>
      </c>
      <c r="E189" s="298">
        <v>1</v>
      </c>
      <c r="F189" s="1156">
        <f t="shared" si="20"/>
        <v>9.42</v>
      </c>
      <c r="G189" s="1158">
        <v>0.61</v>
      </c>
      <c r="H189" s="1156">
        <v>0.15</v>
      </c>
      <c r="I189" s="399">
        <f t="shared" si="19"/>
        <v>0.86</v>
      </c>
      <c r="J189" s="162"/>
      <c r="K189" s="168"/>
      <c r="L189" s="169"/>
      <c r="M189" s="169"/>
      <c r="N189" s="169"/>
      <c r="O189" s="169"/>
      <c r="P189" s="169"/>
    </row>
    <row r="190" spans="1:16" s="170" customFormat="1" ht="17.25" outlineLevel="1">
      <c r="A190" s="420"/>
      <c r="B190" s="312" t="s">
        <v>745</v>
      </c>
      <c r="C190" s="313" t="s">
        <v>2</v>
      </c>
      <c r="D190" s="323">
        <v>1</v>
      </c>
      <c r="E190" s="298">
        <v>1</v>
      </c>
      <c r="F190" s="1156">
        <f t="shared" si="20"/>
        <v>9.42</v>
      </c>
      <c r="G190" s="1158">
        <v>0.61</v>
      </c>
      <c r="H190" s="1156">
        <v>0.15</v>
      </c>
      <c r="I190" s="399">
        <f t="shared" si="19"/>
        <v>0.86</v>
      </c>
      <c r="J190" s="162"/>
      <c r="K190" s="168"/>
      <c r="L190" s="169"/>
      <c r="M190" s="169"/>
      <c r="N190" s="169"/>
      <c r="O190" s="169"/>
      <c r="P190" s="169"/>
    </row>
    <row r="191" spans="1:16" s="170" customFormat="1" ht="17.25" outlineLevel="1">
      <c r="A191" s="420"/>
      <c r="B191" s="312" t="s">
        <v>746</v>
      </c>
      <c r="C191" s="313" t="s">
        <v>2</v>
      </c>
      <c r="D191" s="323">
        <v>1</v>
      </c>
      <c r="E191" s="298">
        <v>1</v>
      </c>
      <c r="F191" s="1156">
        <f t="shared" si="20"/>
        <v>9.42</v>
      </c>
      <c r="G191" s="1158">
        <v>0.61</v>
      </c>
      <c r="H191" s="1156">
        <v>0.15</v>
      </c>
      <c r="I191" s="399">
        <f t="shared" si="19"/>
        <v>0.86</v>
      </c>
      <c r="J191" s="162"/>
      <c r="K191" s="168"/>
      <c r="L191" s="169"/>
      <c r="M191" s="169"/>
      <c r="N191" s="169"/>
      <c r="O191" s="169"/>
      <c r="P191" s="169"/>
    </row>
    <row r="192" spans="1:16" s="170" customFormat="1" ht="17.25" outlineLevel="1">
      <c r="A192" s="420"/>
      <c r="B192" s="312" t="s">
        <v>747</v>
      </c>
      <c r="C192" s="313" t="s">
        <v>2</v>
      </c>
      <c r="D192" s="323">
        <v>1</v>
      </c>
      <c r="E192" s="298">
        <v>1</v>
      </c>
      <c r="F192" s="1156">
        <f t="shared" si="20"/>
        <v>9.42</v>
      </c>
      <c r="G192" s="1158">
        <v>0.61</v>
      </c>
      <c r="H192" s="1156">
        <v>0.15</v>
      </c>
      <c r="I192" s="399">
        <f t="shared" si="19"/>
        <v>0.86</v>
      </c>
      <c r="J192" s="162"/>
      <c r="K192" s="168"/>
      <c r="L192" s="169"/>
      <c r="M192" s="169"/>
      <c r="N192" s="169"/>
      <c r="O192" s="169"/>
      <c r="P192" s="169"/>
    </row>
    <row r="193" spans="1:16" s="170" customFormat="1" ht="17.25" outlineLevel="1">
      <c r="A193" s="420"/>
      <c r="B193" s="312" t="s">
        <v>748</v>
      </c>
      <c r="C193" s="313" t="s">
        <v>2</v>
      </c>
      <c r="D193" s="323">
        <v>1</v>
      </c>
      <c r="E193" s="298">
        <v>1</v>
      </c>
      <c r="F193" s="1156">
        <f t="shared" si="20"/>
        <v>9.42</v>
      </c>
      <c r="G193" s="1158">
        <v>0.61</v>
      </c>
      <c r="H193" s="1156">
        <v>0.15</v>
      </c>
      <c r="I193" s="399">
        <f t="shared" si="19"/>
        <v>0.86</v>
      </c>
      <c r="J193" s="162"/>
      <c r="K193" s="168"/>
      <c r="L193" s="169"/>
      <c r="M193" s="169"/>
      <c r="N193" s="169"/>
      <c r="O193" s="169"/>
      <c r="P193" s="169"/>
    </row>
    <row r="194" spans="1:16" s="170" customFormat="1" ht="17.25" outlineLevel="1">
      <c r="A194" s="420"/>
      <c r="B194" s="312"/>
      <c r="C194" s="313" t="s">
        <v>2</v>
      </c>
      <c r="D194" s="323"/>
      <c r="E194" s="298"/>
      <c r="F194" s="1156"/>
      <c r="G194" s="1156"/>
      <c r="H194" s="1156"/>
      <c r="I194" s="399" t="str">
        <f t="shared" si="19"/>
        <v/>
      </c>
      <c r="J194" s="162"/>
      <c r="K194" s="168"/>
      <c r="L194" s="169"/>
      <c r="M194" s="169"/>
      <c r="N194" s="169"/>
      <c r="O194" s="169"/>
      <c r="P194" s="169"/>
    </row>
    <row r="195" spans="1:16" s="170" customFormat="1" ht="34.5" outlineLevel="1">
      <c r="A195" s="420"/>
      <c r="B195" s="312" t="s">
        <v>753</v>
      </c>
      <c r="C195" s="313" t="s">
        <v>2</v>
      </c>
      <c r="D195" s="323"/>
      <c r="E195" s="298"/>
      <c r="F195" s="1156"/>
      <c r="G195" s="1156"/>
      <c r="H195" s="1156"/>
      <c r="I195" s="399" t="str">
        <f t="shared" si="19"/>
        <v/>
      </c>
      <c r="J195" s="162"/>
      <c r="K195" s="168"/>
      <c r="L195" s="169"/>
      <c r="M195" s="169"/>
      <c r="N195" s="169"/>
      <c r="O195" s="169"/>
      <c r="P195" s="169"/>
    </row>
    <row r="196" spans="1:16" s="170" customFormat="1" ht="17.25" outlineLevel="1">
      <c r="A196" s="420"/>
      <c r="B196" s="312" t="s">
        <v>754</v>
      </c>
      <c r="C196" s="313" t="s">
        <v>2</v>
      </c>
      <c r="D196" s="323">
        <v>1</v>
      </c>
      <c r="E196" s="298">
        <v>1</v>
      </c>
      <c r="F196" s="1155">
        <v>8.2149999999999999</v>
      </c>
      <c r="G196" s="1156">
        <f>0.46+0.15+0.15</f>
        <v>0.76</v>
      </c>
      <c r="H196" s="1156">
        <v>0.15</v>
      </c>
      <c r="I196" s="399">
        <f t="shared" si="19"/>
        <v>0.94</v>
      </c>
      <c r="J196" s="162"/>
      <c r="K196" s="168"/>
      <c r="L196" s="169"/>
      <c r="M196" s="169"/>
      <c r="N196" s="169"/>
      <c r="O196" s="169"/>
      <c r="P196" s="169"/>
    </row>
    <row r="197" spans="1:16" s="170" customFormat="1" ht="17.25" outlineLevel="1">
      <c r="A197" s="420"/>
      <c r="B197" s="312" t="s">
        <v>755</v>
      </c>
      <c r="C197" s="313" t="s">
        <v>2</v>
      </c>
      <c r="D197" s="323">
        <v>1</v>
      </c>
      <c r="E197" s="298">
        <v>1</v>
      </c>
      <c r="F197" s="1155">
        <v>2.343</v>
      </c>
      <c r="G197" s="1156">
        <f>0.46+0.15+0.15</f>
        <v>0.76</v>
      </c>
      <c r="H197" s="1156">
        <v>0.15</v>
      </c>
      <c r="I197" s="399">
        <f t="shared" si="19"/>
        <v>0.27</v>
      </c>
      <c r="J197" s="162"/>
      <c r="K197" s="168"/>
      <c r="L197" s="169"/>
      <c r="M197" s="169"/>
      <c r="N197" s="169"/>
      <c r="O197" s="169"/>
      <c r="P197" s="169"/>
    </row>
    <row r="198" spans="1:16" s="170" customFormat="1" ht="17.25" outlineLevel="1">
      <c r="A198" s="420"/>
      <c r="B198" s="312" t="s">
        <v>756</v>
      </c>
      <c r="C198" s="313" t="s">
        <v>2</v>
      </c>
      <c r="D198" s="323">
        <v>1</v>
      </c>
      <c r="E198" s="298">
        <v>1</v>
      </c>
      <c r="F198" s="1155">
        <v>5.1429999999999998</v>
      </c>
      <c r="G198" s="1156">
        <f>0.46+0.15+0.15</f>
        <v>0.76</v>
      </c>
      <c r="H198" s="1156">
        <v>0.15</v>
      </c>
      <c r="I198" s="399">
        <f t="shared" si="19"/>
        <v>0.59</v>
      </c>
      <c r="J198" s="162"/>
      <c r="K198" s="168"/>
      <c r="L198" s="169"/>
      <c r="M198" s="169"/>
      <c r="N198" s="169"/>
      <c r="O198" s="169"/>
      <c r="P198" s="169"/>
    </row>
    <row r="199" spans="1:16" s="377" customFormat="1" ht="17.25" outlineLevel="1">
      <c r="A199" s="549"/>
      <c r="B199" s="425"/>
      <c r="C199" s="165"/>
      <c r="D199" s="548"/>
      <c r="E199" s="307"/>
      <c r="F199" s="401"/>
      <c r="G199" s="401"/>
      <c r="H199" s="401"/>
      <c r="I199" s="399"/>
      <c r="J199" s="394"/>
      <c r="K199" s="394"/>
      <c r="L199" s="376"/>
      <c r="M199" s="376"/>
      <c r="N199" s="376"/>
      <c r="O199" s="376"/>
      <c r="P199" s="376"/>
    </row>
    <row r="200" spans="1:16" s="377" customFormat="1" ht="34.5" outlineLevel="1">
      <c r="A200" s="549"/>
      <c r="B200" s="453" t="s">
        <v>1141</v>
      </c>
      <c r="C200" s="165"/>
      <c r="D200" s="548"/>
      <c r="E200" s="307"/>
      <c r="F200" s="401"/>
      <c r="G200" s="401"/>
      <c r="H200" s="401"/>
      <c r="I200" s="399"/>
      <c r="J200" s="394"/>
      <c r="K200" s="394"/>
      <c r="L200" s="376"/>
      <c r="M200" s="376"/>
      <c r="N200" s="376"/>
      <c r="O200" s="376"/>
      <c r="P200" s="376"/>
    </row>
    <row r="201" spans="1:16" s="170" customFormat="1" ht="34.5" outlineLevel="1">
      <c r="A201" s="420"/>
      <c r="B201" s="312" t="s">
        <v>758</v>
      </c>
      <c r="C201" s="313" t="s">
        <v>2</v>
      </c>
      <c r="D201" s="323"/>
      <c r="E201" s="298"/>
      <c r="F201" s="1156"/>
      <c r="G201" s="1156"/>
      <c r="H201" s="1156"/>
      <c r="I201" s="399" t="str">
        <f t="shared" ref="I201:I219" si="21">IF(D201&lt;&gt;0,ROUND(PRODUCT(E201:H201)*D201,2),"")</f>
        <v/>
      </c>
      <c r="J201" s="162"/>
      <c r="K201" s="168"/>
      <c r="L201" s="169"/>
      <c r="M201" s="169"/>
      <c r="N201" s="169"/>
      <c r="O201" s="169"/>
      <c r="P201" s="169"/>
    </row>
    <row r="202" spans="1:16" s="170" customFormat="1" ht="17.25" outlineLevel="1">
      <c r="A202" s="420"/>
      <c r="B202" s="312" t="s">
        <v>735</v>
      </c>
      <c r="C202" s="313" t="s">
        <v>2</v>
      </c>
      <c r="D202" s="323">
        <v>-1</v>
      </c>
      <c r="E202" s="298">
        <v>1</v>
      </c>
      <c r="F202" s="1156">
        <f>3.14*3</f>
        <v>9.42</v>
      </c>
      <c r="G202" s="1156">
        <f t="shared" ref="G202:G215" si="22">0.46+0.15</f>
        <v>0.61</v>
      </c>
      <c r="H202" s="1156">
        <v>0.15</v>
      </c>
      <c r="I202" s="399">
        <f t="shared" si="21"/>
        <v>-0.86</v>
      </c>
      <c r="J202" s="162"/>
      <c r="K202" s="168"/>
      <c r="L202" s="169"/>
      <c r="M202" s="169"/>
      <c r="N202" s="169"/>
      <c r="O202" s="169"/>
      <c r="P202" s="169"/>
    </row>
    <row r="203" spans="1:16" s="170" customFormat="1" ht="17.25" outlineLevel="1">
      <c r="A203" s="420"/>
      <c r="B203" s="312" t="s">
        <v>736</v>
      </c>
      <c r="C203" s="313" t="s">
        <v>2</v>
      </c>
      <c r="D203" s="323">
        <v>-1</v>
      </c>
      <c r="E203" s="298">
        <v>1</v>
      </c>
      <c r="F203" s="1156">
        <f>3.14*3</f>
        <v>9.42</v>
      </c>
      <c r="G203" s="1156">
        <f t="shared" si="22"/>
        <v>0.61</v>
      </c>
      <c r="H203" s="1156">
        <v>0.15</v>
      </c>
      <c r="I203" s="399">
        <f t="shared" si="21"/>
        <v>-0.86</v>
      </c>
      <c r="J203" s="162"/>
      <c r="K203" s="168"/>
      <c r="L203" s="169"/>
      <c r="M203" s="169"/>
      <c r="N203" s="169"/>
      <c r="O203" s="169"/>
      <c r="P203" s="169"/>
    </row>
    <row r="204" spans="1:16" s="170" customFormat="1" ht="17.25" outlineLevel="1">
      <c r="A204" s="420"/>
      <c r="B204" s="312" t="s">
        <v>737</v>
      </c>
      <c r="C204" s="313" t="s">
        <v>2</v>
      </c>
      <c r="D204" s="323">
        <v>-1</v>
      </c>
      <c r="E204" s="298">
        <v>1</v>
      </c>
      <c r="F204" s="1156">
        <f>3.14*3.7</f>
        <v>11.618</v>
      </c>
      <c r="G204" s="1156">
        <f t="shared" si="22"/>
        <v>0.61</v>
      </c>
      <c r="H204" s="1156">
        <v>0.15</v>
      </c>
      <c r="I204" s="399">
        <f t="shared" si="21"/>
        <v>-1.06</v>
      </c>
      <c r="J204" s="162"/>
      <c r="K204" s="168"/>
      <c r="L204" s="169"/>
      <c r="M204" s="169"/>
      <c r="N204" s="169"/>
      <c r="O204" s="169"/>
      <c r="P204" s="169"/>
    </row>
    <row r="205" spans="1:16" s="170" customFormat="1" ht="17.25" outlineLevel="1">
      <c r="A205" s="420"/>
      <c r="B205" s="312" t="s">
        <v>738</v>
      </c>
      <c r="C205" s="313" t="s">
        <v>2</v>
      </c>
      <c r="D205" s="323">
        <v>-1</v>
      </c>
      <c r="E205" s="298">
        <v>1</v>
      </c>
      <c r="F205" s="1156">
        <f>3.14*3</f>
        <v>9.42</v>
      </c>
      <c r="G205" s="1156">
        <f t="shared" si="22"/>
        <v>0.61</v>
      </c>
      <c r="H205" s="1156">
        <v>0.15</v>
      </c>
      <c r="I205" s="399">
        <f t="shared" si="21"/>
        <v>-0.86</v>
      </c>
      <c r="J205" s="162"/>
      <c r="K205" s="168"/>
      <c r="L205" s="169"/>
      <c r="M205" s="169"/>
      <c r="N205" s="169"/>
      <c r="O205" s="169"/>
      <c r="P205" s="169"/>
    </row>
    <row r="206" spans="1:16" s="170" customFormat="1" ht="17.25" outlineLevel="1">
      <c r="A206" s="420"/>
      <c r="B206" s="312" t="s">
        <v>739</v>
      </c>
      <c r="C206" s="313" t="s">
        <v>2</v>
      </c>
      <c r="D206" s="323">
        <v>-1</v>
      </c>
      <c r="E206" s="298">
        <v>1</v>
      </c>
      <c r="F206" s="1156">
        <v>8.5660000000000007</v>
      </c>
      <c r="G206" s="1156">
        <f t="shared" si="22"/>
        <v>0.61</v>
      </c>
      <c r="H206" s="1156">
        <v>0.15</v>
      </c>
      <c r="I206" s="399">
        <f t="shared" si="21"/>
        <v>-0.78</v>
      </c>
      <c r="J206" s="162"/>
      <c r="K206" s="168"/>
      <c r="L206" s="169"/>
      <c r="M206" s="169"/>
      <c r="N206" s="169"/>
      <c r="O206" s="169"/>
      <c r="P206" s="169"/>
    </row>
    <row r="207" spans="1:16" s="170" customFormat="1" ht="17.25" outlineLevel="1">
      <c r="A207" s="420"/>
      <c r="B207" s="312" t="s">
        <v>740</v>
      </c>
      <c r="C207" s="313" t="s">
        <v>2</v>
      </c>
      <c r="D207" s="323">
        <v>-1</v>
      </c>
      <c r="E207" s="298">
        <v>1</v>
      </c>
      <c r="F207" s="1156">
        <f>3.14*2.7</f>
        <v>8.4780000000000015</v>
      </c>
      <c r="G207" s="1156">
        <f t="shared" si="22"/>
        <v>0.61</v>
      </c>
      <c r="H207" s="1156">
        <v>0.15</v>
      </c>
      <c r="I207" s="399">
        <f t="shared" si="21"/>
        <v>-0.78</v>
      </c>
      <c r="J207" s="162"/>
      <c r="K207" s="168"/>
      <c r="L207" s="169"/>
      <c r="M207" s="169"/>
      <c r="N207" s="169"/>
      <c r="O207" s="169"/>
      <c r="P207" s="169"/>
    </row>
    <row r="208" spans="1:16" s="170" customFormat="1" ht="17.25" outlineLevel="1">
      <c r="A208" s="420"/>
      <c r="B208" s="312" t="s">
        <v>741</v>
      </c>
      <c r="C208" s="313" t="s">
        <v>2</v>
      </c>
      <c r="D208" s="323">
        <v>-1</v>
      </c>
      <c r="E208" s="298">
        <v>1</v>
      </c>
      <c r="F208" s="1156">
        <f t="shared" ref="F208:F215" si="23">3.14*3</f>
        <v>9.42</v>
      </c>
      <c r="G208" s="1156">
        <f t="shared" si="22"/>
        <v>0.61</v>
      </c>
      <c r="H208" s="1156">
        <v>0.15</v>
      </c>
      <c r="I208" s="399">
        <f t="shared" si="21"/>
        <v>-0.86</v>
      </c>
      <c r="J208" s="162"/>
      <c r="K208" s="168"/>
      <c r="L208" s="169"/>
      <c r="M208" s="169"/>
      <c r="N208" s="169"/>
      <c r="O208" s="169"/>
      <c r="P208" s="169"/>
    </row>
    <row r="209" spans="1:16" s="170" customFormat="1" ht="17.25" outlineLevel="1">
      <c r="A209" s="420"/>
      <c r="B209" s="312" t="s">
        <v>742</v>
      </c>
      <c r="C209" s="313" t="s">
        <v>2</v>
      </c>
      <c r="D209" s="323">
        <v>-1</v>
      </c>
      <c r="E209" s="298">
        <v>1</v>
      </c>
      <c r="F209" s="1156">
        <f t="shared" si="23"/>
        <v>9.42</v>
      </c>
      <c r="G209" s="1156">
        <f t="shared" si="22"/>
        <v>0.61</v>
      </c>
      <c r="H209" s="1156">
        <v>0.15</v>
      </c>
      <c r="I209" s="399">
        <f t="shared" si="21"/>
        <v>-0.86</v>
      </c>
      <c r="J209" s="162"/>
      <c r="K209" s="168"/>
      <c r="L209" s="169"/>
      <c r="M209" s="169"/>
      <c r="N209" s="169"/>
      <c r="O209" s="169"/>
      <c r="P209" s="169"/>
    </row>
    <row r="210" spans="1:16" s="170" customFormat="1" ht="17.25" outlineLevel="1">
      <c r="A210" s="420"/>
      <c r="B210" s="312" t="s">
        <v>743</v>
      </c>
      <c r="C210" s="313" t="s">
        <v>2</v>
      </c>
      <c r="D210" s="323">
        <v>-1</v>
      </c>
      <c r="E210" s="298">
        <v>1</v>
      </c>
      <c r="F210" s="1156">
        <f t="shared" si="23"/>
        <v>9.42</v>
      </c>
      <c r="G210" s="1156">
        <f t="shared" si="22"/>
        <v>0.61</v>
      </c>
      <c r="H210" s="1156">
        <v>0.15</v>
      </c>
      <c r="I210" s="399">
        <f t="shared" si="21"/>
        <v>-0.86</v>
      </c>
      <c r="J210" s="162"/>
      <c r="K210" s="168"/>
      <c r="L210" s="169"/>
      <c r="M210" s="169"/>
      <c r="N210" s="169"/>
      <c r="O210" s="169"/>
      <c r="P210" s="169"/>
    </row>
    <row r="211" spans="1:16" s="170" customFormat="1" ht="17.25" outlineLevel="1">
      <c r="A211" s="420"/>
      <c r="B211" s="312" t="s">
        <v>744</v>
      </c>
      <c r="C211" s="313" t="s">
        <v>2</v>
      </c>
      <c r="D211" s="323">
        <v>-1</v>
      </c>
      <c r="E211" s="298">
        <v>1</v>
      </c>
      <c r="F211" s="1156">
        <f t="shared" si="23"/>
        <v>9.42</v>
      </c>
      <c r="G211" s="1156">
        <f t="shared" si="22"/>
        <v>0.61</v>
      </c>
      <c r="H211" s="1156">
        <v>0.15</v>
      </c>
      <c r="I211" s="399">
        <f t="shared" si="21"/>
        <v>-0.86</v>
      </c>
      <c r="J211" s="162"/>
      <c r="K211" s="168"/>
      <c r="L211" s="169"/>
      <c r="M211" s="169"/>
      <c r="N211" s="169"/>
      <c r="O211" s="169"/>
      <c r="P211" s="169"/>
    </row>
    <row r="212" spans="1:16" s="170" customFormat="1" ht="17.25" outlineLevel="1">
      <c r="A212" s="420"/>
      <c r="B212" s="312" t="s">
        <v>745</v>
      </c>
      <c r="C212" s="313" t="s">
        <v>2</v>
      </c>
      <c r="D212" s="323">
        <v>-1</v>
      </c>
      <c r="E212" s="298">
        <v>1</v>
      </c>
      <c r="F212" s="1156">
        <f t="shared" si="23"/>
        <v>9.42</v>
      </c>
      <c r="G212" s="1156">
        <f t="shared" si="22"/>
        <v>0.61</v>
      </c>
      <c r="H212" s="1156">
        <v>0.15</v>
      </c>
      <c r="I212" s="399">
        <f t="shared" si="21"/>
        <v>-0.86</v>
      </c>
      <c r="J212" s="162"/>
      <c r="K212" s="168"/>
      <c r="L212" s="169"/>
      <c r="M212" s="169"/>
      <c r="N212" s="169"/>
      <c r="O212" s="169"/>
      <c r="P212" s="169"/>
    </row>
    <row r="213" spans="1:16" s="170" customFormat="1" ht="17.25" outlineLevel="1">
      <c r="A213" s="420"/>
      <c r="B213" s="312" t="s">
        <v>746</v>
      </c>
      <c r="C213" s="313" t="s">
        <v>2</v>
      </c>
      <c r="D213" s="323">
        <v>-1</v>
      </c>
      <c r="E213" s="298">
        <v>1</v>
      </c>
      <c r="F213" s="1156">
        <f t="shared" si="23"/>
        <v>9.42</v>
      </c>
      <c r="G213" s="1156">
        <f t="shared" si="22"/>
        <v>0.61</v>
      </c>
      <c r="H213" s="1156">
        <v>0.15</v>
      </c>
      <c r="I213" s="399">
        <f t="shared" si="21"/>
        <v>-0.86</v>
      </c>
      <c r="J213" s="162"/>
      <c r="K213" s="168"/>
      <c r="L213" s="169"/>
      <c r="M213" s="169"/>
      <c r="N213" s="169"/>
      <c r="O213" s="169"/>
      <c r="P213" s="169"/>
    </row>
    <row r="214" spans="1:16" s="170" customFormat="1" ht="17.25" outlineLevel="1">
      <c r="A214" s="420"/>
      <c r="B214" s="312" t="s">
        <v>747</v>
      </c>
      <c r="C214" s="313" t="s">
        <v>2</v>
      </c>
      <c r="D214" s="323">
        <v>-1</v>
      </c>
      <c r="E214" s="298">
        <v>1</v>
      </c>
      <c r="F214" s="1156">
        <f t="shared" si="23"/>
        <v>9.42</v>
      </c>
      <c r="G214" s="1156">
        <f t="shared" si="22"/>
        <v>0.61</v>
      </c>
      <c r="H214" s="1156">
        <v>0.15</v>
      </c>
      <c r="I214" s="399">
        <f t="shared" si="21"/>
        <v>-0.86</v>
      </c>
      <c r="J214" s="162"/>
      <c r="K214" s="168"/>
      <c r="L214" s="169"/>
      <c r="M214" s="169"/>
      <c r="N214" s="169"/>
      <c r="O214" s="169"/>
      <c r="P214" s="169"/>
    </row>
    <row r="215" spans="1:16" s="170" customFormat="1" ht="17.25" outlineLevel="1">
      <c r="A215" s="420"/>
      <c r="B215" s="312" t="s">
        <v>748</v>
      </c>
      <c r="C215" s="313" t="s">
        <v>2</v>
      </c>
      <c r="D215" s="323">
        <v>-1</v>
      </c>
      <c r="E215" s="298">
        <v>1</v>
      </c>
      <c r="F215" s="1156">
        <f t="shared" si="23"/>
        <v>9.42</v>
      </c>
      <c r="G215" s="1156">
        <f t="shared" si="22"/>
        <v>0.61</v>
      </c>
      <c r="H215" s="1156">
        <v>0.15</v>
      </c>
      <c r="I215" s="399">
        <f t="shared" si="21"/>
        <v>-0.86</v>
      </c>
      <c r="J215" s="162"/>
      <c r="K215" s="168"/>
      <c r="L215" s="169"/>
      <c r="M215" s="169"/>
      <c r="N215" s="169"/>
      <c r="O215" s="169"/>
      <c r="P215" s="169"/>
    </row>
    <row r="216" spans="1:16" s="170" customFormat="1" ht="34.5" outlineLevel="1">
      <c r="A216" s="420"/>
      <c r="B216" s="312" t="s">
        <v>753</v>
      </c>
      <c r="C216" s="313"/>
      <c r="D216" s="323"/>
      <c r="E216" s="298"/>
      <c r="F216" s="1156"/>
      <c r="G216" s="1156"/>
      <c r="H216" s="1156"/>
      <c r="I216" s="399" t="str">
        <f t="shared" si="21"/>
        <v/>
      </c>
      <c r="J216" s="162"/>
      <c r="K216" s="168"/>
      <c r="L216" s="169"/>
      <c r="M216" s="169"/>
      <c r="N216" s="169"/>
      <c r="O216" s="169"/>
      <c r="P216" s="169"/>
    </row>
    <row r="217" spans="1:16" s="170" customFormat="1" ht="17.25" outlineLevel="1">
      <c r="A217" s="420"/>
      <c r="B217" s="312" t="s">
        <v>754</v>
      </c>
      <c r="C217" s="313" t="s">
        <v>2</v>
      </c>
      <c r="D217" s="323">
        <v>-1</v>
      </c>
      <c r="E217" s="298">
        <v>1</v>
      </c>
      <c r="F217" s="1155">
        <v>8.2149999999999999</v>
      </c>
      <c r="G217" s="1156">
        <f>0.46+0.15</f>
        <v>0.61</v>
      </c>
      <c r="H217" s="1156">
        <v>0.15</v>
      </c>
      <c r="I217" s="399">
        <f t="shared" si="21"/>
        <v>-0.75</v>
      </c>
      <c r="J217" s="162"/>
      <c r="K217" s="168"/>
      <c r="L217" s="169"/>
      <c r="M217" s="169"/>
      <c r="N217" s="169"/>
      <c r="O217" s="169"/>
      <c r="P217" s="169"/>
    </row>
    <row r="218" spans="1:16" s="170" customFormat="1" ht="17.25" outlineLevel="1">
      <c r="A218" s="420"/>
      <c r="B218" s="312" t="s">
        <v>755</v>
      </c>
      <c r="C218" s="313" t="s">
        <v>2</v>
      </c>
      <c r="D218" s="323">
        <v>-1</v>
      </c>
      <c r="E218" s="298">
        <v>1</v>
      </c>
      <c r="F218" s="1155">
        <v>2.343</v>
      </c>
      <c r="G218" s="1156">
        <f>0.46+0.15</f>
        <v>0.61</v>
      </c>
      <c r="H218" s="1156">
        <v>0.15</v>
      </c>
      <c r="I218" s="399">
        <f t="shared" si="21"/>
        <v>-0.21</v>
      </c>
      <c r="J218" s="162"/>
      <c r="K218" s="168"/>
      <c r="L218" s="169"/>
      <c r="M218" s="169"/>
      <c r="N218" s="169"/>
      <c r="O218" s="169"/>
      <c r="P218" s="169"/>
    </row>
    <row r="219" spans="1:16" s="170" customFormat="1" ht="17.25" outlineLevel="1">
      <c r="A219" s="420"/>
      <c r="B219" s="312" t="s">
        <v>756</v>
      </c>
      <c r="C219" s="313" t="s">
        <v>2</v>
      </c>
      <c r="D219" s="323">
        <v>-1</v>
      </c>
      <c r="E219" s="298">
        <v>1</v>
      </c>
      <c r="F219" s="1155">
        <v>5.1429999999999998</v>
      </c>
      <c r="G219" s="1156">
        <f>0.46+0.15</f>
        <v>0.61</v>
      </c>
      <c r="H219" s="1156">
        <v>0.15</v>
      </c>
      <c r="I219" s="399">
        <f t="shared" si="21"/>
        <v>-0.47</v>
      </c>
      <c r="J219" s="162"/>
      <c r="K219" s="168"/>
      <c r="L219" s="169"/>
      <c r="M219" s="169"/>
      <c r="N219" s="169"/>
      <c r="O219" s="169"/>
      <c r="P219" s="169"/>
    </row>
    <row r="220" spans="1:16" s="377" customFormat="1" ht="17.25" outlineLevel="1">
      <c r="A220" s="414"/>
      <c r="B220" s="425"/>
      <c r="C220" s="165"/>
      <c r="D220" s="548"/>
      <c r="E220" s="307"/>
      <c r="F220" s="401"/>
      <c r="G220" s="401"/>
      <c r="H220" s="401"/>
      <c r="I220" s="399"/>
      <c r="J220" s="394"/>
      <c r="K220" s="394"/>
      <c r="L220" s="376"/>
      <c r="M220" s="376"/>
      <c r="N220" s="376"/>
      <c r="O220" s="376"/>
      <c r="P220" s="376"/>
    </row>
    <row r="221" spans="1:16" s="377" customFormat="1" ht="17.25" outlineLevel="1">
      <c r="A221" s="550"/>
      <c r="B221" s="551"/>
      <c r="C221" s="528"/>
      <c r="D221" s="552"/>
      <c r="E221" s="553"/>
      <c r="F221" s="1154"/>
      <c r="G221" s="1154"/>
      <c r="H221" s="1154"/>
      <c r="I221" s="399"/>
      <c r="J221" s="529"/>
      <c r="K221" s="529"/>
      <c r="L221" s="376"/>
      <c r="M221" s="376"/>
      <c r="N221" s="376"/>
      <c r="O221" s="376"/>
      <c r="P221" s="376"/>
    </row>
    <row r="222" spans="1:16" s="377" customFormat="1" ht="34.5" outlineLevel="1">
      <c r="A222" s="555">
        <v>2</v>
      </c>
      <c r="B222" s="547" t="s">
        <v>753</v>
      </c>
      <c r="C222" s="313"/>
      <c r="D222" s="323"/>
      <c r="E222" s="298"/>
      <c r="F222" s="1156"/>
      <c r="G222" s="1156"/>
      <c r="H222" s="1156"/>
      <c r="I222" s="399" t="str">
        <f t="shared" ref="I222:I227" si="24">IF(D222&lt;&gt;0,ROUND(PRODUCT(E222:H222)*D222,2),"")</f>
        <v/>
      </c>
      <c r="J222" s="374"/>
      <c r="K222" s="163"/>
      <c r="L222" s="376"/>
      <c r="M222" s="376"/>
      <c r="N222" s="376"/>
      <c r="O222" s="376"/>
      <c r="P222" s="376"/>
    </row>
    <row r="223" spans="1:16" s="377" customFormat="1" ht="17.25" outlineLevel="1">
      <c r="A223" s="617"/>
      <c r="B223" s="312" t="s">
        <v>1142</v>
      </c>
      <c r="C223" s="313" t="s">
        <v>2</v>
      </c>
      <c r="D223" s="323">
        <v>1</v>
      </c>
      <c r="E223" s="298">
        <v>1</v>
      </c>
      <c r="F223" s="1159">
        <v>4.5309999999999997</v>
      </c>
      <c r="G223" s="1156">
        <f>0.46+0.15+0.15</f>
        <v>0.76</v>
      </c>
      <c r="H223" s="1156">
        <v>0.15</v>
      </c>
      <c r="I223" s="399">
        <f t="shared" si="24"/>
        <v>0.52</v>
      </c>
      <c r="J223" s="374"/>
      <c r="K223" s="163"/>
      <c r="L223" s="376"/>
      <c r="M223" s="376"/>
      <c r="N223" s="376"/>
      <c r="O223" s="376"/>
      <c r="P223" s="376"/>
    </row>
    <row r="224" spans="1:16" s="377" customFormat="1" ht="17.25" outlineLevel="1">
      <c r="A224" s="617"/>
      <c r="B224" s="312" t="s">
        <v>1127</v>
      </c>
      <c r="C224" s="313" t="s">
        <v>2</v>
      </c>
      <c r="D224" s="323">
        <v>1</v>
      </c>
      <c r="E224" s="298">
        <v>1</v>
      </c>
      <c r="F224" s="1158">
        <v>5.2839999999999998</v>
      </c>
      <c r="G224" s="1156">
        <f>0.46+0.15+0.15</f>
        <v>0.76</v>
      </c>
      <c r="H224" s="1156">
        <v>0.15</v>
      </c>
      <c r="I224" s="399">
        <f t="shared" si="24"/>
        <v>0.6</v>
      </c>
      <c r="J224" s="374"/>
      <c r="K224" s="163"/>
      <c r="L224" s="376"/>
      <c r="M224" s="376"/>
      <c r="N224" s="376"/>
      <c r="O224" s="376"/>
      <c r="P224" s="376"/>
    </row>
    <row r="225" spans="1:16" s="377" customFormat="1" ht="17.25" outlineLevel="1">
      <c r="A225" s="617"/>
      <c r="B225" s="312" t="s">
        <v>1128</v>
      </c>
      <c r="C225" s="313" t="s">
        <v>2</v>
      </c>
      <c r="D225" s="323">
        <v>1</v>
      </c>
      <c r="E225" s="298">
        <v>1</v>
      </c>
      <c r="F225" s="1159">
        <v>3.1429999999999998</v>
      </c>
      <c r="G225" s="1156">
        <f t="shared" ref="G225:G226" si="25">0.46+0.15+0.15</f>
        <v>0.76</v>
      </c>
      <c r="H225" s="1156">
        <v>0.15</v>
      </c>
      <c r="I225" s="399">
        <f t="shared" si="24"/>
        <v>0.36</v>
      </c>
      <c r="J225" s="374"/>
      <c r="K225" s="163"/>
      <c r="L225" s="376"/>
      <c r="M225" s="376"/>
      <c r="N225" s="376"/>
      <c r="O225" s="376"/>
      <c r="P225" s="376"/>
    </row>
    <row r="226" spans="1:16" s="377" customFormat="1" ht="17.25" outlineLevel="1">
      <c r="A226" s="617"/>
      <c r="B226" s="312" t="s">
        <v>1128</v>
      </c>
      <c r="C226" s="313" t="s">
        <v>2</v>
      </c>
      <c r="D226" s="323">
        <v>1</v>
      </c>
      <c r="E226" s="298">
        <v>1</v>
      </c>
      <c r="F226" s="1159">
        <v>3.121</v>
      </c>
      <c r="G226" s="1156">
        <f t="shared" si="25"/>
        <v>0.76</v>
      </c>
      <c r="H226" s="1156">
        <v>0.15</v>
      </c>
      <c r="I226" s="399">
        <f t="shared" si="24"/>
        <v>0.36</v>
      </c>
      <c r="J226" s="374"/>
      <c r="K226" s="163"/>
      <c r="L226" s="376"/>
      <c r="M226" s="376"/>
      <c r="N226" s="376"/>
      <c r="O226" s="376"/>
      <c r="P226" s="376"/>
    </row>
    <row r="227" spans="1:16" s="377" customFormat="1" ht="17.25" outlineLevel="1">
      <c r="A227" s="617"/>
      <c r="B227" s="312"/>
      <c r="C227" s="313"/>
      <c r="D227" s="323"/>
      <c r="E227" s="298"/>
      <c r="F227" s="1156"/>
      <c r="G227" s="1156"/>
      <c r="H227" s="1156"/>
      <c r="I227" s="399" t="str">
        <f t="shared" si="24"/>
        <v/>
      </c>
      <c r="J227" s="374"/>
      <c r="K227" s="163"/>
      <c r="L227" s="376"/>
      <c r="M227" s="376"/>
      <c r="N227" s="376"/>
      <c r="O227" s="376"/>
      <c r="P227" s="376"/>
    </row>
    <row r="228" spans="1:16" s="377" customFormat="1" ht="17.25" outlineLevel="1">
      <c r="A228" s="555">
        <v>3</v>
      </c>
      <c r="B228" s="531" t="s">
        <v>1143</v>
      </c>
      <c r="C228" s="165"/>
      <c r="D228" s="548"/>
      <c r="E228" s="307"/>
      <c r="F228" s="401"/>
      <c r="G228" s="401"/>
      <c r="H228" s="401"/>
      <c r="I228" s="399"/>
      <c r="J228" s="394"/>
      <c r="K228" s="394"/>
      <c r="L228" s="376"/>
      <c r="M228" s="376"/>
      <c r="N228" s="376"/>
      <c r="O228" s="376"/>
      <c r="P228" s="376"/>
    </row>
    <row r="229" spans="1:16" s="377" customFormat="1" ht="17.25" outlineLevel="1">
      <c r="A229" s="165"/>
      <c r="B229" s="165" t="s">
        <v>1144</v>
      </c>
      <c r="C229" s="165"/>
      <c r="D229" s="548"/>
      <c r="E229" s="307"/>
      <c r="F229" s="401"/>
      <c r="G229" s="401"/>
      <c r="H229" s="401"/>
      <c r="I229" s="399"/>
      <c r="J229" s="394"/>
      <c r="K229" s="394"/>
      <c r="L229" s="376"/>
      <c r="M229" s="376"/>
      <c r="N229" s="376"/>
      <c r="O229" s="376"/>
      <c r="P229" s="376"/>
    </row>
    <row r="230" spans="1:16" s="377" customFormat="1" ht="17.25" outlineLevel="1">
      <c r="A230" s="414"/>
      <c r="B230" s="425" t="s">
        <v>1145</v>
      </c>
      <c r="C230" s="313" t="s">
        <v>2</v>
      </c>
      <c r="D230" s="323">
        <v>1</v>
      </c>
      <c r="E230" s="298">
        <v>1</v>
      </c>
      <c r="F230" s="662">
        <v>28.25</v>
      </c>
      <c r="G230" s="401">
        <f>0.839+0.1+0.1</f>
        <v>1.0389999999999999</v>
      </c>
      <c r="H230" s="401">
        <v>0.1</v>
      </c>
      <c r="I230" s="399">
        <f t="shared" ref="I230:I232" si="26">IF(D230&lt;&gt;0,ROUND(PRODUCT(E230:H230)*D230,2),"")</f>
        <v>2.94</v>
      </c>
      <c r="J230" s="394"/>
      <c r="K230" s="394"/>
      <c r="L230" s="376"/>
      <c r="M230" s="376"/>
      <c r="N230" s="376"/>
      <c r="O230" s="376"/>
      <c r="P230" s="376"/>
    </row>
    <row r="231" spans="1:16" s="377" customFormat="1" ht="34.5" outlineLevel="1">
      <c r="A231" s="414"/>
      <c r="B231" s="425" t="s">
        <v>1146</v>
      </c>
      <c r="C231" s="313" t="s">
        <v>2</v>
      </c>
      <c r="D231" s="323">
        <v>1</v>
      </c>
      <c r="E231" s="298">
        <v>1</v>
      </c>
      <c r="F231" s="662">
        <v>1.345</v>
      </c>
      <c r="G231" s="401">
        <f>0.839+0.1+0.1</f>
        <v>1.0389999999999999</v>
      </c>
      <c r="H231" s="401">
        <v>0.1</v>
      </c>
      <c r="I231" s="399">
        <f t="shared" si="26"/>
        <v>0.14000000000000001</v>
      </c>
      <c r="J231" s="394"/>
      <c r="K231" s="394"/>
      <c r="L231" s="376"/>
      <c r="M231" s="376"/>
      <c r="N231" s="376"/>
      <c r="O231" s="376"/>
      <c r="P231" s="376"/>
    </row>
    <row r="232" spans="1:16" s="377" customFormat="1" ht="34.5" outlineLevel="1">
      <c r="A232" s="414"/>
      <c r="B232" s="425" t="s">
        <v>1147</v>
      </c>
      <c r="C232" s="313" t="s">
        <v>2</v>
      </c>
      <c r="D232" s="323">
        <v>1</v>
      </c>
      <c r="E232" s="298">
        <v>1</v>
      </c>
      <c r="F232" s="662">
        <v>4.3899999999999997</v>
      </c>
      <c r="G232" s="401">
        <f>0.839+0.1+0.1</f>
        <v>1.0389999999999999</v>
      </c>
      <c r="H232" s="401">
        <v>0.1</v>
      </c>
      <c r="I232" s="399">
        <f t="shared" si="26"/>
        <v>0.46</v>
      </c>
      <c r="J232" s="394"/>
      <c r="K232" s="394"/>
      <c r="L232" s="376"/>
      <c r="M232" s="376"/>
      <c r="N232" s="376"/>
      <c r="O232" s="376"/>
      <c r="P232" s="376"/>
    </row>
    <row r="233" spans="1:16" s="377" customFormat="1" ht="17.25" outlineLevel="1">
      <c r="A233" s="414"/>
      <c r="B233" s="425"/>
      <c r="C233" s="165"/>
      <c r="D233" s="548"/>
      <c r="E233" s="307"/>
      <c r="F233" s="401"/>
      <c r="G233" s="401"/>
      <c r="H233" s="401"/>
      <c r="I233" s="399"/>
      <c r="J233" s="394"/>
      <c r="K233" s="394"/>
      <c r="L233" s="376"/>
      <c r="M233" s="376"/>
      <c r="N233" s="376"/>
      <c r="O233" s="376"/>
      <c r="P233" s="376"/>
    </row>
    <row r="234" spans="1:16" s="377" customFormat="1" ht="17.25" outlineLevel="1">
      <c r="A234" s="414"/>
      <c r="B234" s="425" t="s">
        <v>1148</v>
      </c>
      <c r="C234" s="313" t="s">
        <v>2</v>
      </c>
      <c r="D234" s="323">
        <v>1</v>
      </c>
      <c r="E234" s="298">
        <v>1</v>
      </c>
      <c r="F234" s="1110">
        <v>46.524000000000001</v>
      </c>
      <c r="G234" s="401"/>
      <c r="H234" s="401">
        <v>0.1</v>
      </c>
      <c r="I234" s="399">
        <f t="shared" ref="I234" si="27">IF(D234&lt;&gt;0,ROUND(PRODUCT(E234:H234)*D234,2),"")</f>
        <v>4.6500000000000004</v>
      </c>
      <c r="J234" s="394"/>
      <c r="K234" s="394" t="s">
        <v>860</v>
      </c>
      <c r="L234" s="376"/>
      <c r="M234" s="376"/>
      <c r="N234" s="376"/>
      <c r="O234" s="376"/>
      <c r="P234" s="376"/>
    </row>
    <row r="235" spans="1:16" s="377" customFormat="1" ht="17.25" outlineLevel="1">
      <c r="A235" s="414"/>
      <c r="B235" s="425"/>
      <c r="C235" s="165"/>
      <c r="D235" s="548"/>
      <c r="E235" s="307"/>
      <c r="F235" s="540"/>
      <c r="G235" s="540"/>
      <c r="H235" s="540"/>
      <c r="I235" s="399"/>
      <c r="J235" s="394"/>
      <c r="K235" s="394"/>
      <c r="L235" s="376"/>
      <c r="M235" s="376"/>
      <c r="N235" s="376"/>
      <c r="O235" s="376"/>
      <c r="P235" s="376"/>
    </row>
    <row r="236" spans="1:16" s="377" customFormat="1" ht="34.5" outlineLevel="1">
      <c r="A236" s="617">
        <v>4</v>
      </c>
      <c r="B236" s="453" t="s">
        <v>1149</v>
      </c>
      <c r="C236" s="165"/>
      <c r="D236" s="548"/>
      <c r="E236" s="307"/>
      <c r="F236" s="540"/>
      <c r="G236" s="540"/>
      <c r="H236" s="540"/>
      <c r="I236" s="399"/>
      <c r="J236" s="394"/>
      <c r="K236" s="394"/>
      <c r="L236" s="376"/>
      <c r="M236" s="376"/>
      <c r="N236" s="376"/>
      <c r="O236" s="376"/>
      <c r="P236" s="376"/>
    </row>
    <row r="237" spans="1:16" s="377" customFormat="1" ht="17.25" outlineLevel="1">
      <c r="A237" s="414"/>
      <c r="B237" s="425" t="s">
        <v>1150</v>
      </c>
      <c r="C237" s="165" t="s">
        <v>2</v>
      </c>
      <c r="D237" s="548">
        <v>1</v>
      </c>
      <c r="E237" s="307">
        <v>1</v>
      </c>
      <c r="F237" s="401">
        <f>1577556000/1000000</f>
        <v>1577.556</v>
      </c>
      <c r="G237" s="401"/>
      <c r="H237" s="401">
        <v>7.4999999999999997E-2</v>
      </c>
      <c r="I237" s="399">
        <f t="shared" ref="I237" si="28">IF(D237&lt;&gt;0,ROUND(PRODUCT(E237:H237)*D237,2),"")</f>
        <v>118.32</v>
      </c>
      <c r="J237" s="394"/>
      <c r="K237" s="394" t="s">
        <v>860</v>
      </c>
      <c r="L237" s="376"/>
      <c r="M237" s="376"/>
      <c r="N237" s="376"/>
      <c r="O237" s="376"/>
      <c r="P237" s="376"/>
    </row>
    <row r="238" spans="1:16" s="377" customFormat="1" ht="17.25" outlineLevel="1">
      <c r="A238" s="414"/>
      <c r="B238" s="425" t="s">
        <v>1151</v>
      </c>
      <c r="C238" s="165"/>
      <c r="D238" s="548"/>
      <c r="E238" s="307"/>
      <c r="F238" s="401"/>
      <c r="G238" s="401"/>
      <c r="H238" s="401"/>
      <c r="I238" s="399"/>
      <c r="J238" s="394"/>
      <c r="K238" s="394"/>
      <c r="L238" s="376"/>
      <c r="M238" s="376"/>
      <c r="N238" s="376"/>
      <c r="O238" s="376"/>
      <c r="P238" s="376"/>
    </row>
    <row r="239" spans="1:16" s="377" customFormat="1" ht="17.25" outlineLevel="1">
      <c r="A239" s="414"/>
      <c r="B239" s="425" t="s">
        <v>1152</v>
      </c>
      <c r="C239" s="165" t="s">
        <v>2</v>
      </c>
      <c r="D239" s="548">
        <v>-1</v>
      </c>
      <c r="E239" s="307">
        <v>15</v>
      </c>
      <c r="F239" s="401">
        <f>3.14*1.5^2</f>
        <v>7.0650000000000004</v>
      </c>
      <c r="G239" s="401"/>
      <c r="H239" s="401">
        <v>7.4999999999999997E-2</v>
      </c>
      <c r="I239" s="399">
        <f t="shared" ref="I239:I248" si="29">IF(D239&lt;&gt;0,ROUND(PRODUCT(E239:H239)*D239,2),"")</f>
        <v>-7.95</v>
      </c>
      <c r="J239" s="394"/>
      <c r="K239" s="394" t="s">
        <v>860</v>
      </c>
      <c r="L239" s="376"/>
      <c r="M239" s="376"/>
      <c r="N239" s="376"/>
      <c r="O239" s="376"/>
      <c r="P239" s="376"/>
    </row>
    <row r="240" spans="1:16" s="377" customFormat="1" ht="17.25" outlineLevel="1">
      <c r="A240" s="414"/>
      <c r="B240" s="425" t="s">
        <v>1153</v>
      </c>
      <c r="C240" s="165" t="s">
        <v>2</v>
      </c>
      <c r="D240" s="548">
        <v>-1</v>
      </c>
      <c r="E240" s="307">
        <v>1</v>
      </c>
      <c r="F240" s="401">
        <f>3.14*1.85^2</f>
        <v>10.746650000000001</v>
      </c>
      <c r="G240" s="401"/>
      <c r="H240" s="401">
        <v>7.4999999999999997E-2</v>
      </c>
      <c r="I240" s="399">
        <f t="shared" si="29"/>
        <v>-0.81</v>
      </c>
      <c r="J240" s="394"/>
      <c r="K240" s="394" t="s">
        <v>860</v>
      </c>
      <c r="L240" s="376"/>
      <c r="M240" s="376"/>
      <c r="N240" s="376"/>
      <c r="O240" s="376"/>
      <c r="P240" s="376"/>
    </row>
    <row r="241" spans="1:16" s="377" customFormat="1" ht="17.25" outlineLevel="1">
      <c r="A241" s="414"/>
      <c r="B241" s="425" t="s">
        <v>1154</v>
      </c>
      <c r="C241" s="165" t="s">
        <v>2</v>
      </c>
      <c r="D241" s="548">
        <v>-1</v>
      </c>
      <c r="E241" s="307">
        <v>1</v>
      </c>
      <c r="F241" s="401">
        <f>3.14*1.35^2</f>
        <v>5.7226500000000007</v>
      </c>
      <c r="G241" s="401"/>
      <c r="H241" s="401">
        <v>7.4999999999999997E-2</v>
      </c>
      <c r="I241" s="399">
        <f t="shared" si="29"/>
        <v>-0.43</v>
      </c>
      <c r="J241" s="394"/>
      <c r="K241" s="394" t="s">
        <v>860</v>
      </c>
      <c r="L241" s="376"/>
      <c r="M241" s="376"/>
      <c r="N241" s="376"/>
      <c r="O241" s="376"/>
      <c r="P241" s="376"/>
    </row>
    <row r="242" spans="1:16" s="377" customFormat="1" ht="17.25" outlineLevel="1">
      <c r="A242" s="414"/>
      <c r="B242" s="425" t="s">
        <v>1155</v>
      </c>
      <c r="C242" s="165" t="s">
        <v>2</v>
      </c>
      <c r="D242" s="548">
        <v>-1</v>
      </c>
      <c r="E242" s="307">
        <v>1</v>
      </c>
      <c r="F242" s="401">
        <f>5016786/1000000</f>
        <v>5.0167859999999997</v>
      </c>
      <c r="G242" s="401"/>
      <c r="H242" s="401">
        <v>7.4999999999999997E-2</v>
      </c>
      <c r="I242" s="399">
        <f t="shared" si="29"/>
        <v>-0.38</v>
      </c>
      <c r="J242" s="394"/>
      <c r="K242" s="394" t="s">
        <v>860</v>
      </c>
      <c r="L242" s="376"/>
      <c r="M242" s="376"/>
      <c r="N242" s="376"/>
      <c r="O242" s="376"/>
      <c r="P242" s="376"/>
    </row>
    <row r="243" spans="1:16" s="377" customFormat="1" ht="17.25" outlineLevel="1">
      <c r="A243" s="414"/>
      <c r="B243" s="425" t="s">
        <v>1156</v>
      </c>
      <c r="C243" s="165" t="s">
        <v>2</v>
      </c>
      <c r="D243" s="548">
        <v>-1</v>
      </c>
      <c r="E243" s="307">
        <v>1</v>
      </c>
      <c r="F243" s="401">
        <f>152084709/1000000</f>
        <v>152.084709</v>
      </c>
      <c r="G243" s="401"/>
      <c r="H243" s="401">
        <v>7.4999999999999997E-2</v>
      </c>
      <c r="I243" s="399">
        <f t="shared" si="29"/>
        <v>-11.41</v>
      </c>
      <c r="J243" s="394"/>
      <c r="K243" s="394" t="s">
        <v>860</v>
      </c>
      <c r="L243" s="376"/>
      <c r="M243" s="376"/>
      <c r="N243" s="376"/>
      <c r="O243" s="376"/>
      <c r="P243" s="376"/>
    </row>
    <row r="244" spans="1:16" s="377" customFormat="1" ht="17.25" outlineLevel="1">
      <c r="A244" s="414"/>
      <c r="B244" s="425" t="s">
        <v>1157</v>
      </c>
      <c r="C244" s="165" t="s">
        <v>2</v>
      </c>
      <c r="D244" s="548">
        <v>-1</v>
      </c>
      <c r="E244" s="307">
        <v>1</v>
      </c>
      <c r="F244" s="401">
        <f>50265482/1000000</f>
        <v>50.265481999999999</v>
      </c>
      <c r="G244" s="401"/>
      <c r="H244" s="401">
        <v>7.4999999999999997E-2</v>
      </c>
      <c r="I244" s="399">
        <f t="shared" si="29"/>
        <v>-3.77</v>
      </c>
      <c r="J244" s="394"/>
      <c r="K244" s="394" t="s">
        <v>860</v>
      </c>
      <c r="L244" s="376"/>
      <c r="M244" s="376"/>
      <c r="N244" s="376"/>
      <c r="O244" s="376"/>
      <c r="P244" s="376"/>
    </row>
    <row r="245" spans="1:16" s="377" customFormat="1" ht="17.25" outlineLevel="1">
      <c r="A245" s="414"/>
      <c r="B245" s="425" t="s">
        <v>1158</v>
      </c>
      <c r="C245" s="165" t="s">
        <v>2</v>
      </c>
      <c r="D245" s="548">
        <v>-1</v>
      </c>
      <c r="E245" s="307">
        <v>1</v>
      </c>
      <c r="F245" s="401">
        <f>66970710/1000000</f>
        <v>66.970709999999997</v>
      </c>
      <c r="G245" s="401"/>
      <c r="H245" s="401">
        <v>7.4999999999999997E-2</v>
      </c>
      <c r="I245" s="399">
        <f t="shared" si="29"/>
        <v>-5.0199999999999996</v>
      </c>
      <c r="J245" s="394"/>
      <c r="K245" s="394" t="s">
        <v>860</v>
      </c>
      <c r="L245" s="376"/>
      <c r="M245" s="376"/>
      <c r="N245" s="376"/>
      <c r="O245" s="376"/>
      <c r="P245" s="376"/>
    </row>
    <row r="246" spans="1:16" s="377" customFormat="1" ht="17.25" outlineLevel="1">
      <c r="A246" s="414"/>
      <c r="B246" s="425" t="s">
        <v>1159</v>
      </c>
      <c r="C246" s="165" t="s">
        <v>2</v>
      </c>
      <c r="D246" s="548">
        <v>-1</v>
      </c>
      <c r="E246" s="307">
        <v>6</v>
      </c>
      <c r="F246" s="401">
        <v>4.1749999999999998</v>
      </c>
      <c r="G246" s="401">
        <v>0.45</v>
      </c>
      <c r="H246" s="401">
        <v>7.4999999999999997E-2</v>
      </c>
      <c r="I246" s="399">
        <f t="shared" si="29"/>
        <v>-0.85</v>
      </c>
      <c r="J246" s="394"/>
      <c r="K246" s="394"/>
      <c r="L246" s="376"/>
      <c r="M246" s="376"/>
      <c r="N246" s="376"/>
      <c r="O246" s="376"/>
      <c r="P246" s="376"/>
    </row>
    <row r="247" spans="1:16" s="377" customFormat="1" ht="17.25" outlineLevel="1">
      <c r="A247" s="414"/>
      <c r="B247" s="425" t="s">
        <v>1160</v>
      </c>
      <c r="C247" s="165" t="s">
        <v>2</v>
      </c>
      <c r="D247" s="548">
        <v>-1</v>
      </c>
      <c r="E247" s="307">
        <v>24</v>
      </c>
      <c r="F247" s="401">
        <f>2-0.155</f>
        <v>1.845</v>
      </c>
      <c r="G247" s="401">
        <v>0.34499999999999997</v>
      </c>
      <c r="H247" s="401">
        <v>7.4999999999999997E-2</v>
      </c>
      <c r="I247" s="399">
        <f t="shared" si="29"/>
        <v>-1.1499999999999999</v>
      </c>
      <c r="J247" s="394"/>
      <c r="K247" s="394"/>
      <c r="L247" s="376"/>
      <c r="M247" s="376"/>
      <c r="N247" s="376"/>
      <c r="O247" s="376"/>
      <c r="P247" s="376"/>
    </row>
    <row r="248" spans="1:16" s="377" customFormat="1" ht="17.25" outlineLevel="1">
      <c r="A248" s="414"/>
      <c r="B248" s="425" t="s">
        <v>1161</v>
      </c>
      <c r="C248" s="165" t="s">
        <v>2</v>
      </c>
      <c r="D248" s="548">
        <v>-1</v>
      </c>
      <c r="E248" s="307">
        <v>7</v>
      </c>
      <c r="F248" s="1110">
        <v>0.58099999999999996</v>
      </c>
      <c r="G248" s="401"/>
      <c r="H248" s="401">
        <v>7.4999999999999997E-2</v>
      </c>
      <c r="I248" s="399">
        <f t="shared" si="29"/>
        <v>-0.31</v>
      </c>
      <c r="J248" s="394"/>
      <c r="K248" s="394" t="s">
        <v>860</v>
      </c>
      <c r="L248" s="376"/>
      <c r="M248" s="376"/>
      <c r="N248" s="376"/>
      <c r="O248" s="376"/>
      <c r="P248" s="376"/>
    </row>
    <row r="249" spans="1:16" s="377" customFormat="1" ht="17.25" outlineLevel="1">
      <c r="A249" s="414"/>
      <c r="B249" s="425"/>
      <c r="C249" s="165"/>
      <c r="D249" s="548"/>
      <c r="E249" s="307"/>
      <c r="F249" s="401"/>
      <c r="G249" s="401"/>
      <c r="H249" s="401"/>
      <c r="I249" s="399"/>
      <c r="J249" s="394"/>
      <c r="K249" s="394"/>
      <c r="L249" s="376"/>
      <c r="M249" s="376"/>
      <c r="N249" s="376"/>
      <c r="O249" s="376"/>
      <c r="P249" s="376"/>
    </row>
    <row r="250" spans="1:16" s="377" customFormat="1" ht="34.5" outlineLevel="1">
      <c r="A250" s="414">
        <v>5</v>
      </c>
      <c r="B250" s="425" t="s">
        <v>1162</v>
      </c>
      <c r="C250" s="165"/>
      <c r="D250" s="548"/>
      <c r="E250" s="307"/>
      <c r="F250" s="401"/>
      <c r="G250" s="401"/>
      <c r="H250" s="401"/>
      <c r="I250" s="399"/>
      <c r="J250" s="394"/>
      <c r="K250" s="394"/>
      <c r="L250" s="376"/>
      <c r="M250" s="376"/>
      <c r="N250" s="376"/>
      <c r="O250" s="376"/>
      <c r="P250" s="376"/>
    </row>
    <row r="251" spans="1:16" s="377" customFormat="1" ht="17.25" outlineLevel="1">
      <c r="A251" s="414"/>
      <c r="B251" s="425" t="s">
        <v>1163</v>
      </c>
      <c r="C251" s="165" t="s">
        <v>2</v>
      </c>
      <c r="D251" s="548">
        <v>1</v>
      </c>
      <c r="E251" s="307">
        <v>1</v>
      </c>
      <c r="F251" s="662">
        <f>0.75+0.2+0.2+0.115+0.115</f>
        <v>1.38</v>
      </c>
      <c r="G251" s="401">
        <f>0.7+0.2+0.2+0.115+0.115</f>
        <v>1.3299999999999998</v>
      </c>
      <c r="H251" s="401">
        <v>0.1</v>
      </c>
      <c r="I251" s="399">
        <f t="shared" ref="I251:I253" si="30">IF(D251&lt;&gt;0,ROUND(PRODUCT(E251:H251)*D251,2),"")</f>
        <v>0.18</v>
      </c>
      <c r="J251" s="394"/>
      <c r="K251" s="394"/>
      <c r="L251" s="376"/>
      <c r="M251" s="376"/>
      <c r="N251" s="376"/>
      <c r="O251" s="376"/>
      <c r="P251" s="376"/>
    </row>
    <row r="252" spans="1:16" s="377" customFormat="1" ht="17.25" outlineLevel="1">
      <c r="A252" s="414"/>
      <c r="B252" s="425" t="s">
        <v>1164</v>
      </c>
      <c r="C252" s="165" t="s">
        <v>2</v>
      </c>
      <c r="D252" s="548">
        <v>1</v>
      </c>
      <c r="E252" s="307">
        <v>1</v>
      </c>
      <c r="F252" s="662">
        <f>1+0.2+0.2+0.115</f>
        <v>1.5149999999999999</v>
      </c>
      <c r="G252" s="401">
        <f>1+0.2+0.2+0.115+0.115</f>
        <v>1.63</v>
      </c>
      <c r="H252" s="401">
        <v>0.1</v>
      </c>
      <c r="I252" s="399">
        <f t="shared" si="30"/>
        <v>0.25</v>
      </c>
      <c r="J252" s="394"/>
      <c r="K252" s="394"/>
      <c r="L252" s="376"/>
      <c r="M252" s="376"/>
      <c r="N252" s="376"/>
      <c r="O252" s="376"/>
      <c r="P252" s="376"/>
    </row>
    <row r="253" spans="1:16" s="862" customFormat="1" ht="34.5" outlineLevel="1" collapsed="1">
      <c r="A253" s="903"/>
      <c r="B253" s="918" t="s">
        <v>1485</v>
      </c>
      <c r="C253" s="919" t="s">
        <v>2</v>
      </c>
      <c r="D253" s="879">
        <v>1</v>
      </c>
      <c r="E253" s="920">
        <v>1</v>
      </c>
      <c r="F253" s="1153">
        <f>3.14*3.5^2</f>
        <v>38.465000000000003</v>
      </c>
      <c r="G253" s="1153"/>
      <c r="H253" s="1153">
        <v>0.2</v>
      </c>
      <c r="I253" s="1151">
        <f t="shared" si="30"/>
        <v>7.69</v>
      </c>
      <c r="J253" s="894"/>
      <c r="K253" s="906"/>
      <c r="L253" s="861"/>
      <c r="M253" s="861"/>
      <c r="N253" s="861"/>
      <c r="O253" s="861"/>
      <c r="P253" s="861"/>
    </row>
    <row r="254" spans="1:16" s="230" customFormat="1">
      <c r="A254" s="226"/>
      <c r="B254" s="34" t="s">
        <v>85</v>
      </c>
      <c r="C254" s="34" t="s">
        <v>2</v>
      </c>
      <c r="D254" s="651"/>
      <c r="E254" s="652"/>
      <c r="F254" s="653"/>
      <c r="G254" s="653"/>
      <c r="H254" s="654"/>
      <c r="I254" s="561"/>
      <c r="J254" s="227">
        <f>SUM(I129:I254)</f>
        <v>151.62999999999997</v>
      </c>
      <c r="K254" s="228"/>
      <c r="L254" s="229"/>
      <c r="M254" s="229"/>
      <c r="N254" s="229"/>
      <c r="O254" s="229"/>
      <c r="P254" s="229"/>
    </row>
    <row r="255" spans="1:16" s="377" customFormat="1" ht="17.25">
      <c r="A255" s="167"/>
      <c r="B255" s="312"/>
      <c r="C255" s="313" t="s">
        <v>2</v>
      </c>
      <c r="D255" s="323"/>
      <c r="E255" s="298"/>
      <c r="F255" s="298"/>
      <c r="G255" s="298"/>
      <c r="H255" s="298"/>
      <c r="I255" s="294" t="str">
        <f t="shared" ref="I255" si="31">IF(D255&lt;&gt;0,ROUND(PRODUCT(E255:H255)*D255,2),"")</f>
        <v/>
      </c>
      <c r="J255" s="162"/>
      <c r="K255" s="168"/>
      <c r="L255" s="376"/>
      <c r="M255" s="376"/>
      <c r="N255" s="376"/>
      <c r="O255" s="376"/>
      <c r="P255" s="376"/>
    </row>
    <row r="256" spans="1:16" s="170" customFormat="1" ht="17.25">
      <c r="A256" s="544"/>
      <c r="B256" s="312"/>
      <c r="C256" s="313"/>
      <c r="D256" s="323"/>
      <c r="E256" s="298"/>
      <c r="F256" s="298"/>
      <c r="G256" s="298"/>
      <c r="H256" s="298"/>
      <c r="I256" s="294" t="str">
        <f t="shared" ref="I256" si="32">IF(D256&lt;&gt;0,ROUND(PRODUCT(E256:H256)*D256,2),"")</f>
        <v/>
      </c>
      <c r="J256" s="545"/>
      <c r="K256" s="546"/>
      <c r="L256" s="169"/>
      <c r="M256" s="169"/>
      <c r="N256" s="169"/>
      <c r="O256" s="169"/>
      <c r="P256" s="169"/>
    </row>
    <row r="257" spans="1:16" s="165" customFormat="1" ht="17.25">
      <c r="A257" s="160"/>
      <c r="B257" s="366"/>
      <c r="C257" s="323"/>
      <c r="D257" s="306"/>
      <c r="E257" s="319"/>
      <c r="F257" s="640"/>
      <c r="G257" s="640"/>
      <c r="H257" s="640"/>
      <c r="I257" s="294" t="str">
        <f t="shared" ref="I257" si="33">IF(D257&lt;&gt;0,ROUND(PRODUCT(E257:H257)*D257,2),"")</f>
        <v/>
      </c>
      <c r="J257" s="162"/>
      <c r="K257" s="163"/>
      <c r="L257" s="164"/>
      <c r="M257" s="164"/>
      <c r="N257" s="164"/>
      <c r="O257" s="164"/>
      <c r="P257" s="164"/>
    </row>
    <row r="258" spans="1:16" s="39" customFormat="1">
      <c r="A258" s="259"/>
      <c r="B258" s="33" t="s">
        <v>86</v>
      </c>
      <c r="C258" s="23" t="s">
        <v>2</v>
      </c>
      <c r="D258" s="649"/>
      <c r="E258" s="16"/>
      <c r="F258" s="1"/>
      <c r="G258" s="1"/>
      <c r="H258" s="1"/>
      <c r="I258" s="46" t="str">
        <f t="shared" ref="I258:I259" si="34">IF(D258&lt;&gt;0,ROUND(PRODUCT(E258:H258)*D258,2),"")</f>
        <v/>
      </c>
      <c r="J258" s="36">
        <f>SUM(I255:I258)</f>
        <v>0</v>
      </c>
      <c r="K258" s="35" t="s">
        <v>1690</v>
      </c>
      <c r="L258" s="40"/>
      <c r="M258" s="40"/>
      <c r="N258" s="40"/>
      <c r="O258" s="40"/>
      <c r="P258" s="40"/>
    </row>
    <row r="259" spans="1:16">
      <c r="A259" s="259"/>
      <c r="E259" s="16"/>
      <c r="F259" s="1"/>
      <c r="G259" s="1"/>
      <c r="H259" s="1"/>
      <c r="I259" s="46" t="str">
        <f t="shared" si="34"/>
        <v/>
      </c>
      <c r="J259" s="31">
        <f>SUM(J254:J258)</f>
        <v>151.62999999999997</v>
      </c>
      <c r="K259" s="17"/>
    </row>
    <row r="260" spans="1:16">
      <c r="A260" s="316">
        <v>4</v>
      </c>
      <c r="B260" s="11" t="s">
        <v>760</v>
      </c>
      <c r="C260" s="38"/>
      <c r="D260" s="38"/>
      <c r="E260" s="650"/>
      <c r="F260" s="650"/>
      <c r="G260" s="650"/>
      <c r="H260" s="650"/>
      <c r="I260" s="14"/>
      <c r="J260" s="24"/>
      <c r="K260" s="14"/>
    </row>
    <row r="261" spans="1:16" s="39" customFormat="1" ht="17.25" outlineLevel="1">
      <c r="A261" s="365"/>
      <c r="B261" s="312" t="s">
        <v>656</v>
      </c>
      <c r="C261" s="313" t="s">
        <v>2</v>
      </c>
      <c r="D261" s="323"/>
      <c r="E261" s="298"/>
      <c r="F261" s="298"/>
      <c r="G261" s="298"/>
      <c r="H261" s="298"/>
      <c r="I261" s="46"/>
      <c r="J261" s="47"/>
      <c r="K261" s="27"/>
      <c r="L261" s="40"/>
      <c r="M261" s="40"/>
      <c r="N261" s="40"/>
      <c r="O261" s="40"/>
      <c r="P261" s="40"/>
    </row>
    <row r="262" spans="1:16" s="39" customFormat="1" ht="17.25" outlineLevel="1">
      <c r="A262" s="365"/>
      <c r="B262" s="312" t="s">
        <v>761</v>
      </c>
      <c r="C262" s="313" t="s">
        <v>2</v>
      </c>
      <c r="D262" s="323">
        <v>1</v>
      </c>
      <c r="E262" s="298">
        <v>1</v>
      </c>
      <c r="F262" s="1155">
        <v>23.97</v>
      </c>
      <c r="G262" s="1156">
        <v>0.23</v>
      </c>
      <c r="H262" s="1156">
        <f>0.75+0.45-0.15-0.1-0.2-0.055-0.15</f>
        <v>0.54499999999999993</v>
      </c>
      <c r="I262" s="399">
        <f t="shared" ref="I262:I325" si="35">IF(D262&lt;&gt;0,ROUND(PRODUCT(E262:H262)*D262,2),"")</f>
        <v>3</v>
      </c>
      <c r="J262" s="47"/>
      <c r="K262" s="27"/>
      <c r="L262" s="40"/>
      <c r="M262" s="40"/>
      <c r="N262" s="40"/>
      <c r="O262" s="40"/>
      <c r="P262" s="40"/>
    </row>
    <row r="263" spans="1:16" s="39" customFormat="1" ht="17.25" outlineLevel="1">
      <c r="A263" s="365"/>
      <c r="B263" s="312"/>
      <c r="C263" s="313" t="s">
        <v>2</v>
      </c>
      <c r="D263" s="323"/>
      <c r="E263" s="298"/>
      <c r="F263" s="1156"/>
      <c r="G263" s="1156"/>
      <c r="H263" s="1156"/>
      <c r="I263" s="399" t="str">
        <f t="shared" si="35"/>
        <v/>
      </c>
      <c r="J263" s="47"/>
      <c r="K263" s="27"/>
      <c r="L263" s="40"/>
      <c r="M263" s="40"/>
      <c r="N263" s="40"/>
      <c r="O263" s="40"/>
      <c r="P263" s="40"/>
    </row>
    <row r="264" spans="1:16" s="39" customFormat="1" ht="17.25" outlineLevel="1">
      <c r="A264" s="365"/>
      <c r="B264" s="312" t="s">
        <v>762</v>
      </c>
      <c r="C264" s="313" t="s">
        <v>2</v>
      </c>
      <c r="D264" s="323">
        <v>1</v>
      </c>
      <c r="E264" s="298">
        <v>1</v>
      </c>
      <c r="F264" s="1155">
        <v>67.037999999999997</v>
      </c>
      <c r="G264" s="1156">
        <v>0.46</v>
      </c>
      <c r="H264" s="1156">
        <v>0.3</v>
      </c>
      <c r="I264" s="399">
        <f t="shared" si="35"/>
        <v>9.25</v>
      </c>
      <c r="J264" s="47"/>
      <c r="K264" s="27"/>
      <c r="L264" s="40"/>
      <c r="M264" s="40"/>
      <c r="N264" s="40"/>
      <c r="O264" s="40"/>
      <c r="P264" s="40"/>
    </row>
    <row r="265" spans="1:16" s="39" customFormat="1" ht="17.25" outlineLevel="1">
      <c r="A265" s="365"/>
      <c r="B265" s="312"/>
      <c r="C265" s="313" t="s">
        <v>2</v>
      </c>
      <c r="D265" s="323">
        <v>1</v>
      </c>
      <c r="E265" s="298">
        <v>1</v>
      </c>
      <c r="F265" s="1155">
        <v>67.037999999999997</v>
      </c>
      <c r="G265" s="1156">
        <v>0.34499999999999997</v>
      </c>
      <c r="H265" s="1156">
        <v>0.3</v>
      </c>
      <c r="I265" s="399">
        <f t="shared" si="35"/>
        <v>6.94</v>
      </c>
      <c r="J265" s="47"/>
      <c r="K265" s="27"/>
      <c r="L265" s="40"/>
      <c r="M265" s="40"/>
      <c r="N265" s="40"/>
      <c r="O265" s="40"/>
      <c r="P265" s="40"/>
    </row>
    <row r="266" spans="1:16" s="39" customFormat="1" ht="17.25" outlineLevel="1">
      <c r="A266" s="365"/>
      <c r="B266" s="312"/>
      <c r="C266" s="313" t="s">
        <v>2</v>
      </c>
      <c r="D266" s="323">
        <v>1</v>
      </c>
      <c r="E266" s="298">
        <v>1</v>
      </c>
      <c r="F266" s="1155">
        <v>67.037999999999997</v>
      </c>
      <c r="G266" s="1156">
        <v>0.23</v>
      </c>
      <c r="H266" s="1156">
        <f>0.74-H264-H265</f>
        <v>0.14000000000000001</v>
      </c>
      <c r="I266" s="399">
        <f t="shared" si="35"/>
        <v>2.16</v>
      </c>
      <c r="J266" s="47"/>
      <c r="K266" s="27"/>
      <c r="L266" s="40"/>
      <c r="M266" s="40"/>
      <c r="N266" s="40"/>
      <c r="O266" s="40"/>
      <c r="P266" s="40"/>
    </row>
    <row r="267" spans="1:16" s="39" customFormat="1" ht="17.25" outlineLevel="1">
      <c r="A267" s="365"/>
      <c r="B267" s="312" t="s">
        <v>731</v>
      </c>
      <c r="C267" s="313" t="s">
        <v>2</v>
      </c>
      <c r="D267" s="323">
        <v>1</v>
      </c>
      <c r="E267" s="298">
        <v>1</v>
      </c>
      <c r="F267" s="1156">
        <v>1.399</v>
      </c>
      <c r="G267" s="1156">
        <v>0.6</v>
      </c>
      <c r="H267" s="1156">
        <f>0.45+0.15-0.1-0.06</f>
        <v>0.44</v>
      </c>
      <c r="I267" s="399">
        <f t="shared" si="35"/>
        <v>0.37</v>
      </c>
      <c r="J267" s="47"/>
      <c r="K267" s="27"/>
      <c r="L267" s="40"/>
      <c r="M267" s="40"/>
      <c r="N267" s="40"/>
      <c r="O267" s="40"/>
      <c r="P267" s="40"/>
    </row>
    <row r="268" spans="1:16" s="39" customFormat="1" ht="17.25" outlineLevel="1">
      <c r="A268" s="365"/>
      <c r="B268" s="312"/>
      <c r="C268" s="313" t="s">
        <v>2</v>
      </c>
      <c r="D268" s="323">
        <v>1</v>
      </c>
      <c r="E268" s="298">
        <v>1</v>
      </c>
      <c r="F268" s="1156">
        <v>1.7110000000000001</v>
      </c>
      <c r="G268" s="1156">
        <v>0.3</v>
      </c>
      <c r="H268" s="1156">
        <v>0.15</v>
      </c>
      <c r="I268" s="399">
        <f t="shared" si="35"/>
        <v>0.08</v>
      </c>
      <c r="J268" s="47"/>
      <c r="K268" s="27"/>
      <c r="L268" s="40"/>
      <c r="M268" s="40"/>
      <c r="N268" s="40"/>
      <c r="O268" s="40"/>
      <c r="P268" s="40"/>
    </row>
    <row r="269" spans="1:16" s="39" customFormat="1" ht="17.25" outlineLevel="1">
      <c r="A269" s="365"/>
      <c r="B269" s="312"/>
      <c r="C269" s="313" t="s">
        <v>2</v>
      </c>
      <c r="D269" s="323"/>
      <c r="E269" s="298"/>
      <c r="F269" s="1156"/>
      <c r="G269" s="1156"/>
      <c r="H269" s="1156"/>
      <c r="I269" s="399" t="str">
        <f t="shared" si="35"/>
        <v/>
      </c>
      <c r="J269" s="47"/>
      <c r="K269" s="27"/>
      <c r="L269" s="40"/>
      <c r="M269" s="40"/>
      <c r="N269" s="40"/>
      <c r="O269" s="40"/>
      <c r="P269" s="40"/>
    </row>
    <row r="270" spans="1:16" s="39" customFormat="1" ht="17.25" outlineLevel="1">
      <c r="A270" s="365"/>
      <c r="B270" s="312"/>
      <c r="C270" s="313" t="s">
        <v>2</v>
      </c>
      <c r="D270" s="323">
        <v>1</v>
      </c>
      <c r="E270" s="298">
        <v>1</v>
      </c>
      <c r="F270" s="1156">
        <v>1.319</v>
      </c>
      <c r="G270" s="1156">
        <v>0.6</v>
      </c>
      <c r="H270" s="1156">
        <f>0.45+0.15-0.1-0.06</f>
        <v>0.44</v>
      </c>
      <c r="I270" s="399">
        <f t="shared" si="35"/>
        <v>0.35</v>
      </c>
      <c r="J270" s="47"/>
      <c r="K270" s="27"/>
      <c r="L270" s="40"/>
      <c r="M270" s="40"/>
      <c r="N270" s="40"/>
      <c r="O270" s="40"/>
      <c r="P270" s="40"/>
    </row>
    <row r="271" spans="1:16" s="39" customFormat="1" ht="17.25" outlineLevel="1">
      <c r="A271" s="365"/>
      <c r="B271" s="312"/>
      <c r="C271" s="313" t="s">
        <v>2</v>
      </c>
      <c r="D271" s="323">
        <v>1</v>
      </c>
      <c r="E271" s="298">
        <v>1</v>
      </c>
      <c r="F271" s="1156">
        <v>1.5940000000000001</v>
      </c>
      <c r="G271" s="1156">
        <v>0.3</v>
      </c>
      <c r="H271" s="1156">
        <v>0.15</v>
      </c>
      <c r="I271" s="399">
        <f t="shared" si="35"/>
        <v>7.0000000000000007E-2</v>
      </c>
      <c r="J271" s="47"/>
      <c r="K271" s="27"/>
      <c r="L271" s="40"/>
      <c r="M271" s="40"/>
      <c r="N271" s="40"/>
      <c r="O271" s="40"/>
      <c r="P271" s="40"/>
    </row>
    <row r="272" spans="1:16" s="39" customFormat="1" ht="17.25" outlineLevel="1">
      <c r="A272" s="365"/>
      <c r="B272" s="312"/>
      <c r="C272" s="313" t="s">
        <v>2</v>
      </c>
      <c r="D272" s="323"/>
      <c r="E272" s="298"/>
      <c r="F272" s="1156"/>
      <c r="G272" s="1156"/>
      <c r="H272" s="1156"/>
      <c r="I272" s="399" t="str">
        <f t="shared" si="35"/>
        <v/>
      </c>
      <c r="J272" s="47"/>
      <c r="K272" s="27"/>
      <c r="L272" s="40"/>
      <c r="M272" s="40"/>
      <c r="N272" s="40"/>
      <c r="O272" s="40"/>
      <c r="P272" s="40"/>
    </row>
    <row r="273" spans="1:16" s="39" customFormat="1" ht="17.25" outlineLevel="1">
      <c r="A273" s="365"/>
      <c r="B273" s="312"/>
      <c r="C273" s="313" t="s">
        <v>2</v>
      </c>
      <c r="D273" s="323">
        <v>1</v>
      </c>
      <c r="E273" s="298">
        <v>1</v>
      </c>
      <c r="F273" s="1156">
        <v>1.246</v>
      </c>
      <c r="G273" s="1156">
        <v>0.6</v>
      </c>
      <c r="H273" s="1156">
        <f>0.45+0.15-0.1-0.06</f>
        <v>0.44</v>
      </c>
      <c r="I273" s="399">
        <f t="shared" si="35"/>
        <v>0.33</v>
      </c>
      <c r="J273" s="47"/>
      <c r="K273" s="27"/>
      <c r="L273" s="40"/>
      <c r="M273" s="40"/>
      <c r="N273" s="40"/>
      <c r="O273" s="40"/>
      <c r="P273" s="40"/>
    </row>
    <row r="274" spans="1:16" s="39" customFormat="1" ht="17.25" outlineLevel="1">
      <c r="A274" s="365"/>
      <c r="B274" s="312"/>
      <c r="C274" s="313" t="s">
        <v>2</v>
      </c>
      <c r="D274" s="323">
        <v>1</v>
      </c>
      <c r="E274" s="298">
        <v>1</v>
      </c>
      <c r="F274" s="1156">
        <v>1.2</v>
      </c>
      <c r="G274" s="1156">
        <v>0.3</v>
      </c>
      <c r="H274" s="1156">
        <v>0.15</v>
      </c>
      <c r="I274" s="399">
        <f t="shared" si="35"/>
        <v>0.05</v>
      </c>
      <c r="J274" s="47"/>
      <c r="K274" s="27"/>
      <c r="L274" s="40"/>
      <c r="M274" s="40"/>
      <c r="N274" s="40"/>
      <c r="O274" s="40"/>
      <c r="P274" s="40"/>
    </row>
    <row r="275" spans="1:16" s="39" customFormat="1" ht="17.25" outlineLevel="1">
      <c r="A275" s="365"/>
      <c r="B275" s="312"/>
      <c r="C275" s="313" t="s">
        <v>2</v>
      </c>
      <c r="D275" s="323"/>
      <c r="E275" s="298"/>
      <c r="F275" s="1156"/>
      <c r="G275" s="1156"/>
      <c r="H275" s="1156"/>
      <c r="I275" s="399" t="str">
        <f t="shared" si="35"/>
        <v/>
      </c>
      <c r="J275" s="47"/>
      <c r="K275" s="27"/>
      <c r="L275" s="40"/>
      <c r="M275" s="40"/>
      <c r="N275" s="40"/>
      <c r="O275" s="40"/>
      <c r="P275" s="40"/>
    </row>
    <row r="276" spans="1:16" s="39" customFormat="1" ht="17.25" outlineLevel="1">
      <c r="A276" s="365"/>
      <c r="B276" s="312"/>
      <c r="C276" s="313" t="s">
        <v>2</v>
      </c>
      <c r="D276" s="323">
        <v>1</v>
      </c>
      <c r="E276" s="298">
        <v>1</v>
      </c>
      <c r="F276" s="1156">
        <v>1.25</v>
      </c>
      <c r="G276" s="1156">
        <v>0.6</v>
      </c>
      <c r="H276" s="1156">
        <f>0.45+0.15-0.1-0.06</f>
        <v>0.44</v>
      </c>
      <c r="I276" s="399">
        <f t="shared" si="35"/>
        <v>0.33</v>
      </c>
      <c r="J276" s="47"/>
      <c r="K276" s="27"/>
      <c r="L276" s="40"/>
      <c r="M276" s="40"/>
      <c r="N276" s="40"/>
      <c r="O276" s="40"/>
      <c r="P276" s="40"/>
    </row>
    <row r="277" spans="1:16" s="39" customFormat="1" ht="17.25" outlineLevel="1">
      <c r="A277" s="365"/>
      <c r="B277" s="312"/>
      <c r="C277" s="313" t="s">
        <v>2</v>
      </c>
      <c r="D277" s="323">
        <v>1</v>
      </c>
      <c r="E277" s="298">
        <v>1</v>
      </c>
      <c r="F277" s="1156">
        <v>1.3109999999999999</v>
      </c>
      <c r="G277" s="1156">
        <v>0.3</v>
      </c>
      <c r="H277" s="1156">
        <v>0.15</v>
      </c>
      <c r="I277" s="399">
        <f t="shared" si="35"/>
        <v>0.06</v>
      </c>
      <c r="J277" s="47"/>
      <c r="K277" s="27"/>
      <c r="L277" s="40"/>
      <c r="M277" s="40"/>
      <c r="N277" s="40"/>
      <c r="O277" s="40"/>
      <c r="P277" s="40"/>
    </row>
    <row r="278" spans="1:16" s="39" customFormat="1" ht="17.25" outlineLevel="1">
      <c r="A278" s="365"/>
      <c r="B278" s="312"/>
      <c r="C278" s="313" t="s">
        <v>2</v>
      </c>
      <c r="D278" s="323"/>
      <c r="E278" s="298"/>
      <c r="F278" s="1156"/>
      <c r="G278" s="1156"/>
      <c r="H278" s="1156"/>
      <c r="I278" s="399" t="str">
        <f t="shared" si="35"/>
        <v/>
      </c>
      <c r="J278" s="47"/>
      <c r="K278" s="27"/>
      <c r="L278" s="40"/>
      <c r="M278" s="40">
        <v>2</v>
      </c>
      <c r="N278" s="40"/>
      <c r="O278" s="40"/>
      <c r="P278" s="40"/>
    </row>
    <row r="279" spans="1:16" s="39" customFormat="1" ht="17.25" outlineLevel="1">
      <c r="A279" s="365"/>
      <c r="B279" s="312" t="s">
        <v>763</v>
      </c>
      <c r="C279" s="313" t="s">
        <v>2</v>
      </c>
      <c r="D279" s="323">
        <v>24</v>
      </c>
      <c r="E279" s="298">
        <v>1</v>
      </c>
      <c r="F279" s="1156">
        <f>2-0.04</f>
        <v>1.96</v>
      </c>
      <c r="G279" s="1156">
        <v>0.34499999999999997</v>
      </c>
      <c r="H279" s="1156">
        <f>0.6+0.4-0.15-0.29</f>
        <v>0.56000000000000005</v>
      </c>
      <c r="I279" s="399">
        <f t="shared" si="35"/>
        <v>9.09</v>
      </c>
      <c r="J279" s="47"/>
      <c r="K279" s="27"/>
      <c r="L279" s="40"/>
      <c r="M279" s="40">
        <v>0.44500000000000001</v>
      </c>
      <c r="N279" s="40"/>
      <c r="O279" s="40"/>
      <c r="P279" s="40"/>
    </row>
    <row r="280" spans="1:16" s="39" customFormat="1" ht="17.25" outlineLevel="1">
      <c r="A280" s="365"/>
      <c r="B280" s="312"/>
      <c r="C280" s="313" t="s">
        <v>2</v>
      </c>
      <c r="D280" s="323">
        <v>24</v>
      </c>
      <c r="E280" s="298">
        <v>1</v>
      </c>
      <c r="F280" s="1156">
        <f>2-0.04</f>
        <v>1.96</v>
      </c>
      <c r="G280" s="1156">
        <v>0.46</v>
      </c>
      <c r="H280" s="1156">
        <v>0.28999999999999998</v>
      </c>
      <c r="I280" s="399">
        <f t="shared" si="35"/>
        <v>6.28</v>
      </c>
      <c r="J280" s="47"/>
      <c r="K280" s="27"/>
      <c r="L280" s="40"/>
      <c r="M280" s="40">
        <f>PI()</f>
        <v>3.1415926535897931</v>
      </c>
      <c r="N280" s="40"/>
      <c r="O280" s="40"/>
      <c r="P280" s="40"/>
    </row>
    <row r="281" spans="1:16" s="39" customFormat="1" ht="17.25" outlineLevel="1">
      <c r="A281" s="365"/>
      <c r="B281" s="312"/>
      <c r="C281" s="313" t="s">
        <v>2</v>
      </c>
      <c r="D281" s="323"/>
      <c r="E281" s="298"/>
      <c r="F281" s="1156"/>
      <c r="G281" s="1156"/>
      <c r="H281" s="1156"/>
      <c r="I281" s="399" t="str">
        <f t="shared" si="35"/>
        <v/>
      </c>
      <c r="J281" s="47"/>
      <c r="K281" s="27"/>
      <c r="L281" s="40"/>
      <c r="M281" s="40">
        <f>M280*M279*M278</f>
        <v>2.7960174616949161</v>
      </c>
      <c r="N281" s="40">
        <f>M280*M279*M279</f>
        <v>0.62211388522711886</v>
      </c>
      <c r="O281" s="40"/>
      <c r="P281" s="40"/>
    </row>
    <row r="282" spans="1:16" s="39" customFormat="1" ht="34.5" outlineLevel="1">
      <c r="A282" s="365"/>
      <c r="B282" s="312" t="s">
        <v>764</v>
      </c>
      <c r="C282" s="313" t="s">
        <v>2</v>
      </c>
      <c r="D282" s="323">
        <v>7</v>
      </c>
      <c r="E282" s="298">
        <v>1</v>
      </c>
      <c r="F282" s="1155">
        <v>2.2309999999999999</v>
      </c>
      <c r="G282" s="1156">
        <v>0.23</v>
      </c>
      <c r="H282" s="1156">
        <f>0.6+0.4-0.1-0.15</f>
        <v>0.75</v>
      </c>
      <c r="I282" s="399">
        <f t="shared" si="35"/>
        <v>2.69</v>
      </c>
      <c r="J282" s="47"/>
      <c r="K282" s="27"/>
      <c r="L282" s="40"/>
      <c r="M282" s="40"/>
      <c r="N282" s="40"/>
      <c r="O282" s="40"/>
      <c r="P282" s="40"/>
    </row>
    <row r="283" spans="1:16" s="39" customFormat="1" ht="17.25" outlineLevel="1">
      <c r="A283" s="365"/>
      <c r="B283" s="312"/>
      <c r="C283" s="313" t="s">
        <v>2</v>
      </c>
      <c r="D283" s="323"/>
      <c r="E283" s="298"/>
      <c r="F283" s="1156"/>
      <c r="G283" s="1156"/>
      <c r="H283" s="1156"/>
      <c r="I283" s="399" t="str">
        <f t="shared" si="35"/>
        <v/>
      </c>
      <c r="J283" s="47"/>
      <c r="K283" s="27"/>
      <c r="L283" s="40"/>
      <c r="M283" s="40"/>
      <c r="N283" s="40"/>
      <c r="O283" s="40"/>
      <c r="P283" s="40"/>
    </row>
    <row r="284" spans="1:16" s="39" customFormat="1" ht="34.5" outlineLevel="1">
      <c r="A284" s="365"/>
      <c r="B284" s="312" t="s">
        <v>766</v>
      </c>
      <c r="C284" s="313" t="s">
        <v>2</v>
      </c>
      <c r="D284" s="323"/>
      <c r="E284" s="298"/>
      <c r="F284" s="1156"/>
      <c r="G284" s="1156"/>
      <c r="H284" s="1156"/>
      <c r="I284" s="399" t="str">
        <f t="shared" si="35"/>
        <v/>
      </c>
      <c r="J284" s="47"/>
      <c r="K284" s="27"/>
      <c r="L284" s="40"/>
      <c r="M284" s="40"/>
      <c r="N284" s="40"/>
      <c r="O284" s="40"/>
      <c r="P284" s="40"/>
    </row>
    <row r="285" spans="1:16" s="39" customFormat="1" ht="17.25" outlineLevel="1">
      <c r="A285" s="365"/>
      <c r="B285" s="312" t="s">
        <v>735</v>
      </c>
      <c r="C285" s="313" t="s">
        <v>2</v>
      </c>
      <c r="D285" s="323">
        <v>1</v>
      </c>
      <c r="E285" s="298">
        <v>1</v>
      </c>
      <c r="F285" s="1156">
        <f>3.14*3</f>
        <v>9.42</v>
      </c>
      <c r="G285" s="1156">
        <v>0.46</v>
      </c>
      <c r="H285" s="1156">
        <v>0.3</v>
      </c>
      <c r="I285" s="399">
        <f t="shared" si="35"/>
        <v>1.3</v>
      </c>
      <c r="J285" s="47"/>
      <c r="K285" s="27"/>
      <c r="L285" s="40"/>
      <c r="M285" s="40"/>
      <c r="N285" s="40"/>
      <c r="O285" s="40"/>
      <c r="P285" s="40"/>
    </row>
    <row r="286" spans="1:16" s="39" customFormat="1" ht="17.25" outlineLevel="1">
      <c r="A286" s="365"/>
      <c r="B286" s="312"/>
      <c r="C286" s="313" t="s">
        <v>2</v>
      </c>
      <c r="D286" s="323">
        <v>1</v>
      </c>
      <c r="E286" s="298">
        <v>1</v>
      </c>
      <c r="F286" s="1156">
        <f>3.14*3</f>
        <v>9.42</v>
      </c>
      <c r="G286" s="1156">
        <v>0.34499999999999997</v>
      </c>
      <c r="H286" s="1156">
        <v>0.3</v>
      </c>
      <c r="I286" s="399">
        <f t="shared" si="35"/>
        <v>0.97</v>
      </c>
      <c r="J286" s="47"/>
      <c r="K286" s="27"/>
      <c r="L286" s="40"/>
      <c r="M286" s="40"/>
      <c r="N286" s="40"/>
      <c r="O286" s="40"/>
      <c r="P286" s="40"/>
    </row>
    <row r="287" spans="1:16" s="39" customFormat="1" ht="17.25" outlineLevel="1">
      <c r="A287" s="365"/>
      <c r="B287" s="312"/>
      <c r="C287" s="313" t="s">
        <v>2</v>
      </c>
      <c r="D287" s="323">
        <v>1</v>
      </c>
      <c r="E287" s="298">
        <v>1</v>
      </c>
      <c r="F287" s="1156">
        <f>3.14*3</f>
        <v>9.42</v>
      </c>
      <c r="G287" s="1156">
        <v>0.23</v>
      </c>
      <c r="H287" s="1156">
        <f>1.2-0.15-0.3-0.3-0.06-0.2</f>
        <v>0.19</v>
      </c>
      <c r="I287" s="399">
        <f t="shared" si="35"/>
        <v>0.41</v>
      </c>
      <c r="J287" s="47"/>
      <c r="K287" s="27"/>
      <c r="L287" s="40"/>
      <c r="M287" s="40"/>
      <c r="N287" s="40"/>
      <c r="O287" s="40"/>
      <c r="P287" s="40"/>
    </row>
    <row r="288" spans="1:16" s="39" customFormat="1" ht="17.25" outlineLevel="1">
      <c r="A288" s="365"/>
      <c r="B288" s="312"/>
      <c r="C288" s="313" t="s">
        <v>2</v>
      </c>
      <c r="D288" s="323"/>
      <c r="E288" s="298"/>
      <c r="F288" s="1156"/>
      <c r="G288" s="1156"/>
      <c r="H288" s="1156"/>
      <c r="I288" s="399" t="str">
        <f t="shared" si="35"/>
        <v/>
      </c>
      <c r="J288" s="47"/>
      <c r="K288" s="27"/>
      <c r="L288" s="40"/>
      <c r="M288" s="40"/>
      <c r="N288" s="40"/>
      <c r="O288" s="40"/>
      <c r="P288" s="40"/>
    </row>
    <row r="289" spans="1:16" s="39" customFormat="1" ht="17.25" outlineLevel="1">
      <c r="A289" s="365"/>
      <c r="B289" s="312" t="s">
        <v>736</v>
      </c>
      <c r="C289" s="313" t="s">
        <v>2</v>
      </c>
      <c r="D289" s="323">
        <v>1</v>
      </c>
      <c r="E289" s="298">
        <v>1</v>
      </c>
      <c r="F289" s="1156">
        <f>3.14*3</f>
        <v>9.42</v>
      </c>
      <c r="G289" s="1156">
        <v>0.46</v>
      </c>
      <c r="H289" s="1156">
        <v>0.3</v>
      </c>
      <c r="I289" s="399">
        <f t="shared" si="35"/>
        <v>1.3</v>
      </c>
      <c r="J289" s="47"/>
      <c r="K289" s="27"/>
      <c r="L289" s="40"/>
      <c r="M289" s="40"/>
      <c r="N289" s="40"/>
      <c r="O289" s="40"/>
      <c r="P289" s="40"/>
    </row>
    <row r="290" spans="1:16" s="39" customFormat="1" ht="17.25" outlineLevel="1">
      <c r="A290" s="365"/>
      <c r="B290" s="312"/>
      <c r="C290" s="313" t="s">
        <v>2</v>
      </c>
      <c r="D290" s="323">
        <v>1</v>
      </c>
      <c r="E290" s="298">
        <v>1</v>
      </c>
      <c r="F290" s="1156">
        <f>3.14*3</f>
        <v>9.42</v>
      </c>
      <c r="G290" s="1156">
        <v>0.34499999999999997</v>
      </c>
      <c r="H290" s="1156">
        <v>0.3</v>
      </c>
      <c r="I290" s="399">
        <f t="shared" si="35"/>
        <v>0.97</v>
      </c>
      <c r="J290" s="47"/>
      <c r="K290" s="27"/>
      <c r="L290" s="40"/>
      <c r="M290" s="40"/>
      <c r="N290" s="40"/>
      <c r="O290" s="40"/>
      <c r="P290" s="40"/>
    </row>
    <row r="291" spans="1:16" s="39" customFormat="1" ht="17.25" outlineLevel="1">
      <c r="A291" s="365"/>
      <c r="B291" s="312"/>
      <c r="C291" s="313" t="s">
        <v>2</v>
      </c>
      <c r="D291" s="323">
        <v>1</v>
      </c>
      <c r="E291" s="298">
        <v>1</v>
      </c>
      <c r="F291" s="1156">
        <f>3.14*3</f>
        <v>9.42</v>
      </c>
      <c r="G291" s="1156">
        <v>0.23</v>
      </c>
      <c r="H291" s="1156">
        <f>1.2-0.15-0.3-0.3-0.06-0.2</f>
        <v>0.19</v>
      </c>
      <c r="I291" s="399">
        <f t="shared" si="35"/>
        <v>0.41</v>
      </c>
      <c r="J291" s="47"/>
      <c r="K291" s="27"/>
      <c r="L291" s="40"/>
      <c r="M291" s="40"/>
      <c r="N291" s="40"/>
      <c r="O291" s="40"/>
      <c r="P291" s="40"/>
    </row>
    <row r="292" spans="1:16" s="39" customFormat="1" ht="17.25" outlineLevel="1">
      <c r="A292" s="365"/>
      <c r="B292" s="312"/>
      <c r="C292" s="313" t="s">
        <v>2</v>
      </c>
      <c r="D292" s="323"/>
      <c r="E292" s="298"/>
      <c r="F292" s="1156"/>
      <c r="G292" s="1156"/>
      <c r="H292" s="1156"/>
      <c r="I292" s="399" t="str">
        <f t="shared" si="35"/>
        <v/>
      </c>
      <c r="J292" s="47"/>
      <c r="K292" s="27"/>
      <c r="L292" s="40"/>
      <c r="M292" s="40"/>
      <c r="N292" s="40"/>
      <c r="O292" s="40"/>
      <c r="P292" s="40"/>
    </row>
    <row r="293" spans="1:16" s="39" customFormat="1" ht="17.25" outlineLevel="1">
      <c r="A293" s="365"/>
      <c r="B293" s="312" t="s">
        <v>737</v>
      </c>
      <c r="C293" s="313" t="s">
        <v>2</v>
      </c>
      <c r="D293" s="323">
        <v>1</v>
      </c>
      <c r="E293" s="298">
        <v>1</v>
      </c>
      <c r="F293" s="1156">
        <f>3.14*3.7</f>
        <v>11.618</v>
      </c>
      <c r="G293" s="1156">
        <v>0.46</v>
      </c>
      <c r="H293" s="1156">
        <v>0.3</v>
      </c>
      <c r="I293" s="399">
        <f t="shared" si="35"/>
        <v>1.6</v>
      </c>
      <c r="J293" s="47"/>
      <c r="K293" s="27"/>
      <c r="L293" s="40"/>
      <c r="M293" s="40"/>
      <c r="N293" s="40"/>
      <c r="O293" s="40"/>
      <c r="P293" s="40"/>
    </row>
    <row r="294" spans="1:16" s="39" customFormat="1" ht="17.25" outlineLevel="1">
      <c r="A294" s="365"/>
      <c r="B294" s="312"/>
      <c r="C294" s="313" t="s">
        <v>2</v>
      </c>
      <c r="D294" s="323">
        <v>1</v>
      </c>
      <c r="E294" s="298">
        <v>1</v>
      </c>
      <c r="F294" s="1156">
        <f>3.14*3.7</f>
        <v>11.618</v>
      </c>
      <c r="G294" s="1156">
        <v>0.34499999999999997</v>
      </c>
      <c r="H294" s="1156">
        <v>0.3</v>
      </c>
      <c r="I294" s="399">
        <f t="shared" si="35"/>
        <v>1.2</v>
      </c>
      <c r="J294" s="47"/>
      <c r="K294" s="27"/>
      <c r="L294" s="40"/>
      <c r="M294" s="40"/>
      <c r="N294" s="40"/>
      <c r="O294" s="40"/>
      <c r="P294" s="40"/>
    </row>
    <row r="295" spans="1:16" s="39" customFormat="1" ht="17.25" outlineLevel="1">
      <c r="A295" s="365"/>
      <c r="B295" s="312"/>
      <c r="C295" s="313" t="s">
        <v>2</v>
      </c>
      <c r="D295" s="323">
        <v>1</v>
      </c>
      <c r="E295" s="298">
        <v>1</v>
      </c>
      <c r="F295" s="1156">
        <f>3.14*3.7</f>
        <v>11.618</v>
      </c>
      <c r="G295" s="1156">
        <v>0.23</v>
      </c>
      <c r="H295" s="1156">
        <f>1.2-0.15-0.3-0.3-0.06-0.2</f>
        <v>0.19</v>
      </c>
      <c r="I295" s="399">
        <f t="shared" si="35"/>
        <v>0.51</v>
      </c>
      <c r="J295" s="47"/>
      <c r="K295" s="27"/>
      <c r="L295" s="40"/>
      <c r="M295" s="40"/>
      <c r="N295" s="40"/>
      <c r="O295" s="40"/>
      <c r="P295" s="40"/>
    </row>
    <row r="296" spans="1:16" s="39" customFormat="1" ht="17.25" outlineLevel="1">
      <c r="A296" s="365"/>
      <c r="B296" s="312"/>
      <c r="C296" s="313" t="s">
        <v>2</v>
      </c>
      <c r="D296" s="323"/>
      <c r="E296" s="298"/>
      <c r="F296" s="1156"/>
      <c r="G296" s="1156"/>
      <c r="H296" s="1156"/>
      <c r="I296" s="399" t="str">
        <f t="shared" si="35"/>
        <v/>
      </c>
      <c r="J296" s="47"/>
      <c r="K296" s="27"/>
      <c r="L296" s="40"/>
      <c r="M296" s="40"/>
      <c r="N296" s="40"/>
      <c r="O296" s="40"/>
      <c r="P296" s="40"/>
    </row>
    <row r="297" spans="1:16" s="39" customFormat="1" ht="17.25" outlineLevel="1">
      <c r="A297" s="365"/>
      <c r="B297" s="312" t="s">
        <v>738</v>
      </c>
      <c r="C297" s="313" t="s">
        <v>2</v>
      </c>
      <c r="D297" s="323">
        <v>1</v>
      </c>
      <c r="E297" s="298">
        <v>1</v>
      </c>
      <c r="F297" s="1156">
        <f>3.14*3</f>
        <v>9.42</v>
      </c>
      <c r="G297" s="1156">
        <v>0.46</v>
      </c>
      <c r="H297" s="1156">
        <v>0.3</v>
      </c>
      <c r="I297" s="399">
        <f t="shared" si="35"/>
        <v>1.3</v>
      </c>
      <c r="J297" s="47"/>
      <c r="K297" s="27"/>
      <c r="L297" s="40"/>
      <c r="M297" s="40"/>
      <c r="N297" s="40"/>
      <c r="O297" s="40"/>
      <c r="P297" s="40"/>
    </row>
    <row r="298" spans="1:16" s="39" customFormat="1" ht="17.25" outlineLevel="1">
      <c r="A298" s="365"/>
      <c r="B298" s="312"/>
      <c r="C298" s="313" t="s">
        <v>2</v>
      </c>
      <c r="D298" s="323">
        <v>1</v>
      </c>
      <c r="E298" s="298">
        <v>1</v>
      </c>
      <c r="F298" s="1156">
        <f>3.14*3</f>
        <v>9.42</v>
      </c>
      <c r="G298" s="1156">
        <v>0.34499999999999997</v>
      </c>
      <c r="H298" s="1156">
        <v>0.3</v>
      </c>
      <c r="I298" s="399">
        <f t="shared" si="35"/>
        <v>0.97</v>
      </c>
      <c r="J298" s="47"/>
      <c r="K298" s="27"/>
      <c r="L298" s="40"/>
      <c r="M298" s="40"/>
      <c r="N298" s="40"/>
      <c r="O298" s="40"/>
      <c r="P298" s="40"/>
    </row>
    <row r="299" spans="1:16" s="39" customFormat="1" ht="17.25" outlineLevel="1">
      <c r="A299" s="365"/>
      <c r="B299" s="312"/>
      <c r="C299" s="313" t="s">
        <v>2</v>
      </c>
      <c r="D299" s="323">
        <v>1</v>
      </c>
      <c r="E299" s="298">
        <v>1</v>
      </c>
      <c r="F299" s="1156">
        <f>3.14*3</f>
        <v>9.42</v>
      </c>
      <c r="G299" s="1156">
        <v>0.23</v>
      </c>
      <c r="H299" s="1156">
        <f>1.2-0.15-0.3-0.3-0.06-0.2</f>
        <v>0.19</v>
      </c>
      <c r="I299" s="399">
        <f t="shared" si="35"/>
        <v>0.41</v>
      </c>
      <c r="J299" s="47"/>
      <c r="K299" s="27"/>
      <c r="L299" s="40"/>
      <c r="M299" s="40"/>
      <c r="N299" s="40"/>
      <c r="O299" s="40"/>
      <c r="P299" s="40"/>
    </row>
    <row r="300" spans="1:16" s="39" customFormat="1" ht="17.25" outlineLevel="1">
      <c r="A300" s="365"/>
      <c r="B300" s="312"/>
      <c r="C300" s="313" t="s">
        <v>2</v>
      </c>
      <c r="D300" s="323"/>
      <c r="E300" s="298"/>
      <c r="F300" s="1156"/>
      <c r="G300" s="1156"/>
      <c r="H300" s="1156"/>
      <c r="I300" s="399" t="str">
        <f t="shared" si="35"/>
        <v/>
      </c>
      <c r="J300" s="47"/>
      <c r="K300" s="27"/>
      <c r="L300" s="40"/>
      <c r="M300" s="40"/>
      <c r="N300" s="40"/>
      <c r="O300" s="40"/>
      <c r="P300" s="40"/>
    </row>
    <row r="301" spans="1:16" s="39" customFormat="1" ht="17.25" outlineLevel="1">
      <c r="A301" s="365"/>
      <c r="B301" s="312" t="s">
        <v>739</v>
      </c>
      <c r="C301" s="313" t="s">
        <v>2</v>
      </c>
      <c r="D301" s="323">
        <v>1</v>
      </c>
      <c r="E301" s="298">
        <v>1</v>
      </c>
      <c r="F301" s="1156">
        <v>8.5660000000000007</v>
      </c>
      <c r="G301" s="1156">
        <v>0.46</v>
      </c>
      <c r="H301" s="1156">
        <v>0.3</v>
      </c>
      <c r="I301" s="399">
        <f t="shared" si="35"/>
        <v>1.18</v>
      </c>
      <c r="J301" s="47"/>
      <c r="K301" s="27"/>
      <c r="L301" s="40"/>
      <c r="M301" s="40"/>
      <c r="N301" s="40"/>
      <c r="O301" s="40"/>
      <c r="P301" s="40"/>
    </row>
    <row r="302" spans="1:16" s="39" customFormat="1" ht="17.25" outlineLevel="1">
      <c r="A302" s="365"/>
      <c r="B302" s="312"/>
      <c r="C302" s="313" t="s">
        <v>2</v>
      </c>
      <c r="D302" s="323">
        <v>1</v>
      </c>
      <c r="E302" s="298">
        <v>1</v>
      </c>
      <c r="F302" s="1156">
        <v>8.5660000000000007</v>
      </c>
      <c r="G302" s="1156">
        <v>0.34499999999999997</v>
      </c>
      <c r="H302" s="1156">
        <v>0.3</v>
      </c>
      <c r="I302" s="399">
        <f t="shared" si="35"/>
        <v>0.89</v>
      </c>
      <c r="J302" s="47"/>
      <c r="K302" s="27"/>
      <c r="L302" s="40"/>
      <c r="M302" s="40"/>
      <c r="N302" s="40"/>
      <c r="O302" s="40"/>
      <c r="P302" s="40"/>
    </row>
    <row r="303" spans="1:16" s="39" customFormat="1" ht="17.25" outlineLevel="1">
      <c r="A303" s="365"/>
      <c r="B303" s="312"/>
      <c r="C303" s="313" t="s">
        <v>2</v>
      </c>
      <c r="D303" s="323">
        <v>1</v>
      </c>
      <c r="E303" s="298">
        <v>1</v>
      </c>
      <c r="F303" s="1156">
        <v>8.5660000000000007</v>
      </c>
      <c r="G303" s="1156">
        <v>0.23</v>
      </c>
      <c r="H303" s="1156">
        <f>1.2-0.15-0.3-0.3-0.06-0.2</f>
        <v>0.19</v>
      </c>
      <c r="I303" s="399">
        <f t="shared" si="35"/>
        <v>0.37</v>
      </c>
      <c r="J303" s="47"/>
      <c r="K303" s="27"/>
      <c r="L303" s="40"/>
      <c r="M303" s="40"/>
      <c r="N303" s="40"/>
      <c r="O303" s="40"/>
      <c r="P303" s="40"/>
    </row>
    <row r="304" spans="1:16" s="39" customFormat="1" ht="17.25" outlineLevel="1">
      <c r="A304" s="365"/>
      <c r="B304" s="312"/>
      <c r="C304" s="313" t="s">
        <v>2</v>
      </c>
      <c r="D304" s="323"/>
      <c r="E304" s="298"/>
      <c r="F304" s="1156"/>
      <c r="G304" s="1156"/>
      <c r="H304" s="1156"/>
      <c r="I304" s="399" t="str">
        <f t="shared" si="35"/>
        <v/>
      </c>
      <c r="J304" s="47"/>
      <c r="K304" s="27"/>
      <c r="L304" s="40"/>
      <c r="M304" s="40"/>
      <c r="N304" s="40"/>
      <c r="O304" s="40"/>
      <c r="P304" s="40"/>
    </row>
    <row r="305" spans="1:16" s="39" customFormat="1" ht="17.25" outlineLevel="1">
      <c r="A305" s="365"/>
      <c r="B305" s="312" t="s">
        <v>740</v>
      </c>
      <c r="C305" s="313" t="s">
        <v>2</v>
      </c>
      <c r="D305" s="323">
        <v>1</v>
      </c>
      <c r="E305" s="298">
        <v>1</v>
      </c>
      <c r="F305" s="1156">
        <f>3.14*2.7</f>
        <v>8.4780000000000015</v>
      </c>
      <c r="G305" s="1156">
        <v>0.46</v>
      </c>
      <c r="H305" s="1156">
        <v>0.3</v>
      </c>
      <c r="I305" s="399">
        <f t="shared" si="35"/>
        <v>1.17</v>
      </c>
      <c r="J305" s="47"/>
      <c r="K305" s="27"/>
      <c r="L305" s="40"/>
      <c r="M305" s="40"/>
      <c r="N305" s="40"/>
      <c r="O305" s="40"/>
      <c r="P305" s="40"/>
    </row>
    <row r="306" spans="1:16" s="39" customFormat="1" ht="17.25" outlineLevel="1">
      <c r="A306" s="365"/>
      <c r="B306" s="312"/>
      <c r="C306" s="313" t="s">
        <v>2</v>
      </c>
      <c r="D306" s="323">
        <v>1</v>
      </c>
      <c r="E306" s="298">
        <v>1</v>
      </c>
      <c r="F306" s="1156">
        <f>3.14*2.7</f>
        <v>8.4780000000000015</v>
      </c>
      <c r="G306" s="1156">
        <v>0.34499999999999997</v>
      </c>
      <c r="H306" s="1156">
        <v>0.3</v>
      </c>
      <c r="I306" s="399">
        <f t="shared" si="35"/>
        <v>0.88</v>
      </c>
      <c r="J306" s="47"/>
      <c r="K306" s="27"/>
      <c r="L306" s="40"/>
      <c r="M306" s="40"/>
      <c r="N306" s="40"/>
      <c r="O306" s="40"/>
      <c r="P306" s="40"/>
    </row>
    <row r="307" spans="1:16" s="39" customFormat="1" ht="17.25" outlineLevel="1">
      <c r="A307" s="365"/>
      <c r="B307" s="312"/>
      <c r="C307" s="313" t="s">
        <v>2</v>
      </c>
      <c r="D307" s="323">
        <v>1</v>
      </c>
      <c r="E307" s="298">
        <v>1</v>
      </c>
      <c r="F307" s="1156">
        <f>3.14*2.7</f>
        <v>8.4780000000000015</v>
      </c>
      <c r="G307" s="1156">
        <v>0.23</v>
      </c>
      <c r="H307" s="1156">
        <f>1.2-0.15-0.3-0.3-0.06-0.2</f>
        <v>0.19</v>
      </c>
      <c r="I307" s="399">
        <f t="shared" si="35"/>
        <v>0.37</v>
      </c>
      <c r="J307" s="47"/>
      <c r="K307" s="27"/>
      <c r="L307" s="40"/>
      <c r="M307" s="40"/>
      <c r="N307" s="40"/>
      <c r="O307" s="40"/>
      <c r="P307" s="40"/>
    </row>
    <row r="308" spans="1:16" s="39" customFormat="1" ht="17.25" outlineLevel="1">
      <c r="A308" s="365"/>
      <c r="B308" s="312"/>
      <c r="C308" s="313" t="s">
        <v>2</v>
      </c>
      <c r="D308" s="323"/>
      <c r="E308" s="298"/>
      <c r="F308" s="1156"/>
      <c r="G308" s="1156"/>
      <c r="H308" s="1156"/>
      <c r="I308" s="399" t="str">
        <f t="shared" si="35"/>
        <v/>
      </c>
      <c r="J308" s="47"/>
      <c r="K308" s="27"/>
      <c r="L308" s="40"/>
      <c r="M308" s="40"/>
      <c r="N308" s="40"/>
      <c r="O308" s="40"/>
      <c r="P308" s="40"/>
    </row>
    <row r="309" spans="1:16" s="39" customFormat="1" ht="17.25" outlineLevel="1">
      <c r="A309" s="365"/>
      <c r="B309" s="312" t="s">
        <v>741</v>
      </c>
      <c r="C309" s="313" t="s">
        <v>2</v>
      </c>
      <c r="D309" s="323">
        <v>1</v>
      </c>
      <c r="E309" s="298">
        <v>1</v>
      </c>
      <c r="F309" s="1156">
        <f>3.14*3</f>
        <v>9.42</v>
      </c>
      <c r="G309" s="1156">
        <v>0.46</v>
      </c>
      <c r="H309" s="1156">
        <v>0.3</v>
      </c>
      <c r="I309" s="399">
        <f t="shared" si="35"/>
        <v>1.3</v>
      </c>
      <c r="J309" s="47"/>
      <c r="K309" s="27"/>
      <c r="L309" s="40"/>
      <c r="M309" s="40"/>
      <c r="N309" s="40"/>
      <c r="O309" s="40"/>
      <c r="P309" s="40"/>
    </row>
    <row r="310" spans="1:16" s="39" customFormat="1" ht="17.25" outlineLevel="1">
      <c r="A310" s="365"/>
      <c r="B310" s="312"/>
      <c r="C310" s="313" t="s">
        <v>2</v>
      </c>
      <c r="D310" s="323">
        <v>1</v>
      </c>
      <c r="E310" s="298">
        <v>1</v>
      </c>
      <c r="F310" s="1156">
        <f>3.14*3</f>
        <v>9.42</v>
      </c>
      <c r="G310" s="1156">
        <v>0.34499999999999997</v>
      </c>
      <c r="H310" s="1156">
        <v>0.3</v>
      </c>
      <c r="I310" s="399">
        <f t="shared" si="35"/>
        <v>0.97</v>
      </c>
      <c r="J310" s="47"/>
      <c r="K310" s="27"/>
      <c r="L310" s="40"/>
      <c r="M310" s="40"/>
      <c r="N310" s="40"/>
      <c r="O310" s="40"/>
      <c r="P310" s="40"/>
    </row>
    <row r="311" spans="1:16" s="39" customFormat="1" ht="17.25" outlineLevel="1">
      <c r="A311" s="365"/>
      <c r="B311" s="312"/>
      <c r="C311" s="313" t="s">
        <v>2</v>
      </c>
      <c r="D311" s="323">
        <v>1</v>
      </c>
      <c r="E311" s="298">
        <v>1</v>
      </c>
      <c r="F311" s="1156">
        <f>3.14*3</f>
        <v>9.42</v>
      </c>
      <c r="G311" s="1156">
        <v>0.23</v>
      </c>
      <c r="H311" s="1156">
        <f>1.2-0.15-0.3-0.3-0.06-0.2</f>
        <v>0.19</v>
      </c>
      <c r="I311" s="399">
        <f t="shared" si="35"/>
        <v>0.41</v>
      </c>
      <c r="J311" s="47"/>
      <c r="K311" s="27"/>
      <c r="L311" s="40"/>
      <c r="M311" s="40"/>
      <c r="N311" s="40"/>
      <c r="O311" s="40"/>
      <c r="P311" s="40"/>
    </row>
    <row r="312" spans="1:16" s="39" customFormat="1" ht="17.25" outlineLevel="1">
      <c r="A312" s="365"/>
      <c r="B312" s="312"/>
      <c r="C312" s="313" t="s">
        <v>2</v>
      </c>
      <c r="D312" s="323"/>
      <c r="E312" s="298"/>
      <c r="F312" s="1156"/>
      <c r="G312" s="1156"/>
      <c r="H312" s="1156"/>
      <c r="I312" s="399" t="str">
        <f t="shared" si="35"/>
        <v/>
      </c>
      <c r="J312" s="47"/>
      <c r="K312" s="27"/>
      <c r="L312" s="40"/>
      <c r="M312" s="40"/>
      <c r="N312" s="40"/>
      <c r="O312" s="40"/>
      <c r="P312" s="40"/>
    </row>
    <row r="313" spans="1:16" s="39" customFormat="1" ht="17.25" outlineLevel="1">
      <c r="A313" s="365"/>
      <c r="B313" s="312" t="s">
        <v>742</v>
      </c>
      <c r="C313" s="313" t="s">
        <v>2</v>
      </c>
      <c r="D313" s="323">
        <v>1</v>
      </c>
      <c r="E313" s="298">
        <v>1</v>
      </c>
      <c r="F313" s="1156">
        <f>3.14*3</f>
        <v>9.42</v>
      </c>
      <c r="G313" s="1156">
        <v>0.46</v>
      </c>
      <c r="H313" s="1156">
        <v>0.3</v>
      </c>
      <c r="I313" s="399">
        <f t="shared" si="35"/>
        <v>1.3</v>
      </c>
      <c r="J313" s="47"/>
      <c r="K313" s="27"/>
      <c r="L313" s="40"/>
      <c r="M313" s="40"/>
      <c r="N313" s="40"/>
      <c r="O313" s="40"/>
      <c r="P313" s="40"/>
    </row>
    <row r="314" spans="1:16" s="39" customFormat="1" ht="17.25" outlineLevel="1">
      <c r="A314" s="365"/>
      <c r="B314" s="312"/>
      <c r="C314" s="313" t="s">
        <v>2</v>
      </c>
      <c r="D314" s="323">
        <v>1</v>
      </c>
      <c r="E314" s="298">
        <v>1</v>
      </c>
      <c r="F314" s="1156">
        <f>3.14*3</f>
        <v>9.42</v>
      </c>
      <c r="G314" s="1156">
        <v>0.34499999999999997</v>
      </c>
      <c r="H314" s="1156">
        <v>0.3</v>
      </c>
      <c r="I314" s="399">
        <f t="shared" si="35"/>
        <v>0.97</v>
      </c>
      <c r="J314" s="47"/>
      <c r="K314" s="27"/>
      <c r="L314" s="40"/>
      <c r="M314" s="40"/>
      <c r="N314" s="40"/>
      <c r="O314" s="40"/>
      <c r="P314" s="40"/>
    </row>
    <row r="315" spans="1:16" s="39" customFormat="1" ht="17.25" outlineLevel="1">
      <c r="A315" s="365"/>
      <c r="B315" s="312"/>
      <c r="C315" s="313" t="s">
        <v>2</v>
      </c>
      <c r="D315" s="323">
        <v>1</v>
      </c>
      <c r="E315" s="298">
        <v>1</v>
      </c>
      <c r="F315" s="1156">
        <f>3.14*3</f>
        <v>9.42</v>
      </c>
      <c r="G315" s="1156">
        <v>0.23</v>
      </c>
      <c r="H315" s="1156">
        <f>1.2-0.15-0.3-0.3-0.06-0.2</f>
        <v>0.19</v>
      </c>
      <c r="I315" s="399">
        <f t="shared" si="35"/>
        <v>0.41</v>
      </c>
      <c r="J315" s="47"/>
      <c r="K315" s="27"/>
      <c r="L315" s="40"/>
      <c r="M315" s="40"/>
      <c r="N315" s="40"/>
      <c r="O315" s="40"/>
      <c r="P315" s="40"/>
    </row>
    <row r="316" spans="1:16" s="39" customFormat="1" ht="17.25" outlineLevel="1">
      <c r="A316" s="365"/>
      <c r="B316" s="312"/>
      <c r="C316" s="313" t="s">
        <v>2</v>
      </c>
      <c r="D316" s="323"/>
      <c r="E316" s="298"/>
      <c r="F316" s="1156"/>
      <c r="G316" s="1156"/>
      <c r="H316" s="1156"/>
      <c r="I316" s="399" t="str">
        <f t="shared" si="35"/>
        <v/>
      </c>
      <c r="J316" s="47"/>
      <c r="K316" s="27"/>
      <c r="L316" s="40"/>
      <c r="M316" s="40"/>
      <c r="N316" s="40"/>
      <c r="O316" s="40"/>
      <c r="P316" s="40"/>
    </row>
    <row r="317" spans="1:16" s="39" customFormat="1" ht="17.25" outlineLevel="1">
      <c r="A317" s="365"/>
      <c r="B317" s="312" t="s">
        <v>743</v>
      </c>
      <c r="C317" s="313" t="s">
        <v>2</v>
      </c>
      <c r="D317" s="323">
        <v>1</v>
      </c>
      <c r="E317" s="298">
        <v>1</v>
      </c>
      <c r="F317" s="1156">
        <f>3.14*3</f>
        <v>9.42</v>
      </c>
      <c r="G317" s="1156">
        <v>0.46</v>
      </c>
      <c r="H317" s="1156">
        <v>0.3</v>
      </c>
      <c r="I317" s="399">
        <f t="shared" si="35"/>
        <v>1.3</v>
      </c>
      <c r="J317" s="47"/>
      <c r="K317" s="27"/>
      <c r="L317" s="40"/>
      <c r="M317" s="40"/>
      <c r="N317" s="40"/>
      <c r="O317" s="40"/>
      <c r="P317" s="40"/>
    </row>
    <row r="318" spans="1:16" s="39" customFormat="1" ht="17.25" outlineLevel="1">
      <c r="A318" s="365"/>
      <c r="B318" s="312"/>
      <c r="C318" s="313" t="s">
        <v>2</v>
      </c>
      <c r="D318" s="323">
        <v>1</v>
      </c>
      <c r="E318" s="298">
        <v>1</v>
      </c>
      <c r="F318" s="1156">
        <f>3.14*3</f>
        <v>9.42</v>
      </c>
      <c r="G318" s="1156">
        <v>0.34499999999999997</v>
      </c>
      <c r="H318" s="1156">
        <v>0.3</v>
      </c>
      <c r="I318" s="399">
        <f t="shared" si="35"/>
        <v>0.97</v>
      </c>
      <c r="J318" s="47"/>
      <c r="K318" s="27"/>
      <c r="L318" s="40"/>
      <c r="M318" s="40"/>
      <c r="N318" s="40"/>
      <c r="O318" s="40"/>
      <c r="P318" s="40"/>
    </row>
    <row r="319" spans="1:16" s="39" customFormat="1" ht="17.25" outlineLevel="1">
      <c r="A319" s="365"/>
      <c r="B319" s="312"/>
      <c r="C319" s="313" t="s">
        <v>2</v>
      </c>
      <c r="D319" s="323">
        <v>1</v>
      </c>
      <c r="E319" s="298">
        <v>1</v>
      </c>
      <c r="F319" s="1156">
        <f>3.14*3</f>
        <v>9.42</v>
      </c>
      <c r="G319" s="1156">
        <v>0.23</v>
      </c>
      <c r="H319" s="1156">
        <f>1.2-0.15-0.3-0.3-0.06-0.2</f>
        <v>0.19</v>
      </c>
      <c r="I319" s="399">
        <f t="shared" si="35"/>
        <v>0.41</v>
      </c>
      <c r="J319" s="47"/>
      <c r="K319" s="27"/>
      <c r="L319" s="40"/>
      <c r="M319" s="40"/>
      <c r="N319" s="40"/>
      <c r="O319" s="40"/>
      <c r="P319" s="40"/>
    </row>
    <row r="320" spans="1:16" s="39" customFormat="1" ht="17.25" outlineLevel="1">
      <c r="A320" s="365"/>
      <c r="B320" s="312"/>
      <c r="C320" s="313" t="s">
        <v>2</v>
      </c>
      <c r="D320" s="323"/>
      <c r="E320" s="298"/>
      <c r="F320" s="1156"/>
      <c r="G320" s="1156"/>
      <c r="H320" s="1156"/>
      <c r="I320" s="399" t="str">
        <f t="shared" si="35"/>
        <v/>
      </c>
      <c r="J320" s="47"/>
      <c r="K320" s="27"/>
      <c r="L320" s="40"/>
      <c r="M320" s="40"/>
      <c r="N320" s="40"/>
      <c r="O320" s="40"/>
      <c r="P320" s="40"/>
    </row>
    <row r="321" spans="1:16" s="39" customFormat="1" ht="17.25" outlineLevel="1">
      <c r="A321" s="365"/>
      <c r="B321" s="312" t="s">
        <v>744</v>
      </c>
      <c r="C321" s="313" t="s">
        <v>2</v>
      </c>
      <c r="D321" s="323">
        <v>1</v>
      </c>
      <c r="E321" s="298">
        <v>1</v>
      </c>
      <c r="F321" s="1156">
        <f>3.14*3</f>
        <v>9.42</v>
      </c>
      <c r="G321" s="1156">
        <v>0.46</v>
      </c>
      <c r="H321" s="1156">
        <v>0.3</v>
      </c>
      <c r="I321" s="399">
        <f t="shared" si="35"/>
        <v>1.3</v>
      </c>
      <c r="J321" s="47"/>
      <c r="K321" s="27"/>
      <c r="L321" s="40"/>
      <c r="M321" s="40"/>
      <c r="N321" s="40"/>
      <c r="O321" s="40"/>
      <c r="P321" s="40"/>
    </row>
    <row r="322" spans="1:16" s="39" customFormat="1" ht="17.25" outlineLevel="1">
      <c r="A322" s="365"/>
      <c r="B322" s="312"/>
      <c r="C322" s="313" t="s">
        <v>2</v>
      </c>
      <c r="D322" s="323">
        <v>1</v>
      </c>
      <c r="E322" s="298">
        <v>1</v>
      </c>
      <c r="F322" s="1156">
        <f>3.14*3</f>
        <v>9.42</v>
      </c>
      <c r="G322" s="1156">
        <v>0.34499999999999997</v>
      </c>
      <c r="H322" s="1156">
        <v>0.3</v>
      </c>
      <c r="I322" s="399">
        <f t="shared" si="35"/>
        <v>0.97</v>
      </c>
      <c r="J322" s="47"/>
      <c r="K322" s="27"/>
      <c r="L322" s="40"/>
      <c r="M322" s="40"/>
      <c r="N322" s="40"/>
      <c r="O322" s="40"/>
      <c r="P322" s="40"/>
    </row>
    <row r="323" spans="1:16" s="39" customFormat="1" ht="17.25" outlineLevel="1">
      <c r="A323" s="365"/>
      <c r="B323" s="312"/>
      <c r="C323" s="313" t="s">
        <v>2</v>
      </c>
      <c r="D323" s="323">
        <v>1</v>
      </c>
      <c r="E323" s="298">
        <v>1</v>
      </c>
      <c r="F323" s="1156">
        <f>3.14*3</f>
        <v>9.42</v>
      </c>
      <c r="G323" s="1156">
        <v>0.23</v>
      </c>
      <c r="H323" s="1156">
        <f>1.2-0.15-0.3-0.3-0.06-0.2</f>
        <v>0.19</v>
      </c>
      <c r="I323" s="399">
        <f t="shared" si="35"/>
        <v>0.41</v>
      </c>
      <c r="J323" s="47"/>
      <c r="K323" s="27"/>
      <c r="L323" s="40"/>
      <c r="M323" s="40"/>
      <c r="N323" s="40"/>
      <c r="O323" s="40"/>
      <c r="P323" s="40"/>
    </row>
    <row r="324" spans="1:16" s="39" customFormat="1" ht="17.25" outlineLevel="1">
      <c r="A324" s="365"/>
      <c r="B324" s="312"/>
      <c r="C324" s="313" t="s">
        <v>2</v>
      </c>
      <c r="D324" s="323"/>
      <c r="E324" s="298"/>
      <c r="F324" s="1156"/>
      <c r="G324" s="1156"/>
      <c r="H324" s="1156"/>
      <c r="I324" s="399" t="str">
        <f t="shared" si="35"/>
        <v/>
      </c>
      <c r="J324" s="47"/>
      <c r="K324" s="27"/>
      <c r="L324" s="40"/>
      <c r="M324" s="40"/>
      <c r="N324" s="40"/>
      <c r="O324" s="40"/>
      <c r="P324" s="40"/>
    </row>
    <row r="325" spans="1:16" s="39" customFormat="1" ht="17.25" outlineLevel="1">
      <c r="A325" s="365"/>
      <c r="B325" s="312" t="s">
        <v>745</v>
      </c>
      <c r="C325" s="313" t="s">
        <v>2</v>
      </c>
      <c r="D325" s="323">
        <v>1</v>
      </c>
      <c r="E325" s="298">
        <v>1</v>
      </c>
      <c r="F325" s="1156">
        <f>3.14*3</f>
        <v>9.42</v>
      </c>
      <c r="G325" s="1156">
        <v>0.46</v>
      </c>
      <c r="H325" s="1156">
        <v>0.3</v>
      </c>
      <c r="I325" s="399">
        <f t="shared" si="35"/>
        <v>1.3</v>
      </c>
      <c r="J325" s="47"/>
      <c r="K325" s="27"/>
      <c r="L325" s="40"/>
      <c r="M325" s="40"/>
      <c r="N325" s="40"/>
      <c r="O325" s="40"/>
      <c r="P325" s="40"/>
    </row>
    <row r="326" spans="1:16" s="39" customFormat="1" ht="17.25" outlineLevel="1">
      <c r="A326" s="365"/>
      <c r="B326" s="312"/>
      <c r="C326" s="313" t="s">
        <v>2</v>
      </c>
      <c r="D326" s="323">
        <v>1</v>
      </c>
      <c r="E326" s="298">
        <v>1</v>
      </c>
      <c r="F326" s="1156">
        <f>3.14*3</f>
        <v>9.42</v>
      </c>
      <c r="G326" s="1156">
        <v>0.34499999999999997</v>
      </c>
      <c r="H326" s="1156">
        <v>0.3</v>
      </c>
      <c r="I326" s="399">
        <f t="shared" ref="I326:I389" si="36">IF(D326&lt;&gt;0,ROUND(PRODUCT(E326:H326)*D326,2),"")</f>
        <v>0.97</v>
      </c>
      <c r="J326" s="47"/>
      <c r="K326" s="27"/>
      <c r="L326" s="40"/>
      <c r="M326" s="40"/>
      <c r="N326" s="40"/>
      <c r="O326" s="40"/>
      <c r="P326" s="40"/>
    </row>
    <row r="327" spans="1:16" s="39" customFormat="1" ht="17.25" outlineLevel="1">
      <c r="A327" s="365"/>
      <c r="B327" s="312"/>
      <c r="C327" s="313" t="s">
        <v>2</v>
      </c>
      <c r="D327" s="323">
        <v>1</v>
      </c>
      <c r="E327" s="298">
        <v>1</v>
      </c>
      <c r="F327" s="1156">
        <f>3.14*3</f>
        <v>9.42</v>
      </c>
      <c r="G327" s="1156">
        <v>0.23</v>
      </c>
      <c r="H327" s="1156">
        <f>1.2-0.15-0.3-0.3-0.06-0.2</f>
        <v>0.19</v>
      </c>
      <c r="I327" s="399">
        <f t="shared" si="36"/>
        <v>0.41</v>
      </c>
      <c r="J327" s="47"/>
      <c r="K327" s="27"/>
      <c r="L327" s="40"/>
      <c r="M327" s="40"/>
      <c r="N327" s="40"/>
      <c r="O327" s="40"/>
      <c r="P327" s="40"/>
    </row>
    <row r="328" spans="1:16" s="39" customFormat="1" ht="17.25" outlineLevel="1">
      <c r="A328" s="365"/>
      <c r="B328" s="312"/>
      <c r="C328" s="313" t="s">
        <v>2</v>
      </c>
      <c r="D328" s="323"/>
      <c r="E328" s="298"/>
      <c r="F328" s="1156"/>
      <c r="G328" s="1156"/>
      <c r="H328" s="1156"/>
      <c r="I328" s="399" t="str">
        <f t="shared" si="36"/>
        <v/>
      </c>
      <c r="J328" s="47"/>
      <c r="K328" s="27"/>
      <c r="L328" s="40"/>
      <c r="M328" s="40"/>
      <c r="N328" s="40"/>
      <c r="O328" s="40"/>
      <c r="P328" s="40"/>
    </row>
    <row r="329" spans="1:16" s="39" customFormat="1" ht="17.25" outlineLevel="1">
      <c r="A329" s="365"/>
      <c r="B329" s="312" t="s">
        <v>746</v>
      </c>
      <c r="C329" s="313" t="s">
        <v>2</v>
      </c>
      <c r="D329" s="323">
        <v>1</v>
      </c>
      <c r="E329" s="298">
        <v>1</v>
      </c>
      <c r="F329" s="1156">
        <f>3.14*3</f>
        <v>9.42</v>
      </c>
      <c r="G329" s="1156">
        <v>0.46</v>
      </c>
      <c r="H329" s="1156">
        <v>0.3</v>
      </c>
      <c r="I329" s="399">
        <f t="shared" si="36"/>
        <v>1.3</v>
      </c>
      <c r="J329" s="47"/>
      <c r="K329" s="27"/>
      <c r="L329" s="40"/>
      <c r="M329" s="40"/>
      <c r="N329" s="40"/>
      <c r="O329" s="40"/>
      <c r="P329" s="40"/>
    </row>
    <row r="330" spans="1:16" s="39" customFormat="1" ht="17.25" outlineLevel="1">
      <c r="A330" s="365"/>
      <c r="B330" s="312"/>
      <c r="C330" s="313" t="s">
        <v>2</v>
      </c>
      <c r="D330" s="323">
        <v>1</v>
      </c>
      <c r="E330" s="298">
        <v>1</v>
      </c>
      <c r="F330" s="1156">
        <f>3.14*3</f>
        <v>9.42</v>
      </c>
      <c r="G330" s="1156">
        <v>0.34499999999999997</v>
      </c>
      <c r="H330" s="1156">
        <v>0.3</v>
      </c>
      <c r="I330" s="399">
        <f t="shared" si="36"/>
        <v>0.97</v>
      </c>
      <c r="J330" s="47"/>
      <c r="K330" s="27"/>
      <c r="L330" s="40"/>
      <c r="M330" s="40"/>
      <c r="N330" s="40"/>
      <c r="O330" s="40"/>
      <c r="P330" s="40"/>
    </row>
    <row r="331" spans="1:16" s="39" customFormat="1" ht="17.25" outlineLevel="1">
      <c r="A331" s="365"/>
      <c r="B331" s="312"/>
      <c r="C331" s="313" t="s">
        <v>2</v>
      </c>
      <c r="D331" s="323">
        <v>1</v>
      </c>
      <c r="E331" s="298">
        <v>1</v>
      </c>
      <c r="F331" s="1156">
        <f>3.14*3</f>
        <v>9.42</v>
      </c>
      <c r="G331" s="1156">
        <v>0.23</v>
      </c>
      <c r="H331" s="1156">
        <f>1.2-0.15-0.3-0.3-0.06-0.2</f>
        <v>0.19</v>
      </c>
      <c r="I331" s="399">
        <f t="shared" si="36"/>
        <v>0.41</v>
      </c>
      <c r="J331" s="47"/>
      <c r="K331" s="27"/>
      <c r="L331" s="40"/>
      <c r="M331" s="40"/>
      <c r="N331" s="40"/>
      <c r="O331" s="40"/>
      <c r="P331" s="40"/>
    </row>
    <row r="332" spans="1:16" s="39" customFormat="1" ht="17.25" outlineLevel="1">
      <c r="A332" s="365"/>
      <c r="B332" s="312"/>
      <c r="C332" s="313" t="s">
        <v>2</v>
      </c>
      <c r="D332" s="323"/>
      <c r="E332" s="298"/>
      <c r="F332" s="1156"/>
      <c r="G332" s="1156"/>
      <c r="H332" s="1156"/>
      <c r="I332" s="399" t="str">
        <f t="shared" si="36"/>
        <v/>
      </c>
      <c r="J332" s="47"/>
      <c r="K332" s="27"/>
      <c r="L332" s="40"/>
      <c r="M332" s="40"/>
      <c r="N332" s="40"/>
      <c r="O332" s="40"/>
      <c r="P332" s="40"/>
    </row>
    <row r="333" spans="1:16" s="39" customFormat="1" ht="17.25" outlineLevel="1">
      <c r="A333" s="365"/>
      <c r="B333" s="312" t="s">
        <v>747</v>
      </c>
      <c r="C333" s="313" t="s">
        <v>2</v>
      </c>
      <c r="D333" s="323">
        <v>1</v>
      </c>
      <c r="E333" s="298">
        <v>1</v>
      </c>
      <c r="F333" s="1156">
        <f>3.14*3</f>
        <v>9.42</v>
      </c>
      <c r="G333" s="1156">
        <v>0.46</v>
      </c>
      <c r="H333" s="1156">
        <v>0.3</v>
      </c>
      <c r="I333" s="399">
        <f t="shared" si="36"/>
        <v>1.3</v>
      </c>
      <c r="J333" s="47"/>
      <c r="K333" s="27"/>
      <c r="L333" s="40"/>
      <c r="M333" s="40"/>
      <c r="N333" s="40"/>
      <c r="O333" s="40"/>
      <c r="P333" s="40"/>
    </row>
    <row r="334" spans="1:16" s="39" customFormat="1" ht="17.25" outlineLevel="1">
      <c r="A334" s="365"/>
      <c r="B334" s="312"/>
      <c r="C334" s="313" t="s">
        <v>2</v>
      </c>
      <c r="D334" s="323">
        <v>1</v>
      </c>
      <c r="E334" s="298">
        <v>1</v>
      </c>
      <c r="F334" s="1156">
        <f>3.14*3</f>
        <v>9.42</v>
      </c>
      <c r="G334" s="1156">
        <v>0.34499999999999997</v>
      </c>
      <c r="H334" s="1156">
        <v>0.3</v>
      </c>
      <c r="I334" s="399">
        <f t="shared" si="36"/>
        <v>0.97</v>
      </c>
      <c r="J334" s="47"/>
      <c r="K334" s="27"/>
      <c r="L334" s="40"/>
      <c r="M334" s="40"/>
      <c r="N334" s="40"/>
      <c r="O334" s="40"/>
      <c r="P334" s="40"/>
    </row>
    <row r="335" spans="1:16" s="39" customFormat="1" ht="17.25" outlineLevel="1">
      <c r="A335" s="365"/>
      <c r="B335" s="312"/>
      <c r="C335" s="313" t="s">
        <v>2</v>
      </c>
      <c r="D335" s="323">
        <v>1</v>
      </c>
      <c r="E335" s="298">
        <v>1</v>
      </c>
      <c r="F335" s="1156">
        <f>3.14*3</f>
        <v>9.42</v>
      </c>
      <c r="G335" s="1156">
        <v>0.23</v>
      </c>
      <c r="H335" s="1156">
        <f>1.2-0.15-0.3-0.3-0.06-0.2</f>
        <v>0.19</v>
      </c>
      <c r="I335" s="399">
        <f t="shared" si="36"/>
        <v>0.41</v>
      </c>
      <c r="J335" s="47"/>
      <c r="K335" s="27"/>
      <c r="L335" s="40"/>
      <c r="M335" s="40"/>
      <c r="N335" s="40"/>
      <c r="O335" s="40"/>
      <c r="P335" s="40"/>
    </row>
    <row r="336" spans="1:16" s="39" customFormat="1" ht="17.25" outlineLevel="1">
      <c r="A336" s="365"/>
      <c r="B336" s="312"/>
      <c r="C336" s="313" t="s">
        <v>2</v>
      </c>
      <c r="D336" s="323"/>
      <c r="E336" s="298"/>
      <c r="F336" s="1156"/>
      <c r="G336" s="1156"/>
      <c r="H336" s="1156"/>
      <c r="I336" s="399" t="str">
        <f t="shared" si="36"/>
        <v/>
      </c>
      <c r="J336" s="47"/>
      <c r="K336" s="27"/>
      <c r="L336" s="40"/>
      <c r="M336" s="40"/>
      <c r="N336" s="40"/>
      <c r="O336" s="40"/>
      <c r="P336" s="40"/>
    </row>
    <row r="337" spans="1:16" s="39" customFormat="1" ht="17.25" outlineLevel="1">
      <c r="A337" s="365"/>
      <c r="B337" s="312" t="s">
        <v>748</v>
      </c>
      <c r="C337" s="313" t="s">
        <v>2</v>
      </c>
      <c r="D337" s="323">
        <v>1</v>
      </c>
      <c r="E337" s="298">
        <v>1</v>
      </c>
      <c r="F337" s="1156">
        <f>3.14*3</f>
        <v>9.42</v>
      </c>
      <c r="G337" s="1156">
        <v>0.46</v>
      </c>
      <c r="H337" s="1156">
        <v>0.3</v>
      </c>
      <c r="I337" s="399">
        <f t="shared" si="36"/>
        <v>1.3</v>
      </c>
      <c r="J337" s="47"/>
      <c r="K337" s="27"/>
      <c r="L337" s="40"/>
      <c r="M337" s="40"/>
      <c r="N337" s="40"/>
      <c r="O337" s="40"/>
      <c r="P337" s="40"/>
    </row>
    <row r="338" spans="1:16" s="39" customFormat="1" ht="17.25" outlineLevel="1">
      <c r="A338" s="365"/>
      <c r="B338" s="312"/>
      <c r="C338" s="313" t="s">
        <v>2</v>
      </c>
      <c r="D338" s="323">
        <v>1</v>
      </c>
      <c r="E338" s="298">
        <v>1</v>
      </c>
      <c r="F338" s="1156">
        <f>3.14*3</f>
        <v>9.42</v>
      </c>
      <c r="G338" s="1156">
        <v>0.34499999999999997</v>
      </c>
      <c r="H338" s="1156">
        <v>0.3</v>
      </c>
      <c r="I338" s="399">
        <f t="shared" si="36"/>
        <v>0.97</v>
      </c>
      <c r="J338" s="47"/>
      <c r="K338" s="27"/>
      <c r="L338" s="40"/>
      <c r="M338" s="40"/>
      <c r="N338" s="40"/>
      <c r="O338" s="40"/>
      <c r="P338" s="40"/>
    </row>
    <row r="339" spans="1:16" s="39" customFormat="1" ht="17.25" outlineLevel="1">
      <c r="A339" s="365"/>
      <c r="B339" s="312"/>
      <c r="C339" s="313" t="s">
        <v>2</v>
      </c>
      <c r="D339" s="323">
        <v>1</v>
      </c>
      <c r="E339" s="298">
        <v>1</v>
      </c>
      <c r="F339" s="1156">
        <f>3.14*3</f>
        <v>9.42</v>
      </c>
      <c r="G339" s="1156">
        <v>0.23</v>
      </c>
      <c r="H339" s="1156">
        <f>1.2-0.15-0.3-0.3-0.06-0.2</f>
        <v>0.19</v>
      </c>
      <c r="I339" s="399">
        <f t="shared" si="36"/>
        <v>0.41</v>
      </c>
      <c r="J339" s="47"/>
      <c r="K339" s="27"/>
      <c r="L339" s="40"/>
      <c r="M339" s="40"/>
      <c r="N339" s="40"/>
      <c r="O339" s="40"/>
      <c r="P339" s="40"/>
    </row>
    <row r="340" spans="1:16" s="39" customFormat="1" ht="17.25" outlineLevel="1">
      <c r="A340" s="365"/>
      <c r="B340" s="312"/>
      <c r="C340" s="313" t="s">
        <v>2</v>
      </c>
      <c r="D340" s="323"/>
      <c r="E340" s="298"/>
      <c r="F340" s="1156"/>
      <c r="G340" s="1156"/>
      <c r="H340" s="1156"/>
      <c r="I340" s="399" t="str">
        <f t="shared" si="36"/>
        <v/>
      </c>
      <c r="J340" s="47"/>
      <c r="K340" s="27"/>
      <c r="L340" s="40"/>
      <c r="M340" s="40"/>
      <c r="N340" s="40"/>
      <c r="O340" s="40"/>
      <c r="P340" s="40"/>
    </row>
    <row r="341" spans="1:16" s="42" customFormat="1" ht="17.25" outlineLevel="1">
      <c r="A341" s="41"/>
      <c r="B341" s="361" t="s">
        <v>749</v>
      </c>
      <c r="C341" s="344" t="s">
        <v>2</v>
      </c>
      <c r="D341" s="363">
        <f t="shared" ref="D341:D343" si="37">1*0</f>
        <v>0</v>
      </c>
      <c r="E341" s="337">
        <v>1</v>
      </c>
      <c r="F341" s="1157">
        <f>3.14*3</f>
        <v>9.42</v>
      </c>
      <c r="G341" s="1157">
        <v>0.46</v>
      </c>
      <c r="H341" s="1157">
        <v>0.3</v>
      </c>
      <c r="I341" s="399" t="str">
        <f t="shared" si="36"/>
        <v/>
      </c>
      <c r="J341" s="231"/>
      <c r="K341" s="43"/>
      <c r="L341" s="44"/>
      <c r="M341" s="44"/>
      <c r="N341" s="44"/>
      <c r="O341" s="44"/>
      <c r="P341" s="44"/>
    </row>
    <row r="342" spans="1:16" s="42" customFormat="1" ht="17.25" outlineLevel="1">
      <c r="A342" s="41"/>
      <c r="B342" s="361"/>
      <c r="C342" s="344" t="s">
        <v>2</v>
      </c>
      <c r="D342" s="363">
        <f t="shared" si="37"/>
        <v>0</v>
      </c>
      <c r="E342" s="337">
        <v>1</v>
      </c>
      <c r="F342" s="1157">
        <f>3.14*3</f>
        <v>9.42</v>
      </c>
      <c r="G342" s="1157">
        <v>0.34499999999999997</v>
      </c>
      <c r="H342" s="1157">
        <v>0.3</v>
      </c>
      <c r="I342" s="399" t="str">
        <f t="shared" si="36"/>
        <v/>
      </c>
      <c r="J342" s="231"/>
      <c r="K342" s="43"/>
      <c r="L342" s="44"/>
      <c r="M342" s="44"/>
      <c r="N342" s="44"/>
      <c r="O342" s="44"/>
      <c r="P342" s="44"/>
    </row>
    <row r="343" spans="1:16" s="42" customFormat="1" ht="17.25" outlineLevel="1">
      <c r="A343" s="41"/>
      <c r="B343" s="361"/>
      <c r="C343" s="344" t="s">
        <v>2</v>
      </c>
      <c r="D343" s="363">
        <f t="shared" si="37"/>
        <v>0</v>
      </c>
      <c r="E343" s="337">
        <v>1</v>
      </c>
      <c r="F343" s="1157">
        <f>3.14*3</f>
        <v>9.42</v>
      </c>
      <c r="G343" s="1157">
        <v>0.23</v>
      </c>
      <c r="H343" s="1157">
        <f>1.2-0.15-0.3-0.3-0.06-0.2</f>
        <v>0.19</v>
      </c>
      <c r="I343" s="399" t="str">
        <f t="shared" si="36"/>
        <v/>
      </c>
      <c r="J343" s="231"/>
      <c r="K343" s="43"/>
      <c r="L343" s="44"/>
      <c r="M343" s="44"/>
      <c r="N343" s="44"/>
      <c r="O343" s="44"/>
      <c r="P343" s="44"/>
    </row>
    <row r="344" spans="1:16" s="42" customFormat="1" ht="17.25" outlineLevel="1">
      <c r="A344" s="41"/>
      <c r="B344" s="361"/>
      <c r="C344" s="344" t="s">
        <v>2</v>
      </c>
      <c r="D344" s="363"/>
      <c r="E344" s="337"/>
      <c r="F344" s="1157"/>
      <c r="G344" s="1157"/>
      <c r="H344" s="1157"/>
      <c r="I344" s="399" t="str">
        <f t="shared" si="36"/>
        <v/>
      </c>
      <c r="J344" s="231"/>
      <c r="K344" s="43"/>
      <c r="L344" s="44"/>
      <c r="M344" s="44"/>
      <c r="N344" s="44"/>
      <c r="O344" s="44"/>
      <c r="P344" s="44"/>
    </row>
    <row r="345" spans="1:16" s="42" customFormat="1" ht="17.25" outlineLevel="1">
      <c r="A345" s="41"/>
      <c r="B345" s="361" t="s">
        <v>750</v>
      </c>
      <c r="C345" s="344" t="s">
        <v>2</v>
      </c>
      <c r="D345" s="363">
        <f t="shared" ref="D345:D347" si="38">1*0</f>
        <v>0</v>
      </c>
      <c r="E345" s="337">
        <v>1</v>
      </c>
      <c r="F345" s="1157">
        <f>3.14*3</f>
        <v>9.42</v>
      </c>
      <c r="G345" s="1157">
        <v>0.46</v>
      </c>
      <c r="H345" s="1157">
        <v>0.3</v>
      </c>
      <c r="I345" s="399" t="str">
        <f t="shared" si="36"/>
        <v/>
      </c>
      <c r="J345" s="231"/>
      <c r="K345" s="43"/>
      <c r="L345" s="44"/>
      <c r="M345" s="44"/>
      <c r="N345" s="44"/>
      <c r="O345" s="44"/>
      <c r="P345" s="44"/>
    </row>
    <row r="346" spans="1:16" s="42" customFormat="1" ht="17.25" outlineLevel="1">
      <c r="A346" s="41"/>
      <c r="B346" s="361"/>
      <c r="C346" s="344" t="s">
        <v>2</v>
      </c>
      <c r="D346" s="363">
        <f t="shared" si="38"/>
        <v>0</v>
      </c>
      <c r="E346" s="337">
        <v>1</v>
      </c>
      <c r="F346" s="1157">
        <f>3.14*3</f>
        <v>9.42</v>
      </c>
      <c r="G346" s="1157">
        <v>0.34499999999999997</v>
      </c>
      <c r="H346" s="1157">
        <v>0.3</v>
      </c>
      <c r="I346" s="399" t="str">
        <f t="shared" si="36"/>
        <v/>
      </c>
      <c r="J346" s="231"/>
      <c r="K346" s="43"/>
      <c r="L346" s="44"/>
      <c r="M346" s="44"/>
      <c r="N346" s="44"/>
      <c r="O346" s="44"/>
      <c r="P346" s="44"/>
    </row>
    <row r="347" spans="1:16" s="42" customFormat="1" ht="17.25" outlineLevel="1">
      <c r="A347" s="41"/>
      <c r="B347" s="361"/>
      <c r="C347" s="344" t="s">
        <v>2</v>
      </c>
      <c r="D347" s="363">
        <f t="shared" si="38"/>
        <v>0</v>
      </c>
      <c r="E347" s="337">
        <v>1</v>
      </c>
      <c r="F347" s="1157">
        <f>3.14*3</f>
        <v>9.42</v>
      </c>
      <c r="G347" s="1157">
        <v>0.23</v>
      </c>
      <c r="H347" s="1157">
        <f>1.2-0.15-0.3-0.3-0.06-0.2</f>
        <v>0.19</v>
      </c>
      <c r="I347" s="399" t="str">
        <f t="shared" si="36"/>
        <v/>
      </c>
      <c r="J347" s="231"/>
      <c r="K347" s="43"/>
      <c r="L347" s="44"/>
      <c r="M347" s="44"/>
      <c r="N347" s="44"/>
      <c r="O347" s="44"/>
      <c r="P347" s="44"/>
    </row>
    <row r="348" spans="1:16" s="42" customFormat="1" ht="17.25" outlineLevel="1">
      <c r="A348" s="41"/>
      <c r="B348" s="361"/>
      <c r="C348" s="344" t="s">
        <v>2</v>
      </c>
      <c r="D348" s="363"/>
      <c r="E348" s="337"/>
      <c r="F348" s="1157"/>
      <c r="G348" s="1157"/>
      <c r="H348" s="1157"/>
      <c r="I348" s="399" t="str">
        <f t="shared" si="36"/>
        <v/>
      </c>
      <c r="J348" s="231"/>
      <c r="K348" s="43"/>
      <c r="L348" s="44"/>
      <c r="M348" s="44"/>
      <c r="N348" s="44"/>
      <c r="O348" s="44"/>
      <c r="P348" s="44"/>
    </row>
    <row r="349" spans="1:16" s="42" customFormat="1" ht="17.25" outlineLevel="1">
      <c r="A349" s="41"/>
      <c r="B349" s="361" t="s">
        <v>751</v>
      </c>
      <c r="C349" s="344" t="s">
        <v>2</v>
      </c>
      <c r="D349" s="363">
        <f t="shared" ref="D349:D351" si="39">1*0</f>
        <v>0</v>
      </c>
      <c r="E349" s="337">
        <v>1</v>
      </c>
      <c r="F349" s="1157">
        <f>3.14*3</f>
        <v>9.42</v>
      </c>
      <c r="G349" s="1157">
        <v>0.46</v>
      </c>
      <c r="H349" s="1157">
        <v>0.3</v>
      </c>
      <c r="I349" s="399" t="str">
        <f t="shared" si="36"/>
        <v/>
      </c>
      <c r="J349" s="231"/>
      <c r="K349" s="43"/>
      <c r="L349" s="44"/>
      <c r="M349" s="44"/>
      <c r="N349" s="44"/>
      <c r="O349" s="44"/>
      <c r="P349" s="44"/>
    </row>
    <row r="350" spans="1:16" s="42" customFormat="1" ht="17.25" outlineLevel="1">
      <c r="A350" s="41"/>
      <c r="B350" s="361"/>
      <c r="C350" s="344" t="s">
        <v>2</v>
      </c>
      <c r="D350" s="363">
        <f t="shared" si="39"/>
        <v>0</v>
      </c>
      <c r="E350" s="337">
        <v>1</v>
      </c>
      <c r="F350" s="1157">
        <f>3.14*3</f>
        <v>9.42</v>
      </c>
      <c r="G350" s="1157">
        <v>0.34499999999999997</v>
      </c>
      <c r="H350" s="1157">
        <v>0.3</v>
      </c>
      <c r="I350" s="399" t="str">
        <f t="shared" si="36"/>
        <v/>
      </c>
      <c r="J350" s="231"/>
      <c r="K350" s="43"/>
      <c r="L350" s="44"/>
      <c r="M350" s="44"/>
      <c r="N350" s="44"/>
      <c r="O350" s="44"/>
      <c r="P350" s="44"/>
    </row>
    <row r="351" spans="1:16" s="42" customFormat="1" ht="17.25" outlineLevel="1">
      <c r="A351" s="41"/>
      <c r="B351" s="361"/>
      <c r="C351" s="344" t="s">
        <v>2</v>
      </c>
      <c r="D351" s="363">
        <f t="shared" si="39"/>
        <v>0</v>
      </c>
      <c r="E351" s="337">
        <v>1</v>
      </c>
      <c r="F351" s="1157">
        <f>3.14*3</f>
        <v>9.42</v>
      </c>
      <c r="G351" s="1157">
        <v>0.23</v>
      </c>
      <c r="H351" s="1157">
        <f>1.2-0.15-0.3-0.3-0.06-0.2</f>
        <v>0.19</v>
      </c>
      <c r="I351" s="399" t="str">
        <f t="shared" si="36"/>
        <v/>
      </c>
      <c r="J351" s="231"/>
      <c r="K351" s="43"/>
      <c r="L351" s="44"/>
      <c r="M351" s="44"/>
      <c r="N351" s="44"/>
      <c r="O351" s="44"/>
      <c r="P351" s="44"/>
    </row>
    <row r="352" spans="1:16" s="42" customFormat="1" ht="17.25" outlineLevel="1">
      <c r="A352" s="41"/>
      <c r="B352" s="361"/>
      <c r="C352" s="344" t="s">
        <v>2</v>
      </c>
      <c r="D352" s="363"/>
      <c r="E352" s="337"/>
      <c r="F352" s="1157"/>
      <c r="G352" s="1157"/>
      <c r="H352" s="1157"/>
      <c r="I352" s="399" t="str">
        <f t="shared" si="36"/>
        <v/>
      </c>
      <c r="J352" s="231"/>
      <c r="K352" s="43"/>
      <c r="L352" s="44"/>
      <c r="M352" s="44"/>
      <c r="N352" s="44"/>
      <c r="O352" s="44"/>
      <c r="P352" s="44"/>
    </row>
    <row r="353" spans="1:16" s="42" customFormat="1" ht="17.25" outlineLevel="1">
      <c r="A353" s="41"/>
      <c r="B353" s="361" t="s">
        <v>752</v>
      </c>
      <c r="C353" s="344" t="s">
        <v>2</v>
      </c>
      <c r="D353" s="363">
        <f t="shared" ref="D353:D355" si="40">1*0</f>
        <v>0</v>
      </c>
      <c r="E353" s="337">
        <v>1</v>
      </c>
      <c r="F353" s="1157">
        <f>3.14*3</f>
        <v>9.42</v>
      </c>
      <c r="G353" s="1157">
        <v>0.46</v>
      </c>
      <c r="H353" s="1157">
        <v>0.3</v>
      </c>
      <c r="I353" s="399" t="str">
        <f t="shared" si="36"/>
        <v/>
      </c>
      <c r="J353" s="231"/>
      <c r="K353" s="43"/>
      <c r="L353" s="44"/>
      <c r="M353" s="44"/>
      <c r="N353" s="44"/>
      <c r="O353" s="44"/>
      <c r="P353" s="44"/>
    </row>
    <row r="354" spans="1:16" s="42" customFormat="1" ht="17.25" outlineLevel="1">
      <c r="A354" s="41"/>
      <c r="B354" s="361"/>
      <c r="C354" s="344" t="s">
        <v>2</v>
      </c>
      <c r="D354" s="363">
        <f t="shared" si="40"/>
        <v>0</v>
      </c>
      <c r="E354" s="337">
        <v>1</v>
      </c>
      <c r="F354" s="1157">
        <f>3.14*3</f>
        <v>9.42</v>
      </c>
      <c r="G354" s="1157">
        <v>0.34499999999999997</v>
      </c>
      <c r="H354" s="1157">
        <v>0.3</v>
      </c>
      <c r="I354" s="399" t="str">
        <f t="shared" si="36"/>
        <v/>
      </c>
      <c r="J354" s="231"/>
      <c r="K354" s="43"/>
      <c r="L354" s="44"/>
      <c r="M354" s="44"/>
      <c r="N354" s="44"/>
      <c r="O354" s="44"/>
      <c r="P354" s="44"/>
    </row>
    <row r="355" spans="1:16" s="42" customFormat="1" ht="17.25" outlineLevel="1">
      <c r="A355" s="41"/>
      <c r="B355" s="361"/>
      <c r="C355" s="344" t="s">
        <v>2</v>
      </c>
      <c r="D355" s="363">
        <f t="shared" si="40"/>
        <v>0</v>
      </c>
      <c r="E355" s="337">
        <v>1</v>
      </c>
      <c r="F355" s="1157">
        <f>3.14*3</f>
        <v>9.42</v>
      </c>
      <c r="G355" s="1157">
        <v>0.23</v>
      </c>
      <c r="H355" s="1157">
        <f>1.2-0.15-0.3-0.3-0.06-0.2</f>
        <v>0.19</v>
      </c>
      <c r="I355" s="399" t="str">
        <f t="shared" si="36"/>
        <v/>
      </c>
      <c r="J355" s="231"/>
      <c r="K355" s="43"/>
      <c r="L355" s="44"/>
      <c r="M355" s="44"/>
      <c r="N355" s="44"/>
      <c r="O355" s="44"/>
      <c r="P355" s="44"/>
    </row>
    <row r="356" spans="1:16" s="39" customFormat="1" ht="17.25" outlineLevel="1">
      <c r="A356" s="365"/>
      <c r="B356" s="312"/>
      <c r="C356" s="313" t="s">
        <v>2</v>
      </c>
      <c r="D356" s="323"/>
      <c r="E356" s="298"/>
      <c r="F356" s="1156"/>
      <c r="G356" s="1156"/>
      <c r="H356" s="1156"/>
      <c r="I356" s="399" t="str">
        <f t="shared" si="36"/>
        <v/>
      </c>
      <c r="J356" s="47"/>
      <c r="K356" s="27"/>
      <c r="L356" s="40"/>
      <c r="M356" s="40"/>
      <c r="N356" s="40"/>
      <c r="O356" s="40"/>
      <c r="P356" s="40"/>
    </row>
    <row r="357" spans="1:16" s="39" customFormat="1" ht="34.5" outlineLevel="1">
      <c r="A357" s="365"/>
      <c r="B357" s="312" t="s">
        <v>765</v>
      </c>
      <c r="C357" s="313" t="s">
        <v>2</v>
      </c>
      <c r="D357" s="323"/>
      <c r="E357" s="298"/>
      <c r="F357" s="1156"/>
      <c r="G357" s="1156"/>
      <c r="H357" s="1156"/>
      <c r="I357" s="399" t="str">
        <f t="shared" si="36"/>
        <v/>
      </c>
      <c r="J357" s="47"/>
      <c r="K357" s="27"/>
      <c r="L357" s="40"/>
      <c r="M357" s="40"/>
      <c r="N357" s="40"/>
      <c r="O357" s="40"/>
      <c r="P357" s="40"/>
    </row>
    <row r="358" spans="1:16" s="39" customFormat="1" ht="17.25" outlineLevel="1">
      <c r="A358" s="365"/>
      <c r="B358" s="312" t="s">
        <v>754</v>
      </c>
      <c r="C358" s="313" t="s">
        <v>2</v>
      </c>
      <c r="D358" s="323">
        <v>1</v>
      </c>
      <c r="E358" s="298">
        <v>1</v>
      </c>
      <c r="F358" s="1155">
        <v>8.2149999999999999</v>
      </c>
      <c r="G358" s="1156">
        <v>0.46</v>
      </c>
      <c r="H358" s="1156">
        <v>0.3</v>
      </c>
      <c r="I358" s="399">
        <f t="shared" si="36"/>
        <v>1.1299999999999999</v>
      </c>
      <c r="J358" s="47"/>
      <c r="K358" s="27"/>
      <c r="L358" s="40"/>
      <c r="M358" s="40"/>
      <c r="N358" s="40"/>
      <c r="O358" s="40"/>
      <c r="P358" s="40"/>
    </row>
    <row r="359" spans="1:16" s="39" customFormat="1" ht="17.25" outlineLevel="1">
      <c r="A359" s="365"/>
      <c r="B359" s="312"/>
      <c r="C359" s="313" t="s">
        <v>2</v>
      </c>
      <c r="D359" s="323">
        <v>1</v>
      </c>
      <c r="E359" s="298">
        <v>1</v>
      </c>
      <c r="F359" s="1155">
        <v>8.2149999999999999</v>
      </c>
      <c r="G359" s="1156">
        <v>0.34499999999999997</v>
      </c>
      <c r="H359" s="1156">
        <v>0.3</v>
      </c>
      <c r="I359" s="399">
        <f t="shared" si="36"/>
        <v>0.85</v>
      </c>
      <c r="J359" s="47"/>
      <c r="K359" s="27"/>
      <c r="L359" s="40"/>
      <c r="M359" s="40"/>
      <c r="N359" s="40"/>
      <c r="O359" s="40"/>
      <c r="P359" s="40"/>
    </row>
    <row r="360" spans="1:16" s="39" customFormat="1" ht="17.25" outlineLevel="1">
      <c r="A360" s="365"/>
      <c r="B360" s="312"/>
      <c r="C360" s="313" t="s">
        <v>2</v>
      </c>
      <c r="D360" s="323">
        <v>1</v>
      </c>
      <c r="E360" s="298">
        <v>1</v>
      </c>
      <c r="F360" s="1155">
        <v>8.2149999999999999</v>
      </c>
      <c r="G360" s="1156">
        <v>0.23</v>
      </c>
      <c r="H360" s="1156">
        <f>1.2+0.4-0.15-0.3-0.3-0.06-0.2</f>
        <v>0.59000000000000008</v>
      </c>
      <c r="I360" s="399">
        <f t="shared" si="36"/>
        <v>1.1100000000000001</v>
      </c>
      <c r="J360" s="47"/>
      <c r="K360" s="27"/>
      <c r="L360" s="40"/>
      <c r="M360" s="40"/>
      <c r="N360" s="40"/>
      <c r="O360" s="40"/>
      <c r="P360" s="40"/>
    </row>
    <row r="361" spans="1:16" s="39" customFormat="1" ht="17.25" outlineLevel="1">
      <c r="A361" s="365"/>
      <c r="B361" s="312"/>
      <c r="C361" s="313" t="s">
        <v>2</v>
      </c>
      <c r="D361" s="323"/>
      <c r="E361" s="298"/>
      <c r="F361" s="1156"/>
      <c r="G361" s="1156"/>
      <c r="H361" s="1156"/>
      <c r="I361" s="399" t="str">
        <f t="shared" si="36"/>
        <v/>
      </c>
      <c r="J361" s="47"/>
      <c r="K361" s="27"/>
      <c r="L361" s="40"/>
      <c r="M361" s="40"/>
      <c r="N361" s="40"/>
      <c r="O361" s="40"/>
      <c r="P361" s="40"/>
    </row>
    <row r="362" spans="1:16" s="39" customFormat="1" ht="17.25" outlineLevel="1">
      <c r="A362" s="365"/>
      <c r="B362" s="312" t="s">
        <v>755</v>
      </c>
      <c r="C362" s="313" t="s">
        <v>2</v>
      </c>
      <c r="D362" s="323">
        <v>1</v>
      </c>
      <c r="E362" s="298">
        <v>1</v>
      </c>
      <c r="F362" s="1155">
        <v>1.2430000000000001</v>
      </c>
      <c r="G362" s="1156">
        <v>0.46</v>
      </c>
      <c r="H362" s="1156">
        <v>0.3</v>
      </c>
      <c r="I362" s="399">
        <f t="shared" si="36"/>
        <v>0.17</v>
      </c>
      <c r="J362" s="47"/>
      <c r="K362" s="27"/>
      <c r="L362" s="40"/>
      <c r="M362" s="40"/>
      <c r="N362" s="40"/>
      <c r="O362" s="40"/>
      <c r="P362" s="40"/>
    </row>
    <row r="363" spans="1:16" s="39" customFormat="1" ht="17.25" outlineLevel="1">
      <c r="A363" s="365"/>
      <c r="B363" s="312"/>
      <c r="C363" s="313" t="s">
        <v>2</v>
      </c>
      <c r="D363" s="323">
        <v>1</v>
      </c>
      <c r="E363" s="298">
        <v>1</v>
      </c>
      <c r="F363" s="1155">
        <v>1.2430000000000001</v>
      </c>
      <c r="G363" s="1156">
        <v>0.34499999999999997</v>
      </c>
      <c r="H363" s="1156">
        <v>0.3</v>
      </c>
      <c r="I363" s="399">
        <f t="shared" si="36"/>
        <v>0.13</v>
      </c>
      <c r="J363" s="47"/>
      <c r="K363" s="27"/>
      <c r="L363" s="40"/>
      <c r="M363" s="40"/>
      <c r="N363" s="40"/>
      <c r="O363" s="40"/>
      <c r="P363" s="40"/>
    </row>
    <row r="364" spans="1:16" s="39" customFormat="1" ht="17.25" outlineLevel="1">
      <c r="A364" s="365"/>
      <c r="B364" s="312"/>
      <c r="C364" s="313" t="s">
        <v>2</v>
      </c>
      <c r="D364" s="323">
        <v>1</v>
      </c>
      <c r="E364" s="298">
        <v>1</v>
      </c>
      <c r="F364" s="1155">
        <v>1.2430000000000001</v>
      </c>
      <c r="G364" s="1156">
        <v>0.23</v>
      </c>
      <c r="H364" s="1156">
        <f>1.2+0.4-0.15-0.3-0.3-0.06-0.2</f>
        <v>0.59000000000000008</v>
      </c>
      <c r="I364" s="399">
        <f t="shared" si="36"/>
        <v>0.17</v>
      </c>
      <c r="J364" s="47"/>
      <c r="K364" s="27"/>
      <c r="L364" s="40"/>
      <c r="M364" s="40"/>
      <c r="N364" s="40"/>
      <c r="O364" s="40"/>
      <c r="P364" s="40"/>
    </row>
    <row r="365" spans="1:16" s="39" customFormat="1" ht="17.25" outlineLevel="1">
      <c r="A365" s="365"/>
      <c r="B365" s="312"/>
      <c r="C365" s="313" t="s">
        <v>2</v>
      </c>
      <c r="D365" s="323"/>
      <c r="E365" s="298"/>
      <c r="F365" s="1156"/>
      <c r="G365" s="1156"/>
      <c r="H365" s="1156"/>
      <c r="I365" s="399" t="str">
        <f t="shared" si="36"/>
        <v/>
      </c>
      <c r="J365" s="47"/>
      <c r="K365" s="27"/>
      <c r="L365" s="40"/>
      <c r="M365" s="40"/>
      <c r="N365" s="40"/>
      <c r="O365" s="40"/>
      <c r="P365" s="40"/>
    </row>
    <row r="366" spans="1:16" s="39" customFormat="1" ht="17.25" outlineLevel="1">
      <c r="A366" s="365"/>
      <c r="B366" s="312" t="s">
        <v>756</v>
      </c>
      <c r="C366" s="313" t="s">
        <v>2</v>
      </c>
      <c r="D366" s="323">
        <v>1</v>
      </c>
      <c r="E366" s="298">
        <v>1</v>
      </c>
      <c r="F366" s="1155">
        <v>5.1429999999999998</v>
      </c>
      <c r="G366" s="1156">
        <v>0.46</v>
      </c>
      <c r="H366" s="1156">
        <v>0.3</v>
      </c>
      <c r="I366" s="399">
        <f t="shared" si="36"/>
        <v>0.71</v>
      </c>
      <c r="J366" s="47"/>
      <c r="K366" s="27"/>
      <c r="L366" s="40"/>
      <c r="M366" s="40"/>
      <c r="N366" s="40"/>
      <c r="O366" s="40"/>
      <c r="P366" s="40"/>
    </row>
    <row r="367" spans="1:16" s="39" customFormat="1" ht="17.25" outlineLevel="1">
      <c r="A367" s="365"/>
      <c r="B367" s="312"/>
      <c r="C367" s="313" t="s">
        <v>2</v>
      </c>
      <c r="D367" s="323">
        <v>1</v>
      </c>
      <c r="E367" s="298">
        <v>1</v>
      </c>
      <c r="F367" s="1155">
        <v>5.1429999999999998</v>
      </c>
      <c r="G367" s="1156">
        <v>0.34499999999999997</v>
      </c>
      <c r="H367" s="1156">
        <v>0.3</v>
      </c>
      <c r="I367" s="399">
        <f t="shared" si="36"/>
        <v>0.53</v>
      </c>
      <c r="J367" s="47"/>
      <c r="K367" s="27"/>
      <c r="L367" s="40"/>
      <c r="M367" s="40"/>
      <c r="N367" s="40"/>
      <c r="O367" s="40"/>
      <c r="P367" s="40"/>
    </row>
    <row r="368" spans="1:16" s="39" customFormat="1" ht="17.25" outlineLevel="1">
      <c r="A368" s="365"/>
      <c r="B368" s="312"/>
      <c r="C368" s="313" t="s">
        <v>2</v>
      </c>
      <c r="D368" s="323">
        <v>1</v>
      </c>
      <c r="E368" s="298">
        <v>1</v>
      </c>
      <c r="F368" s="1155">
        <v>5.1429999999999998</v>
      </c>
      <c r="G368" s="1156">
        <v>0.23</v>
      </c>
      <c r="H368" s="1156">
        <f>1.2+0.4-0.15-0.3-0.3-0.06-0.2</f>
        <v>0.59000000000000008</v>
      </c>
      <c r="I368" s="399">
        <f t="shared" si="36"/>
        <v>0.7</v>
      </c>
      <c r="J368" s="47"/>
      <c r="K368" s="27"/>
      <c r="L368" s="40"/>
      <c r="M368" s="40"/>
      <c r="N368" s="40"/>
      <c r="O368" s="40"/>
      <c r="P368" s="40"/>
    </row>
    <row r="369" spans="1:16" s="377" customFormat="1" ht="34.5" outlineLevel="1">
      <c r="A369" s="558">
        <v>1</v>
      </c>
      <c r="B369" s="557" t="s">
        <v>766</v>
      </c>
      <c r="C369" s="165"/>
      <c r="D369" s="548"/>
      <c r="E369" s="307"/>
      <c r="F369" s="401"/>
      <c r="G369" s="401"/>
      <c r="H369" s="401"/>
      <c r="I369" s="399" t="str">
        <f t="shared" si="36"/>
        <v/>
      </c>
      <c r="J369" s="394"/>
      <c r="K369" s="394"/>
      <c r="L369" s="376"/>
      <c r="M369" s="376"/>
      <c r="N369" s="376"/>
      <c r="O369" s="376"/>
      <c r="P369" s="376"/>
    </row>
    <row r="370" spans="1:16" s="377" customFormat="1" ht="17.25" outlineLevel="1">
      <c r="A370" s="414"/>
      <c r="B370" s="425"/>
      <c r="C370" s="165"/>
      <c r="D370" s="548"/>
      <c r="E370" s="307"/>
      <c r="F370" s="401"/>
      <c r="G370" s="401"/>
      <c r="H370" s="401"/>
      <c r="I370" s="399" t="str">
        <f t="shared" si="36"/>
        <v/>
      </c>
      <c r="J370" s="394"/>
      <c r="K370" s="394"/>
      <c r="L370" s="376"/>
      <c r="M370" s="376"/>
      <c r="N370" s="376"/>
      <c r="O370" s="376"/>
      <c r="P370" s="376"/>
    </row>
    <row r="371" spans="1:16" s="384" customFormat="1" ht="34.5" outlineLevel="1">
      <c r="A371" s="559"/>
      <c r="B371" s="312" t="s">
        <v>1165</v>
      </c>
      <c r="C371" s="313" t="s">
        <v>2</v>
      </c>
      <c r="D371" s="323">
        <f>1</f>
        <v>1</v>
      </c>
      <c r="E371" s="323">
        <v>1</v>
      </c>
      <c r="F371" s="1160">
        <f>3.14*3.23</f>
        <v>10.142200000000001</v>
      </c>
      <c r="G371" s="1160">
        <v>0.46</v>
      </c>
      <c r="H371" s="1160">
        <v>0.3</v>
      </c>
      <c r="I371" s="399">
        <f t="shared" si="36"/>
        <v>1.4</v>
      </c>
      <c r="J371" s="560"/>
      <c r="K371" s="536"/>
      <c r="L371" s="383"/>
      <c r="M371" s="383"/>
      <c r="N371" s="383"/>
      <c r="O371" s="383"/>
      <c r="P371" s="383"/>
    </row>
    <row r="372" spans="1:16" s="384" customFormat="1" ht="17.25" outlineLevel="1">
      <c r="A372" s="559"/>
      <c r="B372" s="312"/>
      <c r="C372" s="313" t="s">
        <v>2</v>
      </c>
      <c r="D372" s="323">
        <f>1</f>
        <v>1</v>
      </c>
      <c r="E372" s="323">
        <v>1</v>
      </c>
      <c r="F372" s="1160">
        <f t="shared" ref="F372:F385" si="41">3.14*3.23</f>
        <v>10.142200000000001</v>
      </c>
      <c r="G372" s="1160">
        <v>0.34499999999999997</v>
      </c>
      <c r="H372" s="1160">
        <v>0.3</v>
      </c>
      <c r="I372" s="399">
        <f t="shared" si="36"/>
        <v>1.05</v>
      </c>
      <c r="J372" s="560"/>
      <c r="K372" s="536"/>
      <c r="L372" s="383"/>
      <c r="M372" s="383"/>
      <c r="N372" s="383"/>
      <c r="O372" s="383"/>
      <c r="P372" s="383"/>
    </row>
    <row r="373" spans="1:16" s="384" customFormat="1" ht="17.25" outlineLevel="1">
      <c r="A373" s="559"/>
      <c r="B373" s="312"/>
      <c r="C373" s="313" t="s">
        <v>2</v>
      </c>
      <c r="D373" s="323">
        <f>1</f>
        <v>1</v>
      </c>
      <c r="E373" s="323">
        <v>1</v>
      </c>
      <c r="F373" s="1160">
        <f t="shared" si="41"/>
        <v>10.142200000000001</v>
      </c>
      <c r="G373" s="1160">
        <v>0.23</v>
      </c>
      <c r="H373" s="1160">
        <f>1.2-0.15-0.3-0.3-0.06-0.2</f>
        <v>0.19</v>
      </c>
      <c r="I373" s="399">
        <f t="shared" si="36"/>
        <v>0.44</v>
      </c>
      <c r="J373" s="560"/>
      <c r="K373" s="536"/>
      <c r="L373" s="383"/>
      <c r="M373" s="383"/>
      <c r="N373" s="383"/>
      <c r="O373" s="383"/>
      <c r="P373" s="383"/>
    </row>
    <row r="374" spans="1:16" s="384" customFormat="1" ht="17.25" outlineLevel="1">
      <c r="A374" s="559"/>
      <c r="B374" s="312"/>
      <c r="C374" s="313" t="s">
        <v>2</v>
      </c>
      <c r="D374" s="323"/>
      <c r="E374" s="323"/>
      <c r="F374" s="1160"/>
      <c r="G374" s="1160"/>
      <c r="H374" s="1160"/>
      <c r="I374" s="399" t="str">
        <f t="shared" si="36"/>
        <v/>
      </c>
      <c r="J374" s="560"/>
      <c r="K374" s="536"/>
      <c r="L374" s="383"/>
      <c r="M374" s="383"/>
      <c r="N374" s="383"/>
      <c r="O374" s="383"/>
      <c r="P374" s="383"/>
    </row>
    <row r="375" spans="1:16" s="384" customFormat="1" ht="17.25" outlineLevel="1">
      <c r="A375" s="559"/>
      <c r="B375" s="312" t="s">
        <v>750</v>
      </c>
      <c r="C375" s="313" t="s">
        <v>2</v>
      </c>
      <c r="D375" s="323">
        <v>1</v>
      </c>
      <c r="E375" s="323">
        <v>1</v>
      </c>
      <c r="F375" s="1160">
        <f t="shared" si="41"/>
        <v>10.142200000000001</v>
      </c>
      <c r="G375" s="1160">
        <v>0.46</v>
      </c>
      <c r="H375" s="1160">
        <v>0.3</v>
      </c>
      <c r="I375" s="399">
        <f t="shared" si="36"/>
        <v>1.4</v>
      </c>
      <c r="J375" s="560"/>
      <c r="K375" s="536"/>
      <c r="L375" s="383"/>
      <c r="M375" s="383"/>
      <c r="N375" s="383"/>
      <c r="O375" s="383"/>
      <c r="P375" s="383"/>
    </row>
    <row r="376" spans="1:16" s="384" customFormat="1" ht="17.25" outlineLevel="1">
      <c r="A376" s="559"/>
      <c r="B376" s="312"/>
      <c r="C376" s="313" t="s">
        <v>2</v>
      </c>
      <c r="D376" s="323">
        <v>1</v>
      </c>
      <c r="E376" s="323">
        <v>1</v>
      </c>
      <c r="F376" s="1160">
        <f t="shared" si="41"/>
        <v>10.142200000000001</v>
      </c>
      <c r="G376" s="1160">
        <v>0.34499999999999997</v>
      </c>
      <c r="H376" s="1160">
        <v>0.3</v>
      </c>
      <c r="I376" s="399">
        <f t="shared" si="36"/>
        <v>1.05</v>
      </c>
      <c r="J376" s="560"/>
      <c r="K376" s="536"/>
      <c r="L376" s="383"/>
      <c r="M376" s="383"/>
      <c r="N376" s="383"/>
      <c r="O376" s="383"/>
      <c r="P376" s="383"/>
    </row>
    <row r="377" spans="1:16" s="384" customFormat="1" ht="17.25" outlineLevel="1">
      <c r="A377" s="559"/>
      <c r="B377" s="312"/>
      <c r="C377" s="313" t="s">
        <v>2</v>
      </c>
      <c r="D377" s="323">
        <v>1</v>
      </c>
      <c r="E377" s="323">
        <v>1</v>
      </c>
      <c r="F377" s="1160">
        <f t="shared" si="41"/>
        <v>10.142200000000001</v>
      </c>
      <c r="G377" s="1160">
        <v>0.23</v>
      </c>
      <c r="H377" s="1160">
        <f>1.2-0.15-0.3-0.3-0.06-0.2</f>
        <v>0.19</v>
      </c>
      <c r="I377" s="399">
        <f t="shared" si="36"/>
        <v>0.44</v>
      </c>
      <c r="J377" s="560"/>
      <c r="K377" s="536"/>
      <c r="L377" s="383"/>
      <c r="M377" s="383"/>
      <c r="N377" s="383"/>
      <c r="O377" s="383"/>
      <c r="P377" s="383"/>
    </row>
    <row r="378" spans="1:16" s="384" customFormat="1" ht="17.25" outlineLevel="1">
      <c r="A378" s="559"/>
      <c r="B378" s="312"/>
      <c r="C378" s="313" t="s">
        <v>2</v>
      </c>
      <c r="D378" s="323"/>
      <c r="E378" s="323"/>
      <c r="F378" s="1160"/>
      <c r="G378" s="1160"/>
      <c r="H378" s="1160"/>
      <c r="I378" s="399" t="str">
        <f t="shared" si="36"/>
        <v/>
      </c>
      <c r="J378" s="560"/>
      <c r="K378" s="536"/>
      <c r="L378" s="383"/>
      <c r="M378" s="383"/>
      <c r="N378" s="383"/>
      <c r="O378" s="383"/>
      <c r="P378" s="383"/>
    </row>
    <row r="379" spans="1:16" s="384" customFormat="1" ht="17.25" outlineLevel="1">
      <c r="A379" s="559"/>
      <c r="B379" s="312" t="s">
        <v>751</v>
      </c>
      <c r="C379" s="313" t="s">
        <v>2</v>
      </c>
      <c r="D379" s="323">
        <v>1</v>
      </c>
      <c r="E379" s="323">
        <v>1</v>
      </c>
      <c r="F379" s="1160">
        <f t="shared" si="41"/>
        <v>10.142200000000001</v>
      </c>
      <c r="G379" s="1160">
        <v>0.46</v>
      </c>
      <c r="H379" s="1160">
        <v>0.3</v>
      </c>
      <c r="I379" s="399">
        <f t="shared" si="36"/>
        <v>1.4</v>
      </c>
      <c r="J379" s="560"/>
      <c r="K379" s="536"/>
      <c r="L379" s="383"/>
      <c r="M379" s="383"/>
      <c r="N379" s="383"/>
      <c r="O379" s="383"/>
      <c r="P379" s="383"/>
    </row>
    <row r="380" spans="1:16" s="384" customFormat="1" ht="17.25" outlineLevel="1">
      <c r="A380" s="559"/>
      <c r="B380" s="312"/>
      <c r="C380" s="313" t="s">
        <v>2</v>
      </c>
      <c r="D380" s="323">
        <v>1</v>
      </c>
      <c r="E380" s="323">
        <v>1</v>
      </c>
      <c r="F380" s="1160">
        <f t="shared" si="41"/>
        <v>10.142200000000001</v>
      </c>
      <c r="G380" s="1160">
        <v>0.34499999999999997</v>
      </c>
      <c r="H380" s="1160">
        <v>0.3</v>
      </c>
      <c r="I380" s="399">
        <f t="shared" si="36"/>
        <v>1.05</v>
      </c>
      <c r="J380" s="560"/>
      <c r="K380" s="536"/>
      <c r="L380" s="383"/>
      <c r="M380" s="383"/>
      <c r="N380" s="383"/>
      <c r="O380" s="383"/>
      <c r="P380" s="383"/>
    </row>
    <row r="381" spans="1:16" s="384" customFormat="1" ht="17.25" outlineLevel="1">
      <c r="A381" s="559"/>
      <c r="B381" s="312"/>
      <c r="C381" s="313" t="s">
        <v>2</v>
      </c>
      <c r="D381" s="323">
        <v>1</v>
      </c>
      <c r="E381" s="323">
        <v>1</v>
      </c>
      <c r="F381" s="1160">
        <f t="shared" si="41"/>
        <v>10.142200000000001</v>
      </c>
      <c r="G381" s="1160">
        <v>0.23</v>
      </c>
      <c r="H381" s="1160">
        <f>1.2-0.15-0.3-0.3-0.06-0.2</f>
        <v>0.19</v>
      </c>
      <c r="I381" s="399">
        <f t="shared" si="36"/>
        <v>0.44</v>
      </c>
      <c r="J381" s="560"/>
      <c r="K381" s="536"/>
      <c r="L381" s="383"/>
      <c r="M381" s="383"/>
      <c r="N381" s="383"/>
      <c r="O381" s="383"/>
      <c r="P381" s="383"/>
    </row>
    <row r="382" spans="1:16" s="384" customFormat="1" ht="17.25" outlineLevel="1">
      <c r="A382" s="559"/>
      <c r="B382" s="312"/>
      <c r="C382" s="313" t="s">
        <v>2</v>
      </c>
      <c r="D382" s="323"/>
      <c r="E382" s="323"/>
      <c r="F382" s="1160"/>
      <c r="G382" s="1160"/>
      <c r="H382" s="1160"/>
      <c r="I382" s="399" t="str">
        <f t="shared" si="36"/>
        <v/>
      </c>
      <c r="J382" s="560"/>
      <c r="K382" s="536"/>
      <c r="L382" s="383"/>
      <c r="M382" s="383"/>
      <c r="N382" s="383"/>
      <c r="O382" s="383"/>
      <c r="P382" s="383"/>
    </row>
    <row r="383" spans="1:16" s="384" customFormat="1" ht="17.25" outlineLevel="1">
      <c r="A383" s="559"/>
      <c r="B383" s="312" t="s">
        <v>752</v>
      </c>
      <c r="C383" s="313" t="s">
        <v>2</v>
      </c>
      <c r="D383" s="323">
        <v>1</v>
      </c>
      <c r="E383" s="323">
        <v>1</v>
      </c>
      <c r="F383" s="1160">
        <f t="shared" si="41"/>
        <v>10.142200000000001</v>
      </c>
      <c r="G383" s="1160">
        <v>0.46</v>
      </c>
      <c r="H383" s="1160">
        <v>0.3</v>
      </c>
      <c r="I383" s="399">
        <f t="shared" si="36"/>
        <v>1.4</v>
      </c>
      <c r="J383" s="560"/>
      <c r="K383" s="536"/>
      <c r="L383" s="383"/>
      <c r="M383" s="383"/>
      <c r="N383" s="383"/>
      <c r="O383" s="383"/>
      <c r="P383" s="383"/>
    </row>
    <row r="384" spans="1:16" s="384" customFormat="1" ht="17.25" outlineLevel="1">
      <c r="A384" s="559"/>
      <c r="B384" s="312"/>
      <c r="C384" s="313" t="s">
        <v>2</v>
      </c>
      <c r="D384" s="323">
        <v>1</v>
      </c>
      <c r="E384" s="323">
        <v>1</v>
      </c>
      <c r="F384" s="1160">
        <f t="shared" si="41"/>
        <v>10.142200000000001</v>
      </c>
      <c r="G384" s="1160">
        <v>0.34499999999999997</v>
      </c>
      <c r="H384" s="1160">
        <v>0.3</v>
      </c>
      <c r="I384" s="399">
        <f t="shared" si="36"/>
        <v>1.05</v>
      </c>
      <c r="J384" s="560"/>
      <c r="K384" s="536"/>
      <c r="L384" s="383"/>
      <c r="M384" s="383"/>
      <c r="N384" s="383"/>
      <c r="O384" s="383"/>
      <c r="P384" s="383"/>
    </row>
    <row r="385" spans="1:16" s="384" customFormat="1" ht="17.25" outlineLevel="1">
      <c r="A385" s="559"/>
      <c r="B385" s="312"/>
      <c r="C385" s="313" t="s">
        <v>2</v>
      </c>
      <c r="D385" s="323">
        <v>1</v>
      </c>
      <c r="E385" s="323">
        <v>1</v>
      </c>
      <c r="F385" s="1160">
        <f t="shared" si="41"/>
        <v>10.142200000000001</v>
      </c>
      <c r="G385" s="1160">
        <v>0.23</v>
      </c>
      <c r="H385" s="1160">
        <f>1.2-0.15-0.3-0.3-0.06-0.2</f>
        <v>0.19</v>
      </c>
      <c r="I385" s="399">
        <f t="shared" si="36"/>
        <v>0.44</v>
      </c>
      <c r="J385" s="560"/>
      <c r="K385" s="536"/>
      <c r="L385" s="383"/>
      <c r="M385" s="383"/>
      <c r="N385" s="383"/>
      <c r="O385" s="383"/>
      <c r="P385" s="383"/>
    </row>
    <row r="386" spans="1:16" s="377" customFormat="1" ht="17.25" outlineLevel="1">
      <c r="A386" s="550"/>
      <c r="B386" s="551"/>
      <c r="C386" s="528"/>
      <c r="D386" s="552"/>
      <c r="E386" s="553"/>
      <c r="F386" s="1154"/>
      <c r="G386" s="1154"/>
      <c r="H386" s="1154"/>
      <c r="I386" s="399" t="str">
        <f t="shared" si="36"/>
        <v/>
      </c>
      <c r="J386" s="529"/>
      <c r="K386" s="529"/>
      <c r="L386" s="376"/>
      <c r="M386" s="376"/>
      <c r="N386" s="376"/>
      <c r="O386" s="376"/>
      <c r="P386" s="376"/>
    </row>
    <row r="387" spans="1:16" s="377" customFormat="1" ht="34.5" outlineLevel="1">
      <c r="A387" s="555">
        <v>2</v>
      </c>
      <c r="B387" s="547" t="s">
        <v>765</v>
      </c>
      <c r="C387" s="313"/>
      <c r="D387" s="323"/>
      <c r="E387" s="323"/>
      <c r="F387" s="1160"/>
      <c r="G387" s="1160"/>
      <c r="H387" s="1160"/>
      <c r="I387" s="399" t="str">
        <f t="shared" si="36"/>
        <v/>
      </c>
      <c r="J387" s="374"/>
      <c r="K387" s="163"/>
      <c r="L387" s="376"/>
      <c r="M387" s="376"/>
      <c r="N387" s="376"/>
      <c r="O387" s="376"/>
      <c r="P387" s="376"/>
    </row>
    <row r="388" spans="1:16" s="377" customFormat="1" ht="17.25" outlineLevel="1">
      <c r="A388" s="617"/>
      <c r="B388" s="312" t="s">
        <v>1142</v>
      </c>
      <c r="C388" s="313" t="s">
        <v>2</v>
      </c>
      <c r="D388" s="323">
        <v>1</v>
      </c>
      <c r="E388" s="323">
        <v>1</v>
      </c>
      <c r="F388" s="1160">
        <v>4.5309999999999997</v>
      </c>
      <c r="G388" s="1160">
        <v>0.46</v>
      </c>
      <c r="H388" s="1160">
        <v>0.3</v>
      </c>
      <c r="I388" s="399">
        <f t="shared" si="36"/>
        <v>0.63</v>
      </c>
      <c r="J388" s="374"/>
      <c r="K388" s="163"/>
      <c r="L388" s="376"/>
      <c r="M388" s="376"/>
      <c r="N388" s="376"/>
      <c r="O388" s="376"/>
      <c r="P388" s="376"/>
    </row>
    <row r="389" spans="1:16" s="377" customFormat="1" ht="17.25" outlineLevel="1">
      <c r="A389" s="617"/>
      <c r="B389" s="312"/>
      <c r="C389" s="313" t="s">
        <v>2</v>
      </c>
      <c r="D389" s="323">
        <v>1</v>
      </c>
      <c r="E389" s="323">
        <v>1</v>
      </c>
      <c r="F389" s="1160">
        <v>4.5309999999999997</v>
      </c>
      <c r="G389" s="1160">
        <v>0.34499999999999997</v>
      </c>
      <c r="H389" s="1160">
        <v>0.3</v>
      </c>
      <c r="I389" s="399">
        <f t="shared" si="36"/>
        <v>0.47</v>
      </c>
      <c r="J389" s="374"/>
      <c r="K389" s="163"/>
      <c r="L389" s="376"/>
      <c r="M389" s="376"/>
      <c r="N389" s="376"/>
      <c r="O389" s="376"/>
      <c r="P389" s="376"/>
    </row>
    <row r="390" spans="1:16" s="377" customFormat="1" ht="17.25" outlineLevel="1">
      <c r="A390" s="617"/>
      <c r="B390" s="312"/>
      <c r="C390" s="313" t="s">
        <v>2</v>
      </c>
      <c r="D390" s="323">
        <v>1</v>
      </c>
      <c r="E390" s="323">
        <v>1</v>
      </c>
      <c r="F390" s="1160">
        <v>4.5309999999999997</v>
      </c>
      <c r="G390" s="1160">
        <v>0.23</v>
      </c>
      <c r="H390" s="1160">
        <f>1.2+0.4-0.15-0.3-0.3-0.06-0.2</f>
        <v>0.59000000000000008</v>
      </c>
      <c r="I390" s="399">
        <f t="shared" ref="I390:I453" si="42">IF(D390&lt;&gt;0,ROUND(PRODUCT(E390:H390)*D390,2),"")</f>
        <v>0.61</v>
      </c>
      <c r="J390" s="374"/>
      <c r="K390" s="163"/>
      <c r="L390" s="376"/>
      <c r="M390" s="376"/>
      <c r="N390" s="376"/>
      <c r="O390" s="376"/>
      <c r="P390" s="376"/>
    </row>
    <row r="391" spans="1:16" s="377" customFormat="1" ht="17.25" outlineLevel="1">
      <c r="A391" s="617"/>
      <c r="B391" s="312"/>
      <c r="C391" s="313"/>
      <c r="D391" s="323"/>
      <c r="E391" s="323"/>
      <c r="F391" s="1160"/>
      <c r="G391" s="1160"/>
      <c r="H391" s="1160"/>
      <c r="I391" s="399" t="str">
        <f t="shared" si="42"/>
        <v/>
      </c>
      <c r="J391" s="374"/>
      <c r="K391" s="163"/>
      <c r="L391" s="376"/>
      <c r="M391" s="376"/>
      <c r="N391" s="376"/>
      <c r="O391" s="376"/>
      <c r="P391" s="376"/>
    </row>
    <row r="392" spans="1:16" s="377" customFormat="1" ht="17.25" outlineLevel="1">
      <c r="A392" s="617"/>
      <c r="B392" s="312" t="s">
        <v>1127</v>
      </c>
      <c r="C392" s="313" t="s">
        <v>2</v>
      </c>
      <c r="D392" s="323">
        <v>1</v>
      </c>
      <c r="E392" s="323">
        <v>1</v>
      </c>
      <c r="F392" s="1158">
        <v>5.2839999999999998</v>
      </c>
      <c r="G392" s="1160">
        <v>0.46</v>
      </c>
      <c r="H392" s="1160">
        <v>0.3</v>
      </c>
      <c r="I392" s="399">
        <f t="shared" si="42"/>
        <v>0.73</v>
      </c>
      <c r="J392" s="374"/>
      <c r="K392" s="163"/>
      <c r="L392" s="376"/>
      <c r="M392" s="376"/>
      <c r="N392" s="376"/>
      <c r="O392" s="376"/>
      <c r="P392" s="376"/>
    </row>
    <row r="393" spans="1:16" s="377" customFormat="1" ht="17.25" outlineLevel="1">
      <c r="A393" s="617"/>
      <c r="B393" s="312"/>
      <c r="C393" s="313" t="s">
        <v>2</v>
      </c>
      <c r="D393" s="323">
        <v>1</v>
      </c>
      <c r="E393" s="323">
        <v>1</v>
      </c>
      <c r="F393" s="1158">
        <v>5.2839999999999998</v>
      </c>
      <c r="G393" s="1160">
        <v>0.34499999999999997</v>
      </c>
      <c r="H393" s="1160">
        <v>0.3</v>
      </c>
      <c r="I393" s="399">
        <f t="shared" si="42"/>
        <v>0.55000000000000004</v>
      </c>
      <c r="J393" s="374"/>
      <c r="K393" s="163"/>
      <c r="L393" s="376"/>
      <c r="M393" s="376"/>
      <c r="N393" s="376"/>
      <c r="O393" s="376"/>
      <c r="P393" s="376"/>
    </row>
    <row r="394" spans="1:16" s="377" customFormat="1" ht="17.25" outlineLevel="1">
      <c r="A394" s="617"/>
      <c r="B394" s="312"/>
      <c r="C394" s="313" t="s">
        <v>2</v>
      </c>
      <c r="D394" s="323">
        <v>1</v>
      </c>
      <c r="E394" s="323">
        <v>1</v>
      </c>
      <c r="F394" s="1158">
        <v>5.2839999999999998</v>
      </c>
      <c r="G394" s="1160">
        <v>0.23</v>
      </c>
      <c r="H394" s="1160">
        <f>1.2+0.4-0.15-0.3-0.3-0.06-0.2</f>
        <v>0.59000000000000008</v>
      </c>
      <c r="I394" s="399">
        <f t="shared" si="42"/>
        <v>0.72</v>
      </c>
      <c r="J394" s="374"/>
      <c r="K394" s="163"/>
      <c r="L394" s="376"/>
      <c r="M394" s="376"/>
      <c r="N394" s="376"/>
      <c r="O394" s="376"/>
      <c r="P394" s="376"/>
    </row>
    <row r="395" spans="1:16" s="377" customFormat="1" ht="17.25" outlineLevel="1">
      <c r="A395" s="617"/>
      <c r="B395" s="312"/>
      <c r="C395" s="313"/>
      <c r="D395" s="323"/>
      <c r="E395" s="323"/>
      <c r="F395" s="1160"/>
      <c r="G395" s="1160"/>
      <c r="H395" s="1160"/>
      <c r="I395" s="399" t="str">
        <f t="shared" si="42"/>
        <v/>
      </c>
      <c r="J395" s="374"/>
      <c r="K395" s="163"/>
      <c r="L395" s="376"/>
      <c r="M395" s="376"/>
      <c r="N395" s="376"/>
      <c r="O395" s="376"/>
      <c r="P395" s="376"/>
    </row>
    <row r="396" spans="1:16" s="377" customFormat="1" ht="17.25" outlineLevel="1">
      <c r="A396" s="617"/>
      <c r="B396" s="312" t="s">
        <v>1128</v>
      </c>
      <c r="C396" s="313" t="s">
        <v>2</v>
      </c>
      <c r="D396" s="323">
        <v>1</v>
      </c>
      <c r="E396" s="323">
        <v>1</v>
      </c>
      <c r="F396" s="1160">
        <v>3.1429999999999998</v>
      </c>
      <c r="G396" s="1160">
        <v>0.46</v>
      </c>
      <c r="H396" s="1160">
        <v>0.3</v>
      </c>
      <c r="I396" s="399">
        <f t="shared" si="42"/>
        <v>0.43</v>
      </c>
      <c r="J396" s="374"/>
      <c r="K396" s="163"/>
      <c r="L396" s="376"/>
      <c r="M396" s="376"/>
      <c r="N396" s="376"/>
      <c r="O396" s="376"/>
      <c r="P396" s="376"/>
    </row>
    <row r="397" spans="1:16" s="377" customFormat="1" ht="17.25" outlineLevel="1">
      <c r="A397" s="617"/>
      <c r="B397" s="312"/>
      <c r="C397" s="313" t="s">
        <v>2</v>
      </c>
      <c r="D397" s="323">
        <v>1</v>
      </c>
      <c r="E397" s="323">
        <v>1</v>
      </c>
      <c r="F397" s="1160">
        <v>3.1429999999999998</v>
      </c>
      <c r="G397" s="1160">
        <v>0.34499999999999997</v>
      </c>
      <c r="H397" s="1160">
        <v>0.3</v>
      </c>
      <c r="I397" s="399">
        <f t="shared" si="42"/>
        <v>0.33</v>
      </c>
      <c r="J397" s="374"/>
      <c r="K397" s="163"/>
      <c r="L397" s="376"/>
      <c r="M397" s="376"/>
      <c r="N397" s="376"/>
      <c r="O397" s="376"/>
      <c r="P397" s="376"/>
    </row>
    <row r="398" spans="1:16" s="377" customFormat="1" ht="17.25" outlineLevel="1">
      <c r="A398" s="617"/>
      <c r="B398" s="312"/>
      <c r="C398" s="313" t="s">
        <v>2</v>
      </c>
      <c r="D398" s="323">
        <v>1</v>
      </c>
      <c r="E398" s="323">
        <v>1</v>
      </c>
      <c r="F398" s="1160">
        <v>3.1429999999999998</v>
      </c>
      <c r="G398" s="1160">
        <v>0.23</v>
      </c>
      <c r="H398" s="1160">
        <f>1.2+0.4-0.15-0.3-0.3-0.06-0.2</f>
        <v>0.59000000000000008</v>
      </c>
      <c r="I398" s="399">
        <f t="shared" si="42"/>
        <v>0.43</v>
      </c>
      <c r="J398" s="374"/>
      <c r="K398" s="163"/>
      <c r="L398" s="376"/>
      <c r="M398" s="376"/>
      <c r="N398" s="376"/>
      <c r="O398" s="376"/>
      <c r="P398" s="376"/>
    </row>
    <row r="399" spans="1:16" s="377" customFormat="1" ht="17.25" outlineLevel="1">
      <c r="A399" s="617"/>
      <c r="B399" s="312"/>
      <c r="C399" s="313"/>
      <c r="D399" s="323"/>
      <c r="E399" s="323"/>
      <c r="F399" s="1160"/>
      <c r="G399" s="1160"/>
      <c r="H399" s="1160"/>
      <c r="I399" s="399" t="str">
        <f t="shared" si="42"/>
        <v/>
      </c>
      <c r="J399" s="374"/>
      <c r="K399" s="163"/>
      <c r="L399" s="376"/>
      <c r="M399" s="376"/>
      <c r="N399" s="376"/>
      <c r="O399" s="376"/>
      <c r="P399" s="376"/>
    </row>
    <row r="400" spans="1:16" s="377" customFormat="1" ht="17.25" outlineLevel="1">
      <c r="A400" s="617"/>
      <c r="B400" s="312" t="s">
        <v>1128</v>
      </c>
      <c r="C400" s="313" t="s">
        <v>2</v>
      </c>
      <c r="D400" s="323">
        <v>1</v>
      </c>
      <c r="E400" s="323">
        <v>1</v>
      </c>
      <c r="F400" s="1160">
        <v>3.121</v>
      </c>
      <c r="G400" s="1160">
        <v>0.46</v>
      </c>
      <c r="H400" s="1160">
        <v>0.3</v>
      </c>
      <c r="I400" s="399">
        <f t="shared" si="42"/>
        <v>0.43</v>
      </c>
      <c r="J400" s="374"/>
      <c r="K400" s="163"/>
      <c r="L400" s="376"/>
      <c r="M400" s="376"/>
      <c r="N400" s="376"/>
      <c r="O400" s="376"/>
      <c r="P400" s="376"/>
    </row>
    <row r="401" spans="1:16" s="377" customFormat="1" ht="17.25" outlineLevel="1">
      <c r="A401" s="617"/>
      <c r="B401" s="312"/>
      <c r="C401" s="313" t="s">
        <v>2</v>
      </c>
      <c r="D401" s="323">
        <v>1</v>
      </c>
      <c r="E401" s="323">
        <v>1</v>
      </c>
      <c r="F401" s="1160">
        <v>3.121</v>
      </c>
      <c r="G401" s="1160">
        <v>0.34499999999999997</v>
      </c>
      <c r="H401" s="1160">
        <v>0.3</v>
      </c>
      <c r="I401" s="399">
        <f t="shared" si="42"/>
        <v>0.32</v>
      </c>
      <c r="J401" s="374"/>
      <c r="K401" s="163"/>
      <c r="L401" s="376"/>
      <c r="M401" s="376"/>
      <c r="N401" s="376"/>
      <c r="O401" s="376"/>
      <c r="P401" s="376"/>
    </row>
    <row r="402" spans="1:16" s="377" customFormat="1" ht="17.25" outlineLevel="1">
      <c r="A402" s="617"/>
      <c r="B402" s="312"/>
      <c r="C402" s="313" t="s">
        <v>2</v>
      </c>
      <c r="D402" s="323">
        <v>1</v>
      </c>
      <c r="E402" s="323">
        <v>1</v>
      </c>
      <c r="F402" s="1160">
        <v>3.121</v>
      </c>
      <c r="G402" s="1160">
        <v>0.23</v>
      </c>
      <c r="H402" s="1160">
        <f>1.2+0.4-0.15-0.3-0.3-0.06-0.2</f>
        <v>0.59000000000000008</v>
      </c>
      <c r="I402" s="399">
        <f t="shared" si="42"/>
        <v>0.42</v>
      </c>
      <c r="J402" s="374"/>
      <c r="K402" s="163"/>
      <c r="L402" s="376"/>
      <c r="M402" s="376"/>
      <c r="N402" s="376"/>
      <c r="O402" s="376"/>
      <c r="P402" s="376"/>
    </row>
    <row r="403" spans="1:16" s="377" customFormat="1" ht="17.25" outlineLevel="1">
      <c r="A403" s="617"/>
      <c r="B403" s="312"/>
      <c r="C403" s="313"/>
      <c r="D403" s="323"/>
      <c r="E403" s="323"/>
      <c r="F403" s="1160"/>
      <c r="G403" s="1160"/>
      <c r="H403" s="1160"/>
      <c r="I403" s="399" t="str">
        <f t="shared" si="42"/>
        <v/>
      </c>
      <c r="J403" s="374"/>
      <c r="K403" s="163"/>
      <c r="L403" s="376"/>
      <c r="M403" s="376"/>
      <c r="N403" s="376"/>
      <c r="O403" s="376"/>
      <c r="P403" s="376"/>
    </row>
    <row r="404" spans="1:16" s="377" customFormat="1" ht="17.25" outlineLevel="1">
      <c r="A404" s="555">
        <v>3</v>
      </c>
      <c r="B404" s="531" t="s">
        <v>1166</v>
      </c>
      <c r="C404" s="165"/>
      <c r="D404" s="548"/>
      <c r="E404" s="307"/>
      <c r="F404" s="401"/>
      <c r="G404" s="401"/>
      <c r="H404" s="401"/>
      <c r="I404" s="399" t="str">
        <f t="shared" si="42"/>
        <v/>
      </c>
      <c r="J404" s="394"/>
      <c r="K404" s="394"/>
      <c r="L404" s="376"/>
      <c r="M404" s="376"/>
      <c r="N404" s="376"/>
      <c r="O404" s="376"/>
      <c r="P404" s="376"/>
    </row>
    <row r="405" spans="1:16" s="377" customFormat="1" ht="17.25" outlineLevel="1">
      <c r="A405" s="414"/>
      <c r="B405" s="425" t="s">
        <v>1166</v>
      </c>
      <c r="C405" s="313" t="s">
        <v>2</v>
      </c>
      <c r="D405" s="323">
        <v>1</v>
      </c>
      <c r="E405" s="323">
        <v>1</v>
      </c>
      <c r="F405" s="401">
        <f>3.412+3.463+1.882+2.969+1.394+1.929+3.449+1.411+1.576+1.063+4.808+0.979</f>
        <v>28.334999999999997</v>
      </c>
      <c r="G405" s="401">
        <v>0.83899999999999997</v>
      </c>
      <c r="H405" s="401">
        <v>0.6</v>
      </c>
      <c r="I405" s="399">
        <f t="shared" si="42"/>
        <v>14.26</v>
      </c>
      <c r="J405" s="394"/>
      <c r="K405" s="394"/>
      <c r="L405" s="376"/>
      <c r="M405" s="376"/>
      <c r="N405" s="376"/>
      <c r="O405" s="376"/>
      <c r="P405" s="376"/>
    </row>
    <row r="406" spans="1:16" s="377" customFormat="1" ht="34.5" outlineLevel="1">
      <c r="A406" s="414"/>
      <c r="B406" s="425" t="s">
        <v>1167</v>
      </c>
      <c r="C406" s="313" t="s">
        <v>2</v>
      </c>
      <c r="D406" s="323">
        <v>1</v>
      </c>
      <c r="E406" s="323">
        <v>1</v>
      </c>
      <c r="F406" s="401">
        <v>1.353</v>
      </c>
      <c r="G406" s="401">
        <v>0.30499999999999999</v>
      </c>
      <c r="H406" s="401">
        <v>0.4</v>
      </c>
      <c r="I406" s="399">
        <f t="shared" si="42"/>
        <v>0.17</v>
      </c>
      <c r="J406" s="394"/>
      <c r="K406" s="394"/>
      <c r="L406" s="376"/>
      <c r="M406" s="376"/>
      <c r="N406" s="376"/>
      <c r="O406" s="376"/>
      <c r="P406" s="376"/>
    </row>
    <row r="407" spans="1:16" s="377" customFormat="1" ht="17.25" outlineLevel="1">
      <c r="A407" s="414"/>
      <c r="B407" s="425"/>
      <c r="C407" s="313" t="s">
        <v>2</v>
      </c>
      <c r="D407" s="323">
        <v>1</v>
      </c>
      <c r="E407" s="323">
        <v>1</v>
      </c>
      <c r="F407" s="401">
        <v>1.353</v>
      </c>
      <c r="G407" s="401">
        <v>0.30399999999999999</v>
      </c>
      <c r="H407" s="401">
        <v>0.55000000000000004</v>
      </c>
      <c r="I407" s="399">
        <f t="shared" si="42"/>
        <v>0.23</v>
      </c>
      <c r="J407" s="394"/>
      <c r="K407" s="394"/>
      <c r="L407" s="376"/>
      <c r="M407" s="376"/>
      <c r="N407" s="376"/>
      <c r="O407" s="376"/>
      <c r="P407" s="376"/>
    </row>
    <row r="408" spans="1:16" s="377" customFormat="1" ht="17.25" outlineLevel="1">
      <c r="A408" s="414"/>
      <c r="B408" s="425"/>
      <c r="C408" s="313" t="s">
        <v>2</v>
      </c>
      <c r="D408" s="323">
        <v>1</v>
      </c>
      <c r="E408" s="323">
        <v>1</v>
      </c>
      <c r="F408" s="401">
        <v>1.353</v>
      </c>
      <c r="G408" s="401">
        <v>0.23</v>
      </c>
      <c r="H408" s="401">
        <v>0.05</v>
      </c>
      <c r="I408" s="399">
        <f t="shared" si="42"/>
        <v>0.02</v>
      </c>
      <c r="J408" s="394"/>
      <c r="K408" s="394"/>
      <c r="L408" s="376"/>
      <c r="M408" s="376"/>
      <c r="N408" s="376"/>
      <c r="O408" s="376"/>
      <c r="P408" s="376"/>
    </row>
    <row r="409" spans="1:16" s="377" customFormat="1" ht="34.5" outlineLevel="1">
      <c r="A409" s="414"/>
      <c r="B409" s="425" t="s">
        <v>1167</v>
      </c>
      <c r="C409" s="313" t="s">
        <v>2</v>
      </c>
      <c r="D409" s="323">
        <v>1</v>
      </c>
      <c r="E409" s="323">
        <v>1</v>
      </c>
      <c r="F409" s="401">
        <v>4.4589999999999996</v>
      </c>
      <c r="G409" s="401">
        <v>0.30499999999999999</v>
      </c>
      <c r="H409" s="401">
        <v>0.4</v>
      </c>
      <c r="I409" s="399">
        <f t="shared" si="42"/>
        <v>0.54</v>
      </c>
      <c r="J409" s="394"/>
      <c r="K409" s="394"/>
      <c r="L409" s="376"/>
      <c r="M409" s="376"/>
      <c r="N409" s="376"/>
      <c r="O409" s="376"/>
      <c r="P409" s="376"/>
    </row>
    <row r="410" spans="1:16" s="377" customFormat="1" ht="17.25" outlineLevel="1">
      <c r="A410" s="414"/>
      <c r="B410" s="425"/>
      <c r="C410" s="313" t="s">
        <v>2</v>
      </c>
      <c r="D410" s="323">
        <v>1</v>
      </c>
      <c r="E410" s="323">
        <v>1</v>
      </c>
      <c r="F410" s="401">
        <v>4.4589999999999996</v>
      </c>
      <c r="G410" s="401">
        <v>0.30399999999999999</v>
      </c>
      <c r="H410" s="401">
        <v>0.55000000000000004</v>
      </c>
      <c r="I410" s="399">
        <f t="shared" si="42"/>
        <v>0.75</v>
      </c>
      <c r="J410" s="394"/>
      <c r="K410" s="394"/>
      <c r="L410" s="376"/>
      <c r="M410" s="376"/>
      <c r="N410" s="376"/>
      <c r="O410" s="376"/>
      <c r="P410" s="376"/>
    </row>
    <row r="411" spans="1:16" s="377" customFormat="1" ht="17.25" outlineLevel="1">
      <c r="A411" s="414"/>
      <c r="B411" s="425"/>
      <c r="C411" s="313" t="s">
        <v>2</v>
      </c>
      <c r="D411" s="323">
        <v>1</v>
      </c>
      <c r="E411" s="323">
        <v>1</v>
      </c>
      <c r="F411" s="401">
        <v>4.4589999999999996</v>
      </c>
      <c r="G411" s="401">
        <v>0.23</v>
      </c>
      <c r="H411" s="401">
        <v>0.05</v>
      </c>
      <c r="I411" s="399">
        <f t="shared" si="42"/>
        <v>0.05</v>
      </c>
      <c r="J411" s="394"/>
      <c r="K411" s="394"/>
      <c r="L411" s="376"/>
      <c r="M411" s="376"/>
      <c r="N411" s="376"/>
      <c r="O411" s="376"/>
      <c r="P411" s="376"/>
    </row>
    <row r="412" spans="1:16" s="377" customFormat="1" ht="17.25" outlineLevel="1">
      <c r="A412" s="414"/>
      <c r="B412" s="425"/>
      <c r="C412" s="313"/>
      <c r="D412" s="323"/>
      <c r="E412" s="298"/>
      <c r="F412" s="401"/>
      <c r="G412" s="401"/>
      <c r="H412" s="401"/>
      <c r="I412" s="399" t="str">
        <f t="shared" si="42"/>
        <v/>
      </c>
      <c r="J412" s="394"/>
      <c r="K412" s="394"/>
      <c r="L412" s="376"/>
      <c r="M412" s="376"/>
      <c r="N412" s="376"/>
      <c r="O412" s="376"/>
      <c r="P412" s="376"/>
    </row>
    <row r="413" spans="1:16" s="377" customFormat="1" ht="34.5" outlineLevel="1">
      <c r="A413" s="541"/>
      <c r="B413" s="542" t="s">
        <v>1168</v>
      </c>
      <c r="C413" s="313"/>
      <c r="D413" s="323"/>
      <c r="E413" s="298"/>
      <c r="F413" s="401"/>
      <c r="G413" s="401"/>
      <c r="H413" s="401"/>
      <c r="I413" s="399" t="str">
        <f t="shared" si="42"/>
        <v/>
      </c>
      <c r="J413" s="394"/>
      <c r="K413" s="394"/>
      <c r="L413" s="376"/>
      <c r="M413" s="376"/>
      <c r="N413" s="376"/>
      <c r="O413" s="376"/>
      <c r="P413" s="376"/>
    </row>
    <row r="414" spans="1:16" s="377" customFormat="1" ht="34.5" outlineLevel="1">
      <c r="A414" s="541"/>
      <c r="B414" s="537" t="s">
        <v>1169</v>
      </c>
      <c r="C414" s="313" t="s">
        <v>2</v>
      </c>
      <c r="D414" s="323"/>
      <c r="E414" s="298"/>
      <c r="F414" s="1156"/>
      <c r="G414" s="1156"/>
      <c r="H414" s="1156"/>
      <c r="I414" s="399" t="str">
        <f t="shared" si="42"/>
        <v/>
      </c>
      <c r="J414" s="374"/>
      <c r="K414" s="163"/>
      <c r="L414" s="376"/>
      <c r="M414" s="376"/>
      <c r="N414" s="376"/>
      <c r="O414" s="376"/>
      <c r="P414" s="376"/>
    </row>
    <row r="415" spans="1:16" s="377" customFormat="1" ht="34.5" outlineLevel="1">
      <c r="A415" s="541"/>
      <c r="B415" s="312" t="s">
        <v>1131</v>
      </c>
      <c r="C415" s="313" t="s">
        <v>2</v>
      </c>
      <c r="D415" s="323">
        <v>1</v>
      </c>
      <c r="E415" s="298">
        <v>1</v>
      </c>
      <c r="F415" s="1156">
        <f>3.14*3.23</f>
        <v>10.142200000000001</v>
      </c>
      <c r="G415" s="1156">
        <v>0.46</v>
      </c>
      <c r="H415" s="1156">
        <v>0.3</v>
      </c>
      <c r="I415" s="399">
        <f t="shared" si="42"/>
        <v>1.4</v>
      </c>
      <c r="J415" s="374"/>
      <c r="K415" s="163"/>
      <c r="L415" s="376"/>
      <c r="M415" s="376"/>
      <c r="N415" s="376"/>
      <c r="O415" s="376"/>
      <c r="P415" s="376"/>
    </row>
    <row r="416" spans="1:16" s="377" customFormat="1" ht="17.25" outlineLevel="1">
      <c r="A416" s="541"/>
      <c r="B416" s="312"/>
      <c r="C416" s="313" t="s">
        <v>2</v>
      </c>
      <c r="D416" s="323">
        <v>1</v>
      </c>
      <c r="E416" s="298">
        <v>1</v>
      </c>
      <c r="F416" s="1156">
        <f t="shared" ref="F416:F417" si="43">3.14*3.23</f>
        <v>10.142200000000001</v>
      </c>
      <c r="G416" s="1156">
        <v>0.34499999999999997</v>
      </c>
      <c r="H416" s="1156">
        <v>0.3</v>
      </c>
      <c r="I416" s="399">
        <f t="shared" si="42"/>
        <v>1.05</v>
      </c>
      <c r="J416" s="374"/>
      <c r="K416" s="163"/>
      <c r="L416" s="376"/>
      <c r="M416" s="376"/>
      <c r="N416" s="376"/>
      <c r="O416" s="376"/>
      <c r="P416" s="376"/>
    </row>
    <row r="417" spans="1:16" s="377" customFormat="1" ht="17.25" outlineLevel="1">
      <c r="A417" s="541"/>
      <c r="B417" s="312"/>
      <c r="C417" s="313" t="s">
        <v>2</v>
      </c>
      <c r="D417" s="323">
        <v>1</v>
      </c>
      <c r="E417" s="298">
        <v>1</v>
      </c>
      <c r="F417" s="1156">
        <f t="shared" si="43"/>
        <v>10.142200000000001</v>
      </c>
      <c r="G417" s="1156">
        <v>0.23</v>
      </c>
      <c r="H417" s="1156">
        <f>1.2-0.15-0.3-0.3-0.06-0.2</f>
        <v>0.19</v>
      </c>
      <c r="I417" s="399">
        <f t="shared" si="42"/>
        <v>0.44</v>
      </c>
      <c r="J417" s="374"/>
      <c r="K417" s="163"/>
      <c r="L417" s="376"/>
      <c r="M417" s="376"/>
      <c r="N417" s="376"/>
      <c r="O417" s="376"/>
      <c r="P417" s="376"/>
    </row>
    <row r="418" spans="1:16" s="377" customFormat="1" ht="17.25" outlineLevel="1">
      <c r="A418" s="541"/>
      <c r="B418" s="312"/>
      <c r="C418" s="313" t="s">
        <v>2</v>
      </c>
      <c r="D418" s="323"/>
      <c r="E418" s="298"/>
      <c r="F418" s="1156"/>
      <c r="G418" s="1156"/>
      <c r="H418" s="1156"/>
      <c r="I418" s="399" t="str">
        <f t="shared" si="42"/>
        <v/>
      </c>
      <c r="J418" s="374"/>
      <c r="K418" s="163"/>
      <c r="L418" s="376"/>
      <c r="M418" s="376"/>
      <c r="N418" s="376"/>
      <c r="O418" s="376"/>
      <c r="P418" s="376"/>
    </row>
    <row r="419" spans="1:16" s="377" customFormat="1" ht="17.25" outlineLevel="1">
      <c r="A419" s="541"/>
      <c r="B419" s="312" t="s">
        <v>736</v>
      </c>
      <c r="C419" s="313" t="s">
        <v>2</v>
      </c>
      <c r="D419" s="323">
        <v>1</v>
      </c>
      <c r="E419" s="298">
        <v>1</v>
      </c>
      <c r="F419" s="1156">
        <f>3.14*3.23</f>
        <v>10.142200000000001</v>
      </c>
      <c r="G419" s="1156">
        <v>0.46</v>
      </c>
      <c r="H419" s="1156">
        <v>0.3</v>
      </c>
      <c r="I419" s="399">
        <f t="shared" si="42"/>
        <v>1.4</v>
      </c>
      <c r="J419" s="374"/>
      <c r="K419" s="163"/>
      <c r="L419" s="376"/>
      <c r="M419" s="376"/>
      <c r="N419" s="376"/>
      <c r="O419" s="376"/>
      <c r="P419" s="376"/>
    </row>
    <row r="420" spans="1:16" s="377" customFormat="1" ht="17.25" outlineLevel="1">
      <c r="A420" s="541"/>
      <c r="B420" s="312"/>
      <c r="C420" s="313" t="s">
        <v>2</v>
      </c>
      <c r="D420" s="323">
        <v>1</v>
      </c>
      <c r="E420" s="298">
        <v>1</v>
      </c>
      <c r="F420" s="1156">
        <f t="shared" ref="F420:F421" si="44">3.14*3.23</f>
        <v>10.142200000000001</v>
      </c>
      <c r="G420" s="1156">
        <v>0.34499999999999997</v>
      </c>
      <c r="H420" s="1156">
        <v>0.3</v>
      </c>
      <c r="I420" s="399">
        <f t="shared" si="42"/>
        <v>1.05</v>
      </c>
      <c r="J420" s="374"/>
      <c r="K420" s="163"/>
      <c r="L420" s="376"/>
      <c r="M420" s="376"/>
      <c r="N420" s="376"/>
      <c r="O420" s="376"/>
      <c r="P420" s="376"/>
    </row>
    <row r="421" spans="1:16" s="377" customFormat="1" ht="17.25" outlineLevel="1">
      <c r="A421" s="541"/>
      <c r="B421" s="312"/>
      <c r="C421" s="313" t="s">
        <v>2</v>
      </c>
      <c r="D421" s="323">
        <v>1</v>
      </c>
      <c r="E421" s="298">
        <v>1</v>
      </c>
      <c r="F421" s="1156">
        <f t="shared" si="44"/>
        <v>10.142200000000001</v>
      </c>
      <c r="G421" s="1156">
        <v>0.23</v>
      </c>
      <c r="H421" s="1156">
        <f>1.2-0.15-0.3-0.3-0.06-0.2</f>
        <v>0.19</v>
      </c>
      <c r="I421" s="399">
        <f t="shared" si="42"/>
        <v>0.44</v>
      </c>
      <c r="J421" s="374"/>
      <c r="K421" s="163"/>
      <c r="L421" s="376"/>
      <c r="M421" s="376"/>
      <c r="N421" s="376"/>
      <c r="O421" s="376"/>
      <c r="P421" s="376"/>
    </row>
    <row r="422" spans="1:16" s="377" customFormat="1" ht="17.25" outlineLevel="1">
      <c r="A422" s="541"/>
      <c r="B422" s="312"/>
      <c r="C422" s="313" t="s">
        <v>2</v>
      </c>
      <c r="D422" s="323"/>
      <c r="E422" s="298"/>
      <c r="F422" s="1156"/>
      <c r="G422" s="1156"/>
      <c r="H422" s="1156"/>
      <c r="I422" s="399" t="str">
        <f t="shared" si="42"/>
        <v/>
      </c>
      <c r="J422" s="374"/>
      <c r="K422" s="163"/>
      <c r="L422" s="376"/>
      <c r="M422" s="376"/>
      <c r="N422" s="376"/>
      <c r="O422" s="376"/>
      <c r="P422" s="376"/>
    </row>
    <row r="423" spans="1:16" s="377" customFormat="1" ht="34.5" outlineLevel="1">
      <c r="A423" s="541"/>
      <c r="B423" s="312" t="s">
        <v>1132</v>
      </c>
      <c r="C423" s="313" t="s">
        <v>2</v>
      </c>
      <c r="D423" s="323">
        <v>1</v>
      </c>
      <c r="E423" s="298">
        <v>1</v>
      </c>
      <c r="F423" s="1156">
        <f>3.14*3.93</f>
        <v>12.340200000000001</v>
      </c>
      <c r="G423" s="1156">
        <v>0.46</v>
      </c>
      <c r="H423" s="1156">
        <v>0.3</v>
      </c>
      <c r="I423" s="399">
        <f t="shared" si="42"/>
        <v>1.7</v>
      </c>
      <c r="J423" s="374"/>
      <c r="K423" s="163"/>
      <c r="L423" s="376"/>
      <c r="M423" s="376"/>
      <c r="N423" s="376"/>
      <c r="O423" s="376"/>
      <c r="P423" s="376"/>
    </row>
    <row r="424" spans="1:16" s="377" customFormat="1" ht="17.25" outlineLevel="1">
      <c r="A424" s="541"/>
      <c r="B424" s="312"/>
      <c r="C424" s="313" t="s">
        <v>2</v>
      </c>
      <c r="D424" s="323">
        <v>1</v>
      </c>
      <c r="E424" s="298">
        <v>1</v>
      </c>
      <c r="F424" s="1156">
        <f t="shared" ref="F424:F425" si="45">3.14*3.93</f>
        <v>12.340200000000001</v>
      </c>
      <c r="G424" s="1156">
        <v>0.34499999999999997</v>
      </c>
      <c r="H424" s="1156">
        <v>0.3</v>
      </c>
      <c r="I424" s="399">
        <f t="shared" si="42"/>
        <v>1.28</v>
      </c>
      <c r="J424" s="374"/>
      <c r="K424" s="163"/>
      <c r="L424" s="376"/>
      <c r="M424" s="376"/>
      <c r="N424" s="376"/>
      <c r="O424" s="376"/>
      <c r="P424" s="376"/>
    </row>
    <row r="425" spans="1:16" s="377" customFormat="1" ht="17.25" outlineLevel="1">
      <c r="A425" s="541"/>
      <c r="B425" s="312"/>
      <c r="C425" s="313" t="s">
        <v>2</v>
      </c>
      <c r="D425" s="323">
        <v>1</v>
      </c>
      <c r="E425" s="298">
        <v>1</v>
      </c>
      <c r="F425" s="1156">
        <f t="shared" si="45"/>
        <v>12.340200000000001</v>
      </c>
      <c r="G425" s="1156">
        <v>0.23</v>
      </c>
      <c r="H425" s="1156">
        <f>1.2-0.15-0.3-0.3-0.06-0.2</f>
        <v>0.19</v>
      </c>
      <c r="I425" s="399">
        <f t="shared" si="42"/>
        <v>0.54</v>
      </c>
      <c r="J425" s="374"/>
      <c r="K425" s="163"/>
      <c r="L425" s="376"/>
      <c r="M425" s="376"/>
      <c r="N425" s="376"/>
      <c r="O425" s="376"/>
      <c r="P425" s="376"/>
    </row>
    <row r="426" spans="1:16" s="377" customFormat="1" ht="17.25" outlineLevel="1">
      <c r="A426" s="541"/>
      <c r="B426" s="312"/>
      <c r="C426" s="313" t="s">
        <v>2</v>
      </c>
      <c r="D426" s="323"/>
      <c r="E426" s="298"/>
      <c r="F426" s="1156"/>
      <c r="G426" s="1156"/>
      <c r="H426" s="1156"/>
      <c r="I426" s="399" t="str">
        <f t="shared" si="42"/>
        <v/>
      </c>
      <c r="J426" s="374"/>
      <c r="K426" s="163"/>
      <c r="L426" s="376"/>
      <c r="M426" s="376"/>
      <c r="N426" s="376"/>
      <c r="O426" s="376"/>
      <c r="P426" s="376"/>
    </row>
    <row r="427" spans="1:16" s="377" customFormat="1" ht="17.25" outlineLevel="1">
      <c r="A427" s="541"/>
      <c r="B427" s="312" t="s">
        <v>738</v>
      </c>
      <c r="C427" s="313" t="s">
        <v>2</v>
      </c>
      <c r="D427" s="323">
        <v>1</v>
      </c>
      <c r="E427" s="298">
        <v>1</v>
      </c>
      <c r="F427" s="1156">
        <f>3.14*3.23</f>
        <v>10.142200000000001</v>
      </c>
      <c r="G427" s="1156">
        <v>0.46</v>
      </c>
      <c r="H427" s="1156">
        <v>0.3</v>
      </c>
      <c r="I427" s="399">
        <f t="shared" si="42"/>
        <v>1.4</v>
      </c>
      <c r="J427" s="374"/>
      <c r="K427" s="163"/>
      <c r="L427" s="376"/>
      <c r="M427" s="376"/>
      <c r="N427" s="376"/>
      <c r="O427" s="376"/>
      <c r="P427" s="376"/>
    </row>
    <row r="428" spans="1:16" s="377" customFormat="1" ht="17.25" outlineLevel="1">
      <c r="A428" s="541"/>
      <c r="B428" s="312"/>
      <c r="C428" s="313" t="s">
        <v>2</v>
      </c>
      <c r="D428" s="323">
        <v>1</v>
      </c>
      <c r="E428" s="298">
        <v>1</v>
      </c>
      <c r="F428" s="1156">
        <f t="shared" ref="F428:F429" si="46">3.14*3.23</f>
        <v>10.142200000000001</v>
      </c>
      <c r="G428" s="1156">
        <v>0.34499999999999997</v>
      </c>
      <c r="H428" s="1156">
        <v>0.3</v>
      </c>
      <c r="I428" s="399">
        <f t="shared" si="42"/>
        <v>1.05</v>
      </c>
      <c r="J428" s="374"/>
      <c r="K428" s="163"/>
      <c r="L428" s="376"/>
      <c r="M428" s="376"/>
      <c r="N428" s="376"/>
      <c r="O428" s="376"/>
      <c r="P428" s="376"/>
    </row>
    <row r="429" spans="1:16" s="377" customFormat="1" ht="17.25" outlineLevel="1">
      <c r="A429" s="541"/>
      <c r="B429" s="312"/>
      <c r="C429" s="313" t="s">
        <v>2</v>
      </c>
      <c r="D429" s="323">
        <v>1</v>
      </c>
      <c r="E429" s="298">
        <v>1</v>
      </c>
      <c r="F429" s="1156">
        <f t="shared" si="46"/>
        <v>10.142200000000001</v>
      </c>
      <c r="G429" s="1156">
        <v>0.23</v>
      </c>
      <c r="H429" s="1156">
        <f>1.2-0.15-0.3-0.3-0.06-0.2</f>
        <v>0.19</v>
      </c>
      <c r="I429" s="399">
        <f t="shared" si="42"/>
        <v>0.44</v>
      </c>
      <c r="J429" s="374"/>
      <c r="K429" s="163"/>
      <c r="L429" s="376"/>
      <c r="M429" s="376"/>
      <c r="N429" s="376"/>
      <c r="O429" s="376"/>
      <c r="P429" s="376"/>
    </row>
    <row r="430" spans="1:16" s="377" customFormat="1" ht="17.25" outlineLevel="1">
      <c r="A430" s="541"/>
      <c r="B430" s="312"/>
      <c r="C430" s="313" t="s">
        <v>2</v>
      </c>
      <c r="D430" s="323"/>
      <c r="E430" s="298"/>
      <c r="F430" s="1156"/>
      <c r="G430" s="1156"/>
      <c r="H430" s="1156"/>
      <c r="I430" s="399" t="str">
        <f t="shared" si="42"/>
        <v/>
      </c>
      <c r="J430" s="374"/>
      <c r="K430" s="163"/>
      <c r="L430" s="376"/>
      <c r="M430" s="376"/>
      <c r="N430" s="376"/>
      <c r="O430" s="376"/>
      <c r="P430" s="376"/>
    </row>
    <row r="431" spans="1:16" s="377" customFormat="1" ht="17.25" outlineLevel="1">
      <c r="A431" s="541"/>
      <c r="B431" s="312" t="s">
        <v>739</v>
      </c>
      <c r="C431" s="313" t="s">
        <v>2</v>
      </c>
      <c r="D431" s="323">
        <v>1</v>
      </c>
      <c r="E431" s="298">
        <v>1</v>
      </c>
      <c r="F431" s="1156">
        <v>8.5660000000000007</v>
      </c>
      <c r="G431" s="1156">
        <v>0.46</v>
      </c>
      <c r="H431" s="1156">
        <v>0.3</v>
      </c>
      <c r="I431" s="399">
        <f t="shared" si="42"/>
        <v>1.18</v>
      </c>
      <c r="J431" s="374"/>
      <c r="K431" s="163"/>
      <c r="L431" s="376"/>
      <c r="M431" s="376"/>
      <c r="N431" s="376"/>
      <c r="O431" s="376"/>
      <c r="P431" s="376"/>
    </row>
    <row r="432" spans="1:16" s="377" customFormat="1" ht="17.25" outlineLevel="1">
      <c r="A432" s="541"/>
      <c r="B432" s="312"/>
      <c r="C432" s="313" t="s">
        <v>2</v>
      </c>
      <c r="D432" s="323">
        <v>1</v>
      </c>
      <c r="E432" s="298">
        <v>1</v>
      </c>
      <c r="F432" s="1156">
        <v>8.5660000000000007</v>
      </c>
      <c r="G432" s="1156">
        <v>0.34499999999999997</v>
      </c>
      <c r="H432" s="1156">
        <v>0.3</v>
      </c>
      <c r="I432" s="399">
        <f t="shared" si="42"/>
        <v>0.89</v>
      </c>
      <c r="J432" s="374"/>
      <c r="K432" s="163"/>
      <c r="L432" s="376"/>
      <c r="M432" s="376"/>
      <c r="N432" s="376"/>
      <c r="O432" s="376"/>
      <c r="P432" s="376"/>
    </row>
    <row r="433" spans="1:16" s="377" customFormat="1" ht="17.25" outlineLevel="1">
      <c r="A433" s="541"/>
      <c r="B433" s="312"/>
      <c r="C433" s="313" t="s">
        <v>2</v>
      </c>
      <c r="D433" s="323">
        <v>1</v>
      </c>
      <c r="E433" s="298">
        <v>1</v>
      </c>
      <c r="F433" s="1156">
        <v>8.5660000000000007</v>
      </c>
      <c r="G433" s="1156">
        <v>0.23</v>
      </c>
      <c r="H433" s="1156">
        <f>1.2-0.15-0.3-0.3-0.06-0.2</f>
        <v>0.19</v>
      </c>
      <c r="I433" s="399">
        <f t="shared" si="42"/>
        <v>0.37</v>
      </c>
      <c r="J433" s="374"/>
      <c r="K433" s="163"/>
      <c r="L433" s="376"/>
      <c r="M433" s="376"/>
      <c r="N433" s="376"/>
      <c r="O433" s="376"/>
      <c r="P433" s="376"/>
    </row>
    <row r="434" spans="1:16" s="377" customFormat="1" ht="17.25" outlineLevel="1">
      <c r="A434" s="541"/>
      <c r="B434" s="312"/>
      <c r="C434" s="313" t="s">
        <v>2</v>
      </c>
      <c r="D434" s="323"/>
      <c r="E434" s="298"/>
      <c r="F434" s="1156"/>
      <c r="G434" s="1156"/>
      <c r="H434" s="1156"/>
      <c r="I434" s="399" t="str">
        <f t="shared" si="42"/>
        <v/>
      </c>
      <c r="J434" s="374"/>
      <c r="K434" s="163"/>
      <c r="L434" s="376"/>
      <c r="M434" s="376"/>
      <c r="N434" s="376"/>
      <c r="O434" s="376"/>
      <c r="P434" s="376"/>
    </row>
    <row r="435" spans="1:16" s="377" customFormat="1" ht="17.25" outlineLevel="1">
      <c r="A435" s="541"/>
      <c r="B435" s="312" t="s">
        <v>740</v>
      </c>
      <c r="C435" s="313" t="s">
        <v>2</v>
      </c>
      <c r="D435" s="323">
        <v>1</v>
      </c>
      <c r="E435" s="298">
        <v>1</v>
      </c>
      <c r="F435" s="1156">
        <f>3.14*2.93</f>
        <v>9.2002000000000006</v>
      </c>
      <c r="G435" s="1156">
        <v>0.46</v>
      </c>
      <c r="H435" s="1156">
        <v>0.3</v>
      </c>
      <c r="I435" s="399">
        <f t="shared" si="42"/>
        <v>1.27</v>
      </c>
      <c r="J435" s="374"/>
      <c r="K435" s="163"/>
      <c r="L435" s="376"/>
      <c r="M435" s="376"/>
      <c r="N435" s="376"/>
      <c r="O435" s="376"/>
      <c r="P435" s="376"/>
    </row>
    <row r="436" spans="1:16" s="377" customFormat="1" ht="17.25" outlineLevel="1">
      <c r="A436" s="541"/>
      <c r="B436" s="312"/>
      <c r="C436" s="313" t="s">
        <v>2</v>
      </c>
      <c r="D436" s="323">
        <v>1</v>
      </c>
      <c r="E436" s="298">
        <v>1</v>
      </c>
      <c r="F436" s="1156">
        <f t="shared" ref="F436:F437" si="47">3.14*2.93</f>
        <v>9.2002000000000006</v>
      </c>
      <c r="G436" s="1156">
        <v>0.34499999999999997</v>
      </c>
      <c r="H436" s="1156">
        <v>0.3</v>
      </c>
      <c r="I436" s="399">
        <f t="shared" si="42"/>
        <v>0.95</v>
      </c>
      <c r="J436" s="374"/>
      <c r="K436" s="163"/>
      <c r="L436" s="376"/>
      <c r="M436" s="376"/>
      <c r="N436" s="376"/>
      <c r="O436" s="376"/>
      <c r="P436" s="376"/>
    </row>
    <row r="437" spans="1:16" s="377" customFormat="1" ht="17.25" outlineLevel="1">
      <c r="A437" s="541"/>
      <c r="B437" s="312"/>
      <c r="C437" s="313" t="s">
        <v>2</v>
      </c>
      <c r="D437" s="323">
        <v>1</v>
      </c>
      <c r="E437" s="298">
        <v>1</v>
      </c>
      <c r="F437" s="1156">
        <f t="shared" si="47"/>
        <v>9.2002000000000006</v>
      </c>
      <c r="G437" s="1156">
        <v>0.23</v>
      </c>
      <c r="H437" s="1156">
        <f>1.2-0.15-0.3-0.3-0.06-0.2</f>
        <v>0.19</v>
      </c>
      <c r="I437" s="399">
        <f t="shared" si="42"/>
        <v>0.4</v>
      </c>
      <c r="J437" s="374"/>
      <c r="K437" s="163"/>
      <c r="L437" s="376"/>
      <c r="M437" s="376"/>
      <c r="N437" s="376"/>
      <c r="O437" s="376"/>
      <c r="P437" s="376"/>
    </row>
    <row r="438" spans="1:16" s="377" customFormat="1" ht="17.25" outlineLevel="1">
      <c r="A438" s="541"/>
      <c r="B438" s="312"/>
      <c r="C438" s="313" t="s">
        <v>2</v>
      </c>
      <c r="D438" s="323"/>
      <c r="E438" s="298"/>
      <c r="F438" s="1156"/>
      <c r="G438" s="1156"/>
      <c r="H438" s="1156"/>
      <c r="I438" s="399" t="str">
        <f t="shared" si="42"/>
        <v/>
      </c>
      <c r="J438" s="374"/>
      <c r="K438" s="163"/>
      <c r="L438" s="376"/>
      <c r="M438" s="376"/>
      <c r="N438" s="376"/>
      <c r="O438" s="376"/>
      <c r="P438" s="376"/>
    </row>
    <row r="439" spans="1:16" s="377" customFormat="1" ht="17.25" outlineLevel="1">
      <c r="A439" s="541"/>
      <c r="B439" s="312" t="s">
        <v>741</v>
      </c>
      <c r="C439" s="313" t="s">
        <v>2</v>
      </c>
      <c r="D439" s="323">
        <v>1</v>
      </c>
      <c r="E439" s="298">
        <v>1</v>
      </c>
      <c r="F439" s="1156">
        <f>3.14*3.23</f>
        <v>10.142200000000001</v>
      </c>
      <c r="G439" s="1156">
        <v>0.46</v>
      </c>
      <c r="H439" s="1156">
        <v>0.3</v>
      </c>
      <c r="I439" s="399">
        <f t="shared" si="42"/>
        <v>1.4</v>
      </c>
      <c r="J439" s="374"/>
      <c r="K439" s="163"/>
      <c r="L439" s="376"/>
      <c r="M439" s="376"/>
      <c r="N439" s="376"/>
      <c r="O439" s="376"/>
      <c r="P439" s="376"/>
    </row>
    <row r="440" spans="1:16" s="377" customFormat="1" ht="17.25" outlineLevel="1">
      <c r="A440" s="541"/>
      <c r="B440" s="312"/>
      <c r="C440" s="313" t="s">
        <v>2</v>
      </c>
      <c r="D440" s="323">
        <v>1</v>
      </c>
      <c r="E440" s="298">
        <v>1</v>
      </c>
      <c r="F440" s="1156">
        <f t="shared" ref="F440:F441" si="48">3.14*3.23</f>
        <v>10.142200000000001</v>
      </c>
      <c r="G440" s="1156">
        <v>0.34499999999999997</v>
      </c>
      <c r="H440" s="1156">
        <v>0.3</v>
      </c>
      <c r="I440" s="399">
        <f t="shared" si="42"/>
        <v>1.05</v>
      </c>
      <c r="J440" s="374"/>
      <c r="K440" s="163"/>
      <c r="L440" s="376"/>
      <c r="M440" s="376"/>
      <c r="N440" s="376"/>
      <c r="O440" s="376"/>
      <c r="P440" s="376"/>
    </row>
    <row r="441" spans="1:16" s="377" customFormat="1" ht="17.25" outlineLevel="1">
      <c r="A441" s="541"/>
      <c r="B441" s="312"/>
      <c r="C441" s="313" t="s">
        <v>2</v>
      </c>
      <c r="D441" s="323">
        <v>1</v>
      </c>
      <c r="E441" s="298">
        <v>1</v>
      </c>
      <c r="F441" s="1156">
        <f t="shared" si="48"/>
        <v>10.142200000000001</v>
      </c>
      <c r="G441" s="1156">
        <v>0.23</v>
      </c>
      <c r="H441" s="1156">
        <f>1.2-0.15-0.3-0.3-0.06-0.2</f>
        <v>0.19</v>
      </c>
      <c r="I441" s="399">
        <f t="shared" si="42"/>
        <v>0.44</v>
      </c>
      <c r="J441" s="374"/>
      <c r="K441" s="163"/>
      <c r="L441" s="376"/>
      <c r="M441" s="376"/>
      <c r="N441" s="376"/>
      <c r="O441" s="376"/>
      <c r="P441" s="376"/>
    </row>
    <row r="442" spans="1:16" s="377" customFormat="1" ht="17.25" outlineLevel="1">
      <c r="A442" s="541"/>
      <c r="B442" s="312"/>
      <c r="C442" s="313" t="s">
        <v>2</v>
      </c>
      <c r="D442" s="323"/>
      <c r="E442" s="298"/>
      <c r="F442" s="1156"/>
      <c r="G442" s="1156"/>
      <c r="H442" s="1156"/>
      <c r="I442" s="399" t="str">
        <f t="shared" si="42"/>
        <v/>
      </c>
      <c r="J442" s="374"/>
      <c r="K442" s="163"/>
      <c r="L442" s="376"/>
      <c r="M442" s="376"/>
      <c r="N442" s="376"/>
      <c r="O442" s="376"/>
      <c r="P442" s="376"/>
    </row>
    <row r="443" spans="1:16" s="377" customFormat="1" ht="17.25" outlineLevel="1">
      <c r="A443" s="541"/>
      <c r="B443" s="312" t="s">
        <v>742</v>
      </c>
      <c r="C443" s="313" t="s">
        <v>2</v>
      </c>
      <c r="D443" s="323">
        <v>1</v>
      </c>
      <c r="E443" s="298">
        <v>1</v>
      </c>
      <c r="F443" s="1156">
        <f>3.14*3.23</f>
        <v>10.142200000000001</v>
      </c>
      <c r="G443" s="1156">
        <v>0.46</v>
      </c>
      <c r="H443" s="1156">
        <v>0.3</v>
      </c>
      <c r="I443" s="399">
        <f t="shared" si="42"/>
        <v>1.4</v>
      </c>
      <c r="J443" s="374"/>
      <c r="K443" s="163"/>
      <c r="L443" s="376"/>
      <c r="M443" s="376"/>
      <c r="N443" s="376"/>
      <c r="O443" s="376"/>
      <c r="P443" s="376"/>
    </row>
    <row r="444" spans="1:16" s="377" customFormat="1" ht="17.25" outlineLevel="1">
      <c r="A444" s="541"/>
      <c r="B444" s="312"/>
      <c r="C444" s="313" t="s">
        <v>2</v>
      </c>
      <c r="D444" s="323">
        <v>1</v>
      </c>
      <c r="E444" s="298">
        <v>1</v>
      </c>
      <c r="F444" s="1156">
        <f t="shared" ref="F444:F445" si="49">3.14*3.23</f>
        <v>10.142200000000001</v>
      </c>
      <c r="G444" s="1156">
        <v>0.34499999999999997</v>
      </c>
      <c r="H444" s="1156">
        <v>0.3</v>
      </c>
      <c r="I444" s="399">
        <f t="shared" si="42"/>
        <v>1.05</v>
      </c>
      <c r="J444" s="374"/>
      <c r="K444" s="163"/>
      <c r="L444" s="376"/>
      <c r="M444" s="376"/>
      <c r="N444" s="376"/>
      <c r="O444" s="376"/>
      <c r="P444" s="376"/>
    </row>
    <row r="445" spans="1:16" s="377" customFormat="1" ht="17.25" outlineLevel="1">
      <c r="A445" s="541"/>
      <c r="B445" s="312"/>
      <c r="C445" s="313" t="s">
        <v>2</v>
      </c>
      <c r="D445" s="323">
        <v>1</v>
      </c>
      <c r="E445" s="298">
        <v>1</v>
      </c>
      <c r="F445" s="1156">
        <f t="shared" si="49"/>
        <v>10.142200000000001</v>
      </c>
      <c r="G445" s="1156">
        <v>0.23</v>
      </c>
      <c r="H445" s="1156">
        <f>1.2-0.15-0.3-0.3-0.06-0.2</f>
        <v>0.19</v>
      </c>
      <c r="I445" s="399">
        <f t="shared" si="42"/>
        <v>0.44</v>
      </c>
      <c r="J445" s="374"/>
      <c r="K445" s="163"/>
      <c r="L445" s="376"/>
      <c r="M445" s="376"/>
      <c r="N445" s="376"/>
      <c r="O445" s="376"/>
      <c r="P445" s="376"/>
    </row>
    <row r="446" spans="1:16" s="377" customFormat="1" ht="17.25" outlineLevel="1">
      <c r="A446" s="541"/>
      <c r="B446" s="312"/>
      <c r="C446" s="313" t="s">
        <v>2</v>
      </c>
      <c r="D446" s="323"/>
      <c r="E446" s="298"/>
      <c r="F446" s="1156"/>
      <c r="G446" s="1156"/>
      <c r="H446" s="1156"/>
      <c r="I446" s="399" t="str">
        <f t="shared" si="42"/>
        <v/>
      </c>
      <c r="J446" s="374"/>
      <c r="K446" s="163"/>
      <c r="L446" s="376"/>
      <c r="M446" s="376"/>
      <c r="N446" s="376"/>
      <c r="O446" s="376"/>
      <c r="P446" s="376"/>
    </row>
    <row r="447" spans="1:16" s="377" customFormat="1" ht="17.25" outlineLevel="1">
      <c r="A447" s="541"/>
      <c r="B447" s="312" t="s">
        <v>743</v>
      </c>
      <c r="C447" s="313" t="s">
        <v>2</v>
      </c>
      <c r="D447" s="323">
        <v>1</v>
      </c>
      <c r="E447" s="298">
        <v>1</v>
      </c>
      <c r="F447" s="1156">
        <f>3.14*3.23</f>
        <v>10.142200000000001</v>
      </c>
      <c r="G447" s="1156">
        <v>0.46</v>
      </c>
      <c r="H447" s="1156">
        <v>0.3</v>
      </c>
      <c r="I447" s="399">
        <f t="shared" si="42"/>
        <v>1.4</v>
      </c>
      <c r="J447" s="374"/>
      <c r="K447" s="163"/>
      <c r="L447" s="376"/>
      <c r="M447" s="376"/>
      <c r="N447" s="376"/>
      <c r="O447" s="376"/>
      <c r="P447" s="376"/>
    </row>
    <row r="448" spans="1:16" s="377" customFormat="1" ht="17.25" outlineLevel="1">
      <c r="A448" s="541"/>
      <c r="B448" s="312"/>
      <c r="C448" s="313" t="s">
        <v>2</v>
      </c>
      <c r="D448" s="323">
        <v>1</v>
      </c>
      <c r="E448" s="298">
        <v>1</v>
      </c>
      <c r="F448" s="1156">
        <f t="shared" ref="F448:F449" si="50">3.14*3.23</f>
        <v>10.142200000000001</v>
      </c>
      <c r="G448" s="1156">
        <v>0.34499999999999997</v>
      </c>
      <c r="H448" s="1156">
        <v>0.3</v>
      </c>
      <c r="I448" s="399">
        <f t="shared" si="42"/>
        <v>1.05</v>
      </c>
      <c r="J448" s="374"/>
      <c r="K448" s="163"/>
      <c r="L448" s="376"/>
      <c r="M448" s="376"/>
      <c r="N448" s="376"/>
      <c r="O448" s="376"/>
      <c r="P448" s="376"/>
    </row>
    <row r="449" spans="1:16" s="377" customFormat="1" ht="17.25" outlineLevel="1">
      <c r="A449" s="541"/>
      <c r="B449" s="312"/>
      <c r="C449" s="313" t="s">
        <v>2</v>
      </c>
      <c r="D449" s="323">
        <v>1</v>
      </c>
      <c r="E449" s="298">
        <v>1</v>
      </c>
      <c r="F449" s="1156">
        <f t="shared" si="50"/>
        <v>10.142200000000001</v>
      </c>
      <c r="G449" s="1156">
        <v>0.23</v>
      </c>
      <c r="H449" s="1156">
        <f>1.2-0.15-0.3-0.3-0.06-0.2</f>
        <v>0.19</v>
      </c>
      <c r="I449" s="399">
        <f t="shared" si="42"/>
        <v>0.44</v>
      </c>
      <c r="J449" s="374"/>
      <c r="K449" s="163"/>
      <c r="L449" s="376"/>
      <c r="M449" s="376"/>
      <c r="N449" s="376"/>
      <c r="O449" s="376"/>
      <c r="P449" s="376"/>
    </row>
    <row r="450" spans="1:16" s="377" customFormat="1" ht="17.25" outlineLevel="1">
      <c r="A450" s="541"/>
      <c r="B450" s="312"/>
      <c r="C450" s="313" t="s">
        <v>2</v>
      </c>
      <c r="D450" s="323"/>
      <c r="E450" s="298"/>
      <c r="F450" s="1156"/>
      <c r="G450" s="1156"/>
      <c r="H450" s="1156"/>
      <c r="I450" s="399" t="str">
        <f t="shared" si="42"/>
        <v/>
      </c>
      <c r="J450" s="374"/>
      <c r="K450" s="163"/>
      <c r="L450" s="376"/>
      <c r="M450" s="376"/>
      <c r="N450" s="376"/>
      <c r="O450" s="376"/>
      <c r="P450" s="376"/>
    </row>
    <row r="451" spans="1:16" s="377" customFormat="1" ht="17.25" outlineLevel="1">
      <c r="A451" s="541"/>
      <c r="B451" s="312" t="s">
        <v>744</v>
      </c>
      <c r="C451" s="313" t="s">
        <v>2</v>
      </c>
      <c r="D451" s="323">
        <v>1</v>
      </c>
      <c r="E451" s="298">
        <v>1</v>
      </c>
      <c r="F451" s="1156">
        <f>3.14*3.23</f>
        <v>10.142200000000001</v>
      </c>
      <c r="G451" s="1156">
        <v>0.46</v>
      </c>
      <c r="H451" s="1156">
        <v>0.3</v>
      </c>
      <c r="I451" s="399">
        <f t="shared" si="42"/>
        <v>1.4</v>
      </c>
      <c r="J451" s="374"/>
      <c r="K451" s="163"/>
      <c r="L451" s="376"/>
      <c r="M451" s="376"/>
      <c r="N451" s="376"/>
      <c r="O451" s="376"/>
      <c r="P451" s="376"/>
    </row>
    <row r="452" spans="1:16" s="377" customFormat="1" ht="17.25" outlineLevel="1">
      <c r="A452" s="541"/>
      <c r="B452" s="312"/>
      <c r="C452" s="313" t="s">
        <v>2</v>
      </c>
      <c r="D452" s="323">
        <v>1</v>
      </c>
      <c r="E452" s="298">
        <v>1</v>
      </c>
      <c r="F452" s="1156">
        <f t="shared" ref="F452:F453" si="51">3.14*3.23</f>
        <v>10.142200000000001</v>
      </c>
      <c r="G452" s="1156">
        <v>0.34499999999999997</v>
      </c>
      <c r="H452" s="1156">
        <v>0.3</v>
      </c>
      <c r="I452" s="399">
        <f t="shared" si="42"/>
        <v>1.05</v>
      </c>
      <c r="J452" s="374"/>
      <c r="K452" s="163"/>
      <c r="L452" s="376"/>
      <c r="M452" s="376"/>
      <c r="N452" s="376"/>
      <c r="O452" s="376"/>
      <c r="P452" s="376"/>
    </row>
    <row r="453" spans="1:16" s="377" customFormat="1" ht="17.25" outlineLevel="1">
      <c r="A453" s="541"/>
      <c r="B453" s="312"/>
      <c r="C453" s="313" t="s">
        <v>2</v>
      </c>
      <c r="D453" s="323">
        <v>1</v>
      </c>
      <c r="E453" s="298">
        <v>1</v>
      </c>
      <c r="F453" s="1156">
        <f t="shared" si="51"/>
        <v>10.142200000000001</v>
      </c>
      <c r="G453" s="1156">
        <v>0.23</v>
      </c>
      <c r="H453" s="1156">
        <f>1.2-0.15-0.3-0.3-0.06-0.2</f>
        <v>0.19</v>
      </c>
      <c r="I453" s="399">
        <f t="shared" si="42"/>
        <v>0.44</v>
      </c>
      <c r="J453" s="374"/>
      <c r="K453" s="163"/>
      <c r="L453" s="376"/>
      <c r="M453" s="376"/>
      <c r="N453" s="376"/>
      <c r="O453" s="376"/>
      <c r="P453" s="376"/>
    </row>
    <row r="454" spans="1:16" s="377" customFormat="1" ht="17.25" outlineLevel="1">
      <c r="A454" s="541"/>
      <c r="B454" s="312"/>
      <c r="C454" s="313" t="s">
        <v>2</v>
      </c>
      <c r="D454" s="323"/>
      <c r="E454" s="298"/>
      <c r="F454" s="1156"/>
      <c r="G454" s="1156"/>
      <c r="H454" s="1156"/>
      <c r="I454" s="399" t="str">
        <f t="shared" ref="I454:I517" si="52">IF(D454&lt;&gt;0,ROUND(PRODUCT(E454:H454)*D454,2),"")</f>
        <v/>
      </c>
      <c r="J454" s="374"/>
      <c r="K454" s="163"/>
      <c r="L454" s="376"/>
      <c r="M454" s="376"/>
      <c r="N454" s="376"/>
      <c r="O454" s="376"/>
      <c r="P454" s="376"/>
    </row>
    <row r="455" spans="1:16" s="377" customFormat="1" ht="17.25" outlineLevel="1">
      <c r="A455" s="541"/>
      <c r="B455" s="312" t="s">
        <v>745</v>
      </c>
      <c r="C455" s="313" t="s">
        <v>2</v>
      </c>
      <c r="D455" s="323">
        <v>1</v>
      </c>
      <c r="E455" s="298">
        <v>1</v>
      </c>
      <c r="F455" s="1156">
        <f>3.14*3.23</f>
        <v>10.142200000000001</v>
      </c>
      <c r="G455" s="1156">
        <v>0.46</v>
      </c>
      <c r="H455" s="1156">
        <v>0.3</v>
      </c>
      <c r="I455" s="399">
        <f t="shared" si="52"/>
        <v>1.4</v>
      </c>
      <c r="J455" s="374"/>
      <c r="K455" s="163"/>
      <c r="L455" s="376"/>
      <c r="M455" s="376"/>
      <c r="N455" s="376"/>
      <c r="O455" s="376"/>
      <c r="P455" s="376"/>
    </row>
    <row r="456" spans="1:16" s="377" customFormat="1" ht="17.25" outlineLevel="1">
      <c r="A456" s="541"/>
      <c r="B456" s="312"/>
      <c r="C456" s="313" t="s">
        <v>2</v>
      </c>
      <c r="D456" s="323">
        <v>1</v>
      </c>
      <c r="E456" s="298">
        <v>1</v>
      </c>
      <c r="F456" s="1156">
        <f t="shared" ref="F456:F457" si="53">3.14*3.23</f>
        <v>10.142200000000001</v>
      </c>
      <c r="G456" s="1156">
        <v>0.34499999999999997</v>
      </c>
      <c r="H456" s="1156">
        <v>0.3</v>
      </c>
      <c r="I456" s="399">
        <f t="shared" si="52"/>
        <v>1.05</v>
      </c>
      <c r="J456" s="374"/>
      <c r="K456" s="163"/>
      <c r="L456" s="376"/>
      <c r="M456" s="376"/>
      <c r="N456" s="376"/>
      <c r="O456" s="376"/>
      <c r="P456" s="376"/>
    </row>
    <row r="457" spans="1:16" s="377" customFormat="1" ht="17.25" outlineLevel="1">
      <c r="A457" s="541"/>
      <c r="B457" s="312"/>
      <c r="C457" s="313" t="s">
        <v>2</v>
      </c>
      <c r="D457" s="323">
        <v>1</v>
      </c>
      <c r="E457" s="298">
        <v>1</v>
      </c>
      <c r="F457" s="1156">
        <f t="shared" si="53"/>
        <v>10.142200000000001</v>
      </c>
      <c r="G457" s="1156">
        <v>0.23</v>
      </c>
      <c r="H457" s="1156">
        <f>1.2-0.15-0.3-0.3-0.06-0.2</f>
        <v>0.19</v>
      </c>
      <c r="I457" s="399">
        <f t="shared" si="52"/>
        <v>0.44</v>
      </c>
      <c r="J457" s="374"/>
      <c r="K457" s="163"/>
      <c r="L457" s="376"/>
      <c r="M457" s="376"/>
      <c r="N457" s="376"/>
      <c r="O457" s="376"/>
      <c r="P457" s="376"/>
    </row>
    <row r="458" spans="1:16" s="377" customFormat="1" ht="17.25" outlineLevel="1">
      <c r="A458" s="541"/>
      <c r="B458" s="312"/>
      <c r="C458" s="313" t="s">
        <v>2</v>
      </c>
      <c r="D458" s="323"/>
      <c r="E458" s="298"/>
      <c r="F458" s="1156"/>
      <c r="G458" s="1156"/>
      <c r="H458" s="1156"/>
      <c r="I458" s="399" t="str">
        <f t="shared" si="52"/>
        <v/>
      </c>
      <c r="J458" s="374"/>
      <c r="K458" s="163"/>
      <c r="L458" s="376"/>
      <c r="M458" s="376"/>
      <c r="N458" s="376"/>
      <c r="O458" s="376"/>
      <c r="P458" s="376"/>
    </row>
    <row r="459" spans="1:16" s="377" customFormat="1" ht="17.25" outlineLevel="1">
      <c r="A459" s="541"/>
      <c r="B459" s="312" t="s">
        <v>746</v>
      </c>
      <c r="C459" s="313" t="s">
        <v>2</v>
      </c>
      <c r="D459" s="323">
        <v>1</v>
      </c>
      <c r="E459" s="298">
        <v>1</v>
      </c>
      <c r="F459" s="1156">
        <f>3.14*3.23</f>
        <v>10.142200000000001</v>
      </c>
      <c r="G459" s="1156">
        <v>0.46</v>
      </c>
      <c r="H459" s="1156">
        <v>0.3</v>
      </c>
      <c r="I459" s="399">
        <f t="shared" si="52"/>
        <v>1.4</v>
      </c>
      <c r="J459" s="374"/>
      <c r="K459" s="163"/>
      <c r="L459" s="376"/>
      <c r="M459" s="376"/>
      <c r="N459" s="376"/>
      <c r="O459" s="376"/>
      <c r="P459" s="376"/>
    </row>
    <row r="460" spans="1:16" s="377" customFormat="1" ht="17.25" outlineLevel="1">
      <c r="A460" s="541"/>
      <c r="B460" s="312"/>
      <c r="C460" s="313" t="s">
        <v>2</v>
      </c>
      <c r="D460" s="323">
        <v>1</v>
      </c>
      <c r="E460" s="298">
        <v>1</v>
      </c>
      <c r="F460" s="1156">
        <f t="shared" ref="F460:F461" si="54">3.14*3.23</f>
        <v>10.142200000000001</v>
      </c>
      <c r="G460" s="1156">
        <v>0.34499999999999997</v>
      </c>
      <c r="H460" s="1156">
        <v>0.3</v>
      </c>
      <c r="I460" s="399">
        <f t="shared" si="52"/>
        <v>1.05</v>
      </c>
      <c r="J460" s="374"/>
      <c r="K460" s="163"/>
      <c r="L460" s="376"/>
      <c r="M460" s="376"/>
      <c r="N460" s="376"/>
      <c r="O460" s="376"/>
      <c r="P460" s="376"/>
    </row>
    <row r="461" spans="1:16" s="377" customFormat="1" ht="17.25" outlineLevel="1">
      <c r="A461" s="541"/>
      <c r="B461" s="312"/>
      <c r="C461" s="313" t="s">
        <v>2</v>
      </c>
      <c r="D461" s="323">
        <v>1</v>
      </c>
      <c r="E461" s="298">
        <v>1</v>
      </c>
      <c r="F461" s="1156">
        <f t="shared" si="54"/>
        <v>10.142200000000001</v>
      </c>
      <c r="G461" s="1156">
        <v>0.23</v>
      </c>
      <c r="H461" s="1156">
        <f>1.2-0.15-0.3-0.3-0.06-0.2</f>
        <v>0.19</v>
      </c>
      <c r="I461" s="399">
        <f t="shared" si="52"/>
        <v>0.44</v>
      </c>
      <c r="J461" s="374"/>
      <c r="K461" s="163"/>
      <c r="L461" s="376"/>
      <c r="M461" s="376"/>
      <c r="N461" s="376"/>
      <c r="O461" s="376"/>
      <c r="P461" s="376"/>
    </row>
    <row r="462" spans="1:16" s="377" customFormat="1" ht="17.25" outlineLevel="1">
      <c r="A462" s="541"/>
      <c r="B462" s="312"/>
      <c r="C462" s="313" t="s">
        <v>2</v>
      </c>
      <c r="D462" s="323"/>
      <c r="E462" s="298"/>
      <c r="F462" s="1156"/>
      <c r="G462" s="1156"/>
      <c r="H462" s="1156"/>
      <c r="I462" s="399" t="str">
        <f t="shared" si="52"/>
        <v/>
      </c>
      <c r="J462" s="374"/>
      <c r="K462" s="163"/>
      <c r="L462" s="376"/>
      <c r="M462" s="376"/>
      <c r="N462" s="376"/>
      <c r="O462" s="376"/>
      <c r="P462" s="376"/>
    </row>
    <row r="463" spans="1:16" s="377" customFormat="1" ht="17.25" outlineLevel="1">
      <c r="A463" s="541"/>
      <c r="B463" s="312" t="s">
        <v>747</v>
      </c>
      <c r="C463" s="313" t="s">
        <v>2</v>
      </c>
      <c r="D463" s="323">
        <v>1</v>
      </c>
      <c r="E463" s="298">
        <v>1</v>
      </c>
      <c r="F463" s="1156">
        <f>3.14*3.23</f>
        <v>10.142200000000001</v>
      </c>
      <c r="G463" s="1156">
        <v>0.46</v>
      </c>
      <c r="H463" s="1156">
        <v>0.3</v>
      </c>
      <c r="I463" s="399">
        <f t="shared" si="52"/>
        <v>1.4</v>
      </c>
      <c r="J463" s="374"/>
      <c r="K463" s="163"/>
      <c r="L463" s="376"/>
      <c r="M463" s="376"/>
      <c r="N463" s="376"/>
      <c r="O463" s="376"/>
      <c r="P463" s="376"/>
    </row>
    <row r="464" spans="1:16" s="377" customFormat="1" ht="17.25" outlineLevel="1">
      <c r="A464" s="541"/>
      <c r="B464" s="312"/>
      <c r="C464" s="313" t="s">
        <v>2</v>
      </c>
      <c r="D464" s="323">
        <v>1</v>
      </c>
      <c r="E464" s="298">
        <v>1</v>
      </c>
      <c r="F464" s="1156">
        <f t="shared" ref="F464:F465" si="55">3.14*3.23</f>
        <v>10.142200000000001</v>
      </c>
      <c r="G464" s="1156">
        <v>0.34499999999999997</v>
      </c>
      <c r="H464" s="1156">
        <v>0.3</v>
      </c>
      <c r="I464" s="399">
        <f t="shared" si="52"/>
        <v>1.05</v>
      </c>
      <c r="J464" s="374"/>
      <c r="K464" s="163"/>
      <c r="L464" s="376"/>
      <c r="M464" s="376"/>
      <c r="N464" s="376"/>
      <c r="O464" s="376"/>
      <c r="P464" s="376"/>
    </row>
    <row r="465" spans="1:16" s="377" customFormat="1" ht="17.25" outlineLevel="1">
      <c r="A465" s="541"/>
      <c r="B465" s="312"/>
      <c r="C465" s="313" t="s">
        <v>2</v>
      </c>
      <c r="D465" s="323">
        <v>1</v>
      </c>
      <c r="E465" s="298">
        <v>1</v>
      </c>
      <c r="F465" s="1156">
        <f t="shared" si="55"/>
        <v>10.142200000000001</v>
      </c>
      <c r="G465" s="1156">
        <v>0.23</v>
      </c>
      <c r="H465" s="1156">
        <f>1.2-0.15-0.3-0.3-0.06-0.2</f>
        <v>0.19</v>
      </c>
      <c r="I465" s="399">
        <f t="shared" si="52"/>
        <v>0.44</v>
      </c>
      <c r="J465" s="374"/>
      <c r="K465" s="163"/>
      <c r="L465" s="376"/>
      <c r="M465" s="376"/>
      <c r="N465" s="376"/>
      <c r="O465" s="376"/>
      <c r="P465" s="376"/>
    </row>
    <row r="466" spans="1:16" s="377" customFormat="1" ht="17.25" outlineLevel="1">
      <c r="A466" s="541"/>
      <c r="B466" s="312"/>
      <c r="C466" s="313" t="s">
        <v>2</v>
      </c>
      <c r="D466" s="323"/>
      <c r="E466" s="298"/>
      <c r="F466" s="1156"/>
      <c r="G466" s="1156"/>
      <c r="H466" s="1156"/>
      <c r="I466" s="399" t="str">
        <f t="shared" si="52"/>
        <v/>
      </c>
      <c r="J466" s="374"/>
      <c r="K466" s="163"/>
      <c r="L466" s="376"/>
      <c r="M466" s="376"/>
      <c r="N466" s="376"/>
      <c r="O466" s="376"/>
      <c r="P466" s="376"/>
    </row>
    <row r="467" spans="1:16" s="377" customFormat="1" ht="17.25" outlineLevel="1">
      <c r="A467" s="541"/>
      <c r="B467" s="312" t="s">
        <v>748</v>
      </c>
      <c r="C467" s="313" t="s">
        <v>2</v>
      </c>
      <c r="D467" s="323">
        <v>1</v>
      </c>
      <c r="E467" s="298">
        <v>1</v>
      </c>
      <c r="F467" s="1156">
        <f>3.14*3.23</f>
        <v>10.142200000000001</v>
      </c>
      <c r="G467" s="1156">
        <v>0.46</v>
      </c>
      <c r="H467" s="1156">
        <v>0.3</v>
      </c>
      <c r="I467" s="399">
        <f t="shared" si="52"/>
        <v>1.4</v>
      </c>
      <c r="J467" s="374"/>
      <c r="K467" s="163"/>
      <c r="L467" s="376"/>
      <c r="M467" s="376"/>
      <c r="N467" s="376"/>
      <c r="O467" s="376"/>
      <c r="P467" s="376"/>
    </row>
    <row r="468" spans="1:16" s="377" customFormat="1" ht="17.25" outlineLevel="1">
      <c r="A468" s="541"/>
      <c r="B468" s="312"/>
      <c r="C468" s="313" t="s">
        <v>2</v>
      </c>
      <c r="D468" s="323">
        <v>1</v>
      </c>
      <c r="E468" s="298">
        <v>1</v>
      </c>
      <c r="F468" s="1156">
        <f t="shared" ref="F468:F469" si="56">3.14*3.23</f>
        <v>10.142200000000001</v>
      </c>
      <c r="G468" s="1156">
        <v>0.34499999999999997</v>
      </c>
      <c r="H468" s="1156">
        <v>0.3</v>
      </c>
      <c r="I468" s="399">
        <f t="shared" si="52"/>
        <v>1.05</v>
      </c>
      <c r="J468" s="374"/>
      <c r="K468" s="163"/>
      <c r="L468" s="376"/>
      <c r="M468" s="376"/>
      <c r="N468" s="376"/>
      <c r="O468" s="376"/>
      <c r="P468" s="376"/>
    </row>
    <row r="469" spans="1:16" s="377" customFormat="1" ht="17.25" outlineLevel="1">
      <c r="A469" s="541"/>
      <c r="B469" s="312"/>
      <c r="C469" s="313" t="s">
        <v>2</v>
      </c>
      <c r="D469" s="323">
        <v>1</v>
      </c>
      <c r="E469" s="298">
        <v>1</v>
      </c>
      <c r="F469" s="1156">
        <f t="shared" si="56"/>
        <v>10.142200000000001</v>
      </c>
      <c r="G469" s="1156">
        <v>0.23</v>
      </c>
      <c r="H469" s="1156">
        <f>1.2-0.15-0.3-0.3-0.06-0.2</f>
        <v>0.19</v>
      </c>
      <c r="I469" s="399">
        <f t="shared" si="52"/>
        <v>0.44</v>
      </c>
      <c r="J469" s="374"/>
      <c r="K469" s="163"/>
      <c r="L469" s="376"/>
      <c r="M469" s="376"/>
      <c r="N469" s="376"/>
      <c r="O469" s="376"/>
      <c r="P469" s="376"/>
    </row>
    <row r="470" spans="1:16" s="377" customFormat="1" ht="17.25" outlineLevel="1">
      <c r="A470" s="541"/>
      <c r="B470" s="312"/>
      <c r="C470" s="313"/>
      <c r="D470" s="323"/>
      <c r="E470" s="298"/>
      <c r="F470" s="1156"/>
      <c r="G470" s="1156"/>
      <c r="H470" s="1156"/>
      <c r="I470" s="399" t="str">
        <f t="shared" si="52"/>
        <v/>
      </c>
      <c r="J470" s="374"/>
      <c r="K470" s="163"/>
      <c r="L470" s="376"/>
      <c r="M470" s="376"/>
      <c r="N470" s="376"/>
      <c r="O470" s="376"/>
      <c r="P470" s="376"/>
    </row>
    <row r="471" spans="1:16" s="377" customFormat="1" ht="69" outlineLevel="1">
      <c r="A471" s="541"/>
      <c r="B471" s="312" t="s">
        <v>1133</v>
      </c>
      <c r="C471" s="313" t="s">
        <v>2</v>
      </c>
      <c r="D471" s="323"/>
      <c r="E471" s="298"/>
      <c r="F471" s="1156"/>
      <c r="G471" s="1156"/>
      <c r="H471" s="1156"/>
      <c r="I471" s="399" t="str">
        <f t="shared" si="52"/>
        <v/>
      </c>
      <c r="J471" s="374"/>
      <c r="K471" s="163"/>
      <c r="L471" s="376"/>
      <c r="M471" s="376"/>
      <c r="N471" s="376"/>
      <c r="O471" s="376"/>
      <c r="P471" s="376"/>
    </row>
    <row r="472" spans="1:16" s="377" customFormat="1" ht="17.25" outlineLevel="1">
      <c r="A472" s="541"/>
      <c r="B472" s="312" t="s">
        <v>735</v>
      </c>
      <c r="C472" s="313" t="s">
        <v>2</v>
      </c>
      <c r="D472" s="323">
        <v>-1</v>
      </c>
      <c r="E472" s="298">
        <v>1</v>
      </c>
      <c r="F472" s="1156">
        <f>3.14*3</f>
        <v>9.42</v>
      </c>
      <c r="G472" s="1156">
        <v>0.46</v>
      </c>
      <c r="H472" s="1156">
        <v>0.3</v>
      </c>
      <c r="I472" s="399">
        <f t="shared" si="52"/>
        <v>-1.3</v>
      </c>
      <c r="J472" s="374"/>
      <c r="K472" s="163"/>
      <c r="L472" s="376"/>
      <c r="M472" s="376"/>
      <c r="N472" s="376"/>
      <c r="O472" s="376"/>
      <c r="P472" s="376"/>
    </row>
    <row r="473" spans="1:16" s="377" customFormat="1" ht="17.25" outlineLevel="1">
      <c r="A473" s="541"/>
      <c r="B473" s="312"/>
      <c r="C473" s="313" t="s">
        <v>2</v>
      </c>
      <c r="D473" s="323">
        <v>-1</v>
      </c>
      <c r="E473" s="298">
        <v>1</v>
      </c>
      <c r="F473" s="1156">
        <f>3.14*3</f>
        <v>9.42</v>
      </c>
      <c r="G473" s="1156">
        <v>0.34499999999999997</v>
      </c>
      <c r="H473" s="1156">
        <v>0.3</v>
      </c>
      <c r="I473" s="399">
        <f t="shared" si="52"/>
        <v>-0.97</v>
      </c>
      <c r="J473" s="374"/>
      <c r="K473" s="163"/>
      <c r="L473" s="376"/>
      <c r="M473" s="376"/>
      <c r="N473" s="376"/>
      <c r="O473" s="376"/>
      <c r="P473" s="376"/>
    </row>
    <row r="474" spans="1:16" s="377" customFormat="1" ht="17.25" outlineLevel="1">
      <c r="A474" s="541"/>
      <c r="B474" s="312"/>
      <c r="C474" s="313" t="s">
        <v>2</v>
      </c>
      <c r="D474" s="323">
        <v>-1</v>
      </c>
      <c r="E474" s="298">
        <v>1</v>
      </c>
      <c r="F474" s="1156">
        <f>3.14*3</f>
        <v>9.42</v>
      </c>
      <c r="G474" s="1156">
        <v>0.23</v>
      </c>
      <c r="H474" s="1156">
        <f>1.2-0.15-0.3-0.3-0.06-0.2</f>
        <v>0.19</v>
      </c>
      <c r="I474" s="399">
        <f t="shared" si="52"/>
        <v>-0.41</v>
      </c>
      <c r="J474" s="374"/>
      <c r="K474" s="163"/>
      <c r="L474" s="376"/>
      <c r="M474" s="376"/>
      <c r="N474" s="376"/>
      <c r="O474" s="376"/>
      <c r="P474" s="376"/>
    </row>
    <row r="475" spans="1:16" s="377" customFormat="1" ht="17.25" outlineLevel="1">
      <c r="A475" s="541"/>
      <c r="B475" s="312"/>
      <c r="C475" s="313" t="s">
        <v>2</v>
      </c>
      <c r="D475" s="323"/>
      <c r="E475" s="298"/>
      <c r="F475" s="1156"/>
      <c r="G475" s="1156"/>
      <c r="H475" s="1156"/>
      <c r="I475" s="399" t="str">
        <f t="shared" si="52"/>
        <v/>
      </c>
      <c r="J475" s="374"/>
      <c r="K475" s="163"/>
      <c r="L475" s="376"/>
      <c r="M475" s="376"/>
      <c r="N475" s="376"/>
      <c r="O475" s="376"/>
      <c r="P475" s="376"/>
    </row>
    <row r="476" spans="1:16" s="377" customFormat="1" ht="17.25" outlineLevel="1">
      <c r="A476" s="541"/>
      <c r="B476" s="312" t="s">
        <v>736</v>
      </c>
      <c r="C476" s="313" t="s">
        <v>2</v>
      </c>
      <c r="D476" s="323">
        <v>-1</v>
      </c>
      <c r="E476" s="298">
        <v>1</v>
      </c>
      <c r="F476" s="1156">
        <f>3.14*3</f>
        <v>9.42</v>
      </c>
      <c r="G476" s="1156">
        <v>0.46</v>
      </c>
      <c r="H476" s="1156">
        <v>0.3</v>
      </c>
      <c r="I476" s="399">
        <f t="shared" si="52"/>
        <v>-1.3</v>
      </c>
      <c r="J476" s="374"/>
      <c r="K476" s="163"/>
      <c r="L476" s="376"/>
      <c r="M476" s="376"/>
      <c r="N476" s="376"/>
      <c r="O476" s="376"/>
      <c r="P476" s="376"/>
    </row>
    <row r="477" spans="1:16" s="377" customFormat="1" ht="17.25" outlineLevel="1">
      <c r="A477" s="541"/>
      <c r="B477" s="312"/>
      <c r="C477" s="313" t="s">
        <v>2</v>
      </c>
      <c r="D477" s="323">
        <v>-1</v>
      </c>
      <c r="E477" s="298">
        <v>1</v>
      </c>
      <c r="F477" s="1156">
        <f>3.14*3</f>
        <v>9.42</v>
      </c>
      <c r="G477" s="1156">
        <v>0.34499999999999997</v>
      </c>
      <c r="H477" s="1156">
        <v>0.3</v>
      </c>
      <c r="I477" s="399">
        <f t="shared" si="52"/>
        <v>-0.97</v>
      </c>
      <c r="J477" s="374"/>
      <c r="K477" s="163"/>
      <c r="L477" s="376"/>
      <c r="M477" s="376"/>
      <c r="N477" s="376"/>
      <c r="O477" s="376"/>
      <c r="P477" s="376"/>
    </row>
    <row r="478" spans="1:16" s="377" customFormat="1" ht="17.25" outlineLevel="1">
      <c r="A478" s="541"/>
      <c r="B478" s="312"/>
      <c r="C478" s="313" t="s">
        <v>2</v>
      </c>
      <c r="D478" s="323">
        <v>-1</v>
      </c>
      <c r="E478" s="298">
        <v>1</v>
      </c>
      <c r="F478" s="1156">
        <f>3.14*3</f>
        <v>9.42</v>
      </c>
      <c r="G478" s="1156">
        <v>0.23</v>
      </c>
      <c r="H478" s="1156">
        <f>1.2-0.15-0.3-0.3-0.06-0.2</f>
        <v>0.19</v>
      </c>
      <c r="I478" s="399">
        <f t="shared" si="52"/>
        <v>-0.41</v>
      </c>
      <c r="J478" s="374"/>
      <c r="K478" s="163"/>
      <c r="L478" s="376"/>
      <c r="M478" s="376"/>
      <c r="N478" s="376"/>
      <c r="O478" s="376"/>
      <c r="P478" s="376"/>
    </row>
    <row r="479" spans="1:16" s="377" customFormat="1" ht="17.25" outlineLevel="1">
      <c r="A479" s="541"/>
      <c r="B479" s="312"/>
      <c r="C479" s="313" t="s">
        <v>2</v>
      </c>
      <c r="D479" s="323"/>
      <c r="E479" s="298"/>
      <c r="F479" s="1156"/>
      <c r="G479" s="1156"/>
      <c r="H479" s="1156"/>
      <c r="I479" s="399" t="str">
        <f t="shared" si="52"/>
        <v/>
      </c>
      <c r="J479" s="374"/>
      <c r="K479" s="163"/>
      <c r="L479" s="376"/>
      <c r="M479" s="376"/>
      <c r="N479" s="376"/>
      <c r="O479" s="376"/>
      <c r="P479" s="376"/>
    </row>
    <row r="480" spans="1:16" s="377" customFormat="1" ht="17.25" outlineLevel="1">
      <c r="A480" s="541"/>
      <c r="B480" s="312" t="s">
        <v>737</v>
      </c>
      <c r="C480" s="313" t="s">
        <v>2</v>
      </c>
      <c r="D480" s="323">
        <v>-1</v>
      </c>
      <c r="E480" s="298">
        <v>1</v>
      </c>
      <c r="F480" s="1156">
        <f>3.14*3.7</f>
        <v>11.618</v>
      </c>
      <c r="G480" s="1156">
        <v>0.46</v>
      </c>
      <c r="H480" s="1156">
        <v>0.3</v>
      </c>
      <c r="I480" s="399">
        <f t="shared" si="52"/>
        <v>-1.6</v>
      </c>
      <c r="J480" s="374"/>
      <c r="K480" s="163"/>
      <c r="L480" s="376"/>
      <c r="M480" s="376"/>
      <c r="N480" s="376"/>
      <c r="O480" s="376"/>
      <c r="P480" s="376"/>
    </row>
    <row r="481" spans="1:16" s="377" customFormat="1" ht="17.25" outlineLevel="1">
      <c r="A481" s="541"/>
      <c r="B481" s="312"/>
      <c r="C481" s="313" t="s">
        <v>2</v>
      </c>
      <c r="D481" s="323">
        <v>-1</v>
      </c>
      <c r="E481" s="298">
        <v>1</v>
      </c>
      <c r="F481" s="1156">
        <f>3.14*3.7</f>
        <v>11.618</v>
      </c>
      <c r="G481" s="1156">
        <v>0.34499999999999997</v>
      </c>
      <c r="H481" s="1156">
        <v>0.3</v>
      </c>
      <c r="I481" s="399">
        <f t="shared" si="52"/>
        <v>-1.2</v>
      </c>
      <c r="J481" s="374"/>
      <c r="K481" s="163"/>
      <c r="L481" s="376"/>
      <c r="M481" s="376"/>
      <c r="N481" s="376"/>
      <c r="O481" s="376"/>
      <c r="P481" s="376"/>
    </row>
    <row r="482" spans="1:16" s="377" customFormat="1" ht="17.25" outlineLevel="1">
      <c r="A482" s="541"/>
      <c r="B482" s="312"/>
      <c r="C482" s="313" t="s">
        <v>2</v>
      </c>
      <c r="D482" s="323">
        <v>-1</v>
      </c>
      <c r="E482" s="298">
        <v>1</v>
      </c>
      <c r="F482" s="1156">
        <f>3.14*3.7</f>
        <v>11.618</v>
      </c>
      <c r="G482" s="1156">
        <v>0.23</v>
      </c>
      <c r="H482" s="1156">
        <f>1.2-0.15-0.3-0.3-0.06-0.2</f>
        <v>0.19</v>
      </c>
      <c r="I482" s="399">
        <f t="shared" si="52"/>
        <v>-0.51</v>
      </c>
      <c r="J482" s="374"/>
      <c r="K482" s="163"/>
      <c r="L482" s="376"/>
      <c r="M482" s="376"/>
      <c r="N482" s="376"/>
      <c r="O482" s="376"/>
      <c r="P482" s="376"/>
    </row>
    <row r="483" spans="1:16" s="377" customFormat="1" ht="17.25" outlineLevel="1">
      <c r="A483" s="541"/>
      <c r="B483" s="312"/>
      <c r="C483" s="313" t="s">
        <v>2</v>
      </c>
      <c r="D483" s="323"/>
      <c r="E483" s="298"/>
      <c r="F483" s="1156"/>
      <c r="G483" s="1156"/>
      <c r="H483" s="1156"/>
      <c r="I483" s="399" t="str">
        <f t="shared" si="52"/>
        <v/>
      </c>
      <c r="J483" s="374"/>
      <c r="K483" s="163"/>
      <c r="L483" s="376"/>
      <c r="M483" s="376"/>
      <c r="N483" s="376"/>
      <c r="O483" s="376"/>
      <c r="P483" s="376"/>
    </row>
    <row r="484" spans="1:16" s="377" customFormat="1" ht="17.25" outlineLevel="1">
      <c r="A484" s="541"/>
      <c r="B484" s="312" t="s">
        <v>738</v>
      </c>
      <c r="C484" s="313" t="s">
        <v>2</v>
      </c>
      <c r="D484" s="323">
        <v>-1</v>
      </c>
      <c r="E484" s="298">
        <v>1</v>
      </c>
      <c r="F484" s="1156">
        <f>3.14*3</f>
        <v>9.42</v>
      </c>
      <c r="G484" s="1156">
        <v>0.46</v>
      </c>
      <c r="H484" s="1156">
        <v>0.3</v>
      </c>
      <c r="I484" s="399">
        <f t="shared" si="52"/>
        <v>-1.3</v>
      </c>
      <c r="J484" s="374"/>
      <c r="K484" s="163"/>
      <c r="L484" s="376"/>
      <c r="M484" s="376"/>
      <c r="N484" s="376"/>
      <c r="O484" s="376"/>
      <c r="P484" s="376"/>
    </row>
    <row r="485" spans="1:16" s="377" customFormat="1" ht="17.25" outlineLevel="1">
      <c r="A485" s="541"/>
      <c r="B485" s="312"/>
      <c r="C485" s="313" t="s">
        <v>2</v>
      </c>
      <c r="D485" s="323">
        <v>-1</v>
      </c>
      <c r="E485" s="298">
        <v>1</v>
      </c>
      <c r="F485" s="1156">
        <f>3.14*3</f>
        <v>9.42</v>
      </c>
      <c r="G485" s="1156">
        <v>0.34499999999999997</v>
      </c>
      <c r="H485" s="1156">
        <v>0.3</v>
      </c>
      <c r="I485" s="399">
        <f t="shared" si="52"/>
        <v>-0.97</v>
      </c>
      <c r="J485" s="374"/>
      <c r="K485" s="163"/>
      <c r="L485" s="376"/>
      <c r="M485" s="376"/>
      <c r="N485" s="376"/>
      <c r="O485" s="376"/>
      <c r="P485" s="376"/>
    </row>
    <row r="486" spans="1:16" s="377" customFormat="1" ht="17.25" outlineLevel="1">
      <c r="A486" s="541"/>
      <c r="B486" s="312"/>
      <c r="C486" s="313" t="s">
        <v>2</v>
      </c>
      <c r="D486" s="323">
        <v>-1</v>
      </c>
      <c r="E486" s="298">
        <v>1</v>
      </c>
      <c r="F486" s="1156">
        <f>3.14*3</f>
        <v>9.42</v>
      </c>
      <c r="G486" s="1156">
        <v>0.23</v>
      </c>
      <c r="H486" s="1156">
        <f>1.2-0.15-0.3-0.3-0.06-0.2</f>
        <v>0.19</v>
      </c>
      <c r="I486" s="399">
        <f t="shared" si="52"/>
        <v>-0.41</v>
      </c>
      <c r="J486" s="374"/>
      <c r="K486" s="163"/>
      <c r="L486" s="376"/>
      <c r="M486" s="376"/>
      <c r="N486" s="376"/>
      <c r="O486" s="376"/>
      <c r="P486" s="376"/>
    </row>
    <row r="487" spans="1:16" s="377" customFormat="1" ht="17.25" outlineLevel="1">
      <c r="A487" s="541"/>
      <c r="B487" s="312"/>
      <c r="C487" s="313" t="s">
        <v>2</v>
      </c>
      <c r="D487" s="323"/>
      <c r="E487" s="298"/>
      <c r="F487" s="1156"/>
      <c r="G487" s="1156"/>
      <c r="H487" s="1156"/>
      <c r="I487" s="399" t="str">
        <f t="shared" si="52"/>
        <v/>
      </c>
      <c r="J487" s="374"/>
      <c r="K487" s="163"/>
      <c r="L487" s="376"/>
      <c r="M487" s="376"/>
      <c r="N487" s="376"/>
      <c r="O487" s="376"/>
      <c r="P487" s="376"/>
    </row>
    <row r="488" spans="1:16" s="377" customFormat="1" ht="17.25" outlineLevel="1">
      <c r="A488" s="541"/>
      <c r="B488" s="312" t="s">
        <v>739</v>
      </c>
      <c r="C488" s="313" t="s">
        <v>2</v>
      </c>
      <c r="D488" s="323">
        <v>-1</v>
      </c>
      <c r="E488" s="298">
        <v>1</v>
      </c>
      <c r="F488" s="1156">
        <v>8.5660000000000007</v>
      </c>
      <c r="G488" s="1156">
        <v>0.46</v>
      </c>
      <c r="H488" s="1156">
        <v>0.3</v>
      </c>
      <c r="I488" s="399">
        <f t="shared" si="52"/>
        <v>-1.18</v>
      </c>
      <c r="J488" s="374"/>
      <c r="K488" s="163"/>
      <c r="L488" s="376"/>
      <c r="M488" s="376"/>
      <c r="N488" s="376"/>
      <c r="O488" s="376"/>
      <c r="P488" s="376"/>
    </row>
    <row r="489" spans="1:16" s="377" customFormat="1" ht="17.25" outlineLevel="1">
      <c r="A489" s="541"/>
      <c r="B489" s="312"/>
      <c r="C489" s="313" t="s">
        <v>2</v>
      </c>
      <c r="D489" s="323">
        <v>-1</v>
      </c>
      <c r="E489" s="298">
        <v>1</v>
      </c>
      <c r="F489" s="1156">
        <v>8.5660000000000007</v>
      </c>
      <c r="G489" s="1156">
        <v>0.34499999999999997</v>
      </c>
      <c r="H489" s="1156">
        <v>0.3</v>
      </c>
      <c r="I489" s="399">
        <f t="shared" si="52"/>
        <v>-0.89</v>
      </c>
      <c r="J489" s="374"/>
      <c r="K489" s="163"/>
      <c r="L489" s="376"/>
      <c r="M489" s="376"/>
      <c r="N489" s="376"/>
      <c r="O489" s="376"/>
      <c r="P489" s="376"/>
    </row>
    <row r="490" spans="1:16" s="377" customFormat="1" ht="17.25" outlineLevel="1">
      <c r="A490" s="541"/>
      <c r="B490" s="312"/>
      <c r="C490" s="313" t="s">
        <v>2</v>
      </c>
      <c r="D490" s="323">
        <v>-1</v>
      </c>
      <c r="E490" s="298">
        <v>1</v>
      </c>
      <c r="F490" s="1156">
        <v>8.5660000000000007</v>
      </c>
      <c r="G490" s="1156">
        <v>0.23</v>
      </c>
      <c r="H490" s="1156">
        <f>1.2-0.15-0.3-0.3-0.06-0.2</f>
        <v>0.19</v>
      </c>
      <c r="I490" s="399">
        <f t="shared" si="52"/>
        <v>-0.37</v>
      </c>
      <c r="J490" s="374"/>
      <c r="K490" s="163"/>
      <c r="L490" s="376"/>
      <c r="M490" s="376"/>
      <c r="N490" s="376"/>
      <c r="O490" s="376"/>
      <c r="P490" s="376"/>
    </row>
    <row r="491" spans="1:16" s="377" customFormat="1" ht="17.25" outlineLevel="1">
      <c r="A491" s="541"/>
      <c r="B491" s="312"/>
      <c r="C491" s="313" t="s">
        <v>2</v>
      </c>
      <c r="D491" s="323"/>
      <c r="E491" s="298"/>
      <c r="F491" s="1156"/>
      <c r="G491" s="1156"/>
      <c r="H491" s="1156"/>
      <c r="I491" s="399" t="str">
        <f t="shared" si="52"/>
        <v/>
      </c>
      <c r="J491" s="374"/>
      <c r="K491" s="163"/>
      <c r="L491" s="376"/>
      <c r="M491" s="376"/>
      <c r="N491" s="376"/>
      <c r="O491" s="376"/>
      <c r="P491" s="376"/>
    </row>
    <row r="492" spans="1:16" s="377" customFormat="1" ht="17.25" outlineLevel="1">
      <c r="A492" s="541"/>
      <c r="B492" s="312" t="s">
        <v>740</v>
      </c>
      <c r="C492" s="313" t="s">
        <v>2</v>
      </c>
      <c r="D492" s="323">
        <v>-1</v>
      </c>
      <c r="E492" s="298">
        <v>1</v>
      </c>
      <c r="F492" s="1156">
        <f>3.14*2.7</f>
        <v>8.4780000000000015</v>
      </c>
      <c r="G492" s="1156">
        <v>0.46</v>
      </c>
      <c r="H492" s="1156">
        <v>0.3</v>
      </c>
      <c r="I492" s="399">
        <f t="shared" si="52"/>
        <v>-1.17</v>
      </c>
      <c r="J492" s="374"/>
      <c r="K492" s="163"/>
      <c r="L492" s="376"/>
      <c r="M492" s="376"/>
      <c r="N492" s="376"/>
      <c r="O492" s="376"/>
      <c r="P492" s="376"/>
    </row>
    <row r="493" spans="1:16" s="377" customFormat="1" ht="17.25" outlineLevel="1">
      <c r="A493" s="541"/>
      <c r="B493" s="312"/>
      <c r="C493" s="313" t="s">
        <v>2</v>
      </c>
      <c r="D493" s="323">
        <v>-1</v>
      </c>
      <c r="E493" s="298">
        <v>1</v>
      </c>
      <c r="F493" s="1156">
        <f>3.14*2.7</f>
        <v>8.4780000000000015</v>
      </c>
      <c r="G493" s="1156">
        <v>0.34499999999999997</v>
      </c>
      <c r="H493" s="1156">
        <v>0.3</v>
      </c>
      <c r="I493" s="399">
        <f t="shared" si="52"/>
        <v>-0.88</v>
      </c>
      <c r="J493" s="374"/>
      <c r="K493" s="163"/>
      <c r="L493" s="376"/>
      <c r="M493" s="376"/>
      <c r="N493" s="376"/>
      <c r="O493" s="376"/>
      <c r="P493" s="376"/>
    </row>
    <row r="494" spans="1:16" s="377" customFormat="1" ht="17.25" outlineLevel="1">
      <c r="A494" s="541"/>
      <c r="B494" s="312"/>
      <c r="C494" s="313" t="s">
        <v>2</v>
      </c>
      <c r="D494" s="323">
        <v>-1</v>
      </c>
      <c r="E494" s="298">
        <v>1</v>
      </c>
      <c r="F494" s="1156">
        <f>3.14*2.7</f>
        <v>8.4780000000000015</v>
      </c>
      <c r="G494" s="1156">
        <v>0.23</v>
      </c>
      <c r="H494" s="1156">
        <f>1.2-0.15-0.3-0.3-0.06-0.2</f>
        <v>0.19</v>
      </c>
      <c r="I494" s="399">
        <f t="shared" si="52"/>
        <v>-0.37</v>
      </c>
      <c r="J494" s="374"/>
      <c r="K494" s="163"/>
      <c r="L494" s="376"/>
      <c r="M494" s="376"/>
      <c r="N494" s="376"/>
      <c r="O494" s="376"/>
      <c r="P494" s="376"/>
    </row>
    <row r="495" spans="1:16" s="377" customFormat="1" ht="17.25" outlineLevel="1">
      <c r="A495" s="541"/>
      <c r="B495" s="312"/>
      <c r="C495" s="313" t="s">
        <v>2</v>
      </c>
      <c r="D495" s="323"/>
      <c r="E495" s="298"/>
      <c r="F495" s="1156"/>
      <c r="G495" s="1156"/>
      <c r="H495" s="1156"/>
      <c r="I495" s="399" t="str">
        <f t="shared" si="52"/>
        <v/>
      </c>
      <c r="J495" s="374"/>
      <c r="K495" s="163"/>
      <c r="L495" s="376"/>
      <c r="M495" s="376"/>
      <c r="N495" s="376"/>
      <c r="O495" s="376"/>
      <c r="P495" s="376"/>
    </row>
    <row r="496" spans="1:16" s="377" customFormat="1" ht="17.25" outlineLevel="1">
      <c r="A496" s="541"/>
      <c r="B496" s="312" t="s">
        <v>741</v>
      </c>
      <c r="C496" s="313" t="s">
        <v>2</v>
      </c>
      <c r="D496" s="323">
        <v>-1</v>
      </c>
      <c r="E496" s="298">
        <v>1</v>
      </c>
      <c r="F496" s="1156">
        <f>3.14*3</f>
        <v>9.42</v>
      </c>
      <c r="G496" s="1156">
        <v>0.46</v>
      </c>
      <c r="H496" s="1156">
        <v>0.3</v>
      </c>
      <c r="I496" s="399">
        <f t="shared" si="52"/>
        <v>-1.3</v>
      </c>
      <c r="J496" s="374"/>
      <c r="K496" s="163"/>
      <c r="L496" s="376"/>
      <c r="M496" s="376"/>
      <c r="N496" s="376"/>
      <c r="O496" s="376"/>
      <c r="P496" s="376"/>
    </row>
    <row r="497" spans="1:16" s="377" customFormat="1" ht="17.25" outlineLevel="1">
      <c r="A497" s="541"/>
      <c r="B497" s="312"/>
      <c r="C497" s="313" t="s">
        <v>2</v>
      </c>
      <c r="D497" s="323">
        <v>-1</v>
      </c>
      <c r="E497" s="298">
        <v>1</v>
      </c>
      <c r="F497" s="1156">
        <f>3.14*3</f>
        <v>9.42</v>
      </c>
      <c r="G497" s="1156">
        <v>0.34499999999999997</v>
      </c>
      <c r="H497" s="1156">
        <v>0.3</v>
      </c>
      <c r="I497" s="399">
        <f t="shared" si="52"/>
        <v>-0.97</v>
      </c>
      <c r="J497" s="374"/>
      <c r="K497" s="163"/>
      <c r="L497" s="376"/>
      <c r="M497" s="376"/>
      <c r="N497" s="376"/>
      <c r="O497" s="376"/>
      <c r="P497" s="376"/>
    </row>
    <row r="498" spans="1:16" s="377" customFormat="1" ht="17.25" outlineLevel="1">
      <c r="A498" s="541"/>
      <c r="B498" s="312"/>
      <c r="C498" s="313" t="s">
        <v>2</v>
      </c>
      <c r="D498" s="323">
        <v>-1</v>
      </c>
      <c r="E498" s="298">
        <v>1</v>
      </c>
      <c r="F498" s="1156">
        <f>3.14*3</f>
        <v>9.42</v>
      </c>
      <c r="G498" s="1156">
        <v>0.23</v>
      </c>
      <c r="H498" s="1156">
        <f>1.2-0.15-0.3-0.3-0.06-0.2</f>
        <v>0.19</v>
      </c>
      <c r="I498" s="399">
        <f t="shared" si="52"/>
        <v>-0.41</v>
      </c>
      <c r="J498" s="374"/>
      <c r="K498" s="163"/>
      <c r="L498" s="376"/>
      <c r="M498" s="376"/>
      <c r="N498" s="376"/>
      <c r="O498" s="376"/>
      <c r="P498" s="376"/>
    </row>
    <row r="499" spans="1:16" s="377" customFormat="1" ht="17.25" outlineLevel="1">
      <c r="A499" s="541"/>
      <c r="B499" s="312"/>
      <c r="C499" s="313" t="s">
        <v>2</v>
      </c>
      <c r="D499" s="323"/>
      <c r="E499" s="298"/>
      <c r="F499" s="1156"/>
      <c r="G499" s="1156"/>
      <c r="H499" s="1156"/>
      <c r="I499" s="399" t="str">
        <f t="shared" si="52"/>
        <v/>
      </c>
      <c r="J499" s="374"/>
      <c r="K499" s="163"/>
      <c r="L499" s="376"/>
      <c r="M499" s="376"/>
      <c r="N499" s="376"/>
      <c r="O499" s="376"/>
      <c r="P499" s="376"/>
    </row>
    <row r="500" spans="1:16" s="377" customFormat="1" ht="17.25" outlineLevel="1">
      <c r="A500" s="541"/>
      <c r="B500" s="312" t="s">
        <v>742</v>
      </c>
      <c r="C500" s="313" t="s">
        <v>2</v>
      </c>
      <c r="D500" s="323">
        <v>-1</v>
      </c>
      <c r="E500" s="298">
        <v>1</v>
      </c>
      <c r="F500" s="1156">
        <f>3.14*3</f>
        <v>9.42</v>
      </c>
      <c r="G500" s="1156">
        <v>0.46</v>
      </c>
      <c r="H500" s="1156">
        <v>0.3</v>
      </c>
      <c r="I500" s="399">
        <f t="shared" si="52"/>
        <v>-1.3</v>
      </c>
      <c r="J500" s="374"/>
      <c r="K500" s="163"/>
      <c r="L500" s="376"/>
      <c r="M500" s="376"/>
      <c r="N500" s="376"/>
      <c r="O500" s="376"/>
      <c r="P500" s="376"/>
    </row>
    <row r="501" spans="1:16" s="377" customFormat="1" ht="17.25" outlineLevel="1">
      <c r="A501" s="541"/>
      <c r="B501" s="312"/>
      <c r="C501" s="313" t="s">
        <v>2</v>
      </c>
      <c r="D501" s="323">
        <v>-1</v>
      </c>
      <c r="E501" s="298">
        <v>1</v>
      </c>
      <c r="F501" s="1156">
        <f>3.14*3</f>
        <v>9.42</v>
      </c>
      <c r="G501" s="1156">
        <v>0.34499999999999997</v>
      </c>
      <c r="H501" s="1156">
        <v>0.3</v>
      </c>
      <c r="I501" s="399">
        <f t="shared" si="52"/>
        <v>-0.97</v>
      </c>
      <c r="J501" s="374"/>
      <c r="K501" s="163"/>
      <c r="L501" s="376"/>
      <c r="M501" s="376"/>
      <c r="N501" s="376"/>
      <c r="O501" s="376"/>
      <c r="P501" s="376"/>
    </row>
    <row r="502" spans="1:16" s="377" customFormat="1" ht="17.25" outlineLevel="1">
      <c r="A502" s="541"/>
      <c r="B502" s="312"/>
      <c r="C502" s="313" t="s">
        <v>2</v>
      </c>
      <c r="D502" s="323">
        <v>-1</v>
      </c>
      <c r="E502" s="298">
        <v>1</v>
      </c>
      <c r="F502" s="1156">
        <f>3.14*3</f>
        <v>9.42</v>
      </c>
      <c r="G502" s="1156">
        <v>0.23</v>
      </c>
      <c r="H502" s="1156">
        <f>1.2-0.15-0.3-0.3-0.06-0.2</f>
        <v>0.19</v>
      </c>
      <c r="I502" s="399">
        <f t="shared" si="52"/>
        <v>-0.41</v>
      </c>
      <c r="J502" s="374"/>
      <c r="K502" s="163"/>
      <c r="L502" s="376"/>
      <c r="M502" s="376"/>
      <c r="N502" s="376"/>
      <c r="O502" s="376"/>
      <c r="P502" s="376"/>
    </row>
    <row r="503" spans="1:16" s="377" customFormat="1" ht="17.25" outlineLevel="1">
      <c r="A503" s="541"/>
      <c r="B503" s="312"/>
      <c r="C503" s="313" t="s">
        <v>2</v>
      </c>
      <c r="D503" s="323"/>
      <c r="E503" s="298"/>
      <c r="F503" s="1156"/>
      <c r="G503" s="1156"/>
      <c r="H503" s="1156"/>
      <c r="I503" s="399" t="str">
        <f t="shared" si="52"/>
        <v/>
      </c>
      <c r="J503" s="374"/>
      <c r="K503" s="163"/>
      <c r="L503" s="376"/>
      <c r="M503" s="376"/>
      <c r="N503" s="376"/>
      <c r="O503" s="376"/>
      <c r="P503" s="376"/>
    </row>
    <row r="504" spans="1:16" s="377" customFormat="1" ht="17.25" outlineLevel="1">
      <c r="A504" s="541"/>
      <c r="B504" s="312" t="s">
        <v>743</v>
      </c>
      <c r="C504" s="313" t="s">
        <v>2</v>
      </c>
      <c r="D504" s="323">
        <v>-1</v>
      </c>
      <c r="E504" s="298">
        <v>1</v>
      </c>
      <c r="F504" s="1156">
        <f>3.14*3</f>
        <v>9.42</v>
      </c>
      <c r="G504" s="1156">
        <v>0.46</v>
      </c>
      <c r="H504" s="1156">
        <v>0.3</v>
      </c>
      <c r="I504" s="399">
        <f t="shared" si="52"/>
        <v>-1.3</v>
      </c>
      <c r="J504" s="374"/>
      <c r="K504" s="163"/>
      <c r="L504" s="376"/>
      <c r="M504" s="376"/>
      <c r="N504" s="376"/>
      <c r="O504" s="376"/>
      <c r="P504" s="376"/>
    </row>
    <row r="505" spans="1:16" s="377" customFormat="1" ht="17.25" outlineLevel="1">
      <c r="A505" s="541"/>
      <c r="B505" s="312"/>
      <c r="C505" s="313" t="s">
        <v>2</v>
      </c>
      <c r="D505" s="323">
        <v>-1</v>
      </c>
      <c r="E505" s="298">
        <v>1</v>
      </c>
      <c r="F505" s="1156">
        <f>3.14*3</f>
        <v>9.42</v>
      </c>
      <c r="G505" s="1156">
        <v>0.34499999999999997</v>
      </c>
      <c r="H505" s="1156">
        <v>0.3</v>
      </c>
      <c r="I505" s="399">
        <f t="shared" si="52"/>
        <v>-0.97</v>
      </c>
      <c r="J505" s="374"/>
      <c r="K505" s="163"/>
      <c r="L505" s="376"/>
      <c r="M505" s="376"/>
      <c r="N505" s="376"/>
      <c r="O505" s="376"/>
      <c r="P505" s="376"/>
    </row>
    <row r="506" spans="1:16" s="377" customFormat="1" ht="17.25" outlineLevel="1">
      <c r="A506" s="541"/>
      <c r="B506" s="312"/>
      <c r="C506" s="313" t="s">
        <v>2</v>
      </c>
      <c r="D506" s="323">
        <v>-1</v>
      </c>
      <c r="E506" s="298">
        <v>1</v>
      </c>
      <c r="F506" s="1156">
        <f>3.14*3</f>
        <v>9.42</v>
      </c>
      <c r="G506" s="1156">
        <v>0.23</v>
      </c>
      <c r="H506" s="1156">
        <f>1.2-0.15-0.3-0.3-0.06-0.2</f>
        <v>0.19</v>
      </c>
      <c r="I506" s="399">
        <f t="shared" si="52"/>
        <v>-0.41</v>
      </c>
      <c r="J506" s="374"/>
      <c r="K506" s="163"/>
      <c r="L506" s="376"/>
      <c r="M506" s="376"/>
      <c r="N506" s="376"/>
      <c r="O506" s="376"/>
      <c r="P506" s="376"/>
    </row>
    <row r="507" spans="1:16" s="377" customFormat="1" ht="17.25" outlineLevel="1">
      <c r="A507" s="541"/>
      <c r="B507" s="312"/>
      <c r="C507" s="313" t="s">
        <v>2</v>
      </c>
      <c r="D507" s="323"/>
      <c r="E507" s="298"/>
      <c r="F507" s="1156"/>
      <c r="G507" s="1156"/>
      <c r="H507" s="1156"/>
      <c r="I507" s="399" t="str">
        <f t="shared" si="52"/>
        <v/>
      </c>
      <c r="J507" s="374"/>
      <c r="K507" s="163"/>
      <c r="L507" s="376"/>
      <c r="M507" s="376"/>
      <c r="N507" s="376"/>
      <c r="O507" s="376"/>
      <c r="P507" s="376"/>
    </row>
    <row r="508" spans="1:16" s="377" customFormat="1" ht="17.25" outlineLevel="1">
      <c r="A508" s="541"/>
      <c r="B508" s="312" t="s">
        <v>744</v>
      </c>
      <c r="C508" s="313" t="s">
        <v>2</v>
      </c>
      <c r="D508" s="323">
        <v>-1</v>
      </c>
      <c r="E508" s="298">
        <v>1</v>
      </c>
      <c r="F508" s="1156">
        <f>3.14*3</f>
        <v>9.42</v>
      </c>
      <c r="G508" s="1156">
        <v>0.46</v>
      </c>
      <c r="H508" s="1156">
        <v>0.3</v>
      </c>
      <c r="I508" s="399">
        <f t="shared" si="52"/>
        <v>-1.3</v>
      </c>
      <c r="J508" s="374"/>
      <c r="K508" s="163"/>
      <c r="L508" s="376"/>
      <c r="M508" s="376"/>
      <c r="N508" s="376"/>
      <c r="O508" s="376"/>
      <c r="P508" s="376"/>
    </row>
    <row r="509" spans="1:16" s="377" customFormat="1" ht="17.25" outlineLevel="1">
      <c r="A509" s="541"/>
      <c r="B509" s="312"/>
      <c r="C509" s="313" t="s">
        <v>2</v>
      </c>
      <c r="D509" s="323">
        <v>-1</v>
      </c>
      <c r="E509" s="298">
        <v>1</v>
      </c>
      <c r="F509" s="1156">
        <f>3.14*3</f>
        <v>9.42</v>
      </c>
      <c r="G509" s="1156">
        <v>0.34499999999999997</v>
      </c>
      <c r="H509" s="1156">
        <v>0.3</v>
      </c>
      <c r="I509" s="399">
        <f t="shared" si="52"/>
        <v>-0.97</v>
      </c>
      <c r="J509" s="374"/>
      <c r="K509" s="163"/>
      <c r="L509" s="376"/>
      <c r="M509" s="376"/>
      <c r="N509" s="376"/>
      <c r="O509" s="376"/>
      <c r="P509" s="376"/>
    </row>
    <row r="510" spans="1:16" s="377" customFormat="1" ht="17.25" outlineLevel="1">
      <c r="A510" s="541"/>
      <c r="B510" s="312"/>
      <c r="C510" s="313" t="s">
        <v>2</v>
      </c>
      <c r="D510" s="323">
        <v>-1</v>
      </c>
      <c r="E510" s="298">
        <v>1</v>
      </c>
      <c r="F510" s="1156">
        <f>3.14*3</f>
        <v>9.42</v>
      </c>
      <c r="G510" s="1156">
        <v>0.23</v>
      </c>
      <c r="H510" s="1156">
        <f>1.2-0.15-0.3-0.3-0.06-0.2</f>
        <v>0.19</v>
      </c>
      <c r="I510" s="399">
        <f t="shared" si="52"/>
        <v>-0.41</v>
      </c>
      <c r="J510" s="374"/>
      <c r="K510" s="163"/>
      <c r="L510" s="376"/>
      <c r="M510" s="376"/>
      <c r="N510" s="376"/>
      <c r="O510" s="376"/>
      <c r="P510" s="376"/>
    </row>
    <row r="511" spans="1:16" s="377" customFormat="1" ht="17.25" outlineLevel="1">
      <c r="A511" s="541"/>
      <c r="B511" s="312"/>
      <c r="C511" s="313" t="s">
        <v>2</v>
      </c>
      <c r="D511" s="323"/>
      <c r="E511" s="298"/>
      <c r="F511" s="1156"/>
      <c r="G511" s="1156"/>
      <c r="H511" s="1156"/>
      <c r="I511" s="399" t="str">
        <f t="shared" si="52"/>
        <v/>
      </c>
      <c r="J511" s="374"/>
      <c r="K511" s="163"/>
      <c r="L511" s="376"/>
      <c r="M511" s="376"/>
      <c r="N511" s="376"/>
      <c r="O511" s="376"/>
      <c r="P511" s="376"/>
    </row>
    <row r="512" spans="1:16" s="377" customFormat="1" ht="17.25" outlineLevel="1">
      <c r="A512" s="541"/>
      <c r="B512" s="312" t="s">
        <v>745</v>
      </c>
      <c r="C512" s="313" t="s">
        <v>2</v>
      </c>
      <c r="D512" s="323">
        <v>-1</v>
      </c>
      <c r="E512" s="298">
        <v>1</v>
      </c>
      <c r="F512" s="1156">
        <f>3.14*3</f>
        <v>9.42</v>
      </c>
      <c r="G512" s="1156">
        <v>0.46</v>
      </c>
      <c r="H512" s="1156">
        <v>0.3</v>
      </c>
      <c r="I512" s="399">
        <f t="shared" si="52"/>
        <v>-1.3</v>
      </c>
      <c r="J512" s="374"/>
      <c r="K512" s="163"/>
      <c r="L512" s="376"/>
      <c r="M512" s="376"/>
      <c r="N512" s="376"/>
      <c r="O512" s="376"/>
      <c r="P512" s="376"/>
    </row>
    <row r="513" spans="1:16" s="377" customFormat="1" ht="17.25" outlineLevel="1">
      <c r="A513" s="541"/>
      <c r="B513" s="312"/>
      <c r="C513" s="313" t="s">
        <v>2</v>
      </c>
      <c r="D513" s="323">
        <v>-1</v>
      </c>
      <c r="E513" s="298">
        <v>1</v>
      </c>
      <c r="F513" s="1156">
        <f>3.14*3</f>
        <v>9.42</v>
      </c>
      <c r="G513" s="1156">
        <v>0.34499999999999997</v>
      </c>
      <c r="H513" s="1156">
        <v>0.3</v>
      </c>
      <c r="I513" s="399">
        <f t="shared" si="52"/>
        <v>-0.97</v>
      </c>
      <c r="J513" s="374"/>
      <c r="K513" s="163"/>
      <c r="L513" s="376"/>
      <c r="M513" s="376"/>
      <c r="N513" s="376"/>
      <c r="O513" s="376"/>
      <c r="P513" s="376"/>
    </row>
    <row r="514" spans="1:16" s="377" customFormat="1" ht="17.25" outlineLevel="1">
      <c r="A514" s="541"/>
      <c r="B514" s="312"/>
      <c r="C514" s="313" t="s">
        <v>2</v>
      </c>
      <c r="D514" s="323">
        <v>-1</v>
      </c>
      <c r="E514" s="298">
        <v>1</v>
      </c>
      <c r="F514" s="1156">
        <f>3.14*3</f>
        <v>9.42</v>
      </c>
      <c r="G514" s="1156">
        <v>0.23</v>
      </c>
      <c r="H514" s="1156">
        <f>1.2-0.15-0.3-0.3-0.06-0.2</f>
        <v>0.19</v>
      </c>
      <c r="I514" s="399">
        <f t="shared" si="52"/>
        <v>-0.41</v>
      </c>
      <c r="J514" s="374"/>
      <c r="K514" s="163"/>
      <c r="L514" s="376"/>
      <c r="M514" s="376"/>
      <c r="N514" s="376"/>
      <c r="O514" s="376"/>
      <c r="P514" s="376"/>
    </row>
    <row r="515" spans="1:16" s="377" customFormat="1" ht="17.25" outlineLevel="1">
      <c r="A515" s="541"/>
      <c r="B515" s="312"/>
      <c r="C515" s="313" t="s">
        <v>2</v>
      </c>
      <c r="D515" s="323"/>
      <c r="E515" s="298"/>
      <c r="F515" s="1156"/>
      <c r="G515" s="1156"/>
      <c r="H515" s="1156"/>
      <c r="I515" s="399" t="str">
        <f t="shared" si="52"/>
        <v/>
      </c>
      <c r="J515" s="374"/>
      <c r="K515" s="163"/>
      <c r="L515" s="376"/>
      <c r="M515" s="376"/>
      <c r="N515" s="376"/>
      <c r="O515" s="376"/>
      <c r="P515" s="376"/>
    </row>
    <row r="516" spans="1:16" s="377" customFormat="1" ht="17.25" outlineLevel="1">
      <c r="A516" s="541"/>
      <c r="B516" s="312" t="s">
        <v>746</v>
      </c>
      <c r="C516" s="313" t="s">
        <v>2</v>
      </c>
      <c r="D516" s="323">
        <v>-1</v>
      </c>
      <c r="E516" s="298">
        <v>1</v>
      </c>
      <c r="F516" s="1156">
        <f>3.14*3</f>
        <v>9.42</v>
      </c>
      <c r="G516" s="1156">
        <v>0.46</v>
      </c>
      <c r="H516" s="1156">
        <v>0.3</v>
      </c>
      <c r="I516" s="399">
        <f t="shared" si="52"/>
        <v>-1.3</v>
      </c>
      <c r="J516" s="374"/>
      <c r="K516" s="163"/>
      <c r="L516" s="376"/>
      <c r="M516" s="376"/>
      <c r="N516" s="376"/>
      <c r="O516" s="376"/>
      <c r="P516" s="376"/>
    </row>
    <row r="517" spans="1:16" s="377" customFormat="1" ht="17.25" outlineLevel="1">
      <c r="A517" s="541"/>
      <c r="B517" s="312"/>
      <c r="C517" s="313" t="s">
        <v>2</v>
      </c>
      <c r="D517" s="323">
        <v>-1</v>
      </c>
      <c r="E517" s="298">
        <v>1</v>
      </c>
      <c r="F517" s="1156">
        <f>3.14*3</f>
        <v>9.42</v>
      </c>
      <c r="G517" s="1156">
        <v>0.34499999999999997</v>
      </c>
      <c r="H517" s="1156">
        <v>0.3</v>
      </c>
      <c r="I517" s="399">
        <f t="shared" si="52"/>
        <v>-0.97</v>
      </c>
      <c r="J517" s="374"/>
      <c r="K517" s="163"/>
      <c r="L517" s="376"/>
      <c r="M517" s="376"/>
      <c r="N517" s="376"/>
      <c r="O517" s="376"/>
      <c r="P517" s="376"/>
    </row>
    <row r="518" spans="1:16" s="377" customFormat="1" ht="17.25" outlineLevel="1">
      <c r="A518" s="541"/>
      <c r="B518" s="312"/>
      <c r="C518" s="313" t="s">
        <v>2</v>
      </c>
      <c r="D518" s="323">
        <v>-1</v>
      </c>
      <c r="E518" s="298">
        <v>1</v>
      </c>
      <c r="F518" s="1156">
        <f>3.14*3</f>
        <v>9.42</v>
      </c>
      <c r="G518" s="1156">
        <v>0.23</v>
      </c>
      <c r="H518" s="1156">
        <f>1.2-0.15-0.3-0.3-0.06-0.2</f>
        <v>0.19</v>
      </c>
      <c r="I518" s="399">
        <f t="shared" ref="I518:I532" si="57">IF(D518&lt;&gt;0,ROUND(PRODUCT(E518:H518)*D518,2),"")</f>
        <v>-0.41</v>
      </c>
      <c r="J518" s="374"/>
      <c r="K518" s="163"/>
      <c r="L518" s="376"/>
      <c r="M518" s="376"/>
      <c r="N518" s="376"/>
      <c r="O518" s="376"/>
      <c r="P518" s="376"/>
    </row>
    <row r="519" spans="1:16" s="377" customFormat="1" ht="17.25" outlineLevel="1">
      <c r="A519" s="541"/>
      <c r="B519" s="312"/>
      <c r="C519" s="313" t="s">
        <v>2</v>
      </c>
      <c r="D519" s="323"/>
      <c r="E519" s="298"/>
      <c r="F519" s="1156"/>
      <c r="G519" s="1156"/>
      <c r="H519" s="1156"/>
      <c r="I519" s="399" t="str">
        <f t="shared" si="57"/>
        <v/>
      </c>
      <c r="J519" s="374"/>
      <c r="K519" s="163"/>
      <c r="L519" s="376"/>
      <c r="M519" s="376"/>
      <c r="N519" s="376"/>
      <c r="O519" s="376"/>
      <c r="P519" s="376"/>
    </row>
    <row r="520" spans="1:16" s="377" customFormat="1" ht="17.25" outlineLevel="1">
      <c r="A520" s="541"/>
      <c r="B520" s="312" t="s">
        <v>747</v>
      </c>
      <c r="C520" s="313" t="s">
        <v>2</v>
      </c>
      <c r="D520" s="323">
        <v>-1</v>
      </c>
      <c r="E520" s="298">
        <v>1</v>
      </c>
      <c r="F520" s="1156">
        <f>3.14*3</f>
        <v>9.42</v>
      </c>
      <c r="G520" s="1156">
        <v>0.46</v>
      </c>
      <c r="H520" s="1156">
        <v>0.3</v>
      </c>
      <c r="I520" s="399">
        <f t="shared" si="57"/>
        <v>-1.3</v>
      </c>
      <c r="J520" s="374"/>
      <c r="K520" s="163"/>
      <c r="L520" s="376"/>
      <c r="M520" s="376"/>
      <c r="N520" s="376"/>
      <c r="O520" s="376"/>
      <c r="P520" s="376"/>
    </row>
    <row r="521" spans="1:16" s="377" customFormat="1" ht="17.25" outlineLevel="1">
      <c r="A521" s="541"/>
      <c r="B521" s="312"/>
      <c r="C521" s="313" t="s">
        <v>2</v>
      </c>
      <c r="D521" s="323">
        <v>-1</v>
      </c>
      <c r="E521" s="298">
        <v>1</v>
      </c>
      <c r="F521" s="1156">
        <f>3.14*3</f>
        <v>9.42</v>
      </c>
      <c r="G521" s="1156">
        <v>0.34499999999999997</v>
      </c>
      <c r="H521" s="1156">
        <v>0.3</v>
      </c>
      <c r="I521" s="399">
        <f t="shared" si="57"/>
        <v>-0.97</v>
      </c>
      <c r="J521" s="374"/>
      <c r="K521" s="163"/>
      <c r="L521" s="376"/>
      <c r="M521" s="376"/>
      <c r="N521" s="376"/>
      <c r="O521" s="376"/>
      <c r="P521" s="376"/>
    </row>
    <row r="522" spans="1:16" s="377" customFormat="1" ht="17.25" outlineLevel="1">
      <c r="A522" s="541"/>
      <c r="B522" s="312"/>
      <c r="C522" s="313" t="s">
        <v>2</v>
      </c>
      <c r="D522" s="323">
        <v>-1</v>
      </c>
      <c r="E522" s="298">
        <v>1</v>
      </c>
      <c r="F522" s="1156">
        <f>3.14*3</f>
        <v>9.42</v>
      </c>
      <c r="G522" s="1156">
        <v>0.23</v>
      </c>
      <c r="H522" s="1156">
        <f>1.2-0.15-0.3-0.3-0.06-0.2</f>
        <v>0.19</v>
      </c>
      <c r="I522" s="399">
        <f t="shared" si="57"/>
        <v>-0.41</v>
      </c>
      <c r="J522" s="374"/>
      <c r="K522" s="163"/>
      <c r="L522" s="376"/>
      <c r="M522" s="376"/>
      <c r="N522" s="376"/>
      <c r="O522" s="376"/>
      <c r="P522" s="376"/>
    </row>
    <row r="523" spans="1:16" s="377" customFormat="1" ht="17.25" outlineLevel="1">
      <c r="A523" s="541"/>
      <c r="B523" s="312"/>
      <c r="C523" s="313" t="s">
        <v>2</v>
      </c>
      <c r="D523" s="323"/>
      <c r="E523" s="298"/>
      <c r="F523" s="1156"/>
      <c r="G523" s="1156"/>
      <c r="H523" s="1156"/>
      <c r="I523" s="399" t="str">
        <f t="shared" si="57"/>
        <v/>
      </c>
      <c r="J523" s="374"/>
      <c r="K523" s="163"/>
      <c r="L523" s="376"/>
      <c r="M523" s="376"/>
      <c r="N523" s="376"/>
      <c r="O523" s="376"/>
      <c r="P523" s="376"/>
    </row>
    <row r="524" spans="1:16" s="377" customFormat="1" ht="17.25" outlineLevel="1">
      <c r="A524" s="541"/>
      <c r="B524" s="312" t="s">
        <v>748</v>
      </c>
      <c r="C524" s="313" t="s">
        <v>2</v>
      </c>
      <c r="D524" s="323">
        <v>-1</v>
      </c>
      <c r="E524" s="298">
        <v>1</v>
      </c>
      <c r="F524" s="1156">
        <f>3.14*3</f>
        <v>9.42</v>
      </c>
      <c r="G524" s="1156">
        <v>0.46</v>
      </c>
      <c r="H524" s="1156">
        <v>0.3</v>
      </c>
      <c r="I524" s="399">
        <f t="shared" si="57"/>
        <v>-1.3</v>
      </c>
      <c r="J524" s="374"/>
      <c r="K524" s="163"/>
      <c r="L524" s="376"/>
      <c r="M524" s="376"/>
      <c r="N524" s="376"/>
      <c r="O524" s="376"/>
      <c r="P524" s="376"/>
    </row>
    <row r="525" spans="1:16" s="377" customFormat="1" ht="17.25" outlineLevel="1">
      <c r="A525" s="541"/>
      <c r="B525" s="312"/>
      <c r="C525" s="313" t="s">
        <v>2</v>
      </c>
      <c r="D525" s="323">
        <v>-1</v>
      </c>
      <c r="E525" s="298">
        <v>1</v>
      </c>
      <c r="F525" s="1156">
        <f>3.14*3</f>
        <v>9.42</v>
      </c>
      <c r="G525" s="1156">
        <v>0.34499999999999997</v>
      </c>
      <c r="H525" s="1156">
        <v>0.3</v>
      </c>
      <c r="I525" s="399">
        <f t="shared" si="57"/>
        <v>-0.97</v>
      </c>
      <c r="J525" s="374"/>
      <c r="K525" s="163"/>
      <c r="L525" s="376"/>
      <c r="M525" s="376"/>
      <c r="N525" s="376"/>
      <c r="O525" s="376"/>
      <c r="P525" s="376"/>
    </row>
    <row r="526" spans="1:16" s="377" customFormat="1" ht="17.25" outlineLevel="1">
      <c r="A526" s="541"/>
      <c r="B526" s="312"/>
      <c r="C526" s="313" t="s">
        <v>2</v>
      </c>
      <c r="D526" s="323">
        <v>-1</v>
      </c>
      <c r="E526" s="298">
        <v>1</v>
      </c>
      <c r="F526" s="1156">
        <f>3.14*3</f>
        <v>9.42</v>
      </c>
      <c r="G526" s="1156">
        <v>0.23</v>
      </c>
      <c r="H526" s="1156">
        <f>1.2-0.15-0.3-0.3-0.06-0.2</f>
        <v>0.19</v>
      </c>
      <c r="I526" s="399">
        <f t="shared" si="57"/>
        <v>-0.41</v>
      </c>
      <c r="J526" s="374"/>
      <c r="K526" s="163"/>
      <c r="L526" s="376"/>
      <c r="M526" s="376"/>
      <c r="N526" s="376"/>
      <c r="O526" s="376"/>
      <c r="P526" s="376"/>
    </row>
    <row r="527" spans="1:16" s="377" customFormat="1" ht="17.25" outlineLevel="1">
      <c r="A527" s="414"/>
      <c r="B527" s="425"/>
      <c r="C527" s="165"/>
      <c r="D527" s="548"/>
      <c r="E527" s="307"/>
      <c r="F527" s="401"/>
      <c r="G527" s="401"/>
      <c r="H527" s="401"/>
      <c r="I527" s="399" t="str">
        <f t="shared" si="57"/>
        <v/>
      </c>
      <c r="J527" s="394"/>
      <c r="K527" s="394"/>
      <c r="L527" s="376"/>
      <c r="M527" s="376"/>
      <c r="N527" s="376"/>
      <c r="O527" s="376"/>
      <c r="P527" s="376"/>
    </row>
    <row r="528" spans="1:16" s="377" customFormat="1" ht="69" outlineLevel="1">
      <c r="A528" s="617">
        <v>4</v>
      </c>
      <c r="B528" s="453" t="s">
        <v>1170</v>
      </c>
      <c r="C528" s="165"/>
      <c r="D528" s="548"/>
      <c r="E528" s="307"/>
      <c r="F528" s="401"/>
      <c r="G528" s="401"/>
      <c r="H528" s="401"/>
      <c r="I528" s="399" t="str">
        <f t="shared" si="57"/>
        <v/>
      </c>
      <c r="J528" s="394"/>
      <c r="K528" s="394"/>
      <c r="L528" s="376"/>
      <c r="M528" s="376"/>
      <c r="N528" s="376"/>
      <c r="O528" s="376"/>
      <c r="P528" s="376"/>
    </row>
    <row r="529" spans="1:16" s="377" customFormat="1" ht="17.25" outlineLevel="1">
      <c r="A529" s="414"/>
      <c r="B529" s="425" t="s">
        <v>1171</v>
      </c>
      <c r="C529" s="165" t="s">
        <v>2</v>
      </c>
      <c r="D529" s="548">
        <v>1</v>
      </c>
      <c r="E529" s="307">
        <v>2</v>
      </c>
      <c r="F529" s="401">
        <f>0.75+0.2+0.2</f>
        <v>1.1499999999999999</v>
      </c>
      <c r="G529" s="401">
        <v>0.23</v>
      </c>
      <c r="H529" s="401">
        <v>0.85</v>
      </c>
      <c r="I529" s="399">
        <f t="shared" si="57"/>
        <v>0.45</v>
      </c>
      <c r="J529" s="394"/>
      <c r="K529" s="394"/>
      <c r="L529" s="376"/>
      <c r="M529" s="376"/>
      <c r="N529" s="376"/>
      <c r="O529" s="376"/>
      <c r="P529" s="376"/>
    </row>
    <row r="530" spans="1:16" s="377" customFormat="1" ht="17.25" outlineLevel="1">
      <c r="A530" s="414"/>
      <c r="B530" s="425"/>
      <c r="C530" s="165" t="s">
        <v>2</v>
      </c>
      <c r="D530" s="548">
        <v>1</v>
      </c>
      <c r="E530" s="307">
        <v>2</v>
      </c>
      <c r="F530" s="401">
        <f>0.75+0.2+0.2+0.23+0.23</f>
        <v>1.6099999999999999</v>
      </c>
      <c r="G530" s="401">
        <v>0.23</v>
      </c>
      <c r="H530" s="401">
        <v>0.85</v>
      </c>
      <c r="I530" s="399">
        <f t="shared" si="57"/>
        <v>0.63</v>
      </c>
      <c r="J530" s="394"/>
      <c r="K530" s="394"/>
      <c r="L530" s="376"/>
      <c r="M530" s="376"/>
      <c r="N530" s="376"/>
      <c r="O530" s="376"/>
      <c r="P530" s="376"/>
    </row>
    <row r="531" spans="1:16" s="377" customFormat="1" ht="17.25" outlineLevel="1">
      <c r="A531" s="414"/>
      <c r="B531" s="425" t="s">
        <v>1164</v>
      </c>
      <c r="C531" s="165" t="s">
        <v>2</v>
      </c>
      <c r="D531" s="548">
        <v>1</v>
      </c>
      <c r="E531" s="307">
        <v>2</v>
      </c>
      <c r="F531" s="401">
        <f>1+0.2+0.2</f>
        <v>1.4</v>
      </c>
      <c r="G531" s="401">
        <v>0.23</v>
      </c>
      <c r="H531" s="401">
        <v>0.85</v>
      </c>
      <c r="I531" s="399">
        <f t="shared" si="57"/>
        <v>0.55000000000000004</v>
      </c>
      <c r="J531" s="394"/>
      <c r="K531" s="394"/>
      <c r="L531" s="376"/>
      <c r="M531" s="376"/>
      <c r="N531" s="376"/>
      <c r="O531" s="376"/>
      <c r="P531" s="376"/>
    </row>
    <row r="532" spans="1:16" s="377" customFormat="1" ht="17.25" outlineLevel="1">
      <c r="A532" s="414"/>
      <c r="B532" s="425"/>
      <c r="C532" s="165" t="s">
        <v>2</v>
      </c>
      <c r="D532" s="548">
        <v>1</v>
      </c>
      <c r="E532" s="307">
        <v>2</v>
      </c>
      <c r="F532" s="401">
        <f>1+0.2+0.2+0.23+0.23</f>
        <v>1.8599999999999999</v>
      </c>
      <c r="G532" s="401">
        <v>0.23</v>
      </c>
      <c r="H532" s="401">
        <v>0.85</v>
      </c>
      <c r="I532" s="399">
        <f t="shared" si="57"/>
        <v>0.73</v>
      </c>
      <c r="J532" s="394"/>
      <c r="K532" s="394"/>
      <c r="L532" s="376"/>
      <c r="M532" s="376"/>
      <c r="N532" s="376"/>
      <c r="O532" s="376"/>
      <c r="P532" s="376"/>
    </row>
    <row r="533" spans="1:16" s="42" customFormat="1">
      <c r="A533" s="41"/>
      <c r="B533" s="34" t="s">
        <v>85</v>
      </c>
      <c r="C533" s="49" t="s">
        <v>2</v>
      </c>
      <c r="D533" s="655"/>
      <c r="E533" s="656"/>
      <c r="F533" s="654"/>
      <c r="G533" s="654"/>
      <c r="H533" s="654"/>
      <c r="I533" s="46" t="str">
        <f>IF(D533&lt;&gt;0,ROUND(PRODUCT(E533:H533)*D533,2),"")</f>
        <v/>
      </c>
      <c r="J533" s="227">
        <f>SUM(I260:I533)</f>
        <v>122.93000000000006</v>
      </c>
      <c r="K533" s="43"/>
      <c r="L533" s="44"/>
      <c r="M533" s="44"/>
      <c r="N533" s="44"/>
      <c r="O533" s="44"/>
      <c r="P533" s="44"/>
    </row>
    <row r="534" spans="1:16" s="165" customFormat="1" ht="17.25">
      <c r="A534" s="160"/>
      <c r="B534" s="366"/>
      <c r="C534" s="323"/>
      <c r="D534" s="306"/>
      <c r="E534" s="319"/>
      <c r="F534" s="640"/>
      <c r="G534" s="640"/>
      <c r="H534" s="640"/>
      <c r="I534" s="294" t="str">
        <f t="shared" ref="I534" si="58">IF(D534&lt;&gt;0,ROUND(PRODUCT(E534:H534)*D534,2),"")</f>
        <v/>
      </c>
      <c r="J534" s="162"/>
      <c r="K534" s="163"/>
      <c r="L534" s="164"/>
      <c r="M534" s="164"/>
      <c r="N534" s="164"/>
      <c r="O534" s="164"/>
      <c r="P534" s="164"/>
    </row>
    <row r="535" spans="1:16" s="39" customFormat="1">
      <c r="A535" s="259"/>
      <c r="B535" s="33" t="s">
        <v>86</v>
      </c>
      <c r="C535" s="23" t="s">
        <v>2</v>
      </c>
      <c r="D535" s="649"/>
      <c r="E535" s="16"/>
      <c r="F535" s="1"/>
      <c r="G535" s="1"/>
      <c r="H535" s="1"/>
      <c r="I535" s="46" t="str">
        <f>IF(D535&lt;&gt;0,ROUND(PRODUCT(E535:H535)*D535,2),"")</f>
        <v/>
      </c>
      <c r="J535" s="36">
        <f>SUM(I533:I535)</f>
        <v>0</v>
      </c>
      <c r="K535" s="35" t="s">
        <v>1690</v>
      </c>
      <c r="L535" s="40"/>
      <c r="M535" s="40"/>
      <c r="N535" s="40"/>
      <c r="O535" s="40"/>
      <c r="P535" s="40"/>
    </row>
    <row r="536" spans="1:16">
      <c r="A536" s="259"/>
      <c r="E536" s="16"/>
      <c r="F536" s="1"/>
      <c r="G536" s="1"/>
      <c r="H536" s="1"/>
      <c r="I536" s="46" t="str">
        <f>IF(D536&lt;&gt;0,ROUND(PRODUCT(E536:H536)*D536,2),"")</f>
        <v/>
      </c>
      <c r="J536" s="31">
        <f>SUM(J533:J535)</f>
        <v>122.93000000000006</v>
      </c>
      <c r="K536" s="17"/>
    </row>
    <row r="537" spans="1:16" s="408" customFormat="1" ht="17.25">
      <c r="A537" s="420">
        <v>5</v>
      </c>
      <c r="B537" s="421" t="s">
        <v>1066</v>
      </c>
      <c r="C537" s="422"/>
      <c r="D537" s="422"/>
      <c r="E537" s="436"/>
      <c r="F537" s="436"/>
      <c r="G537" s="436"/>
      <c r="H537" s="436"/>
      <c r="I537" s="423"/>
      <c r="J537" s="423"/>
      <c r="K537" s="424"/>
      <c r="L537" s="407"/>
      <c r="M537" s="407"/>
      <c r="N537" s="407"/>
    </row>
    <row r="538" spans="1:16" s="398" customFormat="1" ht="34.5" outlineLevel="1">
      <c r="A538" s="388"/>
      <c r="B538" s="503" t="s">
        <v>1067</v>
      </c>
      <c r="C538" s="165"/>
      <c r="D538" s="392"/>
      <c r="E538" s="323"/>
      <c r="F538" s="323"/>
      <c r="G538" s="323"/>
      <c r="H538" s="323"/>
      <c r="I538" s="294"/>
      <c r="J538" s="374"/>
      <c r="K538" s="163"/>
      <c r="L538" s="431"/>
      <c r="M538" s="431"/>
      <c r="N538" s="431"/>
    </row>
    <row r="539" spans="1:16" s="398" customFormat="1" ht="34.5" outlineLevel="1">
      <c r="A539" s="388"/>
      <c r="B539" s="504" t="s">
        <v>1271</v>
      </c>
      <c r="C539" s="165"/>
      <c r="D539" s="392"/>
      <c r="E539" s="323"/>
      <c r="F539" s="323" t="s">
        <v>624</v>
      </c>
      <c r="G539" s="323"/>
      <c r="H539" s="323"/>
      <c r="I539" s="294" t="str">
        <f t="shared" ref="I539:I561" si="59">IF(D539&lt;&gt;0,ROUND(PRODUCT(E539:H539)*D539,2),"")</f>
        <v/>
      </c>
      <c r="J539" s="374"/>
      <c r="K539" s="163"/>
      <c r="L539" s="431"/>
      <c r="M539" s="431"/>
      <c r="N539" s="431"/>
    </row>
    <row r="540" spans="1:16" s="398" customFormat="1" ht="17.25" outlineLevel="1">
      <c r="A540" s="388"/>
      <c r="B540" s="369" t="s">
        <v>1272</v>
      </c>
      <c r="C540" s="165" t="s">
        <v>1</v>
      </c>
      <c r="D540" s="505">
        <f>1</f>
        <v>1</v>
      </c>
      <c r="E540" s="492">
        <v>1</v>
      </c>
      <c r="F540" s="326">
        <f>3.14*3.5^2</f>
        <v>38.465000000000003</v>
      </c>
      <c r="G540" s="323"/>
      <c r="H540" s="323"/>
      <c r="I540" s="399">
        <f t="shared" si="59"/>
        <v>38.47</v>
      </c>
      <c r="J540" s="374"/>
      <c r="K540" s="163" t="s">
        <v>860</v>
      </c>
      <c r="L540" s="431"/>
      <c r="M540" s="431"/>
      <c r="N540" s="431"/>
    </row>
    <row r="541" spans="1:16" s="398" customFormat="1" ht="17.25" outlineLevel="1">
      <c r="A541" s="388"/>
      <c r="B541" s="369" t="s">
        <v>1070</v>
      </c>
      <c r="C541" s="165"/>
      <c r="D541" s="505"/>
      <c r="E541" s="492"/>
      <c r="F541" s="326"/>
      <c r="G541" s="323"/>
      <c r="H541" s="323"/>
      <c r="I541" s="399" t="str">
        <f t="shared" si="59"/>
        <v/>
      </c>
      <c r="J541" s="374"/>
      <c r="K541" s="163"/>
      <c r="L541" s="431"/>
      <c r="M541" s="431"/>
      <c r="N541" s="431"/>
    </row>
    <row r="542" spans="1:16" s="398" customFormat="1" ht="17.25" outlineLevel="1">
      <c r="A542" s="388"/>
      <c r="B542" s="504" t="s">
        <v>1273</v>
      </c>
      <c r="C542" s="165" t="s">
        <v>1</v>
      </c>
      <c r="D542" s="505">
        <v>2</v>
      </c>
      <c r="E542" s="492">
        <v>2</v>
      </c>
      <c r="F542" s="326">
        <v>0.75</v>
      </c>
      <c r="G542" s="323"/>
      <c r="H542" s="323">
        <v>0.85</v>
      </c>
      <c r="I542" s="399">
        <f t="shared" si="59"/>
        <v>2.5499999999999998</v>
      </c>
      <c r="J542" s="374"/>
      <c r="K542" s="163"/>
      <c r="L542" s="431"/>
      <c r="M542" s="431"/>
      <c r="N542" s="431"/>
    </row>
    <row r="543" spans="1:16" s="398" customFormat="1" ht="17.25" outlineLevel="1">
      <c r="A543" s="295"/>
      <c r="B543" s="322"/>
      <c r="C543" s="165" t="s">
        <v>1</v>
      </c>
      <c r="D543" s="505">
        <v>2</v>
      </c>
      <c r="E543" s="492">
        <v>2</v>
      </c>
      <c r="F543" s="326">
        <f>0.9+0.2+0.2</f>
        <v>1.3</v>
      </c>
      <c r="G543" s="323"/>
      <c r="H543" s="323">
        <v>0.85</v>
      </c>
      <c r="I543" s="399">
        <f t="shared" si="59"/>
        <v>4.42</v>
      </c>
      <c r="J543" s="483"/>
      <c r="K543" s="295"/>
      <c r="L543" s="431"/>
      <c r="M543" s="431"/>
      <c r="N543" s="431"/>
    </row>
    <row r="544" spans="1:16" s="398" customFormat="1" ht="17.25" outlineLevel="1">
      <c r="A544" s="295"/>
      <c r="B544" s="322" t="s">
        <v>1071</v>
      </c>
      <c r="C544" s="165" t="s">
        <v>1</v>
      </c>
      <c r="D544" s="492">
        <v>1</v>
      </c>
      <c r="E544" s="492">
        <v>1</v>
      </c>
      <c r="F544" s="568">
        <f>PI()*7</f>
        <v>21.991148575128552</v>
      </c>
      <c r="G544" s="323"/>
      <c r="H544" s="323">
        <f>0.3+0.5</f>
        <v>0.8</v>
      </c>
      <c r="I544" s="399">
        <f t="shared" si="59"/>
        <v>17.59</v>
      </c>
      <c r="J544" s="483"/>
      <c r="K544" s="295"/>
      <c r="L544" s="431"/>
      <c r="M544" s="431"/>
      <c r="N544" s="431"/>
    </row>
    <row r="545" spans="1:14" s="377" customFormat="1" ht="17.25" customHeight="1" outlineLevel="1">
      <c r="A545" s="414"/>
      <c r="B545" s="311" t="s">
        <v>1274</v>
      </c>
      <c r="C545" s="165" t="s">
        <v>1</v>
      </c>
      <c r="D545" s="492">
        <v>1</v>
      </c>
      <c r="E545" s="492">
        <v>1</v>
      </c>
      <c r="F545" s="394">
        <v>1</v>
      </c>
      <c r="G545" s="394">
        <v>1</v>
      </c>
      <c r="H545" s="394"/>
      <c r="I545" s="399">
        <f t="shared" si="59"/>
        <v>1</v>
      </c>
      <c r="J545" s="394"/>
      <c r="K545" s="394"/>
      <c r="L545" s="376"/>
      <c r="M545" s="376"/>
      <c r="N545" s="376"/>
    </row>
    <row r="546" spans="1:14" s="377" customFormat="1" ht="17.25" customHeight="1" outlineLevel="1">
      <c r="A546" s="414"/>
      <c r="B546" s="311"/>
      <c r="C546" s="165" t="s">
        <v>1</v>
      </c>
      <c r="D546" s="492">
        <v>1</v>
      </c>
      <c r="E546" s="492">
        <v>4</v>
      </c>
      <c r="F546" s="394">
        <v>1</v>
      </c>
      <c r="G546" s="394"/>
      <c r="H546" s="394">
        <v>1</v>
      </c>
      <c r="I546" s="399">
        <f t="shared" si="59"/>
        <v>4</v>
      </c>
      <c r="J546" s="394"/>
      <c r="K546" s="394"/>
      <c r="L546" s="376"/>
      <c r="M546" s="376"/>
      <c r="N546" s="376"/>
    </row>
    <row r="547" spans="1:14" s="870" customFormat="1" ht="34.5" outlineLevel="1" collapsed="1">
      <c r="A547" s="876" t="s">
        <v>457</v>
      </c>
      <c r="B547" s="877" t="s">
        <v>1067</v>
      </c>
      <c r="C547" s="854"/>
      <c r="D547" s="878"/>
      <c r="E547" s="879"/>
      <c r="F547" s="879"/>
      <c r="G547" s="879"/>
      <c r="H547" s="879"/>
      <c r="I547" s="399" t="str">
        <f t="shared" si="59"/>
        <v/>
      </c>
      <c r="J547" s="880"/>
      <c r="K547" s="881"/>
      <c r="L547" s="869"/>
      <c r="M547" s="869"/>
      <c r="N547" s="869"/>
    </row>
    <row r="548" spans="1:14" s="870" customFormat="1" ht="34.5" outlineLevel="1">
      <c r="A548" s="876"/>
      <c r="B548" s="877" t="s">
        <v>1271</v>
      </c>
      <c r="C548" s="854"/>
      <c r="D548" s="878"/>
      <c r="E548" s="879"/>
      <c r="F548" s="879" t="s">
        <v>624</v>
      </c>
      <c r="G548" s="879"/>
      <c r="H548" s="879"/>
      <c r="I548" s="399" t="str">
        <f t="shared" si="59"/>
        <v/>
      </c>
      <c r="J548" s="880"/>
      <c r="K548" s="881"/>
      <c r="L548" s="869"/>
      <c r="M548" s="869"/>
      <c r="N548" s="869"/>
    </row>
    <row r="549" spans="1:14" s="870" customFormat="1" ht="17.25" outlineLevel="1">
      <c r="A549" s="876"/>
      <c r="B549" s="877" t="s">
        <v>1272</v>
      </c>
      <c r="C549" s="854" t="s">
        <v>1</v>
      </c>
      <c r="D549" s="878">
        <f>1</f>
        <v>1</v>
      </c>
      <c r="E549" s="879">
        <v>1</v>
      </c>
      <c r="F549" s="879">
        <f>3.14*3.5^2</f>
        <v>38.465000000000003</v>
      </c>
      <c r="G549" s="879"/>
      <c r="H549" s="879"/>
      <c r="I549" s="399">
        <f t="shared" si="59"/>
        <v>38.47</v>
      </c>
      <c r="J549" s="880"/>
      <c r="K549" s="881"/>
      <c r="L549" s="869"/>
      <c r="M549" s="869"/>
      <c r="N549" s="869"/>
    </row>
    <row r="550" spans="1:14" s="870" customFormat="1" ht="17.25" outlineLevel="1">
      <c r="A550" s="876"/>
      <c r="B550" s="877" t="s">
        <v>1070</v>
      </c>
      <c r="C550" s="854"/>
      <c r="D550" s="878"/>
      <c r="E550" s="879"/>
      <c r="F550" s="879"/>
      <c r="G550" s="879"/>
      <c r="H550" s="879"/>
      <c r="I550" s="399" t="str">
        <f t="shared" si="59"/>
        <v/>
      </c>
      <c r="J550" s="880"/>
      <c r="K550" s="881"/>
      <c r="L550" s="869"/>
      <c r="M550" s="869"/>
      <c r="N550" s="869"/>
    </row>
    <row r="551" spans="1:14" s="870" customFormat="1" ht="17.25" outlineLevel="1">
      <c r="A551" s="876"/>
      <c r="B551" s="877" t="s">
        <v>1273</v>
      </c>
      <c r="C551" s="854" t="s">
        <v>1</v>
      </c>
      <c r="D551" s="878">
        <v>2</v>
      </c>
      <c r="E551" s="879">
        <v>2</v>
      </c>
      <c r="F551" s="879">
        <v>0.75</v>
      </c>
      <c r="G551" s="879"/>
      <c r="H551" s="879">
        <v>0.85</v>
      </c>
      <c r="I551" s="399">
        <f t="shared" si="59"/>
        <v>2.5499999999999998</v>
      </c>
      <c r="J551" s="880"/>
      <c r="K551" s="881"/>
      <c r="L551" s="869"/>
      <c r="M551" s="869"/>
      <c r="N551" s="869"/>
    </row>
    <row r="552" spans="1:14" s="870" customFormat="1" ht="17.25" outlineLevel="1">
      <c r="A552" s="876"/>
      <c r="B552" s="877"/>
      <c r="C552" s="854" t="s">
        <v>1</v>
      </c>
      <c r="D552" s="878">
        <v>2</v>
      </c>
      <c r="E552" s="879">
        <v>2</v>
      </c>
      <c r="F552" s="879">
        <f>0.75+0.2+0.2</f>
        <v>1.1499999999999999</v>
      </c>
      <c r="G552" s="879"/>
      <c r="H552" s="879">
        <v>0.85</v>
      </c>
      <c r="I552" s="399">
        <f t="shared" si="59"/>
        <v>3.91</v>
      </c>
      <c r="J552" s="880"/>
      <c r="K552" s="881"/>
      <c r="L552" s="869"/>
      <c r="M552" s="869"/>
      <c r="N552" s="869"/>
    </row>
    <row r="553" spans="1:14" s="870" customFormat="1" ht="17.25" outlineLevel="1">
      <c r="A553" s="876"/>
      <c r="B553" s="877" t="s">
        <v>1543</v>
      </c>
      <c r="C553" s="854" t="s">
        <v>1</v>
      </c>
      <c r="D553" s="878">
        <v>1</v>
      </c>
      <c r="E553" s="879">
        <v>1</v>
      </c>
      <c r="F553" s="879">
        <f>3.14*7</f>
        <v>21.98</v>
      </c>
      <c r="G553" s="879"/>
      <c r="H553" s="879">
        <f>0.3+0.5</f>
        <v>0.8</v>
      </c>
      <c r="I553" s="399">
        <f t="shared" si="59"/>
        <v>17.579999999999998</v>
      </c>
      <c r="J553" s="880"/>
      <c r="K553" s="881"/>
      <c r="L553" s="869"/>
      <c r="M553" s="869"/>
      <c r="N553" s="869"/>
    </row>
    <row r="554" spans="1:14" s="870" customFormat="1" ht="17.25" outlineLevel="1">
      <c r="A554" s="876"/>
      <c r="B554" s="877"/>
      <c r="C554" s="854"/>
      <c r="D554" s="878"/>
      <c r="E554" s="879"/>
      <c r="F554" s="879"/>
      <c r="G554" s="879"/>
      <c r="H554" s="879"/>
      <c r="I554" s="399" t="str">
        <f t="shared" si="59"/>
        <v/>
      </c>
      <c r="J554" s="880"/>
      <c r="K554" s="881"/>
      <c r="L554" s="869"/>
      <c r="M554" s="869"/>
      <c r="N554" s="869"/>
    </row>
    <row r="555" spans="1:14" s="870" customFormat="1" ht="17.25" outlineLevel="1">
      <c r="A555" s="876"/>
      <c r="B555" s="877" t="s">
        <v>1274</v>
      </c>
      <c r="C555" s="854" t="s">
        <v>1</v>
      </c>
      <c r="D555" s="878">
        <v>1</v>
      </c>
      <c r="E555" s="879">
        <v>1</v>
      </c>
      <c r="F555" s="879">
        <v>1</v>
      </c>
      <c r="G555" s="879">
        <v>1</v>
      </c>
      <c r="H555" s="879"/>
      <c r="I555" s="399">
        <f t="shared" si="59"/>
        <v>1</v>
      </c>
      <c r="J555" s="880"/>
      <c r="K555" s="881"/>
      <c r="L555" s="869"/>
      <c r="M555" s="869"/>
      <c r="N555" s="869"/>
    </row>
    <row r="556" spans="1:14" s="870" customFormat="1" ht="17.25" outlineLevel="1">
      <c r="A556" s="876"/>
      <c r="B556" s="877"/>
      <c r="C556" s="854" t="s">
        <v>1</v>
      </c>
      <c r="D556" s="878">
        <v>1</v>
      </c>
      <c r="E556" s="879">
        <v>4</v>
      </c>
      <c r="F556" s="879">
        <v>1</v>
      </c>
      <c r="G556" s="879"/>
      <c r="H556" s="879">
        <v>1</v>
      </c>
      <c r="I556" s="399">
        <f t="shared" si="59"/>
        <v>4</v>
      </c>
      <c r="J556" s="880"/>
      <c r="K556" s="881"/>
      <c r="L556" s="869"/>
      <c r="M556" s="869"/>
      <c r="N556" s="869"/>
    </row>
    <row r="557" spans="1:14" s="384" customFormat="1" ht="17.25">
      <c r="A557" s="378"/>
      <c r="B557" s="429" t="s">
        <v>85</v>
      </c>
      <c r="C557" s="465" t="s">
        <v>1</v>
      </c>
      <c r="D557" s="638"/>
      <c r="E557" s="345"/>
      <c r="F557" s="626"/>
      <c r="G557" s="626"/>
      <c r="H557" s="626"/>
      <c r="I557" s="399" t="str">
        <f t="shared" si="59"/>
        <v/>
      </c>
      <c r="J557" s="467">
        <f>SUM(I537:I557)</f>
        <v>135.54</v>
      </c>
      <c r="K557" s="435"/>
      <c r="L557" s="383"/>
      <c r="M557" s="383"/>
      <c r="N557" s="383"/>
    </row>
    <row r="558" spans="1:14" s="398" customFormat="1" ht="17.25">
      <c r="A558" s="388"/>
      <c r="B558" s="504"/>
      <c r="C558" s="165" t="s">
        <v>1</v>
      </c>
      <c r="D558" s="392"/>
      <c r="E558" s="323"/>
      <c r="F558" s="323"/>
      <c r="G558" s="323"/>
      <c r="H558" s="323"/>
      <c r="I558" s="399" t="str">
        <f t="shared" si="59"/>
        <v/>
      </c>
      <c r="J558" s="374"/>
      <c r="K558" s="163"/>
      <c r="L558" s="431"/>
      <c r="M558" s="431"/>
      <c r="N558" s="431"/>
    </row>
    <row r="559" spans="1:14" s="398" customFormat="1" ht="17.25">
      <c r="A559" s="388"/>
      <c r="B559" s="504"/>
      <c r="C559" s="165" t="s">
        <v>1</v>
      </c>
      <c r="D559" s="392"/>
      <c r="E559" s="323"/>
      <c r="F559" s="323"/>
      <c r="G559" s="323"/>
      <c r="H559" s="323"/>
      <c r="I559" s="399" t="str">
        <f t="shared" si="59"/>
        <v/>
      </c>
      <c r="J559" s="374"/>
      <c r="K559" s="163"/>
      <c r="L559" s="431"/>
      <c r="M559" s="431"/>
      <c r="N559" s="431"/>
    </row>
    <row r="560" spans="1:14" s="377" customFormat="1" ht="17.25">
      <c r="A560" s="414"/>
      <c r="B560" s="311"/>
      <c r="C560" s="165"/>
      <c r="D560" s="392"/>
      <c r="E560" s="392"/>
      <c r="F560" s="394"/>
      <c r="G560" s="394"/>
      <c r="H560" s="394"/>
      <c r="I560" s="399" t="str">
        <f t="shared" si="59"/>
        <v/>
      </c>
      <c r="J560" s="394"/>
      <c r="K560" s="394"/>
      <c r="L560" s="376"/>
      <c r="M560" s="376"/>
      <c r="N560" s="376"/>
    </row>
    <row r="561" spans="1:16" s="398" customFormat="1" ht="17.25">
      <c r="A561" s="388"/>
      <c r="B561" s="161" t="s">
        <v>928</v>
      </c>
      <c r="C561" s="388" t="s">
        <v>1</v>
      </c>
      <c r="D561" s="392"/>
      <c r="E561" s="165"/>
      <c r="F561" s="310"/>
      <c r="G561" s="310"/>
      <c r="H561" s="310"/>
      <c r="I561" s="399" t="str">
        <f t="shared" si="59"/>
        <v/>
      </c>
      <c r="J561" s="403">
        <f>SUM(I558:I559)</f>
        <v>0</v>
      </c>
      <c r="K561" s="35" t="s">
        <v>1690</v>
      </c>
      <c r="L561" s="431"/>
      <c r="M561" s="431"/>
      <c r="N561" s="431"/>
    </row>
    <row r="562" spans="1:16" s="170" customFormat="1" ht="17.25">
      <c r="A562" s="388"/>
      <c r="B562" s="311"/>
      <c r="C562" s="165"/>
      <c r="D562" s="392"/>
      <c r="E562" s="165"/>
      <c r="F562" s="310"/>
      <c r="G562" s="310"/>
      <c r="H562" s="310"/>
      <c r="I562" s="394" t="str">
        <f>IF(D562&lt;&gt;0,ROUND(PRODUCT(E562:H562)*D562,2),"")</f>
        <v/>
      </c>
      <c r="J562" s="432">
        <f>SUM(J557:J561)</f>
        <v>135.54</v>
      </c>
      <c r="K562" s="468"/>
      <c r="L562" s="169"/>
      <c r="M562" s="169"/>
      <c r="N562" s="169"/>
    </row>
    <row r="563" spans="1:16">
      <c r="A563" s="10">
        <v>1.1000000000000001</v>
      </c>
      <c r="B563" s="372" t="s">
        <v>1248</v>
      </c>
      <c r="C563" s="38"/>
      <c r="D563" s="38"/>
      <c r="E563" s="650"/>
      <c r="F563" s="650"/>
      <c r="G563" s="650"/>
      <c r="H563" s="650"/>
      <c r="I563" s="11"/>
      <c r="J563" s="24"/>
      <c r="K563" s="14"/>
    </row>
    <row r="564" spans="1:16" s="165" customFormat="1" ht="17.25" outlineLevel="1">
      <c r="A564" s="497"/>
      <c r="B564" s="425" t="s">
        <v>1249</v>
      </c>
      <c r="C564" s="414" t="s">
        <v>1</v>
      </c>
      <c r="D564" s="392">
        <v>1</v>
      </c>
      <c r="E564" s="307">
        <v>1</v>
      </c>
      <c r="F564" s="540">
        <v>44.838999999999999</v>
      </c>
      <c r="G564" s="540">
        <v>24.3</v>
      </c>
      <c r="H564" s="540"/>
      <c r="I564" s="399">
        <f t="shared" ref="I564:I627" si="60">IF(D564&lt;&gt;0,ROUND(PRODUCT(E564:H564)*D564,2),"")</f>
        <v>1089.5899999999999</v>
      </c>
      <c r="J564" s="394"/>
      <c r="K564" s="562"/>
      <c r="L564" s="164"/>
      <c r="M564" s="164"/>
      <c r="N564" s="164"/>
      <c r="O564" s="164"/>
      <c r="P564" s="164"/>
    </row>
    <row r="565" spans="1:16" s="165" customFormat="1" ht="17.25" outlineLevel="1">
      <c r="A565" s="497"/>
      <c r="B565" s="425"/>
      <c r="C565" s="414"/>
      <c r="D565" s="392"/>
      <c r="E565" s="307"/>
      <c r="F565" s="540"/>
      <c r="G565" s="540"/>
      <c r="H565" s="540"/>
      <c r="I565" s="399" t="str">
        <f t="shared" si="60"/>
        <v/>
      </c>
      <c r="J565" s="394"/>
      <c r="K565" s="562"/>
      <c r="L565" s="164"/>
      <c r="M565" s="164"/>
      <c r="N565" s="164"/>
      <c r="O565" s="164"/>
      <c r="P565" s="164"/>
    </row>
    <row r="566" spans="1:16" s="165" customFormat="1" ht="17.25" outlineLevel="1">
      <c r="A566" s="497"/>
      <c r="B566" s="453" t="s">
        <v>1250</v>
      </c>
      <c r="C566" s="414"/>
      <c r="D566" s="392"/>
      <c r="E566" s="307"/>
      <c r="F566" s="540"/>
      <c r="G566" s="540"/>
      <c r="H566" s="540"/>
      <c r="I566" s="399" t="str">
        <f t="shared" si="60"/>
        <v/>
      </c>
      <c r="J566" s="394"/>
      <c r="K566" s="562"/>
      <c r="L566" s="164"/>
      <c r="M566" s="164"/>
      <c r="N566" s="164"/>
      <c r="O566" s="164"/>
      <c r="P566" s="164"/>
    </row>
    <row r="567" spans="1:16" s="165" customFormat="1" ht="34.5" outlineLevel="1">
      <c r="A567" s="497"/>
      <c r="B567" s="425" t="s">
        <v>1179</v>
      </c>
      <c r="C567" s="414" t="s">
        <v>1</v>
      </c>
      <c r="D567" s="392">
        <v>-1</v>
      </c>
      <c r="E567" s="307">
        <v>1</v>
      </c>
      <c r="F567" s="540">
        <f>12566371/1000000</f>
        <v>12.566371</v>
      </c>
      <c r="G567" s="540"/>
      <c r="H567" s="540"/>
      <c r="I567" s="399">
        <f t="shared" si="60"/>
        <v>-12.57</v>
      </c>
      <c r="J567" s="394"/>
      <c r="K567" s="394" t="s">
        <v>860</v>
      </c>
      <c r="L567" s="164"/>
      <c r="M567" s="164"/>
      <c r="N567" s="164"/>
      <c r="O567" s="164"/>
      <c r="P567" s="164"/>
    </row>
    <row r="568" spans="1:16" s="165" customFormat="1" ht="34.5" outlineLevel="1">
      <c r="A568" s="497"/>
      <c r="B568" s="425" t="s">
        <v>1181</v>
      </c>
      <c r="C568" s="414" t="s">
        <v>1</v>
      </c>
      <c r="D568" s="392">
        <v>-1</v>
      </c>
      <c r="E568" s="307">
        <v>1</v>
      </c>
      <c r="F568" s="540">
        <f>12566371/1000000</f>
        <v>12.566371</v>
      </c>
      <c r="G568" s="540"/>
      <c r="H568" s="540"/>
      <c r="I568" s="399">
        <f t="shared" si="60"/>
        <v>-12.57</v>
      </c>
      <c r="J568" s="394"/>
      <c r="K568" s="394" t="s">
        <v>860</v>
      </c>
      <c r="L568" s="164"/>
      <c r="M568" s="164"/>
      <c r="N568" s="164"/>
      <c r="O568" s="164"/>
      <c r="P568" s="164"/>
    </row>
    <row r="569" spans="1:16" s="165" customFormat="1" ht="34.5" outlineLevel="1">
      <c r="A569" s="497"/>
      <c r="B569" s="425" t="s">
        <v>1182</v>
      </c>
      <c r="C569" s="414" t="s">
        <v>1</v>
      </c>
      <c r="D569" s="392">
        <v>-1</v>
      </c>
      <c r="E569" s="307">
        <v>1</v>
      </c>
      <c r="F569" s="543">
        <f>4523893/1000000</f>
        <v>4.5238930000000002</v>
      </c>
      <c r="G569" s="540"/>
      <c r="H569" s="540"/>
      <c r="I569" s="399">
        <f t="shared" si="60"/>
        <v>-4.5199999999999996</v>
      </c>
      <c r="J569" s="394"/>
      <c r="K569" s="394" t="s">
        <v>860</v>
      </c>
      <c r="L569" s="164"/>
      <c r="M569" s="164"/>
      <c r="N569" s="164"/>
      <c r="O569" s="164"/>
      <c r="P569" s="164"/>
    </row>
    <row r="570" spans="1:16" s="165" customFormat="1" ht="34.5" outlineLevel="1">
      <c r="A570" s="497"/>
      <c r="B570" s="425" t="s">
        <v>1183</v>
      </c>
      <c r="C570" s="414" t="s">
        <v>1</v>
      </c>
      <c r="D570" s="392">
        <v>-1</v>
      </c>
      <c r="E570" s="307">
        <v>1</v>
      </c>
      <c r="F570" s="540">
        <f>10511010/1000000</f>
        <v>10.511010000000001</v>
      </c>
      <c r="G570" s="540"/>
      <c r="H570" s="540"/>
      <c r="I570" s="399">
        <f t="shared" si="60"/>
        <v>-10.51</v>
      </c>
      <c r="J570" s="394"/>
      <c r="K570" s="394" t="s">
        <v>860</v>
      </c>
      <c r="L570" s="164"/>
      <c r="M570" s="164"/>
      <c r="N570" s="164"/>
      <c r="O570" s="164"/>
      <c r="P570" s="164"/>
    </row>
    <row r="571" spans="1:16" s="165" customFormat="1" ht="34.5" outlineLevel="1">
      <c r="A571" s="497"/>
      <c r="B571" s="425" t="s">
        <v>1184</v>
      </c>
      <c r="C571" s="414" t="s">
        <v>1</v>
      </c>
      <c r="D571" s="392">
        <v>-1</v>
      </c>
      <c r="E571" s="307">
        <v>1</v>
      </c>
      <c r="F571" s="540">
        <f>3141593/1000000</f>
        <v>3.1415929999999999</v>
      </c>
      <c r="G571" s="540"/>
      <c r="H571" s="540"/>
      <c r="I571" s="399">
        <f t="shared" si="60"/>
        <v>-3.14</v>
      </c>
      <c r="J571" s="394"/>
      <c r="K571" s="394" t="s">
        <v>860</v>
      </c>
      <c r="L571" s="164"/>
      <c r="M571" s="164"/>
      <c r="N571" s="164"/>
      <c r="O571" s="164"/>
      <c r="P571" s="164"/>
    </row>
    <row r="572" spans="1:16" s="165" customFormat="1" ht="34.5" outlineLevel="1">
      <c r="A572" s="497"/>
      <c r="B572" s="425" t="s">
        <v>1185</v>
      </c>
      <c r="C572" s="414" t="s">
        <v>1</v>
      </c>
      <c r="D572" s="392">
        <v>-1</v>
      </c>
      <c r="E572" s="307">
        <v>1</v>
      </c>
      <c r="F572" s="540">
        <f>22902210/1000000</f>
        <v>22.90221</v>
      </c>
      <c r="G572" s="540"/>
      <c r="H572" s="540"/>
      <c r="I572" s="399">
        <f t="shared" si="60"/>
        <v>-22.9</v>
      </c>
      <c r="J572" s="394"/>
      <c r="K572" s="394" t="s">
        <v>860</v>
      </c>
      <c r="L572" s="164"/>
      <c r="M572" s="164"/>
      <c r="N572" s="164"/>
      <c r="O572" s="164"/>
      <c r="P572" s="164"/>
    </row>
    <row r="573" spans="1:16" s="165" customFormat="1" ht="34.5" outlineLevel="1">
      <c r="A573" s="497"/>
      <c r="B573" s="425" t="s">
        <v>1187</v>
      </c>
      <c r="C573" s="414" t="s">
        <v>1</v>
      </c>
      <c r="D573" s="392">
        <v>-1</v>
      </c>
      <c r="E573" s="307">
        <v>1</v>
      </c>
      <c r="F573" s="540">
        <f>3801327/1000000</f>
        <v>3.8013270000000001</v>
      </c>
      <c r="G573" s="540"/>
      <c r="H573" s="540"/>
      <c r="I573" s="399">
        <f t="shared" si="60"/>
        <v>-3.8</v>
      </c>
      <c r="J573" s="394"/>
      <c r="K573" s="394" t="s">
        <v>860</v>
      </c>
      <c r="L573" s="164"/>
      <c r="M573" s="164"/>
      <c r="N573" s="164"/>
      <c r="O573" s="164"/>
      <c r="P573" s="164"/>
    </row>
    <row r="574" spans="1:16" s="165" customFormat="1" ht="34.5" outlineLevel="1">
      <c r="A574" s="497"/>
      <c r="B574" s="425" t="s">
        <v>1188</v>
      </c>
      <c r="C574" s="414" t="s">
        <v>1</v>
      </c>
      <c r="D574" s="392">
        <v>-1</v>
      </c>
      <c r="E574" s="307">
        <v>1</v>
      </c>
      <c r="F574" s="540">
        <f>1767146/1000000</f>
        <v>1.7671460000000001</v>
      </c>
      <c r="G574" s="540"/>
      <c r="H574" s="540"/>
      <c r="I574" s="399">
        <f t="shared" si="60"/>
        <v>-1.77</v>
      </c>
      <c r="J574" s="394"/>
      <c r="K574" s="394" t="s">
        <v>860</v>
      </c>
      <c r="L574" s="164"/>
      <c r="M574" s="164"/>
      <c r="N574" s="164"/>
      <c r="O574" s="164"/>
      <c r="P574" s="164"/>
    </row>
    <row r="575" spans="1:16" s="165" customFormat="1" ht="34.5" outlineLevel="1">
      <c r="A575" s="497"/>
      <c r="B575" s="425" t="s">
        <v>1189</v>
      </c>
      <c r="C575" s="414" t="s">
        <v>1</v>
      </c>
      <c r="D575" s="392">
        <v>-1</v>
      </c>
      <c r="E575" s="307">
        <v>1</v>
      </c>
      <c r="F575" s="540">
        <f>1767146/1000000</f>
        <v>1.7671460000000001</v>
      </c>
      <c r="G575" s="540"/>
      <c r="H575" s="540"/>
      <c r="I575" s="399">
        <f t="shared" si="60"/>
        <v>-1.77</v>
      </c>
      <c r="J575" s="394"/>
      <c r="K575" s="394" t="s">
        <v>860</v>
      </c>
      <c r="L575" s="164"/>
      <c r="M575" s="164"/>
      <c r="N575" s="164"/>
      <c r="O575" s="164"/>
      <c r="P575" s="164"/>
    </row>
    <row r="576" spans="1:16" s="165" customFormat="1" ht="34.5" outlineLevel="1">
      <c r="A576" s="497"/>
      <c r="B576" s="425" t="s">
        <v>1190</v>
      </c>
      <c r="C576" s="414" t="s">
        <v>1</v>
      </c>
      <c r="D576" s="392">
        <v>-1</v>
      </c>
      <c r="E576" s="307">
        <v>1</v>
      </c>
      <c r="F576" s="540">
        <f>11341149/1000000</f>
        <v>11.341149</v>
      </c>
      <c r="G576" s="540"/>
      <c r="H576" s="540"/>
      <c r="I576" s="399">
        <f t="shared" si="60"/>
        <v>-11.34</v>
      </c>
      <c r="J576" s="394"/>
      <c r="K576" s="394" t="s">
        <v>860</v>
      </c>
      <c r="L576" s="164"/>
      <c r="M576" s="164"/>
      <c r="N576" s="164"/>
      <c r="O576" s="164"/>
      <c r="P576" s="164"/>
    </row>
    <row r="577" spans="1:16" s="165" customFormat="1" ht="34.5" outlineLevel="1">
      <c r="A577" s="497"/>
      <c r="B577" s="425" t="s">
        <v>1191</v>
      </c>
      <c r="C577" s="414" t="s">
        <v>1</v>
      </c>
      <c r="D577" s="392">
        <v>-1</v>
      </c>
      <c r="E577" s="307">
        <v>1</v>
      </c>
      <c r="F577" s="540">
        <f>4523893/1000000</f>
        <v>4.5238930000000002</v>
      </c>
      <c r="G577" s="540"/>
      <c r="H577" s="540"/>
      <c r="I577" s="399">
        <f t="shared" si="60"/>
        <v>-4.5199999999999996</v>
      </c>
      <c r="J577" s="394"/>
      <c r="K577" s="394" t="s">
        <v>860</v>
      </c>
      <c r="L577" s="164"/>
      <c r="M577" s="164"/>
      <c r="N577" s="164"/>
      <c r="O577" s="164"/>
      <c r="P577" s="164"/>
    </row>
    <row r="578" spans="1:16" s="165" customFormat="1" ht="34.5" outlineLevel="1">
      <c r="A578" s="497"/>
      <c r="B578" s="425" t="s">
        <v>1192</v>
      </c>
      <c r="C578" s="414" t="s">
        <v>1</v>
      </c>
      <c r="D578" s="392">
        <v>-1</v>
      </c>
      <c r="E578" s="307">
        <v>1</v>
      </c>
      <c r="F578" s="540">
        <f>8042477/1000000</f>
        <v>8.0424769999999999</v>
      </c>
      <c r="G578" s="540"/>
      <c r="H578" s="540"/>
      <c r="I578" s="399">
        <f t="shared" si="60"/>
        <v>-8.0399999999999991</v>
      </c>
      <c r="J578" s="394"/>
      <c r="K578" s="394" t="s">
        <v>860</v>
      </c>
      <c r="L578" s="164"/>
      <c r="M578" s="164"/>
      <c r="N578" s="164"/>
      <c r="O578" s="164"/>
      <c r="P578" s="164"/>
    </row>
    <row r="579" spans="1:16" s="165" customFormat="1" ht="34.5" outlineLevel="1">
      <c r="A579" s="497"/>
      <c r="B579" s="425" t="s">
        <v>1193</v>
      </c>
      <c r="C579" s="414" t="s">
        <v>1</v>
      </c>
      <c r="D579" s="392">
        <v>-1</v>
      </c>
      <c r="E579" s="307">
        <v>1</v>
      </c>
      <c r="F579" s="540">
        <f>5309292/1000000</f>
        <v>5.3092920000000001</v>
      </c>
      <c r="G579" s="540"/>
      <c r="H579" s="540"/>
      <c r="I579" s="399">
        <f t="shared" si="60"/>
        <v>-5.31</v>
      </c>
      <c r="J579" s="394"/>
      <c r="K579" s="394" t="s">
        <v>860</v>
      </c>
      <c r="L579" s="164"/>
      <c r="M579" s="164"/>
      <c r="N579" s="164"/>
      <c r="O579" s="164"/>
      <c r="P579" s="164"/>
    </row>
    <row r="580" spans="1:16" s="165" customFormat="1" ht="34.5" outlineLevel="1">
      <c r="A580" s="497"/>
      <c r="B580" s="425" t="s">
        <v>1194</v>
      </c>
      <c r="C580" s="414" t="s">
        <v>1</v>
      </c>
      <c r="D580" s="392">
        <v>-1</v>
      </c>
      <c r="E580" s="307">
        <v>1</v>
      </c>
      <c r="F580" s="540">
        <f>7068583/1000000</f>
        <v>7.0685830000000003</v>
      </c>
      <c r="G580" s="540"/>
      <c r="H580" s="540"/>
      <c r="I580" s="399">
        <f t="shared" si="60"/>
        <v>-7.07</v>
      </c>
      <c r="J580" s="394"/>
      <c r="K580" s="394" t="s">
        <v>860</v>
      </c>
      <c r="L580" s="164"/>
      <c r="M580" s="164"/>
      <c r="N580" s="164"/>
      <c r="O580" s="164"/>
      <c r="P580" s="164"/>
    </row>
    <row r="581" spans="1:16" s="165" customFormat="1" ht="34.5" outlineLevel="1">
      <c r="A581" s="497"/>
      <c r="B581" s="425" t="s">
        <v>1195</v>
      </c>
      <c r="C581" s="414" t="s">
        <v>1</v>
      </c>
      <c r="D581" s="392">
        <v>-1</v>
      </c>
      <c r="E581" s="307">
        <v>1</v>
      </c>
      <c r="F581" s="540">
        <f>5725553/1000000</f>
        <v>5.7255529999999997</v>
      </c>
      <c r="G581" s="540"/>
      <c r="H581" s="540"/>
      <c r="I581" s="399">
        <f t="shared" si="60"/>
        <v>-5.73</v>
      </c>
      <c r="J581" s="394"/>
      <c r="K581" s="394" t="s">
        <v>860</v>
      </c>
      <c r="L581" s="164"/>
      <c r="M581" s="164"/>
      <c r="N581" s="164"/>
      <c r="O581" s="164"/>
      <c r="P581" s="164"/>
    </row>
    <row r="582" spans="1:16" s="165" customFormat="1" ht="34.5" outlineLevel="1">
      <c r="A582" s="497"/>
      <c r="B582" s="425" t="s">
        <v>1197</v>
      </c>
      <c r="C582" s="414" t="s">
        <v>1</v>
      </c>
      <c r="D582" s="392">
        <v>-1</v>
      </c>
      <c r="E582" s="307">
        <v>1</v>
      </c>
      <c r="F582" s="540">
        <f>19634954/1000000</f>
        <v>19.634954</v>
      </c>
      <c r="G582" s="540"/>
      <c r="H582" s="540"/>
      <c r="I582" s="399">
        <f t="shared" si="60"/>
        <v>-19.63</v>
      </c>
      <c r="J582" s="394"/>
      <c r="K582" s="394" t="s">
        <v>860</v>
      </c>
      <c r="L582" s="164"/>
      <c r="M582" s="164"/>
      <c r="N582" s="164"/>
      <c r="O582" s="164"/>
      <c r="P582" s="164"/>
    </row>
    <row r="583" spans="1:16" s="165" customFormat="1" ht="34.5" outlineLevel="1">
      <c r="A583" s="497"/>
      <c r="B583" s="425" t="s">
        <v>1200</v>
      </c>
      <c r="C583" s="414" t="s">
        <v>1</v>
      </c>
      <c r="D583" s="392">
        <v>-1</v>
      </c>
      <c r="E583" s="307">
        <v>1</v>
      </c>
      <c r="F583" s="540">
        <f>25517586/1000000</f>
        <v>25.517586000000001</v>
      </c>
      <c r="G583" s="540"/>
      <c r="H583" s="540"/>
      <c r="I583" s="399">
        <f t="shared" si="60"/>
        <v>-25.52</v>
      </c>
      <c r="J583" s="394"/>
      <c r="K583" s="394" t="s">
        <v>860</v>
      </c>
      <c r="L583" s="164"/>
      <c r="M583" s="164"/>
      <c r="N583" s="164"/>
      <c r="O583" s="164"/>
      <c r="P583" s="164"/>
    </row>
    <row r="584" spans="1:16" s="165" customFormat="1" ht="34.5" outlineLevel="1">
      <c r="A584" s="497"/>
      <c r="B584" s="425" t="s">
        <v>1201</v>
      </c>
      <c r="C584" s="414" t="s">
        <v>1</v>
      </c>
      <c r="D584" s="392">
        <v>-1</v>
      </c>
      <c r="E584" s="307">
        <v>1</v>
      </c>
      <c r="F584" s="540">
        <f>23758294/1000000</f>
        <v>23.758293999999999</v>
      </c>
      <c r="G584" s="540"/>
      <c r="H584" s="540"/>
      <c r="I584" s="399">
        <f t="shared" si="60"/>
        <v>-23.76</v>
      </c>
      <c r="J584" s="394"/>
      <c r="K584" s="394" t="s">
        <v>860</v>
      </c>
      <c r="L584" s="164"/>
      <c r="M584" s="164"/>
      <c r="N584" s="164"/>
      <c r="O584" s="164"/>
      <c r="P584" s="164"/>
    </row>
    <row r="585" spans="1:16" s="165" customFormat="1" ht="34.5" outlineLevel="1">
      <c r="A585" s="497"/>
      <c r="B585" s="425" t="s">
        <v>1202</v>
      </c>
      <c r="C585" s="414" t="s">
        <v>1</v>
      </c>
      <c r="D585" s="392">
        <v>-1</v>
      </c>
      <c r="E585" s="307">
        <v>1</v>
      </c>
      <c r="F585" s="540">
        <f>2269801/1000000</f>
        <v>2.2698010000000002</v>
      </c>
      <c r="G585" s="540"/>
      <c r="H585" s="540"/>
      <c r="I585" s="399">
        <f t="shared" si="60"/>
        <v>-2.27</v>
      </c>
      <c r="J585" s="394"/>
      <c r="K585" s="394" t="s">
        <v>860</v>
      </c>
      <c r="L585" s="164"/>
      <c r="M585" s="164"/>
      <c r="N585" s="164"/>
      <c r="O585" s="164"/>
      <c r="P585" s="164"/>
    </row>
    <row r="586" spans="1:16" s="165" customFormat="1" ht="34.5" outlineLevel="1">
      <c r="A586" s="497"/>
      <c r="B586" s="425" t="s">
        <v>1203</v>
      </c>
      <c r="C586" s="414" t="s">
        <v>1</v>
      </c>
      <c r="D586" s="392">
        <v>-1</v>
      </c>
      <c r="E586" s="307">
        <v>1</v>
      </c>
      <c r="F586" s="540">
        <f>785398/1000000</f>
        <v>0.78539800000000004</v>
      </c>
      <c r="G586" s="540"/>
      <c r="H586" s="540"/>
      <c r="I586" s="399">
        <f t="shared" si="60"/>
        <v>-0.79</v>
      </c>
      <c r="J586" s="394"/>
      <c r="K586" s="394" t="s">
        <v>860</v>
      </c>
      <c r="L586" s="164"/>
      <c r="M586" s="164"/>
      <c r="N586" s="164"/>
      <c r="O586" s="164"/>
      <c r="P586" s="164"/>
    </row>
    <row r="587" spans="1:16" s="165" customFormat="1" ht="34.5" outlineLevel="1">
      <c r="A587" s="497"/>
      <c r="B587" s="425" t="s">
        <v>1204</v>
      </c>
      <c r="C587" s="414" t="s">
        <v>1</v>
      </c>
      <c r="D587" s="392">
        <v>-1</v>
      </c>
      <c r="E587" s="307">
        <v>1</v>
      </c>
      <c r="F587" s="540">
        <f>4120269/1000000</f>
        <v>4.1202690000000004</v>
      </c>
      <c r="G587" s="540"/>
      <c r="H587" s="540"/>
      <c r="I587" s="399">
        <f t="shared" si="60"/>
        <v>-4.12</v>
      </c>
      <c r="J587" s="394"/>
      <c r="K587" s="394" t="s">
        <v>860</v>
      </c>
      <c r="L587" s="164"/>
      <c r="M587" s="164"/>
      <c r="N587" s="164"/>
      <c r="O587" s="164"/>
      <c r="P587" s="164"/>
    </row>
    <row r="588" spans="1:16" s="165" customFormat="1" ht="34.5" outlineLevel="1">
      <c r="A588" s="497"/>
      <c r="B588" s="425" t="s">
        <v>1205</v>
      </c>
      <c r="C588" s="414" t="s">
        <v>1</v>
      </c>
      <c r="D588" s="392">
        <v>-1</v>
      </c>
      <c r="E588" s="307">
        <v>1</v>
      </c>
      <c r="F588" s="540">
        <f>18095574/1000000</f>
        <v>18.095573999999999</v>
      </c>
      <c r="G588" s="540"/>
      <c r="H588" s="540"/>
      <c r="I588" s="399">
        <f t="shared" si="60"/>
        <v>-18.100000000000001</v>
      </c>
      <c r="J588" s="394"/>
      <c r="K588" s="394" t="s">
        <v>860</v>
      </c>
      <c r="L588" s="164"/>
      <c r="M588" s="164"/>
      <c r="N588" s="164"/>
      <c r="O588" s="164"/>
      <c r="P588" s="164"/>
    </row>
    <row r="589" spans="1:16" s="165" customFormat="1" ht="34.5" outlineLevel="1">
      <c r="A589" s="497"/>
      <c r="B589" s="425" t="s">
        <v>1206</v>
      </c>
      <c r="C589" s="414" t="s">
        <v>1</v>
      </c>
      <c r="D589" s="392">
        <v>-1</v>
      </c>
      <c r="E589" s="307">
        <v>1</v>
      </c>
      <c r="F589" s="540">
        <f>2544690/1000000</f>
        <v>2.5446900000000001</v>
      </c>
      <c r="G589" s="540"/>
      <c r="H589" s="540"/>
      <c r="I589" s="399">
        <f t="shared" si="60"/>
        <v>-2.54</v>
      </c>
      <c r="J589" s="394"/>
      <c r="K589" s="394" t="s">
        <v>860</v>
      </c>
      <c r="L589" s="164"/>
      <c r="M589" s="164"/>
      <c r="N589" s="164"/>
      <c r="O589" s="164"/>
      <c r="P589" s="164"/>
    </row>
    <row r="590" spans="1:16" s="165" customFormat="1" ht="34.5" outlineLevel="1">
      <c r="A590" s="497"/>
      <c r="B590" s="425" t="s">
        <v>1207</v>
      </c>
      <c r="C590" s="414" t="s">
        <v>1</v>
      </c>
      <c r="D590" s="392">
        <v>-1</v>
      </c>
      <c r="E590" s="307">
        <v>1</v>
      </c>
      <c r="F590" s="540">
        <f>6605199/1000000</f>
        <v>6.6051989999999998</v>
      </c>
      <c r="G590" s="540"/>
      <c r="H590" s="540"/>
      <c r="I590" s="399">
        <f t="shared" si="60"/>
        <v>-6.61</v>
      </c>
      <c r="J590" s="394"/>
      <c r="K590" s="394" t="s">
        <v>860</v>
      </c>
      <c r="L590" s="164"/>
      <c r="M590" s="164"/>
      <c r="N590" s="164"/>
      <c r="O590" s="164"/>
      <c r="P590" s="164"/>
    </row>
    <row r="591" spans="1:16" s="165" customFormat="1" ht="34.5" outlineLevel="1">
      <c r="A591" s="497"/>
      <c r="B591" s="425" t="s">
        <v>1208</v>
      </c>
      <c r="C591" s="414" t="s">
        <v>1</v>
      </c>
      <c r="D591" s="392">
        <v>-1</v>
      </c>
      <c r="E591" s="307">
        <v>1</v>
      </c>
      <c r="F591" s="540">
        <f>16619025/1000000</f>
        <v>16.619025000000001</v>
      </c>
      <c r="G591" s="540"/>
      <c r="H591" s="540"/>
      <c r="I591" s="399">
        <f t="shared" si="60"/>
        <v>-16.62</v>
      </c>
      <c r="J591" s="394"/>
      <c r="K591" s="394" t="s">
        <v>860</v>
      </c>
      <c r="L591" s="164"/>
      <c r="M591" s="164"/>
      <c r="N591" s="164"/>
      <c r="O591" s="164"/>
      <c r="P591" s="164"/>
    </row>
    <row r="592" spans="1:16" s="165" customFormat="1" ht="34.5" outlineLevel="1">
      <c r="A592" s="497"/>
      <c r="B592" s="425" t="s">
        <v>1209</v>
      </c>
      <c r="C592" s="414" t="s">
        <v>1</v>
      </c>
      <c r="D592" s="392">
        <v>-1</v>
      </c>
      <c r="E592" s="307">
        <v>1</v>
      </c>
      <c r="F592" s="540">
        <f>1767146/1000000</f>
        <v>1.7671460000000001</v>
      </c>
      <c r="G592" s="540"/>
      <c r="H592" s="540"/>
      <c r="I592" s="399">
        <f t="shared" si="60"/>
        <v>-1.77</v>
      </c>
      <c r="J592" s="394"/>
      <c r="K592" s="394" t="s">
        <v>860</v>
      </c>
      <c r="L592" s="164"/>
      <c r="M592" s="164"/>
      <c r="N592" s="164"/>
      <c r="O592" s="164"/>
      <c r="P592" s="164"/>
    </row>
    <row r="593" spans="1:16" s="165" customFormat="1" ht="34.5" outlineLevel="1">
      <c r="A593" s="497"/>
      <c r="B593" s="425" t="s">
        <v>1210</v>
      </c>
      <c r="C593" s="414" t="s">
        <v>1</v>
      </c>
      <c r="D593" s="392">
        <v>-1</v>
      </c>
      <c r="E593" s="307">
        <v>1</v>
      </c>
      <c r="F593" s="540">
        <f>1303092/1000000</f>
        <v>1.3030919999999999</v>
      </c>
      <c r="G593" s="540"/>
      <c r="H593" s="540"/>
      <c r="I593" s="399">
        <f t="shared" si="60"/>
        <v>-1.3</v>
      </c>
      <c r="J593" s="394"/>
      <c r="K593" s="394" t="s">
        <v>860</v>
      </c>
      <c r="L593" s="164"/>
      <c r="M593" s="164"/>
      <c r="N593" s="164"/>
      <c r="O593" s="164"/>
      <c r="P593" s="164"/>
    </row>
    <row r="594" spans="1:16" s="165" customFormat="1" ht="34.5" outlineLevel="1">
      <c r="A594" s="497"/>
      <c r="B594" s="425" t="s">
        <v>1211</v>
      </c>
      <c r="C594" s="414" t="s">
        <v>1</v>
      </c>
      <c r="D594" s="392">
        <v>-1</v>
      </c>
      <c r="E594" s="307">
        <v>1</v>
      </c>
      <c r="F594" s="540">
        <f>20428206/1000000</f>
        <v>20.428205999999999</v>
      </c>
      <c r="G594" s="540"/>
      <c r="H594" s="540"/>
      <c r="I594" s="399">
        <f t="shared" si="60"/>
        <v>-20.43</v>
      </c>
      <c r="J594" s="394"/>
      <c r="K594" s="394" t="s">
        <v>860</v>
      </c>
      <c r="L594" s="164"/>
      <c r="M594" s="164"/>
      <c r="N594" s="164"/>
      <c r="O594" s="164"/>
      <c r="P594" s="164"/>
    </row>
    <row r="595" spans="1:16" s="165" customFormat="1" ht="34.5" outlineLevel="1">
      <c r="A595" s="497"/>
      <c r="B595" s="425" t="s">
        <v>1212</v>
      </c>
      <c r="C595" s="414" t="s">
        <v>1</v>
      </c>
      <c r="D595" s="392">
        <v>-1</v>
      </c>
      <c r="E595" s="307">
        <v>1</v>
      </c>
      <c r="F595" s="540">
        <f>20428206/1000000</f>
        <v>20.428205999999999</v>
      </c>
      <c r="G595" s="540"/>
      <c r="H595" s="540"/>
      <c r="I595" s="399">
        <f t="shared" si="60"/>
        <v>-20.43</v>
      </c>
      <c r="J595" s="394"/>
      <c r="K595" s="394" t="s">
        <v>860</v>
      </c>
      <c r="L595" s="164"/>
      <c r="M595" s="164"/>
      <c r="N595" s="164"/>
      <c r="O595" s="164"/>
      <c r="P595" s="164"/>
    </row>
    <row r="596" spans="1:16" s="165" customFormat="1" ht="34.5" outlineLevel="1">
      <c r="A596" s="497"/>
      <c r="B596" s="425" t="s">
        <v>1213</v>
      </c>
      <c r="C596" s="414" t="s">
        <v>1</v>
      </c>
      <c r="D596" s="392">
        <v>-1</v>
      </c>
      <c r="E596" s="307">
        <v>1</v>
      </c>
      <c r="F596" s="540">
        <f>4523893/1000000</f>
        <v>4.5238930000000002</v>
      </c>
      <c r="G596" s="540"/>
      <c r="H596" s="540"/>
      <c r="I596" s="399">
        <f t="shared" si="60"/>
        <v>-4.5199999999999996</v>
      </c>
      <c r="J596" s="394"/>
      <c r="K596" s="394" t="s">
        <v>860</v>
      </c>
      <c r="L596" s="164"/>
      <c r="M596" s="164"/>
      <c r="N596" s="164"/>
      <c r="O596" s="164"/>
      <c r="P596" s="164"/>
    </row>
    <row r="597" spans="1:16" s="165" customFormat="1" ht="34.5" outlineLevel="1">
      <c r="A597" s="497"/>
      <c r="B597" s="425" t="s">
        <v>1214</v>
      </c>
      <c r="C597" s="414" t="s">
        <v>1</v>
      </c>
      <c r="D597" s="392">
        <v>-1</v>
      </c>
      <c r="E597" s="307">
        <v>1</v>
      </c>
      <c r="F597" s="540">
        <f>4523893/1000000</f>
        <v>4.5238930000000002</v>
      </c>
      <c r="G597" s="540"/>
      <c r="H597" s="540"/>
      <c r="I597" s="399">
        <f t="shared" si="60"/>
        <v>-4.5199999999999996</v>
      </c>
      <c r="J597" s="394"/>
      <c r="K597" s="394" t="s">
        <v>860</v>
      </c>
      <c r="L597" s="164"/>
      <c r="M597" s="164"/>
      <c r="N597" s="164"/>
      <c r="O597" s="164"/>
      <c r="P597" s="164"/>
    </row>
    <row r="598" spans="1:16" s="165" customFormat="1" ht="34.5" outlineLevel="1">
      <c r="A598" s="497"/>
      <c r="B598" s="425" t="s">
        <v>1215</v>
      </c>
      <c r="C598" s="414" t="s">
        <v>1</v>
      </c>
      <c r="D598" s="392">
        <v>-1</v>
      </c>
      <c r="E598" s="307">
        <v>1</v>
      </c>
      <c r="F598" s="540">
        <f>12566371/1000000</f>
        <v>12.566371</v>
      </c>
      <c r="G598" s="540"/>
      <c r="H598" s="540"/>
      <c r="I598" s="399">
        <f t="shared" si="60"/>
        <v>-12.57</v>
      </c>
      <c r="J598" s="394"/>
      <c r="K598" s="394" t="s">
        <v>860</v>
      </c>
      <c r="L598" s="164"/>
      <c r="M598" s="164"/>
      <c r="N598" s="164"/>
      <c r="O598" s="164"/>
      <c r="P598" s="164"/>
    </row>
    <row r="599" spans="1:16" s="165" customFormat="1" ht="17.25" outlineLevel="1">
      <c r="A599" s="497"/>
      <c r="B599" s="425" t="s">
        <v>1216</v>
      </c>
      <c r="C599" s="414" t="s">
        <v>1</v>
      </c>
      <c r="D599" s="392">
        <v>-1</v>
      </c>
      <c r="E599" s="307">
        <v>1</v>
      </c>
      <c r="F599" s="540">
        <f>18095574/1000000</f>
        <v>18.095573999999999</v>
      </c>
      <c r="G599" s="540"/>
      <c r="H599" s="540"/>
      <c r="I599" s="399">
        <f t="shared" si="60"/>
        <v>-18.100000000000001</v>
      </c>
      <c r="J599" s="394"/>
      <c r="K599" s="394" t="s">
        <v>860</v>
      </c>
      <c r="L599" s="164"/>
      <c r="M599" s="164"/>
      <c r="N599" s="164"/>
      <c r="O599" s="164"/>
      <c r="P599" s="164"/>
    </row>
    <row r="600" spans="1:16" s="165" customFormat="1" ht="34.5" outlineLevel="1">
      <c r="A600" s="497"/>
      <c r="B600" s="425" t="s">
        <v>1217</v>
      </c>
      <c r="C600" s="414" t="s">
        <v>1</v>
      </c>
      <c r="D600" s="392">
        <v>-1</v>
      </c>
      <c r="E600" s="307">
        <v>1</v>
      </c>
      <c r="F600" s="540">
        <f>7068583/1000000</f>
        <v>7.0685830000000003</v>
      </c>
      <c r="G600" s="540"/>
      <c r="H600" s="540"/>
      <c r="I600" s="399">
        <f t="shared" si="60"/>
        <v>-7.07</v>
      </c>
      <c r="J600" s="394"/>
      <c r="K600" s="394" t="s">
        <v>860</v>
      </c>
      <c r="L600" s="164"/>
      <c r="M600" s="164"/>
      <c r="N600" s="164"/>
      <c r="O600" s="164"/>
      <c r="P600" s="164"/>
    </row>
    <row r="601" spans="1:16" s="165" customFormat="1" ht="34.5" outlineLevel="1">
      <c r="A601" s="497"/>
      <c r="B601" s="425" t="s">
        <v>1218</v>
      </c>
      <c r="C601" s="414" t="s">
        <v>1</v>
      </c>
      <c r="D601" s="392">
        <v>-1</v>
      </c>
      <c r="E601" s="307">
        <v>1</v>
      </c>
      <c r="F601" s="540">
        <f>5373916/1000000</f>
        <v>5.3739160000000004</v>
      </c>
      <c r="G601" s="540"/>
      <c r="H601" s="540"/>
      <c r="I601" s="399">
        <f t="shared" si="60"/>
        <v>-5.37</v>
      </c>
      <c r="J601" s="394"/>
      <c r="K601" s="394" t="s">
        <v>860</v>
      </c>
      <c r="L601" s="164"/>
      <c r="M601" s="164"/>
      <c r="N601" s="164"/>
      <c r="O601" s="164"/>
      <c r="P601" s="164"/>
    </row>
    <row r="602" spans="1:16" s="165" customFormat="1" ht="34.5" outlineLevel="1">
      <c r="A602" s="497"/>
      <c r="B602" s="425" t="s">
        <v>1219</v>
      </c>
      <c r="C602" s="414" t="s">
        <v>1</v>
      </c>
      <c r="D602" s="392">
        <v>-1</v>
      </c>
      <c r="E602" s="307">
        <v>1</v>
      </c>
      <c r="F602" s="540">
        <f>12566371/1000000</f>
        <v>12.566371</v>
      </c>
      <c r="G602" s="540"/>
      <c r="H602" s="540"/>
      <c r="I602" s="399">
        <f t="shared" si="60"/>
        <v>-12.57</v>
      </c>
      <c r="J602" s="394"/>
      <c r="K602" s="394" t="s">
        <v>860</v>
      </c>
      <c r="L602" s="164"/>
      <c r="M602" s="164"/>
      <c r="N602" s="164"/>
      <c r="O602" s="164"/>
      <c r="P602" s="164"/>
    </row>
    <row r="603" spans="1:16" s="165" customFormat="1" ht="34.5" outlineLevel="1">
      <c r="A603" s="497"/>
      <c r="B603" s="425" t="s">
        <v>1220</v>
      </c>
      <c r="C603" s="414" t="s">
        <v>1</v>
      </c>
      <c r="D603" s="392">
        <v>-1</v>
      </c>
      <c r="E603" s="307">
        <v>1</v>
      </c>
      <c r="F603" s="540">
        <f>28274334/1000000</f>
        <v>28.274334</v>
      </c>
      <c r="G603" s="540"/>
      <c r="H603" s="540"/>
      <c r="I603" s="399">
        <f t="shared" si="60"/>
        <v>-28.27</v>
      </c>
      <c r="J603" s="394"/>
      <c r="K603" s="394" t="s">
        <v>860</v>
      </c>
      <c r="L603" s="164"/>
      <c r="M603" s="164"/>
      <c r="N603" s="164"/>
      <c r="O603" s="164"/>
      <c r="P603" s="164"/>
    </row>
    <row r="604" spans="1:16" s="165" customFormat="1" ht="34.5" outlineLevel="1">
      <c r="A604" s="497"/>
      <c r="B604" s="425" t="s">
        <v>1221</v>
      </c>
      <c r="C604" s="414" t="s">
        <v>1</v>
      </c>
      <c r="D604" s="392">
        <v>-1</v>
      </c>
      <c r="E604" s="307">
        <v>1</v>
      </c>
      <c r="F604" s="540">
        <f>21237166/1000000</f>
        <v>21.237165999999998</v>
      </c>
      <c r="G604" s="540"/>
      <c r="H604" s="540"/>
      <c r="I604" s="399">
        <f t="shared" si="60"/>
        <v>-21.24</v>
      </c>
      <c r="J604" s="394"/>
      <c r="K604" s="394" t="s">
        <v>860</v>
      </c>
      <c r="L604" s="164"/>
      <c r="M604" s="164"/>
      <c r="N604" s="164"/>
      <c r="O604" s="164"/>
      <c r="P604" s="164"/>
    </row>
    <row r="605" spans="1:16" s="165" customFormat="1" ht="34.5" outlineLevel="1">
      <c r="A605" s="497"/>
      <c r="B605" s="425" t="s">
        <v>1222</v>
      </c>
      <c r="C605" s="414" t="s">
        <v>1</v>
      </c>
      <c r="D605" s="392">
        <v>-1</v>
      </c>
      <c r="E605" s="307">
        <v>1</v>
      </c>
      <c r="F605" s="540">
        <f>12566371/1000000</f>
        <v>12.566371</v>
      </c>
      <c r="G605" s="540"/>
      <c r="H605" s="540"/>
      <c r="I605" s="399">
        <f t="shared" si="60"/>
        <v>-12.57</v>
      </c>
      <c r="J605" s="394"/>
      <c r="K605" s="394" t="s">
        <v>860</v>
      </c>
      <c r="L605" s="164"/>
      <c r="M605" s="164"/>
      <c r="N605" s="164"/>
      <c r="O605" s="164"/>
      <c r="P605" s="164"/>
    </row>
    <row r="606" spans="1:16" s="165" customFormat="1" ht="34.5" outlineLevel="1">
      <c r="A606" s="497"/>
      <c r="B606" s="425" t="s">
        <v>1223</v>
      </c>
      <c r="C606" s="414" t="s">
        <v>1</v>
      </c>
      <c r="D606" s="392">
        <v>-1</v>
      </c>
      <c r="E606" s="307">
        <v>1</v>
      </c>
      <c r="F606" s="540">
        <f>13854424/1000000</f>
        <v>13.854424</v>
      </c>
      <c r="G606" s="540"/>
      <c r="H606" s="540"/>
      <c r="I606" s="399">
        <f t="shared" si="60"/>
        <v>-13.85</v>
      </c>
      <c r="J606" s="394"/>
      <c r="K606" s="394" t="s">
        <v>860</v>
      </c>
      <c r="L606" s="164"/>
      <c r="M606" s="164"/>
      <c r="N606" s="164"/>
      <c r="O606" s="164"/>
      <c r="P606" s="164"/>
    </row>
    <row r="607" spans="1:16" s="165" customFormat="1" ht="34.5" outlineLevel="1">
      <c r="A607" s="497"/>
      <c r="B607" s="425" t="s">
        <v>1224</v>
      </c>
      <c r="C607" s="414" t="s">
        <v>1</v>
      </c>
      <c r="D607" s="392">
        <v>-1</v>
      </c>
      <c r="E607" s="307">
        <v>1</v>
      </c>
      <c r="F607" s="540">
        <f>12566371/1000000</f>
        <v>12.566371</v>
      </c>
      <c r="G607" s="540"/>
      <c r="H607" s="540"/>
      <c r="I607" s="399">
        <f t="shared" si="60"/>
        <v>-12.57</v>
      </c>
      <c r="J607" s="394"/>
      <c r="K607" s="394" t="s">
        <v>860</v>
      </c>
      <c r="L607" s="164"/>
      <c r="M607" s="164"/>
      <c r="N607" s="164"/>
      <c r="O607" s="164"/>
      <c r="P607" s="164"/>
    </row>
    <row r="608" spans="1:16" s="165" customFormat="1" ht="34.5" outlineLevel="1">
      <c r="A608" s="497"/>
      <c r="B608" s="425" t="s">
        <v>1225</v>
      </c>
      <c r="C608" s="414" t="s">
        <v>1</v>
      </c>
      <c r="D608" s="392">
        <v>-1</v>
      </c>
      <c r="E608" s="307">
        <v>1</v>
      </c>
      <c r="F608" s="540">
        <f>22902210/1000000</f>
        <v>22.90221</v>
      </c>
      <c r="G608" s="540"/>
      <c r="H608" s="540"/>
      <c r="I608" s="399">
        <f t="shared" si="60"/>
        <v>-22.9</v>
      </c>
      <c r="J608" s="394"/>
      <c r="K608" s="394" t="s">
        <v>860</v>
      </c>
      <c r="L608" s="164"/>
      <c r="M608" s="164"/>
      <c r="N608" s="164"/>
      <c r="O608" s="164"/>
      <c r="P608" s="164"/>
    </row>
    <row r="609" spans="1:16" s="165" customFormat="1" ht="34.5" outlineLevel="1">
      <c r="A609" s="497"/>
      <c r="B609" s="425" t="s">
        <v>1226</v>
      </c>
      <c r="C609" s="414" t="s">
        <v>1</v>
      </c>
      <c r="D609" s="392">
        <v>-1</v>
      </c>
      <c r="E609" s="307">
        <v>1</v>
      </c>
      <c r="F609" s="540">
        <f>8042477/1000000</f>
        <v>8.0424769999999999</v>
      </c>
      <c r="G609" s="540"/>
      <c r="H609" s="540"/>
      <c r="I609" s="399">
        <f t="shared" si="60"/>
        <v>-8.0399999999999991</v>
      </c>
      <c r="J609" s="394"/>
      <c r="K609" s="394" t="s">
        <v>860</v>
      </c>
      <c r="L609" s="164"/>
      <c r="M609" s="164"/>
      <c r="N609" s="164"/>
      <c r="O609" s="164"/>
      <c r="P609" s="164"/>
    </row>
    <row r="610" spans="1:16" s="165" customFormat="1" ht="34.5" outlineLevel="1">
      <c r="A610" s="497"/>
      <c r="B610" s="425" t="s">
        <v>1227</v>
      </c>
      <c r="C610" s="414" t="s">
        <v>1</v>
      </c>
      <c r="D610" s="392">
        <v>-1</v>
      </c>
      <c r="E610" s="307">
        <v>1</v>
      </c>
      <c r="F610" s="540">
        <f>1130973/1000000</f>
        <v>1.130973</v>
      </c>
      <c r="G610" s="540"/>
      <c r="H610" s="540"/>
      <c r="I610" s="399">
        <f t="shared" si="60"/>
        <v>-1.1299999999999999</v>
      </c>
      <c r="J610" s="394"/>
      <c r="K610" s="394" t="s">
        <v>860</v>
      </c>
      <c r="L610" s="164"/>
      <c r="M610" s="164"/>
      <c r="N610" s="164"/>
      <c r="O610" s="164"/>
      <c r="P610" s="164"/>
    </row>
    <row r="611" spans="1:16" s="165" customFormat="1" ht="34.5" outlineLevel="1">
      <c r="A611" s="497"/>
      <c r="B611" s="425" t="s">
        <v>1228</v>
      </c>
      <c r="C611" s="414" t="s">
        <v>1</v>
      </c>
      <c r="D611" s="392">
        <v>-1</v>
      </c>
      <c r="E611" s="307">
        <v>1</v>
      </c>
      <c r="F611" s="540">
        <f>3624816/1000000</f>
        <v>3.624816</v>
      </c>
      <c r="G611" s="540"/>
      <c r="H611" s="540"/>
      <c r="I611" s="399">
        <f t="shared" si="60"/>
        <v>-3.62</v>
      </c>
      <c r="J611" s="394"/>
      <c r="K611" s="394" t="s">
        <v>860</v>
      </c>
      <c r="L611" s="164"/>
      <c r="M611" s="164"/>
      <c r="N611" s="164"/>
      <c r="O611" s="164"/>
      <c r="P611" s="164"/>
    </row>
    <row r="612" spans="1:16" s="165" customFormat="1" ht="34.5" outlineLevel="1">
      <c r="A612" s="497"/>
      <c r="B612" s="425" t="s">
        <v>1229</v>
      </c>
      <c r="C612" s="414" t="s">
        <v>1</v>
      </c>
      <c r="D612" s="392">
        <v>-1</v>
      </c>
      <c r="E612" s="307">
        <v>1</v>
      </c>
      <c r="F612" s="540">
        <f>12566371/1000000</f>
        <v>12.566371</v>
      </c>
      <c r="G612" s="540"/>
      <c r="H612" s="540"/>
      <c r="I612" s="399">
        <f t="shared" si="60"/>
        <v>-12.57</v>
      </c>
      <c r="J612" s="394"/>
      <c r="K612" s="394" t="s">
        <v>860</v>
      </c>
      <c r="L612" s="164"/>
      <c r="M612" s="164"/>
      <c r="N612" s="164"/>
      <c r="O612" s="164"/>
      <c r="P612" s="164"/>
    </row>
    <row r="613" spans="1:16" s="165" customFormat="1" ht="34.5" outlineLevel="1">
      <c r="A613" s="497"/>
      <c r="B613" s="425" t="s">
        <v>1230</v>
      </c>
      <c r="C613" s="414" t="s">
        <v>1</v>
      </c>
      <c r="D613" s="392">
        <v>-1</v>
      </c>
      <c r="E613" s="307">
        <v>1</v>
      </c>
      <c r="F613" s="540">
        <f>4908739/1000000</f>
        <v>4.9087389999999997</v>
      </c>
      <c r="G613" s="540"/>
      <c r="H613" s="540"/>
      <c r="I613" s="399">
        <f t="shared" si="60"/>
        <v>-4.91</v>
      </c>
      <c r="J613" s="394"/>
      <c r="K613" s="394" t="s">
        <v>860</v>
      </c>
      <c r="L613" s="164"/>
      <c r="M613" s="164"/>
      <c r="N613" s="164"/>
      <c r="O613" s="164"/>
      <c r="P613" s="164"/>
    </row>
    <row r="614" spans="1:16" s="165" customFormat="1" ht="34.5" outlineLevel="1">
      <c r="A614" s="497"/>
      <c r="B614" s="425" t="s">
        <v>1231</v>
      </c>
      <c r="C614" s="414" t="s">
        <v>1</v>
      </c>
      <c r="D614" s="392">
        <v>-1</v>
      </c>
      <c r="E614" s="307">
        <v>1</v>
      </c>
      <c r="F614" s="540">
        <f>22902210/1000000</f>
        <v>22.90221</v>
      </c>
      <c r="G614" s="540"/>
      <c r="H614" s="540"/>
      <c r="I614" s="399">
        <f t="shared" si="60"/>
        <v>-22.9</v>
      </c>
      <c r="J614" s="394"/>
      <c r="K614" s="394" t="s">
        <v>860</v>
      </c>
      <c r="L614" s="164"/>
      <c r="M614" s="164"/>
      <c r="N614" s="164"/>
      <c r="O614" s="164"/>
      <c r="P614" s="164"/>
    </row>
    <row r="615" spans="1:16" s="165" customFormat="1" ht="34.5" outlineLevel="1">
      <c r="A615" s="497"/>
      <c r="B615" s="425" t="s">
        <v>1232</v>
      </c>
      <c r="C615" s="414" t="s">
        <v>1</v>
      </c>
      <c r="D615" s="392">
        <v>-1</v>
      </c>
      <c r="E615" s="307">
        <v>2</v>
      </c>
      <c r="F615" s="540">
        <f>1767146/1000000</f>
        <v>1.7671460000000001</v>
      </c>
      <c r="G615" s="540"/>
      <c r="H615" s="540"/>
      <c r="I615" s="399">
        <f t="shared" si="60"/>
        <v>-3.53</v>
      </c>
      <c r="J615" s="394"/>
      <c r="K615" s="394" t="s">
        <v>860</v>
      </c>
      <c r="L615" s="164"/>
      <c r="M615" s="164"/>
      <c r="N615" s="164"/>
      <c r="O615" s="164"/>
      <c r="P615" s="164"/>
    </row>
    <row r="616" spans="1:16" s="165" customFormat="1" ht="17.25" outlineLevel="1">
      <c r="A616" s="497"/>
      <c r="B616" s="425" t="s">
        <v>1233</v>
      </c>
      <c r="C616" s="414" t="s">
        <v>1</v>
      </c>
      <c r="D616" s="392">
        <v>-1</v>
      </c>
      <c r="E616" s="307">
        <v>1</v>
      </c>
      <c r="F616" s="540">
        <f>28274334/1000000</f>
        <v>28.274334</v>
      </c>
      <c r="G616" s="540"/>
      <c r="H616" s="540"/>
      <c r="I616" s="399">
        <f t="shared" si="60"/>
        <v>-28.27</v>
      </c>
      <c r="J616" s="394"/>
      <c r="K616" s="394" t="s">
        <v>860</v>
      </c>
      <c r="L616" s="164"/>
      <c r="M616" s="164"/>
      <c r="N616" s="164"/>
      <c r="O616" s="164"/>
      <c r="P616" s="164"/>
    </row>
    <row r="617" spans="1:16" s="165" customFormat="1" ht="34.5" outlineLevel="1">
      <c r="A617" s="497"/>
      <c r="B617" s="425" t="s">
        <v>1234</v>
      </c>
      <c r="C617" s="414" t="s">
        <v>1</v>
      </c>
      <c r="D617" s="392">
        <v>-1</v>
      </c>
      <c r="E617" s="307">
        <v>1</v>
      </c>
      <c r="F617" s="540">
        <f>15904313/1000000</f>
        <v>15.904313</v>
      </c>
      <c r="G617" s="540"/>
      <c r="H617" s="540"/>
      <c r="I617" s="399">
        <f t="shared" si="60"/>
        <v>-15.9</v>
      </c>
      <c r="J617" s="394"/>
      <c r="K617" s="394" t="s">
        <v>860</v>
      </c>
      <c r="L617" s="164"/>
      <c r="M617" s="164"/>
      <c r="N617" s="164"/>
      <c r="O617" s="164"/>
      <c r="P617" s="164"/>
    </row>
    <row r="618" spans="1:16" s="165" customFormat="1" ht="34.5" outlineLevel="1">
      <c r="A618" s="497"/>
      <c r="B618" s="425" t="s">
        <v>1235</v>
      </c>
      <c r="C618" s="414" t="s">
        <v>1</v>
      </c>
      <c r="D618" s="392">
        <v>-1</v>
      </c>
      <c r="E618" s="307">
        <v>1</v>
      </c>
      <c r="F618" s="540">
        <f>3953983/1000000</f>
        <v>3.953983</v>
      </c>
      <c r="G618" s="540"/>
      <c r="H618" s="540"/>
      <c r="I618" s="399">
        <f t="shared" si="60"/>
        <v>-3.95</v>
      </c>
      <c r="J618" s="394"/>
      <c r="K618" s="394" t="s">
        <v>860</v>
      </c>
      <c r="L618" s="164"/>
      <c r="M618" s="164"/>
      <c r="N618" s="164"/>
      <c r="O618" s="164"/>
      <c r="P618" s="164"/>
    </row>
    <row r="619" spans="1:16" s="165" customFormat="1" ht="34.5" outlineLevel="1">
      <c r="A619" s="497"/>
      <c r="B619" s="425" t="s">
        <v>1236</v>
      </c>
      <c r="C619" s="414" t="s">
        <v>1</v>
      </c>
      <c r="D619" s="392">
        <v>-1</v>
      </c>
      <c r="E619" s="307">
        <v>1</v>
      </c>
      <c r="F619" s="540">
        <f>2535364/1000000</f>
        <v>2.535364</v>
      </c>
      <c r="G619" s="540"/>
      <c r="H619" s="540"/>
      <c r="I619" s="399">
        <f t="shared" si="60"/>
        <v>-2.54</v>
      </c>
      <c r="J619" s="394"/>
      <c r="K619" s="394" t="s">
        <v>860</v>
      </c>
      <c r="L619" s="164"/>
      <c r="M619" s="164"/>
      <c r="N619" s="164"/>
      <c r="O619" s="164"/>
      <c r="P619" s="164"/>
    </row>
    <row r="620" spans="1:16" s="165" customFormat="1" ht="34.5" outlineLevel="1">
      <c r="A620" s="497"/>
      <c r="B620" s="425" t="s">
        <v>1237</v>
      </c>
      <c r="C620" s="414" t="s">
        <v>1</v>
      </c>
      <c r="D620" s="392">
        <v>-1</v>
      </c>
      <c r="E620" s="307">
        <v>1</v>
      </c>
      <c r="F620" s="540">
        <f>3141593/1000000</f>
        <v>3.1415929999999999</v>
      </c>
      <c r="G620" s="540"/>
      <c r="H620" s="540"/>
      <c r="I620" s="399">
        <f t="shared" si="60"/>
        <v>-3.14</v>
      </c>
      <c r="J620" s="394"/>
      <c r="K620" s="394" t="s">
        <v>860</v>
      </c>
      <c r="L620" s="164"/>
      <c r="M620" s="164"/>
      <c r="N620" s="164"/>
      <c r="O620" s="164"/>
      <c r="P620" s="164"/>
    </row>
    <row r="621" spans="1:16" s="165" customFormat="1" ht="34.5" outlineLevel="1">
      <c r="A621" s="497"/>
      <c r="B621" s="425" t="s">
        <v>1238</v>
      </c>
      <c r="C621" s="414" t="s">
        <v>1</v>
      </c>
      <c r="D621" s="392">
        <v>-1</v>
      </c>
      <c r="E621" s="307">
        <v>1</v>
      </c>
      <c r="F621" s="540">
        <f>12566371/1000000</f>
        <v>12.566371</v>
      </c>
      <c r="G621" s="540"/>
      <c r="H621" s="540"/>
      <c r="I621" s="399">
        <f t="shared" si="60"/>
        <v>-12.57</v>
      </c>
      <c r="J621" s="394"/>
      <c r="K621" s="394" t="s">
        <v>860</v>
      </c>
      <c r="L621" s="164"/>
      <c r="M621" s="164"/>
      <c r="N621" s="164"/>
      <c r="O621" s="164"/>
      <c r="P621" s="164"/>
    </row>
    <row r="622" spans="1:16" s="165" customFormat="1" ht="34.5" outlineLevel="1">
      <c r="A622" s="497"/>
      <c r="B622" s="425" t="s">
        <v>1239</v>
      </c>
      <c r="C622" s="414" t="s">
        <v>1</v>
      </c>
      <c r="D622" s="392">
        <v>-1</v>
      </c>
      <c r="E622" s="307">
        <v>1</v>
      </c>
      <c r="F622" s="540">
        <f>19634954/1000000</f>
        <v>19.634954</v>
      </c>
      <c r="G622" s="540"/>
      <c r="H622" s="540"/>
      <c r="I622" s="399">
        <f t="shared" si="60"/>
        <v>-19.63</v>
      </c>
      <c r="J622" s="394"/>
      <c r="K622" s="394" t="s">
        <v>860</v>
      </c>
      <c r="L622" s="164"/>
      <c r="M622" s="164"/>
      <c r="N622" s="164"/>
      <c r="O622" s="164"/>
      <c r="P622" s="164"/>
    </row>
    <row r="623" spans="1:16" s="165" customFormat="1" ht="34.5" outlineLevel="1">
      <c r="A623" s="497"/>
      <c r="B623" s="425" t="s">
        <v>1240</v>
      </c>
      <c r="C623" s="414" t="s">
        <v>1</v>
      </c>
      <c r="D623" s="392">
        <v>-1</v>
      </c>
      <c r="E623" s="307">
        <v>1</v>
      </c>
      <c r="F623" s="540">
        <f>5309292/1000000</f>
        <v>5.3092920000000001</v>
      </c>
      <c r="G623" s="540"/>
      <c r="H623" s="540"/>
      <c r="I623" s="399">
        <f t="shared" si="60"/>
        <v>-5.31</v>
      </c>
      <c r="J623" s="394"/>
      <c r="K623" s="394" t="s">
        <v>860</v>
      </c>
      <c r="L623" s="164"/>
      <c r="M623" s="164"/>
      <c r="N623" s="164"/>
      <c r="O623" s="164"/>
      <c r="P623" s="164"/>
    </row>
    <row r="624" spans="1:16" s="165" customFormat="1" ht="34.5" outlineLevel="1">
      <c r="A624" s="497"/>
      <c r="B624" s="425" t="s">
        <v>1241</v>
      </c>
      <c r="C624" s="414" t="s">
        <v>1</v>
      </c>
      <c r="D624" s="392">
        <v>-1</v>
      </c>
      <c r="E624" s="307">
        <v>1</v>
      </c>
      <c r="F624" s="540">
        <f>18095574/1000000</f>
        <v>18.095573999999999</v>
      </c>
      <c r="G624" s="540"/>
      <c r="H624" s="540"/>
      <c r="I624" s="399">
        <f t="shared" si="60"/>
        <v>-18.100000000000001</v>
      </c>
      <c r="J624" s="394"/>
      <c r="K624" s="394" t="s">
        <v>860</v>
      </c>
      <c r="L624" s="164"/>
      <c r="M624" s="164"/>
      <c r="N624" s="164"/>
      <c r="O624" s="164"/>
      <c r="P624" s="164"/>
    </row>
    <row r="625" spans="1:16" s="165" customFormat="1" ht="34.5" outlineLevel="1">
      <c r="A625" s="497"/>
      <c r="B625" s="425" t="s">
        <v>1242</v>
      </c>
      <c r="C625" s="414" t="s">
        <v>1</v>
      </c>
      <c r="D625" s="392">
        <v>-1</v>
      </c>
      <c r="E625" s="307">
        <v>1</v>
      </c>
      <c r="F625" s="540">
        <f>1767146/1000000</f>
        <v>1.7671460000000001</v>
      </c>
      <c r="G625" s="540"/>
      <c r="H625" s="540"/>
      <c r="I625" s="399">
        <f t="shared" si="60"/>
        <v>-1.77</v>
      </c>
      <c r="J625" s="394"/>
      <c r="K625" s="394" t="s">
        <v>860</v>
      </c>
      <c r="L625" s="164"/>
      <c r="M625" s="164"/>
      <c r="N625" s="164"/>
      <c r="O625" s="164"/>
      <c r="P625" s="164"/>
    </row>
    <row r="626" spans="1:16" s="165" customFormat="1" ht="34.5" outlineLevel="1">
      <c r="A626" s="497"/>
      <c r="B626" s="425" t="s">
        <v>1243</v>
      </c>
      <c r="C626" s="414" t="s">
        <v>1</v>
      </c>
      <c r="D626" s="392">
        <v>-1</v>
      </c>
      <c r="E626" s="307">
        <v>1</v>
      </c>
      <c r="F626" s="540">
        <f>4908739/1000000</f>
        <v>4.9087389999999997</v>
      </c>
      <c r="G626" s="540"/>
      <c r="H626" s="540"/>
      <c r="I626" s="399">
        <f t="shared" si="60"/>
        <v>-4.91</v>
      </c>
      <c r="J626" s="394"/>
      <c r="K626" s="394" t="s">
        <v>860</v>
      </c>
      <c r="L626" s="164"/>
      <c r="M626" s="164"/>
      <c r="N626" s="164"/>
      <c r="O626" s="164"/>
      <c r="P626" s="164"/>
    </row>
    <row r="627" spans="1:16" s="165" customFormat="1" ht="34.5" outlineLevel="1">
      <c r="A627" s="497"/>
      <c r="B627" s="425" t="s">
        <v>1244</v>
      </c>
      <c r="C627" s="414" t="s">
        <v>1</v>
      </c>
      <c r="D627" s="392">
        <v>-1</v>
      </c>
      <c r="E627" s="307">
        <v>1</v>
      </c>
      <c r="F627" s="540">
        <f>8744153/1000000</f>
        <v>8.7441530000000007</v>
      </c>
      <c r="G627" s="540"/>
      <c r="H627" s="540"/>
      <c r="I627" s="399">
        <f t="shared" si="60"/>
        <v>-8.74</v>
      </c>
      <c r="J627" s="394"/>
      <c r="K627" s="394" t="s">
        <v>860</v>
      </c>
      <c r="L627" s="164"/>
      <c r="M627" s="164"/>
      <c r="N627" s="164"/>
      <c r="O627" s="164"/>
      <c r="P627" s="164"/>
    </row>
    <row r="628" spans="1:16" s="165" customFormat="1" ht="17.25" outlineLevel="1">
      <c r="A628" s="497"/>
      <c r="B628" s="425"/>
      <c r="C628" s="414"/>
      <c r="D628" s="392"/>
      <c r="E628" s="307"/>
      <c r="F628" s="540"/>
      <c r="G628" s="540"/>
      <c r="H628" s="540"/>
      <c r="I628" s="399" t="str">
        <f t="shared" ref="I628:I667" si="61">IF(D628&lt;&gt;0,ROUND(PRODUCT(E628:H628)*D628,2),"")</f>
        <v/>
      </c>
      <c r="J628" s="394"/>
      <c r="K628" s="562"/>
      <c r="L628" s="164"/>
      <c r="M628" s="164"/>
      <c r="N628" s="164"/>
      <c r="O628" s="164"/>
      <c r="P628" s="164"/>
    </row>
    <row r="629" spans="1:16" s="165" customFormat="1" ht="17.25" outlineLevel="1">
      <c r="A629" s="497"/>
      <c r="B629" s="425" t="s">
        <v>1251</v>
      </c>
      <c r="C629" s="414" t="s">
        <v>1</v>
      </c>
      <c r="D629" s="392">
        <v>-1</v>
      </c>
      <c r="E629" s="307">
        <v>1</v>
      </c>
      <c r="F629" s="540">
        <f>66970710/1000000</f>
        <v>66.970709999999997</v>
      </c>
      <c r="G629" s="540"/>
      <c r="H629" s="540"/>
      <c r="I629" s="399">
        <f t="shared" si="61"/>
        <v>-66.97</v>
      </c>
      <c r="J629" s="394"/>
      <c r="K629" s="562"/>
      <c r="L629" s="164"/>
      <c r="M629" s="164"/>
      <c r="N629" s="164"/>
      <c r="O629" s="164"/>
      <c r="P629" s="164"/>
    </row>
    <row r="630" spans="1:16" s="165" customFormat="1" ht="17.25" outlineLevel="1">
      <c r="A630" s="497"/>
      <c r="B630" s="425" t="s">
        <v>862</v>
      </c>
      <c r="C630" s="414" t="s">
        <v>1</v>
      </c>
      <c r="D630" s="392">
        <v>-1</v>
      </c>
      <c r="E630" s="307">
        <v>1</v>
      </c>
      <c r="F630" s="540">
        <f>50265482/1000000</f>
        <v>50.265481999999999</v>
      </c>
      <c r="G630" s="540"/>
      <c r="H630" s="540"/>
      <c r="I630" s="399">
        <f t="shared" si="61"/>
        <v>-50.27</v>
      </c>
      <c r="J630" s="394"/>
      <c r="K630" s="562"/>
      <c r="L630" s="164"/>
      <c r="M630" s="164"/>
      <c r="N630" s="164"/>
      <c r="O630" s="164"/>
      <c r="P630" s="164"/>
    </row>
    <row r="631" spans="1:16" s="165" customFormat="1" ht="34.5" outlineLevel="1">
      <c r="A631" s="497"/>
      <c r="B631" s="425" t="s">
        <v>1252</v>
      </c>
      <c r="C631" s="414" t="s">
        <v>1</v>
      </c>
      <c r="D631" s="392">
        <v>-1</v>
      </c>
      <c r="E631" s="307">
        <v>3</v>
      </c>
      <c r="F631" s="540">
        <f>3.14*1.5^2</f>
        <v>7.0650000000000004</v>
      </c>
      <c r="G631" s="540"/>
      <c r="H631" s="540"/>
      <c r="I631" s="399">
        <f t="shared" si="61"/>
        <v>-21.2</v>
      </c>
      <c r="J631" s="394"/>
      <c r="K631" s="562"/>
      <c r="L631" s="164"/>
      <c r="M631" s="164"/>
      <c r="N631" s="164"/>
      <c r="O631" s="164"/>
      <c r="P631" s="164"/>
    </row>
    <row r="632" spans="1:16" s="165" customFormat="1" ht="17.25" outlineLevel="1">
      <c r="A632" s="497"/>
      <c r="B632" s="425" t="s">
        <v>1253</v>
      </c>
      <c r="C632" s="414" t="s">
        <v>1</v>
      </c>
      <c r="D632" s="392">
        <v>-1</v>
      </c>
      <c r="E632" s="1104">
        <v>6</v>
      </c>
      <c r="F632" s="540">
        <v>4.1749999999999998</v>
      </c>
      <c r="G632" s="540">
        <v>0.45</v>
      </c>
      <c r="H632" s="540"/>
      <c r="I632" s="399">
        <f t="shared" si="61"/>
        <v>-11.27</v>
      </c>
      <c r="J632" s="394"/>
      <c r="K632" s="562"/>
      <c r="L632" s="164"/>
      <c r="M632" s="164"/>
      <c r="N632" s="164"/>
      <c r="O632" s="164"/>
      <c r="P632" s="164"/>
    </row>
    <row r="633" spans="1:16" s="854" customFormat="1" ht="34.5" outlineLevel="1" collapsed="1">
      <c r="A633" s="921"/>
      <c r="B633" s="855" t="s">
        <v>1540</v>
      </c>
      <c r="C633" s="854" t="s">
        <v>1</v>
      </c>
      <c r="D633" s="878">
        <v>1</v>
      </c>
      <c r="E633" s="871">
        <v>1</v>
      </c>
      <c r="F633" s="902">
        <v>20.079999999999998</v>
      </c>
      <c r="G633" s="902">
        <v>24.3</v>
      </c>
      <c r="H633" s="902"/>
      <c r="I633" s="399">
        <f t="shared" si="61"/>
        <v>487.94</v>
      </c>
      <c r="J633" s="882"/>
      <c r="K633" s="882"/>
      <c r="L633" s="922"/>
      <c r="M633" s="922"/>
      <c r="N633" s="922"/>
      <c r="O633" s="922"/>
      <c r="P633" s="922"/>
    </row>
    <row r="634" spans="1:16" s="854" customFormat="1" ht="34.5" outlineLevel="1">
      <c r="A634" s="921"/>
      <c r="B634" s="855" t="s">
        <v>1541</v>
      </c>
      <c r="C634" s="854" t="s">
        <v>1</v>
      </c>
      <c r="D634" s="878">
        <v>1</v>
      </c>
      <c r="E634" s="871">
        <v>1</v>
      </c>
      <c r="F634" s="902">
        <f>84261030.969/1000000</f>
        <v>84.261030969000004</v>
      </c>
      <c r="G634" s="902"/>
      <c r="H634" s="902"/>
      <c r="I634" s="399">
        <f t="shared" si="61"/>
        <v>84.26</v>
      </c>
      <c r="J634" s="882"/>
      <c r="K634" s="882"/>
      <c r="L634" s="922"/>
      <c r="M634" s="922"/>
      <c r="N634" s="922"/>
      <c r="O634" s="922"/>
      <c r="P634" s="922"/>
    </row>
    <row r="635" spans="1:16" s="854" customFormat="1" ht="17.25" outlineLevel="1">
      <c r="A635" s="921"/>
      <c r="B635" s="855"/>
      <c r="D635" s="878"/>
      <c r="E635" s="871"/>
      <c r="F635" s="902"/>
      <c r="G635" s="902"/>
      <c r="H635" s="902"/>
      <c r="I635" s="399" t="str">
        <f t="shared" si="61"/>
        <v/>
      </c>
      <c r="J635" s="882"/>
      <c r="K635" s="882"/>
      <c r="L635" s="922"/>
      <c r="M635" s="922"/>
      <c r="N635" s="922"/>
      <c r="O635" s="922"/>
      <c r="P635" s="922"/>
    </row>
    <row r="636" spans="1:16" s="854" customFormat="1" ht="34.5" outlineLevel="1">
      <c r="A636" s="921"/>
      <c r="B636" s="855" t="s">
        <v>1542</v>
      </c>
      <c r="D636" s="878"/>
      <c r="E636" s="871"/>
      <c r="F636" s="902"/>
      <c r="G636" s="902"/>
      <c r="H636" s="902"/>
      <c r="I636" s="399" t="str">
        <f t="shared" si="61"/>
        <v/>
      </c>
      <c r="J636" s="882"/>
      <c r="K636" s="882"/>
      <c r="L636" s="922"/>
      <c r="M636" s="922"/>
      <c r="N636" s="922"/>
      <c r="O636" s="922"/>
      <c r="P636" s="922"/>
    </row>
    <row r="637" spans="1:16" s="854" customFormat="1" ht="34.5" outlineLevel="1">
      <c r="A637" s="921"/>
      <c r="B637" s="855" t="s">
        <v>1535</v>
      </c>
      <c r="C637" s="854" t="s">
        <v>1</v>
      </c>
      <c r="D637" s="878">
        <v>-1</v>
      </c>
      <c r="E637" s="871">
        <v>1</v>
      </c>
      <c r="F637" s="902">
        <f>12349538.162/1000000</f>
        <v>12.349538162</v>
      </c>
      <c r="G637" s="902"/>
      <c r="H637" s="902"/>
      <c r="I637" s="399">
        <f t="shared" si="61"/>
        <v>-12.35</v>
      </c>
      <c r="J637" s="882"/>
      <c r="K637" s="882"/>
      <c r="L637" s="922"/>
      <c r="M637" s="922"/>
      <c r="N637" s="922"/>
      <c r="O637" s="922"/>
      <c r="P637" s="922"/>
    </row>
    <row r="638" spans="1:16" s="854" customFormat="1" ht="34.5" outlineLevel="1">
      <c r="A638" s="921"/>
      <c r="B638" s="855" t="s">
        <v>1486</v>
      </c>
      <c r="C638" s="854" t="s">
        <v>1</v>
      </c>
      <c r="D638" s="878">
        <v>-1</v>
      </c>
      <c r="E638" s="871">
        <v>1</v>
      </c>
      <c r="F638" s="902">
        <f>5079030.305/1000000</f>
        <v>5.0790303049999999</v>
      </c>
      <c r="G638" s="902"/>
      <c r="H638" s="902"/>
      <c r="I638" s="399">
        <f t="shared" si="61"/>
        <v>-5.08</v>
      </c>
      <c r="J638" s="882"/>
      <c r="K638" s="882"/>
      <c r="L638" s="922"/>
      <c r="M638" s="922"/>
      <c r="N638" s="922"/>
      <c r="O638" s="922"/>
      <c r="P638" s="922"/>
    </row>
    <row r="639" spans="1:16" s="854" customFormat="1" ht="34.5" outlineLevel="1">
      <c r="A639" s="921"/>
      <c r="B639" s="855" t="s">
        <v>1487</v>
      </c>
      <c r="C639" s="854" t="s">
        <v>1</v>
      </c>
      <c r="D639" s="878">
        <v>-1</v>
      </c>
      <c r="E639" s="871">
        <v>1</v>
      </c>
      <c r="F639" s="902">
        <f>12396544.866/1000000</f>
        <v>12.396544866000001</v>
      </c>
      <c r="G639" s="902"/>
      <c r="H639" s="902"/>
      <c r="I639" s="399">
        <f t="shared" si="61"/>
        <v>-12.4</v>
      </c>
      <c r="J639" s="882"/>
      <c r="K639" s="882"/>
      <c r="L639" s="922"/>
      <c r="M639" s="922"/>
      <c r="N639" s="922"/>
      <c r="O639" s="922"/>
      <c r="P639" s="922"/>
    </row>
    <row r="640" spans="1:16" s="854" customFormat="1" ht="34.5" outlineLevel="1">
      <c r="A640" s="921"/>
      <c r="B640" s="855" t="s">
        <v>1488</v>
      </c>
      <c r="C640" s="854" t="s">
        <v>1</v>
      </c>
      <c r="D640" s="878">
        <v>-1</v>
      </c>
      <c r="E640" s="871">
        <v>1</v>
      </c>
      <c r="F640" s="902">
        <f>13572913.239/1000000</f>
        <v>13.572913239</v>
      </c>
      <c r="G640" s="902"/>
      <c r="H640" s="902"/>
      <c r="I640" s="399">
        <f t="shared" si="61"/>
        <v>-13.57</v>
      </c>
      <c r="J640" s="882"/>
      <c r="K640" s="882"/>
      <c r="L640" s="922"/>
      <c r="M640" s="922"/>
      <c r="N640" s="922"/>
      <c r="O640" s="922"/>
      <c r="P640" s="922"/>
    </row>
    <row r="641" spans="1:16" s="854" customFormat="1" ht="34.5" outlineLevel="1">
      <c r="A641" s="921"/>
      <c r="B641" s="855" t="s">
        <v>1489</v>
      </c>
      <c r="C641" s="854" t="s">
        <v>1</v>
      </c>
      <c r="D641" s="878">
        <v>-1</v>
      </c>
      <c r="E641" s="871">
        <v>1</v>
      </c>
      <c r="F641" s="902">
        <f>7068583.471/1000000</f>
        <v>7.0685834710000002</v>
      </c>
      <c r="G641" s="902"/>
      <c r="H641" s="902"/>
      <c r="I641" s="399">
        <f t="shared" si="61"/>
        <v>-7.07</v>
      </c>
      <c r="J641" s="882"/>
      <c r="K641" s="882"/>
      <c r="L641" s="922"/>
      <c r="M641" s="922"/>
      <c r="N641" s="922"/>
      <c r="O641" s="922"/>
      <c r="P641" s="922"/>
    </row>
    <row r="642" spans="1:16" s="854" customFormat="1" ht="34.5" outlineLevel="1">
      <c r="A642" s="921"/>
      <c r="B642" s="855" t="s">
        <v>1490</v>
      </c>
      <c r="C642" s="854" t="s">
        <v>1</v>
      </c>
      <c r="D642" s="878">
        <v>-1</v>
      </c>
      <c r="E642" s="871">
        <v>1</v>
      </c>
      <c r="F642" s="902">
        <f>1767145.868/1000000</f>
        <v>1.7671458680000001</v>
      </c>
      <c r="G642" s="902"/>
      <c r="H642" s="902"/>
      <c r="I642" s="399">
        <f t="shared" si="61"/>
        <v>-1.77</v>
      </c>
      <c r="J642" s="882"/>
      <c r="K642" s="882"/>
      <c r="L642" s="922"/>
      <c r="M642" s="922"/>
      <c r="N642" s="922"/>
      <c r="O642" s="922"/>
      <c r="P642" s="922"/>
    </row>
    <row r="643" spans="1:16" s="854" customFormat="1" ht="34.5" outlineLevel="1">
      <c r="A643" s="921"/>
      <c r="B643" s="855" t="s">
        <v>1491</v>
      </c>
      <c r="C643" s="854" t="s">
        <v>1</v>
      </c>
      <c r="D643" s="878">
        <v>-1</v>
      </c>
      <c r="E643" s="871">
        <v>1</v>
      </c>
      <c r="F643" s="902">
        <f>15904312.809/1000000</f>
        <v>15.904312809</v>
      </c>
      <c r="G643" s="902"/>
      <c r="H643" s="902"/>
      <c r="I643" s="399">
        <f t="shared" si="61"/>
        <v>-15.9</v>
      </c>
      <c r="J643" s="882"/>
      <c r="K643" s="882"/>
      <c r="L643" s="922"/>
      <c r="M643" s="922"/>
      <c r="N643" s="922"/>
      <c r="O643" s="922"/>
      <c r="P643" s="922"/>
    </row>
    <row r="644" spans="1:16" s="854" customFormat="1" ht="34.5" outlineLevel="1">
      <c r="A644" s="921"/>
      <c r="B644" s="855" t="s">
        <v>1492</v>
      </c>
      <c r="C644" s="854" t="s">
        <v>1</v>
      </c>
      <c r="D644" s="878">
        <v>-1</v>
      </c>
      <c r="E644" s="871">
        <v>1</v>
      </c>
      <c r="F644" s="902">
        <f>10752100.857/1000000</f>
        <v>10.752100857</v>
      </c>
      <c r="G644" s="902"/>
      <c r="H644" s="902"/>
      <c r="I644" s="399">
        <f t="shared" si="61"/>
        <v>-10.75</v>
      </c>
      <c r="J644" s="882"/>
      <c r="K644" s="882"/>
      <c r="L644" s="922"/>
      <c r="M644" s="922"/>
      <c r="N644" s="922"/>
      <c r="O644" s="922"/>
      <c r="P644" s="922"/>
    </row>
    <row r="645" spans="1:16" s="854" customFormat="1" ht="34.5" outlineLevel="1">
      <c r="A645" s="921"/>
      <c r="B645" s="855" t="s">
        <v>1493</v>
      </c>
      <c r="C645" s="854" t="s">
        <v>1</v>
      </c>
      <c r="D645" s="878">
        <v>-1</v>
      </c>
      <c r="E645" s="871">
        <v>1</v>
      </c>
      <c r="F645" s="902">
        <f>5309291.585/1000000</f>
        <v>5.3092915849999995</v>
      </c>
      <c r="G645" s="902"/>
      <c r="H645" s="902"/>
      <c r="I645" s="399">
        <f t="shared" si="61"/>
        <v>-5.31</v>
      </c>
      <c r="J645" s="882"/>
      <c r="K645" s="882"/>
      <c r="L645" s="922"/>
      <c r="M645" s="922"/>
      <c r="N645" s="922"/>
      <c r="O645" s="922"/>
      <c r="P645" s="922"/>
    </row>
    <row r="646" spans="1:16" s="854" customFormat="1" ht="17.25" outlineLevel="1">
      <c r="A646" s="921"/>
      <c r="B646" s="855" t="s">
        <v>1536</v>
      </c>
      <c r="C646" s="854" t="s">
        <v>1</v>
      </c>
      <c r="D646" s="878">
        <v>-1</v>
      </c>
      <c r="E646" s="871">
        <v>1</v>
      </c>
      <c r="F646" s="902">
        <f>28274333.882/1000000</f>
        <v>28.274333882000001</v>
      </c>
      <c r="G646" s="902"/>
      <c r="H646" s="902"/>
      <c r="I646" s="399">
        <f t="shared" si="61"/>
        <v>-28.27</v>
      </c>
      <c r="J646" s="882"/>
      <c r="K646" s="882"/>
      <c r="L646" s="922"/>
      <c r="M646" s="922"/>
      <c r="N646" s="922"/>
      <c r="O646" s="922"/>
      <c r="P646" s="922"/>
    </row>
    <row r="647" spans="1:16" s="854" customFormat="1" ht="34.5" outlineLevel="1">
      <c r="A647" s="921"/>
      <c r="B647" s="855" t="s">
        <v>1494</v>
      </c>
      <c r="C647" s="854" t="s">
        <v>1</v>
      </c>
      <c r="D647" s="878">
        <v>-1</v>
      </c>
      <c r="E647" s="871">
        <v>1</v>
      </c>
      <c r="F647" s="902">
        <f>10752100.857/1000000</f>
        <v>10.752100857</v>
      </c>
      <c r="G647" s="902"/>
      <c r="H647" s="902"/>
      <c r="I647" s="399">
        <f t="shared" si="61"/>
        <v>-10.75</v>
      </c>
      <c r="J647" s="882"/>
      <c r="K647" s="882"/>
      <c r="L647" s="922"/>
      <c r="M647" s="922"/>
      <c r="N647" s="922"/>
      <c r="O647" s="922"/>
      <c r="P647" s="922"/>
    </row>
    <row r="648" spans="1:16" s="854" customFormat="1" ht="34.5" outlineLevel="1">
      <c r="A648" s="921"/>
      <c r="B648" s="855" t="s">
        <v>1495</v>
      </c>
      <c r="C648" s="854" t="s">
        <v>1</v>
      </c>
      <c r="D648" s="878">
        <v>-1</v>
      </c>
      <c r="E648" s="871">
        <v>1</v>
      </c>
      <c r="F648" s="902">
        <f>5309291.585/1000000</f>
        <v>5.3092915849999995</v>
      </c>
      <c r="G648" s="902"/>
      <c r="H648" s="902"/>
      <c r="I648" s="399">
        <f t="shared" si="61"/>
        <v>-5.31</v>
      </c>
      <c r="J648" s="882"/>
      <c r="K648" s="882"/>
      <c r="L648" s="922"/>
      <c r="M648" s="922"/>
      <c r="N648" s="922"/>
      <c r="O648" s="922"/>
      <c r="P648" s="922"/>
    </row>
    <row r="649" spans="1:16" s="854" customFormat="1" ht="34.5" outlineLevel="1">
      <c r="A649" s="921"/>
      <c r="B649" s="855" t="s">
        <v>1496</v>
      </c>
      <c r="C649" s="854" t="s">
        <v>1</v>
      </c>
      <c r="D649" s="878">
        <v>-1</v>
      </c>
      <c r="E649" s="871">
        <v>1</v>
      </c>
      <c r="F649" s="902">
        <f>12566370.614/1000000</f>
        <v>12.566370614</v>
      </c>
      <c r="G649" s="902"/>
      <c r="H649" s="902"/>
      <c r="I649" s="399">
        <f t="shared" si="61"/>
        <v>-12.57</v>
      </c>
      <c r="J649" s="882"/>
      <c r="K649" s="882"/>
      <c r="L649" s="922"/>
      <c r="M649" s="922"/>
      <c r="N649" s="922"/>
      <c r="O649" s="922"/>
      <c r="P649" s="922"/>
    </row>
    <row r="650" spans="1:16" s="854" customFormat="1" ht="34.5" outlineLevel="1">
      <c r="A650" s="921"/>
      <c r="B650" s="855" t="s">
        <v>1497</v>
      </c>
      <c r="C650" s="854" t="s">
        <v>1</v>
      </c>
      <c r="D650" s="878">
        <v>-1</v>
      </c>
      <c r="E650" s="871">
        <v>1</v>
      </c>
      <c r="F650" s="902">
        <f>15904312.809/1000000</f>
        <v>15.904312809</v>
      </c>
      <c r="G650" s="902"/>
      <c r="H650" s="902"/>
      <c r="I650" s="399">
        <f t="shared" si="61"/>
        <v>-15.9</v>
      </c>
      <c r="J650" s="882"/>
      <c r="K650" s="882"/>
      <c r="L650" s="922"/>
      <c r="M650" s="922"/>
      <c r="N650" s="922"/>
      <c r="O650" s="922"/>
      <c r="P650" s="922"/>
    </row>
    <row r="651" spans="1:16" s="854" customFormat="1" ht="17.25" outlineLevel="1">
      <c r="A651" s="921"/>
      <c r="B651" s="855"/>
      <c r="D651" s="878"/>
      <c r="E651" s="871"/>
      <c r="F651" s="902"/>
      <c r="G651" s="902"/>
      <c r="H651" s="902"/>
      <c r="I651" s="399" t="str">
        <f t="shared" si="61"/>
        <v/>
      </c>
      <c r="J651" s="882"/>
      <c r="K651" s="882"/>
      <c r="L651" s="922"/>
      <c r="M651" s="922"/>
      <c r="N651" s="922"/>
      <c r="O651" s="922"/>
      <c r="P651" s="922"/>
    </row>
    <row r="652" spans="1:16" s="854" customFormat="1" ht="34.5" outlineLevel="1">
      <c r="A652" s="921"/>
      <c r="B652" s="855" t="s">
        <v>1498</v>
      </c>
      <c r="C652" s="854" t="s">
        <v>1</v>
      </c>
      <c r="D652" s="878">
        <v>-1</v>
      </c>
      <c r="E652" s="871">
        <v>1</v>
      </c>
      <c r="F652" s="902">
        <f>4154756.284/1000000</f>
        <v>4.1547562840000003</v>
      </c>
      <c r="G652" s="902"/>
      <c r="H652" s="902"/>
      <c r="I652" s="399">
        <f t="shared" si="61"/>
        <v>-4.1500000000000004</v>
      </c>
      <c r="J652" s="882"/>
      <c r="K652" s="882"/>
      <c r="L652" s="922"/>
      <c r="M652" s="922"/>
      <c r="N652" s="922"/>
      <c r="O652" s="922"/>
      <c r="P652" s="922"/>
    </row>
    <row r="653" spans="1:16" s="854" customFormat="1" ht="34.5" outlineLevel="1">
      <c r="A653" s="921"/>
      <c r="B653" s="855" t="s">
        <v>1499</v>
      </c>
      <c r="C653" s="854" t="s">
        <v>1</v>
      </c>
      <c r="D653" s="878">
        <v>-1</v>
      </c>
      <c r="E653" s="871">
        <v>1</v>
      </c>
      <c r="F653" s="902">
        <f>6684030.626/1000000</f>
        <v>6.6840306260000002</v>
      </c>
      <c r="G653" s="902"/>
      <c r="H653" s="902"/>
      <c r="I653" s="399">
        <f t="shared" si="61"/>
        <v>-6.68</v>
      </c>
      <c r="J653" s="882"/>
      <c r="K653" s="882"/>
      <c r="L653" s="922"/>
      <c r="M653" s="922"/>
      <c r="N653" s="922"/>
      <c r="O653" s="922"/>
      <c r="P653" s="922"/>
    </row>
    <row r="654" spans="1:16" s="854" customFormat="1" ht="34.5" outlineLevel="1">
      <c r="A654" s="921"/>
      <c r="B654" s="855" t="s">
        <v>1500</v>
      </c>
      <c r="C654" s="854" t="s">
        <v>1</v>
      </c>
      <c r="D654" s="878">
        <v>-1</v>
      </c>
      <c r="E654" s="871">
        <v>1</v>
      </c>
      <c r="F654" s="902">
        <f>1767145.868/1000000</f>
        <v>1.7671458680000001</v>
      </c>
      <c r="G654" s="902"/>
      <c r="H654" s="902"/>
      <c r="I654" s="399">
        <f t="shared" si="61"/>
        <v>-1.77</v>
      </c>
      <c r="J654" s="882"/>
      <c r="K654" s="882"/>
      <c r="L654" s="922"/>
      <c r="M654" s="922"/>
      <c r="N654" s="922"/>
      <c r="O654" s="922"/>
      <c r="P654" s="922"/>
    </row>
    <row r="655" spans="1:16" s="854" customFormat="1" ht="34.5" outlineLevel="1">
      <c r="A655" s="921"/>
      <c r="B655" s="855" t="s">
        <v>1501</v>
      </c>
      <c r="C655" s="854" t="s">
        <v>1</v>
      </c>
      <c r="D655" s="878">
        <v>-1</v>
      </c>
      <c r="E655" s="871">
        <v>1</v>
      </c>
      <c r="F655" s="902">
        <f>6824093.816/1000000</f>
        <v>6.8240938159999995</v>
      </c>
      <c r="G655" s="902"/>
      <c r="H655" s="902"/>
      <c r="I655" s="399">
        <f t="shared" si="61"/>
        <v>-6.82</v>
      </c>
      <c r="J655" s="882"/>
      <c r="K655" s="882"/>
      <c r="L655" s="922"/>
      <c r="M655" s="922"/>
      <c r="N655" s="922"/>
      <c r="O655" s="922"/>
      <c r="P655" s="922"/>
    </row>
    <row r="656" spans="1:16" s="854" customFormat="1" ht="34.5" outlineLevel="1">
      <c r="A656" s="921"/>
      <c r="B656" s="855" t="s">
        <v>1502</v>
      </c>
      <c r="C656" s="854" t="s">
        <v>1</v>
      </c>
      <c r="D656" s="878">
        <v>-1</v>
      </c>
      <c r="E656" s="871">
        <v>1</v>
      </c>
      <c r="F656" s="902">
        <f>13854423.602/1000000</f>
        <v>13.854423602000001</v>
      </c>
      <c r="G656" s="902"/>
      <c r="H656" s="902"/>
      <c r="I656" s="399">
        <f t="shared" si="61"/>
        <v>-13.85</v>
      </c>
      <c r="J656" s="882"/>
      <c r="K656" s="882"/>
      <c r="L656" s="922"/>
      <c r="M656" s="922"/>
      <c r="N656" s="922"/>
      <c r="O656" s="922"/>
      <c r="P656" s="922"/>
    </row>
    <row r="657" spans="1:16" s="854" customFormat="1" ht="17.25" outlineLevel="1">
      <c r="A657" s="921"/>
      <c r="B657" s="855" t="s">
        <v>1503</v>
      </c>
      <c r="C657" s="854" t="s">
        <v>1</v>
      </c>
      <c r="D657" s="878">
        <v>-1</v>
      </c>
      <c r="E657" s="871">
        <v>1</v>
      </c>
      <c r="F657" s="902">
        <f>3141592.654/1000000</f>
        <v>3.1415926540000001</v>
      </c>
      <c r="G657" s="902"/>
      <c r="H657" s="902"/>
      <c r="I657" s="399">
        <f t="shared" si="61"/>
        <v>-3.14</v>
      </c>
      <c r="J657" s="882"/>
      <c r="K657" s="882"/>
      <c r="L657" s="922"/>
      <c r="M657" s="922"/>
      <c r="N657" s="922"/>
      <c r="O657" s="922"/>
      <c r="P657" s="922"/>
    </row>
    <row r="658" spans="1:16" s="854" customFormat="1" ht="34.5" outlineLevel="1">
      <c r="A658" s="921"/>
      <c r="B658" s="855" t="s">
        <v>1504</v>
      </c>
      <c r="C658" s="854" t="s">
        <v>1</v>
      </c>
      <c r="D658" s="878">
        <v>-1</v>
      </c>
      <c r="E658" s="871">
        <v>1</v>
      </c>
      <c r="F658" s="902">
        <f>1767145.868/1000000</f>
        <v>1.7671458680000001</v>
      </c>
      <c r="G658" s="902"/>
      <c r="H658" s="902"/>
      <c r="I658" s="399">
        <f t="shared" si="61"/>
        <v>-1.77</v>
      </c>
      <c r="J658" s="882"/>
      <c r="K658" s="882"/>
      <c r="L658" s="922"/>
      <c r="M658" s="922"/>
      <c r="N658" s="922"/>
      <c r="O658" s="922"/>
      <c r="P658" s="922"/>
    </row>
    <row r="659" spans="1:16" s="854" customFormat="1" ht="34.5" outlineLevel="1">
      <c r="A659" s="921"/>
      <c r="B659" s="855" t="s">
        <v>1505</v>
      </c>
      <c r="C659" s="854" t="s">
        <v>1</v>
      </c>
      <c r="D659" s="878">
        <v>-1</v>
      </c>
      <c r="E659" s="871">
        <v>1</v>
      </c>
      <c r="F659" s="902">
        <f>3141592.654/1000000</f>
        <v>3.1415926540000001</v>
      </c>
      <c r="G659" s="902"/>
      <c r="H659" s="902"/>
      <c r="I659" s="399">
        <f t="shared" si="61"/>
        <v>-3.14</v>
      </c>
      <c r="J659" s="882"/>
      <c r="K659" s="882"/>
      <c r="L659" s="922"/>
      <c r="M659" s="922"/>
      <c r="N659" s="922"/>
      <c r="O659" s="922"/>
      <c r="P659" s="922"/>
    </row>
    <row r="660" spans="1:16" s="854" customFormat="1" ht="34.5" outlineLevel="1">
      <c r="A660" s="921"/>
      <c r="B660" s="855" t="s">
        <v>1506</v>
      </c>
      <c r="C660" s="854" t="s">
        <v>1</v>
      </c>
      <c r="D660" s="878">
        <v>-1</v>
      </c>
      <c r="E660" s="871">
        <v>1</v>
      </c>
      <c r="F660" s="902">
        <f>4154756.284/1000000</f>
        <v>4.1547562840000003</v>
      </c>
      <c r="G660" s="902"/>
      <c r="H660" s="902"/>
      <c r="I660" s="399">
        <f t="shared" si="61"/>
        <v>-4.1500000000000004</v>
      </c>
      <c r="J660" s="882"/>
      <c r="K660" s="882"/>
      <c r="L660" s="922"/>
      <c r="M660" s="922"/>
      <c r="N660" s="922"/>
      <c r="O660" s="922"/>
      <c r="P660" s="922"/>
    </row>
    <row r="661" spans="1:16" s="854" customFormat="1" ht="17.25" outlineLevel="1">
      <c r="A661" s="921"/>
      <c r="B661" s="855" t="s">
        <v>1677</v>
      </c>
      <c r="D661" s="878"/>
      <c r="E661" s="871"/>
      <c r="F661" s="902"/>
      <c r="G661" s="902"/>
      <c r="H661" s="902"/>
      <c r="I661" s="399" t="str">
        <f t="shared" si="61"/>
        <v/>
      </c>
      <c r="J661" s="882"/>
      <c r="K661" s="882"/>
      <c r="L661" s="922"/>
      <c r="M661" s="922"/>
      <c r="N661" s="922"/>
      <c r="O661" s="922"/>
      <c r="P661" s="922"/>
    </row>
    <row r="662" spans="1:16" s="897" customFormat="1" ht="17.25" outlineLevel="1">
      <c r="A662" s="923"/>
      <c r="B662" s="890" t="s">
        <v>140</v>
      </c>
      <c r="C662" s="897" t="s">
        <v>1</v>
      </c>
      <c r="D662" s="898">
        <v>-1</v>
      </c>
      <c r="E662" s="1107">
        <v>12</v>
      </c>
      <c r="F662" s="1108">
        <v>1.8</v>
      </c>
      <c r="G662" s="1108">
        <v>0.5</v>
      </c>
      <c r="H662" s="1108"/>
      <c r="I662" s="399">
        <f t="shared" si="61"/>
        <v>-10.8</v>
      </c>
      <c r="J662" s="899"/>
      <c r="K662" s="899"/>
      <c r="L662" s="924"/>
      <c r="M662" s="924"/>
      <c r="N662" s="924"/>
      <c r="O662" s="924"/>
      <c r="P662" s="924"/>
    </row>
    <row r="663" spans="1:16" s="895" customFormat="1" ht="17.25" outlineLevel="1">
      <c r="A663" s="925"/>
      <c r="B663" s="926" t="s">
        <v>1678</v>
      </c>
      <c r="C663" s="895" t="s">
        <v>1</v>
      </c>
      <c r="D663" s="898">
        <v>-1</v>
      </c>
      <c r="E663" s="1107">
        <v>1</v>
      </c>
      <c r="F663" s="1108">
        <v>9.4250000000000007</v>
      </c>
      <c r="G663" s="1108"/>
      <c r="H663" s="1108"/>
      <c r="I663" s="399">
        <f t="shared" si="61"/>
        <v>-9.43</v>
      </c>
      <c r="J663" s="888"/>
      <c r="K663" s="888"/>
      <c r="L663" s="927"/>
      <c r="M663" s="927"/>
      <c r="N663" s="927"/>
      <c r="O663" s="927"/>
      <c r="P663" s="927"/>
    </row>
    <row r="664" spans="1:16" s="895" customFormat="1" ht="17.25" outlineLevel="1">
      <c r="A664" s="925"/>
      <c r="B664" s="926"/>
      <c r="C664" s="895" t="s">
        <v>1</v>
      </c>
      <c r="D664" s="898">
        <v>-1</v>
      </c>
      <c r="E664" s="1107">
        <v>1</v>
      </c>
      <c r="F664" s="1108">
        <v>17.349</v>
      </c>
      <c r="G664" s="1108"/>
      <c r="H664" s="1108"/>
      <c r="I664" s="399">
        <f t="shared" si="61"/>
        <v>-17.350000000000001</v>
      </c>
      <c r="J664" s="888"/>
      <c r="K664" s="888"/>
      <c r="L664" s="927"/>
      <c r="M664" s="927"/>
      <c r="N664" s="927"/>
      <c r="O664" s="927"/>
      <c r="P664" s="927"/>
    </row>
    <row r="665" spans="1:16" s="895" customFormat="1" ht="17.25" outlineLevel="1">
      <c r="A665" s="925"/>
      <c r="B665" s="926"/>
      <c r="C665" s="895" t="s">
        <v>1</v>
      </c>
      <c r="D665" s="898">
        <v>-1</v>
      </c>
      <c r="E665" s="1107">
        <v>1</v>
      </c>
      <c r="F665" s="1108">
        <v>10.752000000000001</v>
      </c>
      <c r="G665" s="1108"/>
      <c r="H665" s="1108"/>
      <c r="I665" s="399">
        <f t="shared" si="61"/>
        <v>-10.75</v>
      </c>
      <c r="J665" s="888"/>
      <c r="K665" s="888"/>
      <c r="L665" s="927"/>
      <c r="M665" s="927"/>
      <c r="N665" s="927"/>
      <c r="O665" s="927"/>
      <c r="P665" s="927"/>
    </row>
    <row r="666" spans="1:16" s="895" customFormat="1" ht="17.25" outlineLevel="1">
      <c r="A666" s="925"/>
      <c r="B666" s="926" t="s">
        <v>1679</v>
      </c>
      <c r="C666" s="895" t="s">
        <v>1</v>
      </c>
      <c r="D666" s="898">
        <v>-1</v>
      </c>
      <c r="E666" s="1107">
        <v>3</v>
      </c>
      <c r="F666" s="1108">
        <v>4.1749999999999998</v>
      </c>
      <c r="G666" s="1108">
        <v>0.45</v>
      </c>
      <c r="H666" s="1108"/>
      <c r="I666" s="399">
        <f t="shared" si="61"/>
        <v>-5.64</v>
      </c>
      <c r="J666" s="888"/>
      <c r="K666" s="888"/>
      <c r="L666" s="927"/>
      <c r="M666" s="927"/>
      <c r="N666" s="927"/>
      <c r="O666" s="927"/>
      <c r="P666" s="927"/>
    </row>
    <row r="667" spans="1:16" s="897" customFormat="1" ht="17.25" outlineLevel="1">
      <c r="A667" s="923"/>
      <c r="B667" s="890" t="s">
        <v>1688</v>
      </c>
      <c r="C667" s="897" t="s">
        <v>1</v>
      </c>
      <c r="D667" s="898">
        <v>-1</v>
      </c>
      <c r="E667" s="1107">
        <v>1</v>
      </c>
      <c r="F667" s="1108">
        <v>152.084709</v>
      </c>
      <c r="G667" s="1108"/>
      <c r="H667" s="1108"/>
      <c r="I667" s="399">
        <f t="shared" si="61"/>
        <v>-152.08000000000001</v>
      </c>
      <c r="J667" s="899"/>
      <c r="K667" s="899"/>
      <c r="L667" s="924"/>
      <c r="M667" s="924"/>
      <c r="N667" s="924"/>
      <c r="O667" s="924"/>
      <c r="P667" s="924"/>
    </row>
    <row r="668" spans="1:16" s="49" customFormat="1">
      <c r="A668" s="157"/>
      <c r="B668" s="158" t="s">
        <v>85</v>
      </c>
      <c r="C668" s="159" t="s">
        <v>1</v>
      </c>
      <c r="D668" s="646"/>
      <c r="E668" s="647"/>
      <c r="F668" s="648"/>
      <c r="G668" s="648"/>
      <c r="H668" s="648"/>
      <c r="I668" s="30" t="s">
        <v>313</v>
      </c>
      <c r="J668" s="227">
        <f>SUM(I563:I668)</f>
        <v>466.46000000000038</v>
      </c>
      <c r="K668" s="43"/>
      <c r="L668" s="233"/>
      <c r="M668" s="233"/>
      <c r="N668" s="233"/>
      <c r="O668" s="233"/>
      <c r="P668" s="233"/>
    </row>
    <row r="669" spans="1:16" s="165" customFormat="1" ht="17.25">
      <c r="A669" s="497"/>
      <c r="B669" s="311"/>
      <c r="C669" s="165" t="s">
        <v>1</v>
      </c>
      <c r="D669" s="392"/>
      <c r="E669" s="307"/>
      <c r="F669" s="540"/>
      <c r="G669" s="540"/>
      <c r="H669" s="540"/>
      <c r="I669" s="294" t="str">
        <f t="shared" ref="I669" si="62">IF(D669&lt;&gt;0,ROUND(PRODUCT(E669:H669)*D669,2),"")</f>
        <v/>
      </c>
      <c r="J669" s="394"/>
      <c r="K669" s="394"/>
      <c r="L669" s="164"/>
      <c r="M669" s="164"/>
      <c r="N669" s="164"/>
      <c r="O669" s="164"/>
      <c r="P669" s="164"/>
    </row>
    <row r="670" spans="1:16" s="165" customFormat="1" ht="17.25">
      <c r="A670" s="497"/>
      <c r="B670" s="311" t="s">
        <v>2079</v>
      </c>
      <c r="D670" s="392"/>
      <c r="E670" s="307"/>
      <c r="F670" s="540"/>
      <c r="G670" s="540"/>
      <c r="H670" s="540"/>
      <c r="I670" s="294"/>
      <c r="J670" s="394"/>
      <c r="K670" s="394"/>
      <c r="L670" s="164"/>
      <c r="M670" s="164"/>
      <c r="N670" s="164"/>
      <c r="O670" s="164"/>
      <c r="P670" s="164"/>
    </row>
    <row r="671" spans="1:16" s="165" customFormat="1" ht="17.25">
      <c r="A671" s="497"/>
      <c r="B671" s="311" t="s">
        <v>140</v>
      </c>
      <c r="C671" s="165" t="s">
        <v>1</v>
      </c>
      <c r="D671" s="392">
        <v>1</v>
      </c>
      <c r="E671" s="307">
        <v>12</v>
      </c>
      <c r="F671" s="540">
        <v>1.8</v>
      </c>
      <c r="G671" s="540">
        <v>0.5</v>
      </c>
      <c r="H671" s="540"/>
      <c r="I671" s="399">
        <f t="shared" ref="I671:I676" si="63">IF(D671&lt;&gt;0,ROUND(PRODUCT(E671:H671)*D671,2),"")</f>
        <v>10.8</v>
      </c>
      <c r="J671" s="394"/>
      <c r="K671" s="394"/>
      <c r="L671" s="164"/>
      <c r="M671" s="164"/>
      <c r="N671" s="164"/>
      <c r="O671" s="164"/>
      <c r="P671" s="164"/>
    </row>
    <row r="672" spans="1:16" s="345" customFormat="1" ht="17.25">
      <c r="A672" s="1105"/>
      <c r="B672" s="607" t="s">
        <v>1678</v>
      </c>
      <c r="C672" s="345" t="s">
        <v>1</v>
      </c>
      <c r="D672" s="638">
        <v>1</v>
      </c>
      <c r="E672" s="610">
        <v>0</v>
      </c>
      <c r="F672" s="609">
        <v>9.4250000000000007</v>
      </c>
      <c r="G672" s="609"/>
      <c r="H672" s="609"/>
      <c r="I672" s="399">
        <f t="shared" si="63"/>
        <v>0</v>
      </c>
      <c r="J672" s="445"/>
      <c r="K672" s="445"/>
      <c r="L672" s="355"/>
      <c r="M672" s="355"/>
      <c r="N672" s="355"/>
      <c r="O672" s="355"/>
      <c r="P672" s="355"/>
    </row>
    <row r="673" spans="1:16" s="345" customFormat="1" ht="17.25">
      <c r="A673" s="1105"/>
      <c r="B673" s="607"/>
      <c r="C673" s="345" t="s">
        <v>1</v>
      </c>
      <c r="D673" s="638">
        <v>1</v>
      </c>
      <c r="E673" s="610">
        <v>0</v>
      </c>
      <c r="F673" s="609">
        <v>17.349</v>
      </c>
      <c r="G673" s="609"/>
      <c r="H673" s="609"/>
      <c r="I673" s="399">
        <f t="shared" si="63"/>
        <v>0</v>
      </c>
      <c r="J673" s="445"/>
      <c r="K673" s="445"/>
      <c r="L673" s="355"/>
      <c r="M673" s="355"/>
      <c r="N673" s="355"/>
      <c r="O673" s="355"/>
      <c r="P673" s="355"/>
    </row>
    <row r="674" spans="1:16" s="345" customFormat="1" ht="17.25">
      <c r="A674" s="1105"/>
      <c r="B674" s="607"/>
      <c r="C674" s="345" t="s">
        <v>1</v>
      </c>
      <c r="D674" s="638">
        <v>1</v>
      </c>
      <c r="E674" s="610">
        <v>0</v>
      </c>
      <c r="F674" s="609">
        <v>10.752000000000001</v>
      </c>
      <c r="G674" s="609"/>
      <c r="H674" s="609"/>
      <c r="I674" s="399">
        <f t="shared" si="63"/>
        <v>0</v>
      </c>
      <c r="J674" s="445"/>
      <c r="K674" s="445"/>
      <c r="L674" s="355"/>
      <c r="M674" s="355"/>
      <c r="N674" s="355"/>
      <c r="O674" s="355"/>
      <c r="P674" s="355"/>
    </row>
    <row r="675" spans="1:16" s="165" customFormat="1" ht="17.25">
      <c r="A675" s="497"/>
      <c r="B675" s="311"/>
      <c r="D675" s="392"/>
      <c r="E675" s="307"/>
      <c r="F675" s="540"/>
      <c r="G675" s="540"/>
      <c r="H675" s="540"/>
      <c r="I675" s="399" t="str">
        <f t="shared" si="63"/>
        <v/>
      </c>
      <c r="J675" s="394"/>
      <c r="K675" s="394"/>
      <c r="L675" s="164"/>
      <c r="M675" s="164"/>
      <c r="N675" s="164"/>
      <c r="O675" s="164"/>
      <c r="P675" s="164"/>
    </row>
    <row r="676" spans="1:16" s="165" customFormat="1" ht="17.25">
      <c r="A676" s="497"/>
      <c r="B676" s="311" t="s">
        <v>140</v>
      </c>
      <c r="C676" s="165" t="s">
        <v>1</v>
      </c>
      <c r="D676" s="392">
        <v>-1</v>
      </c>
      <c r="E676" s="307">
        <v>12</v>
      </c>
      <c r="F676" s="540">
        <v>1.71</v>
      </c>
      <c r="G676" s="540">
        <v>0.41000000000000003</v>
      </c>
      <c r="H676" s="540"/>
      <c r="I676" s="399">
        <f t="shared" si="63"/>
        <v>-8.41</v>
      </c>
      <c r="J676" s="394"/>
      <c r="K676" s="394"/>
      <c r="L676" s="164"/>
      <c r="M676" s="164"/>
      <c r="N676" s="164"/>
      <c r="O676" s="164"/>
      <c r="P676" s="164"/>
    </row>
    <row r="677" spans="1:16" s="165" customFormat="1" ht="17.25">
      <c r="A677" s="497"/>
      <c r="B677" s="311"/>
      <c r="D677" s="392"/>
      <c r="E677" s="307"/>
      <c r="F677" s="540"/>
      <c r="G677" s="540"/>
      <c r="H677" s="540"/>
      <c r="I677" s="294"/>
      <c r="J677" s="394"/>
      <c r="K677" s="394"/>
      <c r="L677" s="164"/>
      <c r="M677" s="164"/>
      <c r="N677" s="164"/>
      <c r="O677" s="164"/>
      <c r="P677" s="164"/>
    </row>
    <row r="678" spans="1:16" s="15" customFormat="1" ht="17.25">
      <c r="A678" s="155"/>
      <c r="B678" s="33" t="s">
        <v>86</v>
      </c>
      <c r="C678" s="23" t="s">
        <v>1</v>
      </c>
      <c r="D678" s="649"/>
      <c r="E678" s="16"/>
      <c r="F678" s="1"/>
      <c r="G678" s="1"/>
      <c r="H678" s="1"/>
      <c r="I678" s="294" t="str">
        <f t="shared" ref="I678" si="64">IF(D678&lt;&gt;0,ROUND(PRODUCT(E678:H678)*D678,2),"")</f>
        <v/>
      </c>
      <c r="J678" s="36">
        <f>SUM(I669:I676)</f>
        <v>2.3900000000000006</v>
      </c>
      <c r="K678" s="35" t="s">
        <v>1690</v>
      </c>
      <c r="L678" s="156"/>
      <c r="M678" s="156"/>
      <c r="N678" s="156"/>
      <c r="O678" s="156"/>
      <c r="P678" s="156"/>
    </row>
    <row r="679" spans="1:16" s="15" customFormat="1">
      <c r="A679" s="155"/>
      <c r="B679" s="22"/>
      <c r="C679" s="9"/>
      <c r="D679" s="29"/>
      <c r="E679" s="16"/>
      <c r="F679" s="1"/>
      <c r="G679" s="1"/>
      <c r="H679" s="1"/>
      <c r="I679" s="46" t="str">
        <f t="shared" ref="I679" si="65">IF(D679&lt;&gt;0,ROUND(PRODUCT(E679:H679)*D679,2),"")</f>
        <v/>
      </c>
      <c r="J679" s="31">
        <f>SUM(J668:J678)</f>
        <v>468.85000000000036</v>
      </c>
      <c r="K679" s="27"/>
      <c r="L679" s="156"/>
      <c r="M679" s="156"/>
      <c r="N679" s="156"/>
      <c r="O679" s="156"/>
      <c r="P679" s="156"/>
    </row>
    <row r="680" spans="1:16">
      <c r="A680" s="10">
        <v>1.2</v>
      </c>
      <c r="B680" s="372" t="s">
        <v>1245</v>
      </c>
      <c r="C680" s="38"/>
      <c r="D680" s="38"/>
      <c r="E680" s="650"/>
      <c r="F680" s="650"/>
      <c r="G680" s="650"/>
      <c r="H680" s="650"/>
      <c r="I680" s="11"/>
      <c r="J680" s="24"/>
      <c r="K680" s="14"/>
    </row>
    <row r="681" spans="1:16" s="165" customFormat="1" ht="34.5" outlineLevel="1">
      <c r="A681" s="497"/>
      <c r="B681" s="425" t="s">
        <v>1179</v>
      </c>
      <c r="C681" s="414" t="s">
        <v>1</v>
      </c>
      <c r="D681" s="392">
        <v>1</v>
      </c>
      <c r="E681" s="307">
        <v>1</v>
      </c>
      <c r="F681" s="540">
        <f>12566371/1000000</f>
        <v>12.566371</v>
      </c>
      <c r="G681" s="540"/>
      <c r="H681" s="540"/>
      <c r="I681" s="399">
        <f t="shared" ref="I681:I744" si="66">IF(D681&lt;&gt;0,ROUND(PRODUCT(E681:H681)*D681,2),"")</f>
        <v>12.57</v>
      </c>
      <c r="J681" s="394"/>
      <c r="K681" s="394" t="s">
        <v>860</v>
      </c>
      <c r="L681" s="164"/>
      <c r="M681" s="164"/>
      <c r="N681" s="164"/>
      <c r="O681" s="164"/>
      <c r="P681" s="164"/>
    </row>
    <row r="682" spans="1:16" s="165" customFormat="1" ht="17.25" outlineLevel="1">
      <c r="A682" s="497"/>
      <c r="B682" s="425" t="s">
        <v>1180</v>
      </c>
      <c r="C682" s="414" t="s">
        <v>1</v>
      </c>
      <c r="D682" s="392">
        <v>-1</v>
      </c>
      <c r="E682" s="307">
        <v>1</v>
      </c>
      <c r="F682" s="540">
        <f>(0.822+0.415)/2</f>
        <v>0.61849999999999994</v>
      </c>
      <c r="G682" s="540">
        <v>0.34499999999999997</v>
      </c>
      <c r="H682" s="540"/>
      <c r="I682" s="399">
        <f t="shared" si="66"/>
        <v>-0.21</v>
      </c>
      <c r="J682" s="394"/>
      <c r="K682" s="394"/>
      <c r="L682" s="164"/>
      <c r="M682" s="164"/>
      <c r="N682" s="164"/>
      <c r="O682" s="164"/>
      <c r="P682" s="164"/>
    </row>
    <row r="683" spans="1:16" s="165" customFormat="1" ht="34.5" outlineLevel="1">
      <c r="A683" s="497"/>
      <c r="B683" s="425" t="s">
        <v>1181</v>
      </c>
      <c r="C683" s="414" t="s">
        <v>1</v>
      </c>
      <c r="D683" s="392">
        <v>1</v>
      </c>
      <c r="E683" s="307">
        <v>1</v>
      </c>
      <c r="F683" s="540">
        <f>12566371/1000000</f>
        <v>12.566371</v>
      </c>
      <c r="G683" s="540"/>
      <c r="H683" s="540"/>
      <c r="I683" s="399">
        <f t="shared" si="66"/>
        <v>12.57</v>
      </c>
      <c r="J683" s="394"/>
      <c r="K683" s="394" t="s">
        <v>860</v>
      </c>
      <c r="L683" s="164"/>
      <c r="M683" s="164"/>
      <c r="N683" s="164"/>
      <c r="O683" s="164"/>
      <c r="P683" s="164"/>
    </row>
    <row r="684" spans="1:16" s="165" customFormat="1" ht="34.5" outlineLevel="1">
      <c r="A684" s="497"/>
      <c r="B684" s="425" t="s">
        <v>1182</v>
      </c>
      <c r="C684" s="414" t="s">
        <v>1</v>
      </c>
      <c r="D684" s="392">
        <v>1</v>
      </c>
      <c r="E684" s="307">
        <v>1</v>
      </c>
      <c r="F684" s="543">
        <f>4523893/1000000</f>
        <v>4.5238930000000002</v>
      </c>
      <c r="G684" s="540"/>
      <c r="H684" s="540"/>
      <c r="I684" s="399">
        <f t="shared" si="66"/>
        <v>4.5199999999999996</v>
      </c>
      <c r="J684" s="394"/>
      <c r="K684" s="394" t="s">
        <v>860</v>
      </c>
      <c r="L684" s="164"/>
      <c r="M684" s="164"/>
      <c r="N684" s="164"/>
      <c r="O684" s="164"/>
      <c r="P684" s="164"/>
    </row>
    <row r="685" spans="1:16" s="165" customFormat="1" ht="34.5" outlineLevel="1">
      <c r="A685" s="497"/>
      <c r="B685" s="425" t="s">
        <v>1183</v>
      </c>
      <c r="C685" s="414" t="s">
        <v>1</v>
      </c>
      <c r="D685" s="392">
        <v>1</v>
      </c>
      <c r="E685" s="307">
        <v>1</v>
      </c>
      <c r="F685" s="540">
        <f>10511010/1000000</f>
        <v>10.511010000000001</v>
      </c>
      <c r="G685" s="540"/>
      <c r="H685" s="540"/>
      <c r="I685" s="399">
        <f t="shared" si="66"/>
        <v>10.51</v>
      </c>
      <c r="J685" s="394"/>
      <c r="K685" s="394" t="s">
        <v>860</v>
      </c>
      <c r="L685" s="164"/>
      <c r="M685" s="164"/>
      <c r="N685" s="164"/>
      <c r="O685" s="164"/>
      <c r="P685" s="164"/>
    </row>
    <row r="686" spans="1:16" s="165" customFormat="1" ht="34.5" outlineLevel="1">
      <c r="A686" s="497"/>
      <c r="B686" s="425" t="s">
        <v>1184</v>
      </c>
      <c r="C686" s="414" t="s">
        <v>1</v>
      </c>
      <c r="D686" s="392">
        <v>1</v>
      </c>
      <c r="E686" s="307">
        <v>1</v>
      </c>
      <c r="F686" s="540">
        <f>3141593/1000000</f>
        <v>3.1415929999999999</v>
      </c>
      <c r="G686" s="540"/>
      <c r="H686" s="540"/>
      <c r="I686" s="399">
        <f t="shared" si="66"/>
        <v>3.14</v>
      </c>
      <c r="J686" s="394"/>
      <c r="K686" s="394" t="s">
        <v>860</v>
      </c>
      <c r="L686" s="164"/>
      <c r="M686" s="164"/>
      <c r="N686" s="164"/>
      <c r="O686" s="164"/>
      <c r="P686" s="164"/>
    </row>
    <row r="687" spans="1:16" s="165" customFormat="1" ht="34.5" outlineLevel="1">
      <c r="A687" s="497"/>
      <c r="B687" s="425" t="s">
        <v>1185</v>
      </c>
      <c r="C687" s="414" t="s">
        <v>1</v>
      </c>
      <c r="D687" s="392">
        <v>1</v>
      </c>
      <c r="E687" s="307">
        <v>1</v>
      </c>
      <c r="F687" s="540">
        <f>22902210/1000000</f>
        <v>22.90221</v>
      </c>
      <c r="G687" s="540"/>
      <c r="H687" s="540"/>
      <c r="I687" s="399">
        <f t="shared" si="66"/>
        <v>22.9</v>
      </c>
      <c r="J687" s="394"/>
      <c r="K687" s="394" t="s">
        <v>860</v>
      </c>
      <c r="L687" s="164"/>
      <c r="M687" s="164"/>
      <c r="N687" s="164"/>
      <c r="O687" s="164"/>
      <c r="P687" s="164"/>
    </row>
    <row r="688" spans="1:16" s="165" customFormat="1" ht="17.25" outlineLevel="1">
      <c r="A688" s="497"/>
      <c r="B688" s="425" t="s">
        <v>1186</v>
      </c>
      <c r="C688" s="414" t="s">
        <v>1</v>
      </c>
      <c r="D688" s="392">
        <v>-1</v>
      </c>
      <c r="E688" s="307">
        <v>1</v>
      </c>
      <c r="F688" s="540">
        <f>(0.63+1.08)/2</f>
        <v>0.85499999999999998</v>
      </c>
      <c r="G688" s="540">
        <v>0.34499999999999997</v>
      </c>
      <c r="H688" s="540"/>
      <c r="I688" s="399">
        <f t="shared" si="66"/>
        <v>-0.28999999999999998</v>
      </c>
      <c r="J688" s="394"/>
      <c r="K688" s="394"/>
      <c r="L688" s="164"/>
      <c r="M688" s="164"/>
      <c r="N688" s="164"/>
      <c r="O688" s="164"/>
      <c r="P688" s="164"/>
    </row>
    <row r="689" spans="1:16" s="165" customFormat="1" ht="34.5" outlineLevel="1">
      <c r="A689" s="497"/>
      <c r="B689" s="425" t="s">
        <v>1187</v>
      </c>
      <c r="C689" s="414" t="s">
        <v>1</v>
      </c>
      <c r="D689" s="392">
        <v>1</v>
      </c>
      <c r="E689" s="307">
        <v>1</v>
      </c>
      <c r="F689" s="540">
        <f>3801327/1000000</f>
        <v>3.8013270000000001</v>
      </c>
      <c r="G689" s="540"/>
      <c r="H689" s="540"/>
      <c r="I689" s="399">
        <f t="shared" si="66"/>
        <v>3.8</v>
      </c>
      <c r="J689" s="394"/>
      <c r="K689" s="394" t="s">
        <v>860</v>
      </c>
      <c r="L689" s="164"/>
      <c r="M689" s="164"/>
      <c r="N689" s="164"/>
      <c r="O689" s="164"/>
      <c r="P689" s="164"/>
    </row>
    <row r="690" spans="1:16" s="165" customFormat="1" ht="34.5" outlineLevel="1">
      <c r="A690" s="497"/>
      <c r="B690" s="425" t="s">
        <v>1188</v>
      </c>
      <c r="C690" s="414" t="s">
        <v>1</v>
      </c>
      <c r="D690" s="392">
        <v>1</v>
      </c>
      <c r="E690" s="307">
        <v>1</v>
      </c>
      <c r="F690" s="540">
        <f>1767146/1000000</f>
        <v>1.7671460000000001</v>
      </c>
      <c r="G690" s="540"/>
      <c r="H690" s="540"/>
      <c r="I690" s="399">
        <f t="shared" si="66"/>
        <v>1.77</v>
      </c>
      <c r="J690" s="394"/>
      <c r="K690" s="394" t="s">
        <v>860</v>
      </c>
      <c r="L690" s="164"/>
      <c r="M690" s="164"/>
      <c r="N690" s="164"/>
      <c r="O690" s="164"/>
      <c r="P690" s="164"/>
    </row>
    <row r="691" spans="1:16" s="165" customFormat="1" ht="34.5" outlineLevel="1">
      <c r="A691" s="497"/>
      <c r="B691" s="425" t="s">
        <v>1189</v>
      </c>
      <c r="C691" s="414" t="s">
        <v>1</v>
      </c>
      <c r="D691" s="392">
        <v>1</v>
      </c>
      <c r="E691" s="307">
        <v>1</v>
      </c>
      <c r="F691" s="540">
        <f>1767146/1000000</f>
        <v>1.7671460000000001</v>
      </c>
      <c r="G691" s="540"/>
      <c r="H691" s="540"/>
      <c r="I691" s="399">
        <f t="shared" si="66"/>
        <v>1.77</v>
      </c>
      <c r="J691" s="394"/>
      <c r="K691" s="394" t="s">
        <v>860</v>
      </c>
      <c r="L691" s="164"/>
      <c r="M691" s="164"/>
      <c r="N691" s="164"/>
      <c r="O691" s="164"/>
      <c r="P691" s="164"/>
    </row>
    <row r="692" spans="1:16" s="165" customFormat="1" ht="34.5" outlineLevel="1">
      <c r="A692" s="497"/>
      <c r="B692" s="425" t="s">
        <v>1190</v>
      </c>
      <c r="C692" s="414" t="s">
        <v>1</v>
      </c>
      <c r="D692" s="392">
        <v>1</v>
      </c>
      <c r="E692" s="307">
        <v>1</v>
      </c>
      <c r="F692" s="540">
        <f>11341149/1000000</f>
        <v>11.341149</v>
      </c>
      <c r="G692" s="540"/>
      <c r="H692" s="540"/>
      <c r="I692" s="399">
        <f t="shared" si="66"/>
        <v>11.34</v>
      </c>
      <c r="J692" s="394"/>
      <c r="K692" s="394" t="s">
        <v>860</v>
      </c>
      <c r="L692" s="164"/>
      <c r="M692" s="164"/>
      <c r="N692" s="164"/>
      <c r="O692" s="164"/>
      <c r="P692" s="164"/>
    </row>
    <row r="693" spans="1:16" s="165" customFormat="1" ht="17.25" outlineLevel="1">
      <c r="A693" s="497"/>
      <c r="B693" s="425" t="s">
        <v>1186</v>
      </c>
      <c r="C693" s="414" t="s">
        <v>1</v>
      </c>
      <c r="D693" s="392">
        <v>-1</v>
      </c>
      <c r="E693" s="307">
        <v>1</v>
      </c>
      <c r="F693" s="540">
        <f>0.42-0.078</f>
        <v>0.34199999999999997</v>
      </c>
      <c r="G693" s="540">
        <v>0.34499999999999997</v>
      </c>
      <c r="H693" s="540"/>
      <c r="I693" s="399">
        <f t="shared" si="66"/>
        <v>-0.12</v>
      </c>
      <c r="J693" s="394"/>
      <c r="K693" s="394"/>
      <c r="L693" s="164"/>
      <c r="M693" s="164"/>
      <c r="N693" s="164"/>
      <c r="O693" s="164"/>
      <c r="P693" s="164"/>
    </row>
    <row r="694" spans="1:16" s="165" customFormat="1" ht="34.5" outlineLevel="1">
      <c r="A694" s="497"/>
      <c r="B694" s="425" t="s">
        <v>1191</v>
      </c>
      <c r="C694" s="414" t="s">
        <v>1</v>
      </c>
      <c r="D694" s="392">
        <v>1</v>
      </c>
      <c r="E694" s="307">
        <v>1</v>
      </c>
      <c r="F694" s="540">
        <f>4523893/1000000</f>
        <v>4.5238930000000002</v>
      </c>
      <c r="G694" s="540"/>
      <c r="H694" s="540"/>
      <c r="I694" s="399">
        <f t="shared" si="66"/>
        <v>4.5199999999999996</v>
      </c>
      <c r="J694" s="394"/>
      <c r="K694" s="394" t="s">
        <v>860</v>
      </c>
      <c r="L694" s="164"/>
      <c r="M694" s="164"/>
      <c r="N694" s="164"/>
      <c r="O694" s="164"/>
      <c r="P694" s="164"/>
    </row>
    <row r="695" spans="1:16" s="165" customFormat="1" ht="17.25" outlineLevel="1">
      <c r="A695" s="497"/>
      <c r="B695" s="425" t="s">
        <v>1186</v>
      </c>
      <c r="C695" s="414" t="s">
        <v>1</v>
      </c>
      <c r="D695" s="392">
        <v>-1</v>
      </c>
      <c r="E695" s="307">
        <v>1</v>
      </c>
      <c r="F695" s="540">
        <f>1.774-0.078</f>
        <v>1.696</v>
      </c>
      <c r="G695" s="540">
        <f>0.5-0.155</f>
        <v>0.34499999999999997</v>
      </c>
      <c r="H695" s="540"/>
      <c r="I695" s="399">
        <f t="shared" si="66"/>
        <v>-0.59</v>
      </c>
      <c r="J695" s="394"/>
      <c r="K695" s="394"/>
      <c r="L695" s="164"/>
      <c r="M695" s="164"/>
      <c r="N695" s="164"/>
      <c r="O695" s="164"/>
      <c r="P695" s="164"/>
    </row>
    <row r="696" spans="1:16" s="165" customFormat="1" ht="34.5" outlineLevel="1">
      <c r="A696" s="497"/>
      <c r="B696" s="425" t="s">
        <v>1192</v>
      </c>
      <c r="C696" s="414" t="s">
        <v>1</v>
      </c>
      <c r="D696" s="392">
        <v>1</v>
      </c>
      <c r="E696" s="307">
        <v>1</v>
      </c>
      <c r="F696" s="540">
        <f>8042477/1000000</f>
        <v>8.0424769999999999</v>
      </c>
      <c r="G696" s="540"/>
      <c r="H696" s="540"/>
      <c r="I696" s="399">
        <f t="shared" si="66"/>
        <v>8.0399999999999991</v>
      </c>
      <c r="J696" s="394"/>
      <c r="K696" s="394" t="s">
        <v>860</v>
      </c>
      <c r="L696" s="164"/>
      <c r="M696" s="164"/>
      <c r="N696" s="164"/>
      <c r="O696" s="164"/>
      <c r="P696" s="164"/>
    </row>
    <row r="697" spans="1:16" s="165" customFormat="1" ht="17.25" outlineLevel="1">
      <c r="A697" s="497"/>
      <c r="B697" s="425" t="s">
        <v>1186</v>
      </c>
      <c r="C697" s="414" t="s">
        <v>1</v>
      </c>
      <c r="D697" s="392">
        <v>-1</v>
      </c>
      <c r="E697" s="307">
        <v>1</v>
      </c>
      <c r="F697" s="540">
        <f>2-0.155</f>
        <v>1.845</v>
      </c>
      <c r="G697" s="540">
        <f>0.5-0.155</f>
        <v>0.34499999999999997</v>
      </c>
      <c r="H697" s="540"/>
      <c r="I697" s="399">
        <f t="shared" si="66"/>
        <v>-0.64</v>
      </c>
      <c r="J697" s="394"/>
      <c r="K697" s="394"/>
      <c r="L697" s="164"/>
      <c r="M697" s="164"/>
      <c r="N697" s="164"/>
      <c r="O697" s="164"/>
      <c r="P697" s="164"/>
    </row>
    <row r="698" spans="1:16" s="165" customFormat="1" ht="34.5" outlineLevel="1">
      <c r="A698" s="497"/>
      <c r="B698" s="425" t="s">
        <v>1193</v>
      </c>
      <c r="C698" s="414" t="s">
        <v>1</v>
      </c>
      <c r="D698" s="392">
        <v>1</v>
      </c>
      <c r="E698" s="307">
        <v>1</v>
      </c>
      <c r="F698" s="540">
        <f>5309292/1000000</f>
        <v>5.3092920000000001</v>
      </c>
      <c r="G698" s="540"/>
      <c r="H698" s="540"/>
      <c r="I698" s="399">
        <f t="shared" si="66"/>
        <v>5.31</v>
      </c>
      <c r="J698" s="394"/>
      <c r="K698" s="394" t="s">
        <v>860</v>
      </c>
      <c r="L698" s="164"/>
      <c r="M698" s="164"/>
      <c r="N698" s="164"/>
      <c r="O698" s="164"/>
      <c r="P698" s="164"/>
    </row>
    <row r="699" spans="1:16" s="165" customFormat="1" ht="17.25" outlineLevel="1">
      <c r="A699" s="497"/>
      <c r="B699" s="425" t="s">
        <v>1186</v>
      </c>
      <c r="C699" s="414" t="s">
        <v>1</v>
      </c>
      <c r="D699" s="392">
        <v>-1</v>
      </c>
      <c r="E699" s="307">
        <v>1</v>
      </c>
      <c r="F699" s="540">
        <f>(1.705+1.532)/2</f>
        <v>1.6185</v>
      </c>
      <c r="G699" s="540">
        <f>0.5-0.155</f>
        <v>0.34499999999999997</v>
      </c>
      <c r="H699" s="540"/>
      <c r="I699" s="399">
        <f t="shared" si="66"/>
        <v>-0.56000000000000005</v>
      </c>
      <c r="J699" s="394"/>
      <c r="K699" s="394"/>
      <c r="L699" s="164"/>
      <c r="M699" s="164"/>
      <c r="N699" s="164"/>
      <c r="O699" s="164"/>
      <c r="P699" s="164"/>
    </row>
    <row r="700" spans="1:16" s="165" customFormat="1" ht="34.5" outlineLevel="1">
      <c r="A700" s="497"/>
      <c r="B700" s="425" t="s">
        <v>1194</v>
      </c>
      <c r="C700" s="414" t="s">
        <v>1</v>
      </c>
      <c r="D700" s="392">
        <v>1</v>
      </c>
      <c r="E700" s="307">
        <v>1</v>
      </c>
      <c r="F700" s="540">
        <f>7068583/1000000</f>
        <v>7.0685830000000003</v>
      </c>
      <c r="G700" s="540"/>
      <c r="H700" s="540"/>
      <c r="I700" s="399">
        <f t="shared" si="66"/>
        <v>7.07</v>
      </c>
      <c r="J700" s="394"/>
      <c r="K700" s="394" t="s">
        <v>860</v>
      </c>
      <c r="L700" s="164"/>
      <c r="M700" s="164"/>
      <c r="N700" s="164"/>
      <c r="O700" s="164"/>
      <c r="P700" s="164"/>
    </row>
    <row r="701" spans="1:16" s="165" customFormat="1" ht="17.25" outlineLevel="1">
      <c r="A701" s="497"/>
      <c r="B701" s="425" t="s">
        <v>1186</v>
      </c>
      <c r="C701" s="414" t="s">
        <v>1</v>
      </c>
      <c r="D701" s="392">
        <v>-1</v>
      </c>
      <c r="E701" s="307">
        <v>1</v>
      </c>
      <c r="F701" s="540">
        <f>(1.198+1.45)/2</f>
        <v>1.3239999999999998</v>
      </c>
      <c r="G701" s="540">
        <v>0.34499999999999997</v>
      </c>
      <c r="H701" s="540"/>
      <c r="I701" s="399">
        <f t="shared" si="66"/>
        <v>-0.46</v>
      </c>
      <c r="J701" s="394"/>
      <c r="K701" s="394"/>
      <c r="L701" s="164"/>
      <c r="M701" s="164"/>
      <c r="N701" s="164"/>
      <c r="O701" s="164"/>
      <c r="P701" s="164"/>
    </row>
    <row r="702" spans="1:16" s="165" customFormat="1" ht="17.25" outlineLevel="1">
      <c r="A702" s="497"/>
      <c r="B702" s="425" t="s">
        <v>1186</v>
      </c>
      <c r="C702" s="414" t="s">
        <v>1</v>
      </c>
      <c r="D702" s="392">
        <v>-1</v>
      </c>
      <c r="E702" s="307">
        <v>1</v>
      </c>
      <c r="F702" s="540">
        <f>(1.234+0.97)/2</f>
        <v>1.1019999999999999</v>
      </c>
      <c r="G702" s="540">
        <v>0.34499999999999997</v>
      </c>
      <c r="H702" s="540"/>
      <c r="I702" s="399">
        <f t="shared" si="66"/>
        <v>-0.38</v>
      </c>
      <c r="J702" s="394"/>
      <c r="K702" s="394"/>
      <c r="L702" s="164"/>
      <c r="M702" s="164"/>
      <c r="N702" s="164"/>
      <c r="O702" s="164"/>
      <c r="P702" s="164"/>
    </row>
    <row r="703" spans="1:16" s="165" customFormat="1" ht="34.5" outlineLevel="1">
      <c r="A703" s="497"/>
      <c r="B703" s="425" t="s">
        <v>1195</v>
      </c>
      <c r="C703" s="414" t="s">
        <v>1</v>
      </c>
      <c r="D703" s="392">
        <v>1</v>
      </c>
      <c r="E703" s="307">
        <v>1</v>
      </c>
      <c r="F703" s="540">
        <f>5725553/1000000</f>
        <v>5.7255529999999997</v>
      </c>
      <c r="G703" s="540"/>
      <c r="H703" s="540"/>
      <c r="I703" s="399">
        <f t="shared" si="66"/>
        <v>5.73</v>
      </c>
      <c r="J703" s="394"/>
      <c r="K703" s="394" t="s">
        <v>860</v>
      </c>
      <c r="L703" s="164"/>
      <c r="M703" s="164"/>
      <c r="N703" s="164"/>
      <c r="O703" s="164"/>
      <c r="P703" s="164"/>
    </row>
    <row r="704" spans="1:16" s="165" customFormat="1" ht="17.25" outlineLevel="1">
      <c r="A704" s="497"/>
      <c r="B704" s="425" t="s">
        <v>1196</v>
      </c>
      <c r="C704" s="414" t="s">
        <v>1</v>
      </c>
      <c r="D704" s="392">
        <v>-1</v>
      </c>
      <c r="E704" s="307">
        <v>1</v>
      </c>
      <c r="F704" s="540">
        <f>3.14*0.415^2</f>
        <v>0.54078649999999995</v>
      </c>
      <c r="G704" s="540"/>
      <c r="H704" s="540"/>
      <c r="I704" s="399">
        <f t="shared" si="66"/>
        <v>-0.54</v>
      </c>
      <c r="J704" s="394"/>
      <c r="K704" s="394" t="s">
        <v>860</v>
      </c>
      <c r="L704" s="164"/>
      <c r="M704" s="164"/>
      <c r="N704" s="164"/>
      <c r="O704" s="164"/>
      <c r="P704" s="164"/>
    </row>
    <row r="705" spans="1:16" s="165" customFormat="1" ht="34.5" outlineLevel="1">
      <c r="A705" s="497"/>
      <c r="B705" s="425" t="s">
        <v>1197</v>
      </c>
      <c r="C705" s="414" t="s">
        <v>1</v>
      </c>
      <c r="D705" s="392">
        <v>1</v>
      </c>
      <c r="E705" s="307">
        <v>1</v>
      </c>
      <c r="F705" s="540">
        <f>19634954/1000000</f>
        <v>19.634954</v>
      </c>
      <c r="G705" s="540"/>
      <c r="H705" s="540"/>
      <c r="I705" s="399">
        <f t="shared" si="66"/>
        <v>19.63</v>
      </c>
      <c r="J705" s="394"/>
      <c r="K705" s="394" t="s">
        <v>860</v>
      </c>
      <c r="L705" s="164"/>
      <c r="M705" s="164"/>
      <c r="N705" s="164"/>
      <c r="O705" s="164"/>
      <c r="P705" s="164"/>
    </row>
    <row r="706" spans="1:16" s="165" customFormat="1" ht="17.25" outlineLevel="1">
      <c r="A706" s="497"/>
      <c r="B706" s="425" t="s">
        <v>1198</v>
      </c>
      <c r="C706" s="414" t="s">
        <v>1</v>
      </c>
      <c r="D706" s="392">
        <v>-1</v>
      </c>
      <c r="E706" s="307">
        <v>1</v>
      </c>
      <c r="F706" s="540">
        <f>3.14*1.5^2</f>
        <v>7.0650000000000004</v>
      </c>
      <c r="G706" s="540"/>
      <c r="H706" s="540"/>
      <c r="I706" s="399">
        <f t="shared" si="66"/>
        <v>-7.07</v>
      </c>
      <c r="J706" s="394"/>
      <c r="K706" s="394" t="s">
        <v>860</v>
      </c>
      <c r="L706" s="164"/>
      <c r="M706" s="164"/>
      <c r="N706" s="164"/>
      <c r="O706" s="164"/>
      <c r="P706" s="164"/>
    </row>
    <row r="707" spans="1:16" s="165" customFormat="1" ht="17.25" outlineLevel="1">
      <c r="A707" s="497"/>
      <c r="B707" s="425" t="s">
        <v>1199</v>
      </c>
      <c r="C707" s="414" t="s">
        <v>1</v>
      </c>
      <c r="D707" s="392">
        <v>-1</v>
      </c>
      <c r="E707" s="307">
        <v>2</v>
      </c>
      <c r="F707" s="540">
        <v>3.1429999999999998</v>
      </c>
      <c r="G707" s="540">
        <v>0.23</v>
      </c>
      <c r="H707" s="540"/>
      <c r="I707" s="399">
        <f t="shared" si="66"/>
        <v>-1.45</v>
      </c>
      <c r="J707" s="394"/>
      <c r="K707" s="394"/>
      <c r="L707" s="164"/>
      <c r="M707" s="164"/>
      <c r="N707" s="164"/>
      <c r="O707" s="164"/>
      <c r="P707" s="164"/>
    </row>
    <row r="708" spans="1:16" s="165" customFormat="1" ht="34.5" outlineLevel="1">
      <c r="A708" s="497"/>
      <c r="B708" s="425" t="s">
        <v>1200</v>
      </c>
      <c r="C708" s="414" t="s">
        <v>1</v>
      </c>
      <c r="D708" s="392">
        <v>1</v>
      </c>
      <c r="E708" s="307">
        <v>1</v>
      </c>
      <c r="F708" s="540">
        <f>25517586/1000000</f>
        <v>25.517586000000001</v>
      </c>
      <c r="G708" s="540"/>
      <c r="H708" s="540"/>
      <c r="I708" s="399">
        <f t="shared" si="66"/>
        <v>25.52</v>
      </c>
      <c r="J708" s="394"/>
      <c r="K708" s="394" t="s">
        <v>860</v>
      </c>
      <c r="L708" s="164"/>
      <c r="M708" s="164"/>
      <c r="N708" s="164"/>
      <c r="O708" s="164"/>
      <c r="P708" s="164"/>
    </row>
    <row r="709" spans="1:16" s="165" customFormat="1" ht="17.25" outlineLevel="1">
      <c r="A709" s="497"/>
      <c r="B709" s="425" t="s">
        <v>1198</v>
      </c>
      <c r="C709" s="414" t="s">
        <v>1</v>
      </c>
      <c r="D709" s="392">
        <v>-1</v>
      </c>
      <c r="E709" s="307">
        <v>1</v>
      </c>
      <c r="F709" s="540">
        <f>3.14*1.5^2</f>
        <v>7.0650000000000004</v>
      </c>
      <c r="G709" s="540"/>
      <c r="H709" s="540"/>
      <c r="I709" s="399">
        <f t="shared" si="66"/>
        <v>-7.07</v>
      </c>
      <c r="J709" s="394"/>
      <c r="K709" s="394" t="s">
        <v>860</v>
      </c>
      <c r="L709" s="164"/>
      <c r="M709" s="164"/>
      <c r="N709" s="164"/>
      <c r="O709" s="164"/>
      <c r="P709" s="164"/>
    </row>
    <row r="710" spans="1:16" s="165" customFormat="1" ht="34.5" outlineLevel="1">
      <c r="A710" s="497"/>
      <c r="B710" s="425" t="s">
        <v>1201</v>
      </c>
      <c r="C710" s="414" t="s">
        <v>1</v>
      </c>
      <c r="D710" s="392">
        <v>1</v>
      </c>
      <c r="E710" s="307">
        <v>1</v>
      </c>
      <c r="F710" s="540">
        <f>23758294/1000000</f>
        <v>23.758293999999999</v>
      </c>
      <c r="G710" s="540"/>
      <c r="H710" s="540"/>
      <c r="I710" s="399">
        <f t="shared" si="66"/>
        <v>23.76</v>
      </c>
      <c r="J710" s="394"/>
      <c r="K710" s="394" t="s">
        <v>860</v>
      </c>
      <c r="L710" s="164"/>
      <c r="M710" s="164"/>
      <c r="N710" s="164"/>
      <c r="O710" s="164"/>
      <c r="P710" s="164"/>
    </row>
    <row r="711" spans="1:16" s="165" customFormat="1" ht="17.25" outlineLevel="1">
      <c r="A711" s="497"/>
      <c r="B711" s="425" t="s">
        <v>1198</v>
      </c>
      <c r="C711" s="414" t="s">
        <v>1</v>
      </c>
      <c r="D711" s="392">
        <v>-1</v>
      </c>
      <c r="E711" s="307">
        <v>1</v>
      </c>
      <c r="F711" s="540">
        <f>3.14*1.5^2</f>
        <v>7.0650000000000004</v>
      </c>
      <c r="G711" s="540"/>
      <c r="H711" s="540"/>
      <c r="I711" s="399">
        <f t="shared" si="66"/>
        <v>-7.07</v>
      </c>
      <c r="J711" s="394"/>
      <c r="K711" s="394" t="s">
        <v>860</v>
      </c>
      <c r="L711" s="164"/>
      <c r="M711" s="164"/>
      <c r="N711" s="164"/>
      <c r="O711" s="164"/>
      <c r="P711" s="164"/>
    </row>
    <row r="712" spans="1:16" s="165" customFormat="1" ht="34.5" outlineLevel="1">
      <c r="A712" s="497"/>
      <c r="B712" s="425" t="s">
        <v>1202</v>
      </c>
      <c r="C712" s="414" t="s">
        <v>1</v>
      </c>
      <c r="D712" s="392">
        <v>1</v>
      </c>
      <c r="E712" s="307">
        <v>1</v>
      </c>
      <c r="F712" s="540">
        <f>2269801/1000000</f>
        <v>2.2698010000000002</v>
      </c>
      <c r="G712" s="540"/>
      <c r="H712" s="540"/>
      <c r="I712" s="399">
        <f t="shared" si="66"/>
        <v>2.27</v>
      </c>
      <c r="J712" s="394"/>
      <c r="K712" s="394" t="s">
        <v>860</v>
      </c>
      <c r="L712" s="164"/>
      <c r="M712" s="164"/>
      <c r="N712" s="164"/>
      <c r="O712" s="164"/>
      <c r="P712" s="164"/>
    </row>
    <row r="713" spans="1:16" s="165" customFormat="1" ht="34.5" outlineLevel="1">
      <c r="A713" s="497"/>
      <c r="B713" s="425" t="s">
        <v>1203</v>
      </c>
      <c r="C713" s="414" t="s">
        <v>1</v>
      </c>
      <c r="D713" s="392">
        <v>1</v>
      </c>
      <c r="E713" s="307">
        <v>1</v>
      </c>
      <c r="F713" s="540">
        <f>785398/1000000</f>
        <v>0.78539800000000004</v>
      </c>
      <c r="G713" s="540"/>
      <c r="H713" s="540"/>
      <c r="I713" s="399">
        <f t="shared" si="66"/>
        <v>0.79</v>
      </c>
      <c r="J713" s="394"/>
      <c r="K713" s="394" t="s">
        <v>860</v>
      </c>
      <c r="L713" s="164"/>
      <c r="M713" s="164"/>
      <c r="N713" s="164"/>
      <c r="O713" s="164"/>
      <c r="P713" s="164"/>
    </row>
    <row r="714" spans="1:16" s="165" customFormat="1" ht="34.5" outlineLevel="1">
      <c r="A714" s="497"/>
      <c r="B714" s="425" t="s">
        <v>1204</v>
      </c>
      <c r="C714" s="414" t="s">
        <v>1</v>
      </c>
      <c r="D714" s="392">
        <v>1</v>
      </c>
      <c r="E714" s="307">
        <v>1</v>
      </c>
      <c r="F714" s="540">
        <f>4120269/1000000</f>
        <v>4.1202690000000004</v>
      </c>
      <c r="G714" s="540"/>
      <c r="H714" s="540"/>
      <c r="I714" s="399">
        <f t="shared" si="66"/>
        <v>4.12</v>
      </c>
      <c r="J714" s="394"/>
      <c r="K714" s="394" t="s">
        <v>860</v>
      </c>
      <c r="L714" s="164"/>
      <c r="M714" s="164"/>
      <c r="N714" s="164"/>
      <c r="O714" s="164"/>
      <c r="P714" s="164"/>
    </row>
    <row r="715" spans="1:16" s="165" customFormat="1" ht="34.5" outlineLevel="1">
      <c r="A715" s="497"/>
      <c r="B715" s="425" t="s">
        <v>1205</v>
      </c>
      <c r="C715" s="414" t="s">
        <v>1</v>
      </c>
      <c r="D715" s="392">
        <v>1</v>
      </c>
      <c r="E715" s="307">
        <v>1</v>
      </c>
      <c r="F715" s="540">
        <f>18095574/1000000</f>
        <v>18.095573999999999</v>
      </c>
      <c r="G715" s="540"/>
      <c r="H715" s="540"/>
      <c r="I715" s="399">
        <f t="shared" si="66"/>
        <v>18.100000000000001</v>
      </c>
      <c r="J715" s="394"/>
      <c r="K715" s="394" t="s">
        <v>860</v>
      </c>
      <c r="L715" s="164"/>
      <c r="M715" s="164"/>
      <c r="N715" s="164"/>
      <c r="O715" s="164"/>
      <c r="P715" s="164"/>
    </row>
    <row r="716" spans="1:16" s="165" customFormat="1" ht="17.25" outlineLevel="1">
      <c r="A716" s="497"/>
      <c r="B716" s="425" t="s">
        <v>1198</v>
      </c>
      <c r="C716" s="414" t="s">
        <v>1</v>
      </c>
      <c r="D716" s="392">
        <v>-1</v>
      </c>
      <c r="E716" s="307">
        <v>1</v>
      </c>
      <c r="F716" s="540">
        <f>3.14*1.5^2</f>
        <v>7.0650000000000004</v>
      </c>
      <c r="G716" s="540"/>
      <c r="H716" s="540"/>
      <c r="I716" s="399">
        <f t="shared" si="66"/>
        <v>-7.07</v>
      </c>
      <c r="J716" s="394"/>
      <c r="K716" s="394" t="s">
        <v>860</v>
      </c>
      <c r="L716" s="164"/>
      <c r="M716" s="164"/>
      <c r="N716" s="164"/>
      <c r="O716" s="164"/>
      <c r="P716" s="164"/>
    </row>
    <row r="717" spans="1:16" s="165" customFormat="1" ht="34.5" outlineLevel="1">
      <c r="A717" s="497"/>
      <c r="B717" s="425" t="s">
        <v>1206</v>
      </c>
      <c r="C717" s="414" t="s">
        <v>1</v>
      </c>
      <c r="D717" s="392">
        <v>1</v>
      </c>
      <c r="E717" s="307">
        <v>1</v>
      </c>
      <c r="F717" s="540">
        <f>2544690/1000000</f>
        <v>2.5446900000000001</v>
      </c>
      <c r="G717" s="540"/>
      <c r="H717" s="540"/>
      <c r="I717" s="399">
        <f t="shared" si="66"/>
        <v>2.54</v>
      </c>
      <c r="J717" s="394"/>
      <c r="K717" s="394" t="s">
        <v>860</v>
      </c>
      <c r="L717" s="164"/>
      <c r="M717" s="164"/>
      <c r="N717" s="164"/>
      <c r="O717" s="164"/>
      <c r="P717" s="164"/>
    </row>
    <row r="718" spans="1:16" s="165" customFormat="1" ht="34.5" outlineLevel="1">
      <c r="A718" s="497"/>
      <c r="B718" s="425" t="s">
        <v>1207</v>
      </c>
      <c r="C718" s="414" t="s">
        <v>1</v>
      </c>
      <c r="D718" s="392">
        <v>1</v>
      </c>
      <c r="E718" s="307">
        <v>1</v>
      </c>
      <c r="F718" s="540">
        <f>6605199/1000000</f>
        <v>6.6051989999999998</v>
      </c>
      <c r="G718" s="540"/>
      <c r="H718" s="540"/>
      <c r="I718" s="399">
        <f t="shared" si="66"/>
        <v>6.61</v>
      </c>
      <c r="J718" s="394"/>
      <c r="K718" s="394" t="s">
        <v>860</v>
      </c>
      <c r="L718" s="164"/>
      <c r="M718" s="164"/>
      <c r="N718" s="164"/>
      <c r="O718" s="164"/>
      <c r="P718" s="164"/>
    </row>
    <row r="719" spans="1:16" s="165" customFormat="1" ht="34.5" outlineLevel="1">
      <c r="A719" s="497"/>
      <c r="B719" s="425" t="s">
        <v>1208</v>
      </c>
      <c r="C719" s="414" t="s">
        <v>1</v>
      </c>
      <c r="D719" s="392">
        <v>1</v>
      </c>
      <c r="E719" s="307">
        <v>1</v>
      </c>
      <c r="F719" s="540">
        <f>16619025/1000000</f>
        <v>16.619025000000001</v>
      </c>
      <c r="G719" s="540"/>
      <c r="H719" s="540"/>
      <c r="I719" s="399">
        <f t="shared" si="66"/>
        <v>16.62</v>
      </c>
      <c r="J719" s="394"/>
      <c r="K719" s="394" t="s">
        <v>860</v>
      </c>
      <c r="L719" s="164"/>
      <c r="M719" s="164"/>
      <c r="N719" s="164"/>
      <c r="O719" s="164"/>
      <c r="P719" s="164"/>
    </row>
    <row r="720" spans="1:16" s="165" customFormat="1" ht="34.5" outlineLevel="1">
      <c r="A720" s="497"/>
      <c r="B720" s="425" t="s">
        <v>1209</v>
      </c>
      <c r="C720" s="414" t="s">
        <v>1</v>
      </c>
      <c r="D720" s="392">
        <v>1</v>
      </c>
      <c r="E720" s="307">
        <v>1</v>
      </c>
      <c r="F720" s="540">
        <f>1767146/1000000</f>
        <v>1.7671460000000001</v>
      </c>
      <c r="G720" s="540"/>
      <c r="H720" s="540"/>
      <c r="I720" s="399">
        <f t="shared" si="66"/>
        <v>1.77</v>
      </c>
      <c r="J720" s="394"/>
      <c r="K720" s="394" t="s">
        <v>860</v>
      </c>
      <c r="L720" s="164"/>
      <c r="M720" s="164"/>
      <c r="N720" s="164"/>
      <c r="O720" s="164"/>
      <c r="P720" s="164"/>
    </row>
    <row r="721" spans="1:16" s="165" customFormat="1" ht="34.5" outlineLevel="1">
      <c r="A721" s="497"/>
      <c r="B721" s="425" t="s">
        <v>1210</v>
      </c>
      <c r="C721" s="414" t="s">
        <v>1</v>
      </c>
      <c r="D721" s="392">
        <v>1</v>
      </c>
      <c r="E721" s="307">
        <v>1</v>
      </c>
      <c r="F721" s="540">
        <f>1303092/1000000</f>
        <v>1.3030919999999999</v>
      </c>
      <c r="G721" s="540"/>
      <c r="H721" s="540"/>
      <c r="I721" s="399">
        <f t="shared" si="66"/>
        <v>1.3</v>
      </c>
      <c r="J721" s="394"/>
      <c r="K721" s="394" t="s">
        <v>860</v>
      </c>
      <c r="L721" s="164"/>
      <c r="M721" s="164"/>
      <c r="N721" s="164"/>
      <c r="O721" s="164"/>
      <c r="P721" s="164"/>
    </row>
    <row r="722" spans="1:16" s="165" customFormat="1" ht="34.5" outlineLevel="1">
      <c r="A722" s="497"/>
      <c r="B722" s="425" t="s">
        <v>1211</v>
      </c>
      <c r="C722" s="414" t="s">
        <v>1</v>
      </c>
      <c r="D722" s="392">
        <v>1</v>
      </c>
      <c r="E722" s="307">
        <v>1</v>
      </c>
      <c r="F722" s="540">
        <f>20428206/1000000</f>
        <v>20.428205999999999</v>
      </c>
      <c r="G722" s="540"/>
      <c r="H722" s="540"/>
      <c r="I722" s="399">
        <f t="shared" si="66"/>
        <v>20.43</v>
      </c>
      <c r="J722" s="394"/>
      <c r="K722" s="394" t="s">
        <v>860</v>
      </c>
      <c r="L722" s="164"/>
      <c r="M722" s="164"/>
      <c r="N722" s="164"/>
      <c r="O722" s="164"/>
      <c r="P722" s="164"/>
    </row>
    <row r="723" spans="1:16" s="165" customFormat="1" ht="17.25" outlineLevel="1">
      <c r="A723" s="497"/>
      <c r="B723" s="425" t="s">
        <v>1198</v>
      </c>
      <c r="C723" s="414" t="s">
        <v>1</v>
      </c>
      <c r="D723" s="392">
        <v>-1</v>
      </c>
      <c r="E723" s="307">
        <v>1</v>
      </c>
      <c r="F723" s="540">
        <f>3.14*1.5^2</f>
        <v>7.0650000000000004</v>
      </c>
      <c r="G723" s="540"/>
      <c r="H723" s="540"/>
      <c r="I723" s="399">
        <f t="shared" si="66"/>
        <v>-7.07</v>
      </c>
      <c r="J723" s="394"/>
      <c r="K723" s="394" t="s">
        <v>860</v>
      </c>
      <c r="L723" s="164"/>
      <c r="M723" s="164"/>
      <c r="N723" s="164"/>
      <c r="O723" s="164"/>
      <c r="P723" s="164"/>
    </row>
    <row r="724" spans="1:16" s="165" customFormat="1" ht="17.25" outlineLevel="1">
      <c r="A724" s="497"/>
      <c r="B724" s="425" t="s">
        <v>1199</v>
      </c>
      <c r="C724" s="414" t="s">
        <v>1</v>
      </c>
      <c r="D724" s="392">
        <v>-1</v>
      </c>
      <c r="E724" s="307">
        <v>1</v>
      </c>
      <c r="F724" s="540">
        <v>5.25</v>
      </c>
      <c r="G724" s="540">
        <v>0.23</v>
      </c>
      <c r="H724" s="540"/>
      <c r="I724" s="399">
        <f t="shared" si="66"/>
        <v>-1.21</v>
      </c>
      <c r="J724" s="394"/>
      <c r="K724" s="394"/>
      <c r="L724" s="164"/>
      <c r="M724" s="164"/>
      <c r="N724" s="164"/>
      <c r="O724" s="164"/>
      <c r="P724" s="164"/>
    </row>
    <row r="725" spans="1:16" s="165" customFormat="1" ht="34.5" outlineLevel="1">
      <c r="A725" s="497"/>
      <c r="B725" s="425" t="s">
        <v>1212</v>
      </c>
      <c r="C725" s="414" t="s">
        <v>1</v>
      </c>
      <c r="D725" s="392">
        <v>1</v>
      </c>
      <c r="E725" s="307">
        <v>1</v>
      </c>
      <c r="F725" s="540">
        <f>20428206/1000000</f>
        <v>20.428205999999999</v>
      </c>
      <c r="G725" s="540"/>
      <c r="H725" s="540"/>
      <c r="I725" s="399">
        <f t="shared" si="66"/>
        <v>20.43</v>
      </c>
      <c r="J725" s="394"/>
      <c r="K725" s="394" t="s">
        <v>860</v>
      </c>
      <c r="L725" s="164"/>
      <c r="M725" s="164"/>
      <c r="N725" s="164"/>
      <c r="O725" s="164"/>
      <c r="P725" s="164"/>
    </row>
    <row r="726" spans="1:16" s="165" customFormat="1" ht="34.5" outlineLevel="1">
      <c r="A726" s="497"/>
      <c r="B726" s="425" t="s">
        <v>1213</v>
      </c>
      <c r="C726" s="414" t="s">
        <v>1</v>
      </c>
      <c r="D726" s="392">
        <v>1</v>
      </c>
      <c r="E726" s="307">
        <v>1</v>
      </c>
      <c r="F726" s="540">
        <f>4523893/1000000</f>
        <v>4.5238930000000002</v>
      </c>
      <c r="G726" s="540"/>
      <c r="H726" s="540"/>
      <c r="I726" s="399">
        <f t="shared" si="66"/>
        <v>4.5199999999999996</v>
      </c>
      <c r="J726" s="394"/>
      <c r="K726" s="394" t="s">
        <v>860</v>
      </c>
      <c r="L726" s="164"/>
      <c r="M726" s="164"/>
      <c r="N726" s="164"/>
      <c r="O726" s="164"/>
      <c r="P726" s="164"/>
    </row>
    <row r="727" spans="1:16" s="165" customFormat="1" ht="34.5" outlineLevel="1">
      <c r="A727" s="497"/>
      <c r="B727" s="425" t="s">
        <v>1214</v>
      </c>
      <c r="C727" s="414" t="s">
        <v>1</v>
      </c>
      <c r="D727" s="392">
        <v>1</v>
      </c>
      <c r="E727" s="307">
        <v>1</v>
      </c>
      <c r="F727" s="540">
        <f>4523893/1000000</f>
        <v>4.5238930000000002</v>
      </c>
      <c r="G727" s="540"/>
      <c r="H727" s="540"/>
      <c r="I727" s="399">
        <f t="shared" si="66"/>
        <v>4.5199999999999996</v>
      </c>
      <c r="J727" s="394"/>
      <c r="K727" s="394" t="s">
        <v>860</v>
      </c>
      <c r="L727" s="164"/>
      <c r="M727" s="164"/>
      <c r="N727" s="164"/>
      <c r="O727" s="164"/>
      <c r="P727" s="164"/>
    </row>
    <row r="728" spans="1:16" s="165" customFormat="1" ht="34.5" outlineLevel="1">
      <c r="A728" s="497"/>
      <c r="B728" s="425" t="s">
        <v>1215</v>
      </c>
      <c r="C728" s="414" t="s">
        <v>1</v>
      </c>
      <c r="D728" s="392">
        <v>1</v>
      </c>
      <c r="E728" s="307">
        <v>1</v>
      </c>
      <c r="F728" s="540">
        <f>12566371/1000000</f>
        <v>12.566371</v>
      </c>
      <c r="G728" s="540"/>
      <c r="H728" s="540"/>
      <c r="I728" s="399">
        <f t="shared" si="66"/>
        <v>12.57</v>
      </c>
      <c r="J728" s="394"/>
      <c r="K728" s="394" t="s">
        <v>860</v>
      </c>
      <c r="L728" s="164"/>
      <c r="M728" s="164"/>
      <c r="N728" s="164"/>
      <c r="O728" s="164"/>
      <c r="P728" s="164"/>
    </row>
    <row r="729" spans="1:16" s="165" customFormat="1" ht="17.25" outlineLevel="1">
      <c r="A729" s="497"/>
      <c r="B729" s="425" t="s">
        <v>1216</v>
      </c>
      <c r="C729" s="414" t="s">
        <v>1</v>
      </c>
      <c r="D729" s="392">
        <v>1</v>
      </c>
      <c r="E729" s="307">
        <v>1</v>
      </c>
      <c r="F729" s="540">
        <f>18095574/1000000</f>
        <v>18.095573999999999</v>
      </c>
      <c r="G729" s="540"/>
      <c r="H729" s="540"/>
      <c r="I729" s="399">
        <f t="shared" si="66"/>
        <v>18.100000000000001</v>
      </c>
      <c r="J729" s="394"/>
      <c r="K729" s="394" t="s">
        <v>860</v>
      </c>
      <c r="L729" s="164"/>
      <c r="M729" s="164"/>
      <c r="N729" s="164"/>
      <c r="O729" s="164"/>
      <c r="P729" s="164"/>
    </row>
    <row r="730" spans="1:16" s="165" customFormat="1" ht="17.25" outlineLevel="1">
      <c r="A730" s="497"/>
      <c r="B730" s="425" t="s">
        <v>1198</v>
      </c>
      <c r="C730" s="414" t="s">
        <v>1</v>
      </c>
      <c r="D730" s="392">
        <v>-1</v>
      </c>
      <c r="E730" s="307">
        <v>1</v>
      </c>
      <c r="F730" s="540">
        <f>3.14*1.5^2</f>
        <v>7.0650000000000004</v>
      </c>
      <c r="G730" s="540"/>
      <c r="H730" s="540"/>
      <c r="I730" s="399">
        <f t="shared" si="66"/>
        <v>-7.07</v>
      </c>
      <c r="J730" s="394"/>
      <c r="K730" s="394" t="s">
        <v>860</v>
      </c>
      <c r="L730" s="164"/>
      <c r="M730" s="164"/>
      <c r="N730" s="164"/>
      <c r="O730" s="164"/>
      <c r="P730" s="164"/>
    </row>
    <row r="731" spans="1:16" s="165" customFormat="1" ht="34.5" outlineLevel="1">
      <c r="A731" s="497"/>
      <c r="B731" s="425" t="s">
        <v>1217</v>
      </c>
      <c r="C731" s="414" t="s">
        <v>1</v>
      </c>
      <c r="D731" s="392">
        <v>1</v>
      </c>
      <c r="E731" s="307">
        <v>1</v>
      </c>
      <c r="F731" s="540">
        <f>7068583/1000000</f>
        <v>7.0685830000000003</v>
      </c>
      <c r="G731" s="540"/>
      <c r="H731" s="540"/>
      <c r="I731" s="399">
        <f t="shared" si="66"/>
        <v>7.07</v>
      </c>
      <c r="J731" s="394"/>
      <c r="K731" s="394" t="s">
        <v>860</v>
      </c>
      <c r="L731" s="164"/>
      <c r="M731" s="164"/>
      <c r="N731" s="164"/>
      <c r="O731" s="164"/>
      <c r="P731" s="164"/>
    </row>
    <row r="732" spans="1:16" s="165" customFormat="1" ht="34.5" outlineLevel="1">
      <c r="A732" s="497"/>
      <c r="B732" s="425" t="s">
        <v>1218</v>
      </c>
      <c r="C732" s="414" t="s">
        <v>1</v>
      </c>
      <c r="D732" s="392">
        <v>1</v>
      </c>
      <c r="E732" s="307">
        <v>1</v>
      </c>
      <c r="F732" s="540">
        <f>5373916/1000000</f>
        <v>5.3739160000000004</v>
      </c>
      <c r="G732" s="540"/>
      <c r="H732" s="540"/>
      <c r="I732" s="399">
        <f t="shared" si="66"/>
        <v>5.37</v>
      </c>
      <c r="J732" s="394"/>
      <c r="K732" s="394" t="s">
        <v>860</v>
      </c>
      <c r="L732" s="164"/>
      <c r="M732" s="164"/>
      <c r="N732" s="164"/>
      <c r="O732" s="164"/>
      <c r="P732" s="164"/>
    </row>
    <row r="733" spans="1:16" s="165" customFormat="1" ht="34.5" outlineLevel="1">
      <c r="A733" s="497"/>
      <c r="B733" s="425" t="s">
        <v>1219</v>
      </c>
      <c r="C733" s="414" t="s">
        <v>1</v>
      </c>
      <c r="D733" s="392">
        <v>1</v>
      </c>
      <c r="E733" s="307">
        <v>1</v>
      </c>
      <c r="F733" s="540">
        <f>12566371/1000000</f>
        <v>12.566371</v>
      </c>
      <c r="G733" s="540"/>
      <c r="H733" s="540"/>
      <c r="I733" s="399">
        <f t="shared" si="66"/>
        <v>12.57</v>
      </c>
      <c r="J733" s="394"/>
      <c r="K733" s="394" t="s">
        <v>860</v>
      </c>
      <c r="L733" s="164"/>
      <c r="M733" s="164"/>
      <c r="N733" s="164"/>
      <c r="O733" s="164"/>
      <c r="P733" s="164"/>
    </row>
    <row r="734" spans="1:16" s="165" customFormat="1" ht="17.25" outlineLevel="1">
      <c r="A734" s="497"/>
      <c r="B734" s="425" t="s">
        <v>1199</v>
      </c>
      <c r="C734" s="414" t="s">
        <v>1</v>
      </c>
      <c r="D734" s="392">
        <v>-1</v>
      </c>
      <c r="E734" s="307">
        <v>1</v>
      </c>
      <c r="F734" s="540">
        <v>4.4589999999999996</v>
      </c>
      <c r="G734" s="540">
        <v>0.23</v>
      </c>
      <c r="H734" s="540"/>
      <c r="I734" s="399">
        <f t="shared" si="66"/>
        <v>-1.03</v>
      </c>
      <c r="J734" s="394"/>
      <c r="K734" s="394"/>
      <c r="L734" s="164"/>
      <c r="M734" s="164"/>
      <c r="N734" s="164"/>
      <c r="O734" s="164"/>
      <c r="P734" s="164"/>
    </row>
    <row r="735" spans="1:16" s="165" customFormat="1" ht="34.5" outlineLevel="1">
      <c r="A735" s="497"/>
      <c r="B735" s="425" t="s">
        <v>1220</v>
      </c>
      <c r="C735" s="414" t="s">
        <v>1</v>
      </c>
      <c r="D735" s="392">
        <v>1</v>
      </c>
      <c r="E735" s="307">
        <v>1</v>
      </c>
      <c r="F735" s="540">
        <f>28274334/1000000</f>
        <v>28.274334</v>
      </c>
      <c r="G735" s="540"/>
      <c r="H735" s="540"/>
      <c r="I735" s="399">
        <f t="shared" si="66"/>
        <v>28.27</v>
      </c>
      <c r="J735" s="394"/>
      <c r="K735" s="394" t="s">
        <v>860</v>
      </c>
      <c r="L735" s="164"/>
      <c r="M735" s="164"/>
      <c r="N735" s="164"/>
      <c r="O735" s="164"/>
      <c r="P735" s="164"/>
    </row>
    <row r="736" spans="1:16" s="165" customFormat="1" ht="34.5" outlineLevel="1">
      <c r="A736" s="497"/>
      <c r="B736" s="425" t="s">
        <v>1221</v>
      </c>
      <c r="C736" s="414" t="s">
        <v>1</v>
      </c>
      <c r="D736" s="392">
        <v>1</v>
      </c>
      <c r="E736" s="307">
        <v>1</v>
      </c>
      <c r="F736" s="540">
        <f>21237166/1000000</f>
        <v>21.237165999999998</v>
      </c>
      <c r="G736" s="540"/>
      <c r="H736" s="540"/>
      <c r="I736" s="399">
        <f t="shared" si="66"/>
        <v>21.24</v>
      </c>
      <c r="J736" s="394"/>
      <c r="K736" s="394" t="s">
        <v>860</v>
      </c>
      <c r="L736" s="164"/>
      <c r="M736" s="164"/>
      <c r="N736" s="164"/>
      <c r="O736" s="164"/>
      <c r="P736" s="164"/>
    </row>
    <row r="737" spans="1:16" s="165" customFormat="1" ht="34.5" outlineLevel="1">
      <c r="A737" s="497"/>
      <c r="B737" s="425" t="s">
        <v>1222</v>
      </c>
      <c r="C737" s="414" t="s">
        <v>1</v>
      </c>
      <c r="D737" s="392">
        <v>1</v>
      </c>
      <c r="E737" s="307">
        <v>1</v>
      </c>
      <c r="F737" s="540">
        <f>12566371/1000000</f>
        <v>12.566371</v>
      </c>
      <c r="G737" s="540"/>
      <c r="H737" s="540"/>
      <c r="I737" s="399">
        <f t="shared" si="66"/>
        <v>12.57</v>
      </c>
      <c r="J737" s="394"/>
      <c r="K737" s="394" t="s">
        <v>860</v>
      </c>
      <c r="L737" s="164"/>
      <c r="M737" s="164"/>
      <c r="N737" s="164"/>
      <c r="O737" s="164"/>
      <c r="P737" s="164"/>
    </row>
    <row r="738" spans="1:16" s="165" customFormat="1" ht="34.5" outlineLevel="1">
      <c r="A738" s="497"/>
      <c r="B738" s="425" t="s">
        <v>1223</v>
      </c>
      <c r="C738" s="414" t="s">
        <v>1</v>
      </c>
      <c r="D738" s="392">
        <v>1</v>
      </c>
      <c r="E738" s="307">
        <v>1</v>
      </c>
      <c r="F738" s="540">
        <f>13854424/1000000</f>
        <v>13.854424</v>
      </c>
      <c r="G738" s="540"/>
      <c r="H738" s="540"/>
      <c r="I738" s="399">
        <f t="shared" si="66"/>
        <v>13.85</v>
      </c>
      <c r="J738" s="394"/>
      <c r="K738" s="394" t="s">
        <v>860</v>
      </c>
      <c r="L738" s="164"/>
      <c r="M738" s="164"/>
      <c r="N738" s="164"/>
      <c r="O738" s="164"/>
      <c r="P738" s="164"/>
    </row>
    <row r="739" spans="1:16" s="165" customFormat="1" ht="34.5" outlineLevel="1">
      <c r="A739" s="497"/>
      <c r="B739" s="425" t="s">
        <v>1224</v>
      </c>
      <c r="C739" s="414" t="s">
        <v>1</v>
      </c>
      <c r="D739" s="392">
        <v>1</v>
      </c>
      <c r="E739" s="307">
        <v>1</v>
      </c>
      <c r="F739" s="540">
        <f>12566371/1000000</f>
        <v>12.566371</v>
      </c>
      <c r="G739" s="540"/>
      <c r="H739" s="540"/>
      <c r="I739" s="399">
        <f t="shared" si="66"/>
        <v>12.57</v>
      </c>
      <c r="J739" s="394"/>
      <c r="K739" s="394" t="s">
        <v>860</v>
      </c>
      <c r="L739" s="164"/>
      <c r="M739" s="164"/>
      <c r="N739" s="164"/>
      <c r="O739" s="164"/>
      <c r="P739" s="164"/>
    </row>
    <row r="740" spans="1:16" s="165" customFormat="1" ht="17.25" outlineLevel="1">
      <c r="A740" s="497"/>
      <c r="B740" s="425" t="s">
        <v>1198</v>
      </c>
      <c r="C740" s="414" t="s">
        <v>1</v>
      </c>
      <c r="D740" s="392">
        <v>-1</v>
      </c>
      <c r="E740" s="307">
        <v>1</v>
      </c>
      <c r="F740" s="540">
        <f>3.14*1.5^2</f>
        <v>7.0650000000000004</v>
      </c>
      <c r="G740" s="540"/>
      <c r="H740" s="540"/>
      <c r="I740" s="399">
        <f t="shared" si="66"/>
        <v>-7.07</v>
      </c>
      <c r="J740" s="394"/>
      <c r="K740" s="394" t="s">
        <v>860</v>
      </c>
      <c r="L740" s="164"/>
      <c r="M740" s="164"/>
      <c r="N740" s="164"/>
      <c r="O740" s="164"/>
      <c r="P740" s="164"/>
    </row>
    <row r="741" spans="1:16" s="165" customFormat="1" ht="34.5" outlineLevel="1">
      <c r="A741" s="497"/>
      <c r="B741" s="425" t="s">
        <v>1225</v>
      </c>
      <c r="C741" s="414" t="s">
        <v>1</v>
      </c>
      <c r="D741" s="392">
        <v>1</v>
      </c>
      <c r="E741" s="307">
        <v>1</v>
      </c>
      <c r="F741" s="540">
        <f>22902210/1000000</f>
        <v>22.90221</v>
      </c>
      <c r="G741" s="540"/>
      <c r="H741" s="540"/>
      <c r="I741" s="399">
        <f t="shared" si="66"/>
        <v>22.9</v>
      </c>
      <c r="J741" s="394"/>
      <c r="K741" s="394" t="s">
        <v>860</v>
      </c>
      <c r="L741" s="164"/>
      <c r="M741" s="164"/>
      <c r="N741" s="164"/>
      <c r="O741" s="164"/>
      <c r="P741" s="164"/>
    </row>
    <row r="742" spans="1:16" s="165" customFormat="1" ht="17.25" outlineLevel="1">
      <c r="A742" s="497"/>
      <c r="B742" s="425" t="s">
        <v>1199</v>
      </c>
      <c r="C742" s="414" t="s">
        <v>1</v>
      </c>
      <c r="D742" s="392">
        <v>-1</v>
      </c>
      <c r="E742" s="307">
        <v>1</v>
      </c>
      <c r="F742" s="540">
        <v>5.2039999999999997</v>
      </c>
      <c r="G742" s="540">
        <v>0.23</v>
      </c>
      <c r="H742" s="540"/>
      <c r="I742" s="399">
        <f t="shared" si="66"/>
        <v>-1.2</v>
      </c>
      <c r="J742" s="394"/>
      <c r="K742" s="394"/>
      <c r="L742" s="164"/>
      <c r="M742" s="164"/>
      <c r="N742" s="164"/>
      <c r="O742" s="164"/>
      <c r="P742" s="164"/>
    </row>
    <row r="743" spans="1:16" s="165" customFormat="1" ht="34.5" outlineLevel="1">
      <c r="A743" s="497"/>
      <c r="B743" s="425" t="s">
        <v>1226</v>
      </c>
      <c r="C743" s="414" t="s">
        <v>1</v>
      </c>
      <c r="D743" s="392">
        <v>1</v>
      </c>
      <c r="E743" s="307">
        <v>1</v>
      </c>
      <c r="F743" s="540">
        <f>8042477/1000000</f>
        <v>8.0424769999999999</v>
      </c>
      <c r="G743" s="540"/>
      <c r="H743" s="540"/>
      <c r="I743" s="399">
        <f t="shared" si="66"/>
        <v>8.0399999999999991</v>
      </c>
      <c r="J743" s="394"/>
      <c r="K743" s="394" t="s">
        <v>860</v>
      </c>
      <c r="L743" s="164"/>
      <c r="M743" s="164"/>
      <c r="N743" s="164"/>
      <c r="O743" s="164"/>
      <c r="P743" s="164"/>
    </row>
    <row r="744" spans="1:16" s="165" customFormat="1" ht="17.25" outlineLevel="1">
      <c r="A744" s="497"/>
      <c r="B744" s="425" t="s">
        <v>1199</v>
      </c>
      <c r="C744" s="414" t="s">
        <v>1</v>
      </c>
      <c r="D744" s="392">
        <v>-1</v>
      </c>
      <c r="E744" s="307">
        <v>1</v>
      </c>
      <c r="F744" s="540">
        <v>2.3929999999999998</v>
      </c>
      <c r="G744" s="540">
        <v>0.23</v>
      </c>
      <c r="H744" s="540"/>
      <c r="I744" s="399">
        <f t="shared" si="66"/>
        <v>-0.55000000000000004</v>
      </c>
      <c r="J744" s="394"/>
      <c r="K744" s="394" t="s">
        <v>860</v>
      </c>
      <c r="L744" s="164"/>
      <c r="M744" s="164"/>
      <c r="N744" s="164"/>
      <c r="O744" s="164"/>
      <c r="P744" s="164"/>
    </row>
    <row r="745" spans="1:16" s="165" customFormat="1" ht="34.5" outlineLevel="1">
      <c r="A745" s="497"/>
      <c r="B745" s="425" t="s">
        <v>1227</v>
      </c>
      <c r="C745" s="414" t="s">
        <v>1</v>
      </c>
      <c r="D745" s="392">
        <v>1</v>
      </c>
      <c r="E745" s="307">
        <v>1</v>
      </c>
      <c r="F745" s="540">
        <f>1130973/1000000</f>
        <v>1.130973</v>
      </c>
      <c r="G745" s="540"/>
      <c r="H745" s="540"/>
      <c r="I745" s="399">
        <f t="shared" ref="I745:I799" si="67">IF(D745&lt;&gt;0,ROUND(PRODUCT(E745:H745)*D745,2),"")</f>
        <v>1.1299999999999999</v>
      </c>
      <c r="J745" s="394"/>
      <c r="K745" s="394" t="s">
        <v>860</v>
      </c>
      <c r="L745" s="164"/>
      <c r="M745" s="164"/>
      <c r="N745" s="164"/>
      <c r="O745" s="164"/>
      <c r="P745" s="164"/>
    </row>
    <row r="746" spans="1:16" s="165" customFormat="1" ht="34.5" outlineLevel="1">
      <c r="A746" s="497"/>
      <c r="B746" s="425" t="s">
        <v>1228</v>
      </c>
      <c r="C746" s="414" t="s">
        <v>1</v>
      </c>
      <c r="D746" s="392">
        <v>1</v>
      </c>
      <c r="E746" s="307">
        <v>1</v>
      </c>
      <c r="F746" s="540">
        <f>3624816/1000000</f>
        <v>3.624816</v>
      </c>
      <c r="G746" s="540"/>
      <c r="H746" s="540"/>
      <c r="I746" s="399">
        <f t="shared" si="67"/>
        <v>3.62</v>
      </c>
      <c r="J746" s="394"/>
      <c r="K746" s="394" t="s">
        <v>860</v>
      </c>
      <c r="L746" s="164"/>
      <c r="M746" s="164"/>
      <c r="N746" s="164"/>
      <c r="O746" s="164"/>
      <c r="P746" s="164"/>
    </row>
    <row r="747" spans="1:16" s="165" customFormat="1" ht="34.5" outlineLevel="1">
      <c r="A747" s="497"/>
      <c r="B747" s="425" t="s">
        <v>1229</v>
      </c>
      <c r="C747" s="414" t="s">
        <v>1</v>
      </c>
      <c r="D747" s="392">
        <v>1</v>
      </c>
      <c r="E747" s="307">
        <v>1</v>
      </c>
      <c r="F747" s="540">
        <f>12566371/1000000</f>
        <v>12.566371</v>
      </c>
      <c r="G747" s="540"/>
      <c r="H747" s="540"/>
      <c r="I747" s="399">
        <f t="shared" si="67"/>
        <v>12.57</v>
      </c>
      <c r="J747" s="394"/>
      <c r="K747" s="394" t="s">
        <v>860</v>
      </c>
      <c r="L747" s="164"/>
      <c r="M747" s="164"/>
      <c r="N747" s="164"/>
      <c r="O747" s="164"/>
      <c r="P747" s="164"/>
    </row>
    <row r="748" spans="1:16" s="165" customFormat="1" ht="17.25" outlineLevel="1">
      <c r="A748" s="497"/>
      <c r="B748" s="425" t="s">
        <v>1198</v>
      </c>
      <c r="C748" s="414" t="s">
        <v>1</v>
      </c>
      <c r="D748" s="392">
        <v>-1</v>
      </c>
      <c r="E748" s="307">
        <v>1</v>
      </c>
      <c r="F748" s="540">
        <f>3.14*1.5^2</f>
        <v>7.0650000000000004</v>
      </c>
      <c r="G748" s="540"/>
      <c r="H748" s="540"/>
      <c r="I748" s="399">
        <f t="shared" si="67"/>
        <v>-7.07</v>
      </c>
      <c r="J748" s="394"/>
      <c r="K748" s="394" t="s">
        <v>860</v>
      </c>
      <c r="L748" s="164"/>
      <c r="M748" s="164"/>
      <c r="N748" s="164"/>
      <c r="O748" s="164"/>
      <c r="P748" s="164"/>
    </row>
    <row r="749" spans="1:16" s="165" customFormat="1" ht="34.5" outlineLevel="1">
      <c r="A749" s="497"/>
      <c r="B749" s="425" t="s">
        <v>1230</v>
      </c>
      <c r="C749" s="414" t="s">
        <v>1</v>
      </c>
      <c r="D749" s="392">
        <v>1</v>
      </c>
      <c r="E749" s="307">
        <v>1</v>
      </c>
      <c r="F749" s="540">
        <f>4908739/1000000</f>
        <v>4.9087389999999997</v>
      </c>
      <c r="G749" s="540"/>
      <c r="H749" s="540"/>
      <c r="I749" s="399">
        <f t="shared" si="67"/>
        <v>4.91</v>
      </c>
      <c r="J749" s="394"/>
      <c r="K749" s="394" t="s">
        <v>860</v>
      </c>
      <c r="L749" s="164"/>
      <c r="M749" s="164"/>
      <c r="N749" s="164"/>
      <c r="O749" s="164"/>
      <c r="P749" s="164"/>
    </row>
    <row r="750" spans="1:16" s="165" customFormat="1" ht="34.5" outlineLevel="1">
      <c r="A750" s="497"/>
      <c r="B750" s="425" t="s">
        <v>1231</v>
      </c>
      <c r="C750" s="414" t="s">
        <v>1</v>
      </c>
      <c r="D750" s="392">
        <v>1</v>
      </c>
      <c r="E750" s="307">
        <v>1</v>
      </c>
      <c r="F750" s="540">
        <f>22902210/1000000</f>
        <v>22.90221</v>
      </c>
      <c r="G750" s="540"/>
      <c r="H750" s="540"/>
      <c r="I750" s="399">
        <f t="shared" si="67"/>
        <v>22.9</v>
      </c>
      <c r="J750" s="394"/>
      <c r="K750" s="394" t="s">
        <v>860</v>
      </c>
      <c r="L750" s="164"/>
      <c r="M750" s="164"/>
      <c r="N750" s="164"/>
      <c r="O750" s="164"/>
      <c r="P750" s="164"/>
    </row>
    <row r="751" spans="1:16" s="165" customFormat="1" ht="17.25" outlineLevel="1">
      <c r="A751" s="497"/>
      <c r="B751" s="425" t="s">
        <v>1196</v>
      </c>
      <c r="C751" s="414" t="s">
        <v>1</v>
      </c>
      <c r="D751" s="392">
        <v>-1</v>
      </c>
      <c r="E751" s="307">
        <v>3</v>
      </c>
      <c r="F751" s="540">
        <f>3.14*0.415^2</f>
        <v>0.54078649999999995</v>
      </c>
      <c r="G751" s="540"/>
      <c r="H751" s="540"/>
      <c r="I751" s="399">
        <f t="shared" si="67"/>
        <v>-1.62</v>
      </c>
      <c r="J751" s="394"/>
      <c r="K751" s="394" t="s">
        <v>860</v>
      </c>
      <c r="L751" s="164"/>
      <c r="M751" s="164"/>
      <c r="N751" s="164"/>
      <c r="O751" s="164"/>
      <c r="P751" s="164"/>
    </row>
    <row r="752" spans="1:16" s="165" customFormat="1" ht="34.5" outlineLevel="1">
      <c r="A752" s="497"/>
      <c r="B752" s="425" t="s">
        <v>1232</v>
      </c>
      <c r="C752" s="414" t="s">
        <v>1</v>
      </c>
      <c r="D752" s="392">
        <v>1</v>
      </c>
      <c r="E752" s="307">
        <v>2</v>
      </c>
      <c r="F752" s="540">
        <f>1767146/1000000</f>
        <v>1.7671460000000001</v>
      </c>
      <c r="G752" s="540"/>
      <c r="H752" s="540"/>
      <c r="I752" s="399">
        <f t="shared" si="67"/>
        <v>3.53</v>
      </c>
      <c r="J752" s="394"/>
      <c r="K752" s="394" t="s">
        <v>860</v>
      </c>
      <c r="L752" s="164"/>
      <c r="M752" s="164"/>
      <c r="N752" s="164"/>
      <c r="O752" s="164"/>
      <c r="P752" s="164"/>
    </row>
    <row r="753" spans="1:16" s="165" customFormat="1" ht="17.25" outlineLevel="1">
      <c r="A753" s="497"/>
      <c r="B753" s="425" t="s">
        <v>1233</v>
      </c>
      <c r="C753" s="414" t="s">
        <v>1</v>
      </c>
      <c r="D753" s="392">
        <v>1</v>
      </c>
      <c r="E753" s="307">
        <v>1</v>
      </c>
      <c r="F753" s="540">
        <f>28274334/1000000</f>
        <v>28.274334</v>
      </c>
      <c r="G753" s="540"/>
      <c r="H753" s="540"/>
      <c r="I753" s="399">
        <f t="shared" si="67"/>
        <v>28.27</v>
      </c>
      <c r="J753" s="394"/>
      <c r="K753" s="394" t="s">
        <v>860</v>
      </c>
      <c r="L753" s="164"/>
      <c r="M753" s="164"/>
      <c r="N753" s="164"/>
      <c r="O753" s="164"/>
      <c r="P753" s="164"/>
    </row>
    <row r="754" spans="1:16" s="165" customFormat="1" ht="17.25" outlineLevel="1">
      <c r="A754" s="497"/>
      <c r="B754" s="425" t="s">
        <v>1196</v>
      </c>
      <c r="C754" s="414" t="s">
        <v>1</v>
      </c>
      <c r="D754" s="392">
        <v>-1</v>
      </c>
      <c r="E754" s="307">
        <v>3</v>
      </c>
      <c r="F754" s="540">
        <f>3.14*0.415^2</f>
        <v>0.54078649999999995</v>
      </c>
      <c r="G754" s="540"/>
      <c r="H754" s="540"/>
      <c r="I754" s="399">
        <f t="shared" si="67"/>
        <v>-1.62</v>
      </c>
      <c r="J754" s="394"/>
      <c r="K754" s="394" t="s">
        <v>860</v>
      </c>
      <c r="L754" s="164"/>
      <c r="M754" s="164"/>
      <c r="N754" s="164"/>
      <c r="O754" s="164"/>
      <c r="P754" s="164"/>
    </row>
    <row r="755" spans="1:16" s="165" customFormat="1" ht="34.5" outlineLevel="1">
      <c r="A755" s="497"/>
      <c r="B755" s="425" t="s">
        <v>1234</v>
      </c>
      <c r="C755" s="414" t="s">
        <v>1</v>
      </c>
      <c r="D755" s="392">
        <v>1</v>
      </c>
      <c r="E755" s="307">
        <v>1</v>
      </c>
      <c r="F755" s="540">
        <f>15904313/1000000</f>
        <v>15.904313</v>
      </c>
      <c r="G755" s="540"/>
      <c r="H755" s="540"/>
      <c r="I755" s="399">
        <f t="shared" si="67"/>
        <v>15.9</v>
      </c>
      <c r="J755" s="394"/>
      <c r="K755" s="394" t="s">
        <v>860</v>
      </c>
      <c r="L755" s="164"/>
      <c r="M755" s="164"/>
      <c r="N755" s="164"/>
      <c r="O755" s="164"/>
      <c r="P755" s="164"/>
    </row>
    <row r="756" spans="1:16" s="165" customFormat="1" ht="17.25" outlineLevel="1">
      <c r="A756" s="497"/>
      <c r="B756" s="425" t="s">
        <v>1198</v>
      </c>
      <c r="C756" s="414" t="s">
        <v>1</v>
      </c>
      <c r="D756" s="392">
        <v>-1</v>
      </c>
      <c r="E756" s="307">
        <v>1</v>
      </c>
      <c r="F756" s="540">
        <f>3.14*1.5^2</f>
        <v>7.0650000000000004</v>
      </c>
      <c r="G756" s="540"/>
      <c r="H756" s="540"/>
      <c r="I756" s="399">
        <f t="shared" si="67"/>
        <v>-7.07</v>
      </c>
      <c r="J756" s="394"/>
      <c r="K756" s="394" t="s">
        <v>860</v>
      </c>
      <c r="L756" s="164"/>
      <c r="M756" s="164"/>
      <c r="N756" s="164"/>
      <c r="O756" s="164"/>
      <c r="P756" s="164"/>
    </row>
    <row r="757" spans="1:16" s="165" customFormat="1" ht="34.5" outlineLevel="1">
      <c r="A757" s="497"/>
      <c r="B757" s="425" t="s">
        <v>1235</v>
      </c>
      <c r="C757" s="414" t="s">
        <v>1</v>
      </c>
      <c r="D757" s="392">
        <v>1</v>
      </c>
      <c r="E757" s="307">
        <v>1</v>
      </c>
      <c r="F757" s="540">
        <f>3953983/1000000</f>
        <v>3.953983</v>
      </c>
      <c r="G757" s="540"/>
      <c r="H757" s="540"/>
      <c r="I757" s="399">
        <f t="shared" si="67"/>
        <v>3.95</v>
      </c>
      <c r="J757" s="394"/>
      <c r="K757" s="394" t="s">
        <v>860</v>
      </c>
      <c r="L757" s="164"/>
      <c r="M757" s="164"/>
      <c r="N757" s="164"/>
      <c r="O757" s="164"/>
      <c r="P757" s="164"/>
    </row>
    <row r="758" spans="1:16" s="165" customFormat="1" ht="34.5" outlineLevel="1">
      <c r="A758" s="497"/>
      <c r="B758" s="425" t="s">
        <v>1236</v>
      </c>
      <c r="C758" s="414" t="s">
        <v>1</v>
      </c>
      <c r="D758" s="392">
        <v>1</v>
      </c>
      <c r="E758" s="307">
        <v>1</v>
      </c>
      <c r="F758" s="540">
        <f>2535364/1000000</f>
        <v>2.535364</v>
      </c>
      <c r="G758" s="540"/>
      <c r="H758" s="540"/>
      <c r="I758" s="399">
        <f t="shared" si="67"/>
        <v>2.54</v>
      </c>
      <c r="J758" s="394"/>
      <c r="K758" s="394" t="s">
        <v>860</v>
      </c>
      <c r="L758" s="164"/>
      <c r="M758" s="164"/>
      <c r="N758" s="164"/>
      <c r="O758" s="164"/>
      <c r="P758" s="164"/>
    </row>
    <row r="759" spans="1:16" s="165" customFormat="1" ht="34.5" outlineLevel="1">
      <c r="A759" s="497"/>
      <c r="B759" s="425" t="s">
        <v>1237</v>
      </c>
      <c r="C759" s="414" t="s">
        <v>1</v>
      </c>
      <c r="D759" s="392">
        <v>1</v>
      </c>
      <c r="E759" s="307">
        <v>1</v>
      </c>
      <c r="F759" s="540">
        <f>3141593/1000000</f>
        <v>3.1415929999999999</v>
      </c>
      <c r="G759" s="540"/>
      <c r="H759" s="540"/>
      <c r="I759" s="399">
        <f t="shared" si="67"/>
        <v>3.14</v>
      </c>
      <c r="J759" s="394"/>
      <c r="K759" s="394" t="s">
        <v>860</v>
      </c>
      <c r="L759" s="164"/>
      <c r="M759" s="164"/>
      <c r="N759" s="164"/>
      <c r="O759" s="164"/>
      <c r="P759" s="164"/>
    </row>
    <row r="760" spans="1:16" s="165" customFormat="1" ht="34.5" outlineLevel="1">
      <c r="A760" s="497"/>
      <c r="B760" s="425" t="s">
        <v>1238</v>
      </c>
      <c r="C760" s="414" t="s">
        <v>1</v>
      </c>
      <c r="D760" s="392">
        <v>1</v>
      </c>
      <c r="E760" s="307">
        <v>1</v>
      </c>
      <c r="F760" s="540">
        <f>12566371/1000000</f>
        <v>12.566371</v>
      </c>
      <c r="G760" s="540"/>
      <c r="H760" s="540"/>
      <c r="I760" s="399">
        <f t="shared" si="67"/>
        <v>12.57</v>
      </c>
      <c r="J760" s="394"/>
      <c r="K760" s="394" t="s">
        <v>860</v>
      </c>
      <c r="L760" s="164"/>
      <c r="M760" s="164"/>
      <c r="N760" s="164"/>
      <c r="O760" s="164"/>
      <c r="P760" s="164"/>
    </row>
    <row r="761" spans="1:16" s="165" customFormat="1" ht="34.5" outlineLevel="1">
      <c r="A761" s="497"/>
      <c r="B761" s="425" t="s">
        <v>1239</v>
      </c>
      <c r="C761" s="414" t="s">
        <v>1</v>
      </c>
      <c r="D761" s="392">
        <v>1</v>
      </c>
      <c r="E761" s="307">
        <v>1</v>
      </c>
      <c r="F761" s="540">
        <f>19634954/1000000</f>
        <v>19.634954</v>
      </c>
      <c r="G761" s="540"/>
      <c r="H761" s="540"/>
      <c r="I761" s="399">
        <f t="shared" si="67"/>
        <v>19.63</v>
      </c>
      <c r="J761" s="394"/>
      <c r="K761" s="394" t="s">
        <v>860</v>
      </c>
      <c r="L761" s="164"/>
      <c r="M761" s="164"/>
      <c r="N761" s="164"/>
      <c r="O761" s="164"/>
      <c r="P761" s="164"/>
    </row>
    <row r="762" spans="1:16" s="165" customFormat="1" ht="17.25" outlineLevel="1">
      <c r="A762" s="497"/>
      <c r="B762" s="425" t="s">
        <v>1198</v>
      </c>
      <c r="C762" s="414" t="s">
        <v>1</v>
      </c>
      <c r="D762" s="392">
        <v>-1</v>
      </c>
      <c r="E762" s="307">
        <v>1</v>
      </c>
      <c r="F762" s="540">
        <f>3.14*1.5^2</f>
        <v>7.0650000000000004</v>
      </c>
      <c r="G762" s="540"/>
      <c r="H762" s="540"/>
      <c r="I762" s="399">
        <f t="shared" si="67"/>
        <v>-7.07</v>
      </c>
      <c r="J762" s="394"/>
      <c r="K762" s="394" t="s">
        <v>860</v>
      </c>
      <c r="L762" s="164"/>
      <c r="M762" s="164"/>
      <c r="N762" s="164"/>
      <c r="O762" s="164"/>
      <c r="P762" s="164"/>
    </row>
    <row r="763" spans="1:16" s="165" customFormat="1" ht="34.5" outlineLevel="1">
      <c r="A763" s="497"/>
      <c r="B763" s="425" t="s">
        <v>1240</v>
      </c>
      <c r="C763" s="414" t="s">
        <v>1</v>
      </c>
      <c r="D763" s="392">
        <v>1</v>
      </c>
      <c r="E763" s="307">
        <v>1</v>
      </c>
      <c r="F763" s="540">
        <f>5309292/1000000</f>
        <v>5.3092920000000001</v>
      </c>
      <c r="G763" s="540"/>
      <c r="H763" s="540"/>
      <c r="I763" s="399">
        <f t="shared" si="67"/>
        <v>5.31</v>
      </c>
      <c r="J763" s="394"/>
      <c r="K763" s="394" t="s">
        <v>860</v>
      </c>
      <c r="L763" s="164"/>
      <c r="M763" s="164"/>
      <c r="N763" s="164"/>
      <c r="O763" s="164"/>
      <c r="P763" s="164"/>
    </row>
    <row r="764" spans="1:16" s="165" customFormat="1" ht="34.5" outlineLevel="1">
      <c r="A764" s="497"/>
      <c r="B764" s="425" t="s">
        <v>1241</v>
      </c>
      <c r="C764" s="414" t="s">
        <v>1</v>
      </c>
      <c r="D764" s="392">
        <v>1</v>
      </c>
      <c r="E764" s="307">
        <v>1</v>
      </c>
      <c r="F764" s="540">
        <f>18095574/1000000</f>
        <v>18.095573999999999</v>
      </c>
      <c r="G764" s="540"/>
      <c r="H764" s="540"/>
      <c r="I764" s="399">
        <f t="shared" si="67"/>
        <v>18.100000000000001</v>
      </c>
      <c r="J764" s="394"/>
      <c r="K764" s="394" t="s">
        <v>860</v>
      </c>
      <c r="L764" s="164"/>
      <c r="M764" s="164"/>
      <c r="N764" s="164"/>
      <c r="O764" s="164"/>
      <c r="P764" s="164"/>
    </row>
    <row r="765" spans="1:16" s="165" customFormat="1" ht="17.25" outlineLevel="1">
      <c r="A765" s="497"/>
      <c r="B765" s="425" t="s">
        <v>1198</v>
      </c>
      <c r="C765" s="414" t="s">
        <v>1</v>
      </c>
      <c r="D765" s="392">
        <v>-1</v>
      </c>
      <c r="E765" s="307">
        <v>1</v>
      </c>
      <c r="F765" s="540">
        <f>3.14*1.5^2</f>
        <v>7.0650000000000004</v>
      </c>
      <c r="G765" s="540"/>
      <c r="H765" s="540"/>
      <c r="I765" s="399">
        <f t="shared" si="67"/>
        <v>-7.07</v>
      </c>
      <c r="J765" s="394"/>
      <c r="K765" s="394" t="s">
        <v>860</v>
      </c>
      <c r="L765" s="164"/>
      <c r="M765" s="164"/>
      <c r="N765" s="164"/>
      <c r="O765" s="164"/>
      <c r="P765" s="164"/>
    </row>
    <row r="766" spans="1:16" s="165" customFormat="1" ht="34.5" outlineLevel="1">
      <c r="A766" s="497"/>
      <c r="B766" s="425" t="s">
        <v>1242</v>
      </c>
      <c r="C766" s="414" t="s">
        <v>1</v>
      </c>
      <c r="D766" s="392">
        <v>1</v>
      </c>
      <c r="E766" s="307">
        <v>1</v>
      </c>
      <c r="F766" s="540">
        <f>1767146/1000000</f>
        <v>1.7671460000000001</v>
      </c>
      <c r="G766" s="540"/>
      <c r="H766" s="540"/>
      <c r="I766" s="399">
        <f t="shared" si="67"/>
        <v>1.77</v>
      </c>
      <c r="J766" s="394"/>
      <c r="K766" s="394" t="s">
        <v>860</v>
      </c>
      <c r="L766" s="164"/>
      <c r="M766" s="164"/>
      <c r="N766" s="164"/>
      <c r="O766" s="164"/>
      <c r="P766" s="164"/>
    </row>
    <row r="767" spans="1:16" s="165" customFormat="1" ht="34.5" outlineLevel="1">
      <c r="A767" s="497"/>
      <c r="B767" s="425" t="s">
        <v>1243</v>
      </c>
      <c r="C767" s="414" t="s">
        <v>1</v>
      </c>
      <c r="D767" s="392">
        <v>1</v>
      </c>
      <c r="E767" s="307">
        <v>1</v>
      </c>
      <c r="F767" s="540">
        <f>4908739/1000000</f>
        <v>4.9087389999999997</v>
      </c>
      <c r="G767" s="540"/>
      <c r="H767" s="540"/>
      <c r="I767" s="399">
        <f t="shared" si="67"/>
        <v>4.91</v>
      </c>
      <c r="J767" s="394"/>
      <c r="K767" s="394" t="s">
        <v>860</v>
      </c>
      <c r="L767" s="164"/>
      <c r="M767" s="164"/>
      <c r="N767" s="164"/>
      <c r="O767" s="164"/>
      <c r="P767" s="164"/>
    </row>
    <row r="768" spans="1:16" s="165" customFormat="1" ht="34.5" outlineLevel="1">
      <c r="A768" s="497"/>
      <c r="B768" s="425" t="s">
        <v>1244</v>
      </c>
      <c r="C768" s="414" t="s">
        <v>1</v>
      </c>
      <c r="D768" s="392">
        <v>1</v>
      </c>
      <c r="E768" s="307">
        <v>1</v>
      </c>
      <c r="F768" s="540">
        <f>8744153/1000000</f>
        <v>8.7441530000000007</v>
      </c>
      <c r="G768" s="540"/>
      <c r="H768" s="540"/>
      <c r="I768" s="399">
        <f t="shared" si="67"/>
        <v>8.74</v>
      </c>
      <c r="J768" s="394"/>
      <c r="K768" s="394" t="s">
        <v>860</v>
      </c>
      <c r="L768" s="164"/>
      <c r="M768" s="164"/>
      <c r="N768" s="164"/>
      <c r="O768" s="164"/>
      <c r="P768" s="164"/>
    </row>
    <row r="769" spans="1:16" s="165" customFormat="1" ht="17.25" outlineLevel="1">
      <c r="A769" s="497"/>
      <c r="B769" s="425"/>
      <c r="C769" s="414"/>
      <c r="D769" s="392"/>
      <c r="E769" s="307"/>
      <c r="F769" s="540"/>
      <c r="G769" s="540"/>
      <c r="H769" s="540"/>
      <c r="I769" s="399" t="str">
        <f t="shared" si="67"/>
        <v/>
      </c>
      <c r="J769" s="394"/>
      <c r="K769" s="394"/>
      <c r="L769" s="164"/>
      <c r="M769" s="164"/>
      <c r="N769" s="164"/>
      <c r="O769" s="164"/>
      <c r="P769" s="164"/>
    </row>
    <row r="770" spans="1:16" s="165" customFormat="1" ht="17.25" outlineLevel="1">
      <c r="A770" s="497"/>
      <c r="B770" s="425" t="s">
        <v>1247</v>
      </c>
      <c r="C770" s="414" t="s">
        <v>1</v>
      </c>
      <c r="D770" s="392">
        <v>-1</v>
      </c>
      <c r="E770" s="307">
        <v>1</v>
      </c>
      <c r="F770" s="1103">
        <v>17.25</v>
      </c>
      <c r="G770" s="540"/>
      <c r="H770" s="540"/>
      <c r="I770" s="399">
        <f t="shared" si="67"/>
        <v>-17.25</v>
      </c>
      <c r="J770" s="394"/>
      <c r="K770" s="394"/>
      <c r="L770" s="164"/>
      <c r="M770" s="164"/>
      <c r="N770" s="164"/>
      <c r="O770" s="164"/>
      <c r="P770" s="164"/>
    </row>
    <row r="771" spans="1:16" s="854" customFormat="1" ht="17.25" outlineLevel="1" collapsed="1">
      <c r="A771" s="921" t="s">
        <v>457</v>
      </c>
      <c r="B771" s="886" t="s">
        <v>1534</v>
      </c>
      <c r="C771" s="885"/>
      <c r="D771" s="878"/>
      <c r="E771" s="871"/>
      <c r="F771" s="902"/>
      <c r="G771" s="902"/>
      <c r="H771" s="902"/>
      <c r="I771" s="399" t="str">
        <f t="shared" si="67"/>
        <v/>
      </c>
      <c r="J771" s="882"/>
      <c r="K771" s="882"/>
      <c r="L771" s="922"/>
      <c r="M771" s="922"/>
      <c r="N771" s="922"/>
      <c r="O771" s="922"/>
      <c r="P771" s="922"/>
    </row>
    <row r="772" spans="1:16" s="854" customFormat="1" ht="34.5" outlineLevel="1">
      <c r="A772" s="921"/>
      <c r="B772" s="886" t="s">
        <v>1535</v>
      </c>
      <c r="C772" s="885" t="s">
        <v>1</v>
      </c>
      <c r="D772" s="878">
        <v>1</v>
      </c>
      <c r="E772" s="871">
        <v>1</v>
      </c>
      <c r="F772" s="902">
        <f>12349538.162/1000000</f>
        <v>12.349538162</v>
      </c>
      <c r="G772" s="902"/>
      <c r="H772" s="902"/>
      <c r="I772" s="399">
        <f t="shared" si="67"/>
        <v>12.35</v>
      </c>
      <c r="J772" s="882"/>
      <c r="K772" s="882"/>
      <c r="L772" s="922"/>
      <c r="M772" s="922"/>
      <c r="N772" s="922"/>
      <c r="O772" s="922"/>
      <c r="P772" s="922"/>
    </row>
    <row r="773" spans="1:16" s="854" customFormat="1" ht="34.5" outlineLevel="1">
      <c r="A773" s="921"/>
      <c r="B773" s="886" t="s">
        <v>1486</v>
      </c>
      <c r="C773" s="885" t="s">
        <v>1</v>
      </c>
      <c r="D773" s="878">
        <v>1</v>
      </c>
      <c r="E773" s="871">
        <v>1</v>
      </c>
      <c r="F773" s="902">
        <f>5079030.305/1000000</f>
        <v>5.0790303049999999</v>
      </c>
      <c r="G773" s="902"/>
      <c r="H773" s="902"/>
      <c r="I773" s="399">
        <f t="shared" si="67"/>
        <v>5.08</v>
      </c>
      <c r="J773" s="882"/>
      <c r="K773" s="882"/>
      <c r="L773" s="922"/>
      <c r="M773" s="922"/>
      <c r="N773" s="922"/>
      <c r="O773" s="922"/>
      <c r="P773" s="922"/>
    </row>
    <row r="774" spans="1:16" s="854" customFormat="1" ht="34.5" outlineLevel="1">
      <c r="A774" s="921"/>
      <c r="B774" s="886" t="s">
        <v>1487</v>
      </c>
      <c r="C774" s="885" t="s">
        <v>1</v>
      </c>
      <c r="D774" s="878">
        <v>1</v>
      </c>
      <c r="E774" s="871">
        <v>1</v>
      </c>
      <c r="F774" s="902">
        <f>12396544.866/1000000</f>
        <v>12.396544866000001</v>
      </c>
      <c r="G774" s="902"/>
      <c r="H774" s="902"/>
      <c r="I774" s="399">
        <f t="shared" si="67"/>
        <v>12.4</v>
      </c>
      <c r="J774" s="882"/>
      <c r="K774" s="882"/>
      <c r="L774" s="922"/>
      <c r="M774" s="922"/>
      <c r="N774" s="922"/>
      <c r="O774" s="922"/>
      <c r="P774" s="922"/>
    </row>
    <row r="775" spans="1:16" s="854" customFormat="1" ht="34.5" outlineLevel="1">
      <c r="A775" s="921"/>
      <c r="B775" s="886" t="s">
        <v>1488</v>
      </c>
      <c r="C775" s="885" t="s">
        <v>1</v>
      </c>
      <c r="D775" s="878">
        <v>1</v>
      </c>
      <c r="E775" s="871">
        <v>1</v>
      </c>
      <c r="F775" s="902">
        <f>13572913.239/1000000</f>
        <v>13.572913239</v>
      </c>
      <c r="G775" s="902"/>
      <c r="H775" s="902"/>
      <c r="I775" s="399">
        <f t="shared" si="67"/>
        <v>13.57</v>
      </c>
      <c r="J775" s="882"/>
      <c r="K775" s="882"/>
      <c r="L775" s="922"/>
      <c r="M775" s="922"/>
      <c r="N775" s="922"/>
      <c r="O775" s="922"/>
      <c r="P775" s="922"/>
    </row>
    <row r="776" spans="1:16" s="854" customFormat="1" ht="34.5" outlineLevel="1">
      <c r="A776" s="921"/>
      <c r="B776" s="886" t="s">
        <v>1489</v>
      </c>
      <c r="C776" s="885" t="s">
        <v>1</v>
      </c>
      <c r="D776" s="878">
        <v>1</v>
      </c>
      <c r="E776" s="871">
        <v>1</v>
      </c>
      <c r="F776" s="902">
        <f>7068583.471/1000000</f>
        <v>7.0685834710000002</v>
      </c>
      <c r="G776" s="902"/>
      <c r="H776" s="902"/>
      <c r="I776" s="399">
        <f t="shared" si="67"/>
        <v>7.07</v>
      </c>
      <c r="J776" s="882"/>
      <c r="K776" s="882"/>
      <c r="L776" s="922"/>
      <c r="M776" s="922"/>
      <c r="N776" s="922"/>
      <c r="O776" s="922"/>
      <c r="P776" s="922"/>
    </row>
    <row r="777" spans="1:16" s="854" customFormat="1" ht="34.5" outlineLevel="1">
      <c r="A777" s="921"/>
      <c r="B777" s="886" t="s">
        <v>1490</v>
      </c>
      <c r="C777" s="885" t="s">
        <v>1</v>
      </c>
      <c r="D777" s="878">
        <v>1</v>
      </c>
      <c r="E777" s="871">
        <v>1</v>
      </c>
      <c r="F777" s="902">
        <f>1767145.868/1000000</f>
        <v>1.7671458680000001</v>
      </c>
      <c r="G777" s="902"/>
      <c r="H777" s="902"/>
      <c r="I777" s="399">
        <f t="shared" si="67"/>
        <v>1.77</v>
      </c>
      <c r="J777" s="882"/>
      <c r="K777" s="882"/>
      <c r="L777" s="922"/>
      <c r="M777" s="922"/>
      <c r="N777" s="922"/>
      <c r="O777" s="922"/>
      <c r="P777" s="922"/>
    </row>
    <row r="778" spans="1:16" s="854" customFormat="1" ht="34.5" outlineLevel="1">
      <c r="A778" s="921"/>
      <c r="B778" s="886" t="s">
        <v>1491</v>
      </c>
      <c r="C778" s="885" t="s">
        <v>1</v>
      </c>
      <c r="D778" s="878">
        <v>1</v>
      </c>
      <c r="E778" s="871">
        <v>1</v>
      </c>
      <c r="F778" s="902">
        <f>15904312.809/1000000</f>
        <v>15.904312809</v>
      </c>
      <c r="G778" s="902"/>
      <c r="H778" s="902"/>
      <c r="I778" s="399">
        <f t="shared" si="67"/>
        <v>15.9</v>
      </c>
      <c r="J778" s="882"/>
      <c r="K778" s="882"/>
      <c r="L778" s="922"/>
      <c r="M778" s="922"/>
      <c r="N778" s="922"/>
      <c r="O778" s="922"/>
      <c r="P778" s="922"/>
    </row>
    <row r="779" spans="1:16" s="854" customFormat="1" ht="34.5" outlineLevel="1">
      <c r="A779" s="921"/>
      <c r="B779" s="886" t="s">
        <v>1492</v>
      </c>
      <c r="C779" s="885" t="s">
        <v>1</v>
      </c>
      <c r="D779" s="878">
        <v>1</v>
      </c>
      <c r="E779" s="871">
        <v>1</v>
      </c>
      <c r="F779" s="902">
        <f>10752100.857/1000000</f>
        <v>10.752100857</v>
      </c>
      <c r="G779" s="902"/>
      <c r="H779" s="902"/>
      <c r="I779" s="399">
        <f t="shared" si="67"/>
        <v>10.75</v>
      </c>
      <c r="J779" s="882"/>
      <c r="K779" s="882"/>
      <c r="L779" s="922"/>
      <c r="M779" s="922"/>
      <c r="N779" s="922"/>
      <c r="O779" s="922"/>
      <c r="P779" s="922"/>
    </row>
    <row r="780" spans="1:16" s="854" customFormat="1" ht="34.5" outlineLevel="1">
      <c r="A780" s="921"/>
      <c r="B780" s="886" t="s">
        <v>1493</v>
      </c>
      <c r="C780" s="885" t="s">
        <v>1</v>
      </c>
      <c r="D780" s="878">
        <v>1</v>
      </c>
      <c r="E780" s="871">
        <v>1</v>
      </c>
      <c r="F780" s="902">
        <f>5309291.585/1000000</f>
        <v>5.3092915849999995</v>
      </c>
      <c r="G780" s="902"/>
      <c r="H780" s="902"/>
      <c r="I780" s="399">
        <f t="shared" si="67"/>
        <v>5.31</v>
      </c>
      <c r="J780" s="882"/>
      <c r="K780" s="882"/>
      <c r="L780" s="922"/>
      <c r="M780" s="922"/>
      <c r="N780" s="922"/>
      <c r="O780" s="922"/>
      <c r="P780" s="922"/>
    </row>
    <row r="781" spans="1:16" s="854" customFormat="1" ht="17.25" outlineLevel="1">
      <c r="A781" s="921"/>
      <c r="B781" s="886" t="s">
        <v>1536</v>
      </c>
      <c r="C781" s="885" t="s">
        <v>1</v>
      </c>
      <c r="D781" s="878">
        <v>1</v>
      </c>
      <c r="E781" s="871">
        <v>1</v>
      </c>
      <c r="F781" s="902">
        <f>28274333.882/1000000</f>
        <v>28.274333882000001</v>
      </c>
      <c r="G781" s="902"/>
      <c r="H781" s="902"/>
      <c r="I781" s="399">
        <f t="shared" si="67"/>
        <v>28.27</v>
      </c>
      <c r="J781" s="882"/>
      <c r="K781" s="882"/>
      <c r="L781" s="922"/>
      <c r="M781" s="922"/>
      <c r="N781" s="922"/>
      <c r="O781" s="922"/>
      <c r="P781" s="922"/>
    </row>
    <row r="782" spans="1:16" s="854" customFormat="1" ht="34.5" outlineLevel="1">
      <c r="A782" s="921"/>
      <c r="B782" s="886" t="s">
        <v>1494</v>
      </c>
      <c r="C782" s="885" t="s">
        <v>1</v>
      </c>
      <c r="D782" s="878">
        <v>1</v>
      </c>
      <c r="E782" s="871">
        <v>1</v>
      </c>
      <c r="F782" s="902">
        <f>10752100.857/1000000</f>
        <v>10.752100857</v>
      </c>
      <c r="G782" s="902"/>
      <c r="H782" s="902"/>
      <c r="I782" s="399">
        <f t="shared" si="67"/>
        <v>10.75</v>
      </c>
      <c r="J782" s="882"/>
      <c r="K782" s="882"/>
      <c r="L782" s="922"/>
      <c r="M782" s="922"/>
      <c r="N782" s="922"/>
      <c r="O782" s="922"/>
      <c r="P782" s="922"/>
    </row>
    <row r="783" spans="1:16" s="854" customFormat="1" ht="34.5" outlineLevel="1">
      <c r="A783" s="921"/>
      <c r="B783" s="886" t="s">
        <v>1495</v>
      </c>
      <c r="C783" s="885" t="s">
        <v>1</v>
      </c>
      <c r="D783" s="878">
        <v>1</v>
      </c>
      <c r="E783" s="871">
        <v>1</v>
      </c>
      <c r="F783" s="902">
        <f>5309291.585/1000000</f>
        <v>5.3092915849999995</v>
      </c>
      <c r="G783" s="902"/>
      <c r="H783" s="902"/>
      <c r="I783" s="399">
        <f t="shared" si="67"/>
        <v>5.31</v>
      </c>
      <c r="J783" s="882"/>
      <c r="K783" s="882"/>
      <c r="L783" s="922"/>
      <c r="M783" s="922"/>
      <c r="N783" s="922"/>
      <c r="O783" s="922"/>
      <c r="P783" s="922"/>
    </row>
    <row r="784" spans="1:16" s="854" customFormat="1" ht="34.5" outlineLevel="1">
      <c r="A784" s="921"/>
      <c r="B784" s="886" t="s">
        <v>1496</v>
      </c>
      <c r="C784" s="885" t="s">
        <v>1</v>
      </c>
      <c r="D784" s="878">
        <v>1</v>
      </c>
      <c r="E784" s="871">
        <v>1</v>
      </c>
      <c r="F784" s="902">
        <f>12566370.614/1000000</f>
        <v>12.566370614</v>
      </c>
      <c r="G784" s="902"/>
      <c r="H784" s="902"/>
      <c r="I784" s="399">
        <f t="shared" si="67"/>
        <v>12.57</v>
      </c>
      <c r="J784" s="882"/>
      <c r="K784" s="882"/>
      <c r="L784" s="922"/>
      <c r="M784" s="922"/>
      <c r="N784" s="922"/>
      <c r="O784" s="922"/>
      <c r="P784" s="922"/>
    </row>
    <row r="785" spans="1:16" s="854" customFormat="1" ht="34.5" outlineLevel="1">
      <c r="A785" s="921"/>
      <c r="B785" s="886" t="s">
        <v>1497</v>
      </c>
      <c r="C785" s="885" t="s">
        <v>1</v>
      </c>
      <c r="D785" s="878">
        <v>1</v>
      </c>
      <c r="E785" s="871">
        <v>1</v>
      </c>
      <c r="F785" s="902">
        <f>15904312.809/1000000</f>
        <v>15.904312809</v>
      </c>
      <c r="G785" s="902"/>
      <c r="H785" s="902"/>
      <c r="I785" s="399">
        <f t="shared" si="67"/>
        <v>15.9</v>
      </c>
      <c r="J785" s="882"/>
      <c r="K785" s="882"/>
      <c r="L785" s="922"/>
      <c r="M785" s="922"/>
      <c r="N785" s="922"/>
      <c r="O785" s="922"/>
      <c r="P785" s="922"/>
    </row>
    <row r="786" spans="1:16" s="854" customFormat="1" ht="17.25" outlineLevel="1">
      <c r="A786" s="921"/>
      <c r="B786" s="886"/>
      <c r="C786" s="885"/>
      <c r="D786" s="878"/>
      <c r="E786" s="871"/>
      <c r="F786" s="902"/>
      <c r="G786" s="902"/>
      <c r="H786" s="902"/>
      <c r="I786" s="399" t="str">
        <f t="shared" si="67"/>
        <v/>
      </c>
      <c r="J786" s="882"/>
      <c r="K786" s="882"/>
      <c r="L786" s="922"/>
      <c r="M786" s="922"/>
      <c r="N786" s="922"/>
      <c r="O786" s="922"/>
      <c r="P786" s="922"/>
    </row>
    <row r="787" spans="1:16" s="854" customFormat="1" ht="34.5" outlineLevel="1">
      <c r="A787" s="921"/>
      <c r="B787" s="886" t="s">
        <v>1498</v>
      </c>
      <c r="C787" s="885" t="s">
        <v>1</v>
      </c>
      <c r="D787" s="878">
        <v>1</v>
      </c>
      <c r="E787" s="871">
        <v>1</v>
      </c>
      <c r="F787" s="902">
        <f>4154756.284/1000000</f>
        <v>4.1547562840000003</v>
      </c>
      <c r="G787" s="902"/>
      <c r="H787" s="902"/>
      <c r="I787" s="399">
        <f t="shared" si="67"/>
        <v>4.1500000000000004</v>
      </c>
      <c r="J787" s="882"/>
      <c r="K787" s="882"/>
      <c r="L787" s="922"/>
      <c r="M787" s="922"/>
      <c r="N787" s="922"/>
      <c r="O787" s="922"/>
      <c r="P787" s="922"/>
    </row>
    <row r="788" spans="1:16" s="854" customFormat="1" ht="34.5" outlineLevel="1">
      <c r="A788" s="921"/>
      <c r="B788" s="886" t="s">
        <v>1499</v>
      </c>
      <c r="C788" s="885" t="s">
        <v>1</v>
      </c>
      <c r="D788" s="878">
        <v>1</v>
      </c>
      <c r="E788" s="871">
        <v>1</v>
      </c>
      <c r="F788" s="902">
        <f>6684030.626/1000000</f>
        <v>6.6840306260000002</v>
      </c>
      <c r="G788" s="902"/>
      <c r="H788" s="902"/>
      <c r="I788" s="399">
        <f t="shared" si="67"/>
        <v>6.68</v>
      </c>
      <c r="J788" s="882"/>
      <c r="K788" s="882"/>
      <c r="L788" s="922"/>
      <c r="M788" s="922"/>
      <c r="N788" s="922"/>
      <c r="O788" s="922"/>
      <c r="P788" s="922"/>
    </row>
    <row r="789" spans="1:16" s="854" customFormat="1" ht="34.5" outlineLevel="1">
      <c r="A789" s="921"/>
      <c r="B789" s="886" t="s">
        <v>1500</v>
      </c>
      <c r="C789" s="885" t="s">
        <v>1</v>
      </c>
      <c r="D789" s="878">
        <v>1</v>
      </c>
      <c r="E789" s="871">
        <v>1</v>
      </c>
      <c r="F789" s="902">
        <f>1767145.868/1000000</f>
        <v>1.7671458680000001</v>
      </c>
      <c r="G789" s="902"/>
      <c r="H789" s="902"/>
      <c r="I789" s="399">
        <f t="shared" si="67"/>
        <v>1.77</v>
      </c>
      <c r="J789" s="882"/>
      <c r="K789" s="882"/>
      <c r="L789" s="922"/>
      <c r="M789" s="922"/>
      <c r="N789" s="922"/>
      <c r="O789" s="922"/>
      <c r="P789" s="922"/>
    </row>
    <row r="790" spans="1:16" s="854" customFormat="1" ht="34.5" outlineLevel="1">
      <c r="A790" s="921"/>
      <c r="B790" s="886" t="s">
        <v>1501</v>
      </c>
      <c r="C790" s="885" t="s">
        <v>1</v>
      </c>
      <c r="D790" s="878">
        <v>1</v>
      </c>
      <c r="E790" s="871">
        <v>1</v>
      </c>
      <c r="F790" s="902">
        <f>6824093.816/1000000</f>
        <v>6.8240938159999995</v>
      </c>
      <c r="G790" s="902"/>
      <c r="H790" s="902"/>
      <c r="I790" s="399">
        <f t="shared" si="67"/>
        <v>6.82</v>
      </c>
      <c r="J790" s="882"/>
      <c r="K790" s="882"/>
      <c r="L790" s="922"/>
      <c r="M790" s="922"/>
      <c r="N790" s="922"/>
      <c r="O790" s="922"/>
      <c r="P790" s="922"/>
    </row>
    <row r="791" spans="1:16" s="854" customFormat="1" ht="34.5" outlineLevel="1">
      <c r="A791" s="921"/>
      <c r="B791" s="886" t="s">
        <v>1502</v>
      </c>
      <c r="C791" s="885" t="s">
        <v>1</v>
      </c>
      <c r="D791" s="878">
        <v>1</v>
      </c>
      <c r="E791" s="871">
        <v>1</v>
      </c>
      <c r="F791" s="902">
        <f>13854423.602/1000000</f>
        <v>13.854423602000001</v>
      </c>
      <c r="G791" s="902"/>
      <c r="H791" s="902"/>
      <c r="I791" s="399">
        <f t="shared" si="67"/>
        <v>13.85</v>
      </c>
      <c r="J791" s="882"/>
      <c r="K791" s="882"/>
      <c r="L791" s="922"/>
      <c r="M791" s="922"/>
      <c r="N791" s="922"/>
      <c r="O791" s="922"/>
      <c r="P791" s="922"/>
    </row>
    <row r="792" spans="1:16" s="854" customFormat="1" ht="17.25" outlineLevel="1">
      <c r="A792" s="921"/>
      <c r="B792" s="886" t="s">
        <v>1503</v>
      </c>
      <c r="C792" s="885" t="s">
        <v>1</v>
      </c>
      <c r="D792" s="878">
        <v>1</v>
      </c>
      <c r="E792" s="871">
        <v>1</v>
      </c>
      <c r="F792" s="902">
        <f>3141592.654/1000000</f>
        <v>3.1415926540000001</v>
      </c>
      <c r="G792" s="902"/>
      <c r="H792" s="902"/>
      <c r="I792" s="399">
        <f t="shared" si="67"/>
        <v>3.14</v>
      </c>
      <c r="J792" s="882"/>
      <c r="K792" s="882"/>
      <c r="L792" s="922"/>
      <c r="M792" s="922"/>
      <c r="N792" s="922"/>
      <c r="O792" s="922"/>
      <c r="P792" s="922"/>
    </row>
    <row r="793" spans="1:16" s="854" customFormat="1" ht="34.5" outlineLevel="1">
      <c r="A793" s="921"/>
      <c r="B793" s="886" t="s">
        <v>1504</v>
      </c>
      <c r="C793" s="885" t="s">
        <v>1</v>
      </c>
      <c r="D793" s="878">
        <v>1</v>
      </c>
      <c r="E793" s="871">
        <v>1</v>
      </c>
      <c r="F793" s="902">
        <f>1767145.868/1000000</f>
        <v>1.7671458680000001</v>
      </c>
      <c r="G793" s="902"/>
      <c r="H793" s="902"/>
      <c r="I793" s="399">
        <f t="shared" si="67"/>
        <v>1.77</v>
      </c>
      <c r="J793" s="882"/>
      <c r="K793" s="882"/>
      <c r="L793" s="922"/>
      <c r="M793" s="922"/>
      <c r="N793" s="922"/>
      <c r="O793" s="922"/>
      <c r="P793" s="922"/>
    </row>
    <row r="794" spans="1:16" s="854" customFormat="1" ht="34.5" outlineLevel="1">
      <c r="A794" s="921"/>
      <c r="B794" s="886" t="s">
        <v>1505</v>
      </c>
      <c r="C794" s="885" t="s">
        <v>1</v>
      </c>
      <c r="D794" s="878">
        <v>1</v>
      </c>
      <c r="E794" s="871">
        <v>1</v>
      </c>
      <c r="F794" s="902">
        <f>3141592.654/1000000</f>
        <v>3.1415926540000001</v>
      </c>
      <c r="G794" s="902"/>
      <c r="H794" s="902"/>
      <c r="I794" s="399">
        <f t="shared" si="67"/>
        <v>3.14</v>
      </c>
      <c r="J794" s="882"/>
      <c r="K794" s="882"/>
      <c r="L794" s="922"/>
      <c r="M794" s="922"/>
      <c r="N794" s="922"/>
      <c r="O794" s="922"/>
      <c r="P794" s="922"/>
    </row>
    <row r="795" spans="1:16" s="854" customFormat="1" ht="34.5" outlineLevel="1">
      <c r="A795" s="921"/>
      <c r="B795" s="886" t="s">
        <v>1506</v>
      </c>
      <c r="C795" s="885" t="s">
        <v>1</v>
      </c>
      <c r="D795" s="878">
        <v>1</v>
      </c>
      <c r="E795" s="871">
        <v>1</v>
      </c>
      <c r="F795" s="902">
        <f>4154756.284/1000000</f>
        <v>4.1547562840000003</v>
      </c>
      <c r="G795" s="902"/>
      <c r="H795" s="902"/>
      <c r="I795" s="399">
        <f t="shared" si="67"/>
        <v>4.1500000000000004</v>
      </c>
      <c r="J795" s="882"/>
      <c r="K795" s="882"/>
      <c r="L795" s="922"/>
      <c r="M795" s="922"/>
      <c r="N795" s="922"/>
      <c r="O795" s="922"/>
      <c r="P795" s="922"/>
    </row>
    <row r="796" spans="1:16" s="854" customFormat="1" ht="51.75" outlineLevel="1">
      <c r="A796" s="921" t="s">
        <v>459</v>
      </c>
      <c r="B796" s="886" t="s">
        <v>1537</v>
      </c>
      <c r="C796" s="885"/>
      <c r="D796" s="878"/>
      <c r="E796" s="871"/>
      <c r="F796" s="902"/>
      <c r="G796" s="902"/>
      <c r="H796" s="902"/>
      <c r="I796" s="399" t="str">
        <f t="shared" si="67"/>
        <v/>
      </c>
      <c r="J796" s="882"/>
      <c r="K796" s="882"/>
      <c r="L796" s="922"/>
      <c r="M796" s="922"/>
      <c r="N796" s="922"/>
      <c r="O796" s="922"/>
      <c r="P796" s="922"/>
    </row>
    <row r="797" spans="1:16" s="854" customFormat="1" ht="17.25" outlineLevel="1">
      <c r="A797" s="921"/>
      <c r="B797" s="886" t="s">
        <v>1538</v>
      </c>
      <c r="C797" s="885" t="s">
        <v>1</v>
      </c>
      <c r="D797" s="878">
        <v>1</v>
      </c>
      <c r="E797" s="871">
        <v>1</v>
      </c>
      <c r="F797" s="902">
        <f>67158875.914/1000000</f>
        <v>67.158875914000006</v>
      </c>
      <c r="G797" s="902"/>
      <c r="H797" s="902"/>
      <c r="I797" s="399">
        <f t="shared" si="67"/>
        <v>67.16</v>
      </c>
      <c r="J797" s="882"/>
      <c r="K797" s="882"/>
      <c r="L797" s="922"/>
      <c r="M797" s="922"/>
      <c r="N797" s="922"/>
      <c r="O797" s="922"/>
      <c r="P797" s="922"/>
    </row>
    <row r="798" spans="1:16" s="854" customFormat="1" ht="17.25" outlineLevel="1">
      <c r="A798" s="921"/>
      <c r="B798" s="886" t="s">
        <v>1539</v>
      </c>
      <c r="C798" s="885" t="s">
        <v>1</v>
      </c>
      <c r="D798" s="878">
        <v>-1</v>
      </c>
      <c r="E798" s="871">
        <v>1</v>
      </c>
      <c r="F798" s="902">
        <f>46341160.302/1000000</f>
        <v>46.341160301999999</v>
      </c>
      <c r="G798" s="902"/>
      <c r="H798" s="902"/>
      <c r="I798" s="399">
        <f t="shared" si="67"/>
        <v>-46.34</v>
      </c>
      <c r="J798" s="882"/>
      <c r="K798" s="882"/>
      <c r="L798" s="922"/>
      <c r="M798" s="922"/>
      <c r="N798" s="922"/>
      <c r="O798" s="922"/>
      <c r="P798" s="922"/>
    </row>
    <row r="799" spans="1:16" s="897" customFormat="1" ht="34.5" outlineLevel="1">
      <c r="A799" s="923"/>
      <c r="B799" s="890" t="s">
        <v>1680</v>
      </c>
      <c r="C799" s="897" t="s">
        <v>1</v>
      </c>
      <c r="D799" s="898">
        <v>-1</v>
      </c>
      <c r="E799" s="1107">
        <v>1</v>
      </c>
      <c r="F799" s="1108">
        <v>2.1970000000000001</v>
      </c>
      <c r="G799" s="1108"/>
      <c r="H799" s="1108"/>
      <c r="I799" s="399">
        <f t="shared" si="67"/>
        <v>-2.2000000000000002</v>
      </c>
      <c r="J799" s="899"/>
      <c r="K799" s="899"/>
      <c r="L799" s="924"/>
      <c r="M799" s="924"/>
      <c r="N799" s="924"/>
      <c r="O799" s="924"/>
      <c r="P799" s="924"/>
    </row>
    <row r="800" spans="1:16" s="49" customFormat="1">
      <c r="A800" s="157"/>
      <c r="B800" s="158" t="s">
        <v>85</v>
      </c>
      <c r="C800" s="159" t="s">
        <v>1</v>
      </c>
      <c r="D800" s="646"/>
      <c r="E800" s="647"/>
      <c r="F800" s="648"/>
      <c r="G800" s="648"/>
      <c r="H800" s="648"/>
      <c r="I800" s="30" t="s">
        <v>313</v>
      </c>
      <c r="J800" s="227">
        <f>SUM(I680:I800)</f>
        <v>750.6999999999997</v>
      </c>
      <c r="K800" s="43"/>
      <c r="L800" s="233"/>
      <c r="M800" s="233"/>
      <c r="N800" s="233"/>
      <c r="O800" s="233"/>
      <c r="P800" s="233"/>
    </row>
    <row r="801" spans="1:16" s="165" customFormat="1" ht="17.25">
      <c r="A801" s="497"/>
      <c r="B801" s="425"/>
      <c r="C801" s="414" t="s">
        <v>1</v>
      </c>
      <c r="D801" s="392"/>
      <c r="E801" s="307"/>
      <c r="F801" s="540"/>
      <c r="G801" s="540"/>
      <c r="H801" s="540"/>
      <c r="I801" s="294" t="str">
        <f t="shared" ref="I801:I802" si="68">IF(D801&lt;&gt;0,ROUND(PRODUCT(E801:H801)*D801,2),"")</f>
        <v/>
      </c>
      <c r="J801" s="394"/>
      <c r="K801" s="394"/>
      <c r="L801" s="164"/>
      <c r="M801" s="164"/>
      <c r="N801" s="164"/>
      <c r="O801" s="164"/>
      <c r="P801" s="164"/>
    </row>
    <row r="802" spans="1:16" s="165" customFormat="1" ht="17.25">
      <c r="A802" s="497"/>
      <c r="B802" s="425"/>
      <c r="C802" s="414" t="s">
        <v>1</v>
      </c>
      <c r="D802" s="392"/>
      <c r="E802" s="307"/>
      <c r="F802" s="540"/>
      <c r="G802" s="540"/>
      <c r="H802" s="540"/>
      <c r="I802" s="294" t="str">
        <f t="shared" si="68"/>
        <v/>
      </c>
      <c r="J802" s="394"/>
      <c r="K802" s="394"/>
      <c r="L802" s="164"/>
      <c r="M802" s="164"/>
      <c r="N802" s="164"/>
      <c r="O802" s="164"/>
      <c r="P802" s="164"/>
    </row>
    <row r="803" spans="1:16" s="15" customFormat="1" ht="17.25">
      <c r="A803" s="155"/>
      <c r="B803" s="33" t="s">
        <v>86</v>
      </c>
      <c r="C803" s="23" t="s">
        <v>1</v>
      </c>
      <c r="D803" s="649"/>
      <c r="E803" s="16"/>
      <c r="F803" s="1"/>
      <c r="G803" s="1"/>
      <c r="H803" s="1"/>
      <c r="I803" s="166" t="str">
        <f t="shared" ref="I803:I804" si="69">IF(D803&lt;&gt;0,ROUND(PRODUCT(E803:H803)*D803,2),"")</f>
        <v/>
      </c>
      <c r="J803" s="36">
        <f>SUM(I801:I802)</f>
        <v>0</v>
      </c>
      <c r="K803" s="35" t="s">
        <v>1690</v>
      </c>
      <c r="L803" s="156"/>
      <c r="M803" s="156"/>
      <c r="N803" s="156"/>
      <c r="O803" s="156"/>
      <c r="P803" s="156"/>
    </row>
    <row r="804" spans="1:16" s="15" customFormat="1">
      <c r="A804" s="155"/>
      <c r="B804" s="22"/>
      <c r="C804" s="9"/>
      <c r="D804" s="29"/>
      <c r="E804" s="16"/>
      <c r="F804" s="1"/>
      <c r="G804" s="1"/>
      <c r="H804" s="1"/>
      <c r="I804" s="46" t="str">
        <f t="shared" si="69"/>
        <v/>
      </c>
      <c r="J804" s="31">
        <f>SUM(J800:J803)</f>
        <v>750.6999999999997</v>
      </c>
      <c r="K804" s="27"/>
      <c r="L804" s="156"/>
      <c r="M804" s="156"/>
      <c r="N804" s="156"/>
      <c r="O804" s="156"/>
      <c r="P804" s="156"/>
    </row>
    <row r="805" spans="1:16">
      <c r="A805" s="10">
        <v>1.3</v>
      </c>
      <c r="B805" s="372" t="s">
        <v>1246</v>
      </c>
      <c r="C805" s="38"/>
      <c r="D805" s="38"/>
      <c r="E805" s="650"/>
      <c r="F805" s="650"/>
      <c r="G805" s="650"/>
      <c r="H805" s="650"/>
      <c r="I805" s="11"/>
      <c r="J805" s="24"/>
      <c r="K805" s="14"/>
    </row>
    <row r="806" spans="1:16" s="165" customFormat="1" ht="34.5" outlineLevel="1">
      <c r="A806" s="497"/>
      <c r="B806" s="425" t="s">
        <v>1176</v>
      </c>
      <c r="C806" s="414" t="s">
        <v>1</v>
      </c>
      <c r="D806" s="392">
        <v>1</v>
      </c>
      <c r="E806" s="307">
        <v>1</v>
      </c>
      <c r="F806" s="540">
        <f>152084709/1000000</f>
        <v>152.084709</v>
      </c>
      <c r="G806" s="540"/>
      <c r="H806" s="540"/>
      <c r="I806" s="399">
        <f t="shared" ref="I806:I869" si="70">IF(D806&lt;&gt;0,ROUND(PRODUCT(E806:H806)*D806,2),"")</f>
        <v>152.08000000000001</v>
      </c>
      <c r="J806" s="394"/>
      <c r="K806" s="394" t="s">
        <v>860</v>
      </c>
      <c r="L806" s="164"/>
      <c r="M806" s="164"/>
      <c r="N806" s="164"/>
      <c r="O806" s="164"/>
      <c r="P806" s="164"/>
    </row>
    <row r="807" spans="1:16" s="165" customFormat="1" ht="17.25" outlineLevel="1">
      <c r="A807" s="497"/>
      <c r="B807" s="425"/>
      <c r="C807" s="414"/>
      <c r="D807" s="392"/>
      <c r="E807" s="307"/>
      <c r="F807" s="540"/>
      <c r="G807" s="540"/>
      <c r="H807" s="540"/>
      <c r="I807" s="399" t="str">
        <f t="shared" si="70"/>
        <v/>
      </c>
      <c r="J807" s="394"/>
      <c r="K807" s="394"/>
      <c r="L807" s="164"/>
      <c r="M807" s="164"/>
      <c r="N807" s="164"/>
      <c r="O807" s="164"/>
      <c r="P807" s="164"/>
    </row>
    <row r="808" spans="1:16" s="165" customFormat="1" ht="34.5" outlineLevel="1">
      <c r="A808" s="497"/>
      <c r="B808" s="425" t="s">
        <v>1177</v>
      </c>
      <c r="C808" s="414" t="s">
        <v>1</v>
      </c>
      <c r="D808" s="392">
        <v>1</v>
      </c>
      <c r="E808" s="307">
        <v>1</v>
      </c>
      <c r="F808" s="540">
        <f>46542078/1000000</f>
        <v>46.542077999999997</v>
      </c>
      <c r="G808" s="540"/>
      <c r="H808" s="540"/>
      <c r="I808" s="399">
        <f t="shared" si="70"/>
        <v>46.54</v>
      </c>
      <c r="J808" s="394"/>
      <c r="K808" s="394" t="s">
        <v>860</v>
      </c>
      <c r="L808" s="164"/>
      <c r="M808" s="164"/>
      <c r="N808" s="164"/>
      <c r="O808" s="164"/>
      <c r="P808" s="164"/>
    </row>
    <row r="809" spans="1:16" s="165" customFormat="1" ht="17.25" outlineLevel="1">
      <c r="A809" s="497"/>
      <c r="B809" s="425"/>
      <c r="C809" s="414"/>
      <c r="D809" s="392"/>
      <c r="E809" s="307"/>
      <c r="F809" s="540"/>
      <c r="G809" s="540"/>
      <c r="H809" s="540"/>
      <c r="I809" s="399" t="str">
        <f t="shared" si="70"/>
        <v/>
      </c>
      <c r="J809" s="394"/>
      <c r="K809" s="394"/>
      <c r="L809" s="164"/>
      <c r="M809" s="164"/>
      <c r="N809" s="164"/>
      <c r="O809" s="164"/>
      <c r="P809" s="164"/>
    </row>
    <row r="810" spans="1:16" s="165" customFormat="1" ht="34.5" outlineLevel="1">
      <c r="A810" s="160"/>
      <c r="B810" s="453" t="s">
        <v>1178</v>
      </c>
      <c r="C810" s="414" t="s">
        <v>1</v>
      </c>
      <c r="D810" s="392">
        <v>1</v>
      </c>
      <c r="E810" s="307">
        <f>1</f>
        <v>1</v>
      </c>
      <c r="F810" s="540"/>
      <c r="G810" s="540"/>
      <c r="H810" s="540"/>
      <c r="I810" s="399">
        <f t="shared" si="70"/>
        <v>1</v>
      </c>
      <c r="J810" s="394"/>
      <c r="K810" s="394"/>
      <c r="L810" s="164"/>
      <c r="M810" s="164"/>
      <c r="N810" s="164"/>
      <c r="O810" s="164"/>
      <c r="P810" s="164"/>
    </row>
    <row r="811" spans="1:16" s="165" customFormat="1" ht="34.5" outlineLevel="1">
      <c r="A811" s="497"/>
      <c r="B811" s="425" t="s">
        <v>1179</v>
      </c>
      <c r="C811" s="414" t="s">
        <v>1</v>
      </c>
      <c r="D811" s="392">
        <v>1</v>
      </c>
      <c r="E811" s="307">
        <f>1</f>
        <v>1</v>
      </c>
      <c r="F811" s="540">
        <f t="shared" ref="F811:F823" si="71">3.14*0.3^2</f>
        <v>0.28260000000000002</v>
      </c>
      <c r="G811" s="540"/>
      <c r="H811" s="540"/>
      <c r="I811" s="399">
        <f t="shared" si="70"/>
        <v>0.28000000000000003</v>
      </c>
      <c r="J811" s="394"/>
      <c r="K811" s="394" t="s">
        <v>860</v>
      </c>
      <c r="L811" s="164"/>
      <c r="M811" s="164"/>
      <c r="N811" s="164"/>
      <c r="O811" s="164"/>
      <c r="P811" s="164"/>
    </row>
    <row r="812" spans="1:16" s="165" customFormat="1" ht="34.5" outlineLevel="1">
      <c r="A812" s="497"/>
      <c r="B812" s="425" t="s">
        <v>1181</v>
      </c>
      <c r="C812" s="414" t="s">
        <v>1</v>
      </c>
      <c r="D812" s="392">
        <v>1</v>
      </c>
      <c r="E812" s="307">
        <f>1</f>
        <v>1</v>
      </c>
      <c r="F812" s="540">
        <f t="shared" si="71"/>
        <v>0.28260000000000002</v>
      </c>
      <c r="G812" s="540"/>
      <c r="H812" s="540"/>
      <c r="I812" s="399">
        <f t="shared" si="70"/>
        <v>0.28000000000000003</v>
      </c>
      <c r="J812" s="394"/>
      <c r="K812" s="394" t="s">
        <v>860</v>
      </c>
      <c r="L812" s="164"/>
      <c r="M812" s="164"/>
      <c r="N812" s="164"/>
      <c r="O812" s="164"/>
      <c r="P812" s="164"/>
    </row>
    <row r="813" spans="1:16" s="165" customFormat="1" ht="34.5" outlineLevel="1">
      <c r="A813" s="497"/>
      <c r="B813" s="425" t="s">
        <v>1182</v>
      </c>
      <c r="C813" s="414" t="s">
        <v>1</v>
      </c>
      <c r="D813" s="392">
        <v>1</v>
      </c>
      <c r="E813" s="307">
        <f>1</f>
        <v>1</v>
      </c>
      <c r="F813" s="540">
        <f t="shared" si="71"/>
        <v>0.28260000000000002</v>
      </c>
      <c r="G813" s="540"/>
      <c r="H813" s="540"/>
      <c r="I813" s="399">
        <f t="shared" si="70"/>
        <v>0.28000000000000003</v>
      </c>
      <c r="J813" s="394"/>
      <c r="K813" s="394" t="s">
        <v>860</v>
      </c>
      <c r="L813" s="164"/>
      <c r="M813" s="164"/>
      <c r="N813" s="164"/>
      <c r="O813" s="164"/>
      <c r="P813" s="164"/>
    </row>
    <row r="814" spans="1:16" s="165" customFormat="1" ht="34.5" outlineLevel="1">
      <c r="A814" s="497"/>
      <c r="B814" s="425" t="s">
        <v>1183</v>
      </c>
      <c r="C814" s="414" t="s">
        <v>1</v>
      </c>
      <c r="D814" s="392">
        <v>1</v>
      </c>
      <c r="E814" s="307">
        <f>1</f>
        <v>1</v>
      </c>
      <c r="F814" s="540">
        <f t="shared" si="71"/>
        <v>0.28260000000000002</v>
      </c>
      <c r="G814" s="540"/>
      <c r="H814" s="540"/>
      <c r="I814" s="399">
        <f t="shared" si="70"/>
        <v>0.28000000000000003</v>
      </c>
      <c r="J814" s="394"/>
      <c r="K814" s="394" t="s">
        <v>860</v>
      </c>
      <c r="L814" s="164"/>
      <c r="M814" s="164"/>
      <c r="N814" s="164"/>
      <c r="O814" s="164"/>
      <c r="P814" s="164"/>
    </row>
    <row r="815" spans="1:16" s="165" customFormat="1" ht="34.5" outlineLevel="1">
      <c r="A815" s="497"/>
      <c r="B815" s="425" t="s">
        <v>1184</v>
      </c>
      <c r="C815" s="414" t="s">
        <v>1</v>
      </c>
      <c r="D815" s="392">
        <v>1</v>
      </c>
      <c r="E815" s="307">
        <f>1</f>
        <v>1</v>
      </c>
      <c r="F815" s="540">
        <f t="shared" si="71"/>
        <v>0.28260000000000002</v>
      </c>
      <c r="G815" s="540"/>
      <c r="H815" s="540"/>
      <c r="I815" s="399">
        <f t="shared" si="70"/>
        <v>0.28000000000000003</v>
      </c>
      <c r="J815" s="394"/>
      <c r="K815" s="394" t="s">
        <v>860</v>
      </c>
      <c r="L815" s="164"/>
      <c r="M815" s="164"/>
      <c r="N815" s="164"/>
      <c r="O815" s="164"/>
      <c r="P815" s="164"/>
    </row>
    <row r="816" spans="1:16" s="165" customFormat="1" ht="34.5" outlineLevel="1">
      <c r="A816" s="497"/>
      <c r="B816" s="425" t="s">
        <v>1185</v>
      </c>
      <c r="C816" s="414" t="s">
        <v>1</v>
      </c>
      <c r="D816" s="392">
        <v>1</v>
      </c>
      <c r="E816" s="307">
        <f>1</f>
        <v>1</v>
      </c>
      <c r="F816" s="540">
        <f t="shared" si="71"/>
        <v>0.28260000000000002</v>
      </c>
      <c r="G816" s="540"/>
      <c r="H816" s="540"/>
      <c r="I816" s="399">
        <f t="shared" si="70"/>
        <v>0.28000000000000003</v>
      </c>
      <c r="J816" s="394"/>
      <c r="K816" s="394" t="s">
        <v>860</v>
      </c>
      <c r="L816" s="164"/>
      <c r="M816" s="164"/>
      <c r="N816" s="164"/>
      <c r="O816" s="164"/>
      <c r="P816" s="164"/>
    </row>
    <row r="817" spans="1:16" s="165" customFormat="1" ht="34.5" outlineLevel="1">
      <c r="A817" s="497"/>
      <c r="B817" s="425" t="s">
        <v>1187</v>
      </c>
      <c r="C817" s="414" t="s">
        <v>1</v>
      </c>
      <c r="D817" s="392">
        <v>1</v>
      </c>
      <c r="E817" s="307">
        <f>1</f>
        <v>1</v>
      </c>
      <c r="F817" s="540">
        <f t="shared" si="71"/>
        <v>0.28260000000000002</v>
      </c>
      <c r="G817" s="540"/>
      <c r="H817" s="540"/>
      <c r="I817" s="399">
        <f t="shared" si="70"/>
        <v>0.28000000000000003</v>
      </c>
      <c r="J817" s="394"/>
      <c r="K817" s="394" t="s">
        <v>860</v>
      </c>
      <c r="L817" s="164"/>
      <c r="M817" s="164"/>
      <c r="N817" s="164"/>
      <c r="O817" s="164"/>
      <c r="P817" s="164"/>
    </row>
    <row r="818" spans="1:16" s="165" customFormat="1" ht="34.5" outlineLevel="1">
      <c r="A818" s="497"/>
      <c r="B818" s="425" t="s">
        <v>1188</v>
      </c>
      <c r="C818" s="414" t="s">
        <v>1</v>
      </c>
      <c r="D818" s="392">
        <v>1</v>
      </c>
      <c r="E818" s="307">
        <f>1</f>
        <v>1</v>
      </c>
      <c r="F818" s="540">
        <f t="shared" si="71"/>
        <v>0.28260000000000002</v>
      </c>
      <c r="G818" s="540"/>
      <c r="H818" s="540"/>
      <c r="I818" s="399">
        <f t="shared" si="70"/>
        <v>0.28000000000000003</v>
      </c>
      <c r="J818" s="394"/>
      <c r="K818" s="394" t="s">
        <v>860</v>
      </c>
      <c r="L818" s="164"/>
      <c r="M818" s="164"/>
      <c r="N818" s="164"/>
      <c r="O818" s="164"/>
      <c r="P818" s="164"/>
    </row>
    <row r="819" spans="1:16" s="165" customFormat="1" ht="34.5" outlineLevel="1">
      <c r="A819" s="497"/>
      <c r="B819" s="425" t="s">
        <v>1189</v>
      </c>
      <c r="C819" s="414" t="s">
        <v>1</v>
      </c>
      <c r="D819" s="392">
        <v>1</v>
      </c>
      <c r="E819" s="307">
        <f>1</f>
        <v>1</v>
      </c>
      <c r="F819" s="540">
        <f t="shared" si="71"/>
        <v>0.28260000000000002</v>
      </c>
      <c r="G819" s="540"/>
      <c r="H819" s="540"/>
      <c r="I819" s="399">
        <f t="shared" si="70"/>
        <v>0.28000000000000003</v>
      </c>
      <c r="J819" s="394"/>
      <c r="K819" s="394" t="s">
        <v>860</v>
      </c>
      <c r="L819" s="164"/>
      <c r="M819" s="164"/>
      <c r="N819" s="164"/>
      <c r="O819" s="164"/>
      <c r="P819" s="164"/>
    </row>
    <row r="820" spans="1:16" s="165" customFormat="1" ht="34.5" outlineLevel="1">
      <c r="A820" s="497"/>
      <c r="B820" s="425" t="s">
        <v>1190</v>
      </c>
      <c r="C820" s="414" t="s">
        <v>1</v>
      </c>
      <c r="D820" s="392">
        <v>1</v>
      </c>
      <c r="E820" s="307">
        <f>1</f>
        <v>1</v>
      </c>
      <c r="F820" s="540">
        <f t="shared" si="71"/>
        <v>0.28260000000000002</v>
      </c>
      <c r="G820" s="540"/>
      <c r="H820" s="540"/>
      <c r="I820" s="399">
        <f t="shared" si="70"/>
        <v>0.28000000000000003</v>
      </c>
      <c r="J820" s="394"/>
      <c r="K820" s="394" t="s">
        <v>860</v>
      </c>
      <c r="L820" s="164"/>
      <c r="M820" s="164"/>
      <c r="N820" s="164"/>
      <c r="O820" s="164"/>
      <c r="P820" s="164"/>
    </row>
    <row r="821" spans="1:16" s="165" customFormat="1" ht="34.5" outlineLevel="1">
      <c r="A821" s="497"/>
      <c r="B821" s="425" t="s">
        <v>1191</v>
      </c>
      <c r="C821" s="414" t="s">
        <v>1</v>
      </c>
      <c r="D821" s="392">
        <v>1</v>
      </c>
      <c r="E821" s="307">
        <f>1</f>
        <v>1</v>
      </c>
      <c r="F821" s="540">
        <f t="shared" si="71"/>
        <v>0.28260000000000002</v>
      </c>
      <c r="G821" s="540"/>
      <c r="H821" s="540"/>
      <c r="I821" s="399">
        <f t="shared" si="70"/>
        <v>0.28000000000000003</v>
      </c>
      <c r="J821" s="394"/>
      <c r="K821" s="394" t="s">
        <v>860</v>
      </c>
      <c r="L821" s="164"/>
      <c r="M821" s="164"/>
      <c r="N821" s="164"/>
      <c r="O821" s="164"/>
      <c r="P821" s="164"/>
    </row>
    <row r="822" spans="1:16" s="165" customFormat="1" ht="34.5" outlineLevel="1">
      <c r="A822" s="497"/>
      <c r="B822" s="425" t="s">
        <v>1192</v>
      </c>
      <c r="C822" s="414" t="s">
        <v>1</v>
      </c>
      <c r="D822" s="392">
        <v>1</v>
      </c>
      <c r="E822" s="307">
        <f>1</f>
        <v>1</v>
      </c>
      <c r="F822" s="540">
        <f t="shared" si="71"/>
        <v>0.28260000000000002</v>
      </c>
      <c r="G822" s="540"/>
      <c r="H822" s="540"/>
      <c r="I822" s="399">
        <f t="shared" si="70"/>
        <v>0.28000000000000003</v>
      </c>
      <c r="J822" s="394"/>
      <c r="K822" s="394" t="s">
        <v>860</v>
      </c>
      <c r="L822" s="164"/>
      <c r="M822" s="164"/>
      <c r="N822" s="164"/>
      <c r="O822" s="164"/>
      <c r="P822" s="164"/>
    </row>
    <row r="823" spans="1:16" s="165" customFormat="1" ht="34.5" outlineLevel="1">
      <c r="A823" s="497"/>
      <c r="B823" s="425" t="s">
        <v>1193</v>
      </c>
      <c r="C823" s="414" t="s">
        <v>1</v>
      </c>
      <c r="D823" s="392">
        <v>1</v>
      </c>
      <c r="E823" s="307">
        <f>1</f>
        <v>1</v>
      </c>
      <c r="F823" s="540">
        <f t="shared" si="71"/>
        <v>0.28260000000000002</v>
      </c>
      <c r="G823" s="540"/>
      <c r="H823" s="540"/>
      <c r="I823" s="399">
        <f t="shared" si="70"/>
        <v>0.28000000000000003</v>
      </c>
      <c r="J823" s="394"/>
      <c r="K823" s="394" t="s">
        <v>860</v>
      </c>
      <c r="L823" s="164"/>
      <c r="M823" s="164"/>
      <c r="N823" s="164"/>
      <c r="O823" s="164"/>
      <c r="P823" s="164"/>
    </row>
    <row r="824" spans="1:16" s="165" customFormat="1" ht="34.5" outlineLevel="1">
      <c r="A824" s="497"/>
      <c r="B824" s="425" t="s">
        <v>1194</v>
      </c>
      <c r="C824" s="414" t="s">
        <v>1</v>
      </c>
      <c r="D824" s="392">
        <v>1</v>
      </c>
      <c r="E824" s="307">
        <f>1</f>
        <v>1</v>
      </c>
      <c r="F824" s="1103">
        <v>0.28299999999999997</v>
      </c>
      <c r="G824" s="540"/>
      <c r="H824" s="540"/>
      <c r="I824" s="399">
        <f t="shared" si="70"/>
        <v>0.28000000000000003</v>
      </c>
      <c r="J824" s="394"/>
      <c r="K824" s="394" t="s">
        <v>860</v>
      </c>
      <c r="L824" s="164"/>
      <c r="M824" s="164"/>
      <c r="N824" s="164"/>
      <c r="O824" s="164"/>
      <c r="P824" s="164"/>
    </row>
    <row r="825" spans="1:16" s="165" customFormat="1" ht="34.5" outlineLevel="1">
      <c r="A825" s="497"/>
      <c r="B825" s="425" t="s">
        <v>1195</v>
      </c>
      <c r="C825" s="414" t="s">
        <v>1</v>
      </c>
      <c r="D825" s="392">
        <v>1</v>
      </c>
      <c r="E825" s="307">
        <f>1</f>
        <v>1</v>
      </c>
      <c r="F825" s="540">
        <f t="shared" ref="F825:F845" si="72">3.14*0.3^2</f>
        <v>0.28260000000000002</v>
      </c>
      <c r="G825" s="540"/>
      <c r="H825" s="540"/>
      <c r="I825" s="399">
        <f t="shared" si="70"/>
        <v>0.28000000000000003</v>
      </c>
      <c r="J825" s="394"/>
      <c r="K825" s="394" t="s">
        <v>860</v>
      </c>
      <c r="L825" s="164"/>
      <c r="M825" s="164"/>
      <c r="N825" s="164"/>
      <c r="O825" s="164"/>
      <c r="P825" s="164"/>
    </row>
    <row r="826" spans="1:16" s="165" customFormat="1" ht="34.5" outlineLevel="1">
      <c r="A826" s="497"/>
      <c r="B826" s="425" t="s">
        <v>1202</v>
      </c>
      <c r="C826" s="414" t="s">
        <v>1</v>
      </c>
      <c r="D826" s="392">
        <v>1</v>
      </c>
      <c r="E826" s="307">
        <f>1</f>
        <v>1</v>
      </c>
      <c r="F826" s="540">
        <f t="shared" si="72"/>
        <v>0.28260000000000002</v>
      </c>
      <c r="G826" s="540"/>
      <c r="H826" s="540"/>
      <c r="I826" s="399">
        <f t="shared" si="70"/>
        <v>0.28000000000000003</v>
      </c>
      <c r="J826" s="394"/>
      <c r="K826" s="394" t="s">
        <v>860</v>
      </c>
      <c r="L826" s="164"/>
      <c r="M826" s="164"/>
      <c r="N826" s="164"/>
      <c r="O826" s="164"/>
      <c r="P826" s="164"/>
    </row>
    <row r="827" spans="1:16" s="165" customFormat="1" ht="34.5" outlineLevel="1">
      <c r="A827" s="497"/>
      <c r="B827" s="425" t="s">
        <v>1203</v>
      </c>
      <c r="C827" s="414" t="s">
        <v>1</v>
      </c>
      <c r="D827" s="392">
        <v>1</v>
      </c>
      <c r="E827" s="307">
        <f>1</f>
        <v>1</v>
      </c>
      <c r="F827" s="540">
        <f t="shared" si="72"/>
        <v>0.28260000000000002</v>
      </c>
      <c r="G827" s="540"/>
      <c r="H827" s="540"/>
      <c r="I827" s="399">
        <f t="shared" si="70"/>
        <v>0.28000000000000003</v>
      </c>
      <c r="J827" s="394"/>
      <c r="K827" s="394" t="s">
        <v>860</v>
      </c>
      <c r="L827" s="164"/>
      <c r="M827" s="164"/>
      <c r="N827" s="164"/>
      <c r="O827" s="164"/>
      <c r="P827" s="164"/>
    </row>
    <row r="828" spans="1:16" s="165" customFormat="1" ht="34.5" outlineLevel="1">
      <c r="A828" s="497"/>
      <c r="B828" s="425" t="s">
        <v>1204</v>
      </c>
      <c r="C828" s="414" t="s">
        <v>1</v>
      </c>
      <c r="D828" s="392">
        <v>1</v>
      </c>
      <c r="E828" s="307">
        <f>1</f>
        <v>1</v>
      </c>
      <c r="F828" s="540">
        <f t="shared" si="72"/>
        <v>0.28260000000000002</v>
      </c>
      <c r="G828" s="540"/>
      <c r="H828" s="540"/>
      <c r="I828" s="399">
        <f t="shared" si="70"/>
        <v>0.28000000000000003</v>
      </c>
      <c r="J828" s="394"/>
      <c r="K828" s="394" t="s">
        <v>860</v>
      </c>
      <c r="L828" s="164"/>
      <c r="M828" s="164"/>
      <c r="N828" s="164"/>
      <c r="O828" s="164"/>
      <c r="P828" s="164"/>
    </row>
    <row r="829" spans="1:16" s="165" customFormat="1" ht="34.5" outlineLevel="1">
      <c r="A829" s="497"/>
      <c r="B829" s="425" t="s">
        <v>1206</v>
      </c>
      <c r="C829" s="414" t="s">
        <v>1</v>
      </c>
      <c r="D829" s="392">
        <v>1</v>
      </c>
      <c r="E829" s="307">
        <f>1</f>
        <v>1</v>
      </c>
      <c r="F829" s="540">
        <f t="shared" si="72"/>
        <v>0.28260000000000002</v>
      </c>
      <c r="G829" s="540"/>
      <c r="H829" s="540"/>
      <c r="I829" s="399">
        <f t="shared" si="70"/>
        <v>0.28000000000000003</v>
      </c>
      <c r="J829" s="394"/>
      <c r="K829" s="394" t="s">
        <v>860</v>
      </c>
      <c r="L829" s="164"/>
      <c r="M829" s="164"/>
      <c r="N829" s="164"/>
      <c r="O829" s="164"/>
      <c r="P829" s="164"/>
    </row>
    <row r="830" spans="1:16" s="165" customFormat="1" ht="34.5" outlineLevel="1">
      <c r="A830" s="497"/>
      <c r="B830" s="425" t="s">
        <v>1207</v>
      </c>
      <c r="C830" s="414" t="s">
        <v>1</v>
      </c>
      <c r="D830" s="392">
        <v>1</v>
      </c>
      <c r="E830" s="307">
        <f>1</f>
        <v>1</v>
      </c>
      <c r="F830" s="540">
        <f t="shared" si="72"/>
        <v>0.28260000000000002</v>
      </c>
      <c r="G830" s="540"/>
      <c r="H830" s="540"/>
      <c r="I830" s="399">
        <f t="shared" si="70"/>
        <v>0.28000000000000003</v>
      </c>
      <c r="J830" s="394"/>
      <c r="K830" s="394" t="s">
        <v>860</v>
      </c>
      <c r="L830" s="164"/>
      <c r="M830" s="164"/>
      <c r="N830" s="164"/>
      <c r="O830" s="164"/>
      <c r="P830" s="164"/>
    </row>
    <row r="831" spans="1:16" s="165" customFormat="1" ht="34.5" outlineLevel="1">
      <c r="A831" s="497"/>
      <c r="B831" s="425" t="s">
        <v>1208</v>
      </c>
      <c r="C831" s="414" t="s">
        <v>1</v>
      </c>
      <c r="D831" s="392">
        <v>1</v>
      </c>
      <c r="E831" s="307">
        <f>1</f>
        <v>1</v>
      </c>
      <c r="F831" s="540">
        <f t="shared" si="72"/>
        <v>0.28260000000000002</v>
      </c>
      <c r="G831" s="540"/>
      <c r="H831" s="540"/>
      <c r="I831" s="399">
        <f t="shared" si="70"/>
        <v>0.28000000000000003</v>
      </c>
      <c r="J831" s="394"/>
      <c r="K831" s="394" t="s">
        <v>860</v>
      </c>
      <c r="L831" s="164"/>
      <c r="M831" s="164"/>
      <c r="N831" s="164"/>
      <c r="O831" s="164"/>
      <c r="P831" s="164"/>
    </row>
    <row r="832" spans="1:16" s="165" customFormat="1" ht="34.5" outlineLevel="1">
      <c r="A832" s="497"/>
      <c r="B832" s="425" t="s">
        <v>1209</v>
      </c>
      <c r="C832" s="414" t="s">
        <v>1</v>
      </c>
      <c r="D832" s="392">
        <v>1</v>
      </c>
      <c r="E832" s="307">
        <f>1</f>
        <v>1</v>
      </c>
      <c r="F832" s="540">
        <f t="shared" si="72"/>
        <v>0.28260000000000002</v>
      </c>
      <c r="G832" s="540"/>
      <c r="H832" s="540"/>
      <c r="I832" s="399">
        <f t="shared" si="70"/>
        <v>0.28000000000000003</v>
      </c>
      <c r="J832" s="394"/>
      <c r="K832" s="394" t="s">
        <v>860</v>
      </c>
      <c r="L832" s="164"/>
      <c r="M832" s="164"/>
      <c r="N832" s="164"/>
      <c r="O832" s="164"/>
      <c r="P832" s="164"/>
    </row>
    <row r="833" spans="1:16" s="165" customFormat="1" ht="34.5" outlineLevel="1">
      <c r="A833" s="497"/>
      <c r="B833" s="425" t="s">
        <v>1210</v>
      </c>
      <c r="C833" s="414" t="s">
        <v>1</v>
      </c>
      <c r="D833" s="392">
        <v>1</v>
      </c>
      <c r="E833" s="307">
        <f>1</f>
        <v>1</v>
      </c>
      <c r="F833" s="540">
        <f t="shared" si="72"/>
        <v>0.28260000000000002</v>
      </c>
      <c r="G833" s="540"/>
      <c r="H833" s="540"/>
      <c r="I833" s="399">
        <f t="shared" si="70"/>
        <v>0.28000000000000003</v>
      </c>
      <c r="J833" s="394"/>
      <c r="K833" s="394" t="s">
        <v>860</v>
      </c>
      <c r="L833" s="164"/>
      <c r="M833" s="164"/>
      <c r="N833" s="164"/>
      <c r="O833" s="164"/>
      <c r="P833" s="164"/>
    </row>
    <row r="834" spans="1:16" s="165" customFormat="1" ht="34.5" outlineLevel="1">
      <c r="A834" s="497"/>
      <c r="B834" s="425" t="s">
        <v>1212</v>
      </c>
      <c r="C834" s="414" t="s">
        <v>1</v>
      </c>
      <c r="D834" s="392">
        <v>1</v>
      </c>
      <c r="E834" s="307">
        <f>1</f>
        <v>1</v>
      </c>
      <c r="F834" s="540">
        <f t="shared" si="72"/>
        <v>0.28260000000000002</v>
      </c>
      <c r="G834" s="540"/>
      <c r="H834" s="540"/>
      <c r="I834" s="399">
        <f t="shared" si="70"/>
        <v>0.28000000000000003</v>
      </c>
      <c r="J834" s="394"/>
      <c r="K834" s="394" t="s">
        <v>860</v>
      </c>
      <c r="L834" s="164"/>
      <c r="M834" s="164"/>
      <c r="N834" s="164"/>
      <c r="O834" s="164"/>
      <c r="P834" s="164"/>
    </row>
    <row r="835" spans="1:16" s="165" customFormat="1" ht="34.5" outlineLevel="1">
      <c r="A835" s="497"/>
      <c r="B835" s="425" t="s">
        <v>1213</v>
      </c>
      <c r="C835" s="414" t="s">
        <v>1</v>
      </c>
      <c r="D835" s="392">
        <v>1</v>
      </c>
      <c r="E835" s="307">
        <f>1</f>
        <v>1</v>
      </c>
      <c r="F835" s="540">
        <f t="shared" si="72"/>
        <v>0.28260000000000002</v>
      </c>
      <c r="G835" s="540"/>
      <c r="H835" s="540"/>
      <c r="I835" s="399">
        <f t="shared" si="70"/>
        <v>0.28000000000000003</v>
      </c>
      <c r="J835" s="394"/>
      <c r="K835" s="394" t="s">
        <v>860</v>
      </c>
      <c r="L835" s="164"/>
      <c r="M835" s="164"/>
      <c r="N835" s="164"/>
      <c r="O835" s="164"/>
      <c r="P835" s="164"/>
    </row>
    <row r="836" spans="1:16" s="165" customFormat="1" ht="34.5" outlineLevel="1">
      <c r="A836" s="497"/>
      <c r="B836" s="425" t="s">
        <v>1214</v>
      </c>
      <c r="C836" s="414" t="s">
        <v>1</v>
      </c>
      <c r="D836" s="392">
        <v>1</v>
      </c>
      <c r="E836" s="307">
        <f>1</f>
        <v>1</v>
      </c>
      <c r="F836" s="540">
        <f t="shared" si="72"/>
        <v>0.28260000000000002</v>
      </c>
      <c r="G836" s="540"/>
      <c r="H836" s="540"/>
      <c r="I836" s="399">
        <f t="shared" si="70"/>
        <v>0.28000000000000003</v>
      </c>
      <c r="J836" s="394"/>
      <c r="K836" s="394" t="s">
        <v>860</v>
      </c>
      <c r="L836" s="164"/>
      <c r="M836" s="164"/>
      <c r="N836" s="164"/>
      <c r="O836" s="164"/>
      <c r="P836" s="164"/>
    </row>
    <row r="837" spans="1:16" s="165" customFormat="1" ht="34.5" outlineLevel="1">
      <c r="A837" s="497"/>
      <c r="B837" s="425" t="s">
        <v>1215</v>
      </c>
      <c r="C837" s="414" t="s">
        <v>1</v>
      </c>
      <c r="D837" s="392">
        <v>1</v>
      </c>
      <c r="E837" s="307">
        <f>1</f>
        <v>1</v>
      </c>
      <c r="F837" s="540">
        <f t="shared" si="72"/>
        <v>0.28260000000000002</v>
      </c>
      <c r="G837" s="540"/>
      <c r="H837" s="540"/>
      <c r="I837" s="399">
        <f t="shared" si="70"/>
        <v>0.28000000000000003</v>
      </c>
      <c r="J837" s="394"/>
      <c r="K837" s="394" t="s">
        <v>860</v>
      </c>
      <c r="L837" s="164"/>
      <c r="M837" s="164"/>
      <c r="N837" s="164"/>
      <c r="O837" s="164"/>
      <c r="P837" s="164"/>
    </row>
    <row r="838" spans="1:16" s="165" customFormat="1" ht="34.5" outlineLevel="1">
      <c r="A838" s="497"/>
      <c r="B838" s="425" t="s">
        <v>1217</v>
      </c>
      <c r="C838" s="414" t="s">
        <v>1</v>
      </c>
      <c r="D838" s="392">
        <v>1</v>
      </c>
      <c r="E838" s="307">
        <f>1</f>
        <v>1</v>
      </c>
      <c r="F838" s="540">
        <f t="shared" si="72"/>
        <v>0.28260000000000002</v>
      </c>
      <c r="G838" s="540"/>
      <c r="H838" s="540"/>
      <c r="I838" s="399">
        <f t="shared" si="70"/>
        <v>0.28000000000000003</v>
      </c>
      <c r="J838" s="394"/>
      <c r="K838" s="394" t="s">
        <v>860</v>
      </c>
      <c r="L838" s="164"/>
      <c r="M838" s="164"/>
      <c r="N838" s="164"/>
      <c r="O838" s="164"/>
      <c r="P838" s="164"/>
    </row>
    <row r="839" spans="1:16" s="165" customFormat="1" ht="34.5" outlineLevel="1">
      <c r="A839" s="497"/>
      <c r="B839" s="425" t="s">
        <v>1218</v>
      </c>
      <c r="C839" s="414" t="s">
        <v>1</v>
      </c>
      <c r="D839" s="392">
        <v>1</v>
      </c>
      <c r="E839" s="307">
        <f>1</f>
        <v>1</v>
      </c>
      <c r="F839" s="540">
        <f t="shared" si="72"/>
        <v>0.28260000000000002</v>
      </c>
      <c r="G839" s="540"/>
      <c r="H839" s="540"/>
      <c r="I839" s="399">
        <f t="shared" si="70"/>
        <v>0.28000000000000003</v>
      </c>
      <c r="J839" s="394"/>
      <c r="K839" s="394" t="s">
        <v>860</v>
      </c>
      <c r="L839" s="164"/>
      <c r="M839" s="164"/>
      <c r="N839" s="164"/>
      <c r="O839" s="164"/>
      <c r="P839" s="164"/>
    </row>
    <row r="840" spans="1:16" s="165" customFormat="1" ht="34.5" outlineLevel="1">
      <c r="A840" s="497"/>
      <c r="B840" s="425" t="s">
        <v>1219</v>
      </c>
      <c r="C840" s="414" t="s">
        <v>1</v>
      </c>
      <c r="D840" s="392">
        <v>1</v>
      </c>
      <c r="E840" s="307">
        <f>1</f>
        <v>1</v>
      </c>
      <c r="F840" s="540">
        <f t="shared" si="72"/>
        <v>0.28260000000000002</v>
      </c>
      <c r="G840" s="540"/>
      <c r="H840" s="540"/>
      <c r="I840" s="399">
        <f t="shared" si="70"/>
        <v>0.28000000000000003</v>
      </c>
      <c r="J840" s="394"/>
      <c r="K840" s="394" t="s">
        <v>860</v>
      </c>
      <c r="L840" s="164"/>
      <c r="M840" s="164"/>
      <c r="N840" s="164"/>
      <c r="O840" s="164"/>
      <c r="P840" s="164"/>
    </row>
    <row r="841" spans="1:16" s="165" customFormat="1" ht="34.5" outlineLevel="1">
      <c r="A841" s="497"/>
      <c r="B841" s="425" t="s">
        <v>1220</v>
      </c>
      <c r="C841" s="414" t="s">
        <v>1</v>
      </c>
      <c r="D841" s="392">
        <v>1</v>
      </c>
      <c r="E841" s="307">
        <f>1</f>
        <v>1</v>
      </c>
      <c r="F841" s="540">
        <f t="shared" si="72"/>
        <v>0.28260000000000002</v>
      </c>
      <c r="G841" s="540"/>
      <c r="H841" s="540"/>
      <c r="I841" s="399">
        <f t="shared" si="70"/>
        <v>0.28000000000000003</v>
      </c>
      <c r="J841" s="394"/>
      <c r="K841" s="394" t="s">
        <v>860</v>
      </c>
      <c r="L841" s="164"/>
      <c r="M841" s="164"/>
      <c r="N841" s="164"/>
      <c r="O841" s="164"/>
      <c r="P841" s="164"/>
    </row>
    <row r="842" spans="1:16" s="165" customFormat="1" ht="34.5" outlineLevel="1">
      <c r="A842" s="497"/>
      <c r="B842" s="425" t="s">
        <v>1221</v>
      </c>
      <c r="C842" s="414" t="s">
        <v>1</v>
      </c>
      <c r="D842" s="392">
        <v>1</v>
      </c>
      <c r="E842" s="307">
        <f>1</f>
        <v>1</v>
      </c>
      <c r="F842" s="540">
        <f t="shared" si="72"/>
        <v>0.28260000000000002</v>
      </c>
      <c r="G842" s="540"/>
      <c r="H842" s="540"/>
      <c r="I842" s="399">
        <f t="shared" si="70"/>
        <v>0.28000000000000003</v>
      </c>
      <c r="J842" s="394"/>
      <c r="K842" s="394" t="s">
        <v>860</v>
      </c>
      <c r="L842" s="164"/>
      <c r="M842" s="164"/>
      <c r="N842" s="164"/>
      <c r="O842" s="164"/>
      <c r="P842" s="164"/>
    </row>
    <row r="843" spans="1:16" s="165" customFormat="1" ht="34.5" outlineLevel="1">
      <c r="A843" s="497"/>
      <c r="B843" s="425" t="s">
        <v>1222</v>
      </c>
      <c r="C843" s="414" t="s">
        <v>1</v>
      </c>
      <c r="D843" s="392">
        <v>1</v>
      </c>
      <c r="E843" s="307">
        <f>1</f>
        <v>1</v>
      </c>
      <c r="F843" s="540">
        <f t="shared" si="72"/>
        <v>0.28260000000000002</v>
      </c>
      <c r="G843" s="540"/>
      <c r="H843" s="540"/>
      <c r="I843" s="399">
        <f t="shared" si="70"/>
        <v>0.28000000000000003</v>
      </c>
      <c r="J843" s="394"/>
      <c r="K843" s="394" t="s">
        <v>860</v>
      </c>
      <c r="L843" s="164"/>
      <c r="M843" s="164"/>
      <c r="N843" s="164"/>
      <c r="O843" s="164"/>
      <c r="P843" s="164"/>
    </row>
    <row r="844" spans="1:16" s="165" customFormat="1" ht="34.5" outlineLevel="1">
      <c r="A844" s="497"/>
      <c r="B844" s="425" t="s">
        <v>1223</v>
      </c>
      <c r="C844" s="414" t="s">
        <v>1</v>
      </c>
      <c r="D844" s="392">
        <v>1</v>
      </c>
      <c r="E844" s="307">
        <f>1</f>
        <v>1</v>
      </c>
      <c r="F844" s="540">
        <f t="shared" si="72"/>
        <v>0.28260000000000002</v>
      </c>
      <c r="G844" s="540"/>
      <c r="H844" s="540"/>
      <c r="I844" s="399">
        <f t="shared" si="70"/>
        <v>0.28000000000000003</v>
      </c>
      <c r="J844" s="394"/>
      <c r="K844" s="394" t="s">
        <v>860</v>
      </c>
      <c r="L844" s="164"/>
      <c r="M844" s="164"/>
      <c r="N844" s="164"/>
      <c r="O844" s="164"/>
      <c r="P844" s="164"/>
    </row>
    <row r="845" spans="1:16" s="165" customFormat="1" ht="34.5" outlineLevel="1">
      <c r="A845" s="497"/>
      <c r="B845" s="425" t="s">
        <v>1225</v>
      </c>
      <c r="C845" s="414" t="s">
        <v>1</v>
      </c>
      <c r="D845" s="392">
        <v>1</v>
      </c>
      <c r="E845" s="307">
        <f>1</f>
        <v>1</v>
      </c>
      <c r="F845" s="540">
        <f t="shared" si="72"/>
        <v>0.28260000000000002</v>
      </c>
      <c r="G845" s="540"/>
      <c r="H845" s="540"/>
      <c r="I845" s="399">
        <f t="shared" si="70"/>
        <v>0.28000000000000003</v>
      </c>
      <c r="J845" s="394"/>
      <c r="K845" s="394" t="s">
        <v>860</v>
      </c>
      <c r="L845" s="164"/>
      <c r="M845" s="164"/>
      <c r="N845" s="164"/>
      <c r="O845" s="164"/>
      <c r="P845" s="164"/>
    </row>
    <row r="846" spans="1:16" s="165" customFormat="1" ht="34.5" outlineLevel="1">
      <c r="A846" s="497"/>
      <c r="B846" s="425" t="s">
        <v>1226</v>
      </c>
      <c r="C846" s="414" t="s">
        <v>1</v>
      </c>
      <c r="D846" s="392">
        <v>1</v>
      </c>
      <c r="E846" s="307">
        <f>1</f>
        <v>1</v>
      </c>
      <c r="F846" s="540">
        <f>3.14*0.3^2</f>
        <v>0.28260000000000002</v>
      </c>
      <c r="G846" s="540"/>
      <c r="H846" s="540"/>
      <c r="I846" s="399">
        <f t="shared" si="70"/>
        <v>0.28000000000000003</v>
      </c>
      <c r="J846" s="394"/>
      <c r="K846" s="394" t="s">
        <v>860</v>
      </c>
      <c r="L846" s="164"/>
      <c r="M846" s="164"/>
      <c r="N846" s="164"/>
      <c r="O846" s="164"/>
      <c r="P846" s="164"/>
    </row>
    <row r="847" spans="1:16" s="165" customFormat="1" ht="34.5" outlineLevel="1">
      <c r="A847" s="497"/>
      <c r="B847" s="425" t="s">
        <v>1227</v>
      </c>
      <c r="C847" s="414" t="s">
        <v>1</v>
      </c>
      <c r="D847" s="392">
        <v>1</v>
      </c>
      <c r="E847" s="307">
        <f>1</f>
        <v>1</v>
      </c>
      <c r="F847" s="540">
        <f t="shared" ref="F847:F850" si="73">3.14*0.3^2</f>
        <v>0.28260000000000002</v>
      </c>
      <c r="G847" s="540"/>
      <c r="H847" s="540"/>
      <c r="I847" s="399">
        <f t="shared" si="70"/>
        <v>0.28000000000000003</v>
      </c>
      <c r="J847" s="394"/>
      <c r="K847" s="394" t="s">
        <v>860</v>
      </c>
      <c r="L847" s="164"/>
      <c r="M847" s="164"/>
      <c r="N847" s="164"/>
      <c r="O847" s="164"/>
      <c r="P847" s="164"/>
    </row>
    <row r="848" spans="1:16" s="165" customFormat="1" ht="34.5" outlineLevel="1">
      <c r="A848" s="497"/>
      <c r="B848" s="425" t="s">
        <v>1228</v>
      </c>
      <c r="C848" s="414" t="s">
        <v>1</v>
      </c>
      <c r="D848" s="392">
        <v>1</v>
      </c>
      <c r="E848" s="307">
        <f>1</f>
        <v>1</v>
      </c>
      <c r="F848" s="540">
        <f t="shared" si="73"/>
        <v>0.28260000000000002</v>
      </c>
      <c r="G848" s="540"/>
      <c r="H848" s="540"/>
      <c r="I848" s="399">
        <f t="shared" si="70"/>
        <v>0.28000000000000003</v>
      </c>
      <c r="J848" s="394"/>
      <c r="K848" s="394" t="s">
        <v>860</v>
      </c>
      <c r="L848" s="164"/>
      <c r="M848" s="164"/>
      <c r="N848" s="164"/>
      <c r="O848" s="164"/>
      <c r="P848" s="164"/>
    </row>
    <row r="849" spans="1:16" s="165" customFormat="1" ht="34.5" outlineLevel="1">
      <c r="A849" s="497"/>
      <c r="B849" s="425" t="s">
        <v>1230</v>
      </c>
      <c r="C849" s="414" t="s">
        <v>1</v>
      </c>
      <c r="D849" s="392">
        <v>1</v>
      </c>
      <c r="E849" s="307">
        <f>1</f>
        <v>1</v>
      </c>
      <c r="F849" s="540">
        <f t="shared" si="73"/>
        <v>0.28260000000000002</v>
      </c>
      <c r="G849" s="540"/>
      <c r="H849" s="540"/>
      <c r="I849" s="399">
        <f t="shared" si="70"/>
        <v>0.28000000000000003</v>
      </c>
      <c r="J849" s="394"/>
      <c r="K849" s="394" t="s">
        <v>860</v>
      </c>
      <c r="L849" s="164"/>
      <c r="M849" s="164"/>
      <c r="N849" s="164"/>
      <c r="O849" s="164"/>
      <c r="P849" s="164"/>
    </row>
    <row r="850" spans="1:16" s="165" customFormat="1" ht="34.5" outlineLevel="1">
      <c r="A850" s="497"/>
      <c r="B850" s="425" t="s">
        <v>1231</v>
      </c>
      <c r="C850" s="414" t="s">
        <v>1</v>
      </c>
      <c r="D850" s="392">
        <v>1</v>
      </c>
      <c r="E850" s="307">
        <f>1</f>
        <v>1</v>
      </c>
      <c r="F850" s="540">
        <f t="shared" si="73"/>
        <v>0.28260000000000002</v>
      </c>
      <c r="G850" s="540"/>
      <c r="H850" s="540"/>
      <c r="I850" s="399">
        <f t="shared" si="70"/>
        <v>0.28000000000000003</v>
      </c>
      <c r="J850" s="394"/>
      <c r="K850" s="394" t="s">
        <v>860</v>
      </c>
      <c r="L850" s="164"/>
      <c r="M850" s="164"/>
      <c r="N850" s="164"/>
      <c r="O850" s="164"/>
      <c r="P850" s="164"/>
    </row>
    <row r="851" spans="1:16" s="165" customFormat="1" ht="34.5" outlineLevel="1">
      <c r="A851" s="497"/>
      <c r="B851" s="425" t="s">
        <v>1232</v>
      </c>
      <c r="C851" s="414" t="s">
        <v>1</v>
      </c>
      <c r="D851" s="392">
        <v>1</v>
      </c>
      <c r="E851" s="307">
        <v>2</v>
      </c>
      <c r="F851" s="664">
        <v>1.766</v>
      </c>
      <c r="G851" s="540"/>
      <c r="H851" s="540"/>
      <c r="I851" s="399">
        <f t="shared" si="70"/>
        <v>3.53</v>
      </c>
      <c r="J851" s="394"/>
      <c r="K851" s="394" t="s">
        <v>860</v>
      </c>
      <c r="L851" s="164"/>
      <c r="M851" s="164"/>
      <c r="N851" s="164"/>
      <c r="O851" s="164"/>
      <c r="P851" s="164"/>
    </row>
    <row r="852" spans="1:16" s="165" customFormat="1" ht="17.25" outlineLevel="1">
      <c r="A852" s="497"/>
      <c r="B852" s="425" t="s">
        <v>1233</v>
      </c>
      <c r="C852" s="414" t="s">
        <v>1</v>
      </c>
      <c r="D852" s="392">
        <v>1</v>
      </c>
      <c r="E852" s="307">
        <f>1</f>
        <v>1</v>
      </c>
      <c r="F852" s="540">
        <f t="shared" ref="F852:F860" si="74">3.14*0.3^2</f>
        <v>0.28260000000000002</v>
      </c>
      <c r="G852" s="540"/>
      <c r="H852" s="540"/>
      <c r="I852" s="399">
        <f t="shared" si="70"/>
        <v>0.28000000000000003</v>
      </c>
      <c r="J852" s="394"/>
      <c r="K852" s="394" t="s">
        <v>860</v>
      </c>
      <c r="L852" s="164"/>
      <c r="M852" s="164"/>
      <c r="N852" s="164"/>
      <c r="O852" s="164"/>
      <c r="P852" s="164"/>
    </row>
    <row r="853" spans="1:16" s="165" customFormat="1" ht="34.5" outlineLevel="1">
      <c r="A853" s="497"/>
      <c r="B853" s="425" t="s">
        <v>1235</v>
      </c>
      <c r="C853" s="414" t="s">
        <v>1</v>
      </c>
      <c r="D853" s="392">
        <v>1</v>
      </c>
      <c r="E853" s="307">
        <f>1</f>
        <v>1</v>
      </c>
      <c r="F853" s="540">
        <f t="shared" si="74"/>
        <v>0.28260000000000002</v>
      </c>
      <c r="G853" s="540"/>
      <c r="H853" s="540"/>
      <c r="I853" s="399">
        <f t="shared" si="70"/>
        <v>0.28000000000000003</v>
      </c>
      <c r="J853" s="394"/>
      <c r="K853" s="394" t="s">
        <v>860</v>
      </c>
      <c r="L853" s="164"/>
      <c r="M853" s="164"/>
      <c r="N853" s="164"/>
      <c r="O853" s="164"/>
      <c r="P853" s="164"/>
    </row>
    <row r="854" spans="1:16" s="165" customFormat="1" ht="34.5" outlineLevel="1">
      <c r="A854" s="497"/>
      <c r="B854" s="425" t="s">
        <v>1236</v>
      </c>
      <c r="C854" s="414" t="s">
        <v>1</v>
      </c>
      <c r="D854" s="392">
        <v>1</v>
      </c>
      <c r="E854" s="307">
        <f>1</f>
        <v>1</v>
      </c>
      <c r="F854" s="540">
        <f t="shared" si="74"/>
        <v>0.28260000000000002</v>
      </c>
      <c r="G854" s="540"/>
      <c r="H854" s="540"/>
      <c r="I854" s="399">
        <f t="shared" si="70"/>
        <v>0.28000000000000003</v>
      </c>
      <c r="J854" s="394"/>
      <c r="K854" s="394" t="s">
        <v>860</v>
      </c>
      <c r="L854" s="164"/>
      <c r="M854" s="164"/>
      <c r="N854" s="164"/>
      <c r="O854" s="164"/>
      <c r="P854" s="164"/>
    </row>
    <row r="855" spans="1:16" s="165" customFormat="1" ht="34.5" outlineLevel="1">
      <c r="A855" s="497"/>
      <c r="B855" s="425" t="s">
        <v>1237</v>
      </c>
      <c r="C855" s="414" t="s">
        <v>1</v>
      </c>
      <c r="D855" s="392">
        <v>1</v>
      </c>
      <c r="E855" s="307">
        <f>1</f>
        <v>1</v>
      </c>
      <c r="F855" s="540">
        <f t="shared" si="74"/>
        <v>0.28260000000000002</v>
      </c>
      <c r="G855" s="540"/>
      <c r="H855" s="540"/>
      <c r="I855" s="399">
        <f t="shared" si="70"/>
        <v>0.28000000000000003</v>
      </c>
      <c r="J855" s="394"/>
      <c r="K855" s="394" t="s">
        <v>860</v>
      </c>
      <c r="L855" s="164"/>
      <c r="M855" s="164"/>
      <c r="N855" s="164"/>
      <c r="O855" s="164"/>
      <c r="P855" s="164"/>
    </row>
    <row r="856" spans="1:16" s="165" customFormat="1" ht="34.5" outlineLevel="1">
      <c r="A856" s="497"/>
      <c r="B856" s="425" t="s">
        <v>1238</v>
      </c>
      <c r="C856" s="414" t="s">
        <v>1</v>
      </c>
      <c r="D856" s="392">
        <v>1</v>
      </c>
      <c r="E856" s="307">
        <f>1</f>
        <v>1</v>
      </c>
      <c r="F856" s="540">
        <f t="shared" si="74"/>
        <v>0.28260000000000002</v>
      </c>
      <c r="G856" s="540"/>
      <c r="H856" s="540"/>
      <c r="I856" s="399">
        <f t="shared" si="70"/>
        <v>0.28000000000000003</v>
      </c>
      <c r="J856" s="394"/>
      <c r="K856" s="394" t="s">
        <v>860</v>
      </c>
      <c r="L856" s="164"/>
      <c r="M856" s="164"/>
      <c r="N856" s="164"/>
      <c r="O856" s="164"/>
      <c r="P856" s="164"/>
    </row>
    <row r="857" spans="1:16" s="165" customFormat="1" ht="34.5" outlineLevel="1">
      <c r="A857" s="497"/>
      <c r="B857" s="425" t="s">
        <v>1240</v>
      </c>
      <c r="C857" s="414" t="s">
        <v>1</v>
      </c>
      <c r="D857" s="392">
        <v>1</v>
      </c>
      <c r="E857" s="307">
        <f>1</f>
        <v>1</v>
      </c>
      <c r="F857" s="540">
        <f t="shared" si="74"/>
        <v>0.28260000000000002</v>
      </c>
      <c r="G857" s="540"/>
      <c r="H857" s="540"/>
      <c r="I857" s="399">
        <f t="shared" si="70"/>
        <v>0.28000000000000003</v>
      </c>
      <c r="J857" s="394"/>
      <c r="K857" s="394" t="s">
        <v>860</v>
      </c>
      <c r="L857" s="164"/>
      <c r="M857" s="164"/>
      <c r="N857" s="164"/>
      <c r="O857" s="164"/>
      <c r="P857" s="164"/>
    </row>
    <row r="858" spans="1:16" s="165" customFormat="1" ht="34.5" outlineLevel="1">
      <c r="A858" s="497"/>
      <c r="B858" s="425" t="s">
        <v>1242</v>
      </c>
      <c r="C858" s="414" t="s">
        <v>1</v>
      </c>
      <c r="D858" s="392">
        <v>1</v>
      </c>
      <c r="E858" s="307">
        <f>1</f>
        <v>1</v>
      </c>
      <c r="F858" s="540">
        <f t="shared" si="74"/>
        <v>0.28260000000000002</v>
      </c>
      <c r="G858" s="540"/>
      <c r="H858" s="540"/>
      <c r="I858" s="399">
        <f t="shared" si="70"/>
        <v>0.28000000000000003</v>
      </c>
      <c r="J858" s="394"/>
      <c r="K858" s="394" t="s">
        <v>860</v>
      </c>
      <c r="L858" s="164"/>
      <c r="M858" s="164"/>
      <c r="N858" s="164"/>
      <c r="O858" s="164"/>
      <c r="P858" s="164"/>
    </row>
    <row r="859" spans="1:16" s="165" customFormat="1" ht="34.5" outlineLevel="1">
      <c r="A859" s="497"/>
      <c r="B859" s="425" t="s">
        <v>1243</v>
      </c>
      <c r="C859" s="414" t="s">
        <v>1</v>
      </c>
      <c r="D859" s="392">
        <v>1</v>
      </c>
      <c r="E859" s="307">
        <f>1</f>
        <v>1</v>
      </c>
      <c r="F859" s="540">
        <f t="shared" si="74"/>
        <v>0.28260000000000002</v>
      </c>
      <c r="G859" s="540"/>
      <c r="H859" s="540"/>
      <c r="I859" s="399">
        <f t="shared" si="70"/>
        <v>0.28000000000000003</v>
      </c>
      <c r="J859" s="394"/>
      <c r="K859" s="394" t="s">
        <v>860</v>
      </c>
      <c r="L859" s="164"/>
      <c r="M859" s="164"/>
      <c r="N859" s="164"/>
      <c r="O859" s="164"/>
      <c r="P859" s="164"/>
    </row>
    <row r="860" spans="1:16" s="165" customFormat="1" ht="34.5" outlineLevel="1">
      <c r="A860" s="497"/>
      <c r="B860" s="425" t="s">
        <v>1244</v>
      </c>
      <c r="C860" s="414" t="s">
        <v>1</v>
      </c>
      <c r="D860" s="392">
        <v>1</v>
      </c>
      <c r="E860" s="307">
        <f>1</f>
        <v>1</v>
      </c>
      <c r="F860" s="540">
        <f t="shared" si="74"/>
        <v>0.28260000000000002</v>
      </c>
      <c r="G860" s="540"/>
      <c r="H860" s="540"/>
      <c r="I860" s="399">
        <f t="shared" si="70"/>
        <v>0.28000000000000003</v>
      </c>
      <c r="J860" s="394"/>
      <c r="K860" s="394" t="s">
        <v>860</v>
      </c>
      <c r="L860" s="164"/>
      <c r="M860" s="164"/>
      <c r="N860" s="164"/>
      <c r="O860" s="164"/>
      <c r="P860" s="164"/>
    </row>
    <row r="861" spans="1:16" s="862" customFormat="1" ht="34.5" outlineLevel="1" collapsed="1">
      <c r="A861" s="921"/>
      <c r="B861" s="855" t="s">
        <v>1486</v>
      </c>
      <c r="C861" s="854" t="s">
        <v>1</v>
      </c>
      <c r="D861" s="878">
        <v>1</v>
      </c>
      <c r="E861" s="871">
        <v>1</v>
      </c>
      <c r="F861" s="902">
        <f>3.14*0.3^2</f>
        <v>0.28260000000000002</v>
      </c>
      <c r="G861" s="902"/>
      <c r="H861" s="902"/>
      <c r="I861" s="399">
        <f t="shared" si="70"/>
        <v>0.28000000000000003</v>
      </c>
      <c r="J861" s="882"/>
      <c r="K861" s="882"/>
      <c r="L861" s="861"/>
      <c r="M861" s="861"/>
      <c r="N861" s="861"/>
      <c r="O861" s="861"/>
      <c r="P861" s="861"/>
    </row>
    <row r="862" spans="1:16" s="854" customFormat="1" ht="34.5" outlineLevel="1">
      <c r="A862" s="921"/>
      <c r="B862" s="855" t="s">
        <v>1487</v>
      </c>
      <c r="C862" s="854" t="s">
        <v>1</v>
      </c>
      <c r="D862" s="878">
        <v>1</v>
      </c>
      <c r="E862" s="871">
        <v>1</v>
      </c>
      <c r="F862" s="902">
        <f>3.14*0.3^2</f>
        <v>0.28260000000000002</v>
      </c>
      <c r="G862" s="902"/>
      <c r="H862" s="902"/>
      <c r="I862" s="399">
        <f t="shared" si="70"/>
        <v>0.28000000000000003</v>
      </c>
      <c r="J862" s="882"/>
      <c r="K862" s="882"/>
      <c r="L862" s="922"/>
      <c r="M862" s="922"/>
      <c r="N862" s="922"/>
      <c r="O862" s="922"/>
      <c r="P862" s="922"/>
    </row>
    <row r="863" spans="1:16" s="854" customFormat="1" ht="34.5" outlineLevel="1">
      <c r="A863" s="921"/>
      <c r="B863" s="855" t="s">
        <v>1488</v>
      </c>
      <c r="C863" s="854" t="s">
        <v>1</v>
      </c>
      <c r="D863" s="878">
        <v>1</v>
      </c>
      <c r="E863" s="871">
        <v>1</v>
      </c>
      <c r="F863" s="902">
        <f>3.14*0.3^2</f>
        <v>0.28260000000000002</v>
      </c>
      <c r="G863" s="902"/>
      <c r="H863" s="902"/>
      <c r="I863" s="399">
        <f t="shared" si="70"/>
        <v>0.28000000000000003</v>
      </c>
      <c r="J863" s="882"/>
      <c r="K863" s="882">
        <v>0.75</v>
      </c>
      <c r="L863" s="922"/>
      <c r="M863" s="922"/>
      <c r="N863" s="922"/>
      <c r="O863" s="922"/>
      <c r="P863" s="922"/>
    </row>
    <row r="864" spans="1:16" s="854" customFormat="1" ht="34.5" outlineLevel="1">
      <c r="A864" s="921"/>
      <c r="B864" s="855" t="s">
        <v>1489</v>
      </c>
      <c r="C864" s="854" t="s">
        <v>1</v>
      </c>
      <c r="D864" s="878">
        <v>1</v>
      </c>
      <c r="E864" s="871">
        <v>1</v>
      </c>
      <c r="F864" s="902">
        <f>3.14*0.3^2</f>
        <v>0.28260000000000002</v>
      </c>
      <c r="G864" s="902"/>
      <c r="H864" s="902"/>
      <c r="I864" s="399">
        <f t="shared" si="70"/>
        <v>0.28000000000000003</v>
      </c>
      <c r="J864" s="882"/>
      <c r="K864" s="882">
        <v>0.75</v>
      </c>
      <c r="L864" s="922"/>
      <c r="M864" s="922"/>
      <c r="N864" s="922"/>
      <c r="O864" s="922"/>
      <c r="P864" s="922"/>
    </row>
    <row r="865" spans="1:16" s="854" customFormat="1" ht="34.5" outlineLevel="1">
      <c r="A865" s="921"/>
      <c r="B865" s="855" t="s">
        <v>1490</v>
      </c>
      <c r="C865" s="854" t="s">
        <v>1</v>
      </c>
      <c r="D865" s="878">
        <v>1</v>
      </c>
      <c r="E865" s="871">
        <v>1</v>
      </c>
      <c r="F865" s="1108">
        <v>0.28299999999999997</v>
      </c>
      <c r="G865" s="902"/>
      <c r="H865" s="902"/>
      <c r="I865" s="399">
        <f t="shared" si="70"/>
        <v>0.28000000000000003</v>
      </c>
      <c r="J865" s="882"/>
      <c r="K865" s="882">
        <f>PI()</f>
        <v>3.1415926535897931</v>
      </c>
      <c r="L865" s="922"/>
      <c r="M865" s="922"/>
      <c r="N865" s="922"/>
      <c r="O865" s="922"/>
      <c r="P865" s="922"/>
    </row>
    <row r="866" spans="1:16" s="854" customFormat="1" ht="34.5" outlineLevel="1">
      <c r="A866" s="921"/>
      <c r="B866" s="855" t="s">
        <v>1491</v>
      </c>
      <c r="C866" s="854" t="s">
        <v>1</v>
      </c>
      <c r="D866" s="878">
        <v>1</v>
      </c>
      <c r="E866" s="871">
        <v>1</v>
      </c>
      <c r="F866" s="902">
        <f t="shared" ref="F866:F872" si="75">3.14*0.3^2</f>
        <v>0.28260000000000002</v>
      </c>
      <c r="G866" s="902"/>
      <c r="H866" s="902"/>
      <c r="I866" s="399">
        <f t="shared" si="70"/>
        <v>0.28000000000000003</v>
      </c>
      <c r="J866" s="882"/>
      <c r="K866" s="896">
        <f>K865*K863*K864</f>
        <v>1.7671458676442586</v>
      </c>
      <c r="L866" s="922"/>
      <c r="M866" s="922"/>
      <c r="N866" s="922"/>
      <c r="O866" s="922"/>
      <c r="P866" s="922"/>
    </row>
    <row r="867" spans="1:16" s="854" customFormat="1" ht="34.5" outlineLevel="1">
      <c r="A867" s="921"/>
      <c r="B867" s="855" t="s">
        <v>1492</v>
      </c>
      <c r="C867" s="854" t="s">
        <v>1</v>
      </c>
      <c r="D867" s="878">
        <v>1</v>
      </c>
      <c r="E867" s="871">
        <v>1</v>
      </c>
      <c r="F867" s="902">
        <f t="shared" si="75"/>
        <v>0.28260000000000002</v>
      </c>
      <c r="G867" s="902"/>
      <c r="H867" s="902"/>
      <c r="I867" s="399">
        <f t="shared" si="70"/>
        <v>0.28000000000000003</v>
      </c>
      <c r="J867" s="882"/>
      <c r="K867" s="882"/>
      <c r="L867" s="922"/>
      <c r="M867" s="922"/>
      <c r="N867" s="922"/>
      <c r="O867" s="922"/>
      <c r="P867" s="922"/>
    </row>
    <row r="868" spans="1:16" s="854" customFormat="1" ht="34.5" outlineLevel="1">
      <c r="A868" s="921"/>
      <c r="B868" s="855" t="s">
        <v>1493</v>
      </c>
      <c r="C868" s="854" t="s">
        <v>1</v>
      </c>
      <c r="D868" s="878">
        <v>1</v>
      </c>
      <c r="E868" s="871">
        <v>1</v>
      </c>
      <c r="F868" s="902">
        <f t="shared" si="75"/>
        <v>0.28260000000000002</v>
      </c>
      <c r="G868" s="902"/>
      <c r="H868" s="902"/>
      <c r="I868" s="399">
        <f t="shared" si="70"/>
        <v>0.28000000000000003</v>
      </c>
      <c r="J868" s="882"/>
      <c r="K868" s="882"/>
      <c r="L868" s="922"/>
      <c r="M868" s="922"/>
      <c r="N868" s="922"/>
      <c r="O868" s="922"/>
      <c r="P868" s="922"/>
    </row>
    <row r="869" spans="1:16" s="854" customFormat="1" ht="34.5" outlineLevel="1">
      <c r="A869" s="921"/>
      <c r="B869" s="855" t="s">
        <v>1494</v>
      </c>
      <c r="C869" s="854" t="s">
        <v>1</v>
      </c>
      <c r="D869" s="878">
        <v>1</v>
      </c>
      <c r="E869" s="871">
        <v>1</v>
      </c>
      <c r="F869" s="902">
        <f t="shared" si="75"/>
        <v>0.28260000000000002</v>
      </c>
      <c r="G869" s="902"/>
      <c r="H869" s="902"/>
      <c r="I869" s="399">
        <f t="shared" si="70"/>
        <v>0.28000000000000003</v>
      </c>
      <c r="J869" s="882"/>
      <c r="K869" s="882"/>
      <c r="L869" s="922"/>
      <c r="M869" s="922"/>
      <c r="N869" s="922"/>
      <c r="O869" s="922"/>
      <c r="P869" s="922"/>
    </row>
    <row r="870" spans="1:16" s="854" customFormat="1" ht="34.5" outlineLevel="1">
      <c r="A870" s="921"/>
      <c r="B870" s="855" t="s">
        <v>1495</v>
      </c>
      <c r="C870" s="854" t="s">
        <v>1</v>
      </c>
      <c r="D870" s="878">
        <v>1</v>
      </c>
      <c r="E870" s="871">
        <v>1</v>
      </c>
      <c r="F870" s="902">
        <f t="shared" si="75"/>
        <v>0.28260000000000002</v>
      </c>
      <c r="G870" s="902"/>
      <c r="H870" s="902"/>
      <c r="I870" s="399">
        <f t="shared" ref="I870:I933" si="76">IF(D870&lt;&gt;0,ROUND(PRODUCT(E870:H870)*D870,2),"")</f>
        <v>0.28000000000000003</v>
      </c>
      <c r="J870" s="882"/>
      <c r="K870" s="882"/>
      <c r="L870" s="922"/>
      <c r="M870" s="922"/>
      <c r="N870" s="922"/>
      <c r="O870" s="922"/>
      <c r="P870" s="922"/>
    </row>
    <row r="871" spans="1:16" s="854" customFormat="1" ht="34.5" outlineLevel="1">
      <c r="A871" s="921"/>
      <c r="B871" s="855" t="s">
        <v>1496</v>
      </c>
      <c r="C871" s="854" t="s">
        <v>1</v>
      </c>
      <c r="D871" s="878">
        <v>1</v>
      </c>
      <c r="E871" s="871">
        <v>1</v>
      </c>
      <c r="F871" s="902">
        <f t="shared" si="75"/>
        <v>0.28260000000000002</v>
      </c>
      <c r="G871" s="902"/>
      <c r="H871" s="902"/>
      <c r="I871" s="399">
        <f t="shared" si="76"/>
        <v>0.28000000000000003</v>
      </c>
      <c r="J871" s="882"/>
      <c r="K871" s="882"/>
      <c r="L871" s="922"/>
      <c r="M871" s="922"/>
      <c r="N871" s="922"/>
      <c r="O871" s="922"/>
      <c r="P871" s="922"/>
    </row>
    <row r="872" spans="1:16" s="854" customFormat="1" ht="34.5" outlineLevel="1">
      <c r="A872" s="921"/>
      <c r="B872" s="855" t="s">
        <v>1497</v>
      </c>
      <c r="C872" s="854" t="s">
        <v>1</v>
      </c>
      <c r="D872" s="878">
        <v>1</v>
      </c>
      <c r="E872" s="871">
        <v>1</v>
      </c>
      <c r="F872" s="902">
        <f t="shared" si="75"/>
        <v>0.28260000000000002</v>
      </c>
      <c r="G872" s="902"/>
      <c r="H872" s="902"/>
      <c r="I872" s="399">
        <f t="shared" si="76"/>
        <v>0.28000000000000003</v>
      </c>
      <c r="J872" s="882"/>
      <c r="K872" s="882"/>
      <c r="L872" s="922"/>
      <c r="M872" s="922"/>
      <c r="N872" s="922"/>
      <c r="O872" s="922"/>
      <c r="P872" s="922"/>
    </row>
    <row r="873" spans="1:16" s="854" customFormat="1" ht="17.25" outlineLevel="1">
      <c r="A873" s="921"/>
      <c r="B873" s="855"/>
      <c r="D873" s="878"/>
      <c r="E873" s="871"/>
      <c r="F873" s="902"/>
      <c r="G873" s="902"/>
      <c r="H873" s="902"/>
      <c r="I873" s="399" t="str">
        <f t="shared" si="76"/>
        <v/>
      </c>
      <c r="J873" s="882"/>
      <c r="K873" s="882"/>
      <c r="L873" s="922"/>
      <c r="M873" s="922"/>
      <c r="N873" s="922"/>
      <c r="O873" s="922"/>
      <c r="P873" s="922"/>
    </row>
    <row r="874" spans="1:16" s="854" customFormat="1" ht="34.5" outlineLevel="1">
      <c r="A874" s="921"/>
      <c r="B874" s="855" t="s">
        <v>1498</v>
      </c>
      <c r="C874" s="854" t="s">
        <v>1</v>
      </c>
      <c r="D874" s="878">
        <v>1</v>
      </c>
      <c r="E874" s="871">
        <v>1</v>
      </c>
      <c r="F874" s="902">
        <f>3.14*0.3^2</f>
        <v>0.28260000000000002</v>
      </c>
      <c r="G874" s="902"/>
      <c r="H874" s="902"/>
      <c r="I874" s="399">
        <f t="shared" si="76"/>
        <v>0.28000000000000003</v>
      </c>
      <c r="J874" s="882"/>
      <c r="K874" s="882"/>
      <c r="L874" s="922"/>
      <c r="M874" s="922"/>
      <c r="N874" s="922"/>
      <c r="O874" s="922"/>
      <c r="P874" s="922"/>
    </row>
    <row r="875" spans="1:16" s="854" customFormat="1" ht="34.5" outlineLevel="1">
      <c r="A875" s="921"/>
      <c r="B875" s="855" t="s">
        <v>1499</v>
      </c>
      <c r="C875" s="854" t="s">
        <v>1</v>
      </c>
      <c r="D875" s="878">
        <v>1</v>
      </c>
      <c r="E875" s="871">
        <v>1</v>
      </c>
      <c r="F875" s="902">
        <f>3.14*0.3^2</f>
        <v>0.28260000000000002</v>
      </c>
      <c r="G875" s="902"/>
      <c r="H875" s="902"/>
      <c r="I875" s="399">
        <f t="shared" si="76"/>
        <v>0.28000000000000003</v>
      </c>
      <c r="J875" s="882"/>
      <c r="K875" s="882"/>
      <c r="L875" s="922"/>
      <c r="M875" s="922"/>
      <c r="N875" s="922"/>
      <c r="O875" s="922"/>
      <c r="P875" s="922"/>
    </row>
    <row r="876" spans="1:16" s="854" customFormat="1" ht="34.5" outlineLevel="1">
      <c r="A876" s="921"/>
      <c r="B876" s="855" t="s">
        <v>1500</v>
      </c>
      <c r="C876" s="854" t="s">
        <v>1</v>
      </c>
      <c r="D876" s="878">
        <v>1</v>
      </c>
      <c r="E876" s="871">
        <v>1</v>
      </c>
      <c r="F876" s="1108">
        <v>0.28299999999999997</v>
      </c>
      <c r="G876" s="902"/>
      <c r="H876" s="902"/>
      <c r="I876" s="399">
        <f t="shared" si="76"/>
        <v>0.28000000000000003</v>
      </c>
      <c r="J876" s="882"/>
      <c r="K876" s="882"/>
      <c r="L876" s="922"/>
      <c r="M876" s="922"/>
      <c r="N876" s="922"/>
      <c r="O876" s="922"/>
      <c r="P876" s="922"/>
    </row>
    <row r="877" spans="1:16" s="854" customFormat="1" ht="34.5" outlineLevel="1">
      <c r="A877" s="921"/>
      <c r="B877" s="855" t="s">
        <v>1501</v>
      </c>
      <c r="C877" s="854" t="s">
        <v>1</v>
      </c>
      <c r="D877" s="878">
        <v>1</v>
      </c>
      <c r="E877" s="871">
        <v>1</v>
      </c>
      <c r="F877" s="902">
        <f>3.14*0.3^2</f>
        <v>0.28260000000000002</v>
      </c>
      <c r="G877" s="902"/>
      <c r="H877" s="902"/>
      <c r="I877" s="399">
        <f t="shared" si="76"/>
        <v>0.28000000000000003</v>
      </c>
      <c r="J877" s="882"/>
      <c r="K877" s="882"/>
      <c r="L877" s="922"/>
      <c r="M877" s="922"/>
      <c r="N877" s="922"/>
      <c r="O877" s="922"/>
      <c r="P877" s="922"/>
    </row>
    <row r="878" spans="1:16" s="854" customFormat="1" ht="34.5" outlineLevel="1">
      <c r="A878" s="921"/>
      <c r="B878" s="855" t="s">
        <v>1502</v>
      </c>
      <c r="C878" s="854" t="s">
        <v>1</v>
      </c>
      <c r="D878" s="878">
        <v>1</v>
      </c>
      <c r="E878" s="871">
        <v>1</v>
      </c>
      <c r="F878" s="902">
        <f>3.14*0.3^2</f>
        <v>0.28260000000000002</v>
      </c>
      <c r="G878" s="902"/>
      <c r="H878" s="902"/>
      <c r="I878" s="399">
        <f t="shared" si="76"/>
        <v>0.28000000000000003</v>
      </c>
      <c r="J878" s="882"/>
      <c r="K878" s="882"/>
      <c r="L878" s="922"/>
      <c r="M878" s="922"/>
      <c r="N878" s="922"/>
      <c r="O878" s="922"/>
      <c r="P878" s="922"/>
    </row>
    <row r="879" spans="1:16" s="854" customFormat="1" ht="17.25" outlineLevel="1">
      <c r="A879" s="921"/>
      <c r="B879" s="855" t="s">
        <v>1503</v>
      </c>
      <c r="C879" s="854" t="s">
        <v>1</v>
      </c>
      <c r="D879" s="878">
        <v>1</v>
      </c>
      <c r="E879" s="871">
        <v>1</v>
      </c>
      <c r="F879" s="902">
        <f>3.14*0.3^2</f>
        <v>0.28260000000000002</v>
      </c>
      <c r="G879" s="902"/>
      <c r="H879" s="902"/>
      <c r="I879" s="399">
        <f t="shared" si="76"/>
        <v>0.28000000000000003</v>
      </c>
      <c r="J879" s="882"/>
      <c r="K879" s="882"/>
      <c r="L879" s="922"/>
      <c r="M879" s="922"/>
      <c r="N879" s="922"/>
      <c r="O879" s="922"/>
      <c r="P879" s="922"/>
    </row>
    <row r="880" spans="1:16" s="854" customFormat="1" ht="34.5" outlineLevel="1">
      <c r="A880" s="921"/>
      <c r="B880" s="855" t="s">
        <v>1504</v>
      </c>
      <c r="C880" s="854" t="s">
        <v>1</v>
      </c>
      <c r="D880" s="878">
        <v>1</v>
      </c>
      <c r="E880" s="871">
        <v>1</v>
      </c>
      <c r="F880" s="1108">
        <v>0.28299999999999997</v>
      </c>
      <c r="G880" s="902"/>
      <c r="H880" s="902"/>
      <c r="I880" s="399">
        <f t="shared" si="76"/>
        <v>0.28000000000000003</v>
      </c>
      <c r="J880" s="882"/>
      <c r="K880" s="882"/>
      <c r="L880" s="922"/>
      <c r="M880" s="922"/>
      <c r="N880" s="922"/>
      <c r="O880" s="922"/>
      <c r="P880" s="922"/>
    </row>
    <row r="881" spans="1:16" s="854" customFormat="1" ht="34.5" outlineLevel="1">
      <c r="A881" s="921"/>
      <c r="B881" s="855" t="s">
        <v>1505</v>
      </c>
      <c r="C881" s="854" t="s">
        <v>1</v>
      </c>
      <c r="D881" s="878">
        <v>1</v>
      </c>
      <c r="E881" s="871">
        <v>1</v>
      </c>
      <c r="F881" s="902">
        <f>3.14*0.3^2</f>
        <v>0.28260000000000002</v>
      </c>
      <c r="G881" s="902"/>
      <c r="H881" s="902"/>
      <c r="I881" s="399">
        <f t="shared" si="76"/>
        <v>0.28000000000000003</v>
      </c>
      <c r="J881" s="882"/>
      <c r="K881" s="882"/>
      <c r="L881" s="922"/>
      <c r="M881" s="922"/>
      <c r="N881" s="922"/>
      <c r="O881" s="922"/>
      <c r="P881" s="922"/>
    </row>
    <row r="882" spans="1:16" s="854" customFormat="1" ht="34.5" outlineLevel="1">
      <c r="A882" s="921"/>
      <c r="B882" s="855" t="s">
        <v>1506</v>
      </c>
      <c r="C882" s="854" t="s">
        <v>1</v>
      </c>
      <c r="D882" s="878">
        <v>1</v>
      </c>
      <c r="E882" s="871">
        <v>1</v>
      </c>
      <c r="F882" s="902">
        <f>3.14*0.3^2</f>
        <v>0.28260000000000002</v>
      </c>
      <c r="G882" s="902"/>
      <c r="H882" s="902"/>
      <c r="I882" s="399">
        <f t="shared" si="76"/>
        <v>0.28000000000000003</v>
      </c>
      <c r="J882" s="882"/>
      <c r="K882" s="882"/>
      <c r="L882" s="922"/>
      <c r="M882" s="922"/>
      <c r="N882" s="922"/>
      <c r="O882" s="922"/>
      <c r="P882" s="922"/>
    </row>
    <row r="883" spans="1:16" s="854" customFormat="1" ht="17.25" outlineLevel="1">
      <c r="A883" s="921"/>
      <c r="B883" s="855"/>
      <c r="D883" s="878"/>
      <c r="E883" s="871"/>
      <c r="F883" s="902"/>
      <c r="G883" s="902"/>
      <c r="H883" s="902"/>
      <c r="I883" s="399" t="str">
        <f t="shared" si="76"/>
        <v/>
      </c>
      <c r="J883" s="882"/>
      <c r="K883" s="882"/>
      <c r="L883" s="922"/>
      <c r="M883" s="922"/>
      <c r="N883" s="922"/>
      <c r="O883" s="922"/>
      <c r="P883" s="922"/>
    </row>
    <row r="884" spans="1:16" s="854" customFormat="1" ht="17.25" outlineLevel="1">
      <c r="A884" s="921" t="s">
        <v>459</v>
      </c>
      <c r="B884" s="855" t="s">
        <v>1507</v>
      </c>
      <c r="D884" s="878"/>
      <c r="E884" s="871"/>
      <c r="F884" s="902"/>
      <c r="G884" s="902"/>
      <c r="H884" s="902"/>
      <c r="I884" s="399" t="str">
        <f t="shared" si="76"/>
        <v/>
      </c>
      <c r="J884" s="882"/>
      <c r="K884" s="882"/>
      <c r="L884" s="922"/>
      <c r="M884" s="922"/>
      <c r="N884" s="922"/>
      <c r="O884" s="922"/>
      <c r="P884" s="922"/>
    </row>
    <row r="885" spans="1:16" s="854" customFormat="1" ht="17.25" outlineLevel="1">
      <c r="A885" s="921"/>
      <c r="B885" s="855" t="s">
        <v>1508</v>
      </c>
      <c r="C885" s="854" t="s">
        <v>1</v>
      </c>
      <c r="D885" s="878">
        <v>1</v>
      </c>
      <c r="E885" s="871">
        <v>2</v>
      </c>
      <c r="F885" s="1108">
        <v>1.353</v>
      </c>
      <c r="G885" s="902">
        <v>0.32</v>
      </c>
      <c r="H885" s="902"/>
      <c r="I885" s="399">
        <f t="shared" si="76"/>
        <v>0.87</v>
      </c>
      <c r="J885" s="882"/>
      <c r="K885" s="882"/>
      <c r="L885" s="922"/>
      <c r="M885" s="922"/>
      <c r="N885" s="922"/>
      <c r="O885" s="922"/>
      <c r="P885" s="922"/>
    </row>
    <row r="886" spans="1:16" s="854" customFormat="1" ht="17.25" outlineLevel="1">
      <c r="A886" s="921"/>
      <c r="B886" s="855" t="s">
        <v>1509</v>
      </c>
      <c r="C886" s="854" t="s">
        <v>1</v>
      </c>
      <c r="D886" s="878">
        <v>1</v>
      </c>
      <c r="E886" s="871">
        <v>3</v>
      </c>
      <c r="F886" s="1108">
        <v>1.353</v>
      </c>
      <c r="G886" s="902"/>
      <c r="H886" s="902">
        <v>0.15</v>
      </c>
      <c r="I886" s="399">
        <f t="shared" si="76"/>
        <v>0.61</v>
      </c>
      <c r="J886" s="882"/>
      <c r="K886" s="882"/>
      <c r="L886" s="922"/>
      <c r="M886" s="922"/>
      <c r="N886" s="922"/>
      <c r="O886" s="922"/>
      <c r="P886" s="922"/>
    </row>
    <row r="887" spans="1:16" s="854" customFormat="1" ht="17.25" outlineLevel="1">
      <c r="A887" s="921"/>
      <c r="B887" s="855"/>
      <c r="D887" s="878"/>
      <c r="E887" s="871"/>
      <c r="F887" s="902"/>
      <c r="G887" s="902"/>
      <c r="H887" s="902"/>
      <c r="I887" s="399" t="str">
        <f t="shared" si="76"/>
        <v/>
      </c>
      <c r="J887" s="882"/>
      <c r="K887" s="882"/>
      <c r="L887" s="922"/>
      <c r="M887" s="922"/>
      <c r="N887" s="922"/>
      <c r="O887" s="922"/>
      <c r="P887" s="922"/>
    </row>
    <row r="888" spans="1:16" s="854" customFormat="1" ht="17.25" outlineLevel="1">
      <c r="A888" s="921"/>
      <c r="B888" s="855" t="s">
        <v>1510</v>
      </c>
      <c r="C888" s="854" t="s">
        <v>1</v>
      </c>
      <c r="D888" s="878">
        <v>1</v>
      </c>
      <c r="E888" s="871">
        <v>2</v>
      </c>
      <c r="F888" s="1108">
        <v>4.4589999999999996</v>
      </c>
      <c r="G888" s="902">
        <v>0.32</v>
      </c>
      <c r="H888" s="902"/>
      <c r="I888" s="399">
        <f t="shared" si="76"/>
        <v>2.85</v>
      </c>
      <c r="J888" s="882"/>
      <c r="K888" s="882"/>
      <c r="L888" s="922"/>
      <c r="M888" s="922"/>
      <c r="N888" s="922"/>
      <c r="O888" s="922"/>
      <c r="P888" s="922"/>
    </row>
    <row r="889" spans="1:16" s="854" customFormat="1" ht="17.25" outlineLevel="1">
      <c r="A889" s="921"/>
      <c r="B889" s="855" t="s">
        <v>1509</v>
      </c>
      <c r="C889" s="854" t="s">
        <v>1</v>
      </c>
      <c r="D889" s="878">
        <v>1</v>
      </c>
      <c r="E889" s="871">
        <v>3</v>
      </c>
      <c r="F889" s="1108">
        <v>4.4589999999999996</v>
      </c>
      <c r="G889" s="902"/>
      <c r="H889" s="902">
        <v>0.15</v>
      </c>
      <c r="I889" s="399">
        <f t="shared" si="76"/>
        <v>2.0099999999999998</v>
      </c>
      <c r="J889" s="882"/>
      <c r="K889" s="882"/>
      <c r="L889" s="922"/>
      <c r="M889" s="922"/>
      <c r="N889" s="922"/>
      <c r="O889" s="922"/>
      <c r="P889" s="922"/>
    </row>
    <row r="890" spans="1:16" s="854" customFormat="1" ht="17.25" outlineLevel="1">
      <c r="A890" s="921"/>
      <c r="B890" s="855"/>
      <c r="D890" s="878"/>
      <c r="E890" s="871"/>
      <c r="F890" s="902"/>
      <c r="G890" s="902"/>
      <c r="H890" s="902"/>
      <c r="I890" s="399" t="str">
        <f t="shared" si="76"/>
        <v/>
      </c>
      <c r="J890" s="882"/>
      <c r="K890" s="882"/>
      <c r="L890" s="922"/>
      <c r="M890" s="922"/>
      <c r="N890" s="922"/>
      <c r="O890" s="922"/>
      <c r="P890" s="922"/>
    </row>
    <row r="891" spans="1:16" s="854" customFormat="1" ht="17.25" outlineLevel="1">
      <c r="A891" s="921" t="s">
        <v>1511</v>
      </c>
      <c r="B891" s="855" t="s">
        <v>1512</v>
      </c>
      <c r="D891" s="878"/>
      <c r="E891" s="871"/>
      <c r="F891" s="902"/>
      <c r="G891" s="902"/>
      <c r="H891" s="902"/>
      <c r="I891" s="399" t="str">
        <f t="shared" si="76"/>
        <v/>
      </c>
      <c r="J891" s="882"/>
      <c r="K891" s="882"/>
      <c r="L891" s="922"/>
      <c r="M891" s="922"/>
      <c r="N891" s="922"/>
      <c r="O891" s="922"/>
      <c r="P891" s="922"/>
    </row>
    <row r="892" spans="1:16" s="854" customFormat="1" ht="17.25" outlineLevel="1">
      <c r="A892" s="921"/>
      <c r="B892" s="855" t="s">
        <v>1513</v>
      </c>
      <c r="C892" s="854" t="s">
        <v>1</v>
      </c>
      <c r="D892" s="878">
        <v>24</v>
      </c>
      <c r="E892" s="871">
        <v>2</v>
      </c>
      <c r="F892" s="902">
        <v>2</v>
      </c>
      <c r="G892" s="902"/>
      <c r="H892" s="902">
        <v>0.32500000000000001</v>
      </c>
      <c r="I892" s="399">
        <f t="shared" si="76"/>
        <v>31.2</v>
      </c>
      <c r="J892" s="882"/>
      <c r="K892" s="882"/>
      <c r="L892" s="922"/>
      <c r="M892" s="922"/>
      <c r="N892" s="922"/>
      <c r="O892" s="922"/>
      <c r="P892" s="922"/>
    </row>
    <row r="893" spans="1:16" s="854" customFormat="1" ht="17.25" outlineLevel="1">
      <c r="A893" s="921"/>
      <c r="B893" s="855"/>
      <c r="C893" s="854" t="s">
        <v>1</v>
      </c>
      <c r="D893" s="878">
        <v>24</v>
      </c>
      <c r="E893" s="871">
        <v>2</v>
      </c>
      <c r="F893" s="902">
        <f>F892-0.09</f>
        <v>1.91</v>
      </c>
      <c r="G893" s="902"/>
      <c r="H893" s="902">
        <v>0.1</v>
      </c>
      <c r="I893" s="399">
        <f t="shared" si="76"/>
        <v>9.17</v>
      </c>
      <c r="J893" s="882"/>
      <c r="K893" s="882"/>
      <c r="L893" s="922"/>
      <c r="M893" s="922"/>
      <c r="N893" s="922"/>
      <c r="O893" s="922"/>
      <c r="P893" s="922"/>
    </row>
    <row r="894" spans="1:16" s="854" customFormat="1" ht="17.25" outlineLevel="1">
      <c r="A894" s="921"/>
      <c r="B894" s="855"/>
      <c r="C894" s="854" t="s">
        <v>1</v>
      </c>
      <c r="D894" s="878">
        <v>24</v>
      </c>
      <c r="E894" s="871">
        <v>2</v>
      </c>
      <c r="F894" s="902">
        <v>0.5</v>
      </c>
      <c r="G894" s="902"/>
      <c r="H894" s="902">
        <v>0.32500000000000001</v>
      </c>
      <c r="I894" s="399">
        <f t="shared" si="76"/>
        <v>7.8</v>
      </c>
      <c r="J894" s="882"/>
      <c r="K894" s="882"/>
      <c r="L894" s="922"/>
      <c r="M894" s="922"/>
      <c r="N894" s="922"/>
      <c r="O894" s="922"/>
      <c r="P894" s="922"/>
    </row>
    <row r="895" spans="1:16" s="854" customFormat="1" ht="17.25" outlineLevel="1">
      <c r="A895" s="921"/>
      <c r="B895" s="855"/>
      <c r="C895" s="854" t="s">
        <v>1</v>
      </c>
      <c r="D895" s="878">
        <v>24</v>
      </c>
      <c r="E895" s="871">
        <v>2</v>
      </c>
      <c r="F895" s="902">
        <f>F894-0.09</f>
        <v>0.41000000000000003</v>
      </c>
      <c r="G895" s="902"/>
      <c r="H895" s="902">
        <v>0.1</v>
      </c>
      <c r="I895" s="399">
        <f t="shared" si="76"/>
        <v>1.97</v>
      </c>
      <c r="J895" s="882"/>
      <c r="K895" s="882"/>
      <c r="L895" s="922"/>
      <c r="M895" s="922"/>
      <c r="N895" s="922"/>
      <c r="O895" s="922"/>
      <c r="P895" s="922"/>
    </row>
    <row r="896" spans="1:16" s="854" customFormat="1" ht="17.25" outlineLevel="1">
      <c r="A896" s="921"/>
      <c r="B896" s="855" t="s">
        <v>1514</v>
      </c>
      <c r="C896" s="854" t="s">
        <v>1</v>
      </c>
      <c r="D896" s="878">
        <v>24</v>
      </c>
      <c r="E896" s="871">
        <f>2</f>
        <v>2</v>
      </c>
      <c r="F896" s="902">
        <f>F895-0.09</f>
        <v>0.32000000000000006</v>
      </c>
      <c r="G896" s="902">
        <v>0.5</v>
      </c>
      <c r="H896" s="902"/>
      <c r="I896" s="399">
        <f t="shared" si="76"/>
        <v>7.68</v>
      </c>
      <c r="J896" s="882"/>
      <c r="K896" s="882"/>
      <c r="L896" s="922"/>
      <c r="M896" s="922"/>
      <c r="N896" s="922"/>
      <c r="O896" s="922"/>
      <c r="P896" s="922"/>
    </row>
    <row r="897" spans="1:16" s="854" customFormat="1" ht="17.25" outlineLevel="1">
      <c r="A897" s="921"/>
      <c r="B897" s="855"/>
      <c r="D897" s="878"/>
      <c r="E897" s="871"/>
      <c r="F897" s="902"/>
      <c r="G897" s="902"/>
      <c r="H897" s="902"/>
      <c r="I897" s="399" t="str">
        <f t="shared" si="76"/>
        <v/>
      </c>
      <c r="J897" s="882"/>
      <c r="K897" s="882"/>
      <c r="L897" s="922"/>
      <c r="M897" s="922"/>
      <c r="N897" s="922"/>
      <c r="O897" s="922"/>
      <c r="P897" s="922"/>
    </row>
    <row r="898" spans="1:16" s="854" customFormat="1" ht="17.25" outlineLevel="1">
      <c r="A898" s="921" t="s">
        <v>1515</v>
      </c>
      <c r="B898" s="855" t="s">
        <v>1516</v>
      </c>
      <c r="D898" s="878"/>
      <c r="E898" s="871"/>
      <c r="F898" s="902"/>
      <c r="G898" s="902"/>
      <c r="H898" s="902"/>
      <c r="I898" s="399" t="str">
        <f t="shared" si="76"/>
        <v/>
      </c>
      <c r="J898" s="882"/>
      <c r="K898" s="882"/>
      <c r="L898" s="922"/>
      <c r="M898" s="922"/>
      <c r="N898" s="922"/>
      <c r="O898" s="922"/>
      <c r="P898" s="922"/>
    </row>
    <row r="899" spans="1:16" s="854" customFormat="1" ht="17.25" outlineLevel="1">
      <c r="A899" s="921"/>
      <c r="B899" s="855" t="s">
        <v>1350</v>
      </c>
      <c r="C899" s="854" t="s">
        <v>1</v>
      </c>
      <c r="D899" s="878">
        <v>7</v>
      </c>
      <c r="E899" s="871">
        <v>1</v>
      </c>
      <c r="F899" s="902">
        <f>3.14*1</f>
        <v>3.14</v>
      </c>
      <c r="G899" s="902"/>
      <c r="H899" s="902">
        <f>0.375-0.04</f>
        <v>0.33500000000000002</v>
      </c>
      <c r="I899" s="399">
        <f t="shared" si="76"/>
        <v>7.36</v>
      </c>
      <c r="J899" s="882"/>
      <c r="K899" s="882"/>
      <c r="L899" s="922"/>
      <c r="M899" s="922"/>
      <c r="N899" s="922"/>
      <c r="O899" s="922"/>
      <c r="P899" s="922"/>
    </row>
    <row r="900" spans="1:16" s="854" customFormat="1" ht="17.25" outlineLevel="1">
      <c r="A900" s="921"/>
      <c r="B900" s="855"/>
      <c r="C900" s="854" t="s">
        <v>1</v>
      </c>
      <c r="D900" s="878">
        <v>7</v>
      </c>
      <c r="E900" s="871">
        <v>1</v>
      </c>
      <c r="F900" s="902">
        <f>3.14*0.89</f>
        <v>2.7946</v>
      </c>
      <c r="G900" s="902"/>
      <c r="H900" s="902">
        <v>0.1</v>
      </c>
      <c r="I900" s="399">
        <f t="shared" si="76"/>
        <v>1.96</v>
      </c>
      <c r="J900" s="882"/>
      <c r="K900" s="882"/>
      <c r="L900" s="922"/>
      <c r="M900" s="922"/>
      <c r="N900" s="922"/>
      <c r="O900" s="922"/>
      <c r="P900" s="922"/>
    </row>
    <row r="901" spans="1:16" s="854" customFormat="1" ht="34.5" outlineLevel="1">
      <c r="A901" s="921"/>
      <c r="B901" s="855" t="s">
        <v>1517</v>
      </c>
      <c r="C901" s="854" t="s">
        <v>1</v>
      </c>
      <c r="D901" s="878">
        <v>7</v>
      </c>
      <c r="E901" s="871">
        <v>2</v>
      </c>
      <c r="F901" s="902">
        <f>3.14*0.5^2</f>
        <v>0.78500000000000003</v>
      </c>
      <c r="G901" s="902"/>
      <c r="H901" s="902"/>
      <c r="I901" s="399">
        <f t="shared" si="76"/>
        <v>10.99</v>
      </c>
      <c r="J901" s="882"/>
      <c r="K901" s="882"/>
      <c r="L901" s="922"/>
      <c r="M901" s="922"/>
      <c r="N901" s="922"/>
      <c r="O901" s="922"/>
      <c r="P901" s="922"/>
    </row>
    <row r="902" spans="1:16" s="854" customFormat="1" ht="17.25" outlineLevel="1">
      <c r="A902" s="921"/>
      <c r="B902" s="855"/>
      <c r="D902" s="878"/>
      <c r="E902" s="871"/>
      <c r="F902" s="902"/>
      <c r="G902" s="902"/>
      <c r="H902" s="902"/>
      <c r="I902" s="399" t="str">
        <f t="shared" si="76"/>
        <v/>
      </c>
      <c r="J902" s="882"/>
      <c r="K902" s="882"/>
      <c r="L902" s="922"/>
      <c r="M902" s="922"/>
      <c r="N902" s="922"/>
      <c r="O902" s="922"/>
      <c r="P902" s="922"/>
    </row>
    <row r="903" spans="1:16" s="854" customFormat="1" ht="17.25" outlineLevel="1">
      <c r="A903" s="921" t="s">
        <v>1518</v>
      </c>
      <c r="B903" s="855" t="s">
        <v>1519</v>
      </c>
      <c r="D903" s="878"/>
      <c r="E903" s="871"/>
      <c r="F903" s="902"/>
      <c r="G903" s="902"/>
      <c r="H903" s="902"/>
      <c r="I903" s="399" t="str">
        <f t="shared" si="76"/>
        <v/>
      </c>
      <c r="J903" s="882"/>
      <c r="K903" s="882"/>
      <c r="L903" s="922"/>
      <c r="M903" s="922"/>
      <c r="N903" s="922"/>
      <c r="O903" s="922"/>
      <c r="P903" s="922"/>
    </row>
    <row r="904" spans="1:16" s="854" customFormat="1" ht="17.25" outlineLevel="1">
      <c r="A904" s="921"/>
      <c r="B904" s="855" t="s">
        <v>1520</v>
      </c>
      <c r="D904" s="878"/>
      <c r="E904" s="871"/>
      <c r="F904" s="902"/>
      <c r="G904" s="902"/>
      <c r="H904" s="902"/>
      <c r="I904" s="399" t="str">
        <f t="shared" si="76"/>
        <v/>
      </c>
      <c r="J904" s="882"/>
      <c r="K904" s="882"/>
      <c r="L904" s="922"/>
      <c r="M904" s="922"/>
      <c r="N904" s="922"/>
      <c r="O904" s="922"/>
      <c r="P904" s="922"/>
    </row>
    <row r="905" spans="1:16" s="854" customFormat="1" ht="17.25" outlineLevel="1">
      <c r="A905" s="921"/>
      <c r="B905" s="855" t="s">
        <v>1521</v>
      </c>
      <c r="C905" s="854" t="s">
        <v>1</v>
      </c>
      <c r="D905" s="878">
        <v>1</v>
      </c>
      <c r="E905" s="871">
        <v>1</v>
      </c>
      <c r="F905" s="902">
        <v>9.4250000000000007</v>
      </c>
      <c r="G905" s="902"/>
      <c r="H905" s="902">
        <f>0.45-0.04</f>
        <v>0.41000000000000003</v>
      </c>
      <c r="I905" s="399">
        <f t="shared" si="76"/>
        <v>3.86</v>
      </c>
      <c r="J905" s="882"/>
      <c r="K905" s="882">
        <f>410-145</f>
        <v>265</v>
      </c>
      <c r="L905" s="922"/>
      <c r="M905" s="922"/>
      <c r="N905" s="922"/>
      <c r="O905" s="922"/>
      <c r="P905" s="922"/>
    </row>
    <row r="906" spans="1:16" s="854" customFormat="1" ht="17.25" outlineLevel="1">
      <c r="A906" s="921"/>
      <c r="B906" s="855" t="s">
        <v>1522</v>
      </c>
      <c r="C906" s="854" t="s">
        <v>1</v>
      </c>
      <c r="D906" s="878">
        <v>1</v>
      </c>
      <c r="E906" s="871">
        <v>1</v>
      </c>
      <c r="F906" s="902">
        <v>8.7050000000000001</v>
      </c>
      <c r="G906" s="902"/>
      <c r="H906" s="1108">
        <v>0.26500000000000001</v>
      </c>
      <c r="I906" s="399">
        <f t="shared" si="76"/>
        <v>2.31</v>
      </c>
      <c r="J906" s="882"/>
      <c r="K906" s="882"/>
      <c r="L906" s="922"/>
      <c r="M906" s="922"/>
      <c r="N906" s="922"/>
      <c r="O906" s="922"/>
      <c r="P906" s="922"/>
    </row>
    <row r="907" spans="1:16" s="854" customFormat="1" ht="17.25" outlineLevel="1">
      <c r="A907" s="921"/>
      <c r="B907" s="855" t="s">
        <v>1402</v>
      </c>
      <c r="C907" s="854" t="s">
        <v>1</v>
      </c>
      <c r="D907" s="878">
        <v>1</v>
      </c>
      <c r="E907" s="871">
        <v>1</v>
      </c>
      <c r="F907" s="902">
        <v>7.8550000000000004</v>
      </c>
      <c r="G907" s="902"/>
      <c r="H907" s="902">
        <f>0.185-0.04</f>
        <v>0.14499999999999999</v>
      </c>
      <c r="I907" s="399">
        <f t="shared" si="76"/>
        <v>1.1399999999999999</v>
      </c>
      <c r="J907" s="882"/>
      <c r="K907" s="882"/>
      <c r="L907" s="922"/>
      <c r="M907" s="922"/>
      <c r="N907" s="922"/>
      <c r="O907" s="922"/>
      <c r="P907" s="922"/>
    </row>
    <row r="908" spans="1:16" s="854" customFormat="1" ht="17.25" outlineLevel="1">
      <c r="A908" s="921"/>
      <c r="B908" s="855" t="s">
        <v>1523</v>
      </c>
      <c r="C908" s="854" t="s">
        <v>1</v>
      </c>
      <c r="D908" s="878">
        <v>1</v>
      </c>
      <c r="E908" s="871">
        <v>2</v>
      </c>
      <c r="F908" s="902">
        <v>8.64</v>
      </c>
      <c r="G908" s="902">
        <v>0.5</v>
      </c>
      <c r="H908" s="902"/>
      <c r="I908" s="399">
        <f t="shared" si="76"/>
        <v>8.64</v>
      </c>
      <c r="J908" s="882"/>
      <c r="K908" s="882"/>
      <c r="L908" s="922"/>
      <c r="M908" s="922"/>
      <c r="N908" s="922"/>
      <c r="O908" s="922"/>
      <c r="P908" s="922"/>
    </row>
    <row r="909" spans="1:16" s="854" customFormat="1" ht="17.25" outlineLevel="1">
      <c r="A909" s="921"/>
      <c r="B909" s="855" t="s">
        <v>1416</v>
      </c>
      <c r="C909" s="854" t="s">
        <v>1</v>
      </c>
      <c r="D909" s="878">
        <v>1</v>
      </c>
      <c r="E909" s="871">
        <v>2</v>
      </c>
      <c r="F909" s="902">
        <v>0.28999999999999998</v>
      </c>
      <c r="G909" s="902"/>
      <c r="H909" s="902">
        <f>0.45-0.04</f>
        <v>0.41000000000000003</v>
      </c>
      <c r="I909" s="399">
        <f t="shared" si="76"/>
        <v>0.24</v>
      </c>
      <c r="J909" s="882"/>
      <c r="K909" s="882"/>
      <c r="L909" s="922"/>
      <c r="M909" s="922"/>
      <c r="N909" s="922"/>
      <c r="O909" s="922"/>
      <c r="P909" s="922"/>
    </row>
    <row r="910" spans="1:16" s="854" customFormat="1" ht="17.25" outlineLevel="1">
      <c r="A910" s="921"/>
      <c r="B910" s="855"/>
      <c r="C910" s="854" t="s">
        <v>1</v>
      </c>
      <c r="D910" s="878">
        <v>1</v>
      </c>
      <c r="E910" s="871">
        <v>2</v>
      </c>
      <c r="F910" s="902">
        <v>0.21</v>
      </c>
      <c r="G910" s="902"/>
      <c r="H910" s="902">
        <f>0.185-0.04</f>
        <v>0.14499999999999999</v>
      </c>
      <c r="I910" s="399">
        <f t="shared" si="76"/>
        <v>0.06</v>
      </c>
      <c r="J910" s="882"/>
      <c r="K910" s="882"/>
      <c r="L910" s="922"/>
      <c r="M910" s="922"/>
      <c r="N910" s="922"/>
      <c r="O910" s="922"/>
      <c r="P910" s="922"/>
    </row>
    <row r="911" spans="1:16" s="854" customFormat="1" ht="17.25" outlineLevel="1">
      <c r="A911" s="921"/>
      <c r="B911" s="855" t="s">
        <v>1524</v>
      </c>
      <c r="D911" s="878"/>
      <c r="E911" s="871"/>
      <c r="F911" s="902"/>
      <c r="G911" s="902"/>
      <c r="H911" s="902"/>
      <c r="I911" s="399" t="str">
        <f t="shared" si="76"/>
        <v/>
      </c>
      <c r="J911" s="882"/>
      <c r="K911" s="882"/>
      <c r="L911" s="922"/>
      <c r="M911" s="922"/>
      <c r="N911" s="922"/>
      <c r="O911" s="922"/>
      <c r="P911" s="922"/>
    </row>
    <row r="912" spans="1:16" s="854" customFormat="1" ht="17.25" outlineLevel="1">
      <c r="A912" s="921"/>
      <c r="B912" s="855" t="s">
        <v>1521</v>
      </c>
      <c r="C912" s="854" t="s">
        <v>1</v>
      </c>
      <c r="D912" s="878">
        <v>1</v>
      </c>
      <c r="E912" s="871">
        <v>1</v>
      </c>
      <c r="F912" s="902">
        <v>5.5</v>
      </c>
      <c r="G912" s="902"/>
      <c r="H912" s="902">
        <f>0.45-0.04</f>
        <v>0.41000000000000003</v>
      </c>
      <c r="I912" s="399">
        <f t="shared" si="76"/>
        <v>2.2599999999999998</v>
      </c>
      <c r="J912" s="882"/>
      <c r="K912" s="882"/>
      <c r="L912" s="922"/>
      <c r="M912" s="922"/>
      <c r="N912" s="922"/>
      <c r="O912" s="922"/>
      <c r="P912" s="922"/>
    </row>
    <row r="913" spans="1:16" s="854" customFormat="1" ht="17.25" outlineLevel="1">
      <c r="A913" s="921"/>
      <c r="B913" s="855" t="s">
        <v>1522</v>
      </c>
      <c r="C913" s="854" t="s">
        <v>1</v>
      </c>
      <c r="D913" s="878">
        <v>1</v>
      </c>
      <c r="E913" s="871">
        <v>1</v>
      </c>
      <c r="F913" s="902">
        <v>5.03</v>
      </c>
      <c r="G913" s="902"/>
      <c r="H913" s="1108">
        <v>0.26500000000000001</v>
      </c>
      <c r="I913" s="399">
        <f t="shared" si="76"/>
        <v>1.33</v>
      </c>
      <c r="J913" s="882"/>
      <c r="K913" s="882"/>
      <c r="L913" s="922"/>
      <c r="M913" s="922"/>
      <c r="N913" s="922"/>
      <c r="O913" s="922"/>
      <c r="P913" s="922"/>
    </row>
    <row r="914" spans="1:16" s="854" customFormat="1" ht="17.25" outlineLevel="1">
      <c r="A914" s="921"/>
      <c r="B914" s="855" t="s">
        <v>1402</v>
      </c>
      <c r="C914" s="854" t="s">
        <v>1</v>
      </c>
      <c r="D914" s="878">
        <v>1</v>
      </c>
      <c r="E914" s="871">
        <v>1</v>
      </c>
      <c r="F914" s="902">
        <v>4.4800000000000004</v>
      </c>
      <c r="G914" s="902"/>
      <c r="H914" s="902">
        <f>0.185-0.04</f>
        <v>0.14499999999999999</v>
      </c>
      <c r="I914" s="399">
        <f t="shared" si="76"/>
        <v>0.65</v>
      </c>
      <c r="J914" s="882"/>
      <c r="K914" s="882"/>
      <c r="L914" s="922"/>
      <c r="M914" s="922"/>
      <c r="N914" s="922"/>
      <c r="O914" s="922"/>
      <c r="P914" s="922"/>
    </row>
    <row r="915" spans="1:16" s="854" customFormat="1" ht="17.25" outlineLevel="1">
      <c r="A915" s="921"/>
      <c r="B915" s="855" t="s">
        <v>1523</v>
      </c>
      <c r="C915" s="854" t="s">
        <v>1</v>
      </c>
      <c r="D915" s="878">
        <v>1</v>
      </c>
      <c r="E915" s="871">
        <v>2</v>
      </c>
      <c r="F915" s="902">
        <v>4.99</v>
      </c>
      <c r="G915" s="902">
        <v>0.5</v>
      </c>
      <c r="H915" s="902"/>
      <c r="I915" s="399">
        <f t="shared" si="76"/>
        <v>4.99</v>
      </c>
      <c r="J915" s="882"/>
      <c r="K915" s="882"/>
      <c r="L915" s="922"/>
      <c r="M915" s="922"/>
      <c r="N915" s="922"/>
      <c r="O915" s="922"/>
      <c r="P915" s="922"/>
    </row>
    <row r="916" spans="1:16" s="854" customFormat="1" ht="17.25" outlineLevel="1">
      <c r="A916" s="921"/>
      <c r="B916" s="855" t="s">
        <v>1416</v>
      </c>
      <c r="C916" s="854" t="s">
        <v>1</v>
      </c>
      <c r="D916" s="878">
        <v>1</v>
      </c>
      <c r="E916" s="871">
        <v>2</v>
      </c>
      <c r="F916" s="902">
        <v>0.28999999999999998</v>
      </c>
      <c r="G916" s="902"/>
      <c r="H916" s="902">
        <f>0.45-0.04</f>
        <v>0.41000000000000003</v>
      </c>
      <c r="I916" s="399">
        <f t="shared" si="76"/>
        <v>0.24</v>
      </c>
      <c r="J916" s="882"/>
      <c r="K916" s="882"/>
      <c r="L916" s="922"/>
      <c r="M916" s="922"/>
      <c r="N916" s="922"/>
      <c r="O916" s="922"/>
      <c r="P916" s="922"/>
    </row>
    <row r="917" spans="1:16" s="854" customFormat="1" ht="17.25" outlineLevel="1">
      <c r="A917" s="921"/>
      <c r="B917" s="855"/>
      <c r="C917" s="854" t="s">
        <v>1</v>
      </c>
      <c r="D917" s="878">
        <v>1</v>
      </c>
      <c r="E917" s="871">
        <v>2</v>
      </c>
      <c r="F917" s="902">
        <v>0.21</v>
      </c>
      <c r="G917" s="902"/>
      <c r="H917" s="902">
        <f>0.185-0.04</f>
        <v>0.14499999999999999</v>
      </c>
      <c r="I917" s="399">
        <f t="shared" si="76"/>
        <v>0.06</v>
      </c>
      <c r="J917" s="882"/>
      <c r="K917" s="882"/>
      <c r="L917" s="922"/>
      <c r="M917" s="922"/>
      <c r="N917" s="922"/>
      <c r="O917" s="922"/>
      <c r="P917" s="922"/>
    </row>
    <row r="918" spans="1:16" s="854" customFormat="1" ht="17.25" outlineLevel="1">
      <c r="A918" s="921"/>
      <c r="B918" s="855" t="s">
        <v>1525</v>
      </c>
      <c r="D918" s="878"/>
      <c r="E918" s="871"/>
      <c r="F918" s="902"/>
      <c r="G918" s="902"/>
      <c r="H918" s="902"/>
      <c r="I918" s="399" t="str">
        <f t="shared" si="76"/>
        <v/>
      </c>
      <c r="J918" s="882"/>
      <c r="K918" s="882"/>
      <c r="L918" s="922"/>
      <c r="M918" s="922"/>
      <c r="N918" s="922"/>
      <c r="O918" s="922"/>
      <c r="P918" s="922"/>
    </row>
    <row r="919" spans="1:16" s="854" customFormat="1" ht="17.25" outlineLevel="1">
      <c r="A919" s="921"/>
      <c r="B919" s="855" t="s">
        <v>1521</v>
      </c>
      <c r="C919" s="854" t="s">
        <v>1</v>
      </c>
      <c r="D919" s="878">
        <v>1</v>
      </c>
      <c r="E919" s="871">
        <v>1</v>
      </c>
      <c r="F919" s="902">
        <v>2.63</v>
      </c>
      <c r="G919" s="902"/>
      <c r="H919" s="902">
        <f>0.45-0.04</f>
        <v>0.41000000000000003</v>
      </c>
      <c r="I919" s="399">
        <f t="shared" si="76"/>
        <v>1.08</v>
      </c>
      <c r="J919" s="882"/>
      <c r="K919" s="882"/>
      <c r="L919" s="922"/>
      <c r="M919" s="922"/>
      <c r="N919" s="922"/>
      <c r="O919" s="922"/>
      <c r="P919" s="922"/>
    </row>
    <row r="920" spans="1:16" s="854" customFormat="1" ht="17.25" outlineLevel="1">
      <c r="A920" s="921"/>
      <c r="B920" s="855" t="s">
        <v>1522</v>
      </c>
      <c r="C920" s="854" t="s">
        <v>1</v>
      </c>
      <c r="D920" s="878">
        <v>1</v>
      </c>
      <c r="E920" s="871">
        <v>1</v>
      </c>
      <c r="F920" s="902">
        <v>2.2549999999999999</v>
      </c>
      <c r="G920" s="902"/>
      <c r="H920" s="1108">
        <v>0.26500000000000001</v>
      </c>
      <c r="I920" s="399">
        <f t="shared" si="76"/>
        <v>0.6</v>
      </c>
      <c r="J920" s="882"/>
      <c r="K920" s="882"/>
      <c r="L920" s="922"/>
      <c r="M920" s="922"/>
      <c r="N920" s="922"/>
      <c r="O920" s="922"/>
      <c r="P920" s="922"/>
    </row>
    <row r="921" spans="1:16" s="854" customFormat="1" ht="17.25" outlineLevel="1">
      <c r="A921" s="921"/>
      <c r="B921" s="855" t="s">
        <v>1402</v>
      </c>
      <c r="C921" s="854" t="s">
        <v>1</v>
      </c>
      <c r="D921" s="878">
        <v>1</v>
      </c>
      <c r="E921" s="871">
        <v>1</v>
      </c>
      <c r="F921" s="902">
        <v>1.81</v>
      </c>
      <c r="G921" s="902"/>
      <c r="H921" s="902">
        <f>0.185-0.04</f>
        <v>0.14499999999999999</v>
      </c>
      <c r="I921" s="399">
        <f t="shared" si="76"/>
        <v>0.26</v>
      </c>
      <c r="J921" s="882"/>
      <c r="K921" s="882"/>
      <c r="L921" s="922"/>
      <c r="M921" s="922"/>
      <c r="N921" s="922"/>
      <c r="O921" s="922"/>
      <c r="P921" s="922"/>
    </row>
    <row r="922" spans="1:16" s="854" customFormat="1" ht="17.25" outlineLevel="1">
      <c r="A922" s="921"/>
      <c r="B922" s="855" t="s">
        <v>1523</v>
      </c>
      <c r="C922" s="854" t="s">
        <v>1</v>
      </c>
      <c r="D922" s="878">
        <v>1</v>
      </c>
      <c r="E922" s="871">
        <v>2</v>
      </c>
      <c r="F922" s="902">
        <v>2.2200000000000002</v>
      </c>
      <c r="G922" s="902">
        <v>0.5</v>
      </c>
      <c r="H922" s="902"/>
      <c r="I922" s="399">
        <f t="shared" si="76"/>
        <v>2.2200000000000002</v>
      </c>
      <c r="J922" s="882"/>
      <c r="K922" s="882"/>
      <c r="L922" s="922"/>
      <c r="M922" s="922"/>
      <c r="N922" s="922"/>
      <c r="O922" s="922"/>
      <c r="P922" s="922"/>
    </row>
    <row r="923" spans="1:16" s="854" customFormat="1" ht="17.25" outlineLevel="1">
      <c r="A923" s="921"/>
      <c r="B923" s="855" t="s">
        <v>1416</v>
      </c>
      <c r="C923" s="854" t="s">
        <v>1</v>
      </c>
      <c r="D923" s="878">
        <v>1</v>
      </c>
      <c r="E923" s="871">
        <v>2</v>
      </c>
      <c r="F923" s="902">
        <v>0.28999999999999998</v>
      </c>
      <c r="G923" s="902"/>
      <c r="H923" s="902">
        <f>0.45-0.04</f>
        <v>0.41000000000000003</v>
      </c>
      <c r="I923" s="399">
        <f t="shared" si="76"/>
        <v>0.24</v>
      </c>
      <c r="J923" s="882"/>
      <c r="K923" s="882"/>
      <c r="L923" s="922"/>
      <c r="M923" s="922"/>
      <c r="N923" s="922"/>
      <c r="O923" s="922"/>
      <c r="P923" s="922"/>
    </row>
    <row r="924" spans="1:16" s="854" customFormat="1" ht="17.25" outlineLevel="1">
      <c r="A924" s="921"/>
      <c r="B924" s="855"/>
      <c r="C924" s="854" t="s">
        <v>1</v>
      </c>
      <c r="D924" s="878">
        <v>1</v>
      </c>
      <c r="E924" s="871">
        <v>2</v>
      </c>
      <c r="F924" s="902">
        <v>0.21</v>
      </c>
      <c r="G924" s="902"/>
      <c r="H924" s="902">
        <f>0.185-0.04</f>
        <v>0.14499999999999999</v>
      </c>
      <c r="I924" s="399">
        <f t="shared" si="76"/>
        <v>0.06</v>
      </c>
      <c r="J924" s="882"/>
      <c r="K924" s="882"/>
      <c r="L924" s="922"/>
      <c r="M924" s="922"/>
      <c r="N924" s="922"/>
      <c r="O924" s="922"/>
      <c r="P924" s="922"/>
    </row>
    <row r="925" spans="1:16" s="854" customFormat="1" ht="17.25" outlineLevel="1">
      <c r="A925" s="921"/>
      <c r="B925" s="855" t="s">
        <v>1526</v>
      </c>
      <c r="D925" s="878"/>
      <c r="E925" s="871"/>
      <c r="F925" s="902"/>
      <c r="G925" s="902"/>
      <c r="H925" s="902"/>
      <c r="I925" s="399" t="str">
        <f t="shared" si="76"/>
        <v/>
      </c>
      <c r="J925" s="882"/>
      <c r="K925" s="882"/>
      <c r="L925" s="922"/>
      <c r="M925" s="922"/>
      <c r="N925" s="922"/>
      <c r="O925" s="922"/>
      <c r="P925" s="922"/>
    </row>
    <row r="926" spans="1:16" s="854" customFormat="1" ht="17.25" outlineLevel="1">
      <c r="A926" s="921"/>
      <c r="B926" s="855" t="s">
        <v>1521</v>
      </c>
      <c r="C926" s="854" t="s">
        <v>1</v>
      </c>
      <c r="D926" s="878">
        <v>1</v>
      </c>
      <c r="E926" s="871">
        <v>1</v>
      </c>
      <c r="F926" s="902">
        <v>4.8099999999999996</v>
      </c>
      <c r="G926" s="902"/>
      <c r="H926" s="902">
        <f>0.45-0.04</f>
        <v>0.41000000000000003</v>
      </c>
      <c r="I926" s="399">
        <f t="shared" si="76"/>
        <v>1.97</v>
      </c>
      <c r="J926" s="882"/>
      <c r="K926" s="882"/>
      <c r="L926" s="922"/>
      <c r="M926" s="922"/>
      <c r="N926" s="922"/>
      <c r="O926" s="922"/>
      <c r="P926" s="922"/>
    </row>
    <row r="927" spans="1:16" s="854" customFormat="1" ht="17.25" outlineLevel="1">
      <c r="A927" s="921"/>
      <c r="B927" s="855" t="s">
        <v>1522</v>
      </c>
      <c r="C927" s="854" t="s">
        <v>1</v>
      </c>
      <c r="D927" s="878">
        <v>1</v>
      </c>
      <c r="E927" s="871">
        <v>1</v>
      </c>
      <c r="F927" s="902">
        <v>4.2549999999999999</v>
      </c>
      <c r="G927" s="902"/>
      <c r="H927" s="1108">
        <v>0.26500000000000001</v>
      </c>
      <c r="I927" s="399">
        <f t="shared" si="76"/>
        <v>1.1299999999999999</v>
      </c>
      <c r="J927" s="882"/>
      <c r="K927" s="882"/>
      <c r="L927" s="922"/>
      <c r="M927" s="922"/>
      <c r="N927" s="922"/>
      <c r="O927" s="922"/>
      <c r="P927" s="922"/>
    </row>
    <row r="928" spans="1:16" s="854" customFormat="1" ht="17.25" outlineLevel="1">
      <c r="A928" s="921"/>
      <c r="B928" s="855" t="s">
        <v>1402</v>
      </c>
      <c r="C928" s="854" t="s">
        <v>1</v>
      </c>
      <c r="D928" s="878">
        <v>1</v>
      </c>
      <c r="E928" s="871">
        <v>1</v>
      </c>
      <c r="F928" s="902">
        <v>3.605</v>
      </c>
      <c r="G928" s="902"/>
      <c r="H928" s="902">
        <f>0.185-0.04</f>
        <v>0.14499999999999999</v>
      </c>
      <c r="I928" s="399">
        <f t="shared" si="76"/>
        <v>0.52</v>
      </c>
      <c r="J928" s="882"/>
      <c r="K928" s="882"/>
      <c r="L928" s="922"/>
      <c r="M928" s="922"/>
      <c r="N928" s="922"/>
      <c r="O928" s="922"/>
      <c r="P928" s="922"/>
    </row>
    <row r="929" spans="1:16" s="854" customFormat="1" ht="17.25" outlineLevel="1">
      <c r="A929" s="921"/>
      <c r="B929" s="855" t="s">
        <v>1523</v>
      </c>
      <c r="C929" s="854" t="s">
        <v>1</v>
      </c>
      <c r="D929" s="878">
        <v>1</v>
      </c>
      <c r="E929" s="871">
        <v>2</v>
      </c>
      <c r="F929" s="902">
        <v>4.2050000000000001</v>
      </c>
      <c r="G929" s="902">
        <v>0.5</v>
      </c>
      <c r="H929" s="902"/>
      <c r="I929" s="399">
        <f t="shared" si="76"/>
        <v>4.21</v>
      </c>
      <c r="J929" s="882"/>
      <c r="K929" s="882"/>
      <c r="L929" s="922"/>
      <c r="M929" s="922"/>
      <c r="N929" s="922"/>
      <c r="O929" s="922"/>
      <c r="P929" s="922"/>
    </row>
    <row r="930" spans="1:16" s="854" customFormat="1" ht="17.25" outlineLevel="1">
      <c r="A930" s="921"/>
      <c r="B930" s="855" t="s">
        <v>1416</v>
      </c>
      <c r="C930" s="854" t="s">
        <v>1</v>
      </c>
      <c r="D930" s="878">
        <v>1</v>
      </c>
      <c r="E930" s="871">
        <v>2</v>
      </c>
      <c r="F930" s="902">
        <v>0.28999999999999998</v>
      </c>
      <c r="G930" s="902"/>
      <c r="H930" s="902">
        <f>0.45-0.04</f>
        <v>0.41000000000000003</v>
      </c>
      <c r="I930" s="399">
        <f t="shared" si="76"/>
        <v>0.24</v>
      </c>
      <c r="J930" s="882"/>
      <c r="K930" s="882"/>
      <c r="L930" s="922"/>
      <c r="M930" s="922"/>
      <c r="N930" s="922"/>
      <c r="O930" s="922"/>
      <c r="P930" s="922"/>
    </row>
    <row r="931" spans="1:16" s="854" customFormat="1" ht="17.25" outlineLevel="1">
      <c r="A931" s="921"/>
      <c r="B931" s="855"/>
      <c r="C931" s="854" t="s">
        <v>1</v>
      </c>
      <c r="D931" s="878">
        <v>1</v>
      </c>
      <c r="E931" s="871">
        <v>2</v>
      </c>
      <c r="F931" s="902">
        <v>0.21</v>
      </c>
      <c r="G931" s="902"/>
      <c r="H931" s="902">
        <f>0.185-0.04</f>
        <v>0.14499999999999999</v>
      </c>
      <c r="I931" s="399">
        <f t="shared" si="76"/>
        <v>0.06</v>
      </c>
      <c r="J931" s="882"/>
      <c r="K931" s="882"/>
      <c r="L931" s="922"/>
      <c r="M931" s="922"/>
      <c r="N931" s="922"/>
      <c r="O931" s="922"/>
      <c r="P931" s="922"/>
    </row>
    <row r="932" spans="1:16" s="854" customFormat="1" ht="17.25" outlineLevel="1">
      <c r="A932" s="921"/>
      <c r="B932" s="855" t="s">
        <v>1527</v>
      </c>
      <c r="D932" s="878"/>
      <c r="E932" s="871"/>
      <c r="F932" s="902"/>
      <c r="G932" s="902"/>
      <c r="H932" s="902"/>
      <c r="I932" s="399" t="str">
        <f t="shared" si="76"/>
        <v/>
      </c>
      <c r="J932" s="882"/>
      <c r="K932" s="882"/>
      <c r="L932" s="922"/>
      <c r="M932" s="922"/>
      <c r="N932" s="922"/>
      <c r="O932" s="922"/>
      <c r="P932" s="922"/>
    </row>
    <row r="933" spans="1:16" s="854" customFormat="1" ht="17.25" outlineLevel="1">
      <c r="A933" s="921"/>
      <c r="B933" s="855" t="s">
        <v>1521</v>
      </c>
      <c r="C933" s="854" t="s">
        <v>1</v>
      </c>
      <c r="D933" s="878">
        <v>1</v>
      </c>
      <c r="E933" s="871">
        <v>1</v>
      </c>
      <c r="F933" s="902">
        <v>5.5350000000000001</v>
      </c>
      <c r="G933" s="902"/>
      <c r="H933" s="902">
        <f>0.45-0.04</f>
        <v>0.41000000000000003</v>
      </c>
      <c r="I933" s="399">
        <f t="shared" si="76"/>
        <v>2.27</v>
      </c>
      <c r="J933" s="882"/>
      <c r="K933" s="882"/>
      <c r="L933" s="922"/>
      <c r="M933" s="922"/>
      <c r="N933" s="922"/>
      <c r="O933" s="922"/>
      <c r="P933" s="922"/>
    </row>
    <row r="934" spans="1:16" s="854" customFormat="1" ht="17.25" outlineLevel="1">
      <c r="A934" s="921"/>
      <c r="B934" s="855" t="s">
        <v>1522</v>
      </c>
      <c r="C934" s="854" t="s">
        <v>1</v>
      </c>
      <c r="D934" s="878">
        <v>1</v>
      </c>
      <c r="E934" s="871">
        <v>1</v>
      </c>
      <c r="F934" s="902">
        <v>5.0350000000000001</v>
      </c>
      <c r="G934" s="902"/>
      <c r="H934" s="1108">
        <v>0.26500000000000001</v>
      </c>
      <c r="I934" s="399">
        <f t="shared" ref="I934:I958" si="77">IF(D934&lt;&gt;0,ROUND(PRODUCT(E934:H934)*D934,2),"")</f>
        <v>1.33</v>
      </c>
      <c r="J934" s="882"/>
      <c r="K934" s="882"/>
      <c r="L934" s="922"/>
      <c r="M934" s="922"/>
      <c r="N934" s="922"/>
      <c r="O934" s="922"/>
      <c r="P934" s="922"/>
    </row>
    <row r="935" spans="1:16" s="854" customFormat="1" ht="17.25" outlineLevel="1">
      <c r="A935" s="921"/>
      <c r="B935" s="855" t="s">
        <v>1402</v>
      </c>
      <c r="C935" s="854" t="s">
        <v>1</v>
      </c>
      <c r="D935" s="878">
        <v>1</v>
      </c>
      <c r="E935" s="871">
        <v>1</v>
      </c>
      <c r="F935" s="902">
        <v>4.45</v>
      </c>
      <c r="G935" s="902"/>
      <c r="H935" s="902">
        <f>0.185-0.04</f>
        <v>0.14499999999999999</v>
      </c>
      <c r="I935" s="399">
        <f t="shared" si="77"/>
        <v>0.65</v>
      </c>
      <c r="J935" s="882"/>
      <c r="K935" s="882"/>
      <c r="L935" s="922"/>
      <c r="M935" s="922"/>
      <c r="N935" s="922"/>
      <c r="O935" s="922"/>
      <c r="P935" s="922"/>
    </row>
    <row r="936" spans="1:16" s="854" customFormat="1" ht="17.25" outlineLevel="1">
      <c r="A936" s="921"/>
      <c r="B936" s="855" t="s">
        <v>1523</v>
      </c>
      <c r="C936" s="854" t="s">
        <v>1</v>
      </c>
      <c r="D936" s="878">
        <v>1</v>
      </c>
      <c r="E936" s="871">
        <v>2</v>
      </c>
      <c r="F936" s="902">
        <v>4.99</v>
      </c>
      <c r="G936" s="902">
        <v>0.5</v>
      </c>
      <c r="H936" s="902"/>
      <c r="I936" s="399">
        <f t="shared" si="77"/>
        <v>4.99</v>
      </c>
      <c r="J936" s="882"/>
      <c r="K936" s="882"/>
      <c r="L936" s="922"/>
      <c r="M936" s="922"/>
      <c r="N936" s="922"/>
      <c r="O936" s="922"/>
      <c r="P936" s="922"/>
    </row>
    <row r="937" spans="1:16" s="854" customFormat="1" ht="17.25" outlineLevel="1">
      <c r="A937" s="921"/>
      <c r="B937" s="855" t="s">
        <v>1416</v>
      </c>
      <c r="C937" s="854" t="s">
        <v>1</v>
      </c>
      <c r="D937" s="878">
        <v>1</v>
      </c>
      <c r="E937" s="871">
        <v>2</v>
      </c>
      <c r="F937" s="902">
        <v>0.28999999999999998</v>
      </c>
      <c r="G937" s="902"/>
      <c r="H937" s="902">
        <f>0.45-0.04</f>
        <v>0.41000000000000003</v>
      </c>
      <c r="I937" s="399">
        <f t="shared" si="77"/>
        <v>0.24</v>
      </c>
      <c r="J937" s="882"/>
      <c r="K937" s="882"/>
      <c r="L937" s="922"/>
      <c r="M937" s="922"/>
      <c r="N937" s="922"/>
      <c r="O937" s="922"/>
      <c r="P937" s="922"/>
    </row>
    <row r="938" spans="1:16" s="854" customFormat="1" ht="17.25" outlineLevel="1">
      <c r="A938" s="921"/>
      <c r="B938" s="855"/>
      <c r="C938" s="854" t="s">
        <v>1</v>
      </c>
      <c r="D938" s="878">
        <v>1</v>
      </c>
      <c r="E938" s="871">
        <v>2</v>
      </c>
      <c r="F938" s="902">
        <v>0.21</v>
      </c>
      <c r="G938" s="902"/>
      <c r="H938" s="902">
        <f>0.185-0.04</f>
        <v>0.14499999999999999</v>
      </c>
      <c r="I938" s="399">
        <f t="shared" si="77"/>
        <v>0.06</v>
      </c>
      <c r="J938" s="882"/>
      <c r="K938" s="882"/>
      <c r="L938" s="922"/>
      <c r="M938" s="922"/>
      <c r="N938" s="922"/>
      <c r="O938" s="922"/>
      <c r="P938" s="922"/>
    </row>
    <row r="939" spans="1:16" s="854" customFormat="1" ht="17.25" outlineLevel="1">
      <c r="A939" s="921"/>
      <c r="B939" s="855" t="s">
        <v>1528</v>
      </c>
      <c r="D939" s="878"/>
      <c r="E939" s="871"/>
      <c r="F939" s="902"/>
      <c r="G939" s="902"/>
      <c r="H939" s="902"/>
      <c r="I939" s="399" t="str">
        <f t="shared" si="77"/>
        <v/>
      </c>
      <c r="J939" s="882"/>
      <c r="K939" s="882"/>
      <c r="L939" s="922"/>
      <c r="M939" s="922"/>
      <c r="N939" s="922"/>
      <c r="O939" s="922"/>
      <c r="P939" s="922"/>
    </row>
    <row r="940" spans="1:16" s="854" customFormat="1" ht="17.25" outlineLevel="1">
      <c r="A940" s="921"/>
      <c r="B940" s="855" t="s">
        <v>1521</v>
      </c>
      <c r="C940" s="854" t="s">
        <v>1</v>
      </c>
      <c r="D940" s="878">
        <v>1</v>
      </c>
      <c r="E940" s="871">
        <v>1</v>
      </c>
      <c r="F940" s="902">
        <v>3.2549999999999999</v>
      </c>
      <c r="G940" s="902"/>
      <c r="H940" s="902">
        <f>0.45-0.04</f>
        <v>0.41000000000000003</v>
      </c>
      <c r="I940" s="399">
        <f t="shared" si="77"/>
        <v>1.33</v>
      </c>
      <c r="J940" s="882"/>
      <c r="K940" s="882"/>
      <c r="L940" s="922"/>
      <c r="M940" s="922"/>
      <c r="N940" s="922"/>
      <c r="O940" s="922"/>
      <c r="P940" s="922"/>
    </row>
    <row r="941" spans="1:16" s="854" customFormat="1" ht="17.25" outlineLevel="1">
      <c r="A941" s="921"/>
      <c r="B941" s="855" t="s">
        <v>1522</v>
      </c>
      <c r="C941" s="854" t="s">
        <v>1</v>
      </c>
      <c r="D941" s="878">
        <v>1</v>
      </c>
      <c r="E941" s="871">
        <v>1</v>
      </c>
      <c r="F941" s="902">
        <v>2.99</v>
      </c>
      <c r="G941" s="902"/>
      <c r="H941" s="1108">
        <v>0.26500000000000001</v>
      </c>
      <c r="I941" s="399">
        <f t="shared" si="77"/>
        <v>0.79</v>
      </c>
      <c r="J941" s="882"/>
      <c r="K941" s="882"/>
      <c r="L941" s="922"/>
      <c r="M941" s="922"/>
      <c r="N941" s="922"/>
      <c r="O941" s="922"/>
      <c r="P941" s="922"/>
    </row>
    <row r="942" spans="1:16" s="854" customFormat="1" ht="17.25" outlineLevel="1">
      <c r="A942" s="921"/>
      <c r="B942" s="855" t="s">
        <v>1402</v>
      </c>
      <c r="C942" s="854" t="s">
        <v>1</v>
      </c>
      <c r="D942" s="878">
        <v>1</v>
      </c>
      <c r="E942" s="871">
        <v>1</v>
      </c>
      <c r="F942" s="902">
        <v>2.6349999999999998</v>
      </c>
      <c r="G942" s="902"/>
      <c r="H942" s="902">
        <f>0.185-0.04</f>
        <v>0.14499999999999999</v>
      </c>
      <c r="I942" s="399">
        <f t="shared" si="77"/>
        <v>0.38</v>
      </c>
      <c r="J942" s="882"/>
      <c r="K942" s="882"/>
      <c r="L942" s="922"/>
      <c r="M942" s="922"/>
      <c r="N942" s="922"/>
      <c r="O942" s="922"/>
      <c r="P942" s="922"/>
    </row>
    <row r="943" spans="1:16" s="854" customFormat="1" ht="17.25" outlineLevel="1">
      <c r="A943" s="921"/>
      <c r="B943" s="855" t="s">
        <v>1523</v>
      </c>
      <c r="C943" s="854" t="s">
        <v>1</v>
      </c>
      <c r="D943" s="878">
        <v>1</v>
      </c>
      <c r="E943" s="871">
        <v>2</v>
      </c>
      <c r="F943" s="902">
        <v>2.9649999999999999</v>
      </c>
      <c r="G943" s="902">
        <v>0.5</v>
      </c>
      <c r="H943" s="902"/>
      <c r="I943" s="399">
        <f t="shared" si="77"/>
        <v>2.97</v>
      </c>
      <c r="J943" s="882"/>
      <c r="K943" s="882"/>
      <c r="L943" s="922"/>
      <c r="M943" s="922"/>
      <c r="N943" s="922"/>
      <c r="O943" s="922"/>
      <c r="P943" s="922"/>
    </row>
    <row r="944" spans="1:16" s="854" customFormat="1" ht="17.25" outlineLevel="1">
      <c r="A944" s="921"/>
      <c r="B944" s="855" t="s">
        <v>1416</v>
      </c>
      <c r="C944" s="854" t="s">
        <v>1</v>
      </c>
      <c r="D944" s="878">
        <v>1</v>
      </c>
      <c r="E944" s="871">
        <v>2</v>
      </c>
      <c r="F944" s="902">
        <v>0.28999999999999998</v>
      </c>
      <c r="G944" s="902"/>
      <c r="H944" s="902">
        <f>0.45-0.04</f>
        <v>0.41000000000000003</v>
      </c>
      <c r="I944" s="399">
        <f t="shared" si="77"/>
        <v>0.24</v>
      </c>
      <c r="J944" s="882"/>
      <c r="K944" s="882"/>
      <c r="L944" s="922"/>
      <c r="M944" s="922"/>
      <c r="N944" s="922"/>
      <c r="O944" s="922"/>
      <c r="P944" s="922"/>
    </row>
    <row r="945" spans="1:16" s="854" customFormat="1" ht="17.25" outlineLevel="1">
      <c r="A945" s="921"/>
      <c r="B945" s="855"/>
      <c r="C945" s="854" t="s">
        <v>1</v>
      </c>
      <c r="D945" s="878">
        <v>1</v>
      </c>
      <c r="E945" s="871">
        <v>2</v>
      </c>
      <c r="F945" s="902">
        <v>0.21</v>
      </c>
      <c r="G945" s="902"/>
      <c r="H945" s="902">
        <f>0.185-0.04</f>
        <v>0.14499999999999999</v>
      </c>
      <c r="I945" s="399">
        <f t="shared" si="77"/>
        <v>0.06</v>
      </c>
      <c r="J945" s="882"/>
      <c r="K945" s="882"/>
      <c r="L945" s="922"/>
      <c r="M945" s="922"/>
      <c r="N945" s="922"/>
      <c r="O945" s="922"/>
      <c r="P945" s="922"/>
    </row>
    <row r="946" spans="1:16" s="854" customFormat="1" ht="17.25" outlineLevel="1">
      <c r="A946" s="921"/>
      <c r="B946" s="855" t="s">
        <v>1529</v>
      </c>
      <c r="D946" s="878"/>
      <c r="E946" s="871"/>
      <c r="F946" s="902"/>
      <c r="G946" s="902"/>
      <c r="H946" s="902"/>
      <c r="I946" s="399" t="str">
        <f t="shared" si="77"/>
        <v/>
      </c>
      <c r="J946" s="882"/>
      <c r="K946" s="882"/>
      <c r="L946" s="922"/>
      <c r="M946" s="922"/>
      <c r="N946" s="922"/>
      <c r="O946" s="922"/>
      <c r="P946" s="922"/>
    </row>
    <row r="947" spans="1:16" s="854" customFormat="1" ht="17.25" outlineLevel="1">
      <c r="A947" s="921"/>
      <c r="B947" s="855" t="s">
        <v>1521</v>
      </c>
      <c r="C947" s="854" t="s">
        <v>1</v>
      </c>
      <c r="D947" s="878">
        <v>1</v>
      </c>
      <c r="E947" s="871">
        <v>1</v>
      </c>
      <c r="F947" s="902">
        <v>3.27</v>
      </c>
      <c r="G947" s="902"/>
      <c r="H947" s="902">
        <f>0.45-0.04</f>
        <v>0.41000000000000003</v>
      </c>
      <c r="I947" s="399">
        <f t="shared" si="77"/>
        <v>1.34</v>
      </c>
      <c r="J947" s="882"/>
      <c r="K947" s="882"/>
      <c r="L947" s="922"/>
      <c r="M947" s="922"/>
      <c r="N947" s="922"/>
      <c r="O947" s="922"/>
      <c r="P947" s="922"/>
    </row>
    <row r="948" spans="1:16" s="854" customFormat="1" ht="17.25" outlineLevel="1">
      <c r="A948" s="921"/>
      <c r="B948" s="855" t="s">
        <v>1522</v>
      </c>
      <c r="C948" s="854" t="s">
        <v>1</v>
      </c>
      <c r="D948" s="878">
        <v>1</v>
      </c>
      <c r="E948" s="871">
        <v>1</v>
      </c>
      <c r="F948" s="902">
        <v>2.97</v>
      </c>
      <c r="G948" s="902"/>
      <c r="H948" s="1108">
        <v>0.26500000000000001</v>
      </c>
      <c r="I948" s="399">
        <f t="shared" si="77"/>
        <v>0.79</v>
      </c>
      <c r="J948" s="882"/>
      <c r="K948" s="882"/>
      <c r="L948" s="922"/>
      <c r="M948" s="922"/>
      <c r="N948" s="922"/>
      <c r="O948" s="922"/>
      <c r="P948" s="922"/>
    </row>
    <row r="949" spans="1:16" s="854" customFormat="1" ht="17.25" outlineLevel="1">
      <c r="A949" s="921"/>
      <c r="B949" s="855" t="s">
        <v>1402</v>
      </c>
      <c r="C949" s="854" t="s">
        <v>1</v>
      </c>
      <c r="D949" s="878">
        <v>1</v>
      </c>
      <c r="E949" s="871">
        <v>1</v>
      </c>
      <c r="F949" s="902">
        <v>2.6150000000000002</v>
      </c>
      <c r="G949" s="902"/>
      <c r="H949" s="902">
        <f>0.185-0.04</f>
        <v>0.14499999999999999</v>
      </c>
      <c r="I949" s="399">
        <f t="shared" si="77"/>
        <v>0.38</v>
      </c>
      <c r="J949" s="882"/>
      <c r="K949" s="882"/>
      <c r="L949" s="922"/>
      <c r="M949" s="922"/>
      <c r="N949" s="922"/>
      <c r="O949" s="922"/>
      <c r="P949" s="922"/>
    </row>
    <row r="950" spans="1:16" s="854" customFormat="1" ht="17.25" outlineLevel="1">
      <c r="A950" s="921"/>
      <c r="B950" s="855" t="s">
        <v>1523</v>
      </c>
      <c r="C950" s="854" t="s">
        <v>1</v>
      </c>
      <c r="D950" s="878">
        <v>1</v>
      </c>
      <c r="E950" s="871">
        <v>2</v>
      </c>
      <c r="F950" s="902">
        <v>2.9449999999999998</v>
      </c>
      <c r="G950" s="902">
        <v>0.5</v>
      </c>
      <c r="H950" s="902"/>
      <c r="I950" s="399">
        <f t="shared" si="77"/>
        <v>2.95</v>
      </c>
      <c r="J950" s="882"/>
      <c r="K950" s="882"/>
      <c r="L950" s="922"/>
      <c r="M950" s="922"/>
      <c r="N950" s="922"/>
      <c r="O950" s="922"/>
      <c r="P950" s="922"/>
    </row>
    <row r="951" spans="1:16" s="854" customFormat="1" ht="17.25" outlineLevel="1">
      <c r="A951" s="921"/>
      <c r="B951" s="855" t="s">
        <v>1416</v>
      </c>
      <c r="C951" s="854" t="s">
        <v>1</v>
      </c>
      <c r="D951" s="878">
        <v>1</v>
      </c>
      <c r="E951" s="871">
        <v>2</v>
      </c>
      <c r="F951" s="902">
        <v>0.28999999999999998</v>
      </c>
      <c r="G951" s="902"/>
      <c r="H951" s="902">
        <f>0.45-0.04</f>
        <v>0.41000000000000003</v>
      </c>
      <c r="I951" s="399">
        <f t="shared" si="77"/>
        <v>0.24</v>
      </c>
      <c r="J951" s="882"/>
      <c r="K951" s="882"/>
      <c r="L951" s="922"/>
      <c r="M951" s="922"/>
      <c r="N951" s="922"/>
      <c r="O951" s="922"/>
      <c r="P951" s="922"/>
    </row>
    <row r="952" spans="1:16" s="854" customFormat="1" ht="17.25" outlineLevel="1">
      <c r="A952" s="921"/>
      <c r="B952" s="855"/>
      <c r="C952" s="854" t="s">
        <v>1</v>
      </c>
      <c r="D952" s="878">
        <v>1</v>
      </c>
      <c r="E952" s="871">
        <v>2</v>
      </c>
      <c r="F952" s="902">
        <v>0.21</v>
      </c>
      <c r="G952" s="902"/>
      <c r="H952" s="902">
        <f>0.185-0.04</f>
        <v>0.14499999999999999</v>
      </c>
      <c r="I952" s="399">
        <f t="shared" si="77"/>
        <v>0.06</v>
      </c>
      <c r="J952" s="882"/>
      <c r="K952" s="882"/>
      <c r="L952" s="922"/>
      <c r="M952" s="922"/>
      <c r="N952" s="922"/>
      <c r="O952" s="922"/>
      <c r="P952" s="922"/>
    </row>
    <row r="953" spans="1:16" s="854" customFormat="1" ht="51.75" outlineLevel="1">
      <c r="A953" s="921" t="s">
        <v>1530</v>
      </c>
      <c r="B953" s="855" t="s">
        <v>1531</v>
      </c>
      <c r="D953" s="878"/>
      <c r="E953" s="871"/>
      <c r="F953" s="902"/>
      <c r="G953" s="902"/>
      <c r="H953" s="902"/>
      <c r="I953" s="399" t="str">
        <f t="shared" si="77"/>
        <v/>
      </c>
      <c r="J953" s="882"/>
      <c r="K953" s="882"/>
      <c r="L953" s="922"/>
      <c r="M953" s="922"/>
      <c r="N953" s="922"/>
      <c r="O953" s="922"/>
      <c r="P953" s="922"/>
    </row>
    <row r="954" spans="1:16" s="854" customFormat="1" ht="17.25" outlineLevel="1">
      <c r="A954" s="921"/>
      <c r="B954" s="855" t="s">
        <v>1532</v>
      </c>
      <c r="C954" s="854" t="s">
        <v>1</v>
      </c>
      <c r="D954" s="878">
        <v>1</v>
      </c>
      <c r="E954" s="871">
        <v>2</v>
      </c>
      <c r="F954" s="1108">
        <v>50.264000000000003</v>
      </c>
      <c r="G954" s="902"/>
      <c r="H954" s="902"/>
      <c r="I954" s="399">
        <f t="shared" si="77"/>
        <v>100.53</v>
      </c>
      <c r="J954" s="882"/>
      <c r="K954" s="882"/>
      <c r="L954" s="922"/>
      <c r="M954" s="922"/>
      <c r="N954" s="922"/>
      <c r="O954" s="922"/>
      <c r="P954" s="922"/>
    </row>
    <row r="955" spans="1:16" s="854" customFormat="1" ht="17.25" outlineLevel="1">
      <c r="A955" s="921"/>
      <c r="B955" s="855" t="s">
        <v>1533</v>
      </c>
      <c r="C955" s="854" t="s">
        <v>1</v>
      </c>
      <c r="D955" s="878">
        <v>-1</v>
      </c>
      <c r="E955" s="871">
        <v>2</v>
      </c>
      <c r="F955" s="902">
        <f>38484510.006/1000000</f>
        <v>38.484510006000001</v>
      </c>
      <c r="G955" s="902"/>
      <c r="H955" s="902"/>
      <c r="I955" s="399">
        <f t="shared" si="77"/>
        <v>-76.97</v>
      </c>
      <c r="J955" s="882"/>
      <c r="K955" s="882"/>
      <c r="L955" s="922"/>
      <c r="M955" s="922"/>
      <c r="N955" s="922"/>
      <c r="O955" s="922"/>
      <c r="P955" s="922"/>
    </row>
    <row r="956" spans="1:16" s="49" customFormat="1" ht="17.25">
      <c r="A956" s="157"/>
      <c r="B956" s="158" t="s">
        <v>85</v>
      </c>
      <c r="C956" s="159" t="s">
        <v>1</v>
      </c>
      <c r="D956" s="646"/>
      <c r="E956" s="647"/>
      <c r="F956" s="648"/>
      <c r="G956" s="648"/>
      <c r="H956" s="648"/>
      <c r="I956" s="399" t="str">
        <f t="shared" si="77"/>
        <v/>
      </c>
      <c r="J956" s="227">
        <f>SUM(I805:I956)</f>
        <v>390.22000000000014</v>
      </c>
      <c r="K956" s="43"/>
      <c r="L956" s="233"/>
      <c r="M956" s="233"/>
      <c r="N956" s="233"/>
      <c r="O956" s="233"/>
      <c r="P956" s="233"/>
    </row>
    <row r="957" spans="1:16" s="165" customFormat="1" ht="17.25">
      <c r="A957" s="497"/>
      <c r="B957" s="311"/>
      <c r="C957" s="165" t="s">
        <v>1</v>
      </c>
      <c r="D957" s="392"/>
      <c r="E957" s="307"/>
      <c r="F957" s="540"/>
      <c r="G957" s="540"/>
      <c r="H957" s="540"/>
      <c r="I957" s="399" t="str">
        <f t="shared" si="77"/>
        <v/>
      </c>
      <c r="J957" s="394"/>
      <c r="K957" s="394"/>
      <c r="L957" s="164"/>
      <c r="M957" s="164"/>
      <c r="N957" s="164"/>
      <c r="O957" s="164"/>
      <c r="P957" s="164"/>
    </row>
    <row r="958" spans="1:16" s="165" customFormat="1" ht="34.5">
      <c r="A958" s="497"/>
      <c r="B958" s="311" t="s">
        <v>2080</v>
      </c>
      <c r="C958" s="165" t="s">
        <v>1</v>
      </c>
      <c r="D958" s="392">
        <v>1</v>
      </c>
      <c r="E958" s="307">
        <v>1</v>
      </c>
      <c r="F958" s="1103">
        <v>67.349999999999994</v>
      </c>
      <c r="G958" s="540"/>
      <c r="H958" s="540">
        <v>0.49</v>
      </c>
      <c r="I958" s="399">
        <f t="shared" si="77"/>
        <v>33</v>
      </c>
      <c r="J958" s="394"/>
      <c r="K958" s="394"/>
      <c r="L958" s="164"/>
      <c r="M958" s="164"/>
      <c r="N958" s="164"/>
      <c r="O958" s="164"/>
      <c r="P958" s="164"/>
    </row>
    <row r="959" spans="1:16" s="165" customFormat="1" ht="17.25">
      <c r="A959" s="497"/>
      <c r="B959" s="311"/>
      <c r="C959" s="165" t="s">
        <v>1</v>
      </c>
      <c r="D959" s="392"/>
      <c r="E959" s="307"/>
      <c r="F959" s="540"/>
      <c r="G959" s="540"/>
      <c r="H959" s="540"/>
      <c r="I959" s="394" t="str">
        <f t="shared" ref="I959:I960" si="78">IF(D959&lt;&gt;0,ROUND(PRODUCT(E959:H959)*D959,2),"")</f>
        <v/>
      </c>
      <c r="J959" s="394"/>
      <c r="K959" s="394"/>
      <c r="L959" s="164"/>
      <c r="M959" s="164"/>
      <c r="N959" s="164"/>
      <c r="O959" s="164"/>
      <c r="P959" s="164"/>
    </row>
    <row r="960" spans="1:16" s="15" customFormat="1" ht="17.25">
      <c r="A960" s="155"/>
      <c r="B960" s="33" t="s">
        <v>86</v>
      </c>
      <c r="C960" s="23" t="s">
        <v>1</v>
      </c>
      <c r="D960" s="649"/>
      <c r="E960" s="16"/>
      <c r="F960" s="1"/>
      <c r="G960" s="1"/>
      <c r="H960" s="1"/>
      <c r="I960" s="394" t="str">
        <f t="shared" si="78"/>
        <v/>
      </c>
      <c r="J960" s="36">
        <f>SUM(I957:I959)</f>
        <v>33</v>
      </c>
      <c r="K960" s="35" t="s">
        <v>1690</v>
      </c>
      <c r="L960" s="156"/>
      <c r="M960" s="156"/>
      <c r="N960" s="156"/>
      <c r="O960" s="156"/>
      <c r="P960" s="156"/>
    </row>
    <row r="961" spans="1:16" s="15" customFormat="1">
      <c r="A961" s="155"/>
      <c r="B961" s="22"/>
      <c r="C961" s="9"/>
      <c r="D961" s="29"/>
      <c r="E961" s="16"/>
      <c r="F961" s="1"/>
      <c r="G961" s="1"/>
      <c r="H961" s="1"/>
      <c r="I961" s="46" t="str">
        <f t="shared" ref="I961" si="79">IF(D961&lt;&gt;0,ROUND(PRODUCT(E961:H961)*D961,2),"")</f>
        <v/>
      </c>
      <c r="J961" s="31">
        <f>SUM(J956:J960)</f>
        <v>423.22000000000014</v>
      </c>
      <c r="K961" s="27"/>
      <c r="L961" s="156"/>
      <c r="M961" s="156"/>
      <c r="N961" s="156"/>
      <c r="O961" s="156"/>
      <c r="P961" s="156"/>
    </row>
    <row r="962" spans="1:16" s="414" customFormat="1" ht="17.25">
      <c r="A962" s="415"/>
      <c r="B962" s="416" t="s">
        <v>1073</v>
      </c>
      <c r="C962" s="417"/>
      <c r="D962" s="417"/>
      <c r="E962" s="446"/>
      <c r="F962" s="446"/>
      <c r="G962" s="446"/>
      <c r="H962" s="446"/>
      <c r="I962" s="418" t="str">
        <f t="shared" ref="I962" si="80">IF(D962&lt;&gt;0,ROUND(PRODUCT(E962:H962)*D962,2),"")</f>
        <v/>
      </c>
      <c r="J962" s="418"/>
      <c r="K962" s="419"/>
      <c r="L962" s="413"/>
      <c r="M962" s="413"/>
      <c r="N962" s="413"/>
    </row>
    <row r="963" spans="1:16" s="414" customFormat="1" ht="17.25">
      <c r="A963" s="415"/>
      <c r="B963" s="416" t="s">
        <v>2084</v>
      </c>
      <c r="C963" s="417"/>
      <c r="D963" s="417"/>
      <c r="E963" s="446"/>
      <c r="F963" s="446"/>
      <c r="G963" s="446"/>
      <c r="H963" s="446"/>
      <c r="I963" s="418" t="str">
        <f t="shared" ref="I963" si="81">IF(D963&lt;&gt;0,ROUND(PRODUCT(E963:H963)*D963,2),"")</f>
        <v/>
      </c>
      <c r="J963" s="418"/>
      <c r="K963" s="419"/>
      <c r="L963" s="413"/>
      <c r="M963" s="413"/>
      <c r="N963" s="413"/>
    </row>
    <row r="964" spans="1:16" s="408" customFormat="1" ht="17.25">
      <c r="A964" s="420">
        <v>1.6</v>
      </c>
      <c r="B964" s="421" t="s">
        <v>1443</v>
      </c>
      <c r="C964" s="422"/>
      <c r="D964" s="422"/>
      <c r="E964" s="436"/>
      <c r="F964" s="436"/>
      <c r="G964" s="436"/>
      <c r="H964" s="436"/>
      <c r="I964" s="423"/>
      <c r="J964" s="423"/>
      <c r="K964" s="424"/>
      <c r="L964" s="407"/>
      <c r="M964" s="407"/>
      <c r="N964" s="407"/>
    </row>
    <row r="965" spans="1:16" s="384" customFormat="1" ht="17.25">
      <c r="A965" s="378"/>
      <c r="B965" s="429" t="s">
        <v>85</v>
      </c>
      <c r="C965" s="465" t="s">
        <v>1</v>
      </c>
      <c r="D965" s="638"/>
      <c r="E965" s="345"/>
      <c r="F965" s="626"/>
      <c r="G965" s="626"/>
      <c r="H965" s="626"/>
      <c r="I965" s="445" t="str">
        <f t="shared" ref="I965:I973" si="82">IF(D965&lt;&gt;0,ROUND(PRODUCT(E965:H965)*D965,2),"")</f>
        <v/>
      </c>
      <c r="J965" s="467">
        <f>SUM(I964:I965)</f>
        <v>0</v>
      </c>
      <c r="K965" s="435"/>
      <c r="L965" s="383"/>
      <c r="M965" s="383"/>
      <c r="N965" s="383"/>
    </row>
    <row r="966" spans="1:16" s="398" customFormat="1" ht="17.25">
      <c r="A966" s="388"/>
      <c r="B966" s="504"/>
      <c r="C966" s="165" t="s">
        <v>1</v>
      </c>
      <c r="D966" s="392"/>
      <c r="E966" s="323"/>
      <c r="F966" s="323"/>
      <c r="G966" s="323"/>
      <c r="H966" s="323"/>
      <c r="I966" s="294" t="str">
        <f t="shared" ref="I966:I970" si="83">IF(D966&lt;&gt;0,ROUND(PRODUCT(E966:H966)*D966,2),"")</f>
        <v/>
      </c>
      <c r="J966" s="374"/>
      <c r="K966" s="163"/>
      <c r="L966" s="431"/>
      <c r="M966" s="431"/>
      <c r="N966" s="431"/>
    </row>
    <row r="967" spans="1:16" s="398" customFormat="1" ht="17.25">
      <c r="A967" s="388">
        <v>1</v>
      </c>
      <c r="B967" s="504" t="s">
        <v>1444</v>
      </c>
      <c r="C967" s="165" t="s">
        <v>1</v>
      </c>
      <c r="D967" s="392">
        <v>3</v>
      </c>
      <c r="E967" s="323">
        <v>1</v>
      </c>
      <c r="F967" s="323">
        <v>0.89</v>
      </c>
      <c r="G967" s="323">
        <v>0.89</v>
      </c>
      <c r="H967" s="323"/>
      <c r="I967" s="399">
        <f t="shared" si="83"/>
        <v>2.38</v>
      </c>
      <c r="J967" s="374"/>
      <c r="K967" s="163"/>
      <c r="L967" s="431"/>
      <c r="M967" s="431"/>
      <c r="N967" s="431"/>
    </row>
    <row r="968" spans="1:16" s="398" customFormat="1" ht="17.25">
      <c r="A968" s="388">
        <v>2</v>
      </c>
      <c r="B968" s="504" t="s">
        <v>2081</v>
      </c>
      <c r="C968" s="165" t="s">
        <v>1</v>
      </c>
      <c r="D968" s="392">
        <v>2</v>
      </c>
      <c r="E968" s="323">
        <v>1</v>
      </c>
      <c r="F968" s="323">
        <v>0.9</v>
      </c>
      <c r="G968" s="323">
        <v>0.9</v>
      </c>
      <c r="H968" s="323"/>
      <c r="I968" s="399">
        <f t="shared" si="83"/>
        <v>1.62</v>
      </c>
      <c r="J968" s="374"/>
      <c r="K968" s="163"/>
      <c r="L968" s="431"/>
      <c r="M968" s="431"/>
      <c r="N968" s="431"/>
    </row>
    <row r="969" spans="1:16" s="398" customFormat="1" ht="17.25">
      <c r="A969" s="388">
        <v>3</v>
      </c>
      <c r="B969" s="504" t="s">
        <v>2082</v>
      </c>
      <c r="C969" s="165" t="s">
        <v>1</v>
      </c>
      <c r="D969" s="392">
        <v>1</v>
      </c>
      <c r="E969" s="323">
        <v>1</v>
      </c>
      <c r="F969" s="323">
        <v>1.1499999999999999</v>
      </c>
      <c r="G969" s="323">
        <v>1.1499999999999999</v>
      </c>
      <c r="H969" s="323"/>
      <c r="I969" s="399">
        <f t="shared" si="83"/>
        <v>1.32</v>
      </c>
      <c r="J969" s="374"/>
      <c r="K969" s="163"/>
      <c r="L969" s="431"/>
      <c r="M969" s="431"/>
      <c r="N969" s="431"/>
    </row>
    <row r="970" spans="1:16" s="398" customFormat="1" ht="17.25">
      <c r="A970" s="388">
        <v>4</v>
      </c>
      <c r="B970" s="504" t="s">
        <v>2083</v>
      </c>
      <c r="C970" s="165" t="s">
        <v>1</v>
      </c>
      <c r="D970" s="392">
        <v>15</v>
      </c>
      <c r="E970" s="323">
        <v>1</v>
      </c>
      <c r="F970" s="323">
        <v>0.6</v>
      </c>
      <c r="G970" s="323">
        <v>0.6</v>
      </c>
      <c r="H970" s="323"/>
      <c r="I970" s="399">
        <f t="shared" si="83"/>
        <v>5.4</v>
      </c>
      <c r="J970" s="374"/>
      <c r="K970" s="163"/>
      <c r="L970" s="431"/>
      <c r="M970" s="431"/>
      <c r="N970" s="431"/>
    </row>
    <row r="971" spans="1:16" s="377" customFormat="1" ht="17.25">
      <c r="A971" s="414"/>
      <c r="B971" s="311"/>
      <c r="C971" s="165"/>
      <c r="D971" s="392"/>
      <c r="E971" s="392"/>
      <c r="F971" s="394"/>
      <c r="G971" s="394"/>
      <c r="H971" s="394"/>
      <c r="I971" s="294" t="str">
        <f t="shared" si="82"/>
        <v/>
      </c>
      <c r="J971" s="394"/>
      <c r="K971" s="394"/>
      <c r="L971" s="376"/>
      <c r="M971" s="376"/>
      <c r="N971" s="376"/>
    </row>
    <row r="972" spans="1:16" s="398" customFormat="1" ht="17.25">
      <c r="A972" s="388"/>
      <c r="B972" s="161" t="s">
        <v>928</v>
      </c>
      <c r="C972" s="388" t="s">
        <v>1</v>
      </c>
      <c r="D972" s="392"/>
      <c r="E972" s="165"/>
      <c r="F972" s="310"/>
      <c r="G972" s="310"/>
      <c r="H972" s="310"/>
      <c r="I972" s="294" t="str">
        <f t="shared" si="82"/>
        <v/>
      </c>
      <c r="J972" s="403">
        <f>SUM(I966:I970)</f>
        <v>10.72</v>
      </c>
      <c r="K972" s="35" t="s">
        <v>1690</v>
      </c>
      <c r="L972" s="431"/>
      <c r="M972" s="431"/>
      <c r="N972" s="431"/>
    </row>
    <row r="973" spans="1:16" s="170" customFormat="1" ht="17.25">
      <c r="A973" s="388"/>
      <c r="B973" s="311"/>
      <c r="C973" s="165"/>
      <c r="D973" s="392"/>
      <c r="E973" s="165"/>
      <c r="F973" s="310"/>
      <c r="G973" s="310"/>
      <c r="H973" s="310"/>
      <c r="I973" s="394" t="str">
        <f t="shared" si="82"/>
        <v/>
      </c>
      <c r="J973" s="432">
        <f>SUM(J965:J972)</f>
        <v>10.72</v>
      </c>
      <c r="K973" s="468"/>
      <c r="L973" s="169"/>
      <c r="M973" s="169"/>
      <c r="N973" s="169"/>
    </row>
    <row r="974" spans="1:16" s="274" customFormat="1" ht="22.5" customHeight="1">
      <c r="A974" s="269"/>
      <c r="B974" s="1059" t="s">
        <v>152</v>
      </c>
      <c r="C974" s="1059"/>
      <c r="D974" s="1059"/>
      <c r="E974" s="1109"/>
      <c r="F974" s="270"/>
      <c r="G974" s="270"/>
      <c r="H974" s="270"/>
      <c r="I974" s="270" t="str">
        <f t="shared" ref="I974" si="84">IF(D974&lt;&gt;0,ROUND(PRODUCT(E974:H974)*D974,2),"")</f>
        <v/>
      </c>
      <c r="J974" s="271"/>
      <c r="K974" s="272"/>
      <c r="L974" s="273"/>
      <c r="M974" s="273"/>
      <c r="N974" s="273"/>
    </row>
    <row r="975" spans="1:16">
      <c r="A975" s="10" t="s">
        <v>2138</v>
      </c>
      <c r="B975" s="11" t="s">
        <v>7</v>
      </c>
      <c r="C975" s="38"/>
      <c r="D975" s="38"/>
      <c r="E975" s="645"/>
      <c r="F975" s="645"/>
      <c r="G975" s="645"/>
      <c r="H975" s="645"/>
      <c r="I975" s="38"/>
      <c r="J975" s="24"/>
      <c r="K975" s="14"/>
      <c r="O975" s="3"/>
      <c r="P975" s="3"/>
    </row>
    <row r="976" spans="1:16" s="377" customFormat="1" ht="17.25" outlineLevel="1">
      <c r="A976" s="373"/>
      <c r="B976" s="370" t="s">
        <v>779</v>
      </c>
      <c r="C976" s="325" t="s">
        <v>2</v>
      </c>
      <c r="D976" s="323">
        <v>1</v>
      </c>
      <c r="E976" s="323">
        <v>1</v>
      </c>
      <c r="F976" s="329">
        <v>67.037999999999997</v>
      </c>
      <c r="G976" s="323">
        <f>0.46+0.15</f>
        <v>0.61</v>
      </c>
      <c r="H976" s="323">
        <f>1.2-0.468</f>
        <v>0.73199999999999998</v>
      </c>
      <c r="I976" s="399">
        <f t="shared" ref="I976:I1039" si="85">IF(D976&lt;&gt;0,ROUND(PRODUCT(E976:H976)*D976,2),"")</f>
        <v>29.93</v>
      </c>
      <c r="J976" s="374"/>
      <c r="K976" s="375"/>
      <c r="L976" s="376"/>
      <c r="M976" s="376"/>
      <c r="N976" s="376"/>
      <c r="O976" s="376"/>
      <c r="P976" s="376"/>
    </row>
    <row r="977" spans="1:16" s="377" customFormat="1" ht="17.25" outlineLevel="1">
      <c r="A977" s="373"/>
      <c r="B977" s="370" t="s">
        <v>731</v>
      </c>
      <c r="C977" s="325" t="s">
        <v>2</v>
      </c>
      <c r="D977" s="323">
        <v>1</v>
      </c>
      <c r="E977" s="323">
        <v>1</v>
      </c>
      <c r="F977" s="329">
        <v>1.4530000000000001</v>
      </c>
      <c r="G977" s="323">
        <f>0.6+0.1</f>
        <v>0.7</v>
      </c>
      <c r="H977" s="323">
        <f>0.45+0.45-0.36-0.468</f>
        <v>7.2000000000000008E-2</v>
      </c>
      <c r="I977" s="399">
        <f t="shared" si="85"/>
        <v>7.0000000000000007E-2</v>
      </c>
      <c r="J977" s="374"/>
      <c r="K977" s="375"/>
      <c r="L977" s="376"/>
      <c r="M977" s="376"/>
      <c r="N977" s="376"/>
      <c r="O977" s="376"/>
      <c r="P977" s="376"/>
    </row>
    <row r="978" spans="1:16" s="377" customFormat="1" ht="17.25" outlineLevel="1">
      <c r="A978" s="373"/>
      <c r="B978" s="370"/>
      <c r="C978" s="325" t="s">
        <v>2</v>
      </c>
      <c r="D978" s="323">
        <v>1</v>
      </c>
      <c r="E978" s="323">
        <v>1</v>
      </c>
      <c r="F978" s="329">
        <v>1.304</v>
      </c>
      <c r="G978" s="323">
        <f>0.6+0.1</f>
        <v>0.7</v>
      </c>
      <c r="H978" s="323">
        <f t="shared" ref="H978:H980" si="86">0.45+0.45-0.36-0.468</f>
        <v>7.2000000000000008E-2</v>
      </c>
      <c r="I978" s="399">
        <f t="shared" si="85"/>
        <v>7.0000000000000007E-2</v>
      </c>
      <c r="J978" s="374"/>
      <c r="K978" s="375"/>
      <c r="L978" s="376"/>
      <c r="M978" s="376"/>
      <c r="N978" s="376"/>
      <c r="O978" s="376"/>
      <c r="P978" s="376"/>
    </row>
    <row r="979" spans="1:16" s="377" customFormat="1" ht="17.25" outlineLevel="1">
      <c r="A979" s="373"/>
      <c r="B979" s="370"/>
      <c r="C979" s="325" t="s">
        <v>2</v>
      </c>
      <c r="D979" s="323">
        <v>1</v>
      </c>
      <c r="E979" s="323">
        <v>1</v>
      </c>
      <c r="F979" s="329">
        <v>1.26</v>
      </c>
      <c r="G979" s="323">
        <f>0.6+0.1</f>
        <v>0.7</v>
      </c>
      <c r="H979" s="323">
        <f t="shared" si="86"/>
        <v>7.2000000000000008E-2</v>
      </c>
      <c r="I979" s="399">
        <f t="shared" si="85"/>
        <v>0.06</v>
      </c>
      <c r="J979" s="374"/>
      <c r="K979" s="375"/>
      <c r="L979" s="376"/>
      <c r="M979" s="376"/>
      <c r="N979" s="376"/>
      <c r="O979" s="376"/>
      <c r="P979" s="376"/>
    </row>
    <row r="980" spans="1:16" s="377" customFormat="1" ht="17.25" outlineLevel="1">
      <c r="A980" s="373"/>
      <c r="B980" s="370"/>
      <c r="C980" s="325" t="s">
        <v>2</v>
      </c>
      <c r="D980" s="323">
        <v>1</v>
      </c>
      <c r="E980" s="323">
        <v>1</v>
      </c>
      <c r="F980" s="329">
        <v>1.252</v>
      </c>
      <c r="G980" s="323">
        <f>0.6+0.1</f>
        <v>0.7</v>
      </c>
      <c r="H980" s="323">
        <f t="shared" si="86"/>
        <v>7.2000000000000008E-2</v>
      </c>
      <c r="I980" s="399">
        <f t="shared" si="85"/>
        <v>0.06</v>
      </c>
      <c r="J980" s="374"/>
      <c r="K980" s="375"/>
      <c r="L980" s="376"/>
      <c r="M980" s="376"/>
      <c r="N980" s="376"/>
      <c r="O980" s="376"/>
      <c r="P980" s="376"/>
    </row>
    <row r="981" spans="1:16" s="377" customFormat="1" ht="17.25" outlineLevel="1">
      <c r="A981" s="373"/>
      <c r="B981" s="370"/>
      <c r="C981" s="325"/>
      <c r="D981" s="323"/>
      <c r="E981" s="323"/>
      <c r="F981" s="323" t="s">
        <v>624</v>
      </c>
      <c r="G981" s="323"/>
      <c r="H981" s="323"/>
      <c r="I981" s="399" t="str">
        <f t="shared" si="85"/>
        <v/>
      </c>
      <c r="J981" s="374"/>
      <c r="K981" s="375"/>
      <c r="L981" s="376"/>
      <c r="M981" s="376"/>
      <c r="N981" s="376"/>
      <c r="O981" s="376"/>
      <c r="P981" s="376"/>
    </row>
    <row r="982" spans="1:16" s="377" customFormat="1" ht="17.25" outlineLevel="1">
      <c r="A982" s="373"/>
      <c r="B982" s="370" t="s">
        <v>780</v>
      </c>
      <c r="C982" s="325" t="s">
        <v>2</v>
      </c>
      <c r="D982" s="323">
        <v>24</v>
      </c>
      <c r="E982" s="323">
        <v>1</v>
      </c>
      <c r="F982" s="323">
        <f>2-0.04</f>
        <v>1.96</v>
      </c>
      <c r="G982" s="323">
        <f>0.345+0.15+0.15</f>
        <v>0.64500000000000002</v>
      </c>
      <c r="H982" s="323">
        <f>0.6+0.4-0.37-0.468</f>
        <v>0.16199999999999998</v>
      </c>
      <c r="I982" s="399">
        <f t="shared" si="85"/>
        <v>4.92</v>
      </c>
      <c r="J982" s="374"/>
      <c r="K982" s="375"/>
      <c r="L982" s="376"/>
      <c r="M982" s="376"/>
      <c r="N982" s="376"/>
      <c r="O982" s="376"/>
      <c r="P982" s="376"/>
    </row>
    <row r="983" spans="1:16" s="377" customFormat="1" ht="17.25" outlineLevel="1">
      <c r="A983" s="373"/>
      <c r="B983" s="370"/>
      <c r="C983" s="325"/>
      <c r="D983" s="323"/>
      <c r="E983" s="323"/>
      <c r="F983" s="323" t="s">
        <v>624</v>
      </c>
      <c r="G983" s="323"/>
      <c r="H983" s="323"/>
      <c r="I983" s="399" t="str">
        <f t="shared" si="85"/>
        <v/>
      </c>
      <c r="J983" s="374"/>
      <c r="K983" s="375"/>
      <c r="L983" s="376"/>
      <c r="M983" s="376"/>
      <c r="N983" s="376"/>
      <c r="O983" s="376"/>
      <c r="P983" s="376"/>
    </row>
    <row r="984" spans="1:16" s="377" customFormat="1" ht="34.5" outlineLevel="1">
      <c r="A984" s="373"/>
      <c r="B984" s="371" t="s">
        <v>781</v>
      </c>
      <c r="C984" s="325" t="s">
        <v>2</v>
      </c>
      <c r="D984" s="323">
        <v>7</v>
      </c>
      <c r="E984" s="323">
        <v>1</v>
      </c>
      <c r="F984" s="323">
        <f>3.14*0.58^2</f>
        <v>1.0562959999999999</v>
      </c>
      <c r="G984" s="323"/>
      <c r="H984" s="323">
        <f>0.6+0.4-0.35-0.468</f>
        <v>0.182</v>
      </c>
      <c r="I984" s="399">
        <f t="shared" si="85"/>
        <v>1.35</v>
      </c>
      <c r="J984" s="374"/>
      <c r="K984" s="375"/>
      <c r="L984" s="376"/>
      <c r="M984" s="376"/>
      <c r="N984" s="376"/>
      <c r="O984" s="376"/>
      <c r="P984" s="376"/>
    </row>
    <row r="985" spans="1:16" s="377" customFormat="1" ht="51.75" outlineLevel="1">
      <c r="A985" s="373"/>
      <c r="B985" s="371" t="s">
        <v>806</v>
      </c>
      <c r="C985" s="325"/>
      <c r="D985" s="323"/>
      <c r="E985" s="323"/>
      <c r="F985" s="323"/>
      <c r="G985" s="323"/>
      <c r="H985" s="323"/>
      <c r="I985" s="399" t="str">
        <f t="shared" si="85"/>
        <v/>
      </c>
      <c r="J985" s="374"/>
      <c r="K985" s="375"/>
      <c r="L985" s="376"/>
      <c r="M985" s="376"/>
      <c r="N985" s="376"/>
      <c r="O985" s="376"/>
      <c r="P985" s="376"/>
    </row>
    <row r="986" spans="1:16" s="377" customFormat="1" ht="17.25" outlineLevel="1">
      <c r="A986" s="373"/>
      <c r="B986" s="370" t="s">
        <v>735</v>
      </c>
      <c r="C986" s="325" t="s">
        <v>2</v>
      </c>
      <c r="D986" s="323">
        <v>1</v>
      </c>
      <c r="E986" s="323">
        <v>1</v>
      </c>
      <c r="F986" s="323">
        <f>3.14*3</f>
        <v>9.42</v>
      </c>
      <c r="G986" s="323">
        <f t="shared" ref="G986:G999" si="87">0.46+0.15</f>
        <v>0.61</v>
      </c>
      <c r="H986" s="323">
        <f>1.2-0.468</f>
        <v>0.73199999999999998</v>
      </c>
      <c r="I986" s="399">
        <f t="shared" si="85"/>
        <v>4.21</v>
      </c>
      <c r="J986" s="374"/>
      <c r="K986" s="375"/>
      <c r="L986" s="376"/>
      <c r="M986" s="376"/>
      <c r="N986" s="376"/>
      <c r="O986" s="376"/>
      <c r="P986" s="376"/>
    </row>
    <row r="987" spans="1:16" s="377" customFormat="1" ht="17.25" outlineLevel="1">
      <c r="A987" s="373"/>
      <c r="B987" s="370" t="s">
        <v>736</v>
      </c>
      <c r="C987" s="325" t="s">
        <v>2</v>
      </c>
      <c r="D987" s="323">
        <v>1</v>
      </c>
      <c r="E987" s="323">
        <v>1</v>
      </c>
      <c r="F987" s="323">
        <f>3.14*3</f>
        <v>9.42</v>
      </c>
      <c r="G987" s="323">
        <f t="shared" si="87"/>
        <v>0.61</v>
      </c>
      <c r="H987" s="323">
        <f t="shared" ref="H987:H999" si="88">1.2-0.468</f>
        <v>0.73199999999999998</v>
      </c>
      <c r="I987" s="399">
        <f t="shared" si="85"/>
        <v>4.21</v>
      </c>
      <c r="J987" s="374"/>
      <c r="K987" s="375"/>
      <c r="L987" s="376"/>
      <c r="M987" s="376"/>
      <c r="N987" s="376"/>
      <c r="O987" s="376"/>
      <c r="P987" s="376"/>
    </row>
    <row r="988" spans="1:16" s="377" customFormat="1" ht="17.25" outlineLevel="1">
      <c r="A988" s="373"/>
      <c r="B988" s="370" t="s">
        <v>737</v>
      </c>
      <c r="C988" s="325" t="s">
        <v>2</v>
      </c>
      <c r="D988" s="323">
        <v>1</v>
      </c>
      <c r="E988" s="323">
        <v>1</v>
      </c>
      <c r="F988" s="323">
        <f>3.14*3.7</f>
        <v>11.618</v>
      </c>
      <c r="G988" s="323">
        <f t="shared" si="87"/>
        <v>0.61</v>
      </c>
      <c r="H988" s="323">
        <f t="shared" si="88"/>
        <v>0.73199999999999998</v>
      </c>
      <c r="I988" s="399">
        <f t="shared" si="85"/>
        <v>5.19</v>
      </c>
      <c r="J988" s="374"/>
      <c r="K988" s="375"/>
      <c r="L988" s="376"/>
      <c r="M988" s="376"/>
      <c r="N988" s="376"/>
      <c r="O988" s="376"/>
      <c r="P988" s="376"/>
    </row>
    <row r="989" spans="1:16" s="377" customFormat="1" ht="17.25" outlineLevel="1">
      <c r="A989" s="373"/>
      <c r="B989" s="370" t="s">
        <v>738</v>
      </c>
      <c r="C989" s="325" t="s">
        <v>2</v>
      </c>
      <c r="D989" s="323">
        <v>1</v>
      </c>
      <c r="E989" s="323">
        <v>1</v>
      </c>
      <c r="F989" s="323">
        <f>3.14*3</f>
        <v>9.42</v>
      </c>
      <c r="G989" s="323">
        <f t="shared" si="87"/>
        <v>0.61</v>
      </c>
      <c r="H989" s="323">
        <f t="shared" si="88"/>
        <v>0.73199999999999998</v>
      </c>
      <c r="I989" s="399">
        <f t="shared" si="85"/>
        <v>4.21</v>
      </c>
      <c r="J989" s="374"/>
      <c r="K989" s="375"/>
      <c r="L989" s="376"/>
      <c r="M989" s="376"/>
      <c r="N989" s="376"/>
      <c r="O989" s="376"/>
      <c r="P989" s="376"/>
    </row>
    <row r="990" spans="1:16" s="377" customFormat="1" ht="17.25" outlineLevel="1">
      <c r="A990" s="373"/>
      <c r="B990" s="370" t="s">
        <v>739</v>
      </c>
      <c r="C990" s="325" t="s">
        <v>2</v>
      </c>
      <c r="D990" s="323">
        <v>1</v>
      </c>
      <c r="E990" s="323">
        <v>1</v>
      </c>
      <c r="F990" s="323">
        <v>8.5660000000000007</v>
      </c>
      <c r="G990" s="323">
        <f t="shared" si="87"/>
        <v>0.61</v>
      </c>
      <c r="H990" s="323">
        <f t="shared" si="88"/>
        <v>0.73199999999999998</v>
      </c>
      <c r="I990" s="399">
        <f t="shared" si="85"/>
        <v>3.82</v>
      </c>
      <c r="J990" s="374"/>
      <c r="K990" s="375"/>
      <c r="L990" s="376"/>
      <c r="M990" s="376"/>
      <c r="N990" s="376"/>
      <c r="O990" s="376"/>
      <c r="P990" s="376"/>
    </row>
    <row r="991" spans="1:16" s="377" customFormat="1" ht="17.25" outlineLevel="1">
      <c r="A991" s="373"/>
      <c r="B991" s="370" t="s">
        <v>740</v>
      </c>
      <c r="C991" s="325" t="s">
        <v>2</v>
      </c>
      <c r="D991" s="323">
        <v>1</v>
      </c>
      <c r="E991" s="323">
        <v>1</v>
      </c>
      <c r="F991" s="323">
        <f>3.14*2.7</f>
        <v>8.4780000000000015</v>
      </c>
      <c r="G991" s="323">
        <f t="shared" si="87"/>
        <v>0.61</v>
      </c>
      <c r="H991" s="323">
        <f t="shared" si="88"/>
        <v>0.73199999999999998</v>
      </c>
      <c r="I991" s="399">
        <f t="shared" si="85"/>
        <v>3.79</v>
      </c>
      <c r="J991" s="374"/>
      <c r="K991" s="375"/>
      <c r="L991" s="376"/>
      <c r="M991" s="376"/>
      <c r="N991" s="376"/>
      <c r="O991" s="376"/>
      <c r="P991" s="376"/>
    </row>
    <row r="992" spans="1:16" s="377" customFormat="1" ht="17.25" outlineLevel="1">
      <c r="A992" s="373"/>
      <c r="B992" s="370" t="s">
        <v>741</v>
      </c>
      <c r="C992" s="325" t="s">
        <v>2</v>
      </c>
      <c r="D992" s="323">
        <v>1</v>
      </c>
      <c r="E992" s="323">
        <v>1</v>
      </c>
      <c r="F992" s="323">
        <f t="shared" ref="F992:F999" si="89">3.14*3</f>
        <v>9.42</v>
      </c>
      <c r="G992" s="323">
        <f t="shared" si="87"/>
        <v>0.61</v>
      </c>
      <c r="H992" s="323">
        <f t="shared" si="88"/>
        <v>0.73199999999999998</v>
      </c>
      <c r="I992" s="399">
        <f t="shared" si="85"/>
        <v>4.21</v>
      </c>
      <c r="J992" s="374"/>
      <c r="K992" s="375"/>
      <c r="L992" s="376"/>
      <c r="M992" s="376"/>
      <c r="N992" s="376"/>
      <c r="O992" s="376"/>
      <c r="P992" s="376"/>
    </row>
    <row r="993" spans="1:16" s="377" customFormat="1" ht="17.25" outlineLevel="1">
      <c r="A993" s="373"/>
      <c r="B993" s="370" t="s">
        <v>742</v>
      </c>
      <c r="C993" s="325" t="s">
        <v>2</v>
      </c>
      <c r="D993" s="323">
        <v>1</v>
      </c>
      <c r="E993" s="323">
        <v>1</v>
      </c>
      <c r="F993" s="323">
        <f t="shared" si="89"/>
        <v>9.42</v>
      </c>
      <c r="G993" s="323">
        <f t="shared" si="87"/>
        <v>0.61</v>
      </c>
      <c r="H993" s="323">
        <f t="shared" si="88"/>
        <v>0.73199999999999998</v>
      </c>
      <c r="I993" s="399">
        <f t="shared" si="85"/>
        <v>4.21</v>
      </c>
      <c r="J993" s="374"/>
      <c r="K993" s="375"/>
      <c r="L993" s="376"/>
      <c r="M993" s="376"/>
      <c r="N993" s="376"/>
      <c r="O993" s="376"/>
      <c r="P993" s="376"/>
    </row>
    <row r="994" spans="1:16" s="377" customFormat="1" ht="17.25" outlineLevel="1">
      <c r="A994" s="373"/>
      <c r="B994" s="370" t="s">
        <v>743</v>
      </c>
      <c r="C994" s="325" t="s">
        <v>2</v>
      </c>
      <c r="D994" s="323">
        <v>1</v>
      </c>
      <c r="E994" s="323">
        <v>1</v>
      </c>
      <c r="F994" s="323">
        <f t="shared" si="89"/>
        <v>9.42</v>
      </c>
      <c r="G994" s="323">
        <f t="shared" si="87"/>
        <v>0.61</v>
      </c>
      <c r="H994" s="323">
        <f t="shared" si="88"/>
        <v>0.73199999999999998</v>
      </c>
      <c r="I994" s="399">
        <f t="shared" si="85"/>
        <v>4.21</v>
      </c>
      <c r="J994" s="374"/>
      <c r="K994" s="375"/>
      <c r="L994" s="376"/>
      <c r="M994" s="376"/>
      <c r="N994" s="376"/>
      <c r="O994" s="376"/>
      <c r="P994" s="376"/>
    </row>
    <row r="995" spans="1:16" s="377" customFormat="1" ht="17.25" outlineLevel="1">
      <c r="A995" s="373"/>
      <c r="B995" s="370" t="s">
        <v>744</v>
      </c>
      <c r="C995" s="325" t="s">
        <v>2</v>
      </c>
      <c r="D995" s="323">
        <v>1</v>
      </c>
      <c r="E995" s="323">
        <v>1</v>
      </c>
      <c r="F995" s="323">
        <f t="shared" si="89"/>
        <v>9.42</v>
      </c>
      <c r="G995" s="323">
        <f t="shared" si="87"/>
        <v>0.61</v>
      </c>
      <c r="H995" s="323">
        <f t="shared" si="88"/>
        <v>0.73199999999999998</v>
      </c>
      <c r="I995" s="399">
        <f t="shared" si="85"/>
        <v>4.21</v>
      </c>
      <c r="J995" s="374"/>
      <c r="K995" s="375"/>
      <c r="L995" s="376"/>
      <c r="M995" s="376"/>
      <c r="N995" s="376"/>
      <c r="O995" s="376"/>
      <c r="P995" s="376"/>
    </row>
    <row r="996" spans="1:16" s="377" customFormat="1" ht="17.25" outlineLevel="1">
      <c r="A996" s="373"/>
      <c r="B996" s="370" t="s">
        <v>745</v>
      </c>
      <c r="C996" s="325" t="s">
        <v>2</v>
      </c>
      <c r="D996" s="323">
        <v>1</v>
      </c>
      <c r="E996" s="323">
        <v>1</v>
      </c>
      <c r="F996" s="323">
        <f t="shared" si="89"/>
        <v>9.42</v>
      </c>
      <c r="G996" s="323">
        <f t="shared" si="87"/>
        <v>0.61</v>
      </c>
      <c r="H996" s="323">
        <f t="shared" si="88"/>
        <v>0.73199999999999998</v>
      </c>
      <c r="I996" s="399">
        <f t="shared" si="85"/>
        <v>4.21</v>
      </c>
      <c r="J996" s="374"/>
      <c r="K996" s="375"/>
      <c r="L996" s="376"/>
      <c r="M996" s="376"/>
      <c r="N996" s="376"/>
      <c r="O996" s="376"/>
      <c r="P996" s="376"/>
    </row>
    <row r="997" spans="1:16" s="377" customFormat="1" ht="17.25" outlineLevel="1">
      <c r="A997" s="373"/>
      <c r="B997" s="370" t="s">
        <v>746</v>
      </c>
      <c r="C997" s="325" t="s">
        <v>2</v>
      </c>
      <c r="D997" s="323">
        <v>1</v>
      </c>
      <c r="E997" s="323">
        <v>1</v>
      </c>
      <c r="F997" s="323">
        <f t="shared" si="89"/>
        <v>9.42</v>
      </c>
      <c r="G997" s="323">
        <f t="shared" si="87"/>
        <v>0.61</v>
      </c>
      <c r="H997" s="323">
        <f t="shared" si="88"/>
        <v>0.73199999999999998</v>
      </c>
      <c r="I997" s="399">
        <f t="shared" si="85"/>
        <v>4.21</v>
      </c>
      <c r="J997" s="374"/>
      <c r="K997" s="375"/>
      <c r="L997" s="376"/>
      <c r="M997" s="376"/>
      <c r="N997" s="376"/>
      <c r="O997" s="376"/>
      <c r="P997" s="376"/>
    </row>
    <row r="998" spans="1:16" s="377" customFormat="1" ht="17.25" outlineLevel="1">
      <c r="A998" s="373"/>
      <c r="B998" s="370" t="s">
        <v>747</v>
      </c>
      <c r="C998" s="325" t="s">
        <v>2</v>
      </c>
      <c r="D998" s="323">
        <v>1</v>
      </c>
      <c r="E998" s="323">
        <v>1</v>
      </c>
      <c r="F998" s="323">
        <f t="shared" si="89"/>
        <v>9.42</v>
      </c>
      <c r="G998" s="323">
        <f t="shared" si="87"/>
        <v>0.61</v>
      </c>
      <c r="H998" s="323">
        <f t="shared" si="88"/>
        <v>0.73199999999999998</v>
      </c>
      <c r="I998" s="399">
        <f t="shared" si="85"/>
        <v>4.21</v>
      </c>
      <c r="J998" s="374"/>
      <c r="K998" s="375"/>
      <c r="L998" s="376"/>
      <c r="M998" s="376"/>
      <c r="N998" s="376"/>
      <c r="O998" s="376"/>
      <c r="P998" s="376"/>
    </row>
    <row r="999" spans="1:16" s="377" customFormat="1" ht="17.25" outlineLevel="1">
      <c r="A999" s="373"/>
      <c r="B999" s="370" t="s">
        <v>748</v>
      </c>
      <c r="C999" s="325" t="s">
        <v>2</v>
      </c>
      <c r="D999" s="323">
        <v>1</v>
      </c>
      <c r="E999" s="323">
        <v>1</v>
      </c>
      <c r="F999" s="323">
        <f t="shared" si="89"/>
        <v>9.42</v>
      </c>
      <c r="G999" s="323">
        <f t="shared" si="87"/>
        <v>0.61</v>
      </c>
      <c r="H999" s="323">
        <f t="shared" si="88"/>
        <v>0.73199999999999998</v>
      </c>
      <c r="I999" s="399">
        <f t="shared" si="85"/>
        <v>4.21</v>
      </c>
      <c r="J999" s="374"/>
      <c r="K999" s="375"/>
      <c r="L999" s="376"/>
      <c r="M999" s="376"/>
      <c r="N999" s="376"/>
      <c r="O999" s="376"/>
      <c r="P999" s="376"/>
    </row>
    <row r="1000" spans="1:16" s="377" customFormat="1" ht="17.25" outlineLevel="1">
      <c r="A1000" s="373"/>
      <c r="B1000" s="370"/>
      <c r="C1000" s="325"/>
      <c r="D1000" s="323"/>
      <c r="E1000" s="323"/>
      <c r="F1000" s="323"/>
      <c r="G1000" s="323"/>
      <c r="H1000" s="323"/>
      <c r="I1000" s="399" t="str">
        <f t="shared" si="85"/>
        <v/>
      </c>
      <c r="J1000" s="374"/>
      <c r="K1000" s="375"/>
      <c r="L1000" s="376"/>
      <c r="M1000" s="376"/>
      <c r="N1000" s="376"/>
      <c r="O1000" s="376"/>
      <c r="P1000" s="376"/>
    </row>
    <row r="1001" spans="1:16" s="384" customFormat="1" ht="17.25" outlineLevel="1">
      <c r="A1001" s="378"/>
      <c r="B1001" s="379" t="s">
        <v>749</v>
      </c>
      <c r="C1001" s="380" t="s">
        <v>2</v>
      </c>
      <c r="D1001" s="363">
        <f t="shared" ref="D1001:D1004" si="90">1*0</f>
        <v>0</v>
      </c>
      <c r="E1001" s="363">
        <v>1</v>
      </c>
      <c r="F1001" s="363">
        <f>3.14*3</f>
        <v>9.42</v>
      </c>
      <c r="G1001" s="363">
        <f>0.46+0.15</f>
        <v>0.61</v>
      </c>
      <c r="H1001" s="363">
        <v>0.15</v>
      </c>
      <c r="I1001" s="399" t="str">
        <f t="shared" si="85"/>
        <v/>
      </c>
      <c r="J1001" s="381"/>
      <c r="K1001" s="382"/>
      <c r="L1001" s="383"/>
      <c r="M1001" s="383"/>
      <c r="N1001" s="383"/>
      <c r="O1001" s="383"/>
      <c r="P1001" s="383"/>
    </row>
    <row r="1002" spans="1:16" s="384" customFormat="1" ht="17.25" outlineLevel="1">
      <c r="A1002" s="378"/>
      <c r="B1002" s="379" t="s">
        <v>750</v>
      </c>
      <c r="C1002" s="380" t="s">
        <v>2</v>
      </c>
      <c r="D1002" s="363">
        <f t="shared" si="90"/>
        <v>0</v>
      </c>
      <c r="E1002" s="363">
        <v>1</v>
      </c>
      <c r="F1002" s="363">
        <f>3.14*3</f>
        <v>9.42</v>
      </c>
      <c r="G1002" s="363">
        <f>0.46+0.15</f>
        <v>0.61</v>
      </c>
      <c r="H1002" s="363">
        <v>0.15</v>
      </c>
      <c r="I1002" s="399" t="str">
        <f t="shared" si="85"/>
        <v/>
      </c>
      <c r="J1002" s="381"/>
      <c r="K1002" s="382"/>
      <c r="L1002" s="383"/>
      <c r="M1002" s="383"/>
      <c r="N1002" s="383"/>
      <c r="O1002" s="383"/>
      <c r="P1002" s="383"/>
    </row>
    <row r="1003" spans="1:16" s="384" customFormat="1" ht="17.25" outlineLevel="1">
      <c r="A1003" s="378"/>
      <c r="B1003" s="379" t="s">
        <v>751</v>
      </c>
      <c r="C1003" s="380" t="s">
        <v>2</v>
      </c>
      <c r="D1003" s="363">
        <f t="shared" si="90"/>
        <v>0</v>
      </c>
      <c r="E1003" s="363">
        <v>1</v>
      </c>
      <c r="F1003" s="363">
        <f>3.14*3</f>
        <v>9.42</v>
      </c>
      <c r="G1003" s="363">
        <f>0.46+0.15</f>
        <v>0.61</v>
      </c>
      <c r="H1003" s="363">
        <v>0.15</v>
      </c>
      <c r="I1003" s="399" t="str">
        <f t="shared" si="85"/>
        <v/>
      </c>
      <c r="J1003" s="381"/>
      <c r="K1003" s="382"/>
      <c r="L1003" s="383"/>
      <c r="M1003" s="383"/>
      <c r="N1003" s="383"/>
      <c r="O1003" s="383"/>
      <c r="P1003" s="383"/>
    </row>
    <row r="1004" spans="1:16" s="384" customFormat="1" ht="17.25" outlineLevel="1">
      <c r="A1004" s="378"/>
      <c r="B1004" s="379" t="s">
        <v>752</v>
      </c>
      <c r="C1004" s="380" t="s">
        <v>2</v>
      </c>
      <c r="D1004" s="363">
        <f t="shared" si="90"/>
        <v>0</v>
      </c>
      <c r="E1004" s="363">
        <v>1</v>
      </c>
      <c r="F1004" s="363">
        <f>3.14*3</f>
        <v>9.42</v>
      </c>
      <c r="G1004" s="363">
        <f>0.46+0.15</f>
        <v>0.61</v>
      </c>
      <c r="H1004" s="363">
        <v>0.15</v>
      </c>
      <c r="I1004" s="399" t="str">
        <f t="shared" si="85"/>
        <v/>
      </c>
      <c r="J1004" s="381"/>
      <c r="K1004" s="382"/>
      <c r="L1004" s="383"/>
      <c r="M1004" s="383"/>
      <c r="N1004" s="383"/>
      <c r="O1004" s="383"/>
      <c r="P1004" s="383"/>
    </row>
    <row r="1005" spans="1:16" s="377" customFormat="1" ht="17.25" outlineLevel="1">
      <c r="A1005" s="373"/>
      <c r="B1005" s="370"/>
      <c r="C1005" s="325"/>
      <c r="D1005" s="323"/>
      <c r="E1005" s="323"/>
      <c r="F1005" s="323"/>
      <c r="G1005" s="323"/>
      <c r="H1005" s="323"/>
      <c r="I1005" s="399" t="str">
        <f t="shared" si="85"/>
        <v/>
      </c>
      <c r="J1005" s="374"/>
      <c r="K1005" s="375"/>
      <c r="L1005" s="376"/>
      <c r="M1005" s="376"/>
      <c r="N1005" s="376"/>
      <c r="O1005" s="376"/>
      <c r="P1005" s="376"/>
    </row>
    <row r="1006" spans="1:16" s="377" customFormat="1" ht="34.5" outlineLevel="1">
      <c r="A1006" s="373"/>
      <c r="B1006" s="371" t="s">
        <v>782</v>
      </c>
      <c r="C1006" s="325"/>
      <c r="D1006" s="323"/>
      <c r="E1006" s="323"/>
      <c r="F1006" s="323"/>
      <c r="G1006" s="323"/>
      <c r="H1006" s="323"/>
      <c r="I1006" s="399" t="str">
        <f t="shared" si="85"/>
        <v/>
      </c>
      <c r="J1006" s="374"/>
      <c r="K1006" s="375"/>
      <c r="L1006" s="376"/>
      <c r="M1006" s="376"/>
      <c r="N1006" s="376"/>
      <c r="O1006" s="376"/>
      <c r="P1006" s="376"/>
    </row>
    <row r="1007" spans="1:16" s="377" customFormat="1" ht="17.25" outlineLevel="1">
      <c r="A1007" s="373"/>
      <c r="B1007" s="370" t="s">
        <v>754</v>
      </c>
      <c r="C1007" s="325" t="s">
        <v>2</v>
      </c>
      <c r="D1007" s="323">
        <v>1</v>
      </c>
      <c r="E1007" s="323">
        <v>1</v>
      </c>
      <c r="F1007" s="329">
        <v>8.2149999999999999</v>
      </c>
      <c r="G1007" s="323">
        <f>0.46+0.15</f>
        <v>0.61</v>
      </c>
      <c r="H1007" s="323">
        <f t="shared" ref="H1007:H1009" si="91">1.2-0.468</f>
        <v>0.73199999999999998</v>
      </c>
      <c r="I1007" s="399">
        <f t="shared" si="85"/>
        <v>3.67</v>
      </c>
      <c r="J1007" s="374"/>
      <c r="K1007" s="375"/>
      <c r="L1007" s="376"/>
      <c r="M1007" s="376"/>
      <c r="N1007" s="376"/>
      <c r="O1007" s="376"/>
      <c r="P1007" s="376"/>
    </row>
    <row r="1008" spans="1:16" s="377" customFormat="1" ht="17.25" outlineLevel="1">
      <c r="A1008" s="373"/>
      <c r="B1008" s="370" t="s">
        <v>755</v>
      </c>
      <c r="C1008" s="325" t="s">
        <v>2</v>
      </c>
      <c r="D1008" s="323">
        <v>1</v>
      </c>
      <c r="E1008" s="323">
        <v>1</v>
      </c>
      <c r="F1008" s="329">
        <v>2.343</v>
      </c>
      <c r="G1008" s="323">
        <f>0.46+0.15</f>
        <v>0.61</v>
      </c>
      <c r="H1008" s="323">
        <f t="shared" si="91"/>
        <v>0.73199999999999998</v>
      </c>
      <c r="I1008" s="399">
        <f t="shared" si="85"/>
        <v>1.05</v>
      </c>
      <c r="J1008" s="374"/>
      <c r="K1008" s="375"/>
      <c r="L1008" s="376"/>
      <c r="M1008" s="376"/>
      <c r="N1008" s="376"/>
      <c r="O1008" s="376"/>
      <c r="P1008" s="376"/>
    </row>
    <row r="1009" spans="1:16" s="377" customFormat="1" ht="17.25" outlineLevel="1">
      <c r="A1009" s="373"/>
      <c r="B1009" s="370" t="s">
        <v>756</v>
      </c>
      <c r="C1009" s="325" t="s">
        <v>2</v>
      </c>
      <c r="D1009" s="323">
        <v>1</v>
      </c>
      <c r="E1009" s="323">
        <v>1</v>
      </c>
      <c r="F1009" s="329">
        <v>5.1429999999999998</v>
      </c>
      <c r="G1009" s="323">
        <f>0.46+0.15</f>
        <v>0.61</v>
      </c>
      <c r="H1009" s="323">
        <f t="shared" si="91"/>
        <v>0.73199999999999998</v>
      </c>
      <c r="I1009" s="399">
        <f t="shared" si="85"/>
        <v>2.2999999999999998</v>
      </c>
      <c r="J1009" s="374"/>
      <c r="K1009" s="375"/>
      <c r="L1009" s="376"/>
      <c r="M1009" s="376"/>
      <c r="N1009" s="376"/>
      <c r="O1009" s="376"/>
      <c r="P1009" s="376"/>
    </row>
    <row r="1010" spans="1:16" s="377" customFormat="1" ht="17.25" outlineLevel="1">
      <c r="A1010" s="373"/>
      <c r="B1010" s="370"/>
      <c r="C1010" s="325"/>
      <c r="D1010" s="323"/>
      <c r="E1010" s="323"/>
      <c r="F1010" s="323"/>
      <c r="G1010" s="323"/>
      <c r="H1010" s="323"/>
      <c r="I1010" s="399" t="str">
        <f t="shared" si="85"/>
        <v/>
      </c>
      <c r="J1010" s="374"/>
      <c r="K1010" s="375"/>
      <c r="L1010" s="376"/>
      <c r="M1010" s="376"/>
      <c r="N1010" s="376"/>
      <c r="O1010" s="376"/>
      <c r="P1010" s="376"/>
    </row>
    <row r="1011" spans="1:16" s="377" customFormat="1" ht="69" outlineLevel="1">
      <c r="A1011" s="373"/>
      <c r="B1011" s="371" t="s">
        <v>783</v>
      </c>
      <c r="C1011" s="325"/>
      <c r="D1011" s="323"/>
      <c r="E1011" s="323"/>
      <c r="F1011" s="323" t="s">
        <v>624</v>
      </c>
      <c r="G1011" s="323"/>
      <c r="H1011" s="323"/>
      <c r="I1011" s="399" t="str">
        <f t="shared" si="85"/>
        <v/>
      </c>
      <c r="J1011" s="374"/>
      <c r="K1011" s="375"/>
      <c r="L1011" s="376"/>
      <c r="M1011" s="376"/>
      <c r="N1011" s="376"/>
      <c r="O1011" s="376"/>
      <c r="P1011" s="376"/>
    </row>
    <row r="1012" spans="1:16" s="377" customFormat="1" ht="17.25" outlineLevel="1">
      <c r="A1012" s="373"/>
      <c r="B1012" s="370"/>
      <c r="C1012" s="325" t="s">
        <v>2</v>
      </c>
      <c r="D1012" s="323">
        <v>1</v>
      </c>
      <c r="E1012" s="323">
        <v>1</v>
      </c>
      <c r="F1012" s="323">
        <f>3.14*4.5^2</f>
        <v>63.585000000000001</v>
      </c>
      <c r="G1012" s="323"/>
      <c r="H1012" s="323">
        <f>0.75+0.45-0.36-0.468</f>
        <v>0.37199999999999994</v>
      </c>
      <c r="I1012" s="399">
        <f t="shared" si="85"/>
        <v>23.65</v>
      </c>
      <c r="J1012" s="374"/>
      <c r="K1012" s="375"/>
      <c r="L1012" s="376"/>
      <c r="M1012" s="376"/>
      <c r="N1012" s="376"/>
      <c r="O1012" s="376"/>
      <c r="P1012" s="376"/>
    </row>
    <row r="1013" spans="1:16" s="377" customFormat="1" ht="17.25" outlineLevel="1">
      <c r="A1013" s="617"/>
      <c r="B1013" s="370"/>
      <c r="C1013" s="325"/>
      <c r="D1013" s="323"/>
      <c r="E1013" s="323"/>
      <c r="F1013" s="323"/>
      <c r="G1013" s="323"/>
      <c r="H1013" s="323"/>
      <c r="I1013" s="399" t="str">
        <f t="shared" si="85"/>
        <v/>
      </c>
      <c r="J1013" s="374"/>
      <c r="K1013" s="375"/>
      <c r="L1013" s="376"/>
      <c r="M1013" s="376"/>
      <c r="N1013" s="376"/>
      <c r="O1013" s="376"/>
      <c r="P1013" s="376"/>
    </row>
    <row r="1014" spans="1:16" s="377" customFormat="1" ht="34.5" outlineLevel="1">
      <c r="A1014" s="617"/>
      <c r="B1014" s="315" t="s">
        <v>1254</v>
      </c>
      <c r="C1014" s="165"/>
      <c r="D1014" s="548"/>
      <c r="E1014" s="307"/>
      <c r="F1014" s="540"/>
      <c r="G1014" s="540"/>
      <c r="H1014" s="540"/>
      <c r="I1014" s="399" t="str">
        <f t="shared" si="85"/>
        <v/>
      </c>
      <c r="J1014" s="394"/>
      <c r="K1014" s="394"/>
      <c r="L1014" s="376"/>
      <c r="M1014" s="376"/>
      <c r="N1014" s="376"/>
      <c r="O1014" s="376"/>
      <c r="P1014" s="376"/>
    </row>
    <row r="1015" spans="1:16" s="170" customFormat="1" ht="17.25" outlineLevel="1">
      <c r="A1015" s="544"/>
      <c r="B1015" s="312"/>
      <c r="C1015" s="313" t="s">
        <v>2</v>
      </c>
      <c r="D1015" s="323"/>
      <c r="E1015" s="298"/>
      <c r="F1015" s="298">
        <f>3+0.46+0.46+0.15+0.15</f>
        <v>4.2200000000000006</v>
      </c>
      <c r="G1015" s="298">
        <f>F1015/2</f>
        <v>2.1100000000000003</v>
      </c>
      <c r="H1015" s="298"/>
      <c r="I1015" s="399" t="str">
        <f t="shared" si="85"/>
        <v/>
      </c>
      <c r="J1015" s="545"/>
      <c r="K1015" s="546"/>
      <c r="L1015" s="169"/>
      <c r="M1015" s="169"/>
      <c r="N1015" s="169"/>
      <c r="O1015" s="169"/>
      <c r="P1015" s="169"/>
    </row>
    <row r="1016" spans="1:16" s="342" customFormat="1" ht="34.5" outlineLevel="1">
      <c r="A1016" s="544"/>
      <c r="B1016" s="312" t="s">
        <v>1255</v>
      </c>
      <c r="C1016" s="313" t="s">
        <v>2</v>
      </c>
      <c r="D1016" s="323">
        <f>1</f>
        <v>1</v>
      </c>
      <c r="E1016" s="298">
        <v>1</v>
      </c>
      <c r="F1016" s="360">
        <f>3.14*2.11^2</f>
        <v>13.979594000000001</v>
      </c>
      <c r="G1016" s="298"/>
      <c r="H1016" s="323">
        <f t="shared" ref="H1016:H1019" si="92">1.2-0.468</f>
        <v>0.73199999999999998</v>
      </c>
      <c r="I1016" s="399">
        <f t="shared" si="85"/>
        <v>10.23</v>
      </c>
      <c r="J1016" s="545"/>
      <c r="K1016" s="546" t="s">
        <v>860</v>
      </c>
      <c r="L1016" s="341"/>
      <c r="M1016" s="341"/>
      <c r="N1016" s="341"/>
      <c r="O1016" s="341"/>
      <c r="P1016" s="341"/>
    </row>
    <row r="1017" spans="1:16" s="342" customFormat="1" ht="17.25" outlineLevel="1">
      <c r="A1017" s="544"/>
      <c r="B1017" s="312" t="s">
        <v>750</v>
      </c>
      <c r="C1017" s="313" t="s">
        <v>2</v>
      </c>
      <c r="D1017" s="323">
        <f>1</f>
        <v>1</v>
      </c>
      <c r="E1017" s="298">
        <v>1</v>
      </c>
      <c r="F1017" s="360">
        <f t="shared" ref="F1017:F1019" si="93">3.14*2.11^2</f>
        <v>13.979594000000001</v>
      </c>
      <c r="G1017" s="298"/>
      <c r="H1017" s="323">
        <f t="shared" si="92"/>
        <v>0.73199999999999998</v>
      </c>
      <c r="I1017" s="399">
        <f t="shared" si="85"/>
        <v>10.23</v>
      </c>
      <c r="J1017" s="545"/>
      <c r="K1017" s="546"/>
      <c r="L1017" s="341"/>
      <c r="M1017" s="341"/>
      <c r="N1017" s="341"/>
      <c r="O1017" s="341"/>
      <c r="P1017" s="341"/>
    </row>
    <row r="1018" spans="1:16" s="342" customFormat="1" ht="17.25" outlineLevel="1">
      <c r="A1018" s="544"/>
      <c r="B1018" s="312" t="s">
        <v>751</v>
      </c>
      <c r="C1018" s="313" t="s">
        <v>2</v>
      </c>
      <c r="D1018" s="323">
        <f>1</f>
        <v>1</v>
      </c>
      <c r="E1018" s="298">
        <v>1</v>
      </c>
      <c r="F1018" s="360">
        <f t="shared" si="93"/>
        <v>13.979594000000001</v>
      </c>
      <c r="G1018" s="298"/>
      <c r="H1018" s="323">
        <f t="shared" si="92"/>
        <v>0.73199999999999998</v>
      </c>
      <c r="I1018" s="399">
        <f t="shared" si="85"/>
        <v>10.23</v>
      </c>
      <c r="J1018" s="545"/>
      <c r="K1018" s="546"/>
      <c r="L1018" s="341"/>
      <c r="M1018" s="341"/>
      <c r="N1018" s="341"/>
      <c r="O1018" s="341"/>
      <c r="P1018" s="341"/>
    </row>
    <row r="1019" spans="1:16" s="342" customFormat="1" ht="17.25" outlineLevel="1">
      <c r="A1019" s="544"/>
      <c r="B1019" s="312" t="s">
        <v>752</v>
      </c>
      <c r="C1019" s="313" t="s">
        <v>2</v>
      </c>
      <c r="D1019" s="323">
        <f>1</f>
        <v>1</v>
      </c>
      <c r="E1019" s="298">
        <v>1</v>
      </c>
      <c r="F1019" s="360">
        <f t="shared" si="93"/>
        <v>13.979594000000001</v>
      </c>
      <c r="G1019" s="298"/>
      <c r="H1019" s="323">
        <f t="shared" si="92"/>
        <v>0.73199999999999998</v>
      </c>
      <c r="I1019" s="399">
        <f t="shared" si="85"/>
        <v>10.23</v>
      </c>
      <c r="J1019" s="545"/>
      <c r="K1019" s="546"/>
      <c r="L1019" s="341"/>
      <c r="M1019" s="341"/>
      <c r="N1019" s="341"/>
      <c r="O1019" s="341"/>
      <c r="P1019" s="341"/>
    </row>
    <row r="1020" spans="1:16" s="170" customFormat="1" ht="17.25" outlineLevel="1">
      <c r="A1020" s="167"/>
      <c r="B1020" s="312"/>
      <c r="C1020" s="313" t="s">
        <v>2</v>
      </c>
      <c r="D1020" s="323"/>
      <c r="E1020" s="298"/>
      <c r="F1020" s="298"/>
      <c r="G1020" s="298"/>
      <c r="H1020" s="298"/>
      <c r="I1020" s="399" t="str">
        <f t="shared" si="85"/>
        <v/>
      </c>
      <c r="J1020" s="162"/>
      <c r="K1020" s="168"/>
      <c r="L1020" s="169"/>
      <c r="M1020" s="169"/>
      <c r="N1020" s="169"/>
      <c r="O1020" s="169"/>
      <c r="P1020" s="169"/>
    </row>
    <row r="1021" spans="1:16" s="170" customFormat="1" ht="17.25" outlineLevel="1">
      <c r="A1021" s="167"/>
      <c r="B1021" s="312"/>
      <c r="C1021" s="313"/>
      <c r="D1021" s="323"/>
      <c r="E1021" s="298"/>
      <c r="F1021" s="298"/>
      <c r="G1021" s="298"/>
      <c r="H1021" s="298"/>
      <c r="I1021" s="399" t="str">
        <f t="shared" si="85"/>
        <v/>
      </c>
      <c r="J1021" s="162"/>
      <c r="K1021" s="168"/>
      <c r="L1021" s="169"/>
      <c r="M1021" s="169"/>
      <c r="N1021" s="169"/>
      <c r="O1021" s="169"/>
      <c r="P1021" s="169"/>
    </row>
    <row r="1022" spans="1:16" s="170" customFormat="1" ht="34.5" outlineLevel="1">
      <c r="A1022" s="420"/>
      <c r="B1022" s="315" t="s">
        <v>1140</v>
      </c>
      <c r="C1022" s="313"/>
      <c r="D1022" s="323"/>
      <c r="E1022" s="298"/>
      <c r="F1022" s="298"/>
      <c r="G1022" s="298"/>
      <c r="H1022" s="298"/>
      <c r="I1022" s="399" t="str">
        <f t="shared" si="85"/>
        <v/>
      </c>
      <c r="J1022" s="162"/>
      <c r="K1022" s="168"/>
      <c r="L1022" s="169"/>
      <c r="M1022" s="169"/>
      <c r="N1022" s="169"/>
      <c r="O1022" s="169"/>
      <c r="P1022" s="169"/>
    </row>
    <row r="1023" spans="1:16" s="170" customFormat="1" ht="34.5" outlineLevel="1">
      <c r="A1023" s="420"/>
      <c r="B1023" s="312" t="s">
        <v>1256</v>
      </c>
      <c r="C1023" s="313" t="s">
        <v>2</v>
      </c>
      <c r="D1023" s="323"/>
      <c r="E1023" s="298"/>
      <c r="F1023" s="298"/>
      <c r="G1023" s="298"/>
      <c r="H1023" s="298"/>
      <c r="I1023" s="399" t="str">
        <f t="shared" si="85"/>
        <v/>
      </c>
      <c r="J1023" s="162"/>
      <c r="K1023" s="168"/>
      <c r="L1023" s="169"/>
      <c r="M1023" s="169"/>
      <c r="N1023" s="169"/>
      <c r="O1023" s="169"/>
      <c r="P1023" s="169"/>
    </row>
    <row r="1024" spans="1:16" s="170" customFormat="1" ht="17.25" outlineLevel="1">
      <c r="A1024" s="420"/>
      <c r="B1024" s="312" t="s">
        <v>735</v>
      </c>
      <c r="C1024" s="313" t="s">
        <v>2</v>
      </c>
      <c r="D1024" s="323">
        <v>1</v>
      </c>
      <c r="E1024" s="298">
        <v>1</v>
      </c>
      <c r="F1024" s="360">
        <f>3.14*2.11^2</f>
        <v>13.979594000000001</v>
      </c>
      <c r="G1024" s="298"/>
      <c r="H1024" s="323">
        <f t="shared" ref="H1024:H1037" si="94">1.2-0.468</f>
        <v>0.73199999999999998</v>
      </c>
      <c r="I1024" s="399">
        <f t="shared" si="85"/>
        <v>10.23</v>
      </c>
      <c r="J1024" s="162"/>
      <c r="K1024" s="168"/>
      <c r="L1024" s="169"/>
      <c r="M1024" s="169"/>
      <c r="N1024" s="169"/>
      <c r="O1024" s="169"/>
      <c r="P1024" s="169"/>
    </row>
    <row r="1025" spans="1:16" s="170" customFormat="1" ht="17.25" outlineLevel="1">
      <c r="A1025" s="420"/>
      <c r="B1025" s="312" t="s">
        <v>736</v>
      </c>
      <c r="C1025" s="313" t="s">
        <v>2</v>
      </c>
      <c r="D1025" s="323">
        <v>1</v>
      </c>
      <c r="E1025" s="298">
        <v>1</v>
      </c>
      <c r="F1025" s="360">
        <f>3.14*2.11^2</f>
        <v>13.979594000000001</v>
      </c>
      <c r="G1025" s="298"/>
      <c r="H1025" s="323">
        <f t="shared" si="94"/>
        <v>0.73199999999999998</v>
      </c>
      <c r="I1025" s="399">
        <f t="shared" si="85"/>
        <v>10.23</v>
      </c>
      <c r="J1025" s="162"/>
      <c r="K1025" s="168"/>
      <c r="L1025" s="169"/>
      <c r="M1025" s="169"/>
      <c r="N1025" s="169"/>
      <c r="O1025" s="169"/>
      <c r="P1025" s="169"/>
    </row>
    <row r="1026" spans="1:16" s="170" customFormat="1" ht="17.25" outlineLevel="1">
      <c r="A1026" s="420"/>
      <c r="B1026" s="312" t="s">
        <v>737</v>
      </c>
      <c r="C1026" s="313" t="s">
        <v>2</v>
      </c>
      <c r="D1026" s="323">
        <v>1</v>
      </c>
      <c r="E1026" s="298">
        <v>1</v>
      </c>
      <c r="F1026" s="298">
        <f>3.14*3.7</f>
        <v>11.618</v>
      </c>
      <c r="G1026" s="298"/>
      <c r="H1026" s="323">
        <f t="shared" si="94"/>
        <v>0.73199999999999998</v>
      </c>
      <c r="I1026" s="399">
        <f t="shared" si="85"/>
        <v>8.5</v>
      </c>
      <c r="J1026" s="162"/>
      <c r="K1026" s="168">
        <f>3700+460+460+150+150</f>
        <v>4920</v>
      </c>
      <c r="L1026" s="169"/>
      <c r="M1026" s="169"/>
      <c r="N1026" s="169"/>
      <c r="O1026" s="169"/>
      <c r="P1026" s="169"/>
    </row>
    <row r="1027" spans="1:16" s="170" customFormat="1" ht="17.25" outlineLevel="1">
      <c r="A1027" s="420"/>
      <c r="B1027" s="312" t="s">
        <v>738</v>
      </c>
      <c r="C1027" s="313" t="s">
        <v>2</v>
      </c>
      <c r="D1027" s="323">
        <v>1</v>
      </c>
      <c r="E1027" s="298">
        <v>1</v>
      </c>
      <c r="F1027" s="360">
        <f>3.14*2.11^2</f>
        <v>13.979594000000001</v>
      </c>
      <c r="G1027" s="298"/>
      <c r="H1027" s="323">
        <f t="shared" si="94"/>
        <v>0.73199999999999998</v>
      </c>
      <c r="I1027" s="399">
        <f t="shared" si="85"/>
        <v>10.23</v>
      </c>
      <c r="J1027" s="162"/>
      <c r="K1027" s="168">
        <f>K1026/2</f>
        <v>2460</v>
      </c>
      <c r="L1027" s="169"/>
      <c r="M1027" s="169"/>
      <c r="N1027" s="169"/>
      <c r="O1027" s="169"/>
      <c r="P1027" s="169"/>
    </row>
    <row r="1028" spans="1:16" s="170" customFormat="1" ht="17.25" outlineLevel="1">
      <c r="A1028" s="420"/>
      <c r="B1028" s="312" t="s">
        <v>739</v>
      </c>
      <c r="C1028" s="313" t="s">
        <v>2</v>
      </c>
      <c r="D1028" s="323">
        <v>1</v>
      </c>
      <c r="E1028" s="298">
        <v>1</v>
      </c>
      <c r="F1028" s="563">
        <f>21969676/1000000</f>
        <v>21.969676</v>
      </c>
      <c r="G1028" s="298"/>
      <c r="H1028" s="323">
        <f t="shared" si="94"/>
        <v>0.73199999999999998</v>
      </c>
      <c r="I1028" s="399">
        <f t="shared" si="85"/>
        <v>16.079999999999998</v>
      </c>
      <c r="J1028" s="162"/>
      <c r="K1028" s="168"/>
      <c r="L1028" s="169"/>
      <c r="M1028" s="169"/>
      <c r="N1028" s="169"/>
      <c r="O1028" s="169"/>
      <c r="P1028" s="169"/>
    </row>
    <row r="1029" spans="1:16" s="170" customFormat="1" ht="17.25" outlineLevel="1">
      <c r="A1029" s="420"/>
      <c r="B1029" s="312" t="s">
        <v>740</v>
      </c>
      <c r="C1029" s="313" t="s">
        <v>2</v>
      </c>
      <c r="D1029" s="323">
        <v>1</v>
      </c>
      <c r="E1029" s="298">
        <v>1</v>
      </c>
      <c r="F1029" s="360">
        <f>3.14*1.96^2</f>
        <v>12.062624</v>
      </c>
      <c r="G1029" s="298"/>
      <c r="H1029" s="323">
        <f t="shared" si="94"/>
        <v>0.73199999999999998</v>
      </c>
      <c r="I1029" s="399">
        <f t="shared" si="85"/>
        <v>8.83</v>
      </c>
      <c r="J1029" s="162"/>
      <c r="K1029" s="564"/>
      <c r="L1029" s="169"/>
      <c r="M1029" s="169"/>
      <c r="N1029" s="169"/>
      <c r="O1029" s="169"/>
      <c r="P1029" s="169"/>
    </row>
    <row r="1030" spans="1:16" s="170" customFormat="1" ht="17.25" outlineLevel="1">
      <c r="A1030" s="420"/>
      <c r="B1030" s="312" t="s">
        <v>741</v>
      </c>
      <c r="C1030" s="313" t="s">
        <v>2</v>
      </c>
      <c r="D1030" s="323">
        <v>1</v>
      </c>
      <c r="E1030" s="298">
        <v>1</v>
      </c>
      <c r="F1030" s="360">
        <f t="shared" ref="F1030:F1037" si="95">3.14*2.11^2</f>
        <v>13.979594000000001</v>
      </c>
      <c r="G1030" s="298"/>
      <c r="H1030" s="323">
        <f t="shared" si="94"/>
        <v>0.73199999999999998</v>
      </c>
      <c r="I1030" s="399">
        <f t="shared" si="85"/>
        <v>10.23</v>
      </c>
      <c r="J1030" s="162"/>
      <c r="K1030" s="168"/>
      <c r="L1030" s="169"/>
      <c r="M1030" s="169"/>
      <c r="N1030" s="169"/>
      <c r="O1030" s="169"/>
      <c r="P1030" s="169"/>
    </row>
    <row r="1031" spans="1:16" s="170" customFormat="1" ht="17.25" outlineLevel="1">
      <c r="A1031" s="420"/>
      <c r="B1031" s="312" t="s">
        <v>742</v>
      </c>
      <c r="C1031" s="313" t="s">
        <v>2</v>
      </c>
      <c r="D1031" s="323">
        <v>1</v>
      </c>
      <c r="E1031" s="298">
        <v>1</v>
      </c>
      <c r="F1031" s="360">
        <f t="shared" si="95"/>
        <v>13.979594000000001</v>
      </c>
      <c r="G1031" s="298"/>
      <c r="H1031" s="323">
        <f t="shared" si="94"/>
        <v>0.73199999999999998</v>
      </c>
      <c r="I1031" s="399">
        <f t="shared" si="85"/>
        <v>10.23</v>
      </c>
      <c r="J1031" s="162"/>
      <c r="K1031" s="168"/>
      <c r="L1031" s="169"/>
      <c r="M1031" s="169"/>
      <c r="N1031" s="169"/>
      <c r="O1031" s="169"/>
      <c r="P1031" s="169"/>
    </row>
    <row r="1032" spans="1:16" s="170" customFormat="1" ht="17.25" outlineLevel="1">
      <c r="A1032" s="420"/>
      <c r="B1032" s="312" t="s">
        <v>743</v>
      </c>
      <c r="C1032" s="313" t="s">
        <v>2</v>
      </c>
      <c r="D1032" s="323">
        <v>1</v>
      </c>
      <c r="E1032" s="298">
        <v>1</v>
      </c>
      <c r="F1032" s="360">
        <f t="shared" si="95"/>
        <v>13.979594000000001</v>
      </c>
      <c r="G1032" s="298"/>
      <c r="H1032" s="323">
        <f t="shared" si="94"/>
        <v>0.73199999999999998</v>
      </c>
      <c r="I1032" s="399">
        <f t="shared" si="85"/>
        <v>10.23</v>
      </c>
      <c r="J1032" s="162"/>
      <c r="K1032" s="168"/>
      <c r="L1032" s="169"/>
      <c r="M1032" s="169"/>
      <c r="N1032" s="169"/>
      <c r="O1032" s="169"/>
      <c r="P1032" s="169"/>
    </row>
    <row r="1033" spans="1:16" s="170" customFormat="1" ht="17.25" outlineLevel="1">
      <c r="A1033" s="420"/>
      <c r="B1033" s="312" t="s">
        <v>744</v>
      </c>
      <c r="C1033" s="313" t="s">
        <v>2</v>
      </c>
      <c r="D1033" s="323">
        <v>1</v>
      </c>
      <c r="E1033" s="298">
        <v>1</v>
      </c>
      <c r="F1033" s="360">
        <f t="shared" si="95"/>
        <v>13.979594000000001</v>
      </c>
      <c r="G1033" s="298"/>
      <c r="H1033" s="323">
        <f t="shared" si="94"/>
        <v>0.73199999999999998</v>
      </c>
      <c r="I1033" s="399">
        <f t="shared" si="85"/>
        <v>10.23</v>
      </c>
      <c r="J1033" s="162"/>
      <c r="K1033" s="168"/>
      <c r="L1033" s="169"/>
      <c r="M1033" s="169"/>
      <c r="N1033" s="169"/>
      <c r="O1033" s="169"/>
      <c r="P1033" s="169"/>
    </row>
    <row r="1034" spans="1:16" s="170" customFormat="1" ht="17.25" outlineLevel="1">
      <c r="A1034" s="420"/>
      <c r="B1034" s="312" t="s">
        <v>745</v>
      </c>
      <c r="C1034" s="313" t="s">
        <v>2</v>
      </c>
      <c r="D1034" s="323">
        <v>1</v>
      </c>
      <c r="E1034" s="298">
        <v>1</v>
      </c>
      <c r="F1034" s="360">
        <f t="shared" si="95"/>
        <v>13.979594000000001</v>
      </c>
      <c r="G1034" s="298"/>
      <c r="H1034" s="323">
        <f t="shared" si="94"/>
        <v>0.73199999999999998</v>
      </c>
      <c r="I1034" s="399">
        <f t="shared" si="85"/>
        <v>10.23</v>
      </c>
      <c r="J1034" s="162"/>
      <c r="K1034" s="168"/>
      <c r="L1034" s="169"/>
      <c r="M1034" s="169"/>
      <c r="N1034" s="169"/>
      <c r="O1034" s="169"/>
      <c r="P1034" s="169"/>
    </row>
    <row r="1035" spans="1:16" s="170" customFormat="1" ht="17.25" outlineLevel="1">
      <c r="A1035" s="420"/>
      <c r="B1035" s="312" t="s">
        <v>746</v>
      </c>
      <c r="C1035" s="313" t="s">
        <v>2</v>
      </c>
      <c r="D1035" s="323">
        <v>1</v>
      </c>
      <c r="E1035" s="298">
        <v>1</v>
      </c>
      <c r="F1035" s="360">
        <f t="shared" si="95"/>
        <v>13.979594000000001</v>
      </c>
      <c r="G1035" s="298"/>
      <c r="H1035" s="323">
        <f t="shared" si="94"/>
        <v>0.73199999999999998</v>
      </c>
      <c r="I1035" s="399">
        <f t="shared" si="85"/>
        <v>10.23</v>
      </c>
      <c r="J1035" s="162"/>
      <c r="K1035" s="168"/>
      <c r="L1035" s="169"/>
      <c r="M1035" s="169"/>
      <c r="N1035" s="169"/>
      <c r="O1035" s="169"/>
      <c r="P1035" s="169"/>
    </row>
    <row r="1036" spans="1:16" s="170" customFormat="1" ht="17.25" outlineLevel="1">
      <c r="A1036" s="420"/>
      <c r="B1036" s="312" t="s">
        <v>747</v>
      </c>
      <c r="C1036" s="313" t="s">
        <v>2</v>
      </c>
      <c r="D1036" s="323">
        <v>1</v>
      </c>
      <c r="E1036" s="298">
        <v>1</v>
      </c>
      <c r="F1036" s="360">
        <f t="shared" si="95"/>
        <v>13.979594000000001</v>
      </c>
      <c r="G1036" s="298"/>
      <c r="H1036" s="323">
        <f t="shared" si="94"/>
        <v>0.73199999999999998</v>
      </c>
      <c r="I1036" s="399">
        <f t="shared" si="85"/>
        <v>10.23</v>
      </c>
      <c r="J1036" s="162"/>
      <c r="K1036" s="168"/>
      <c r="L1036" s="169"/>
      <c r="M1036" s="169"/>
      <c r="N1036" s="169"/>
      <c r="O1036" s="169"/>
      <c r="P1036" s="169"/>
    </row>
    <row r="1037" spans="1:16" s="170" customFormat="1" ht="17.25" outlineLevel="1">
      <c r="A1037" s="420"/>
      <c r="B1037" s="312" t="s">
        <v>748</v>
      </c>
      <c r="C1037" s="313" t="s">
        <v>2</v>
      </c>
      <c r="D1037" s="323">
        <v>1</v>
      </c>
      <c r="E1037" s="298">
        <v>1</v>
      </c>
      <c r="F1037" s="360">
        <f t="shared" si="95"/>
        <v>13.979594000000001</v>
      </c>
      <c r="G1037" s="298"/>
      <c r="H1037" s="323">
        <f t="shared" si="94"/>
        <v>0.73199999999999998</v>
      </c>
      <c r="I1037" s="399">
        <f t="shared" si="85"/>
        <v>10.23</v>
      </c>
      <c r="J1037" s="162"/>
      <c r="K1037" s="168"/>
      <c r="L1037" s="169"/>
      <c r="M1037" s="169"/>
      <c r="N1037" s="169"/>
      <c r="O1037" s="169"/>
      <c r="P1037" s="169"/>
    </row>
    <row r="1038" spans="1:16" s="170" customFormat="1" ht="17.25" outlineLevel="1">
      <c r="A1038" s="420"/>
      <c r="B1038" s="312"/>
      <c r="C1038" s="313" t="s">
        <v>2</v>
      </c>
      <c r="D1038" s="323"/>
      <c r="E1038" s="298"/>
      <c r="F1038" s="298"/>
      <c r="G1038" s="298"/>
      <c r="H1038" s="298"/>
      <c r="I1038" s="399" t="str">
        <f t="shared" si="85"/>
        <v/>
      </c>
      <c r="J1038" s="162"/>
      <c r="K1038" s="168"/>
      <c r="L1038" s="169"/>
      <c r="M1038" s="169"/>
      <c r="N1038" s="169"/>
      <c r="O1038" s="169"/>
      <c r="P1038" s="169"/>
    </row>
    <row r="1039" spans="1:16" s="170" customFormat="1" ht="34.5" outlineLevel="1">
      <c r="A1039" s="420"/>
      <c r="B1039" s="312" t="s">
        <v>782</v>
      </c>
      <c r="C1039" s="313" t="s">
        <v>2</v>
      </c>
      <c r="D1039" s="323"/>
      <c r="E1039" s="298"/>
      <c r="F1039" s="298"/>
      <c r="G1039" s="298"/>
      <c r="H1039" s="298"/>
      <c r="I1039" s="399" t="str">
        <f t="shared" si="85"/>
        <v/>
      </c>
      <c r="J1039" s="162"/>
      <c r="K1039" s="168"/>
      <c r="L1039" s="169"/>
      <c r="M1039" s="169"/>
      <c r="N1039" s="169"/>
      <c r="O1039" s="169"/>
      <c r="P1039" s="169"/>
    </row>
    <row r="1040" spans="1:16" s="170" customFormat="1" ht="17.25" outlineLevel="1">
      <c r="A1040" s="420"/>
      <c r="B1040" s="312" t="s">
        <v>754</v>
      </c>
      <c r="C1040" s="313" t="s">
        <v>2</v>
      </c>
      <c r="D1040" s="323">
        <v>1</v>
      </c>
      <c r="E1040" s="298">
        <v>1</v>
      </c>
      <c r="F1040" s="329">
        <v>8.2149999999999999</v>
      </c>
      <c r="G1040" s="298">
        <f>0.46+0.15+0.15</f>
        <v>0.76</v>
      </c>
      <c r="H1040" s="323">
        <f t="shared" ref="H1040:H1042" si="96">1.2-0.468</f>
        <v>0.73199999999999998</v>
      </c>
      <c r="I1040" s="399">
        <f t="shared" ref="I1040:I1084" si="97">IF(D1040&lt;&gt;0,ROUND(PRODUCT(E1040:H1040)*D1040,2),"")</f>
        <v>4.57</v>
      </c>
      <c r="J1040" s="162"/>
      <c r="K1040" s="168"/>
      <c r="L1040" s="169"/>
      <c r="M1040" s="169"/>
      <c r="N1040" s="169"/>
      <c r="O1040" s="169"/>
      <c r="P1040" s="169"/>
    </row>
    <row r="1041" spans="1:16" s="170" customFormat="1" ht="17.25" outlineLevel="1">
      <c r="A1041" s="420"/>
      <c r="B1041" s="312" t="s">
        <v>755</v>
      </c>
      <c r="C1041" s="313" t="s">
        <v>2</v>
      </c>
      <c r="D1041" s="323">
        <v>1</v>
      </c>
      <c r="E1041" s="298">
        <v>1</v>
      </c>
      <c r="F1041" s="329">
        <v>2.343</v>
      </c>
      <c r="G1041" s="298">
        <f>0.46+0.15+0.15</f>
        <v>0.76</v>
      </c>
      <c r="H1041" s="323">
        <f t="shared" si="96"/>
        <v>0.73199999999999998</v>
      </c>
      <c r="I1041" s="399">
        <f t="shared" si="97"/>
        <v>1.3</v>
      </c>
      <c r="J1041" s="162"/>
      <c r="K1041" s="168"/>
      <c r="L1041" s="169"/>
      <c r="M1041" s="169"/>
      <c r="N1041" s="169"/>
      <c r="O1041" s="169"/>
      <c r="P1041" s="169"/>
    </row>
    <row r="1042" spans="1:16" s="170" customFormat="1" ht="17.25" outlineLevel="1">
      <c r="A1042" s="420"/>
      <c r="B1042" s="312" t="s">
        <v>756</v>
      </c>
      <c r="C1042" s="313" t="s">
        <v>2</v>
      </c>
      <c r="D1042" s="323">
        <v>1</v>
      </c>
      <c r="E1042" s="298">
        <v>1</v>
      </c>
      <c r="F1042" s="329">
        <v>5.1429999999999998</v>
      </c>
      <c r="G1042" s="298">
        <f>0.46+0.15+0.15</f>
        <v>0.76</v>
      </c>
      <c r="H1042" s="323">
        <f t="shared" si="96"/>
        <v>0.73199999999999998</v>
      </c>
      <c r="I1042" s="399">
        <f t="shared" si="97"/>
        <v>2.86</v>
      </c>
      <c r="J1042" s="162"/>
      <c r="K1042" s="168"/>
      <c r="L1042" s="169"/>
      <c r="M1042" s="169"/>
      <c r="N1042" s="169"/>
      <c r="O1042" s="169"/>
      <c r="P1042" s="169"/>
    </row>
    <row r="1043" spans="1:16" s="377" customFormat="1" ht="17.25" outlineLevel="1">
      <c r="A1043" s="549"/>
      <c r="B1043" s="425"/>
      <c r="C1043" s="165"/>
      <c r="D1043" s="548"/>
      <c r="E1043" s="307"/>
      <c r="F1043" s="540"/>
      <c r="G1043" s="540"/>
      <c r="H1043" s="540"/>
      <c r="I1043" s="399" t="str">
        <f t="shared" si="97"/>
        <v/>
      </c>
      <c r="J1043" s="394"/>
      <c r="K1043" s="394"/>
      <c r="L1043" s="376"/>
      <c r="M1043" s="376"/>
      <c r="N1043" s="376"/>
      <c r="O1043" s="376"/>
      <c r="P1043" s="376"/>
    </row>
    <row r="1044" spans="1:16" s="377" customFormat="1" ht="34.5" outlineLevel="1">
      <c r="A1044" s="549"/>
      <c r="B1044" s="453" t="s">
        <v>1141</v>
      </c>
      <c r="C1044" s="165"/>
      <c r="D1044" s="548"/>
      <c r="E1044" s="307"/>
      <c r="F1044" s="540"/>
      <c r="G1044" s="540"/>
      <c r="H1044" s="540"/>
      <c r="I1044" s="399" t="str">
        <f t="shared" si="97"/>
        <v/>
      </c>
      <c r="J1044" s="394"/>
      <c r="K1044" s="394"/>
      <c r="L1044" s="376"/>
      <c r="M1044" s="376"/>
      <c r="N1044" s="376"/>
      <c r="O1044" s="376"/>
      <c r="P1044" s="376"/>
    </row>
    <row r="1045" spans="1:16" s="170" customFormat="1" ht="34.5" outlineLevel="1">
      <c r="A1045" s="420"/>
      <c r="B1045" s="312" t="s">
        <v>1256</v>
      </c>
      <c r="C1045" s="313" t="s">
        <v>2</v>
      </c>
      <c r="D1045" s="323"/>
      <c r="E1045" s="298"/>
      <c r="F1045" s="298"/>
      <c r="G1045" s="298"/>
      <c r="H1045" s="298"/>
      <c r="I1045" s="399" t="str">
        <f t="shared" si="97"/>
        <v/>
      </c>
      <c r="J1045" s="162"/>
      <c r="K1045" s="168"/>
      <c r="L1045" s="169"/>
      <c r="M1045" s="169"/>
      <c r="N1045" s="169"/>
      <c r="O1045" s="169"/>
      <c r="P1045" s="169"/>
    </row>
    <row r="1046" spans="1:16" s="170" customFormat="1" ht="17.25" outlineLevel="1">
      <c r="A1046" s="420"/>
      <c r="B1046" s="312" t="s">
        <v>735</v>
      </c>
      <c r="C1046" s="313" t="s">
        <v>2</v>
      </c>
      <c r="D1046" s="323">
        <v>-1</v>
      </c>
      <c r="E1046" s="298">
        <v>1</v>
      </c>
      <c r="F1046" s="298">
        <f>3.14*3</f>
        <v>9.42</v>
      </c>
      <c r="G1046" s="298">
        <f t="shared" ref="G1046:G1059" si="98">0.46+0.15</f>
        <v>0.61</v>
      </c>
      <c r="H1046" s="323">
        <f t="shared" ref="H1046:H1063" si="99">1.2-0.468</f>
        <v>0.73199999999999998</v>
      </c>
      <c r="I1046" s="399">
        <f t="shared" si="97"/>
        <v>-4.21</v>
      </c>
      <c r="J1046" s="162"/>
      <c r="K1046" s="168"/>
      <c r="L1046" s="169"/>
      <c r="M1046" s="169"/>
      <c r="N1046" s="169"/>
      <c r="O1046" s="169"/>
      <c r="P1046" s="169"/>
    </row>
    <row r="1047" spans="1:16" s="170" customFormat="1" ht="17.25" outlineLevel="1">
      <c r="A1047" s="420"/>
      <c r="B1047" s="312" t="s">
        <v>736</v>
      </c>
      <c r="C1047" s="313" t="s">
        <v>2</v>
      </c>
      <c r="D1047" s="323">
        <v>-1</v>
      </c>
      <c r="E1047" s="298">
        <v>1</v>
      </c>
      <c r="F1047" s="298">
        <f>3.14*3</f>
        <v>9.42</v>
      </c>
      <c r="G1047" s="298">
        <f t="shared" si="98"/>
        <v>0.61</v>
      </c>
      <c r="H1047" s="323">
        <f t="shared" si="99"/>
        <v>0.73199999999999998</v>
      </c>
      <c r="I1047" s="399">
        <f t="shared" si="97"/>
        <v>-4.21</v>
      </c>
      <c r="J1047" s="162"/>
      <c r="K1047" s="168"/>
      <c r="L1047" s="169"/>
      <c r="M1047" s="169"/>
      <c r="N1047" s="169"/>
      <c r="O1047" s="169"/>
      <c r="P1047" s="169"/>
    </row>
    <row r="1048" spans="1:16" s="170" customFormat="1" ht="17.25" outlineLevel="1">
      <c r="A1048" s="420"/>
      <c r="B1048" s="312" t="s">
        <v>737</v>
      </c>
      <c r="C1048" s="313" t="s">
        <v>2</v>
      </c>
      <c r="D1048" s="323">
        <v>-1</v>
      </c>
      <c r="E1048" s="298">
        <v>1</v>
      </c>
      <c r="F1048" s="298">
        <f>3.14*3.7</f>
        <v>11.618</v>
      </c>
      <c r="G1048" s="298">
        <f t="shared" si="98"/>
        <v>0.61</v>
      </c>
      <c r="H1048" s="323">
        <f t="shared" si="99"/>
        <v>0.73199999999999998</v>
      </c>
      <c r="I1048" s="399">
        <f t="shared" si="97"/>
        <v>-5.19</v>
      </c>
      <c r="J1048" s="162"/>
      <c r="K1048" s="168"/>
      <c r="L1048" s="169"/>
      <c r="M1048" s="169"/>
      <c r="N1048" s="169"/>
      <c r="O1048" s="169"/>
      <c r="P1048" s="169"/>
    </row>
    <row r="1049" spans="1:16" s="170" customFormat="1" ht="17.25" outlineLevel="1">
      <c r="A1049" s="420"/>
      <c r="B1049" s="312" t="s">
        <v>738</v>
      </c>
      <c r="C1049" s="313" t="s">
        <v>2</v>
      </c>
      <c r="D1049" s="323">
        <v>-1</v>
      </c>
      <c r="E1049" s="298">
        <v>1</v>
      </c>
      <c r="F1049" s="298">
        <f>3.14*3</f>
        <v>9.42</v>
      </c>
      <c r="G1049" s="298">
        <f t="shared" si="98"/>
        <v>0.61</v>
      </c>
      <c r="H1049" s="323">
        <f t="shared" si="99"/>
        <v>0.73199999999999998</v>
      </c>
      <c r="I1049" s="399">
        <f t="shared" si="97"/>
        <v>-4.21</v>
      </c>
      <c r="J1049" s="162"/>
      <c r="K1049" s="168"/>
      <c r="L1049" s="169"/>
      <c r="M1049" s="169"/>
      <c r="N1049" s="169"/>
      <c r="O1049" s="169"/>
      <c r="P1049" s="169"/>
    </row>
    <row r="1050" spans="1:16" s="170" customFormat="1" ht="17.25" outlineLevel="1">
      <c r="A1050" s="420"/>
      <c r="B1050" s="312" t="s">
        <v>739</v>
      </c>
      <c r="C1050" s="313" t="s">
        <v>2</v>
      </c>
      <c r="D1050" s="323">
        <v>-1</v>
      </c>
      <c r="E1050" s="298">
        <v>1</v>
      </c>
      <c r="F1050" s="298">
        <v>8.5660000000000007</v>
      </c>
      <c r="G1050" s="298">
        <f t="shared" si="98"/>
        <v>0.61</v>
      </c>
      <c r="H1050" s="323">
        <f t="shared" si="99"/>
        <v>0.73199999999999998</v>
      </c>
      <c r="I1050" s="399">
        <f t="shared" si="97"/>
        <v>-3.82</v>
      </c>
      <c r="J1050" s="162"/>
      <c r="K1050" s="168"/>
      <c r="L1050" s="169"/>
      <c r="M1050" s="169"/>
      <c r="N1050" s="169"/>
      <c r="O1050" s="169"/>
      <c r="P1050" s="169"/>
    </row>
    <row r="1051" spans="1:16" s="170" customFormat="1" ht="17.25" outlineLevel="1">
      <c r="A1051" s="420"/>
      <c r="B1051" s="312" t="s">
        <v>740</v>
      </c>
      <c r="C1051" s="313" t="s">
        <v>2</v>
      </c>
      <c r="D1051" s="323">
        <v>-1</v>
      </c>
      <c r="E1051" s="298">
        <v>1</v>
      </c>
      <c r="F1051" s="298">
        <f>3.14*2.7</f>
        <v>8.4780000000000015</v>
      </c>
      <c r="G1051" s="298">
        <f t="shared" si="98"/>
        <v>0.61</v>
      </c>
      <c r="H1051" s="323">
        <f t="shared" si="99"/>
        <v>0.73199999999999998</v>
      </c>
      <c r="I1051" s="399">
        <f t="shared" si="97"/>
        <v>-3.79</v>
      </c>
      <c r="J1051" s="162"/>
      <c r="K1051" s="168"/>
      <c r="L1051" s="169"/>
      <c r="M1051" s="169"/>
      <c r="N1051" s="169"/>
      <c r="O1051" s="169"/>
      <c r="P1051" s="169"/>
    </row>
    <row r="1052" spans="1:16" s="170" customFormat="1" ht="17.25" outlineLevel="1">
      <c r="A1052" s="420"/>
      <c r="B1052" s="312" t="s">
        <v>741</v>
      </c>
      <c r="C1052" s="313" t="s">
        <v>2</v>
      </c>
      <c r="D1052" s="323">
        <v>-1</v>
      </c>
      <c r="E1052" s="298">
        <v>1</v>
      </c>
      <c r="F1052" s="298">
        <f t="shared" ref="F1052:F1059" si="100">3.14*3</f>
        <v>9.42</v>
      </c>
      <c r="G1052" s="298">
        <f t="shared" si="98"/>
        <v>0.61</v>
      </c>
      <c r="H1052" s="323">
        <f t="shared" si="99"/>
        <v>0.73199999999999998</v>
      </c>
      <c r="I1052" s="399">
        <f t="shared" si="97"/>
        <v>-4.21</v>
      </c>
      <c r="J1052" s="162"/>
      <c r="K1052" s="168"/>
      <c r="L1052" s="169"/>
      <c r="M1052" s="169"/>
      <c r="N1052" s="169"/>
      <c r="O1052" s="169"/>
      <c r="P1052" s="169"/>
    </row>
    <row r="1053" spans="1:16" s="170" customFormat="1" ht="17.25" outlineLevel="1">
      <c r="A1053" s="420"/>
      <c r="B1053" s="312" t="s">
        <v>742</v>
      </c>
      <c r="C1053" s="313" t="s">
        <v>2</v>
      </c>
      <c r="D1053" s="323">
        <v>-1</v>
      </c>
      <c r="E1053" s="298">
        <v>1</v>
      </c>
      <c r="F1053" s="298">
        <f t="shared" si="100"/>
        <v>9.42</v>
      </c>
      <c r="G1053" s="298">
        <f t="shared" si="98"/>
        <v>0.61</v>
      </c>
      <c r="H1053" s="323">
        <f t="shared" si="99"/>
        <v>0.73199999999999998</v>
      </c>
      <c r="I1053" s="399">
        <f t="shared" si="97"/>
        <v>-4.21</v>
      </c>
      <c r="J1053" s="162"/>
      <c r="K1053" s="168"/>
      <c r="L1053" s="169"/>
      <c r="M1053" s="169"/>
      <c r="N1053" s="169"/>
      <c r="O1053" s="169"/>
      <c r="P1053" s="169"/>
    </row>
    <row r="1054" spans="1:16" s="170" customFormat="1" ht="17.25" outlineLevel="1">
      <c r="A1054" s="420"/>
      <c r="B1054" s="312" t="s">
        <v>743</v>
      </c>
      <c r="C1054" s="313" t="s">
        <v>2</v>
      </c>
      <c r="D1054" s="323">
        <v>-1</v>
      </c>
      <c r="E1054" s="298">
        <v>1</v>
      </c>
      <c r="F1054" s="298">
        <f t="shared" si="100"/>
        <v>9.42</v>
      </c>
      <c r="G1054" s="298">
        <f t="shared" si="98"/>
        <v>0.61</v>
      </c>
      <c r="H1054" s="323">
        <f t="shared" si="99"/>
        <v>0.73199999999999998</v>
      </c>
      <c r="I1054" s="399">
        <f t="shared" si="97"/>
        <v>-4.21</v>
      </c>
      <c r="J1054" s="162"/>
      <c r="K1054" s="168"/>
      <c r="L1054" s="169"/>
      <c r="M1054" s="169"/>
      <c r="N1054" s="169"/>
      <c r="O1054" s="169"/>
      <c r="P1054" s="169"/>
    </row>
    <row r="1055" spans="1:16" s="170" customFormat="1" ht="17.25" outlineLevel="1">
      <c r="A1055" s="420"/>
      <c r="B1055" s="312" t="s">
        <v>744</v>
      </c>
      <c r="C1055" s="313" t="s">
        <v>2</v>
      </c>
      <c r="D1055" s="323">
        <v>-1</v>
      </c>
      <c r="E1055" s="298">
        <v>1</v>
      </c>
      <c r="F1055" s="298">
        <f t="shared" si="100"/>
        <v>9.42</v>
      </c>
      <c r="G1055" s="298">
        <f t="shared" si="98"/>
        <v>0.61</v>
      </c>
      <c r="H1055" s="323">
        <f t="shared" si="99"/>
        <v>0.73199999999999998</v>
      </c>
      <c r="I1055" s="399">
        <f t="shared" si="97"/>
        <v>-4.21</v>
      </c>
      <c r="J1055" s="162"/>
      <c r="K1055" s="168"/>
      <c r="L1055" s="169"/>
      <c r="M1055" s="169"/>
      <c r="N1055" s="169"/>
      <c r="O1055" s="169"/>
      <c r="P1055" s="169"/>
    </row>
    <row r="1056" spans="1:16" s="170" customFormat="1" ht="17.25" outlineLevel="1">
      <c r="A1056" s="420"/>
      <c r="B1056" s="312" t="s">
        <v>745</v>
      </c>
      <c r="C1056" s="313" t="s">
        <v>2</v>
      </c>
      <c r="D1056" s="323">
        <v>-1</v>
      </c>
      <c r="E1056" s="298">
        <v>1</v>
      </c>
      <c r="F1056" s="298">
        <f t="shared" si="100"/>
        <v>9.42</v>
      </c>
      <c r="G1056" s="298">
        <f t="shared" si="98"/>
        <v>0.61</v>
      </c>
      <c r="H1056" s="323">
        <f t="shared" si="99"/>
        <v>0.73199999999999998</v>
      </c>
      <c r="I1056" s="399">
        <f t="shared" si="97"/>
        <v>-4.21</v>
      </c>
      <c r="J1056" s="162"/>
      <c r="K1056" s="168"/>
      <c r="L1056" s="169"/>
      <c r="M1056" s="169"/>
      <c r="N1056" s="169"/>
      <c r="O1056" s="169"/>
      <c r="P1056" s="169"/>
    </row>
    <row r="1057" spans="1:16" s="170" customFormat="1" ht="17.25" outlineLevel="1">
      <c r="A1057" s="420"/>
      <c r="B1057" s="312" t="s">
        <v>746</v>
      </c>
      <c r="C1057" s="313" t="s">
        <v>2</v>
      </c>
      <c r="D1057" s="323">
        <v>-1</v>
      </c>
      <c r="E1057" s="298">
        <v>1</v>
      </c>
      <c r="F1057" s="298">
        <f t="shared" si="100"/>
        <v>9.42</v>
      </c>
      <c r="G1057" s="298">
        <f t="shared" si="98"/>
        <v>0.61</v>
      </c>
      <c r="H1057" s="323">
        <f t="shared" si="99"/>
        <v>0.73199999999999998</v>
      </c>
      <c r="I1057" s="399">
        <f t="shared" si="97"/>
        <v>-4.21</v>
      </c>
      <c r="J1057" s="162"/>
      <c r="K1057" s="168"/>
      <c r="L1057" s="169"/>
      <c r="M1057" s="169"/>
      <c r="N1057" s="169"/>
      <c r="O1057" s="169"/>
      <c r="P1057" s="169"/>
    </row>
    <row r="1058" spans="1:16" s="170" customFormat="1" ht="17.25" outlineLevel="1">
      <c r="A1058" s="420"/>
      <c r="B1058" s="312" t="s">
        <v>747</v>
      </c>
      <c r="C1058" s="313" t="s">
        <v>2</v>
      </c>
      <c r="D1058" s="323">
        <v>-1</v>
      </c>
      <c r="E1058" s="298">
        <v>1</v>
      </c>
      <c r="F1058" s="298">
        <f t="shared" si="100"/>
        <v>9.42</v>
      </c>
      <c r="G1058" s="298">
        <f t="shared" si="98"/>
        <v>0.61</v>
      </c>
      <c r="H1058" s="323">
        <f t="shared" si="99"/>
        <v>0.73199999999999998</v>
      </c>
      <c r="I1058" s="399">
        <f t="shared" si="97"/>
        <v>-4.21</v>
      </c>
      <c r="J1058" s="162"/>
      <c r="K1058" s="168"/>
      <c r="L1058" s="169"/>
      <c r="M1058" s="169"/>
      <c r="N1058" s="169"/>
      <c r="O1058" s="169"/>
      <c r="P1058" s="169"/>
    </row>
    <row r="1059" spans="1:16" s="170" customFormat="1" ht="17.25" outlineLevel="1">
      <c r="A1059" s="420"/>
      <c r="B1059" s="312" t="s">
        <v>748</v>
      </c>
      <c r="C1059" s="313" t="s">
        <v>2</v>
      </c>
      <c r="D1059" s="323">
        <v>-1</v>
      </c>
      <c r="E1059" s="298">
        <v>1</v>
      </c>
      <c r="F1059" s="298">
        <f t="shared" si="100"/>
        <v>9.42</v>
      </c>
      <c r="G1059" s="298">
        <f t="shared" si="98"/>
        <v>0.61</v>
      </c>
      <c r="H1059" s="323">
        <f t="shared" si="99"/>
        <v>0.73199999999999998</v>
      </c>
      <c r="I1059" s="399">
        <f t="shared" si="97"/>
        <v>-4.21</v>
      </c>
      <c r="J1059" s="162"/>
      <c r="K1059" s="168"/>
      <c r="L1059" s="169"/>
      <c r="M1059" s="169"/>
      <c r="N1059" s="169"/>
      <c r="O1059" s="169"/>
      <c r="P1059" s="169"/>
    </row>
    <row r="1060" spans="1:16" s="170" customFormat="1" ht="34.5" outlineLevel="1">
      <c r="A1060" s="420"/>
      <c r="B1060" s="312" t="s">
        <v>782</v>
      </c>
      <c r="C1060" s="313"/>
      <c r="D1060" s="323"/>
      <c r="E1060" s="298"/>
      <c r="F1060" s="298"/>
      <c r="G1060" s="298"/>
      <c r="H1060" s="298"/>
      <c r="I1060" s="399" t="str">
        <f t="shared" si="97"/>
        <v/>
      </c>
      <c r="J1060" s="162"/>
      <c r="K1060" s="168"/>
      <c r="L1060" s="169"/>
      <c r="M1060" s="169"/>
      <c r="N1060" s="169"/>
      <c r="O1060" s="169"/>
      <c r="P1060" s="169"/>
    </row>
    <row r="1061" spans="1:16" s="170" customFormat="1" ht="17.25" outlineLevel="1">
      <c r="A1061" s="420"/>
      <c r="B1061" s="312" t="s">
        <v>754</v>
      </c>
      <c r="C1061" s="313" t="s">
        <v>2</v>
      </c>
      <c r="D1061" s="323">
        <v>-1</v>
      </c>
      <c r="E1061" s="298">
        <v>1</v>
      </c>
      <c r="F1061" s="329">
        <v>8.2149999999999999</v>
      </c>
      <c r="G1061" s="298">
        <f>0.46+0.15</f>
        <v>0.61</v>
      </c>
      <c r="H1061" s="323">
        <f t="shared" si="99"/>
        <v>0.73199999999999998</v>
      </c>
      <c r="I1061" s="399">
        <f t="shared" si="97"/>
        <v>-3.67</v>
      </c>
      <c r="J1061" s="162"/>
      <c r="K1061" s="168"/>
      <c r="L1061" s="169"/>
      <c r="M1061" s="169"/>
      <c r="N1061" s="169"/>
      <c r="O1061" s="169"/>
      <c r="P1061" s="169"/>
    </row>
    <row r="1062" spans="1:16" s="170" customFormat="1" ht="17.25" outlineLevel="1">
      <c r="A1062" s="420"/>
      <c r="B1062" s="312" t="s">
        <v>755</v>
      </c>
      <c r="C1062" s="313" t="s">
        <v>2</v>
      </c>
      <c r="D1062" s="323">
        <v>-1</v>
      </c>
      <c r="E1062" s="298">
        <v>1</v>
      </c>
      <c r="F1062" s="329">
        <v>2.343</v>
      </c>
      <c r="G1062" s="298">
        <f>0.46+0.15</f>
        <v>0.61</v>
      </c>
      <c r="H1062" s="323">
        <f t="shared" si="99"/>
        <v>0.73199999999999998</v>
      </c>
      <c r="I1062" s="399">
        <f t="shared" si="97"/>
        <v>-1.05</v>
      </c>
      <c r="J1062" s="162"/>
      <c r="K1062" s="168"/>
      <c r="L1062" s="169"/>
      <c r="M1062" s="169"/>
      <c r="N1062" s="169"/>
      <c r="O1062" s="169"/>
      <c r="P1062" s="169"/>
    </row>
    <row r="1063" spans="1:16" s="170" customFormat="1" ht="17.25" outlineLevel="1">
      <c r="A1063" s="420"/>
      <c r="B1063" s="312" t="s">
        <v>756</v>
      </c>
      <c r="C1063" s="313" t="s">
        <v>2</v>
      </c>
      <c r="D1063" s="323">
        <v>-1</v>
      </c>
      <c r="E1063" s="298">
        <v>1</v>
      </c>
      <c r="F1063" s="329">
        <v>5.1429999999999998</v>
      </c>
      <c r="G1063" s="298">
        <f>0.46+0.15</f>
        <v>0.61</v>
      </c>
      <c r="H1063" s="323">
        <f t="shared" si="99"/>
        <v>0.73199999999999998</v>
      </c>
      <c r="I1063" s="399">
        <f t="shared" si="97"/>
        <v>-2.2999999999999998</v>
      </c>
      <c r="J1063" s="162"/>
      <c r="K1063" s="168"/>
      <c r="L1063" s="169"/>
      <c r="M1063" s="169"/>
      <c r="N1063" s="169"/>
      <c r="O1063" s="169"/>
      <c r="P1063" s="169"/>
    </row>
    <row r="1064" spans="1:16" s="377" customFormat="1" ht="17.25" outlineLevel="1">
      <c r="A1064" s="414"/>
      <c r="B1064" s="425"/>
      <c r="C1064" s="165"/>
      <c r="D1064" s="548"/>
      <c r="E1064" s="307"/>
      <c r="F1064" s="540"/>
      <c r="G1064" s="540"/>
      <c r="H1064" s="540"/>
      <c r="I1064" s="399" t="str">
        <f t="shared" si="97"/>
        <v/>
      </c>
      <c r="J1064" s="394"/>
      <c r="K1064" s="394"/>
      <c r="L1064" s="376"/>
      <c r="M1064" s="376"/>
      <c r="N1064" s="376"/>
      <c r="O1064" s="376"/>
      <c r="P1064" s="376"/>
    </row>
    <row r="1065" spans="1:16" s="377" customFormat="1" ht="17.25" outlineLevel="1">
      <c r="A1065" s="550"/>
      <c r="B1065" s="551"/>
      <c r="C1065" s="528"/>
      <c r="D1065" s="552"/>
      <c r="E1065" s="553"/>
      <c r="F1065" s="554"/>
      <c r="G1065" s="554"/>
      <c r="H1065" s="554"/>
      <c r="I1065" s="399" t="str">
        <f t="shared" si="97"/>
        <v/>
      </c>
      <c r="J1065" s="529"/>
      <c r="K1065" s="529"/>
      <c r="L1065" s="376"/>
      <c r="M1065" s="376"/>
      <c r="N1065" s="376"/>
      <c r="O1065" s="376"/>
      <c r="P1065" s="376"/>
    </row>
    <row r="1066" spans="1:16" s="377" customFormat="1" ht="34.5" outlineLevel="1">
      <c r="A1066" s="555"/>
      <c r="B1066" s="547" t="s">
        <v>782</v>
      </c>
      <c r="C1066" s="313"/>
      <c r="D1066" s="323"/>
      <c r="E1066" s="298"/>
      <c r="F1066" s="298"/>
      <c r="G1066" s="298"/>
      <c r="H1066" s="298"/>
      <c r="I1066" s="399" t="str">
        <f t="shared" si="97"/>
        <v/>
      </c>
      <c r="J1066" s="374"/>
      <c r="K1066" s="163"/>
      <c r="L1066" s="376"/>
      <c r="M1066" s="376"/>
      <c r="N1066" s="376"/>
      <c r="O1066" s="376"/>
      <c r="P1066" s="376"/>
    </row>
    <row r="1067" spans="1:16" s="377" customFormat="1" ht="17.25" outlineLevel="1">
      <c r="A1067" s="617"/>
      <c r="B1067" s="312" t="s">
        <v>1142</v>
      </c>
      <c r="C1067" s="313" t="s">
        <v>2</v>
      </c>
      <c r="D1067" s="323">
        <v>1</v>
      </c>
      <c r="E1067" s="298">
        <v>1</v>
      </c>
      <c r="F1067" s="323">
        <v>4.5309999999999997</v>
      </c>
      <c r="G1067" s="298">
        <f>0.46+0.15+0.15</f>
        <v>0.76</v>
      </c>
      <c r="H1067" s="323">
        <f t="shared" ref="H1067:H1070" si="101">1.2-0.468</f>
        <v>0.73199999999999998</v>
      </c>
      <c r="I1067" s="399">
        <f t="shared" si="97"/>
        <v>2.52</v>
      </c>
      <c r="J1067" s="374"/>
      <c r="K1067" s="163"/>
      <c r="L1067" s="376"/>
      <c r="M1067" s="376"/>
      <c r="N1067" s="376"/>
      <c r="O1067" s="376"/>
      <c r="P1067" s="376"/>
    </row>
    <row r="1068" spans="1:16" s="377" customFormat="1" ht="17.25" outlineLevel="1">
      <c r="A1068" s="617"/>
      <c r="B1068" s="312" t="s">
        <v>1127</v>
      </c>
      <c r="C1068" s="313" t="s">
        <v>2</v>
      </c>
      <c r="D1068" s="323">
        <v>1</v>
      </c>
      <c r="E1068" s="298">
        <v>1</v>
      </c>
      <c r="F1068" s="1106">
        <v>5.2839999999999998</v>
      </c>
      <c r="G1068" s="298">
        <f>0.46+0.15+0.15</f>
        <v>0.76</v>
      </c>
      <c r="H1068" s="323">
        <f t="shared" si="101"/>
        <v>0.73199999999999998</v>
      </c>
      <c r="I1068" s="399">
        <f t="shared" si="97"/>
        <v>2.94</v>
      </c>
      <c r="J1068" s="374"/>
      <c r="K1068" s="163"/>
      <c r="L1068" s="376"/>
      <c r="M1068" s="376"/>
      <c r="N1068" s="376"/>
      <c r="O1068" s="376"/>
      <c r="P1068" s="376"/>
    </row>
    <row r="1069" spans="1:16" s="377" customFormat="1" ht="17.25" outlineLevel="1">
      <c r="A1069" s="617"/>
      <c r="B1069" s="312" t="s">
        <v>1128</v>
      </c>
      <c r="C1069" s="313" t="s">
        <v>2</v>
      </c>
      <c r="D1069" s="323">
        <v>1</v>
      </c>
      <c r="E1069" s="298">
        <v>1</v>
      </c>
      <c r="F1069" s="323">
        <v>3.1429999999999998</v>
      </c>
      <c r="G1069" s="298">
        <f t="shared" ref="G1069:G1070" si="102">0.46+0.15+0.15</f>
        <v>0.76</v>
      </c>
      <c r="H1069" s="323">
        <f t="shared" si="101"/>
        <v>0.73199999999999998</v>
      </c>
      <c r="I1069" s="399">
        <f t="shared" si="97"/>
        <v>1.75</v>
      </c>
      <c r="J1069" s="374"/>
      <c r="K1069" s="163"/>
      <c r="L1069" s="376"/>
      <c r="M1069" s="376"/>
      <c r="N1069" s="376"/>
      <c r="O1069" s="376"/>
      <c r="P1069" s="376"/>
    </row>
    <row r="1070" spans="1:16" s="377" customFormat="1" ht="17.25" outlineLevel="1">
      <c r="A1070" s="617"/>
      <c r="B1070" s="312" t="s">
        <v>1128</v>
      </c>
      <c r="C1070" s="313" t="s">
        <v>2</v>
      </c>
      <c r="D1070" s="323">
        <v>1</v>
      </c>
      <c r="E1070" s="298">
        <v>1</v>
      </c>
      <c r="F1070" s="323">
        <v>3.121</v>
      </c>
      <c r="G1070" s="298">
        <f t="shared" si="102"/>
        <v>0.76</v>
      </c>
      <c r="H1070" s="323">
        <f t="shared" si="101"/>
        <v>0.73199999999999998</v>
      </c>
      <c r="I1070" s="399">
        <f t="shared" si="97"/>
        <v>1.74</v>
      </c>
      <c r="J1070" s="374"/>
      <c r="K1070" s="163"/>
      <c r="L1070" s="376">
        <v>2</v>
      </c>
      <c r="M1070" s="376"/>
      <c r="N1070" s="376"/>
      <c r="O1070" s="376"/>
      <c r="P1070" s="376"/>
    </row>
    <row r="1071" spans="1:16" s="377" customFormat="1" ht="17.25" outlineLevel="1">
      <c r="A1071" s="617"/>
      <c r="B1071" s="312"/>
      <c r="C1071" s="313"/>
      <c r="D1071" s="323"/>
      <c r="E1071" s="298"/>
      <c r="F1071" s="323"/>
      <c r="G1071" s="298"/>
      <c r="H1071" s="298"/>
      <c r="I1071" s="399" t="str">
        <f t="shared" si="97"/>
        <v/>
      </c>
      <c r="J1071" s="374"/>
      <c r="K1071" s="163"/>
      <c r="L1071" s="376">
        <f>PI()</f>
        <v>3.1415926535897931</v>
      </c>
      <c r="M1071" s="376"/>
      <c r="N1071" s="376"/>
      <c r="O1071" s="376"/>
      <c r="P1071" s="376"/>
    </row>
    <row r="1072" spans="1:16" s="377" customFormat="1" ht="17.25" outlineLevel="1">
      <c r="A1072" s="555"/>
      <c r="B1072" s="531" t="s">
        <v>1257</v>
      </c>
      <c r="C1072" s="165"/>
      <c r="D1072" s="548"/>
      <c r="E1072" s="307"/>
      <c r="F1072" s="540"/>
      <c r="G1072" s="540"/>
      <c r="H1072" s="540"/>
      <c r="I1072" s="399" t="str">
        <f t="shared" si="97"/>
        <v/>
      </c>
      <c r="J1072" s="394"/>
      <c r="K1072" s="394"/>
      <c r="L1072" s="376">
        <v>1.73</v>
      </c>
      <c r="M1072" s="376"/>
      <c r="N1072" s="376"/>
      <c r="O1072" s="376"/>
      <c r="P1072" s="376"/>
    </row>
    <row r="1073" spans="1:16" s="377" customFormat="1" ht="17.25" outlineLevel="1">
      <c r="A1073" s="165"/>
      <c r="B1073" s="307" t="s">
        <v>1144</v>
      </c>
      <c r="C1073" s="165"/>
      <c r="D1073" s="548"/>
      <c r="E1073" s="307"/>
      <c r="F1073" s="540"/>
      <c r="G1073" s="540"/>
      <c r="H1073" s="540"/>
      <c r="I1073" s="399" t="str">
        <f t="shared" si="97"/>
        <v/>
      </c>
      <c r="J1073" s="394"/>
      <c r="K1073" s="394"/>
      <c r="L1073" s="376">
        <f>L1070*L1071*L1072</f>
        <v>10.869910581420685</v>
      </c>
      <c r="M1073" s="376"/>
      <c r="N1073" s="376"/>
      <c r="O1073" s="376"/>
      <c r="P1073" s="376"/>
    </row>
    <row r="1074" spans="1:16" s="377" customFormat="1" ht="17.25" outlineLevel="1">
      <c r="A1074" s="165"/>
      <c r="B1074" s="307"/>
      <c r="C1074" s="165"/>
      <c r="D1074" s="548"/>
      <c r="E1074" s="307"/>
      <c r="F1074" s="540"/>
      <c r="G1074" s="540"/>
      <c r="H1074" s="540"/>
      <c r="I1074" s="399" t="str">
        <f t="shared" si="97"/>
        <v/>
      </c>
      <c r="J1074" s="394"/>
      <c r="K1074" s="394"/>
      <c r="L1074" s="376"/>
      <c r="M1074" s="376"/>
      <c r="N1074" s="376"/>
      <c r="O1074" s="376"/>
      <c r="P1074" s="376"/>
    </row>
    <row r="1075" spans="1:16" s="377" customFormat="1" ht="17.25" outlineLevel="1">
      <c r="A1075" s="414"/>
      <c r="B1075" s="425" t="s">
        <v>1258</v>
      </c>
      <c r="C1075" s="313" t="s">
        <v>2</v>
      </c>
      <c r="D1075" s="323">
        <v>1</v>
      </c>
      <c r="E1075" s="298">
        <v>1</v>
      </c>
      <c r="F1075" s="540">
        <f>78668216/1000000</f>
        <v>78.668216000000001</v>
      </c>
      <c r="G1075" s="540"/>
      <c r="H1075" s="540">
        <v>0.75</v>
      </c>
      <c r="I1075" s="399">
        <f t="shared" si="97"/>
        <v>59</v>
      </c>
      <c r="J1075" s="394"/>
      <c r="K1075" s="394" t="s">
        <v>860</v>
      </c>
      <c r="L1075" s="376"/>
      <c r="M1075" s="376"/>
      <c r="N1075" s="376"/>
      <c r="O1075" s="376"/>
      <c r="P1075" s="376"/>
    </row>
    <row r="1076" spans="1:16" s="377" customFormat="1" ht="17.25" outlineLevel="1">
      <c r="A1076" s="165"/>
      <c r="B1076" s="307"/>
      <c r="C1076" s="165"/>
      <c r="D1076" s="548"/>
      <c r="E1076" s="307"/>
      <c r="F1076" s="540"/>
      <c r="G1076" s="540"/>
      <c r="H1076" s="540"/>
      <c r="I1076" s="399" t="str">
        <f t="shared" si="97"/>
        <v/>
      </c>
      <c r="J1076" s="394"/>
      <c r="K1076" s="394"/>
      <c r="L1076" s="376"/>
      <c r="M1076" s="376"/>
      <c r="N1076" s="376"/>
      <c r="O1076" s="376"/>
      <c r="P1076" s="376"/>
    </row>
    <row r="1077" spans="1:16" s="377" customFormat="1" ht="34.5" outlineLevel="1">
      <c r="A1077" s="414"/>
      <c r="B1077" s="425" t="s">
        <v>1259</v>
      </c>
      <c r="C1077" s="313" t="s">
        <v>2</v>
      </c>
      <c r="D1077" s="323">
        <v>1</v>
      </c>
      <c r="E1077" s="298">
        <v>1</v>
      </c>
      <c r="F1077" s="540">
        <f>3.412+3.463+1.882+2.969+1.394+1.929+3.449+1.411+1.576+1.063+4.808+0.979</f>
        <v>28.334999999999997</v>
      </c>
      <c r="G1077" s="664">
        <f>0.46+0.1+0.1</f>
        <v>0.66</v>
      </c>
      <c r="H1077" s="540">
        <v>0.1</v>
      </c>
      <c r="I1077" s="399">
        <f t="shared" si="97"/>
        <v>1.87</v>
      </c>
      <c r="J1077" s="394"/>
      <c r="K1077" s="394"/>
      <c r="L1077" s="376"/>
      <c r="M1077" s="376"/>
      <c r="N1077" s="376"/>
      <c r="O1077" s="376"/>
      <c r="P1077" s="376"/>
    </row>
    <row r="1078" spans="1:16" s="377" customFormat="1" ht="34.5" outlineLevel="1">
      <c r="A1078" s="414"/>
      <c r="B1078" s="425" t="s">
        <v>1260</v>
      </c>
      <c r="C1078" s="313" t="s">
        <v>2</v>
      </c>
      <c r="D1078" s="323">
        <v>1</v>
      </c>
      <c r="E1078" s="298">
        <v>1</v>
      </c>
      <c r="F1078" s="540">
        <v>1.353</v>
      </c>
      <c r="G1078" s="540">
        <f>0.839+0.1+0.1</f>
        <v>1.0389999999999999</v>
      </c>
      <c r="H1078" s="540">
        <v>0.1</v>
      </c>
      <c r="I1078" s="399">
        <f t="shared" si="97"/>
        <v>0.14000000000000001</v>
      </c>
      <c r="J1078" s="394"/>
      <c r="K1078" s="394"/>
      <c r="L1078" s="376"/>
      <c r="M1078" s="376"/>
      <c r="N1078" s="376"/>
      <c r="O1078" s="376"/>
      <c r="P1078" s="376"/>
    </row>
    <row r="1079" spans="1:16" s="377" customFormat="1" ht="34.5" outlineLevel="1">
      <c r="A1079" s="414"/>
      <c r="B1079" s="425" t="s">
        <v>1260</v>
      </c>
      <c r="C1079" s="313" t="s">
        <v>2</v>
      </c>
      <c r="D1079" s="323">
        <v>1</v>
      </c>
      <c r="E1079" s="298">
        <v>1</v>
      </c>
      <c r="F1079" s="540">
        <v>4.4589999999999996</v>
      </c>
      <c r="G1079" s="540">
        <f>0.839+0.1+0.1</f>
        <v>1.0389999999999999</v>
      </c>
      <c r="H1079" s="540">
        <v>0.1</v>
      </c>
      <c r="I1079" s="399">
        <f t="shared" si="97"/>
        <v>0.46</v>
      </c>
      <c r="J1079" s="394"/>
      <c r="K1079" s="394"/>
      <c r="L1079" s="376"/>
      <c r="M1079" s="376"/>
      <c r="N1079" s="376"/>
      <c r="O1079" s="376"/>
      <c r="P1079" s="376"/>
    </row>
    <row r="1080" spans="1:16" s="377" customFormat="1" ht="17.25" outlineLevel="1">
      <c r="A1080" s="414"/>
      <c r="B1080" s="425"/>
      <c r="C1080" s="165"/>
      <c r="D1080" s="548"/>
      <c r="E1080" s="307"/>
      <c r="F1080" s="540"/>
      <c r="G1080" s="540"/>
      <c r="H1080" s="540"/>
      <c r="I1080" s="399" t="str">
        <f t="shared" si="97"/>
        <v/>
      </c>
      <c r="J1080" s="394"/>
      <c r="K1080" s="394"/>
      <c r="L1080" s="376"/>
      <c r="M1080" s="376"/>
      <c r="N1080" s="376"/>
      <c r="O1080" s="376"/>
      <c r="P1080" s="376"/>
    </row>
    <row r="1081" spans="1:16" s="377" customFormat="1" ht="17.25" outlineLevel="1">
      <c r="A1081" s="414"/>
      <c r="B1081" s="425"/>
      <c r="C1081" s="165"/>
      <c r="D1081" s="548"/>
      <c r="E1081" s="307"/>
      <c r="F1081" s="540"/>
      <c r="G1081" s="540"/>
      <c r="H1081" s="540"/>
      <c r="I1081" s="399" t="str">
        <f t="shared" si="97"/>
        <v/>
      </c>
      <c r="J1081" s="394"/>
      <c r="K1081" s="394"/>
      <c r="L1081" s="376"/>
      <c r="M1081" s="376"/>
      <c r="N1081" s="376"/>
      <c r="O1081" s="376"/>
      <c r="P1081" s="376"/>
    </row>
    <row r="1082" spans="1:16" s="377" customFormat="1" ht="34.5" outlineLevel="1">
      <c r="A1082" s="414"/>
      <c r="B1082" s="425" t="s">
        <v>1261</v>
      </c>
      <c r="C1082" s="165"/>
      <c r="D1082" s="548"/>
      <c r="E1082" s="307"/>
      <c r="F1082" s="540"/>
      <c r="G1082" s="540"/>
      <c r="H1082" s="540"/>
      <c r="I1082" s="399" t="str">
        <f t="shared" si="97"/>
        <v/>
      </c>
      <c r="J1082" s="394"/>
      <c r="K1082" s="394"/>
      <c r="L1082" s="376"/>
      <c r="M1082" s="376"/>
      <c r="N1082" s="376"/>
      <c r="O1082" s="376"/>
      <c r="P1082" s="376"/>
    </row>
    <row r="1083" spans="1:16" s="377" customFormat="1" ht="17.25" outlineLevel="1">
      <c r="A1083" s="414"/>
      <c r="B1083" s="425" t="s">
        <v>1163</v>
      </c>
      <c r="C1083" s="165" t="s">
        <v>2</v>
      </c>
      <c r="D1083" s="548">
        <v>1</v>
      </c>
      <c r="E1083" s="307">
        <v>1</v>
      </c>
      <c r="F1083" s="664">
        <f>0.75+0.2+0.2+0+0.115+0.115+0.1+0.1</f>
        <v>1.58</v>
      </c>
      <c r="G1083" s="664">
        <f>0.75+0.2+0.2+0+0.115+0.115+0.1+0.1</f>
        <v>1.58</v>
      </c>
      <c r="H1083" s="540">
        <v>0.85</v>
      </c>
      <c r="I1083" s="399">
        <f t="shared" si="97"/>
        <v>2.12</v>
      </c>
      <c r="J1083" s="394"/>
      <c r="K1083" s="394"/>
      <c r="L1083" s="376"/>
      <c r="M1083" s="376">
        <f>750+200+200</f>
        <v>1150</v>
      </c>
      <c r="N1083" s="376"/>
      <c r="O1083" s="376"/>
      <c r="P1083" s="376"/>
    </row>
    <row r="1084" spans="1:16" s="377" customFormat="1" ht="17.25" outlineLevel="1">
      <c r="A1084" s="414"/>
      <c r="B1084" s="425" t="s">
        <v>1164</v>
      </c>
      <c r="C1084" s="165" t="s">
        <v>2</v>
      </c>
      <c r="D1084" s="548">
        <v>1</v>
      </c>
      <c r="E1084" s="307">
        <v>1</v>
      </c>
      <c r="F1084" s="664">
        <f>1+0.2+0.2+0.115+0.115+0.1+0.1</f>
        <v>1.83</v>
      </c>
      <c r="G1084" s="664">
        <f>1+0.2+0.2+0.115+0.115+0.1+0.1</f>
        <v>1.83</v>
      </c>
      <c r="H1084" s="540">
        <v>1</v>
      </c>
      <c r="I1084" s="399">
        <f t="shared" si="97"/>
        <v>3.35</v>
      </c>
      <c r="J1084" s="394"/>
      <c r="K1084" s="394"/>
      <c r="L1084" s="376"/>
      <c r="M1084" s="376"/>
      <c r="N1084" s="376"/>
      <c r="O1084" s="376"/>
      <c r="P1084" s="376"/>
    </row>
    <row r="1085" spans="1:16" s="42" customFormat="1">
      <c r="A1085" s="41"/>
      <c r="B1085" s="34" t="s">
        <v>85</v>
      </c>
      <c r="C1085" s="34" t="s">
        <v>2</v>
      </c>
      <c r="D1085" s="655"/>
      <c r="E1085" s="656"/>
      <c r="F1085" s="654"/>
      <c r="G1085" s="654"/>
      <c r="H1085" s="654"/>
      <c r="I1085" s="46" t="str">
        <f t="shared" ref="I1085:I1087" si="103">IF(D1085&lt;&gt;0,ROUND(PRODUCT(E1085:H1085)*D1085,2),"")</f>
        <v/>
      </c>
      <c r="J1085" s="231">
        <f>SUM(I975:I1085)</f>
        <v>331.59000000000015</v>
      </c>
      <c r="K1085" s="43"/>
      <c r="L1085" s="44"/>
      <c r="M1085" s="44"/>
      <c r="N1085" s="44"/>
      <c r="O1085" s="44"/>
      <c r="P1085" s="44"/>
    </row>
    <row r="1086" spans="1:16" s="19" customFormat="1" ht="27" customHeight="1">
      <c r="A1086" s="15"/>
      <c r="B1086" s="20"/>
      <c r="C1086" s="15" t="s">
        <v>2</v>
      </c>
      <c r="D1086" s="649"/>
      <c r="E1086" s="16"/>
      <c r="F1086" s="1"/>
      <c r="G1086" s="1"/>
      <c r="H1086" s="1"/>
      <c r="I1086" s="294" t="str">
        <f t="shared" si="103"/>
        <v/>
      </c>
      <c r="J1086" s="46"/>
      <c r="K1086" s="154"/>
      <c r="L1086" s="18"/>
      <c r="M1086" s="18"/>
      <c r="N1086" s="18"/>
      <c r="O1086" s="18"/>
      <c r="P1086" s="18"/>
    </row>
    <row r="1087" spans="1:16" s="39" customFormat="1" ht="17.25">
      <c r="A1087" s="259"/>
      <c r="B1087" s="33" t="s">
        <v>86</v>
      </c>
      <c r="C1087" s="15" t="s">
        <v>2</v>
      </c>
      <c r="D1087" s="649"/>
      <c r="E1087" s="16"/>
      <c r="F1087" s="1"/>
      <c r="G1087" s="1"/>
      <c r="H1087" s="1"/>
      <c r="I1087" s="294" t="str">
        <f t="shared" si="103"/>
        <v/>
      </c>
      <c r="J1087" s="36">
        <f>SUM(I1086:I1087)</f>
        <v>0</v>
      </c>
      <c r="K1087" s="35" t="s">
        <v>1690</v>
      </c>
      <c r="L1087" s="40"/>
      <c r="M1087" s="40"/>
      <c r="N1087" s="40"/>
      <c r="O1087" s="40"/>
      <c r="P1087" s="40"/>
    </row>
    <row r="1088" spans="1:16">
      <c r="B1088" s="3"/>
      <c r="I1088" s="46" t="str">
        <f t="shared" ref="I1088" si="104">IF(D1088&lt;&gt;0,ROUND(PRODUCT(E1088:H1088)*D1088,2),"")</f>
        <v/>
      </c>
      <c r="J1088" s="37">
        <f>SUM(J1085:J1087)</f>
        <v>331.59000000000015</v>
      </c>
      <c r="K1088" s="154"/>
    </row>
    <row r="1089" spans="1:16">
      <c r="A1089" s="10" t="s">
        <v>1921</v>
      </c>
      <c r="B1089" s="385" t="s">
        <v>1922</v>
      </c>
      <c r="C1089" s="12"/>
      <c r="D1089" s="657"/>
      <c r="E1089" s="657"/>
      <c r="F1089" s="657"/>
      <c r="G1089" s="657"/>
      <c r="H1089" s="657"/>
      <c r="I1089" s="24"/>
      <c r="J1089" s="24"/>
      <c r="K1089" s="14"/>
      <c r="O1089" s="3"/>
      <c r="P1089" s="3"/>
    </row>
    <row r="1090" spans="1:16" s="42" customFormat="1">
      <c r="A1090" s="41"/>
      <c r="B1090" s="34" t="s">
        <v>85</v>
      </c>
      <c r="C1090" s="48" t="s">
        <v>1</v>
      </c>
      <c r="D1090" s="655"/>
      <c r="E1090" s="656"/>
      <c r="F1090" s="654"/>
      <c r="G1090" s="654"/>
      <c r="H1090" s="654"/>
      <c r="I1090" s="46" t="str">
        <f t="shared" ref="I1090:I1117" si="105">IF(D1090&lt;&gt;0,ROUND(PRODUCT(E1090:H1090)*D1090,2),"")</f>
        <v/>
      </c>
      <c r="J1090" s="232">
        <f>SUM(I1089:I1090)</f>
        <v>0</v>
      </c>
      <c r="K1090" s="43"/>
      <c r="L1090" s="44"/>
      <c r="M1090" s="44"/>
      <c r="N1090" s="44"/>
      <c r="O1090" s="44"/>
      <c r="P1090" s="44"/>
    </row>
    <row r="1091" spans="1:16" s="19" customFormat="1" ht="17.25">
      <c r="A1091" s="15"/>
      <c r="B1091" s="20"/>
      <c r="C1091" s="15" t="s">
        <v>1</v>
      </c>
      <c r="D1091" s="649"/>
      <c r="E1091" s="16"/>
      <c r="F1091" s="1"/>
      <c r="G1091" s="1"/>
      <c r="H1091" s="1"/>
      <c r="I1091" s="294" t="str">
        <f t="shared" si="105"/>
        <v/>
      </c>
      <c r="J1091" s="46"/>
      <c r="K1091" s="154"/>
      <c r="L1091" s="18"/>
      <c r="M1091" s="18"/>
      <c r="N1091" s="18"/>
      <c r="O1091" s="18"/>
      <c r="P1091" s="18"/>
    </row>
    <row r="1092" spans="1:16" s="19" customFormat="1" ht="17.25">
      <c r="A1092" s="15"/>
      <c r="B1092" s="20" t="s">
        <v>2085</v>
      </c>
      <c r="C1092" s="15"/>
      <c r="D1092" s="649"/>
      <c r="E1092" s="16"/>
      <c r="F1092" s="1"/>
      <c r="G1092" s="1"/>
      <c r="H1092" s="1"/>
      <c r="I1092" s="294" t="str">
        <f t="shared" ref="I1092:I1114" si="106">IF(D1092&lt;&gt;0,ROUND(PRODUCT(E1092:H1092)*D1092,2),"")</f>
        <v/>
      </c>
      <c r="J1092" s="46"/>
      <c r="K1092" s="154"/>
      <c r="L1092" s="18"/>
      <c r="M1092" s="18"/>
      <c r="N1092" s="18"/>
      <c r="O1092" s="18"/>
      <c r="P1092" s="18"/>
    </row>
    <row r="1093" spans="1:16" s="19" customFormat="1" ht="17.25">
      <c r="A1093" s="15"/>
      <c r="B1093" s="20" t="s">
        <v>2086</v>
      </c>
      <c r="C1093" s="15" t="s">
        <v>1</v>
      </c>
      <c r="D1093" s="649">
        <v>1</v>
      </c>
      <c r="E1093" s="16">
        <v>1</v>
      </c>
      <c r="F1093" s="1">
        <v>136.65</v>
      </c>
      <c r="G1093" s="1"/>
      <c r="H1093" s="1"/>
      <c r="I1093" s="399">
        <f t="shared" si="106"/>
        <v>136.65</v>
      </c>
      <c r="J1093" s="46"/>
      <c r="K1093" s="154"/>
      <c r="L1093" s="18"/>
      <c r="M1093" s="18"/>
      <c r="N1093" s="18"/>
      <c r="O1093" s="18"/>
      <c r="P1093" s="18"/>
    </row>
    <row r="1094" spans="1:16" s="19" customFormat="1" ht="17.25">
      <c r="A1094" s="15"/>
      <c r="B1094" s="20"/>
      <c r="C1094" s="15"/>
      <c r="D1094" s="649"/>
      <c r="E1094" s="16"/>
      <c r="F1094" s="1"/>
      <c r="G1094" s="1"/>
      <c r="H1094" s="1"/>
      <c r="I1094" s="399" t="str">
        <f t="shared" si="106"/>
        <v/>
      </c>
      <c r="J1094" s="46"/>
      <c r="K1094" s="154"/>
      <c r="L1094" s="18"/>
      <c r="M1094" s="18"/>
      <c r="N1094" s="18"/>
      <c r="O1094" s="18"/>
      <c r="P1094" s="18"/>
    </row>
    <row r="1095" spans="1:16" s="19" customFormat="1" ht="47.25">
      <c r="A1095" s="15"/>
      <c r="B1095" s="20" t="s">
        <v>2087</v>
      </c>
      <c r="C1095" s="15"/>
      <c r="D1095" s="649"/>
      <c r="E1095" s="16"/>
      <c r="F1095" s="1"/>
      <c r="G1095" s="1"/>
      <c r="H1095" s="1"/>
      <c r="I1095" s="399" t="str">
        <f t="shared" si="106"/>
        <v/>
      </c>
      <c r="J1095" s="46"/>
      <c r="K1095" s="154"/>
      <c r="L1095" s="18"/>
      <c r="M1095" s="18"/>
      <c r="N1095" s="18"/>
      <c r="O1095" s="18"/>
      <c r="P1095" s="18"/>
    </row>
    <row r="1096" spans="1:16" s="19" customFormat="1" ht="17.25">
      <c r="A1096" s="15"/>
      <c r="B1096" s="20" t="s">
        <v>2088</v>
      </c>
      <c r="C1096" s="15" t="s">
        <v>1</v>
      </c>
      <c r="D1096" s="649">
        <v>1</v>
      </c>
      <c r="E1096" s="16">
        <v>1</v>
      </c>
      <c r="F1096" s="1">
        <v>63.585000000000001</v>
      </c>
      <c r="G1096" s="1"/>
      <c r="H1096" s="1"/>
      <c r="I1096" s="399">
        <f t="shared" si="106"/>
        <v>63.59</v>
      </c>
      <c r="J1096" s="46"/>
      <c r="K1096" s="154"/>
      <c r="L1096" s="18"/>
      <c r="M1096" s="18"/>
      <c r="N1096" s="18"/>
      <c r="O1096" s="18"/>
      <c r="P1096" s="18"/>
    </row>
    <row r="1097" spans="1:16" s="19" customFormat="1" ht="17.25">
      <c r="A1097" s="15"/>
      <c r="B1097" s="20"/>
      <c r="C1097" s="15"/>
      <c r="D1097" s="649"/>
      <c r="E1097" s="16"/>
      <c r="F1097" s="1"/>
      <c r="G1097" s="1"/>
      <c r="H1097" s="1"/>
      <c r="I1097" s="399" t="str">
        <f t="shared" si="106"/>
        <v/>
      </c>
      <c r="J1097" s="46"/>
      <c r="K1097" s="154"/>
      <c r="L1097" s="18"/>
      <c r="M1097" s="18"/>
      <c r="N1097" s="18"/>
      <c r="O1097" s="18"/>
      <c r="P1097" s="18"/>
    </row>
    <row r="1098" spans="1:16" s="19" customFormat="1" ht="17.25">
      <c r="A1098" s="15">
        <v>3</v>
      </c>
      <c r="B1098" s="20" t="s">
        <v>2089</v>
      </c>
      <c r="C1098" s="15"/>
      <c r="D1098" s="649"/>
      <c r="E1098" s="16"/>
      <c r="F1098" s="1"/>
      <c r="G1098" s="1"/>
      <c r="H1098" s="1"/>
      <c r="I1098" s="399" t="str">
        <f t="shared" si="106"/>
        <v/>
      </c>
      <c r="J1098" s="46"/>
      <c r="K1098" s="154"/>
      <c r="L1098" s="18"/>
      <c r="M1098" s="18"/>
      <c r="N1098" s="18"/>
      <c r="O1098" s="18"/>
      <c r="P1098" s="18"/>
    </row>
    <row r="1099" spans="1:16" s="19" customFormat="1" ht="17.25">
      <c r="A1099" s="15"/>
      <c r="B1099" s="20" t="s">
        <v>2090</v>
      </c>
      <c r="C1099" s="15"/>
      <c r="D1099" s="649"/>
      <c r="E1099" s="16"/>
      <c r="F1099" s="1"/>
      <c r="G1099" s="1"/>
      <c r="H1099" s="1"/>
      <c r="I1099" s="399" t="str">
        <f t="shared" si="106"/>
        <v/>
      </c>
      <c r="J1099" s="46"/>
      <c r="K1099" s="154"/>
      <c r="L1099" s="18"/>
      <c r="M1099" s="18"/>
      <c r="N1099" s="18"/>
      <c r="O1099" s="18"/>
      <c r="P1099" s="18"/>
    </row>
    <row r="1100" spans="1:16" s="19" customFormat="1" ht="17.25">
      <c r="A1100" s="15"/>
      <c r="B1100" s="20" t="s">
        <v>2091</v>
      </c>
      <c r="C1100" s="15" t="s">
        <v>1</v>
      </c>
      <c r="D1100" s="649">
        <v>1</v>
      </c>
      <c r="E1100" s="16">
        <v>1</v>
      </c>
      <c r="F1100" s="1">
        <v>46.542077999999997</v>
      </c>
      <c r="G1100" s="1"/>
      <c r="H1100" s="1"/>
      <c r="I1100" s="399">
        <f t="shared" si="106"/>
        <v>46.54</v>
      </c>
      <c r="J1100" s="46"/>
      <c r="K1100" s="154"/>
      <c r="L1100" s="18"/>
      <c r="M1100" s="18"/>
      <c r="N1100" s="18"/>
      <c r="O1100" s="18"/>
      <c r="P1100" s="18"/>
    </row>
    <row r="1101" spans="1:16" s="19" customFormat="1" ht="17.25">
      <c r="A1101" s="15"/>
      <c r="B1101" s="20"/>
      <c r="C1101" s="15"/>
      <c r="D1101" s="649"/>
      <c r="E1101" s="16"/>
      <c r="F1101" s="1"/>
      <c r="G1101" s="1"/>
      <c r="H1101" s="1"/>
      <c r="I1101" s="399" t="str">
        <f t="shared" si="106"/>
        <v/>
      </c>
      <c r="J1101" s="46"/>
      <c r="K1101" s="154"/>
      <c r="L1101" s="18"/>
      <c r="M1101" s="18"/>
      <c r="N1101" s="18"/>
      <c r="O1101" s="18"/>
      <c r="P1101" s="18"/>
    </row>
    <row r="1102" spans="1:16" s="19" customFormat="1" ht="17.25">
      <c r="A1102" s="15">
        <v>4</v>
      </c>
      <c r="B1102" s="20" t="s">
        <v>2092</v>
      </c>
      <c r="C1102" s="15"/>
      <c r="D1102" s="649"/>
      <c r="E1102" s="16"/>
      <c r="F1102" s="1"/>
      <c r="G1102" s="1"/>
      <c r="H1102" s="1"/>
      <c r="I1102" s="399" t="str">
        <f t="shared" si="106"/>
        <v/>
      </c>
      <c r="J1102" s="46"/>
      <c r="K1102" s="154"/>
      <c r="L1102" s="18"/>
      <c r="M1102" s="18"/>
      <c r="N1102" s="18"/>
      <c r="O1102" s="18"/>
      <c r="P1102" s="18"/>
    </row>
    <row r="1103" spans="1:16" s="19" customFormat="1" ht="17.25">
      <c r="A1103" s="15"/>
      <c r="B1103" s="20" t="s">
        <v>1150</v>
      </c>
      <c r="C1103" s="15" t="s">
        <v>1</v>
      </c>
      <c r="D1103" s="649">
        <v>1</v>
      </c>
      <c r="E1103" s="16">
        <v>1</v>
      </c>
      <c r="F1103" s="1">
        <v>1577.556</v>
      </c>
      <c r="G1103" s="1"/>
      <c r="H1103" s="1"/>
      <c r="I1103" s="399">
        <f t="shared" si="106"/>
        <v>1577.56</v>
      </c>
      <c r="J1103" s="46"/>
      <c r="K1103" s="154"/>
      <c r="L1103" s="18"/>
      <c r="M1103" s="18"/>
      <c r="N1103" s="18"/>
      <c r="O1103" s="18"/>
      <c r="P1103" s="18"/>
    </row>
    <row r="1104" spans="1:16" s="19" customFormat="1" ht="17.25">
      <c r="A1104" s="15"/>
      <c r="B1104" s="20" t="s">
        <v>1151</v>
      </c>
      <c r="C1104" s="15"/>
      <c r="D1104" s="649"/>
      <c r="E1104" s="16"/>
      <c r="F1104" s="1"/>
      <c r="G1104" s="1"/>
      <c r="H1104" s="1"/>
      <c r="I1104" s="399" t="str">
        <f t="shared" si="106"/>
        <v/>
      </c>
      <c r="J1104" s="46"/>
      <c r="K1104" s="154"/>
      <c r="L1104" s="18"/>
      <c r="M1104" s="18"/>
      <c r="N1104" s="18"/>
      <c r="O1104" s="18"/>
      <c r="P1104" s="18"/>
    </row>
    <row r="1105" spans="1:16" s="19" customFormat="1" ht="17.25">
      <c r="A1105" s="15"/>
      <c r="B1105" s="20" t="s">
        <v>1152</v>
      </c>
      <c r="C1105" s="15" t="s">
        <v>1</v>
      </c>
      <c r="D1105" s="649">
        <v>-1</v>
      </c>
      <c r="E1105" s="16">
        <v>15</v>
      </c>
      <c r="F1105" s="1">
        <v>7.0650000000000004</v>
      </c>
      <c r="G1105" s="1"/>
      <c r="H1105" s="1"/>
      <c r="I1105" s="399">
        <f t="shared" si="106"/>
        <v>-105.98</v>
      </c>
      <c r="J1105" s="46"/>
      <c r="K1105" s="154"/>
      <c r="L1105" s="18"/>
      <c r="M1105" s="18"/>
      <c r="N1105" s="18"/>
      <c r="O1105" s="18"/>
      <c r="P1105" s="18"/>
    </row>
    <row r="1106" spans="1:16" s="19" customFormat="1" ht="17.25">
      <c r="A1106" s="15"/>
      <c r="B1106" s="20" t="s">
        <v>1153</v>
      </c>
      <c r="C1106" s="15" t="s">
        <v>1</v>
      </c>
      <c r="D1106" s="649">
        <v>-1</v>
      </c>
      <c r="E1106" s="16">
        <v>1</v>
      </c>
      <c r="F1106" s="1">
        <v>10.746650000000001</v>
      </c>
      <c r="G1106" s="1"/>
      <c r="H1106" s="1"/>
      <c r="I1106" s="399">
        <f t="shared" si="106"/>
        <v>-10.75</v>
      </c>
      <c r="J1106" s="46"/>
      <c r="K1106" s="154"/>
      <c r="L1106" s="18"/>
      <c r="M1106" s="18"/>
      <c r="N1106" s="18"/>
      <c r="O1106" s="18"/>
      <c r="P1106" s="18"/>
    </row>
    <row r="1107" spans="1:16" s="19" customFormat="1" ht="17.25">
      <c r="A1107" s="15"/>
      <c r="B1107" s="20" t="s">
        <v>1154</v>
      </c>
      <c r="C1107" s="15" t="s">
        <v>1</v>
      </c>
      <c r="D1107" s="649">
        <v>-1</v>
      </c>
      <c r="E1107" s="16">
        <v>1</v>
      </c>
      <c r="F1107" s="1">
        <v>5.7226500000000007</v>
      </c>
      <c r="G1107" s="1"/>
      <c r="H1107" s="1"/>
      <c r="I1107" s="399">
        <f t="shared" si="106"/>
        <v>-5.72</v>
      </c>
      <c r="J1107" s="46"/>
      <c r="K1107" s="154"/>
      <c r="L1107" s="18"/>
      <c r="M1107" s="18"/>
      <c r="N1107" s="18"/>
      <c r="O1107" s="18"/>
      <c r="P1107" s="18"/>
    </row>
    <row r="1108" spans="1:16" s="19" customFormat="1" ht="17.25">
      <c r="A1108" s="15"/>
      <c r="B1108" s="20" t="s">
        <v>1155</v>
      </c>
      <c r="C1108" s="15" t="s">
        <v>1</v>
      </c>
      <c r="D1108" s="649">
        <v>-1</v>
      </c>
      <c r="E1108" s="16">
        <v>1</v>
      </c>
      <c r="F1108" s="1">
        <v>5.0167859999999997</v>
      </c>
      <c r="G1108" s="1"/>
      <c r="H1108" s="1"/>
      <c r="I1108" s="399">
        <f t="shared" si="106"/>
        <v>-5.0199999999999996</v>
      </c>
      <c r="J1108" s="46"/>
      <c r="K1108" s="154"/>
      <c r="L1108" s="18"/>
      <c r="M1108" s="18"/>
      <c r="N1108" s="18"/>
      <c r="O1108" s="18"/>
      <c r="P1108" s="18"/>
    </row>
    <row r="1109" spans="1:16" s="19" customFormat="1" ht="17.25">
      <c r="A1109" s="15"/>
      <c r="B1109" s="20" t="s">
        <v>1156</v>
      </c>
      <c r="C1109" s="15" t="s">
        <v>1</v>
      </c>
      <c r="D1109" s="649">
        <v>-1</v>
      </c>
      <c r="E1109" s="16">
        <v>1</v>
      </c>
      <c r="F1109" s="1">
        <v>152.084709</v>
      </c>
      <c r="G1109" s="1"/>
      <c r="H1109" s="1"/>
      <c r="I1109" s="399">
        <f t="shared" si="106"/>
        <v>-152.08000000000001</v>
      </c>
      <c r="J1109" s="46"/>
      <c r="K1109" s="154"/>
      <c r="L1109" s="18"/>
      <c r="M1109" s="18"/>
      <c r="N1109" s="18"/>
      <c r="O1109" s="18"/>
      <c r="P1109" s="18"/>
    </row>
    <row r="1110" spans="1:16" s="19" customFormat="1" ht="17.25">
      <c r="A1110" s="15"/>
      <c r="B1110" s="20" t="s">
        <v>1157</v>
      </c>
      <c r="C1110" s="15" t="s">
        <v>1</v>
      </c>
      <c r="D1110" s="649">
        <v>-1</v>
      </c>
      <c r="E1110" s="16">
        <v>1</v>
      </c>
      <c r="F1110" s="1">
        <v>50.265481999999999</v>
      </c>
      <c r="G1110" s="1"/>
      <c r="H1110" s="1"/>
      <c r="I1110" s="399">
        <f t="shared" si="106"/>
        <v>-50.27</v>
      </c>
      <c r="J1110" s="46"/>
      <c r="K1110" s="154"/>
      <c r="L1110" s="18"/>
      <c r="M1110" s="18"/>
      <c r="N1110" s="18"/>
      <c r="O1110" s="18"/>
      <c r="P1110" s="18"/>
    </row>
    <row r="1111" spans="1:16" s="19" customFormat="1" ht="17.25">
      <c r="A1111" s="15"/>
      <c r="B1111" s="20" t="s">
        <v>1158</v>
      </c>
      <c r="C1111" s="15" t="s">
        <v>1</v>
      </c>
      <c r="D1111" s="649">
        <v>-1</v>
      </c>
      <c r="E1111" s="16">
        <v>1</v>
      </c>
      <c r="F1111" s="1">
        <v>66.970709999999997</v>
      </c>
      <c r="G1111" s="1"/>
      <c r="H1111" s="1"/>
      <c r="I1111" s="399">
        <f t="shared" si="106"/>
        <v>-66.97</v>
      </c>
      <c r="J1111" s="46"/>
      <c r="K1111" s="154"/>
      <c r="L1111" s="18"/>
      <c r="M1111" s="18"/>
      <c r="N1111" s="18"/>
      <c r="O1111" s="18"/>
      <c r="P1111" s="18"/>
    </row>
    <row r="1112" spans="1:16" s="19" customFormat="1" ht="17.25">
      <c r="A1112" s="15"/>
      <c r="B1112" s="20" t="s">
        <v>1159</v>
      </c>
      <c r="C1112" s="15" t="s">
        <v>1</v>
      </c>
      <c r="D1112" s="649">
        <v>-1</v>
      </c>
      <c r="E1112" s="16">
        <v>6</v>
      </c>
      <c r="F1112" s="1">
        <v>4.1749999999999998</v>
      </c>
      <c r="G1112" s="1">
        <v>0.45</v>
      </c>
      <c r="H1112" s="1"/>
      <c r="I1112" s="399">
        <f t="shared" si="106"/>
        <v>-11.27</v>
      </c>
      <c r="J1112" s="46"/>
      <c r="K1112" s="154"/>
      <c r="L1112" s="18"/>
      <c r="M1112" s="18"/>
      <c r="N1112" s="18"/>
      <c r="O1112" s="18"/>
      <c r="P1112" s="18"/>
    </row>
    <row r="1113" spans="1:16" s="19" customFormat="1" ht="17.25">
      <c r="A1113" s="15"/>
      <c r="B1113" s="20" t="s">
        <v>1160</v>
      </c>
      <c r="C1113" s="15" t="s">
        <v>1</v>
      </c>
      <c r="D1113" s="649">
        <v>-1</v>
      </c>
      <c r="E1113" s="16">
        <v>24</v>
      </c>
      <c r="F1113" s="1">
        <v>1.845</v>
      </c>
      <c r="G1113" s="1">
        <v>0.34499999999999997</v>
      </c>
      <c r="H1113" s="1"/>
      <c r="I1113" s="399">
        <f t="shared" si="106"/>
        <v>-15.28</v>
      </c>
      <c r="J1113" s="46"/>
      <c r="K1113" s="154"/>
      <c r="L1113" s="18"/>
      <c r="M1113" s="18"/>
      <c r="N1113" s="18"/>
      <c r="O1113" s="18"/>
      <c r="P1113" s="18"/>
    </row>
    <row r="1114" spans="1:16" s="19" customFormat="1" ht="17.25">
      <c r="A1114" s="15"/>
      <c r="B1114" s="20" t="s">
        <v>1161</v>
      </c>
      <c r="C1114" s="15" t="s">
        <v>1</v>
      </c>
      <c r="D1114" s="649">
        <v>-1</v>
      </c>
      <c r="E1114" s="16">
        <v>7</v>
      </c>
      <c r="F1114" s="1">
        <v>0.54078649999999995</v>
      </c>
      <c r="G1114" s="1"/>
      <c r="H1114" s="1"/>
      <c r="I1114" s="399">
        <f t="shared" si="106"/>
        <v>-3.79</v>
      </c>
      <c r="J1114" s="46"/>
      <c r="K1114" s="154"/>
      <c r="L1114" s="18"/>
      <c r="M1114" s="18"/>
      <c r="N1114" s="18"/>
      <c r="O1114" s="18"/>
      <c r="P1114" s="18"/>
    </row>
    <row r="1115" spans="1:16" s="19" customFormat="1" ht="17.25">
      <c r="A1115" s="15"/>
      <c r="B1115" s="20"/>
      <c r="C1115" s="15" t="s">
        <v>1</v>
      </c>
      <c r="D1115" s="649"/>
      <c r="E1115" s="16"/>
      <c r="F1115" s="1"/>
      <c r="G1115" s="1"/>
      <c r="H1115" s="1"/>
      <c r="I1115" s="294" t="str">
        <f t="shared" ref="I1115" si="107">IF(D1115&lt;&gt;0,ROUND(PRODUCT(E1115:H1115)*D1115,2),"")</f>
        <v/>
      </c>
      <c r="J1115" s="46"/>
      <c r="K1115" s="154"/>
      <c r="L1115" s="18"/>
      <c r="M1115" s="18"/>
      <c r="N1115" s="18"/>
      <c r="O1115" s="18"/>
      <c r="P1115" s="18"/>
    </row>
    <row r="1116" spans="1:16" ht="17.25">
      <c r="I1116" s="294" t="str">
        <f t="shared" si="105"/>
        <v/>
      </c>
    </row>
    <row r="1117" spans="1:16" s="39" customFormat="1">
      <c r="A1117" s="365"/>
      <c r="B1117" s="33" t="s">
        <v>86</v>
      </c>
      <c r="C1117" s="23" t="s">
        <v>1</v>
      </c>
      <c r="D1117" s="649"/>
      <c r="E1117" s="16"/>
      <c r="F1117" s="1"/>
      <c r="G1117" s="1"/>
      <c r="H1117" s="1"/>
      <c r="I1117" s="46" t="str">
        <f t="shared" si="105"/>
        <v/>
      </c>
      <c r="J1117" s="36">
        <f>SUM(I1091:I1117)</f>
        <v>1397.21</v>
      </c>
      <c r="K1117" s="35" t="s">
        <v>1690</v>
      </c>
      <c r="L1117" s="40"/>
      <c r="M1117" s="40"/>
      <c r="N1117" s="40"/>
      <c r="O1117" s="40"/>
      <c r="P1117" s="40"/>
    </row>
    <row r="1118" spans="1:16">
      <c r="A1118" s="365"/>
      <c r="E1118" s="16"/>
      <c r="F1118" s="1"/>
      <c r="G1118" s="1"/>
      <c r="H1118" s="1"/>
      <c r="J1118" s="31">
        <f>SUM(J1090:J1117)</f>
        <v>1397.21</v>
      </c>
      <c r="K1118" s="17"/>
    </row>
    <row r="1119" spans="1:16">
      <c r="A1119" s="10" t="s">
        <v>2143</v>
      </c>
      <c r="B1119" s="385" t="s">
        <v>579</v>
      </c>
      <c r="C1119" s="12"/>
      <c r="D1119" s="657"/>
      <c r="E1119" s="657"/>
      <c r="F1119" s="657"/>
      <c r="G1119" s="657"/>
      <c r="H1119" s="657"/>
      <c r="I1119" s="24"/>
      <c r="J1119" s="24"/>
      <c r="K1119" s="14"/>
      <c r="O1119" s="3"/>
      <c r="P1119" s="3"/>
    </row>
    <row r="1120" spans="1:16" ht="17.25" outlineLevel="1">
      <c r="B1120" s="322" t="s">
        <v>784</v>
      </c>
      <c r="C1120" s="322"/>
      <c r="D1120" s="323"/>
      <c r="E1120" s="323"/>
      <c r="F1120" s="323"/>
      <c r="G1120" s="323"/>
      <c r="H1120" s="323"/>
      <c r="I1120" s="294" t="str">
        <f t="shared" ref="I1120:I1183" si="108">IF(D1120&lt;&gt;0,ROUND(PRODUCT(E1120:H1120)*D1120,2),"")</f>
        <v/>
      </c>
    </row>
    <row r="1121" spans="2:11" ht="69" outlineLevel="1">
      <c r="B1121" s="324" t="s">
        <v>785</v>
      </c>
      <c r="C1121" s="322"/>
      <c r="D1121" s="323"/>
      <c r="E1121" s="323"/>
      <c r="F1121" s="325" t="s">
        <v>786</v>
      </c>
      <c r="G1121" s="323"/>
      <c r="H1121" s="323"/>
      <c r="I1121" s="294" t="str">
        <f t="shared" si="108"/>
        <v/>
      </c>
    </row>
    <row r="1122" spans="2:11" ht="17.25" outlineLevel="1">
      <c r="B1122" s="322" t="s">
        <v>769</v>
      </c>
      <c r="C1122" s="322" t="s">
        <v>1</v>
      </c>
      <c r="D1122" s="323">
        <v>1</v>
      </c>
      <c r="E1122" s="323">
        <v>1</v>
      </c>
      <c r="F1122" s="323">
        <f>3.14*8.6</f>
        <v>27.004000000000001</v>
      </c>
      <c r="G1122" s="323"/>
      <c r="H1122" s="323">
        <v>0.2</v>
      </c>
      <c r="I1122" s="399">
        <f t="shared" si="108"/>
        <v>5.4</v>
      </c>
      <c r="K1122" s="1196" t="s">
        <v>2167</v>
      </c>
    </row>
    <row r="1123" spans="2:11" ht="34.5" outlineLevel="1">
      <c r="B1123" s="324" t="s">
        <v>787</v>
      </c>
      <c r="C1123" s="322" t="s">
        <v>1</v>
      </c>
      <c r="D1123" s="323">
        <v>1</v>
      </c>
      <c r="E1123" s="323">
        <v>1</v>
      </c>
      <c r="F1123" s="323">
        <f>3.14*5.2</f>
        <v>16.328000000000003</v>
      </c>
      <c r="G1123" s="323"/>
      <c r="H1123" s="323">
        <v>0.2</v>
      </c>
      <c r="I1123" s="399">
        <f t="shared" si="108"/>
        <v>3.27</v>
      </c>
      <c r="K1123" s="1196" t="s">
        <v>2167</v>
      </c>
    </row>
    <row r="1124" spans="2:11" ht="34.5" outlineLevel="1">
      <c r="B1124" s="324" t="s">
        <v>788</v>
      </c>
      <c r="C1124" s="322" t="s">
        <v>1</v>
      </c>
      <c r="D1124" s="323">
        <v>1</v>
      </c>
      <c r="E1124" s="323">
        <v>1</v>
      </c>
      <c r="F1124" s="323">
        <f>3.14*7.4</f>
        <v>23.236000000000001</v>
      </c>
      <c r="G1124" s="323"/>
      <c r="H1124" s="323">
        <f>0.75+0.45-0.15-0.1-0.2-0.055-0.15</f>
        <v>0.54499999999999993</v>
      </c>
      <c r="I1124" s="399">
        <f t="shared" si="108"/>
        <v>12.66</v>
      </c>
      <c r="K1124" s="1196" t="s">
        <v>2167</v>
      </c>
    </row>
    <row r="1125" spans="2:11" ht="17.25" outlineLevel="1">
      <c r="B1125" s="322" t="s">
        <v>789</v>
      </c>
      <c r="C1125" s="322" t="s">
        <v>1</v>
      </c>
      <c r="D1125" s="323">
        <v>1</v>
      </c>
      <c r="E1125" s="323">
        <v>1</v>
      </c>
      <c r="F1125" s="323">
        <f>3.14*7</f>
        <v>21.98</v>
      </c>
      <c r="G1125" s="323"/>
      <c r="H1125" s="323">
        <f>0.75+0.45-0.15-0.1-0.2-0.055-0.15</f>
        <v>0.54499999999999993</v>
      </c>
      <c r="I1125" s="399">
        <f t="shared" si="108"/>
        <v>11.98</v>
      </c>
      <c r="K1125" s="1196" t="s">
        <v>2167</v>
      </c>
    </row>
    <row r="1126" spans="2:11" ht="17.25" outlineLevel="1">
      <c r="B1126" s="324" t="s">
        <v>790</v>
      </c>
      <c r="C1126" s="322" t="s">
        <v>1</v>
      </c>
      <c r="D1126" s="323">
        <v>1</v>
      </c>
      <c r="E1126" s="323">
        <v>1</v>
      </c>
      <c r="F1126" s="323">
        <f>(3.14*7.4)</f>
        <v>23.236000000000001</v>
      </c>
      <c r="G1126" s="323"/>
      <c r="H1126" s="323">
        <v>0.15</v>
      </c>
      <c r="I1126" s="399">
        <f t="shared" si="108"/>
        <v>3.49</v>
      </c>
      <c r="K1126" s="1196" t="s">
        <v>2167</v>
      </c>
    </row>
    <row r="1127" spans="2:11" ht="17.25" outlineLevel="1">
      <c r="B1127" s="322" t="s">
        <v>724</v>
      </c>
      <c r="C1127" s="322" t="s">
        <v>1</v>
      </c>
      <c r="D1127" s="323">
        <v>1</v>
      </c>
      <c r="E1127" s="323">
        <v>1</v>
      </c>
      <c r="F1127" s="323">
        <f>3.14*7</f>
        <v>21.98</v>
      </c>
      <c r="G1127" s="323"/>
      <c r="H1127" s="323">
        <f>0.15+0.19</f>
        <v>0.33999999999999997</v>
      </c>
      <c r="I1127" s="399">
        <f t="shared" si="108"/>
        <v>7.47</v>
      </c>
      <c r="K1127" s="1196" t="s">
        <v>2167</v>
      </c>
    </row>
    <row r="1128" spans="2:11" ht="17.25" outlineLevel="1">
      <c r="B1128" s="322"/>
      <c r="C1128" s="322"/>
      <c r="D1128" s="323"/>
      <c r="E1128" s="323"/>
      <c r="F1128" s="323"/>
      <c r="G1128" s="323"/>
      <c r="H1128" s="323"/>
      <c r="I1128" s="399" t="str">
        <f t="shared" si="108"/>
        <v/>
      </c>
      <c r="K1128" s="1196" t="s">
        <v>2167</v>
      </c>
    </row>
    <row r="1129" spans="2:11" ht="51.75" outlineLevel="1">
      <c r="B1129" s="324" t="s">
        <v>797</v>
      </c>
      <c r="C1129" s="322"/>
      <c r="D1129" s="323"/>
      <c r="E1129" s="323"/>
      <c r="F1129" s="323"/>
      <c r="G1129" s="323"/>
      <c r="H1129" s="323"/>
      <c r="I1129" s="399" t="str">
        <f t="shared" si="108"/>
        <v/>
      </c>
      <c r="K1129" s="1196" t="s">
        <v>2167</v>
      </c>
    </row>
    <row r="1130" spans="2:11" ht="34.5" outlineLevel="1">
      <c r="B1130" s="324" t="s">
        <v>791</v>
      </c>
      <c r="C1130" s="322" t="s">
        <v>1</v>
      </c>
      <c r="D1130" s="323">
        <v>1</v>
      </c>
      <c r="E1130" s="323">
        <v>1</v>
      </c>
      <c r="F1130" s="323">
        <f>3.14*3</f>
        <v>9.42</v>
      </c>
      <c r="G1130" s="323"/>
      <c r="H1130" s="323">
        <v>0.2</v>
      </c>
      <c r="I1130" s="399">
        <f t="shared" si="108"/>
        <v>1.88</v>
      </c>
      <c r="K1130" s="1196" t="s">
        <v>2167</v>
      </c>
    </row>
    <row r="1131" spans="2:11" ht="17.25" outlineLevel="1">
      <c r="B1131" s="322" t="s">
        <v>792</v>
      </c>
      <c r="C1131" s="322" t="s">
        <v>1</v>
      </c>
      <c r="D1131" s="323">
        <v>1</v>
      </c>
      <c r="E1131" s="323">
        <v>1</v>
      </c>
      <c r="F1131" s="326">
        <f>3.14*2.54</f>
        <v>7.9756</v>
      </c>
      <c r="G1131" s="323"/>
      <c r="H1131" s="323">
        <v>0.2</v>
      </c>
      <c r="I1131" s="399">
        <f t="shared" si="108"/>
        <v>1.6</v>
      </c>
      <c r="K1131" s="1196" t="s">
        <v>2167</v>
      </c>
    </row>
    <row r="1132" spans="2:11" ht="17.25" outlineLevel="1">
      <c r="B1132" s="322" t="s">
        <v>736</v>
      </c>
      <c r="C1132" s="322" t="s">
        <v>1</v>
      </c>
      <c r="D1132" s="323">
        <v>1</v>
      </c>
      <c r="E1132" s="323">
        <v>1</v>
      </c>
      <c r="F1132" s="323">
        <f>3.14*3</f>
        <v>9.42</v>
      </c>
      <c r="G1132" s="323"/>
      <c r="H1132" s="323">
        <v>0.2</v>
      </c>
      <c r="I1132" s="399">
        <f t="shared" si="108"/>
        <v>1.88</v>
      </c>
      <c r="K1132" s="1196" t="s">
        <v>2167</v>
      </c>
    </row>
    <row r="1133" spans="2:11" ht="17.25" outlineLevel="1">
      <c r="B1133" s="322" t="s">
        <v>792</v>
      </c>
      <c r="C1133" s="322" t="s">
        <v>1</v>
      </c>
      <c r="D1133" s="323">
        <v>1</v>
      </c>
      <c r="E1133" s="323">
        <v>1</v>
      </c>
      <c r="F1133" s="326">
        <f>3.14*2.54</f>
        <v>7.9756</v>
      </c>
      <c r="G1133" s="323"/>
      <c r="H1133" s="323">
        <v>0.2</v>
      </c>
      <c r="I1133" s="399">
        <f t="shared" si="108"/>
        <v>1.6</v>
      </c>
      <c r="K1133" s="1196" t="s">
        <v>2167</v>
      </c>
    </row>
    <row r="1134" spans="2:11" ht="17.25" outlineLevel="1">
      <c r="B1134" s="322" t="s">
        <v>737</v>
      </c>
      <c r="C1134" s="322" t="s">
        <v>1</v>
      </c>
      <c r="D1134" s="323">
        <v>1</v>
      </c>
      <c r="E1134" s="323">
        <v>1</v>
      </c>
      <c r="F1134" s="323">
        <f>3.14*3.7</f>
        <v>11.618</v>
      </c>
      <c r="G1134" s="323"/>
      <c r="H1134" s="323">
        <v>0.2</v>
      </c>
      <c r="I1134" s="399">
        <f t="shared" si="108"/>
        <v>2.3199999999999998</v>
      </c>
      <c r="K1134" s="1196" t="s">
        <v>2167</v>
      </c>
    </row>
    <row r="1135" spans="2:11" ht="17.25" outlineLevel="1">
      <c r="B1135" s="322" t="s">
        <v>793</v>
      </c>
      <c r="C1135" s="322" t="s">
        <v>1</v>
      </c>
      <c r="D1135" s="323">
        <v>1</v>
      </c>
      <c r="E1135" s="323">
        <v>1</v>
      </c>
      <c r="F1135" s="326">
        <f>3.14*3.24</f>
        <v>10.1736</v>
      </c>
      <c r="G1135" s="323"/>
      <c r="H1135" s="323">
        <v>0.2</v>
      </c>
      <c r="I1135" s="399">
        <f t="shared" si="108"/>
        <v>2.0299999999999998</v>
      </c>
      <c r="K1135" s="1196" t="s">
        <v>2167</v>
      </c>
    </row>
    <row r="1136" spans="2:11" ht="17.25" outlineLevel="1">
      <c r="B1136" s="322" t="s">
        <v>738</v>
      </c>
      <c r="C1136" s="322" t="s">
        <v>1</v>
      </c>
      <c r="D1136" s="323">
        <v>1</v>
      </c>
      <c r="E1136" s="323">
        <v>1</v>
      </c>
      <c r="F1136" s="323">
        <f>3.14*3</f>
        <v>9.42</v>
      </c>
      <c r="G1136" s="323"/>
      <c r="H1136" s="323">
        <v>0.2</v>
      </c>
      <c r="I1136" s="399">
        <f t="shared" si="108"/>
        <v>1.88</v>
      </c>
      <c r="K1136" s="1196" t="s">
        <v>2167</v>
      </c>
    </row>
    <row r="1137" spans="2:11" ht="17.25" outlineLevel="1">
      <c r="B1137" s="322" t="s">
        <v>792</v>
      </c>
      <c r="C1137" s="322" t="s">
        <v>1</v>
      </c>
      <c r="D1137" s="323">
        <v>1</v>
      </c>
      <c r="E1137" s="323">
        <v>1</v>
      </c>
      <c r="F1137" s="326">
        <f>3.14*2.54</f>
        <v>7.9756</v>
      </c>
      <c r="G1137" s="323"/>
      <c r="H1137" s="323">
        <v>0.2</v>
      </c>
      <c r="I1137" s="399">
        <f t="shared" si="108"/>
        <v>1.6</v>
      </c>
      <c r="K1137" s="1196" t="s">
        <v>2167</v>
      </c>
    </row>
    <row r="1138" spans="2:11" ht="17.25" outlineLevel="1">
      <c r="B1138" s="322" t="s">
        <v>739</v>
      </c>
      <c r="C1138" s="322" t="s">
        <v>1</v>
      </c>
      <c r="D1138" s="323">
        <v>1</v>
      </c>
      <c r="E1138" s="323">
        <v>1</v>
      </c>
      <c r="F1138" s="323">
        <v>8.5660000000000007</v>
      </c>
      <c r="G1138" s="323"/>
      <c r="H1138" s="323">
        <v>0.2</v>
      </c>
      <c r="I1138" s="399">
        <f t="shared" si="108"/>
        <v>1.71</v>
      </c>
      <c r="K1138" s="1196" t="s">
        <v>2167</v>
      </c>
    </row>
    <row r="1139" spans="2:11" ht="17.25" outlineLevel="1">
      <c r="B1139" s="322" t="s">
        <v>792</v>
      </c>
      <c r="C1139" s="322" t="s">
        <v>1</v>
      </c>
      <c r="D1139" s="323">
        <v>1</v>
      </c>
      <c r="E1139" s="323">
        <v>1</v>
      </c>
      <c r="F1139" s="326">
        <f>3.14*2.54</f>
        <v>7.9756</v>
      </c>
      <c r="G1139" s="323"/>
      <c r="H1139" s="323">
        <v>0.2</v>
      </c>
      <c r="I1139" s="399">
        <f t="shared" si="108"/>
        <v>1.6</v>
      </c>
      <c r="K1139" s="1196" t="s">
        <v>2167</v>
      </c>
    </row>
    <row r="1140" spans="2:11" ht="17.25" outlineLevel="1">
      <c r="B1140" s="322" t="s">
        <v>740</v>
      </c>
      <c r="C1140" s="322" t="s">
        <v>1</v>
      </c>
      <c r="D1140" s="323">
        <v>1</v>
      </c>
      <c r="E1140" s="323">
        <v>1</v>
      </c>
      <c r="F1140" s="323">
        <f>3.14*2.7</f>
        <v>8.4780000000000015</v>
      </c>
      <c r="G1140" s="323"/>
      <c r="H1140" s="323">
        <v>0.2</v>
      </c>
      <c r="I1140" s="399">
        <f t="shared" si="108"/>
        <v>1.7</v>
      </c>
      <c r="K1140" s="1196" t="s">
        <v>2167</v>
      </c>
    </row>
    <row r="1141" spans="2:11" ht="17.25" outlineLevel="1">
      <c r="B1141" s="322" t="s">
        <v>794</v>
      </c>
      <c r="C1141" s="322" t="s">
        <v>1</v>
      </c>
      <c r="D1141" s="323">
        <v>1</v>
      </c>
      <c r="E1141" s="323">
        <v>1</v>
      </c>
      <c r="F1141" s="326">
        <f>3.14*2.24</f>
        <v>7.0336000000000007</v>
      </c>
      <c r="G1141" s="323"/>
      <c r="H1141" s="323">
        <v>0.2</v>
      </c>
      <c r="I1141" s="399">
        <f t="shared" si="108"/>
        <v>1.41</v>
      </c>
      <c r="K1141" s="1196" t="s">
        <v>2167</v>
      </c>
    </row>
    <row r="1142" spans="2:11" ht="17.25" outlineLevel="1">
      <c r="B1142" s="322" t="s">
        <v>741</v>
      </c>
      <c r="C1142" s="322" t="s">
        <v>1</v>
      </c>
      <c r="D1142" s="323">
        <v>1</v>
      </c>
      <c r="E1142" s="323">
        <v>1</v>
      </c>
      <c r="F1142" s="323">
        <f t="shared" ref="F1142:F1159" si="109">3.14*3</f>
        <v>9.42</v>
      </c>
      <c r="G1142" s="323"/>
      <c r="H1142" s="323">
        <v>0.2</v>
      </c>
      <c r="I1142" s="399">
        <f t="shared" si="108"/>
        <v>1.88</v>
      </c>
      <c r="K1142" s="1196" t="s">
        <v>2167</v>
      </c>
    </row>
    <row r="1143" spans="2:11" ht="17.25" outlineLevel="1">
      <c r="B1143" s="322" t="s">
        <v>792</v>
      </c>
      <c r="C1143" s="322" t="s">
        <v>1</v>
      </c>
      <c r="D1143" s="323">
        <v>1</v>
      </c>
      <c r="E1143" s="323">
        <v>1</v>
      </c>
      <c r="F1143" s="326">
        <f>3.14*2.54</f>
        <v>7.9756</v>
      </c>
      <c r="G1143" s="323"/>
      <c r="H1143" s="323">
        <v>0.2</v>
      </c>
      <c r="I1143" s="399">
        <f t="shared" si="108"/>
        <v>1.6</v>
      </c>
      <c r="K1143" s="1196" t="s">
        <v>2167</v>
      </c>
    </row>
    <row r="1144" spans="2:11" ht="17.25" outlineLevel="1">
      <c r="B1144" s="322" t="s">
        <v>742</v>
      </c>
      <c r="C1144" s="322" t="s">
        <v>1</v>
      </c>
      <c r="D1144" s="323">
        <v>1</v>
      </c>
      <c r="E1144" s="323">
        <v>1</v>
      </c>
      <c r="F1144" s="323">
        <f t="shared" si="109"/>
        <v>9.42</v>
      </c>
      <c r="G1144" s="323"/>
      <c r="H1144" s="323">
        <v>0.2</v>
      </c>
      <c r="I1144" s="399">
        <f t="shared" si="108"/>
        <v>1.88</v>
      </c>
      <c r="K1144" s="1196" t="s">
        <v>2167</v>
      </c>
    </row>
    <row r="1145" spans="2:11" ht="17.25" outlineLevel="1">
      <c r="B1145" s="322" t="s">
        <v>792</v>
      </c>
      <c r="C1145" s="322" t="s">
        <v>1</v>
      </c>
      <c r="D1145" s="323">
        <v>1</v>
      </c>
      <c r="E1145" s="323">
        <v>1</v>
      </c>
      <c r="F1145" s="326">
        <f>3.14*2.54</f>
        <v>7.9756</v>
      </c>
      <c r="G1145" s="323"/>
      <c r="H1145" s="323">
        <v>0.2</v>
      </c>
      <c r="I1145" s="399">
        <f t="shared" si="108"/>
        <v>1.6</v>
      </c>
      <c r="K1145" s="1196" t="s">
        <v>2167</v>
      </c>
    </row>
    <row r="1146" spans="2:11" ht="17.25" outlineLevel="1">
      <c r="B1146" s="322" t="s">
        <v>743</v>
      </c>
      <c r="C1146" s="322" t="s">
        <v>1</v>
      </c>
      <c r="D1146" s="323">
        <v>1</v>
      </c>
      <c r="E1146" s="323">
        <v>1</v>
      </c>
      <c r="F1146" s="323">
        <f t="shared" si="109"/>
        <v>9.42</v>
      </c>
      <c r="G1146" s="323"/>
      <c r="H1146" s="323">
        <v>0.2</v>
      </c>
      <c r="I1146" s="399">
        <f t="shared" si="108"/>
        <v>1.88</v>
      </c>
      <c r="K1146" s="1196" t="s">
        <v>2167</v>
      </c>
    </row>
    <row r="1147" spans="2:11" ht="17.25" outlineLevel="1">
      <c r="B1147" s="322" t="s">
        <v>792</v>
      </c>
      <c r="C1147" s="322" t="s">
        <v>1</v>
      </c>
      <c r="D1147" s="323">
        <v>1</v>
      </c>
      <c r="E1147" s="323">
        <v>1</v>
      </c>
      <c r="F1147" s="326">
        <f>3.14*2.54</f>
        <v>7.9756</v>
      </c>
      <c r="G1147" s="323"/>
      <c r="H1147" s="323">
        <v>0.2</v>
      </c>
      <c r="I1147" s="399">
        <f t="shared" si="108"/>
        <v>1.6</v>
      </c>
      <c r="K1147" s="1196" t="s">
        <v>2167</v>
      </c>
    </row>
    <row r="1148" spans="2:11" ht="17.25" outlineLevel="1">
      <c r="B1148" s="322" t="s">
        <v>744</v>
      </c>
      <c r="C1148" s="322" t="s">
        <v>1</v>
      </c>
      <c r="D1148" s="323">
        <v>1</v>
      </c>
      <c r="E1148" s="323">
        <v>1</v>
      </c>
      <c r="F1148" s="323">
        <f t="shared" si="109"/>
        <v>9.42</v>
      </c>
      <c r="G1148" s="323"/>
      <c r="H1148" s="323">
        <v>0.2</v>
      </c>
      <c r="I1148" s="399">
        <f t="shared" si="108"/>
        <v>1.88</v>
      </c>
      <c r="K1148" s="1196" t="s">
        <v>2167</v>
      </c>
    </row>
    <row r="1149" spans="2:11" ht="17.25" outlineLevel="1">
      <c r="B1149" s="322" t="s">
        <v>792</v>
      </c>
      <c r="C1149" s="322" t="s">
        <v>1</v>
      </c>
      <c r="D1149" s="323">
        <v>1</v>
      </c>
      <c r="E1149" s="323">
        <v>1</v>
      </c>
      <c r="F1149" s="326">
        <f>3.14*2.54</f>
        <v>7.9756</v>
      </c>
      <c r="G1149" s="323"/>
      <c r="H1149" s="323">
        <v>0.2</v>
      </c>
      <c r="I1149" s="399">
        <f t="shared" si="108"/>
        <v>1.6</v>
      </c>
      <c r="K1149" s="1196" t="s">
        <v>2167</v>
      </c>
    </row>
    <row r="1150" spans="2:11" ht="17.25" outlineLevel="1">
      <c r="B1150" s="322" t="s">
        <v>745</v>
      </c>
      <c r="C1150" s="322" t="s">
        <v>1</v>
      </c>
      <c r="D1150" s="323">
        <v>1</v>
      </c>
      <c r="E1150" s="323">
        <v>1</v>
      </c>
      <c r="F1150" s="323">
        <f t="shared" si="109"/>
        <v>9.42</v>
      </c>
      <c r="G1150" s="323"/>
      <c r="H1150" s="323">
        <v>0.2</v>
      </c>
      <c r="I1150" s="399">
        <f t="shared" si="108"/>
        <v>1.88</v>
      </c>
      <c r="K1150" s="1196" t="s">
        <v>2167</v>
      </c>
    </row>
    <row r="1151" spans="2:11" ht="17.25" outlineLevel="1">
      <c r="B1151" s="322" t="s">
        <v>792</v>
      </c>
      <c r="C1151" s="322" t="s">
        <v>1</v>
      </c>
      <c r="D1151" s="323">
        <v>1</v>
      </c>
      <c r="E1151" s="323">
        <v>1</v>
      </c>
      <c r="F1151" s="326">
        <f>3.14*2.54</f>
        <v>7.9756</v>
      </c>
      <c r="G1151" s="323"/>
      <c r="H1151" s="323">
        <v>0.2</v>
      </c>
      <c r="I1151" s="399">
        <f t="shared" si="108"/>
        <v>1.6</v>
      </c>
      <c r="K1151" s="1196" t="s">
        <v>2167</v>
      </c>
    </row>
    <row r="1152" spans="2:11" ht="17.25" outlineLevel="1">
      <c r="B1152" s="322" t="s">
        <v>746</v>
      </c>
      <c r="C1152" s="322" t="s">
        <v>1</v>
      </c>
      <c r="D1152" s="323">
        <v>1</v>
      </c>
      <c r="E1152" s="323">
        <v>1</v>
      </c>
      <c r="F1152" s="323">
        <f t="shared" si="109"/>
        <v>9.42</v>
      </c>
      <c r="G1152" s="323"/>
      <c r="H1152" s="323">
        <v>0.2</v>
      </c>
      <c r="I1152" s="399">
        <f t="shared" si="108"/>
        <v>1.88</v>
      </c>
      <c r="K1152" s="1196" t="s">
        <v>2167</v>
      </c>
    </row>
    <row r="1153" spans="1:16" ht="17.25" outlineLevel="1">
      <c r="B1153" s="322" t="s">
        <v>792</v>
      </c>
      <c r="C1153" s="322" t="s">
        <v>1</v>
      </c>
      <c r="D1153" s="323">
        <v>1</v>
      </c>
      <c r="E1153" s="323">
        <v>1</v>
      </c>
      <c r="F1153" s="326">
        <f>3.14*2.54</f>
        <v>7.9756</v>
      </c>
      <c r="G1153" s="323"/>
      <c r="H1153" s="323">
        <v>0.2</v>
      </c>
      <c r="I1153" s="399">
        <f t="shared" si="108"/>
        <v>1.6</v>
      </c>
      <c r="K1153" s="1196" t="s">
        <v>2167</v>
      </c>
    </row>
    <row r="1154" spans="1:16" ht="17.25" outlineLevel="1">
      <c r="B1154" s="322" t="s">
        <v>747</v>
      </c>
      <c r="C1154" s="322" t="s">
        <v>1</v>
      </c>
      <c r="D1154" s="323">
        <v>1</v>
      </c>
      <c r="E1154" s="323">
        <v>1</v>
      </c>
      <c r="F1154" s="323">
        <f t="shared" si="109"/>
        <v>9.42</v>
      </c>
      <c r="G1154" s="323"/>
      <c r="H1154" s="323">
        <v>0.2</v>
      </c>
      <c r="I1154" s="399">
        <f t="shared" si="108"/>
        <v>1.88</v>
      </c>
      <c r="K1154" s="1196" t="s">
        <v>2167</v>
      </c>
    </row>
    <row r="1155" spans="1:16" ht="17.25" outlineLevel="1">
      <c r="B1155" s="322" t="s">
        <v>792</v>
      </c>
      <c r="C1155" s="322" t="s">
        <v>1</v>
      </c>
      <c r="D1155" s="323">
        <v>1</v>
      </c>
      <c r="E1155" s="323">
        <v>1</v>
      </c>
      <c r="F1155" s="326">
        <f>3.14*2.54</f>
        <v>7.9756</v>
      </c>
      <c r="G1155" s="323"/>
      <c r="H1155" s="323">
        <v>0.2</v>
      </c>
      <c r="I1155" s="399">
        <f t="shared" si="108"/>
        <v>1.6</v>
      </c>
      <c r="K1155" s="1196" t="s">
        <v>2167</v>
      </c>
    </row>
    <row r="1156" spans="1:16" ht="17.25" outlineLevel="1">
      <c r="B1156" s="322" t="s">
        <v>748</v>
      </c>
      <c r="C1156" s="322" t="s">
        <v>1</v>
      </c>
      <c r="D1156" s="323">
        <v>1</v>
      </c>
      <c r="E1156" s="323">
        <v>1</v>
      </c>
      <c r="F1156" s="323">
        <f t="shared" si="109"/>
        <v>9.42</v>
      </c>
      <c r="G1156" s="323"/>
      <c r="H1156" s="323">
        <v>0.2</v>
      </c>
      <c r="I1156" s="399">
        <f t="shared" si="108"/>
        <v>1.88</v>
      </c>
      <c r="K1156" s="1196" t="s">
        <v>2167</v>
      </c>
    </row>
    <row r="1157" spans="1:16" s="352" customFormat="1" ht="17.25" outlineLevel="1">
      <c r="A1157" s="347"/>
      <c r="B1157" s="362" t="s">
        <v>749</v>
      </c>
      <c r="C1157" s="362" t="s">
        <v>1</v>
      </c>
      <c r="D1157" s="363">
        <f t="shared" ref="D1157:D1172" si="110">1*0</f>
        <v>0</v>
      </c>
      <c r="E1157" s="363">
        <v>1</v>
      </c>
      <c r="F1157" s="363">
        <f t="shared" si="109"/>
        <v>9.42</v>
      </c>
      <c r="G1157" s="363"/>
      <c r="H1157" s="363">
        <v>0.3</v>
      </c>
      <c r="I1157" s="399" t="str">
        <f t="shared" si="108"/>
        <v/>
      </c>
      <c r="J1157" s="350"/>
      <c r="K1157" s="1197"/>
      <c r="L1157" s="351"/>
      <c r="M1157" s="351"/>
      <c r="N1157" s="351"/>
      <c r="O1157" s="351"/>
      <c r="P1157" s="351"/>
    </row>
    <row r="1158" spans="1:16" s="352" customFormat="1" ht="17.25" outlineLevel="1">
      <c r="A1158" s="347"/>
      <c r="B1158" s="362"/>
      <c r="C1158" s="362" t="s">
        <v>1</v>
      </c>
      <c r="D1158" s="363">
        <f t="shared" si="110"/>
        <v>0</v>
      </c>
      <c r="E1158" s="363">
        <v>1</v>
      </c>
      <c r="F1158" s="363">
        <f t="shared" si="109"/>
        <v>9.42</v>
      </c>
      <c r="G1158" s="363"/>
      <c r="H1158" s="363">
        <v>0.3</v>
      </c>
      <c r="I1158" s="399" t="str">
        <f t="shared" si="108"/>
        <v/>
      </c>
      <c r="J1158" s="350"/>
      <c r="K1158" s="1197"/>
      <c r="L1158" s="351"/>
      <c r="M1158" s="351"/>
      <c r="N1158" s="351"/>
      <c r="O1158" s="351"/>
      <c r="P1158" s="351"/>
    </row>
    <row r="1159" spans="1:16" s="352" customFormat="1" ht="17.25" outlineLevel="1">
      <c r="A1159" s="347"/>
      <c r="B1159" s="362"/>
      <c r="C1159" s="362" t="s">
        <v>1</v>
      </c>
      <c r="D1159" s="363">
        <f t="shared" si="110"/>
        <v>0</v>
      </c>
      <c r="E1159" s="363">
        <v>1</v>
      </c>
      <c r="F1159" s="363">
        <f t="shared" si="109"/>
        <v>9.42</v>
      </c>
      <c r="G1159" s="363"/>
      <c r="H1159" s="363">
        <f>1.2-0.15-0.3-0.3-0.06-0.2</f>
        <v>0.19</v>
      </c>
      <c r="I1159" s="399" t="str">
        <f t="shared" si="108"/>
        <v/>
      </c>
      <c r="J1159" s="350"/>
      <c r="K1159" s="1197"/>
      <c r="L1159" s="351"/>
      <c r="M1159" s="351"/>
      <c r="N1159" s="351"/>
      <c r="O1159" s="351"/>
      <c r="P1159" s="351"/>
    </row>
    <row r="1160" spans="1:16" s="352" customFormat="1" ht="17.25" outlineLevel="1">
      <c r="A1160" s="347"/>
      <c r="B1160" s="362"/>
      <c r="C1160" s="362" t="s">
        <v>1</v>
      </c>
      <c r="D1160" s="363">
        <f t="shared" si="110"/>
        <v>0</v>
      </c>
      <c r="E1160" s="363"/>
      <c r="F1160" s="363"/>
      <c r="G1160" s="363"/>
      <c r="H1160" s="363"/>
      <c r="I1160" s="399" t="str">
        <f t="shared" si="108"/>
        <v/>
      </c>
      <c r="J1160" s="350"/>
      <c r="K1160" s="1197"/>
      <c r="L1160" s="351"/>
      <c r="M1160" s="351"/>
      <c r="N1160" s="351"/>
      <c r="O1160" s="351"/>
      <c r="P1160" s="351"/>
    </row>
    <row r="1161" spans="1:16" s="352" customFormat="1" ht="17.25" outlineLevel="1">
      <c r="A1161" s="347"/>
      <c r="B1161" s="362" t="s">
        <v>750</v>
      </c>
      <c r="C1161" s="362" t="s">
        <v>1</v>
      </c>
      <c r="D1161" s="363">
        <f t="shared" si="110"/>
        <v>0</v>
      </c>
      <c r="E1161" s="363">
        <v>1</v>
      </c>
      <c r="F1161" s="363">
        <f>3.14*3</f>
        <v>9.42</v>
      </c>
      <c r="G1161" s="363"/>
      <c r="H1161" s="363">
        <v>0.3</v>
      </c>
      <c r="I1161" s="399" t="str">
        <f t="shared" si="108"/>
        <v/>
      </c>
      <c r="J1161" s="350"/>
      <c r="K1161" s="1197"/>
      <c r="L1161" s="351"/>
      <c r="M1161" s="351"/>
      <c r="N1161" s="351"/>
      <c r="O1161" s="351"/>
      <c r="P1161" s="351"/>
    </row>
    <row r="1162" spans="1:16" s="352" customFormat="1" ht="17.25" outlineLevel="1">
      <c r="A1162" s="347"/>
      <c r="B1162" s="362"/>
      <c r="C1162" s="362" t="s">
        <v>1</v>
      </c>
      <c r="D1162" s="363">
        <f t="shared" si="110"/>
        <v>0</v>
      </c>
      <c r="E1162" s="363">
        <v>1</v>
      </c>
      <c r="F1162" s="363">
        <f>3.14*3</f>
        <v>9.42</v>
      </c>
      <c r="G1162" s="363"/>
      <c r="H1162" s="363">
        <v>0.3</v>
      </c>
      <c r="I1162" s="399" t="str">
        <f t="shared" si="108"/>
        <v/>
      </c>
      <c r="J1162" s="350"/>
      <c r="K1162" s="1197"/>
      <c r="L1162" s="351"/>
      <c r="M1162" s="351"/>
      <c r="N1162" s="351"/>
      <c r="O1162" s="351"/>
      <c r="P1162" s="351"/>
    </row>
    <row r="1163" spans="1:16" s="352" customFormat="1" ht="17.25" outlineLevel="1">
      <c r="A1163" s="347"/>
      <c r="B1163" s="362"/>
      <c r="C1163" s="362" t="s">
        <v>1</v>
      </c>
      <c r="D1163" s="363">
        <f t="shared" si="110"/>
        <v>0</v>
      </c>
      <c r="E1163" s="363">
        <v>1</v>
      </c>
      <c r="F1163" s="363">
        <f>3.14*3</f>
        <v>9.42</v>
      </c>
      <c r="G1163" s="363"/>
      <c r="H1163" s="363">
        <f>1.2-0.15-0.3-0.3-0.06-0.2</f>
        <v>0.19</v>
      </c>
      <c r="I1163" s="399" t="str">
        <f t="shared" si="108"/>
        <v/>
      </c>
      <c r="J1163" s="350"/>
      <c r="K1163" s="1197"/>
      <c r="L1163" s="351"/>
      <c r="M1163" s="351"/>
      <c r="N1163" s="351"/>
      <c r="O1163" s="351"/>
      <c r="P1163" s="351"/>
    </row>
    <row r="1164" spans="1:16" s="352" customFormat="1" ht="17.25" outlineLevel="1">
      <c r="A1164" s="347"/>
      <c r="B1164" s="362"/>
      <c r="C1164" s="362" t="s">
        <v>1</v>
      </c>
      <c r="D1164" s="363">
        <f t="shared" si="110"/>
        <v>0</v>
      </c>
      <c r="E1164" s="363"/>
      <c r="F1164" s="363"/>
      <c r="G1164" s="363"/>
      <c r="H1164" s="363"/>
      <c r="I1164" s="399" t="str">
        <f t="shared" si="108"/>
        <v/>
      </c>
      <c r="J1164" s="350"/>
      <c r="K1164" s="1197"/>
      <c r="L1164" s="351"/>
      <c r="M1164" s="351"/>
      <c r="N1164" s="351"/>
      <c r="O1164" s="351"/>
      <c r="P1164" s="351"/>
    </row>
    <row r="1165" spans="1:16" s="352" customFormat="1" ht="17.25" outlineLevel="1">
      <c r="A1165" s="347"/>
      <c r="B1165" s="362" t="s">
        <v>751</v>
      </c>
      <c r="C1165" s="362" t="s">
        <v>1</v>
      </c>
      <c r="D1165" s="363">
        <f t="shared" si="110"/>
        <v>0</v>
      </c>
      <c r="E1165" s="363">
        <v>1</v>
      </c>
      <c r="F1165" s="363">
        <f>3.14*3</f>
        <v>9.42</v>
      </c>
      <c r="G1165" s="363"/>
      <c r="H1165" s="363">
        <v>0.3</v>
      </c>
      <c r="I1165" s="399" t="str">
        <f t="shared" si="108"/>
        <v/>
      </c>
      <c r="J1165" s="350"/>
      <c r="K1165" s="1197"/>
      <c r="L1165" s="351"/>
      <c r="M1165" s="351"/>
      <c r="N1165" s="351"/>
      <c r="O1165" s="351"/>
      <c r="P1165" s="351"/>
    </row>
    <row r="1166" spans="1:16" s="352" customFormat="1" ht="17.25" outlineLevel="1">
      <c r="A1166" s="347"/>
      <c r="B1166" s="362"/>
      <c r="C1166" s="362" t="s">
        <v>1</v>
      </c>
      <c r="D1166" s="363">
        <f t="shared" si="110"/>
        <v>0</v>
      </c>
      <c r="E1166" s="363">
        <v>1</v>
      </c>
      <c r="F1166" s="363">
        <f>3.14*3</f>
        <v>9.42</v>
      </c>
      <c r="G1166" s="363"/>
      <c r="H1166" s="363">
        <v>0.3</v>
      </c>
      <c r="I1166" s="399" t="str">
        <f t="shared" si="108"/>
        <v/>
      </c>
      <c r="J1166" s="350"/>
      <c r="K1166" s="1197"/>
      <c r="L1166" s="351"/>
      <c r="M1166" s="351"/>
      <c r="N1166" s="351"/>
      <c r="O1166" s="351"/>
      <c r="P1166" s="351"/>
    </row>
    <row r="1167" spans="1:16" s="352" customFormat="1" ht="17.25" outlineLevel="1">
      <c r="A1167" s="347"/>
      <c r="B1167" s="362"/>
      <c r="C1167" s="362" t="s">
        <v>1</v>
      </c>
      <c r="D1167" s="363">
        <f t="shared" si="110"/>
        <v>0</v>
      </c>
      <c r="E1167" s="363">
        <v>1</v>
      </c>
      <c r="F1167" s="363">
        <f>3.14*3</f>
        <v>9.42</v>
      </c>
      <c r="G1167" s="363"/>
      <c r="H1167" s="363">
        <f>1.2-0.15-0.3-0.3-0.06-0.2</f>
        <v>0.19</v>
      </c>
      <c r="I1167" s="399" t="str">
        <f t="shared" si="108"/>
        <v/>
      </c>
      <c r="J1167" s="350"/>
      <c r="K1167" s="1197"/>
      <c r="L1167" s="351"/>
      <c r="M1167" s="351"/>
      <c r="N1167" s="351"/>
      <c r="O1167" s="351"/>
      <c r="P1167" s="351"/>
    </row>
    <row r="1168" spans="1:16" s="352" customFormat="1" ht="17.25" outlineLevel="1">
      <c r="A1168" s="347"/>
      <c r="B1168" s="362"/>
      <c r="C1168" s="362" t="s">
        <v>1</v>
      </c>
      <c r="D1168" s="363">
        <f t="shared" si="110"/>
        <v>0</v>
      </c>
      <c r="E1168" s="363"/>
      <c r="F1168" s="363"/>
      <c r="G1168" s="363"/>
      <c r="H1168" s="363"/>
      <c r="I1168" s="399" t="str">
        <f t="shared" si="108"/>
        <v/>
      </c>
      <c r="J1168" s="350"/>
      <c r="K1168" s="1197"/>
      <c r="L1168" s="351"/>
      <c r="M1168" s="351"/>
      <c r="N1168" s="351"/>
      <c r="O1168" s="351"/>
      <c r="P1168" s="351"/>
    </row>
    <row r="1169" spans="1:16" s="352" customFormat="1" ht="17.25" outlineLevel="1">
      <c r="A1169" s="347"/>
      <c r="B1169" s="362" t="s">
        <v>752</v>
      </c>
      <c r="C1169" s="362" t="s">
        <v>1</v>
      </c>
      <c r="D1169" s="363">
        <f t="shared" si="110"/>
        <v>0</v>
      </c>
      <c r="E1169" s="363">
        <v>1</v>
      </c>
      <c r="F1169" s="363">
        <f>3.14*3</f>
        <v>9.42</v>
      </c>
      <c r="G1169" s="363"/>
      <c r="H1169" s="363">
        <v>0.3</v>
      </c>
      <c r="I1169" s="399" t="str">
        <f t="shared" si="108"/>
        <v/>
      </c>
      <c r="J1169" s="350"/>
      <c r="K1169" s="1197"/>
      <c r="L1169" s="351"/>
      <c r="M1169" s="351"/>
      <c r="N1169" s="351"/>
      <c r="O1169" s="351"/>
      <c r="P1169" s="351"/>
    </row>
    <row r="1170" spans="1:16" s="352" customFormat="1" ht="17.25" outlineLevel="1">
      <c r="A1170" s="347"/>
      <c r="B1170" s="362"/>
      <c r="C1170" s="362" t="s">
        <v>1</v>
      </c>
      <c r="D1170" s="363">
        <f t="shared" si="110"/>
        <v>0</v>
      </c>
      <c r="E1170" s="363">
        <v>1</v>
      </c>
      <c r="F1170" s="363">
        <f>3.14*3</f>
        <v>9.42</v>
      </c>
      <c r="G1170" s="363"/>
      <c r="H1170" s="363">
        <v>0.3</v>
      </c>
      <c r="I1170" s="399" t="str">
        <f t="shared" si="108"/>
        <v/>
      </c>
      <c r="J1170" s="350"/>
      <c r="K1170" s="1197"/>
      <c r="L1170" s="351"/>
      <c r="M1170" s="351"/>
      <c r="N1170" s="351"/>
      <c r="O1170" s="351"/>
      <c r="P1170" s="351"/>
    </row>
    <row r="1171" spans="1:16" s="352" customFormat="1" ht="17.25" outlineLevel="1">
      <c r="A1171" s="347"/>
      <c r="B1171" s="362"/>
      <c r="C1171" s="362" t="s">
        <v>1</v>
      </c>
      <c r="D1171" s="363">
        <f t="shared" si="110"/>
        <v>0</v>
      </c>
      <c r="E1171" s="363">
        <v>1</v>
      </c>
      <c r="F1171" s="363">
        <f>3.14*3</f>
        <v>9.42</v>
      </c>
      <c r="G1171" s="363"/>
      <c r="H1171" s="363">
        <f>1.2-0.15-0.3-0.3-0.06-0.2</f>
        <v>0.19</v>
      </c>
      <c r="I1171" s="399" t="str">
        <f t="shared" si="108"/>
        <v/>
      </c>
      <c r="J1171" s="350"/>
      <c r="K1171" s="1197"/>
      <c r="L1171" s="351"/>
      <c r="M1171" s="351"/>
      <c r="N1171" s="351"/>
      <c r="O1171" s="351"/>
      <c r="P1171" s="351"/>
    </row>
    <row r="1172" spans="1:16" s="352" customFormat="1" ht="17.25" outlineLevel="1">
      <c r="A1172" s="347"/>
      <c r="B1172" s="362" t="s">
        <v>792</v>
      </c>
      <c r="C1172" s="362" t="s">
        <v>1</v>
      </c>
      <c r="D1172" s="363">
        <f t="shared" si="110"/>
        <v>0</v>
      </c>
      <c r="E1172" s="363">
        <v>1</v>
      </c>
      <c r="F1172" s="364">
        <f>3.14*2.54</f>
        <v>7.9756</v>
      </c>
      <c r="G1172" s="363"/>
      <c r="H1172" s="363">
        <v>0.2</v>
      </c>
      <c r="I1172" s="399" t="str">
        <f t="shared" si="108"/>
        <v/>
      </c>
      <c r="J1172" s="350"/>
      <c r="K1172" s="1197"/>
      <c r="L1172" s="351"/>
      <c r="M1172" s="351"/>
      <c r="N1172" s="351"/>
      <c r="O1172" s="351"/>
      <c r="P1172" s="351"/>
    </row>
    <row r="1173" spans="1:16" ht="17.25" outlineLevel="1">
      <c r="B1173" s="322"/>
      <c r="C1173" s="322"/>
      <c r="D1173" s="323"/>
      <c r="E1173" s="323"/>
      <c r="F1173" s="323"/>
      <c r="G1173" s="323"/>
      <c r="H1173" s="323"/>
      <c r="I1173" s="399" t="str">
        <f t="shared" si="108"/>
        <v/>
      </c>
      <c r="K1173" s="1196"/>
    </row>
    <row r="1174" spans="1:16" ht="34.5" outlineLevel="1">
      <c r="B1174" s="324" t="s">
        <v>795</v>
      </c>
      <c r="C1174" s="322"/>
      <c r="D1174" s="323"/>
      <c r="E1174" s="323"/>
      <c r="F1174" s="323"/>
      <c r="G1174" s="323"/>
      <c r="H1174" s="323"/>
      <c r="I1174" s="399" t="str">
        <f t="shared" si="108"/>
        <v/>
      </c>
      <c r="K1174" s="1196"/>
    </row>
    <row r="1175" spans="1:16" ht="17.25" outlineLevel="1">
      <c r="B1175" s="322" t="s">
        <v>754</v>
      </c>
      <c r="C1175" s="322" t="s">
        <v>1</v>
      </c>
      <c r="D1175" s="323">
        <v>1</v>
      </c>
      <c r="E1175" s="329">
        <v>2</v>
      </c>
      <c r="F1175" s="329">
        <v>8.5139999999999993</v>
      </c>
      <c r="G1175" s="323"/>
      <c r="H1175" s="323">
        <v>0.2</v>
      </c>
      <c r="I1175" s="399">
        <f t="shared" si="108"/>
        <v>3.41</v>
      </c>
      <c r="K1175" s="1196" t="s">
        <v>2168</v>
      </c>
    </row>
    <row r="1176" spans="1:16" s="352" customFormat="1" ht="17.25" outlineLevel="1">
      <c r="A1176" s="347"/>
      <c r="B1176" s="362"/>
      <c r="C1176" s="362" t="s">
        <v>1</v>
      </c>
      <c r="D1176" s="363">
        <f>1*0</f>
        <v>0</v>
      </c>
      <c r="E1176" s="363">
        <v>1</v>
      </c>
      <c r="F1176" s="363">
        <f>7.854</f>
        <v>7.8540000000000001</v>
      </c>
      <c r="G1176" s="363"/>
      <c r="H1176" s="363">
        <v>0.2</v>
      </c>
      <c r="I1176" s="399" t="str">
        <f t="shared" si="108"/>
        <v/>
      </c>
      <c r="J1176" s="350"/>
      <c r="K1176" s="1197" t="s">
        <v>2168</v>
      </c>
      <c r="L1176" s="351"/>
      <c r="M1176" s="351"/>
      <c r="N1176" s="351"/>
      <c r="O1176" s="351"/>
      <c r="P1176" s="351"/>
    </row>
    <row r="1177" spans="1:16" ht="17.25" outlineLevel="1">
      <c r="B1177" s="322" t="s">
        <v>796</v>
      </c>
      <c r="C1177" s="322" t="s">
        <v>1</v>
      </c>
      <c r="D1177" s="323">
        <v>1</v>
      </c>
      <c r="E1177" s="323">
        <v>1</v>
      </c>
      <c r="F1177" s="329">
        <v>8.1839999999999993</v>
      </c>
      <c r="G1177" s="323">
        <f>0.44-0.23</f>
        <v>0.21</v>
      </c>
      <c r="H1177" s="323"/>
      <c r="I1177" s="399">
        <f t="shared" si="108"/>
        <v>1.72</v>
      </c>
      <c r="K1177" s="1196" t="s">
        <v>2168</v>
      </c>
    </row>
    <row r="1178" spans="1:16" ht="17.25" outlineLevel="1">
      <c r="B1178" s="322" t="s">
        <v>755</v>
      </c>
      <c r="C1178" s="322" t="s">
        <v>1</v>
      </c>
      <c r="D1178" s="323">
        <v>1</v>
      </c>
      <c r="E1178" s="329">
        <v>2</v>
      </c>
      <c r="F1178" s="329">
        <v>2.343</v>
      </c>
      <c r="G1178" s="323"/>
      <c r="H1178" s="323">
        <v>0.2</v>
      </c>
      <c r="I1178" s="399">
        <f t="shared" si="108"/>
        <v>0.94</v>
      </c>
      <c r="K1178" s="1196" t="s">
        <v>2168</v>
      </c>
    </row>
    <row r="1179" spans="1:16" s="352" customFormat="1" ht="17.25" outlineLevel="1">
      <c r="A1179" s="347"/>
      <c r="B1179" s="362"/>
      <c r="C1179" s="362" t="s">
        <v>1</v>
      </c>
      <c r="D1179" s="363">
        <f>1*0</f>
        <v>0</v>
      </c>
      <c r="E1179" s="363">
        <v>1</v>
      </c>
      <c r="F1179" s="363">
        <f>1.809</f>
        <v>1.8089999999999999</v>
      </c>
      <c r="G1179" s="363"/>
      <c r="H1179" s="363">
        <v>0.2</v>
      </c>
      <c r="I1179" s="399" t="str">
        <f t="shared" si="108"/>
        <v/>
      </c>
      <c r="J1179" s="350"/>
      <c r="K1179" s="1197" t="s">
        <v>2168</v>
      </c>
      <c r="L1179" s="351"/>
      <c r="M1179" s="351"/>
      <c r="N1179" s="351"/>
      <c r="O1179" s="351"/>
      <c r="P1179" s="351"/>
    </row>
    <row r="1180" spans="1:16" ht="17.25" outlineLevel="1">
      <c r="B1180" s="322" t="s">
        <v>796</v>
      </c>
      <c r="C1180" s="322" t="s">
        <v>1</v>
      </c>
      <c r="D1180" s="323">
        <v>1</v>
      </c>
      <c r="E1180" s="323">
        <v>1</v>
      </c>
      <c r="F1180" s="323">
        <f>1.809</f>
        <v>1.8089999999999999</v>
      </c>
      <c r="G1180" s="323">
        <f>0.44-0.23</f>
        <v>0.21</v>
      </c>
      <c r="H1180" s="323"/>
      <c r="I1180" s="399">
        <f t="shared" si="108"/>
        <v>0.38</v>
      </c>
      <c r="K1180" s="1196" t="s">
        <v>2168</v>
      </c>
    </row>
    <row r="1181" spans="1:16" ht="17.25" outlineLevel="1">
      <c r="B1181" s="322" t="s">
        <v>756</v>
      </c>
      <c r="C1181" s="322" t="s">
        <v>1</v>
      </c>
      <c r="D1181" s="323">
        <v>1</v>
      </c>
      <c r="E1181" s="329">
        <v>2</v>
      </c>
      <c r="F1181" s="329">
        <v>5.43</v>
      </c>
      <c r="G1181" s="323"/>
      <c r="H1181" s="323">
        <v>0.2</v>
      </c>
      <c r="I1181" s="399">
        <f t="shared" si="108"/>
        <v>2.17</v>
      </c>
      <c r="K1181" s="1196" t="s">
        <v>2168</v>
      </c>
    </row>
    <row r="1182" spans="1:16" s="352" customFormat="1" ht="17.25" outlineLevel="1">
      <c r="A1182" s="347"/>
      <c r="B1182" s="362"/>
      <c r="C1182" s="362" t="s">
        <v>1</v>
      </c>
      <c r="D1182" s="363">
        <f>1*0</f>
        <v>0</v>
      </c>
      <c r="E1182" s="363">
        <v>1</v>
      </c>
      <c r="F1182" s="363">
        <f>4.481</f>
        <v>4.4809999999999999</v>
      </c>
      <c r="G1182" s="363"/>
      <c r="H1182" s="363">
        <v>0.2</v>
      </c>
      <c r="I1182" s="399" t="str">
        <f t="shared" si="108"/>
        <v/>
      </c>
      <c r="J1182" s="350"/>
      <c r="K1182" s="1197" t="s">
        <v>2168</v>
      </c>
      <c r="L1182" s="351"/>
      <c r="M1182" s="351"/>
      <c r="N1182" s="351"/>
      <c r="O1182" s="351"/>
      <c r="P1182" s="351"/>
    </row>
    <row r="1183" spans="1:16" ht="17.25" outlineLevel="1">
      <c r="B1183" s="322" t="s">
        <v>796</v>
      </c>
      <c r="C1183" s="322" t="s">
        <v>1</v>
      </c>
      <c r="D1183" s="323">
        <v>1</v>
      </c>
      <c r="E1183" s="323">
        <v>1</v>
      </c>
      <c r="F1183" s="323">
        <f>4.481</f>
        <v>4.4809999999999999</v>
      </c>
      <c r="G1183" s="323">
        <f>0.44-0.23</f>
        <v>0.21</v>
      </c>
      <c r="H1183" s="323"/>
      <c r="I1183" s="399">
        <f t="shared" si="108"/>
        <v>0.94</v>
      </c>
      <c r="K1183" s="1196" t="s">
        <v>2168</v>
      </c>
    </row>
    <row r="1184" spans="1:16" s="165" customFormat="1" ht="34.5" outlineLevel="1">
      <c r="A1184" s="538"/>
      <c r="B1184" s="533" t="s">
        <v>1262</v>
      </c>
      <c r="C1184" s="388"/>
      <c r="D1184" s="548"/>
      <c r="E1184" s="307"/>
      <c r="F1184" s="540"/>
      <c r="G1184" s="540"/>
      <c r="H1184" s="540"/>
      <c r="I1184" s="399" t="str">
        <f t="shared" ref="I1184:I1247" si="111">IF(D1184&lt;&gt;0,ROUND(PRODUCT(E1184:H1184)*D1184,2),"")</f>
        <v/>
      </c>
      <c r="J1184" s="166"/>
      <c r="K1184" s="563"/>
      <c r="L1184" s="164"/>
      <c r="M1184" s="164"/>
      <c r="N1184" s="164"/>
      <c r="O1184" s="164"/>
      <c r="P1184" s="164"/>
    </row>
    <row r="1185" spans="1:16" s="165" customFormat="1" ht="17.25" outlineLevel="1">
      <c r="A1185" s="388"/>
      <c r="B1185" s="388"/>
      <c r="C1185" s="388"/>
      <c r="D1185" s="548"/>
      <c r="E1185" s="307"/>
      <c r="F1185" s="540"/>
      <c r="G1185" s="540"/>
      <c r="H1185" s="540"/>
      <c r="I1185" s="399" t="str">
        <f t="shared" si="111"/>
        <v/>
      </c>
      <c r="J1185" s="166"/>
      <c r="K1185" s="563"/>
      <c r="L1185" s="164"/>
      <c r="M1185" s="164"/>
      <c r="N1185" s="164"/>
      <c r="O1185" s="164"/>
      <c r="P1185" s="164"/>
    </row>
    <row r="1186" spans="1:16" s="345" customFormat="1" ht="17.25" outlineLevel="1">
      <c r="A1186" s="534"/>
      <c r="B1186" s="313" t="s">
        <v>749</v>
      </c>
      <c r="C1186" s="313" t="s">
        <v>1</v>
      </c>
      <c r="D1186" s="368">
        <f>1</f>
        <v>1</v>
      </c>
      <c r="E1186" s="298">
        <v>1</v>
      </c>
      <c r="F1186" s="360">
        <f>3.14*3.46</f>
        <v>10.8644</v>
      </c>
      <c r="G1186" s="298"/>
      <c r="H1186" s="298">
        <v>0.2</v>
      </c>
      <c r="I1186" s="399">
        <f t="shared" si="111"/>
        <v>2.17</v>
      </c>
      <c r="J1186" s="535"/>
      <c r="K1186" s="1198" t="s">
        <v>2167</v>
      </c>
      <c r="L1186" s="355"/>
      <c r="M1186" s="355"/>
      <c r="N1186" s="355"/>
      <c r="O1186" s="355"/>
      <c r="P1186" s="355"/>
    </row>
    <row r="1187" spans="1:16" s="345" customFormat="1" ht="17.25" outlineLevel="1">
      <c r="A1187" s="534"/>
      <c r="B1187" s="313"/>
      <c r="C1187" s="313" t="s">
        <v>1</v>
      </c>
      <c r="D1187" s="368">
        <f>1</f>
        <v>1</v>
      </c>
      <c r="E1187" s="298">
        <v>1</v>
      </c>
      <c r="F1187" s="360">
        <f>3.14*3</f>
        <v>9.42</v>
      </c>
      <c r="G1187" s="298"/>
      <c r="H1187" s="298">
        <v>0.2</v>
      </c>
      <c r="I1187" s="399">
        <f t="shared" si="111"/>
        <v>1.88</v>
      </c>
      <c r="J1187" s="535"/>
      <c r="K1187" s="1198" t="s">
        <v>2167</v>
      </c>
      <c r="L1187" s="376">
        <v>1</v>
      </c>
      <c r="M1187" s="355"/>
      <c r="N1187" s="355"/>
      <c r="O1187" s="355"/>
      <c r="P1187" s="355"/>
    </row>
    <row r="1188" spans="1:16" s="345" customFormat="1" ht="17.25" outlineLevel="1">
      <c r="A1188" s="534"/>
      <c r="B1188" s="313" t="s">
        <v>750</v>
      </c>
      <c r="C1188" s="313" t="s">
        <v>1</v>
      </c>
      <c r="D1188" s="368">
        <f>1</f>
        <v>1</v>
      </c>
      <c r="E1188" s="298">
        <v>1</v>
      </c>
      <c r="F1188" s="360">
        <f>3.14*3.23</f>
        <v>10.142200000000001</v>
      </c>
      <c r="G1188" s="298"/>
      <c r="H1188" s="298">
        <v>0.2</v>
      </c>
      <c r="I1188" s="399">
        <f t="shared" si="111"/>
        <v>2.0299999999999998</v>
      </c>
      <c r="J1188" s="535"/>
      <c r="K1188" s="1198" t="s">
        <v>2167</v>
      </c>
      <c r="L1188" s="376">
        <f>PI()</f>
        <v>3.1415926535897931</v>
      </c>
      <c r="M1188" s="355"/>
      <c r="N1188" s="355"/>
      <c r="O1188" s="355"/>
      <c r="P1188" s="355"/>
    </row>
    <row r="1189" spans="1:16" s="345" customFormat="1" ht="17.25" outlineLevel="1">
      <c r="A1189" s="534"/>
      <c r="B1189" s="313"/>
      <c r="C1189" s="313" t="s">
        <v>1</v>
      </c>
      <c r="D1189" s="368">
        <f>1</f>
        <v>1</v>
      </c>
      <c r="E1189" s="298">
        <v>1</v>
      </c>
      <c r="F1189" s="360">
        <f>3.14*3</f>
        <v>9.42</v>
      </c>
      <c r="G1189" s="298"/>
      <c r="H1189" s="298">
        <v>0.2</v>
      </c>
      <c r="I1189" s="399">
        <f t="shared" si="111"/>
        <v>1.88</v>
      </c>
      <c r="J1189" s="535"/>
      <c r="K1189" s="1198" t="s">
        <v>2167</v>
      </c>
      <c r="L1189" s="376">
        <v>3.23</v>
      </c>
      <c r="M1189" s="355"/>
      <c r="N1189" s="355"/>
      <c r="O1189" s="355"/>
      <c r="P1189" s="355"/>
    </row>
    <row r="1190" spans="1:16" s="345" customFormat="1" ht="17.25" outlineLevel="1">
      <c r="A1190" s="534"/>
      <c r="B1190" s="313" t="s">
        <v>751</v>
      </c>
      <c r="C1190" s="313" t="s">
        <v>1</v>
      </c>
      <c r="D1190" s="368">
        <f>1</f>
        <v>1</v>
      </c>
      <c r="E1190" s="298">
        <v>1</v>
      </c>
      <c r="F1190" s="360">
        <f>3.14*3.23</f>
        <v>10.142200000000001</v>
      </c>
      <c r="G1190" s="298"/>
      <c r="H1190" s="298">
        <v>0.2</v>
      </c>
      <c r="I1190" s="399">
        <f t="shared" si="111"/>
        <v>2.0299999999999998</v>
      </c>
      <c r="J1190" s="535"/>
      <c r="K1190" s="1198" t="s">
        <v>2167</v>
      </c>
      <c r="L1190" s="376">
        <f>L1187*L1188*L1189</f>
        <v>10.147344271095031</v>
      </c>
      <c r="M1190" s="355"/>
      <c r="N1190" s="355"/>
      <c r="O1190" s="355"/>
      <c r="P1190" s="355"/>
    </row>
    <row r="1191" spans="1:16" s="345" customFormat="1" ht="17.25" outlineLevel="1">
      <c r="A1191" s="534"/>
      <c r="B1191" s="313"/>
      <c r="C1191" s="313" t="s">
        <v>1</v>
      </c>
      <c r="D1191" s="368">
        <f>1</f>
        <v>1</v>
      </c>
      <c r="E1191" s="298">
        <v>1</v>
      </c>
      <c r="F1191" s="360">
        <f>3.14*3</f>
        <v>9.42</v>
      </c>
      <c r="G1191" s="298"/>
      <c r="H1191" s="298">
        <v>0.2</v>
      </c>
      <c r="I1191" s="399">
        <f t="shared" si="111"/>
        <v>1.88</v>
      </c>
      <c r="J1191" s="535"/>
      <c r="K1191" s="1198" t="s">
        <v>2167</v>
      </c>
      <c r="L1191" s="355"/>
      <c r="M1191" s="355"/>
      <c r="N1191" s="355"/>
      <c r="O1191" s="355"/>
      <c r="P1191" s="355"/>
    </row>
    <row r="1192" spans="1:16" s="345" customFormat="1" ht="17.25" outlineLevel="1">
      <c r="A1192" s="534"/>
      <c r="B1192" s="313" t="s">
        <v>752</v>
      </c>
      <c r="C1192" s="313" t="s">
        <v>1</v>
      </c>
      <c r="D1192" s="368">
        <f>1</f>
        <v>1</v>
      </c>
      <c r="E1192" s="298">
        <v>1</v>
      </c>
      <c r="F1192" s="360">
        <f>3.14*3.23</f>
        <v>10.142200000000001</v>
      </c>
      <c r="G1192" s="298"/>
      <c r="H1192" s="298">
        <v>0.2</v>
      </c>
      <c r="I1192" s="399">
        <f t="shared" si="111"/>
        <v>2.0299999999999998</v>
      </c>
      <c r="J1192" s="535"/>
      <c r="K1192" s="1198" t="s">
        <v>2167</v>
      </c>
      <c r="L1192" s="355"/>
      <c r="M1192" s="355"/>
      <c r="N1192" s="355"/>
      <c r="O1192" s="355"/>
      <c r="P1192" s="355"/>
    </row>
    <row r="1193" spans="1:16" s="345" customFormat="1" ht="17.25" outlineLevel="1">
      <c r="A1193" s="534"/>
      <c r="B1193" s="313"/>
      <c r="C1193" s="313" t="s">
        <v>1</v>
      </c>
      <c r="D1193" s="368">
        <f>1</f>
        <v>1</v>
      </c>
      <c r="E1193" s="298">
        <v>1</v>
      </c>
      <c r="F1193" s="360">
        <f>3.14*3</f>
        <v>9.42</v>
      </c>
      <c r="G1193" s="298"/>
      <c r="H1193" s="298">
        <v>0.2</v>
      </c>
      <c r="I1193" s="399">
        <f t="shared" si="111"/>
        <v>1.88</v>
      </c>
      <c r="J1193" s="535"/>
      <c r="K1193" s="1198" t="s">
        <v>2167</v>
      </c>
      <c r="L1193" s="355"/>
      <c r="M1193" s="355"/>
      <c r="N1193" s="355"/>
      <c r="O1193" s="355"/>
      <c r="P1193" s="355"/>
    </row>
    <row r="1194" spans="1:16" s="165" customFormat="1" ht="17.25" outlineLevel="1">
      <c r="A1194" s="534"/>
      <c r="B1194" s="313"/>
      <c r="C1194" s="313"/>
      <c r="D1194" s="368"/>
      <c r="E1194" s="298"/>
      <c r="F1194" s="298"/>
      <c r="G1194" s="298"/>
      <c r="H1194" s="298"/>
      <c r="I1194" s="399" t="str">
        <f t="shared" si="111"/>
        <v/>
      </c>
      <c r="J1194" s="535"/>
      <c r="K1194" s="1198"/>
      <c r="L1194" s="164"/>
      <c r="M1194" s="164"/>
      <c r="N1194" s="164"/>
      <c r="O1194" s="164"/>
      <c r="P1194" s="164"/>
    </row>
    <row r="1195" spans="1:16" s="377" customFormat="1" ht="51.75" outlineLevel="1">
      <c r="A1195" s="539"/>
      <c r="B1195" s="533" t="s">
        <v>1263</v>
      </c>
      <c r="C1195" s="313"/>
      <c r="D1195" s="323"/>
      <c r="E1195" s="298"/>
      <c r="F1195" s="298"/>
      <c r="G1195" s="298"/>
      <c r="H1195" s="298"/>
      <c r="I1195" s="399" t="str">
        <f t="shared" si="111"/>
        <v/>
      </c>
      <c r="J1195" s="374"/>
      <c r="K1195" s="1199"/>
      <c r="L1195" s="376"/>
      <c r="M1195" s="376"/>
      <c r="N1195" s="376"/>
      <c r="O1195" s="376"/>
      <c r="P1195" s="376"/>
    </row>
    <row r="1196" spans="1:16" s="377" customFormat="1" ht="17.25" outlineLevel="1">
      <c r="A1196" s="617"/>
      <c r="B1196" s="312" t="s">
        <v>1126</v>
      </c>
      <c r="C1196" s="313" t="s">
        <v>1</v>
      </c>
      <c r="D1196" s="323">
        <v>1</v>
      </c>
      <c r="E1196" s="298">
        <v>2</v>
      </c>
      <c r="F1196" s="323">
        <v>4.5309999999999997</v>
      </c>
      <c r="G1196" s="298"/>
      <c r="H1196" s="298">
        <v>0.2</v>
      </c>
      <c r="I1196" s="399">
        <f t="shared" si="111"/>
        <v>1.81</v>
      </c>
      <c r="J1196" s="374"/>
      <c r="K1196" s="1199" t="s">
        <v>2168</v>
      </c>
      <c r="L1196" s="376"/>
      <c r="M1196" s="376"/>
      <c r="N1196" s="376"/>
      <c r="O1196" s="376"/>
      <c r="P1196" s="376"/>
    </row>
    <row r="1197" spans="1:16" s="377" customFormat="1" ht="17.25" outlineLevel="1">
      <c r="A1197" s="617"/>
      <c r="B1197" s="312" t="s">
        <v>1264</v>
      </c>
      <c r="C1197" s="313" t="s">
        <v>1</v>
      </c>
      <c r="D1197" s="323">
        <v>1</v>
      </c>
      <c r="E1197" s="298">
        <v>1</v>
      </c>
      <c r="F1197" s="323">
        <v>4.0019999999999998</v>
      </c>
      <c r="G1197" s="298">
        <f>0.44-0.23</f>
        <v>0.21</v>
      </c>
      <c r="H1197" s="298"/>
      <c r="I1197" s="399">
        <f t="shared" si="111"/>
        <v>0.84</v>
      </c>
      <c r="J1197" s="374"/>
      <c r="K1197" s="1199" t="s">
        <v>2168</v>
      </c>
      <c r="L1197" s="376"/>
      <c r="M1197" s="376"/>
      <c r="N1197" s="376"/>
      <c r="O1197" s="376"/>
      <c r="P1197" s="376"/>
    </row>
    <row r="1198" spans="1:16" s="377" customFormat="1" ht="17.25" outlineLevel="1">
      <c r="A1198" s="617"/>
      <c r="B1198" s="312"/>
      <c r="C1198" s="313"/>
      <c r="D1198" s="323"/>
      <c r="E1198" s="298"/>
      <c r="F1198" s="323"/>
      <c r="G1198" s="298"/>
      <c r="H1198" s="298"/>
      <c r="I1198" s="399" t="str">
        <f t="shared" si="111"/>
        <v/>
      </c>
      <c r="J1198" s="374"/>
      <c r="K1198" s="1199" t="s">
        <v>2168</v>
      </c>
      <c r="L1198" s="376"/>
      <c r="M1198" s="376"/>
      <c r="N1198" s="376"/>
      <c r="O1198" s="376"/>
      <c r="P1198" s="376"/>
    </row>
    <row r="1199" spans="1:16" s="377" customFormat="1" ht="17.25" outlineLevel="1">
      <c r="A1199" s="617"/>
      <c r="B1199" s="312" t="s">
        <v>1127</v>
      </c>
      <c r="C1199" s="313" t="s">
        <v>1</v>
      </c>
      <c r="D1199" s="323">
        <v>1</v>
      </c>
      <c r="E1199" s="298">
        <v>2</v>
      </c>
      <c r="F1199" s="323">
        <v>5.2889999999999997</v>
      </c>
      <c r="G1199" s="298"/>
      <c r="H1199" s="298">
        <v>0.2</v>
      </c>
      <c r="I1199" s="399">
        <f t="shared" si="111"/>
        <v>2.12</v>
      </c>
      <c r="J1199" s="374"/>
      <c r="K1199" s="1199" t="s">
        <v>2168</v>
      </c>
      <c r="L1199" s="376"/>
      <c r="M1199" s="376"/>
      <c r="N1199" s="376"/>
      <c r="O1199" s="376"/>
      <c r="P1199" s="376"/>
    </row>
    <row r="1200" spans="1:16" s="377" customFormat="1" ht="17.25" outlineLevel="1">
      <c r="A1200" s="617"/>
      <c r="B1200" s="312" t="s">
        <v>1264</v>
      </c>
      <c r="C1200" s="313" t="s">
        <v>1</v>
      </c>
      <c r="D1200" s="323">
        <v>1</v>
      </c>
      <c r="E1200" s="298">
        <v>1</v>
      </c>
      <c r="F1200" s="323">
        <v>4.8099999999999996</v>
      </c>
      <c r="G1200" s="298">
        <f>0.44-0.23</f>
        <v>0.21</v>
      </c>
      <c r="H1200" s="298">
        <v>0.1</v>
      </c>
      <c r="I1200" s="399">
        <f t="shared" si="111"/>
        <v>0.1</v>
      </c>
      <c r="J1200" s="374"/>
      <c r="K1200" s="1199" t="s">
        <v>2168</v>
      </c>
      <c r="L1200" s="376"/>
      <c r="M1200" s="376"/>
      <c r="N1200" s="376"/>
      <c r="O1200" s="376"/>
      <c r="P1200" s="376"/>
    </row>
    <row r="1201" spans="1:16" s="377" customFormat="1" ht="17.25" outlineLevel="1">
      <c r="A1201" s="617"/>
      <c r="B1201" s="312"/>
      <c r="C1201" s="313"/>
      <c r="D1201" s="323"/>
      <c r="E1201" s="298"/>
      <c r="F1201" s="323"/>
      <c r="G1201" s="298"/>
      <c r="H1201" s="298"/>
      <c r="I1201" s="399" t="str">
        <f t="shared" si="111"/>
        <v/>
      </c>
      <c r="J1201" s="374"/>
      <c r="K1201" s="1199" t="s">
        <v>2168</v>
      </c>
      <c r="L1201" s="376"/>
      <c r="M1201" s="376"/>
      <c r="N1201" s="376"/>
      <c r="O1201" s="376"/>
      <c r="P1201" s="376"/>
    </row>
    <row r="1202" spans="1:16" s="377" customFormat="1" ht="17.25" outlineLevel="1">
      <c r="A1202" s="617"/>
      <c r="B1202" s="312" t="s">
        <v>1128</v>
      </c>
      <c r="C1202" s="313" t="s">
        <v>1</v>
      </c>
      <c r="D1202" s="323">
        <v>1</v>
      </c>
      <c r="E1202" s="298">
        <v>2</v>
      </c>
      <c r="F1202" s="323">
        <v>3.1429999999999998</v>
      </c>
      <c r="G1202" s="298"/>
      <c r="H1202" s="298">
        <v>0.2</v>
      </c>
      <c r="I1202" s="399">
        <f t="shared" si="111"/>
        <v>1.26</v>
      </c>
      <c r="J1202" s="374"/>
      <c r="K1202" s="1199" t="s">
        <v>2168</v>
      </c>
      <c r="L1202" s="376"/>
      <c r="M1202" s="376"/>
      <c r="N1202" s="376"/>
      <c r="O1202" s="376"/>
      <c r="P1202" s="376"/>
    </row>
    <row r="1203" spans="1:16" s="377" customFormat="1" ht="17.25" outlineLevel="1">
      <c r="A1203" s="617"/>
      <c r="B1203" s="312" t="s">
        <v>1264</v>
      </c>
      <c r="C1203" s="313" t="s">
        <v>1</v>
      </c>
      <c r="D1203" s="323">
        <v>1</v>
      </c>
      <c r="E1203" s="298">
        <v>1</v>
      </c>
      <c r="F1203" s="323">
        <v>2.8530000000000002</v>
      </c>
      <c r="G1203" s="298">
        <f>0.44-0.23</f>
        <v>0.21</v>
      </c>
      <c r="H1203" s="298">
        <v>0.1</v>
      </c>
      <c r="I1203" s="399">
        <f t="shared" si="111"/>
        <v>0.06</v>
      </c>
      <c r="J1203" s="374"/>
      <c r="K1203" s="1199" t="s">
        <v>2168</v>
      </c>
      <c r="L1203" s="376"/>
      <c r="M1203" s="376"/>
      <c r="N1203" s="376"/>
      <c r="O1203" s="376"/>
      <c r="P1203" s="376"/>
    </row>
    <row r="1204" spans="1:16" s="377" customFormat="1" ht="17.25" outlineLevel="1">
      <c r="A1204" s="617"/>
      <c r="B1204" s="312"/>
      <c r="C1204" s="313"/>
      <c r="D1204" s="323"/>
      <c r="E1204" s="298"/>
      <c r="F1204" s="323"/>
      <c r="G1204" s="298"/>
      <c r="H1204" s="298"/>
      <c r="I1204" s="399" t="str">
        <f t="shared" si="111"/>
        <v/>
      </c>
      <c r="J1204" s="374"/>
      <c r="K1204" s="1199" t="s">
        <v>2168</v>
      </c>
      <c r="L1204" s="376"/>
      <c r="M1204" s="376"/>
      <c r="N1204" s="376"/>
      <c r="O1204" s="376"/>
      <c r="P1204" s="376"/>
    </row>
    <row r="1205" spans="1:16" s="377" customFormat="1" ht="17.25" outlineLevel="1">
      <c r="A1205" s="617"/>
      <c r="B1205" s="312" t="s">
        <v>1128</v>
      </c>
      <c r="C1205" s="313" t="s">
        <v>1</v>
      </c>
      <c r="D1205" s="323">
        <v>1</v>
      </c>
      <c r="E1205" s="298">
        <v>2</v>
      </c>
      <c r="F1205" s="323">
        <v>3.121</v>
      </c>
      <c r="G1205" s="298"/>
      <c r="H1205" s="298">
        <v>0.2</v>
      </c>
      <c r="I1205" s="399">
        <f t="shared" si="111"/>
        <v>1.25</v>
      </c>
      <c r="J1205" s="374"/>
      <c r="K1205" s="1199" t="s">
        <v>2168</v>
      </c>
      <c r="L1205" s="376"/>
      <c r="M1205" s="376"/>
      <c r="N1205" s="376"/>
      <c r="O1205" s="376"/>
      <c r="P1205" s="376"/>
    </row>
    <row r="1206" spans="1:16" s="377" customFormat="1" ht="17.25" outlineLevel="1">
      <c r="A1206" s="617"/>
      <c r="B1206" s="312" t="s">
        <v>1264</v>
      </c>
      <c r="C1206" s="313" t="s">
        <v>1</v>
      </c>
      <c r="D1206" s="323">
        <v>1</v>
      </c>
      <c r="E1206" s="298">
        <v>1</v>
      </c>
      <c r="F1206" s="323">
        <v>2.8330000000000002</v>
      </c>
      <c r="G1206" s="298">
        <f>0.44-0.23</f>
        <v>0.21</v>
      </c>
      <c r="H1206" s="298">
        <v>0.1</v>
      </c>
      <c r="I1206" s="399">
        <f t="shared" si="111"/>
        <v>0.06</v>
      </c>
      <c r="J1206" s="374"/>
      <c r="K1206" s="1199" t="s">
        <v>2168</v>
      </c>
      <c r="L1206" s="376"/>
      <c r="M1206" s="376"/>
      <c r="N1206" s="376"/>
      <c r="O1206" s="376"/>
      <c r="P1206" s="376"/>
    </row>
    <row r="1207" spans="1:16" s="377" customFormat="1" ht="17.25" outlineLevel="1">
      <c r="A1207" s="414"/>
      <c r="B1207" s="425"/>
      <c r="C1207" s="313"/>
      <c r="D1207" s="323"/>
      <c r="E1207" s="298"/>
      <c r="F1207" s="540"/>
      <c r="G1207" s="540"/>
      <c r="H1207" s="540"/>
      <c r="I1207" s="399" t="str">
        <f t="shared" si="111"/>
        <v/>
      </c>
      <c r="J1207" s="394"/>
      <c r="K1207" s="399"/>
      <c r="L1207" s="376"/>
      <c r="M1207" s="376"/>
      <c r="N1207" s="376"/>
      <c r="O1207" s="376"/>
      <c r="P1207" s="376"/>
    </row>
    <row r="1208" spans="1:16" s="377" customFormat="1" ht="34.5" outlineLevel="1">
      <c r="A1208" s="541"/>
      <c r="B1208" s="542" t="s">
        <v>1265</v>
      </c>
      <c r="C1208" s="313"/>
      <c r="D1208" s="323"/>
      <c r="E1208" s="298"/>
      <c r="F1208" s="540"/>
      <c r="G1208" s="540"/>
      <c r="H1208" s="540"/>
      <c r="I1208" s="399" t="str">
        <f t="shared" si="111"/>
        <v/>
      </c>
      <c r="J1208" s="394"/>
      <c r="K1208" s="399"/>
      <c r="L1208" s="376"/>
      <c r="M1208" s="376"/>
      <c r="N1208" s="376"/>
      <c r="O1208" s="376"/>
      <c r="P1208" s="376"/>
    </row>
    <row r="1209" spans="1:16" s="377" customFormat="1" ht="34.5" outlineLevel="1">
      <c r="A1209" s="541"/>
      <c r="B1209" s="537" t="s">
        <v>1266</v>
      </c>
      <c r="C1209" s="313" t="s">
        <v>1</v>
      </c>
      <c r="D1209" s="323"/>
      <c r="E1209" s="298"/>
      <c r="F1209" s="298"/>
      <c r="G1209" s="298"/>
      <c r="H1209" s="298"/>
      <c r="I1209" s="399" t="str">
        <f t="shared" si="111"/>
        <v/>
      </c>
      <c r="J1209" s="374"/>
      <c r="K1209" s="1199"/>
      <c r="L1209" s="376"/>
      <c r="M1209" s="376"/>
      <c r="N1209" s="376"/>
      <c r="O1209" s="376"/>
      <c r="P1209" s="376"/>
    </row>
    <row r="1210" spans="1:16" s="377" customFormat="1" ht="34.5" outlineLevel="1">
      <c r="A1210" s="541"/>
      <c r="B1210" s="312" t="s">
        <v>1131</v>
      </c>
      <c r="C1210" s="313" t="s">
        <v>1</v>
      </c>
      <c r="D1210" s="323">
        <v>1</v>
      </c>
      <c r="E1210" s="298">
        <v>2</v>
      </c>
      <c r="F1210" s="360">
        <f>3.14*3.23</f>
        <v>10.142200000000001</v>
      </c>
      <c r="G1210" s="298"/>
      <c r="H1210" s="298">
        <v>0.2</v>
      </c>
      <c r="I1210" s="399">
        <f t="shared" si="111"/>
        <v>4.0599999999999996</v>
      </c>
      <c r="J1210" s="374"/>
      <c r="K1210" s="1199" t="s">
        <v>2167</v>
      </c>
      <c r="L1210" s="376"/>
      <c r="M1210" s="376"/>
      <c r="N1210" s="376"/>
      <c r="O1210" s="376"/>
      <c r="P1210" s="376"/>
    </row>
    <row r="1211" spans="1:16" s="377" customFormat="1" ht="17.25" outlineLevel="1">
      <c r="A1211" s="541"/>
      <c r="B1211" s="312" t="s">
        <v>736</v>
      </c>
      <c r="C1211" s="313" t="s">
        <v>1</v>
      </c>
      <c r="D1211" s="323">
        <v>1</v>
      </c>
      <c r="E1211" s="298">
        <v>2</v>
      </c>
      <c r="F1211" s="360">
        <f>3.14*3.23</f>
        <v>10.142200000000001</v>
      </c>
      <c r="G1211" s="298"/>
      <c r="H1211" s="298">
        <v>0.2</v>
      </c>
      <c r="I1211" s="399">
        <f t="shared" si="111"/>
        <v>4.0599999999999996</v>
      </c>
      <c r="J1211" s="374"/>
      <c r="K1211" s="1199" t="s">
        <v>2167</v>
      </c>
      <c r="L1211" s="376"/>
      <c r="M1211" s="376"/>
      <c r="N1211" s="376"/>
      <c r="O1211" s="376"/>
      <c r="P1211" s="376"/>
    </row>
    <row r="1212" spans="1:16" s="377" customFormat="1" ht="34.5" outlineLevel="1">
      <c r="A1212" s="541"/>
      <c r="B1212" s="312" t="s">
        <v>1132</v>
      </c>
      <c r="C1212" s="313" t="s">
        <v>1</v>
      </c>
      <c r="D1212" s="323">
        <v>1</v>
      </c>
      <c r="E1212" s="298">
        <v>2</v>
      </c>
      <c r="F1212" s="360">
        <f>3.14*3.93</f>
        <v>12.340200000000001</v>
      </c>
      <c r="G1212" s="298"/>
      <c r="H1212" s="298">
        <v>0.2</v>
      </c>
      <c r="I1212" s="399">
        <f t="shared" si="111"/>
        <v>4.9400000000000004</v>
      </c>
      <c r="J1212" s="374"/>
      <c r="K1212" s="1199" t="s">
        <v>2167</v>
      </c>
      <c r="L1212" s="376"/>
      <c r="M1212" s="376"/>
      <c r="N1212" s="376"/>
      <c r="O1212" s="376"/>
      <c r="P1212" s="376"/>
    </row>
    <row r="1213" spans="1:16" s="377" customFormat="1" ht="17.25" outlineLevel="1">
      <c r="A1213" s="541"/>
      <c r="B1213" s="312" t="s">
        <v>738</v>
      </c>
      <c r="C1213" s="313" t="s">
        <v>1</v>
      </c>
      <c r="D1213" s="323">
        <v>1</v>
      </c>
      <c r="E1213" s="298">
        <v>2</v>
      </c>
      <c r="F1213" s="360">
        <f>3.14*3.23</f>
        <v>10.142200000000001</v>
      </c>
      <c r="G1213" s="298"/>
      <c r="H1213" s="298">
        <v>0.2</v>
      </c>
      <c r="I1213" s="399">
        <f t="shared" si="111"/>
        <v>4.0599999999999996</v>
      </c>
      <c r="J1213" s="374"/>
      <c r="K1213" s="1199" t="s">
        <v>2167</v>
      </c>
      <c r="L1213" s="376"/>
      <c r="M1213" s="376"/>
      <c r="N1213" s="376"/>
      <c r="O1213" s="376"/>
      <c r="P1213" s="376"/>
    </row>
    <row r="1214" spans="1:16" s="377" customFormat="1" ht="17.25" outlineLevel="1">
      <c r="A1214" s="541"/>
      <c r="B1214" s="312" t="s">
        <v>739</v>
      </c>
      <c r="C1214" s="313" t="s">
        <v>1</v>
      </c>
      <c r="D1214" s="323">
        <v>1</v>
      </c>
      <c r="E1214" s="298">
        <v>2</v>
      </c>
      <c r="F1214" s="298">
        <v>8.5660000000000007</v>
      </c>
      <c r="G1214" s="298"/>
      <c r="H1214" s="298">
        <v>0.2</v>
      </c>
      <c r="I1214" s="399">
        <f t="shared" si="111"/>
        <v>3.43</v>
      </c>
      <c r="J1214" s="374"/>
      <c r="K1214" s="1199" t="s">
        <v>2167</v>
      </c>
      <c r="L1214" s="376"/>
      <c r="M1214" s="376"/>
      <c r="N1214" s="376"/>
      <c r="O1214" s="376"/>
      <c r="P1214" s="376"/>
    </row>
    <row r="1215" spans="1:16" s="377" customFormat="1" ht="17.25" outlineLevel="1">
      <c r="A1215" s="541"/>
      <c r="B1215" s="312" t="s">
        <v>740</v>
      </c>
      <c r="C1215" s="313" t="s">
        <v>1</v>
      </c>
      <c r="D1215" s="323">
        <v>1</v>
      </c>
      <c r="E1215" s="298">
        <v>2</v>
      </c>
      <c r="F1215" s="360">
        <f>3.14*2.93</f>
        <v>9.2002000000000006</v>
      </c>
      <c r="G1215" s="298"/>
      <c r="H1215" s="298">
        <v>0.2</v>
      </c>
      <c r="I1215" s="399">
        <f t="shared" si="111"/>
        <v>3.68</v>
      </c>
      <c r="J1215" s="374"/>
      <c r="K1215" s="1199" t="s">
        <v>2167</v>
      </c>
      <c r="L1215" s="376"/>
      <c r="M1215" s="376"/>
      <c r="N1215" s="376"/>
      <c r="O1215" s="376"/>
      <c r="P1215" s="376"/>
    </row>
    <row r="1216" spans="1:16" s="377" customFormat="1" ht="17.25" outlineLevel="1">
      <c r="A1216" s="541"/>
      <c r="B1216" s="312" t="s">
        <v>741</v>
      </c>
      <c r="C1216" s="313" t="s">
        <v>1</v>
      </c>
      <c r="D1216" s="323">
        <v>1</v>
      </c>
      <c r="E1216" s="298">
        <v>2</v>
      </c>
      <c r="F1216" s="360">
        <f t="shared" ref="F1216:F1223" si="112">3.14*3.23</f>
        <v>10.142200000000001</v>
      </c>
      <c r="G1216" s="298"/>
      <c r="H1216" s="298">
        <v>0.2</v>
      </c>
      <c r="I1216" s="399">
        <f t="shared" si="111"/>
        <v>4.0599999999999996</v>
      </c>
      <c r="J1216" s="374"/>
      <c r="K1216" s="1199" t="s">
        <v>2167</v>
      </c>
      <c r="L1216" s="376"/>
      <c r="M1216" s="376"/>
      <c r="N1216" s="376"/>
      <c r="O1216" s="376"/>
      <c r="P1216" s="376"/>
    </row>
    <row r="1217" spans="1:16" s="377" customFormat="1" ht="17.25" outlineLevel="1">
      <c r="A1217" s="541"/>
      <c r="B1217" s="312" t="s">
        <v>742</v>
      </c>
      <c r="C1217" s="313" t="s">
        <v>1</v>
      </c>
      <c r="D1217" s="323">
        <v>1</v>
      </c>
      <c r="E1217" s="298">
        <v>2</v>
      </c>
      <c r="F1217" s="360">
        <f t="shared" si="112"/>
        <v>10.142200000000001</v>
      </c>
      <c r="G1217" s="298"/>
      <c r="H1217" s="298">
        <v>0.2</v>
      </c>
      <c r="I1217" s="399">
        <f t="shared" si="111"/>
        <v>4.0599999999999996</v>
      </c>
      <c r="J1217" s="374"/>
      <c r="K1217" s="1199" t="s">
        <v>2167</v>
      </c>
      <c r="L1217" s="376"/>
      <c r="M1217" s="376"/>
      <c r="N1217" s="376"/>
      <c r="O1217" s="376"/>
      <c r="P1217" s="376"/>
    </row>
    <row r="1218" spans="1:16" s="377" customFormat="1" ht="17.25" outlineLevel="1">
      <c r="A1218" s="541"/>
      <c r="B1218" s="312" t="s">
        <v>743</v>
      </c>
      <c r="C1218" s="313" t="s">
        <v>1</v>
      </c>
      <c r="D1218" s="323">
        <v>1</v>
      </c>
      <c r="E1218" s="298">
        <v>2</v>
      </c>
      <c r="F1218" s="360">
        <f t="shared" si="112"/>
        <v>10.142200000000001</v>
      </c>
      <c r="G1218" s="298"/>
      <c r="H1218" s="298">
        <v>0.2</v>
      </c>
      <c r="I1218" s="399">
        <f t="shared" si="111"/>
        <v>4.0599999999999996</v>
      </c>
      <c r="J1218" s="374"/>
      <c r="K1218" s="1199" t="s">
        <v>2167</v>
      </c>
      <c r="L1218" s="376"/>
      <c r="M1218" s="376"/>
      <c r="N1218" s="376"/>
      <c r="O1218" s="376"/>
      <c r="P1218" s="376"/>
    </row>
    <row r="1219" spans="1:16" s="377" customFormat="1" ht="17.25" outlineLevel="1">
      <c r="A1219" s="541"/>
      <c r="B1219" s="312" t="s">
        <v>744</v>
      </c>
      <c r="C1219" s="313" t="s">
        <v>1</v>
      </c>
      <c r="D1219" s="323">
        <v>1</v>
      </c>
      <c r="E1219" s="298">
        <v>2</v>
      </c>
      <c r="F1219" s="360">
        <f t="shared" si="112"/>
        <v>10.142200000000001</v>
      </c>
      <c r="G1219" s="298"/>
      <c r="H1219" s="298">
        <v>0.2</v>
      </c>
      <c r="I1219" s="399">
        <f t="shared" si="111"/>
        <v>4.0599999999999996</v>
      </c>
      <c r="J1219" s="374"/>
      <c r="K1219" s="1199" t="s">
        <v>2167</v>
      </c>
      <c r="L1219" s="376"/>
      <c r="M1219" s="376"/>
      <c r="N1219" s="376"/>
      <c r="O1219" s="376"/>
      <c r="P1219" s="376"/>
    </row>
    <row r="1220" spans="1:16" s="377" customFormat="1" ht="17.25" outlineLevel="1">
      <c r="A1220" s="541"/>
      <c r="B1220" s="312" t="s">
        <v>745</v>
      </c>
      <c r="C1220" s="313" t="s">
        <v>1</v>
      </c>
      <c r="D1220" s="323">
        <v>1</v>
      </c>
      <c r="E1220" s="298">
        <v>2</v>
      </c>
      <c r="F1220" s="360">
        <f t="shared" si="112"/>
        <v>10.142200000000001</v>
      </c>
      <c r="G1220" s="298"/>
      <c r="H1220" s="298">
        <v>0.2</v>
      </c>
      <c r="I1220" s="399">
        <f t="shared" si="111"/>
        <v>4.0599999999999996</v>
      </c>
      <c r="J1220" s="374"/>
      <c r="K1220" s="1199" t="s">
        <v>2167</v>
      </c>
      <c r="L1220" s="376"/>
      <c r="M1220" s="376"/>
      <c r="N1220" s="376"/>
      <c r="O1220" s="376"/>
      <c r="P1220" s="376"/>
    </row>
    <row r="1221" spans="1:16" s="377" customFormat="1" ht="17.25" outlineLevel="1">
      <c r="A1221" s="541"/>
      <c r="B1221" s="312" t="s">
        <v>746</v>
      </c>
      <c r="C1221" s="313" t="s">
        <v>1</v>
      </c>
      <c r="D1221" s="323">
        <v>1</v>
      </c>
      <c r="E1221" s="298">
        <v>2</v>
      </c>
      <c r="F1221" s="360">
        <f t="shared" si="112"/>
        <v>10.142200000000001</v>
      </c>
      <c r="G1221" s="298"/>
      <c r="H1221" s="298">
        <v>0.2</v>
      </c>
      <c r="I1221" s="399">
        <f t="shared" si="111"/>
        <v>4.0599999999999996</v>
      </c>
      <c r="J1221" s="374"/>
      <c r="K1221" s="1199" t="s">
        <v>2167</v>
      </c>
      <c r="L1221" s="376"/>
      <c r="M1221" s="376"/>
      <c r="N1221" s="376"/>
      <c r="O1221" s="376"/>
      <c r="P1221" s="376"/>
    </row>
    <row r="1222" spans="1:16" s="377" customFormat="1" ht="17.25" outlineLevel="1">
      <c r="A1222" s="541"/>
      <c r="B1222" s="312" t="s">
        <v>747</v>
      </c>
      <c r="C1222" s="313" t="s">
        <v>1</v>
      </c>
      <c r="D1222" s="323">
        <v>1</v>
      </c>
      <c r="E1222" s="298">
        <v>2</v>
      </c>
      <c r="F1222" s="360">
        <f t="shared" si="112"/>
        <v>10.142200000000001</v>
      </c>
      <c r="G1222" s="298"/>
      <c r="H1222" s="298">
        <v>0.2</v>
      </c>
      <c r="I1222" s="399">
        <f t="shared" si="111"/>
        <v>4.0599999999999996</v>
      </c>
      <c r="J1222" s="374"/>
      <c r="K1222" s="1199" t="s">
        <v>2167</v>
      </c>
      <c r="L1222" s="376"/>
      <c r="M1222" s="376"/>
      <c r="N1222" s="376"/>
      <c r="O1222" s="376"/>
      <c r="P1222" s="376"/>
    </row>
    <row r="1223" spans="1:16" s="377" customFormat="1" ht="17.25" outlineLevel="1">
      <c r="A1223" s="541"/>
      <c r="B1223" s="312" t="s">
        <v>748</v>
      </c>
      <c r="C1223" s="313" t="s">
        <v>1</v>
      </c>
      <c r="D1223" s="323">
        <v>1</v>
      </c>
      <c r="E1223" s="298">
        <v>2</v>
      </c>
      <c r="F1223" s="360">
        <f t="shared" si="112"/>
        <v>10.142200000000001</v>
      </c>
      <c r="G1223" s="298"/>
      <c r="H1223" s="298">
        <v>0.2</v>
      </c>
      <c r="I1223" s="399">
        <f t="shared" si="111"/>
        <v>4.0599999999999996</v>
      </c>
      <c r="J1223" s="374"/>
      <c r="K1223" s="1199" t="s">
        <v>2167</v>
      </c>
      <c r="L1223" s="376"/>
      <c r="M1223" s="376"/>
      <c r="N1223" s="376"/>
      <c r="O1223" s="376"/>
      <c r="P1223" s="376"/>
    </row>
    <row r="1224" spans="1:16" s="377" customFormat="1" ht="17.25" outlineLevel="1">
      <c r="A1224" s="541"/>
      <c r="B1224" s="312"/>
      <c r="C1224" s="313"/>
      <c r="D1224" s="323"/>
      <c r="E1224" s="298"/>
      <c r="F1224" s="298"/>
      <c r="G1224" s="298"/>
      <c r="H1224" s="298"/>
      <c r="I1224" s="399" t="str">
        <f t="shared" si="111"/>
        <v/>
      </c>
      <c r="J1224" s="374"/>
      <c r="K1224" s="1199" t="s">
        <v>2167</v>
      </c>
      <c r="L1224" s="376"/>
      <c r="M1224" s="376"/>
      <c r="N1224" s="376"/>
      <c r="O1224" s="376"/>
      <c r="P1224" s="376"/>
    </row>
    <row r="1225" spans="1:16" s="408" customFormat="1" ht="51.75" outlineLevel="1">
      <c r="A1225" s="549"/>
      <c r="B1225" s="324" t="s">
        <v>797</v>
      </c>
      <c r="C1225" s="322"/>
      <c r="D1225" s="323"/>
      <c r="E1225" s="323"/>
      <c r="F1225" s="323"/>
      <c r="G1225" s="323"/>
      <c r="H1225" s="323"/>
      <c r="I1225" s="399" t="str">
        <f t="shared" si="111"/>
        <v/>
      </c>
      <c r="J1225" s="478"/>
      <c r="K1225" s="1199"/>
      <c r="L1225" s="407"/>
      <c r="M1225" s="407"/>
      <c r="N1225" s="407"/>
      <c r="O1225" s="407"/>
      <c r="P1225" s="407"/>
    </row>
    <row r="1226" spans="1:16" s="408" customFormat="1" ht="34.5" outlineLevel="1">
      <c r="A1226" s="549"/>
      <c r="B1226" s="324" t="s">
        <v>791</v>
      </c>
      <c r="C1226" s="322" t="s">
        <v>1</v>
      </c>
      <c r="D1226" s="323">
        <v>-1</v>
      </c>
      <c r="E1226" s="323">
        <v>1</v>
      </c>
      <c r="F1226" s="323">
        <f>3.14*3</f>
        <v>9.42</v>
      </c>
      <c r="G1226" s="323"/>
      <c r="H1226" s="323">
        <v>0.2</v>
      </c>
      <c r="I1226" s="399">
        <f t="shared" si="111"/>
        <v>-1.88</v>
      </c>
      <c r="J1226" s="478"/>
      <c r="K1226" s="1199" t="s">
        <v>2167</v>
      </c>
      <c r="L1226" s="407"/>
      <c r="M1226" s="407"/>
      <c r="N1226" s="407"/>
      <c r="O1226" s="407"/>
      <c r="P1226" s="407"/>
    </row>
    <row r="1227" spans="1:16" s="408" customFormat="1" ht="17.25" outlineLevel="1">
      <c r="A1227" s="549"/>
      <c r="B1227" s="322" t="s">
        <v>792</v>
      </c>
      <c r="C1227" s="322" t="s">
        <v>1</v>
      </c>
      <c r="D1227" s="323">
        <v>-1</v>
      </c>
      <c r="E1227" s="323">
        <v>1</v>
      </c>
      <c r="F1227" s="326">
        <f>3.14*2.54</f>
        <v>7.9756</v>
      </c>
      <c r="G1227" s="323"/>
      <c r="H1227" s="323">
        <v>0.2</v>
      </c>
      <c r="I1227" s="399">
        <f t="shared" si="111"/>
        <v>-1.6</v>
      </c>
      <c r="J1227" s="478"/>
      <c r="K1227" s="1199" t="s">
        <v>2167</v>
      </c>
      <c r="L1227" s="407"/>
      <c r="M1227" s="407"/>
      <c r="N1227" s="407"/>
      <c r="O1227" s="407"/>
      <c r="P1227" s="407"/>
    </row>
    <row r="1228" spans="1:16" s="408" customFormat="1" ht="17.25" outlineLevel="1">
      <c r="A1228" s="549"/>
      <c r="B1228" s="322" t="s">
        <v>736</v>
      </c>
      <c r="C1228" s="322" t="s">
        <v>1</v>
      </c>
      <c r="D1228" s="323">
        <v>-1</v>
      </c>
      <c r="E1228" s="323">
        <v>1</v>
      </c>
      <c r="F1228" s="323">
        <f>3.14*3</f>
        <v>9.42</v>
      </c>
      <c r="G1228" s="323"/>
      <c r="H1228" s="323">
        <v>0.2</v>
      </c>
      <c r="I1228" s="399">
        <f t="shared" si="111"/>
        <v>-1.88</v>
      </c>
      <c r="J1228" s="478"/>
      <c r="K1228" s="1199" t="s">
        <v>2167</v>
      </c>
      <c r="L1228" s="407"/>
      <c r="M1228" s="407"/>
      <c r="N1228" s="407"/>
      <c r="O1228" s="407"/>
      <c r="P1228" s="407"/>
    </row>
    <row r="1229" spans="1:16" s="408" customFormat="1" ht="17.25" outlineLevel="1">
      <c r="A1229" s="549"/>
      <c r="B1229" s="322" t="s">
        <v>792</v>
      </c>
      <c r="C1229" s="322" t="s">
        <v>1</v>
      </c>
      <c r="D1229" s="323">
        <v>-1</v>
      </c>
      <c r="E1229" s="323">
        <v>1</v>
      </c>
      <c r="F1229" s="326">
        <f>3.14*2.54</f>
        <v>7.9756</v>
      </c>
      <c r="G1229" s="323"/>
      <c r="H1229" s="323">
        <v>0.2</v>
      </c>
      <c r="I1229" s="399">
        <f t="shared" si="111"/>
        <v>-1.6</v>
      </c>
      <c r="J1229" s="478"/>
      <c r="K1229" s="1199" t="s">
        <v>2167</v>
      </c>
      <c r="L1229" s="407"/>
      <c r="M1229" s="407"/>
      <c r="N1229" s="407"/>
      <c r="O1229" s="407"/>
      <c r="P1229" s="407"/>
    </row>
    <row r="1230" spans="1:16" s="408" customFormat="1" ht="17.25" outlineLevel="1">
      <c r="A1230" s="549"/>
      <c r="B1230" s="322" t="s">
        <v>737</v>
      </c>
      <c r="C1230" s="322" t="s">
        <v>1</v>
      </c>
      <c r="D1230" s="323">
        <v>-1</v>
      </c>
      <c r="E1230" s="323">
        <v>1</v>
      </c>
      <c r="F1230" s="323">
        <f>3.14*3.7</f>
        <v>11.618</v>
      </c>
      <c r="G1230" s="323"/>
      <c r="H1230" s="323">
        <v>0.2</v>
      </c>
      <c r="I1230" s="399">
        <f t="shared" si="111"/>
        <v>-2.3199999999999998</v>
      </c>
      <c r="J1230" s="478"/>
      <c r="K1230" s="1199" t="s">
        <v>2167</v>
      </c>
      <c r="L1230" s="407"/>
      <c r="M1230" s="407"/>
      <c r="N1230" s="407"/>
      <c r="O1230" s="407"/>
      <c r="P1230" s="407"/>
    </row>
    <row r="1231" spans="1:16" s="408" customFormat="1" ht="17.25" outlineLevel="1">
      <c r="A1231" s="549"/>
      <c r="B1231" s="322" t="s">
        <v>793</v>
      </c>
      <c r="C1231" s="322" t="s">
        <v>1</v>
      </c>
      <c r="D1231" s="323">
        <v>-1</v>
      </c>
      <c r="E1231" s="323">
        <v>1</v>
      </c>
      <c r="F1231" s="326">
        <f>3.14*3.24</f>
        <v>10.1736</v>
      </c>
      <c r="G1231" s="323"/>
      <c r="H1231" s="323">
        <v>0.2</v>
      </c>
      <c r="I1231" s="399">
        <f t="shared" si="111"/>
        <v>-2.0299999999999998</v>
      </c>
      <c r="J1231" s="478"/>
      <c r="K1231" s="1199" t="s">
        <v>2167</v>
      </c>
      <c r="L1231" s="407"/>
      <c r="M1231" s="407"/>
      <c r="N1231" s="407"/>
      <c r="O1231" s="407"/>
      <c r="P1231" s="407"/>
    </row>
    <row r="1232" spans="1:16" s="408" customFormat="1" ht="17.25" outlineLevel="1">
      <c r="A1232" s="549"/>
      <c r="B1232" s="322" t="s">
        <v>738</v>
      </c>
      <c r="C1232" s="322" t="s">
        <v>1</v>
      </c>
      <c r="D1232" s="323">
        <v>-1</v>
      </c>
      <c r="E1232" s="323">
        <v>1</v>
      </c>
      <c r="F1232" s="323">
        <f>3.14*3</f>
        <v>9.42</v>
      </c>
      <c r="G1232" s="323"/>
      <c r="H1232" s="323">
        <v>0.2</v>
      </c>
      <c r="I1232" s="399">
        <f t="shared" si="111"/>
        <v>-1.88</v>
      </c>
      <c r="J1232" s="478"/>
      <c r="K1232" s="1199" t="s">
        <v>2167</v>
      </c>
      <c r="L1232" s="407"/>
      <c r="M1232" s="407"/>
      <c r="N1232" s="407"/>
      <c r="O1232" s="407"/>
      <c r="P1232" s="407"/>
    </row>
    <row r="1233" spans="1:16" s="408" customFormat="1" ht="17.25" outlineLevel="1">
      <c r="A1233" s="549"/>
      <c r="B1233" s="322" t="s">
        <v>792</v>
      </c>
      <c r="C1233" s="322" t="s">
        <v>1</v>
      </c>
      <c r="D1233" s="323">
        <v>-1</v>
      </c>
      <c r="E1233" s="323">
        <v>1</v>
      </c>
      <c r="F1233" s="326">
        <f>3.14*2.54</f>
        <v>7.9756</v>
      </c>
      <c r="G1233" s="323"/>
      <c r="H1233" s="323">
        <v>0.2</v>
      </c>
      <c r="I1233" s="399">
        <f t="shared" si="111"/>
        <v>-1.6</v>
      </c>
      <c r="J1233" s="478"/>
      <c r="K1233" s="1199" t="s">
        <v>2167</v>
      </c>
      <c r="L1233" s="407"/>
      <c r="M1233" s="407"/>
      <c r="N1233" s="407"/>
      <c r="O1233" s="407"/>
      <c r="P1233" s="407"/>
    </row>
    <row r="1234" spans="1:16" s="408" customFormat="1" ht="17.25" outlineLevel="1">
      <c r="A1234" s="549"/>
      <c r="B1234" s="322" t="s">
        <v>739</v>
      </c>
      <c r="C1234" s="322" t="s">
        <v>1</v>
      </c>
      <c r="D1234" s="323">
        <v>-1</v>
      </c>
      <c r="E1234" s="323">
        <v>1</v>
      </c>
      <c r="F1234" s="323">
        <v>8.5660000000000007</v>
      </c>
      <c r="G1234" s="323"/>
      <c r="H1234" s="323">
        <v>0.2</v>
      </c>
      <c r="I1234" s="399">
        <f t="shared" si="111"/>
        <v>-1.71</v>
      </c>
      <c r="J1234" s="478"/>
      <c r="K1234" s="1199" t="s">
        <v>2167</v>
      </c>
      <c r="L1234" s="407"/>
      <c r="M1234" s="407"/>
      <c r="N1234" s="407"/>
      <c r="O1234" s="407"/>
      <c r="P1234" s="407"/>
    </row>
    <row r="1235" spans="1:16" s="408" customFormat="1" ht="17.25" outlineLevel="1">
      <c r="A1235" s="549"/>
      <c r="B1235" s="322" t="s">
        <v>792</v>
      </c>
      <c r="C1235" s="322" t="s">
        <v>1</v>
      </c>
      <c r="D1235" s="323">
        <v>-1</v>
      </c>
      <c r="E1235" s="323">
        <v>1</v>
      </c>
      <c r="F1235" s="326">
        <f>3.14*2.54</f>
        <v>7.9756</v>
      </c>
      <c r="G1235" s="323"/>
      <c r="H1235" s="323">
        <v>0.2</v>
      </c>
      <c r="I1235" s="399">
        <f t="shared" si="111"/>
        <v>-1.6</v>
      </c>
      <c r="J1235" s="478"/>
      <c r="K1235" s="1199" t="s">
        <v>2167</v>
      </c>
      <c r="L1235" s="407"/>
      <c r="M1235" s="407"/>
      <c r="N1235" s="407"/>
      <c r="O1235" s="407"/>
      <c r="P1235" s="407"/>
    </row>
    <row r="1236" spans="1:16" s="408" customFormat="1" ht="17.25" outlineLevel="1">
      <c r="A1236" s="549"/>
      <c r="B1236" s="322" t="s">
        <v>740</v>
      </c>
      <c r="C1236" s="322" t="s">
        <v>1</v>
      </c>
      <c r="D1236" s="323">
        <v>-1</v>
      </c>
      <c r="E1236" s="323">
        <v>1</v>
      </c>
      <c r="F1236" s="618">
        <f>3.14*2.7</f>
        <v>8.4780000000000015</v>
      </c>
      <c r="G1236" s="323"/>
      <c r="H1236" s="323">
        <v>0.2</v>
      </c>
      <c r="I1236" s="399">
        <f t="shared" si="111"/>
        <v>-1.7</v>
      </c>
      <c r="J1236" s="478"/>
      <c r="K1236" s="1199" t="s">
        <v>2167</v>
      </c>
      <c r="L1236" s="407"/>
      <c r="M1236" s="407"/>
      <c r="N1236" s="407"/>
      <c r="O1236" s="407"/>
      <c r="P1236" s="407"/>
    </row>
    <row r="1237" spans="1:16" s="408" customFormat="1" ht="17.25" outlineLevel="1">
      <c r="A1237" s="549"/>
      <c r="B1237" s="322" t="s">
        <v>794</v>
      </c>
      <c r="C1237" s="322" t="s">
        <v>1</v>
      </c>
      <c r="D1237" s="323">
        <v>-1</v>
      </c>
      <c r="E1237" s="323">
        <v>1</v>
      </c>
      <c r="F1237" s="619">
        <f>3.14*2.24</f>
        <v>7.0336000000000007</v>
      </c>
      <c r="G1237" s="323"/>
      <c r="H1237" s="323">
        <v>0.2</v>
      </c>
      <c r="I1237" s="399">
        <f t="shared" si="111"/>
        <v>-1.41</v>
      </c>
      <c r="J1237" s="478"/>
      <c r="K1237" s="1199" t="s">
        <v>2167</v>
      </c>
      <c r="L1237" s="407"/>
      <c r="M1237" s="407"/>
      <c r="N1237" s="407"/>
      <c r="O1237" s="407"/>
      <c r="P1237" s="407"/>
    </row>
    <row r="1238" spans="1:16" s="408" customFormat="1" ht="17.25" outlineLevel="1">
      <c r="A1238" s="549"/>
      <c r="B1238" s="322" t="s">
        <v>741</v>
      </c>
      <c r="C1238" s="322" t="s">
        <v>1</v>
      </c>
      <c r="D1238" s="323">
        <v>-1</v>
      </c>
      <c r="E1238" s="323">
        <v>1</v>
      </c>
      <c r="F1238" s="618">
        <f t="shared" ref="F1238:F1252" si="113">3.14*3</f>
        <v>9.42</v>
      </c>
      <c r="G1238" s="323"/>
      <c r="H1238" s="323">
        <v>0.2</v>
      </c>
      <c r="I1238" s="399">
        <f t="shared" si="111"/>
        <v>-1.88</v>
      </c>
      <c r="J1238" s="478"/>
      <c r="K1238" s="1199" t="s">
        <v>2167</v>
      </c>
      <c r="L1238" s="407"/>
      <c r="M1238" s="407"/>
      <c r="N1238" s="407"/>
      <c r="O1238" s="407"/>
      <c r="P1238" s="407"/>
    </row>
    <row r="1239" spans="1:16" s="408" customFormat="1" ht="17.25" outlineLevel="1">
      <c r="A1239" s="549"/>
      <c r="B1239" s="322" t="s">
        <v>792</v>
      </c>
      <c r="C1239" s="322" t="s">
        <v>1</v>
      </c>
      <c r="D1239" s="323">
        <v>-1</v>
      </c>
      <c r="E1239" s="323">
        <v>1</v>
      </c>
      <c r="F1239" s="619">
        <f>3.14*2.54</f>
        <v>7.9756</v>
      </c>
      <c r="G1239" s="323"/>
      <c r="H1239" s="323">
        <v>0.2</v>
      </c>
      <c r="I1239" s="399">
        <f t="shared" si="111"/>
        <v>-1.6</v>
      </c>
      <c r="J1239" s="478"/>
      <c r="K1239" s="1199" t="s">
        <v>2167</v>
      </c>
      <c r="L1239" s="407"/>
      <c r="M1239" s="407"/>
      <c r="N1239" s="407"/>
      <c r="O1239" s="407"/>
      <c r="P1239" s="407"/>
    </row>
    <row r="1240" spans="1:16" s="408" customFormat="1" ht="17.25" outlineLevel="1">
      <c r="A1240" s="549"/>
      <c r="B1240" s="322" t="s">
        <v>742</v>
      </c>
      <c r="C1240" s="322" t="s">
        <v>1</v>
      </c>
      <c r="D1240" s="323">
        <v>-1</v>
      </c>
      <c r="E1240" s="323">
        <v>1</v>
      </c>
      <c r="F1240" s="618">
        <f t="shared" si="113"/>
        <v>9.42</v>
      </c>
      <c r="G1240" s="323"/>
      <c r="H1240" s="323">
        <v>0.2</v>
      </c>
      <c r="I1240" s="399">
        <f t="shared" si="111"/>
        <v>-1.88</v>
      </c>
      <c r="J1240" s="478"/>
      <c r="K1240" s="1199" t="s">
        <v>2167</v>
      </c>
      <c r="L1240" s="407"/>
      <c r="M1240" s="407"/>
      <c r="N1240" s="407"/>
      <c r="O1240" s="407"/>
      <c r="P1240" s="407"/>
    </row>
    <row r="1241" spans="1:16" s="408" customFormat="1" ht="17.25" outlineLevel="1">
      <c r="A1241" s="549"/>
      <c r="B1241" s="322" t="s">
        <v>792</v>
      </c>
      <c r="C1241" s="322" t="s">
        <v>1</v>
      </c>
      <c r="D1241" s="323">
        <v>-1</v>
      </c>
      <c r="E1241" s="323">
        <v>1</v>
      </c>
      <c r="F1241" s="619">
        <f>3.14*2.54</f>
        <v>7.9756</v>
      </c>
      <c r="G1241" s="323"/>
      <c r="H1241" s="323">
        <v>0.2</v>
      </c>
      <c r="I1241" s="399">
        <f t="shared" si="111"/>
        <v>-1.6</v>
      </c>
      <c r="J1241" s="478"/>
      <c r="K1241" s="1199" t="s">
        <v>2167</v>
      </c>
      <c r="L1241" s="407"/>
      <c r="M1241" s="407"/>
      <c r="N1241" s="407"/>
      <c r="O1241" s="407"/>
      <c r="P1241" s="407"/>
    </row>
    <row r="1242" spans="1:16" s="408" customFormat="1" ht="17.25" outlineLevel="1">
      <c r="A1242" s="549"/>
      <c r="B1242" s="322" t="s">
        <v>743</v>
      </c>
      <c r="C1242" s="322" t="s">
        <v>1</v>
      </c>
      <c r="D1242" s="323">
        <v>-1</v>
      </c>
      <c r="E1242" s="323">
        <v>1</v>
      </c>
      <c r="F1242" s="618">
        <f t="shared" si="113"/>
        <v>9.42</v>
      </c>
      <c r="G1242" s="323"/>
      <c r="H1242" s="323">
        <v>0.2</v>
      </c>
      <c r="I1242" s="399">
        <f t="shared" si="111"/>
        <v>-1.88</v>
      </c>
      <c r="J1242" s="478"/>
      <c r="K1242" s="1199" t="s">
        <v>2167</v>
      </c>
      <c r="L1242" s="407"/>
      <c r="M1242" s="407"/>
      <c r="N1242" s="407"/>
      <c r="O1242" s="407"/>
      <c r="P1242" s="407"/>
    </row>
    <row r="1243" spans="1:16" s="408" customFormat="1" ht="17.25" outlineLevel="1">
      <c r="A1243" s="549"/>
      <c r="B1243" s="322" t="s">
        <v>792</v>
      </c>
      <c r="C1243" s="322" t="s">
        <v>1</v>
      </c>
      <c r="D1243" s="323">
        <v>-1</v>
      </c>
      <c r="E1243" s="323">
        <v>1</v>
      </c>
      <c r="F1243" s="619">
        <f>3.14*2.54</f>
        <v>7.9756</v>
      </c>
      <c r="G1243" s="323"/>
      <c r="H1243" s="323">
        <v>0.2</v>
      </c>
      <c r="I1243" s="399">
        <f t="shared" si="111"/>
        <v>-1.6</v>
      </c>
      <c r="J1243" s="478"/>
      <c r="K1243" s="1199" t="s">
        <v>2167</v>
      </c>
      <c r="L1243" s="407"/>
      <c r="M1243" s="407"/>
      <c r="N1243" s="407"/>
      <c r="O1243" s="407"/>
      <c r="P1243" s="407"/>
    </row>
    <row r="1244" spans="1:16" s="408" customFormat="1" ht="17.25" outlineLevel="1">
      <c r="A1244" s="549"/>
      <c r="B1244" s="322" t="s">
        <v>744</v>
      </c>
      <c r="C1244" s="322" t="s">
        <v>1</v>
      </c>
      <c r="D1244" s="323">
        <v>-1</v>
      </c>
      <c r="E1244" s="323">
        <v>1</v>
      </c>
      <c r="F1244" s="618">
        <f t="shared" si="113"/>
        <v>9.42</v>
      </c>
      <c r="G1244" s="323"/>
      <c r="H1244" s="323">
        <v>0.2</v>
      </c>
      <c r="I1244" s="399">
        <f t="shared" si="111"/>
        <v>-1.88</v>
      </c>
      <c r="J1244" s="478"/>
      <c r="K1244" s="1199" t="s">
        <v>2167</v>
      </c>
      <c r="L1244" s="407"/>
      <c r="M1244" s="407"/>
      <c r="N1244" s="407"/>
      <c r="O1244" s="407"/>
      <c r="P1244" s="407"/>
    </row>
    <row r="1245" spans="1:16" s="408" customFormat="1" ht="17.25" outlineLevel="1">
      <c r="A1245" s="549"/>
      <c r="B1245" s="322" t="s">
        <v>792</v>
      </c>
      <c r="C1245" s="322" t="s">
        <v>1</v>
      </c>
      <c r="D1245" s="323">
        <v>-1</v>
      </c>
      <c r="E1245" s="323">
        <v>1</v>
      </c>
      <c r="F1245" s="619">
        <f>3.14*2.54</f>
        <v>7.9756</v>
      </c>
      <c r="G1245" s="323"/>
      <c r="H1245" s="323">
        <v>0.2</v>
      </c>
      <c r="I1245" s="399">
        <f t="shared" si="111"/>
        <v>-1.6</v>
      </c>
      <c r="J1245" s="478"/>
      <c r="K1245" s="1199" t="s">
        <v>2167</v>
      </c>
      <c r="L1245" s="407"/>
      <c r="M1245" s="407"/>
      <c r="N1245" s="407"/>
      <c r="O1245" s="407"/>
      <c r="P1245" s="407"/>
    </row>
    <row r="1246" spans="1:16" s="408" customFormat="1" ht="17.25" outlineLevel="1">
      <c r="A1246" s="549"/>
      <c r="B1246" s="322" t="s">
        <v>745</v>
      </c>
      <c r="C1246" s="322" t="s">
        <v>1</v>
      </c>
      <c r="D1246" s="323">
        <v>-1</v>
      </c>
      <c r="E1246" s="323">
        <v>1</v>
      </c>
      <c r="F1246" s="618">
        <f t="shared" si="113"/>
        <v>9.42</v>
      </c>
      <c r="G1246" s="323"/>
      <c r="H1246" s="323">
        <v>0.2</v>
      </c>
      <c r="I1246" s="399">
        <f t="shared" si="111"/>
        <v>-1.88</v>
      </c>
      <c r="J1246" s="478"/>
      <c r="K1246" s="1199" t="s">
        <v>2167</v>
      </c>
      <c r="L1246" s="407"/>
      <c r="M1246" s="407"/>
      <c r="N1246" s="407"/>
      <c r="O1246" s="407"/>
      <c r="P1246" s="407"/>
    </row>
    <row r="1247" spans="1:16" s="408" customFormat="1" ht="17.25" outlineLevel="1">
      <c r="A1247" s="549"/>
      <c r="B1247" s="322" t="s">
        <v>792</v>
      </c>
      <c r="C1247" s="322" t="s">
        <v>1</v>
      </c>
      <c r="D1247" s="323">
        <v>-1</v>
      </c>
      <c r="E1247" s="323">
        <v>1</v>
      </c>
      <c r="F1247" s="619">
        <f>3.14*2.54</f>
        <v>7.9756</v>
      </c>
      <c r="G1247" s="323"/>
      <c r="H1247" s="323">
        <v>0.2</v>
      </c>
      <c r="I1247" s="399">
        <f t="shared" si="111"/>
        <v>-1.6</v>
      </c>
      <c r="J1247" s="478"/>
      <c r="K1247" s="1199" t="s">
        <v>2167</v>
      </c>
      <c r="L1247" s="407"/>
      <c r="M1247" s="407"/>
      <c r="N1247" s="407"/>
      <c r="O1247" s="407"/>
      <c r="P1247" s="407"/>
    </row>
    <row r="1248" spans="1:16" s="408" customFormat="1" ht="17.25" outlineLevel="1">
      <c r="A1248" s="549"/>
      <c r="B1248" s="322" t="s">
        <v>746</v>
      </c>
      <c r="C1248" s="322" t="s">
        <v>1</v>
      </c>
      <c r="D1248" s="323">
        <v>-1</v>
      </c>
      <c r="E1248" s="323">
        <v>1</v>
      </c>
      <c r="F1248" s="618">
        <f t="shared" si="113"/>
        <v>9.42</v>
      </c>
      <c r="G1248" s="323"/>
      <c r="H1248" s="323">
        <v>0.2</v>
      </c>
      <c r="I1248" s="399">
        <f t="shared" ref="I1248:I1259" si="114">IF(D1248&lt;&gt;0,ROUND(PRODUCT(E1248:H1248)*D1248,2),"")</f>
        <v>-1.88</v>
      </c>
      <c r="J1248" s="478"/>
      <c r="K1248" s="1199" t="s">
        <v>2167</v>
      </c>
      <c r="L1248" s="407"/>
      <c r="M1248" s="407"/>
      <c r="N1248" s="407"/>
      <c r="O1248" s="407"/>
      <c r="P1248" s="407"/>
    </row>
    <row r="1249" spans="1:16" s="408" customFormat="1" ht="17.25" outlineLevel="1">
      <c r="A1249" s="549"/>
      <c r="B1249" s="322" t="s">
        <v>792</v>
      </c>
      <c r="C1249" s="322" t="s">
        <v>1</v>
      </c>
      <c r="D1249" s="323">
        <v>-1</v>
      </c>
      <c r="E1249" s="323">
        <v>1</v>
      </c>
      <c r="F1249" s="619">
        <f>3.14*2.54</f>
        <v>7.9756</v>
      </c>
      <c r="G1249" s="323"/>
      <c r="H1249" s="323">
        <v>0.2</v>
      </c>
      <c r="I1249" s="399">
        <f t="shared" si="114"/>
        <v>-1.6</v>
      </c>
      <c r="J1249" s="478"/>
      <c r="K1249" s="1199" t="s">
        <v>2167</v>
      </c>
      <c r="L1249" s="407"/>
      <c r="M1249" s="407"/>
      <c r="N1249" s="407"/>
      <c r="O1249" s="407"/>
      <c r="P1249" s="407"/>
    </row>
    <row r="1250" spans="1:16" s="408" customFormat="1" ht="17.25" outlineLevel="1">
      <c r="A1250" s="549"/>
      <c r="B1250" s="322" t="s">
        <v>747</v>
      </c>
      <c r="C1250" s="322" t="s">
        <v>1</v>
      </c>
      <c r="D1250" s="323">
        <v>-1</v>
      </c>
      <c r="E1250" s="323">
        <v>1</v>
      </c>
      <c r="F1250" s="618">
        <f t="shared" si="113"/>
        <v>9.42</v>
      </c>
      <c r="G1250" s="323"/>
      <c r="H1250" s="323">
        <v>0.2</v>
      </c>
      <c r="I1250" s="399">
        <f t="shared" si="114"/>
        <v>-1.88</v>
      </c>
      <c r="J1250" s="478"/>
      <c r="K1250" s="1199" t="s">
        <v>2167</v>
      </c>
      <c r="L1250" s="407"/>
      <c r="M1250" s="407"/>
      <c r="N1250" s="407"/>
      <c r="O1250" s="407"/>
      <c r="P1250" s="407"/>
    </row>
    <row r="1251" spans="1:16" s="408" customFormat="1" ht="17.25" outlineLevel="1">
      <c r="A1251" s="549"/>
      <c r="B1251" s="322" t="s">
        <v>792</v>
      </c>
      <c r="C1251" s="322" t="s">
        <v>1</v>
      </c>
      <c r="D1251" s="323">
        <v>-1</v>
      </c>
      <c r="E1251" s="323">
        <v>1</v>
      </c>
      <c r="F1251" s="619">
        <f>3.14*2.54</f>
        <v>7.9756</v>
      </c>
      <c r="G1251" s="323"/>
      <c r="H1251" s="323">
        <v>0.2</v>
      </c>
      <c r="I1251" s="399">
        <f t="shared" si="114"/>
        <v>-1.6</v>
      </c>
      <c r="J1251" s="478"/>
      <c r="K1251" s="1199" t="s">
        <v>2167</v>
      </c>
      <c r="L1251" s="407"/>
      <c r="M1251" s="407"/>
      <c r="N1251" s="407"/>
      <c r="O1251" s="407"/>
      <c r="P1251" s="407"/>
    </row>
    <row r="1252" spans="1:16" s="408" customFormat="1" ht="17.25" outlineLevel="1">
      <c r="A1252" s="549"/>
      <c r="B1252" s="322" t="s">
        <v>748</v>
      </c>
      <c r="C1252" s="322" t="s">
        <v>1</v>
      </c>
      <c r="D1252" s="323">
        <v>-1</v>
      </c>
      <c r="E1252" s="323">
        <v>1</v>
      </c>
      <c r="F1252" s="618">
        <f t="shared" si="113"/>
        <v>9.42</v>
      </c>
      <c r="G1252" s="323"/>
      <c r="H1252" s="323">
        <v>0.2</v>
      </c>
      <c r="I1252" s="399">
        <f t="shared" si="114"/>
        <v>-1.88</v>
      </c>
      <c r="J1252" s="478"/>
      <c r="K1252" s="1199" t="s">
        <v>2167</v>
      </c>
      <c r="L1252" s="407"/>
      <c r="M1252" s="407"/>
      <c r="N1252" s="407"/>
      <c r="O1252" s="407"/>
      <c r="P1252" s="407"/>
    </row>
    <row r="1253" spans="1:16" s="377" customFormat="1" ht="17.25" outlineLevel="1">
      <c r="A1253" s="312"/>
      <c r="B1253" s="312"/>
      <c r="C1253" s="313"/>
      <c r="D1253" s="323"/>
      <c r="E1253" s="298"/>
      <c r="F1253" s="298"/>
      <c r="G1253" s="298"/>
      <c r="H1253" s="298"/>
      <c r="I1253" s="399" t="str">
        <f t="shared" si="114"/>
        <v/>
      </c>
      <c r="J1253" s="374"/>
      <c r="K1253" s="1199"/>
      <c r="L1253" s="376"/>
      <c r="M1253" s="376"/>
      <c r="N1253" s="376"/>
      <c r="O1253" s="376"/>
      <c r="P1253" s="376"/>
    </row>
    <row r="1254" spans="1:16" s="165" customFormat="1" ht="17.25" outlineLevel="1">
      <c r="A1254" s="160"/>
      <c r="B1254" s="313" t="s">
        <v>784</v>
      </c>
      <c r="C1254" s="313"/>
      <c r="D1254" s="368"/>
      <c r="E1254" s="298"/>
      <c r="F1254" s="298"/>
      <c r="G1254" s="298"/>
      <c r="H1254" s="298"/>
      <c r="I1254" s="399" t="str">
        <f t="shared" si="114"/>
        <v/>
      </c>
      <c r="J1254" s="162"/>
      <c r="K1254" s="1199"/>
      <c r="L1254" s="164"/>
      <c r="M1254" s="164"/>
      <c r="N1254" s="164"/>
      <c r="O1254" s="164"/>
      <c r="P1254" s="164"/>
    </row>
    <row r="1255" spans="1:16" s="165" customFormat="1" ht="17.25" outlineLevel="1">
      <c r="A1255" s="160"/>
      <c r="B1255" s="313"/>
      <c r="C1255" s="313"/>
      <c r="D1255" s="368"/>
      <c r="E1255" s="298"/>
      <c r="F1255" s="298"/>
      <c r="G1255" s="298"/>
      <c r="H1255" s="298"/>
      <c r="I1255" s="399" t="str">
        <f t="shared" si="114"/>
        <v/>
      </c>
      <c r="J1255" s="162"/>
      <c r="K1255" s="1199"/>
      <c r="L1255" s="164"/>
      <c r="M1255" s="164"/>
      <c r="N1255" s="164"/>
      <c r="O1255" s="164"/>
      <c r="P1255" s="164"/>
    </row>
    <row r="1256" spans="1:16" s="165" customFormat="1" ht="34.5" outlineLevel="1">
      <c r="A1256" s="160"/>
      <c r="B1256" s="312" t="s">
        <v>1267</v>
      </c>
      <c r="C1256" s="322" t="s">
        <v>1</v>
      </c>
      <c r="D1256" s="368">
        <v>2</v>
      </c>
      <c r="E1256" s="298">
        <v>4</v>
      </c>
      <c r="F1256" s="298">
        <v>0.75</v>
      </c>
      <c r="G1256" s="298"/>
      <c r="H1256" s="298">
        <v>0.85</v>
      </c>
      <c r="I1256" s="399">
        <f t="shared" si="114"/>
        <v>5.0999999999999996</v>
      </c>
      <c r="J1256" s="162"/>
      <c r="K1256" s="1199" t="s">
        <v>2167</v>
      </c>
      <c r="L1256" s="164"/>
      <c r="M1256" s="164"/>
      <c r="N1256" s="164"/>
      <c r="O1256" s="164"/>
      <c r="P1256" s="164"/>
    </row>
    <row r="1257" spans="1:16" s="165" customFormat="1" ht="17.25" outlineLevel="1">
      <c r="A1257" s="160"/>
      <c r="B1257" s="313"/>
      <c r="C1257" s="322"/>
      <c r="D1257" s="368"/>
      <c r="E1257" s="298"/>
      <c r="F1257" s="298"/>
      <c r="G1257" s="298"/>
      <c r="H1257" s="298"/>
      <c r="I1257" s="399" t="str">
        <f t="shared" si="114"/>
        <v/>
      </c>
      <c r="J1257" s="162"/>
      <c r="K1257" s="1199"/>
      <c r="L1257" s="164"/>
      <c r="M1257" s="164"/>
      <c r="N1257" s="164"/>
      <c r="O1257" s="164"/>
      <c r="P1257" s="164"/>
    </row>
    <row r="1258" spans="1:16" s="377" customFormat="1" ht="51.75" outlineLevel="1">
      <c r="A1258" s="414"/>
      <c r="B1258" s="312" t="s">
        <v>1268</v>
      </c>
      <c r="C1258" s="313"/>
      <c r="D1258" s="368"/>
      <c r="E1258" s="298"/>
      <c r="F1258" s="540"/>
      <c r="G1258" s="298"/>
      <c r="H1258" s="540"/>
      <c r="I1258" s="399" t="str">
        <f t="shared" si="114"/>
        <v/>
      </c>
      <c r="J1258" s="394"/>
      <c r="K1258" s="399"/>
      <c r="L1258" s="376"/>
      <c r="M1258" s="376"/>
      <c r="N1258" s="376"/>
      <c r="O1258" s="376"/>
      <c r="P1258" s="376"/>
    </row>
    <row r="1259" spans="1:16" s="165" customFormat="1" ht="17.25" outlineLevel="1">
      <c r="A1259" s="160"/>
      <c r="B1259" s="453" t="s">
        <v>1137</v>
      </c>
      <c r="C1259" s="322" t="s">
        <v>1</v>
      </c>
      <c r="D1259" s="368">
        <v>1</v>
      </c>
      <c r="E1259" s="298">
        <v>4</v>
      </c>
      <c r="F1259" s="540">
        <v>1</v>
      </c>
      <c r="G1259" s="298"/>
      <c r="H1259" s="540">
        <v>1</v>
      </c>
      <c r="I1259" s="399">
        <f t="shared" si="114"/>
        <v>4</v>
      </c>
      <c r="J1259" s="166"/>
      <c r="K1259" s="563" t="s">
        <v>2167</v>
      </c>
      <c r="L1259" s="164"/>
      <c r="M1259" s="164"/>
      <c r="N1259" s="164"/>
      <c r="O1259" s="164"/>
      <c r="P1259" s="164"/>
    </row>
    <row r="1260" spans="1:16" s="42" customFormat="1">
      <c r="A1260" s="41"/>
      <c r="B1260" s="34" t="s">
        <v>85</v>
      </c>
      <c r="C1260" s="48" t="s">
        <v>1</v>
      </c>
      <c r="D1260" s="655"/>
      <c r="E1260" s="656"/>
      <c r="F1260" s="654"/>
      <c r="G1260" s="654"/>
      <c r="H1260" s="654"/>
      <c r="I1260" s="46" t="str">
        <f t="shared" ref="I1260" si="115">IF(D1260&lt;&gt;0,ROUND(PRODUCT(E1260:H1260)*D1260,2),"")</f>
        <v/>
      </c>
      <c r="J1260" s="232">
        <f>SUM(I1119:I1260)</f>
        <v>142.92000000000007</v>
      </c>
      <c r="K1260" s="43"/>
      <c r="L1260" s="44"/>
      <c r="M1260" s="44"/>
      <c r="N1260" s="44"/>
      <c r="O1260" s="44"/>
      <c r="P1260" s="44"/>
    </row>
    <row r="1261" spans="1:16" s="39" customFormat="1">
      <c r="A1261" s="259"/>
      <c r="B1261" s="33" t="s">
        <v>86</v>
      </c>
      <c r="C1261" s="23" t="s">
        <v>1</v>
      </c>
      <c r="D1261" s="649"/>
      <c r="E1261" s="16"/>
      <c r="F1261" s="1"/>
      <c r="G1261" s="1"/>
      <c r="H1261" s="1"/>
      <c r="I1261" s="46" t="str">
        <f t="shared" ref="I1261" si="116">IF(D1261&lt;&gt;0,ROUND(PRODUCT(E1261:H1261)*D1261,2),"")</f>
        <v/>
      </c>
      <c r="J1261" s="36">
        <f>SUM(I1261:I1261)</f>
        <v>0</v>
      </c>
      <c r="K1261" s="35" t="s">
        <v>1690</v>
      </c>
      <c r="L1261" s="40"/>
      <c r="M1261" s="40"/>
      <c r="N1261" s="40"/>
      <c r="O1261" s="40"/>
      <c r="P1261" s="40"/>
    </row>
    <row r="1262" spans="1:16">
      <c r="A1262" s="259"/>
      <c r="E1262" s="16"/>
      <c r="F1262" s="1"/>
      <c r="G1262" s="1"/>
      <c r="H1262" s="1"/>
      <c r="J1262" s="31">
        <f>SUM(J1260:J1261)</f>
        <v>142.92000000000007</v>
      </c>
      <c r="K1262" s="17"/>
    </row>
    <row r="1263" spans="1:16" s="42" customFormat="1" ht="45">
      <c r="A1263" s="378" t="s">
        <v>2163</v>
      </c>
      <c r="B1263" s="1403" t="s">
        <v>2162</v>
      </c>
      <c r="C1263" s="1416" t="s">
        <v>1</v>
      </c>
      <c r="D1263" s="1417">
        <v>1</v>
      </c>
      <c r="E1263" s="1418"/>
      <c r="G1263" s="1419"/>
      <c r="H1263" s="1419"/>
      <c r="I1263" s="47"/>
      <c r="J1263" s="1420">
        <f>SUMIF($K$1120:$K$1260,"4A",$I$1120:$I$1260)</f>
        <v>125.86000000000007</v>
      </c>
      <c r="K1263" s="43"/>
      <c r="L1263" s="44"/>
      <c r="M1263" s="44"/>
      <c r="N1263" s="44"/>
      <c r="O1263" s="44"/>
      <c r="P1263" s="44"/>
    </row>
    <row r="1264" spans="1:16" s="42" customFormat="1" ht="30">
      <c r="A1264" s="378" t="s">
        <v>2164</v>
      </c>
      <c r="B1264" s="1403" t="s">
        <v>2165</v>
      </c>
      <c r="C1264" s="1416" t="s">
        <v>1</v>
      </c>
      <c r="D1264" s="1417">
        <v>1</v>
      </c>
      <c r="E1264" s="1418"/>
      <c r="G1264" s="1419"/>
      <c r="H1264" s="1419"/>
      <c r="I1264" s="47"/>
      <c r="J1264" s="1420">
        <f>SUMIF($K$1120:$K$1260,"4B",$I$1120:$I$1260)</f>
        <v>17.059999999999999</v>
      </c>
      <c r="K1264" s="43"/>
      <c r="L1264" s="44"/>
      <c r="M1264" s="44"/>
      <c r="N1264" s="44"/>
      <c r="O1264" s="44"/>
      <c r="P1264" s="44"/>
    </row>
    <row r="1265" spans="1:14" s="408" customFormat="1" ht="17.25">
      <c r="A1265" s="420" t="s">
        <v>2160</v>
      </c>
      <c r="B1265" s="421" t="s">
        <v>1929</v>
      </c>
      <c r="C1265" s="422"/>
      <c r="D1265" s="422"/>
      <c r="E1265" s="436"/>
      <c r="F1265" s="436"/>
      <c r="G1265" s="436"/>
      <c r="H1265" s="436"/>
      <c r="I1265" s="436"/>
      <c r="J1265" s="423"/>
      <c r="K1265" s="424"/>
      <c r="L1265" s="407"/>
    </row>
    <row r="1266" spans="1:14" s="384" customFormat="1" ht="17.25">
      <c r="A1266" s="378"/>
      <c r="B1266" s="429" t="s">
        <v>85</v>
      </c>
      <c r="C1266" s="465" t="s">
        <v>1930</v>
      </c>
      <c r="D1266" s="638"/>
      <c r="E1266" s="345"/>
      <c r="F1266" s="626"/>
      <c r="G1266" s="626"/>
      <c r="H1266" s="626"/>
      <c r="I1266" s="445" t="str">
        <f t="shared" ref="I1266:I1310" si="117">IF(D1266&lt;&gt;0,ROUND(PRODUCT(E1266:H1266)*D1266,2),"")</f>
        <v/>
      </c>
      <c r="J1266" s="482">
        <f>SUM(I1265:I1266)</f>
        <v>0</v>
      </c>
      <c r="K1266" s="435"/>
      <c r="L1266" s="383"/>
      <c r="M1266" s="383"/>
      <c r="N1266" s="383"/>
    </row>
    <row r="1267" spans="1:14" s="408" customFormat="1" ht="17.25">
      <c r="A1267" s="414"/>
      <c r="B1267" s="425"/>
      <c r="C1267" s="296" t="s">
        <v>1930</v>
      </c>
      <c r="D1267" s="392"/>
      <c r="E1267" s="165"/>
      <c r="F1267" s="310"/>
      <c r="G1267" s="310"/>
      <c r="H1267" s="310"/>
      <c r="I1267" s="394" t="str">
        <f t="shared" si="117"/>
        <v/>
      </c>
      <c r="J1267" s="478"/>
      <c r="K1267" s="367"/>
      <c r="L1267" s="407"/>
      <c r="M1267" s="407"/>
      <c r="N1267" s="407"/>
    </row>
    <row r="1268" spans="1:14" s="408" customFormat="1" ht="34.5">
      <c r="A1268" s="414"/>
      <c r="B1268" s="425" t="s">
        <v>2095</v>
      </c>
      <c r="C1268" s="296"/>
      <c r="D1268" s="392"/>
      <c r="E1268" s="165"/>
      <c r="F1268" s="310"/>
      <c r="G1268" s="310"/>
      <c r="H1268" s="310"/>
      <c r="I1268" s="394" t="str">
        <f t="shared" si="117"/>
        <v/>
      </c>
      <c r="J1268" s="478"/>
      <c r="K1268" s="367"/>
      <c r="L1268" s="407"/>
      <c r="M1268" s="407"/>
      <c r="N1268" s="407"/>
    </row>
    <row r="1269" spans="1:14" s="408" customFormat="1" ht="17.25">
      <c r="A1269" s="414"/>
      <c r="B1269" s="425"/>
      <c r="C1269" s="296"/>
      <c r="D1269" s="392"/>
      <c r="E1269" s="165"/>
      <c r="F1269" s="310"/>
      <c r="G1269" s="310"/>
      <c r="H1269" s="310"/>
      <c r="I1269" s="394" t="str">
        <f t="shared" si="117"/>
        <v/>
      </c>
      <c r="J1269" s="478"/>
      <c r="K1269" s="367"/>
      <c r="L1269" s="407"/>
      <c r="M1269" s="407"/>
      <c r="N1269" s="407"/>
    </row>
    <row r="1270" spans="1:14" s="408" customFormat="1" ht="17.25">
      <c r="A1270" s="414">
        <v>1</v>
      </c>
      <c r="B1270" s="425" t="s">
        <v>2096</v>
      </c>
      <c r="C1270" s="296" t="s">
        <v>1821</v>
      </c>
      <c r="D1270" s="392">
        <v>3</v>
      </c>
      <c r="E1270" s="165">
        <v>1</v>
      </c>
      <c r="F1270" s="1069">
        <v>0.88400000000000001</v>
      </c>
      <c r="G1270" s="310">
        <v>0.89</v>
      </c>
      <c r="H1270" s="310"/>
      <c r="I1270" s="394"/>
      <c r="J1270" s="478"/>
      <c r="K1270" s="367"/>
      <c r="L1270" s="407"/>
      <c r="M1270" s="407"/>
      <c r="N1270" s="407"/>
    </row>
    <row r="1271" spans="1:14" s="408" customFormat="1" ht="17.25">
      <c r="A1271" s="414">
        <v>2</v>
      </c>
      <c r="B1271" s="425" t="s">
        <v>2081</v>
      </c>
      <c r="C1271" s="296" t="s">
        <v>1821</v>
      </c>
      <c r="D1271" s="392">
        <v>2</v>
      </c>
      <c r="E1271" s="165">
        <v>1</v>
      </c>
      <c r="F1271" s="310">
        <v>0.9</v>
      </c>
      <c r="G1271" s="310">
        <v>0.9</v>
      </c>
      <c r="H1271" s="310"/>
      <c r="I1271" s="394"/>
      <c r="J1271" s="478"/>
      <c r="K1271" s="367"/>
      <c r="L1271" s="407"/>
      <c r="M1271" s="407"/>
      <c r="N1271" s="407"/>
    </row>
    <row r="1272" spans="1:14" s="408" customFormat="1" ht="17.25">
      <c r="A1272" s="414">
        <v>3</v>
      </c>
      <c r="B1272" s="425" t="s">
        <v>2082</v>
      </c>
      <c r="C1272" s="296" t="s">
        <v>1821</v>
      </c>
      <c r="D1272" s="392">
        <v>1</v>
      </c>
      <c r="E1272" s="165">
        <v>1</v>
      </c>
      <c r="F1272" s="310">
        <v>1.1499999999999999</v>
      </c>
      <c r="G1272" s="310">
        <v>1.1499999999999999</v>
      </c>
      <c r="H1272" s="310"/>
      <c r="I1272" s="394"/>
      <c r="J1272" s="478"/>
      <c r="K1272" s="367"/>
      <c r="L1272" s="407"/>
      <c r="M1272" s="407"/>
      <c r="N1272" s="407"/>
    </row>
    <row r="1273" spans="1:14" s="408" customFormat="1" ht="17.25">
      <c r="A1273" s="414">
        <v>4</v>
      </c>
      <c r="B1273" s="425" t="s">
        <v>2083</v>
      </c>
      <c r="C1273" s="296" t="s">
        <v>1821</v>
      </c>
      <c r="D1273" s="392">
        <v>15</v>
      </c>
      <c r="E1273" s="165">
        <v>1</v>
      </c>
      <c r="F1273" s="310">
        <v>0.6</v>
      </c>
      <c r="G1273" s="310">
        <v>0.6</v>
      </c>
      <c r="H1273" s="310"/>
      <c r="I1273" s="394"/>
      <c r="J1273" s="478"/>
      <c r="K1273" s="367"/>
      <c r="L1273" s="407"/>
      <c r="M1273" s="407"/>
      <c r="N1273" s="407"/>
    </row>
    <row r="1274" spans="1:14" s="408" customFormat="1" ht="17.25">
      <c r="A1274" s="414"/>
      <c r="B1274" s="425"/>
      <c r="C1274" s="296"/>
      <c r="D1274" s="392"/>
      <c r="E1274" s="165"/>
      <c r="F1274" s="310"/>
      <c r="G1274" s="310"/>
      <c r="H1274" s="310"/>
      <c r="I1274" s="394"/>
      <c r="J1274" s="478"/>
      <c r="K1274" s="367"/>
      <c r="L1274" s="407"/>
      <c r="M1274" s="407"/>
      <c r="N1274" s="407"/>
    </row>
    <row r="1275" spans="1:14" s="408" customFormat="1" ht="17.25">
      <c r="A1275" s="414"/>
      <c r="B1275" s="425"/>
      <c r="C1275" s="296"/>
      <c r="D1275" s="392"/>
      <c r="E1275" s="165"/>
      <c r="F1275" s="310"/>
      <c r="G1275" s="310"/>
      <c r="H1275" s="310"/>
      <c r="I1275" s="394" t="str">
        <f t="shared" si="117"/>
        <v/>
      </c>
      <c r="J1275" s="478"/>
      <c r="K1275" s="367"/>
      <c r="L1275" s="407"/>
      <c r="M1275" s="407"/>
      <c r="N1275" s="407"/>
    </row>
    <row r="1276" spans="1:14" s="408" customFormat="1" ht="34.5">
      <c r="A1276" s="414">
        <v>1</v>
      </c>
      <c r="B1276" s="425" t="s">
        <v>1931</v>
      </c>
      <c r="C1276" s="296"/>
      <c r="D1276" s="392"/>
      <c r="E1276" s="165"/>
      <c r="F1276" s="310" t="s">
        <v>48</v>
      </c>
      <c r="G1276" s="310" t="s">
        <v>33</v>
      </c>
      <c r="H1276" s="310" t="s">
        <v>1932</v>
      </c>
      <c r="I1276" s="394" t="str">
        <f t="shared" si="117"/>
        <v/>
      </c>
      <c r="J1276" s="478"/>
      <c r="K1276" s="367"/>
      <c r="L1276" s="407"/>
      <c r="M1276" s="407"/>
      <c r="N1276" s="407"/>
    </row>
    <row r="1277" spans="1:14" s="408" customFormat="1" ht="17.25">
      <c r="A1277" s="414"/>
      <c r="B1277" s="425" t="s">
        <v>1942</v>
      </c>
      <c r="C1277" s="296" t="s">
        <v>1930</v>
      </c>
      <c r="D1277" s="392">
        <v>3</v>
      </c>
      <c r="E1277" s="165">
        <v>4</v>
      </c>
      <c r="F1277" s="1069">
        <v>0.88400000000000001</v>
      </c>
      <c r="G1277" s="310"/>
      <c r="H1277" s="310">
        <v>3.06</v>
      </c>
      <c r="I1277" s="399">
        <f t="shared" si="117"/>
        <v>32.46</v>
      </c>
      <c r="J1277" s="478"/>
      <c r="K1277" s="367"/>
      <c r="L1277" s="407"/>
      <c r="M1277" s="407"/>
      <c r="N1277" s="407"/>
    </row>
    <row r="1278" spans="1:14" s="408" customFormat="1" ht="17.25">
      <c r="A1278" s="414"/>
      <c r="B1278" s="425" t="s">
        <v>1934</v>
      </c>
      <c r="C1278" s="296" t="s">
        <v>1930</v>
      </c>
      <c r="D1278" s="392">
        <v>3</v>
      </c>
      <c r="E1278" s="165">
        <v>1</v>
      </c>
      <c r="F1278" s="310">
        <v>0.89</v>
      </c>
      <c r="G1278" s="310">
        <v>0.89</v>
      </c>
      <c r="H1278" s="310">
        <v>47.1</v>
      </c>
      <c r="I1278" s="399">
        <f t="shared" si="117"/>
        <v>111.92</v>
      </c>
      <c r="J1278" s="478"/>
      <c r="K1278" s="367"/>
      <c r="L1278" s="407"/>
      <c r="M1278" s="407"/>
      <c r="N1278" s="407"/>
    </row>
    <row r="1279" spans="1:14" s="408" customFormat="1" ht="17.25">
      <c r="A1279" s="414"/>
      <c r="B1279" s="425" t="s">
        <v>1935</v>
      </c>
      <c r="C1279" s="296" t="s">
        <v>1930</v>
      </c>
      <c r="D1279" s="392">
        <v>3</v>
      </c>
      <c r="E1279" s="165">
        <v>2</v>
      </c>
      <c r="F1279" s="310">
        <v>7.4999999999999997E-2</v>
      </c>
      <c r="G1279" s="310">
        <v>7.4999999999999997E-2</v>
      </c>
      <c r="H1279" s="310">
        <v>47.1</v>
      </c>
      <c r="I1279" s="399">
        <f t="shared" si="117"/>
        <v>1.59</v>
      </c>
      <c r="J1279" s="478"/>
      <c r="K1279" s="367"/>
      <c r="L1279" s="407"/>
      <c r="M1279" s="407"/>
      <c r="N1279" s="407"/>
    </row>
    <row r="1280" spans="1:14" s="408" customFormat="1" ht="17.25">
      <c r="A1280" s="414"/>
      <c r="B1280" s="425" t="s">
        <v>1936</v>
      </c>
      <c r="C1280" s="296" t="s">
        <v>1930</v>
      </c>
      <c r="D1280" s="392">
        <v>3</v>
      </c>
      <c r="E1280" s="165">
        <v>4</v>
      </c>
      <c r="F1280" s="310">
        <v>0.1</v>
      </c>
      <c r="G1280" s="310"/>
      <c r="H1280" s="310">
        <v>3.06</v>
      </c>
      <c r="I1280" s="399">
        <f t="shared" si="117"/>
        <v>3.67</v>
      </c>
      <c r="J1280" s="478"/>
      <c r="K1280" s="367"/>
      <c r="L1280" s="407"/>
      <c r="M1280" s="407"/>
      <c r="N1280" s="407"/>
    </row>
    <row r="1281" spans="1:14" s="408" customFormat="1" ht="17.25">
      <c r="A1281" s="414"/>
      <c r="B1281" s="425"/>
      <c r="C1281" s="296"/>
      <c r="D1281" s="392"/>
      <c r="E1281" s="165"/>
      <c r="F1281" s="310"/>
      <c r="G1281" s="310"/>
      <c r="H1281" s="310"/>
      <c r="I1281" s="399" t="str">
        <f t="shared" si="117"/>
        <v/>
      </c>
      <c r="J1281" s="478"/>
      <c r="K1281" s="367"/>
      <c r="L1281" s="407"/>
      <c r="M1281" s="407"/>
      <c r="N1281" s="407"/>
    </row>
    <row r="1282" spans="1:14" s="408" customFormat="1" ht="34.5">
      <c r="A1282" s="414">
        <v>2</v>
      </c>
      <c r="B1282" s="425" t="s">
        <v>2097</v>
      </c>
      <c r="C1282" s="296"/>
      <c r="D1282" s="392"/>
      <c r="E1282" s="165"/>
      <c r="F1282" s="310" t="s">
        <v>48</v>
      </c>
      <c r="G1282" s="310" t="s">
        <v>33</v>
      </c>
      <c r="H1282" s="310" t="s">
        <v>1932</v>
      </c>
      <c r="I1282" s="399" t="str">
        <f t="shared" si="117"/>
        <v/>
      </c>
      <c r="J1282" s="478"/>
      <c r="K1282" s="367"/>
      <c r="L1282" s="407"/>
      <c r="M1282" s="407"/>
      <c r="N1282" s="407"/>
    </row>
    <row r="1283" spans="1:14" s="408" customFormat="1" ht="17.25">
      <c r="A1283" s="414"/>
      <c r="B1283" s="425" t="s">
        <v>1942</v>
      </c>
      <c r="C1283" s="296" t="s">
        <v>1930</v>
      </c>
      <c r="D1283" s="392">
        <v>2</v>
      </c>
      <c r="E1283" s="165">
        <v>4</v>
      </c>
      <c r="F1283" s="1069">
        <v>0.89400000000000002</v>
      </c>
      <c r="G1283" s="310"/>
      <c r="H1283" s="310">
        <v>3.06</v>
      </c>
      <c r="I1283" s="399">
        <f t="shared" si="117"/>
        <v>21.89</v>
      </c>
      <c r="J1283" s="478"/>
      <c r="K1283" s="367"/>
      <c r="L1283" s="407"/>
      <c r="M1283" s="407"/>
      <c r="N1283" s="407"/>
    </row>
    <row r="1284" spans="1:14" s="408" customFormat="1" ht="17.25">
      <c r="A1284" s="414"/>
      <c r="B1284" s="425" t="s">
        <v>1934</v>
      </c>
      <c r="C1284" s="296" t="s">
        <v>1930</v>
      </c>
      <c r="D1284" s="392">
        <v>2</v>
      </c>
      <c r="E1284" s="165">
        <v>1</v>
      </c>
      <c r="F1284" s="310">
        <v>0.9</v>
      </c>
      <c r="G1284" s="310">
        <v>0.9</v>
      </c>
      <c r="H1284" s="310">
        <v>47.1</v>
      </c>
      <c r="I1284" s="399">
        <f t="shared" si="117"/>
        <v>76.3</v>
      </c>
      <c r="J1284" s="478"/>
      <c r="K1284" s="367"/>
      <c r="L1284" s="407"/>
      <c r="M1284" s="407"/>
      <c r="N1284" s="407"/>
    </row>
    <row r="1285" spans="1:14" s="408" customFormat="1" ht="17.25">
      <c r="A1285" s="414"/>
      <c r="B1285" s="425" t="s">
        <v>1935</v>
      </c>
      <c r="C1285" s="296" t="s">
        <v>1930</v>
      </c>
      <c r="D1285" s="392">
        <v>2</v>
      </c>
      <c r="E1285" s="165">
        <v>2</v>
      </c>
      <c r="F1285" s="310">
        <v>7.4999999999999997E-2</v>
      </c>
      <c r="G1285" s="310">
        <v>7.4999999999999997E-2</v>
      </c>
      <c r="H1285" s="310">
        <v>47.1</v>
      </c>
      <c r="I1285" s="399">
        <f t="shared" si="117"/>
        <v>1.06</v>
      </c>
      <c r="J1285" s="478"/>
      <c r="K1285" s="367"/>
      <c r="L1285" s="407"/>
      <c r="M1285" s="407"/>
      <c r="N1285" s="407"/>
    </row>
    <row r="1286" spans="1:14" s="408" customFormat="1" ht="17.25">
      <c r="A1286" s="414"/>
      <c r="B1286" s="425" t="s">
        <v>1936</v>
      </c>
      <c r="C1286" s="296" t="s">
        <v>1930</v>
      </c>
      <c r="D1286" s="392">
        <v>2</v>
      </c>
      <c r="E1286" s="165">
        <v>4</v>
      </c>
      <c r="F1286" s="310">
        <v>0.1</v>
      </c>
      <c r="G1286" s="310"/>
      <c r="H1286" s="310">
        <v>3.06</v>
      </c>
      <c r="I1286" s="399">
        <f t="shared" si="117"/>
        <v>2.4500000000000002</v>
      </c>
      <c r="J1286" s="478"/>
      <c r="K1286" s="367"/>
      <c r="L1286" s="407"/>
      <c r="M1286" s="407"/>
      <c r="N1286" s="407"/>
    </row>
    <row r="1287" spans="1:14" s="408" customFormat="1" ht="17.25">
      <c r="A1287" s="414"/>
      <c r="B1287" s="425"/>
      <c r="C1287" s="296"/>
      <c r="D1287" s="392"/>
      <c r="E1287" s="165"/>
      <c r="F1287" s="310"/>
      <c r="G1287" s="310"/>
      <c r="H1287" s="310"/>
      <c r="I1287" s="399" t="str">
        <f t="shared" si="117"/>
        <v/>
      </c>
      <c r="J1287" s="478"/>
      <c r="K1287" s="367"/>
      <c r="L1287" s="407"/>
      <c r="M1287" s="407"/>
      <c r="N1287" s="407"/>
    </row>
    <row r="1288" spans="1:14" s="408" customFormat="1" ht="34.5">
      <c r="A1288" s="414">
        <v>3</v>
      </c>
      <c r="B1288" s="425" t="s">
        <v>2098</v>
      </c>
      <c r="C1288" s="296"/>
      <c r="D1288" s="392"/>
      <c r="E1288" s="165"/>
      <c r="F1288" s="310" t="s">
        <v>48</v>
      </c>
      <c r="G1288" s="310" t="s">
        <v>33</v>
      </c>
      <c r="H1288" s="310" t="s">
        <v>1932</v>
      </c>
      <c r="I1288" s="399" t="str">
        <f t="shared" si="117"/>
        <v/>
      </c>
      <c r="J1288" s="478"/>
      <c r="K1288" s="367"/>
      <c r="L1288" s="407"/>
      <c r="M1288" s="407"/>
      <c r="N1288" s="407"/>
    </row>
    <row r="1289" spans="1:14" s="408" customFormat="1" ht="17.25">
      <c r="A1289" s="414"/>
      <c r="B1289" s="425" t="s">
        <v>1940</v>
      </c>
      <c r="C1289" s="296" t="s">
        <v>1930</v>
      </c>
      <c r="D1289" s="392">
        <v>1</v>
      </c>
      <c r="E1289" s="165">
        <v>4</v>
      </c>
      <c r="F1289" s="1069">
        <v>1.1439999999999999</v>
      </c>
      <c r="G1289" s="310"/>
      <c r="H1289" s="310">
        <v>3.06</v>
      </c>
      <c r="I1289" s="399">
        <f t="shared" si="117"/>
        <v>14</v>
      </c>
      <c r="J1289" s="478"/>
      <c r="K1289" s="367"/>
      <c r="L1289" s="407"/>
      <c r="M1289" s="407"/>
      <c r="N1289" s="407"/>
    </row>
    <row r="1290" spans="1:14" s="408" customFormat="1" ht="17.25">
      <c r="A1290" s="414"/>
      <c r="B1290" s="425" t="s">
        <v>1934</v>
      </c>
      <c r="C1290" s="296" t="s">
        <v>1930</v>
      </c>
      <c r="D1290" s="392">
        <v>1</v>
      </c>
      <c r="E1290" s="165">
        <v>1</v>
      </c>
      <c r="F1290" s="310">
        <v>1.1499999999999999</v>
      </c>
      <c r="G1290" s="310">
        <v>1.1499999999999999</v>
      </c>
      <c r="H1290" s="310">
        <v>47.1</v>
      </c>
      <c r="I1290" s="399">
        <f t="shared" si="117"/>
        <v>62.29</v>
      </c>
      <c r="J1290" s="478"/>
      <c r="K1290" s="367"/>
      <c r="L1290" s="407"/>
      <c r="M1290" s="407"/>
      <c r="N1290" s="407"/>
    </row>
    <row r="1291" spans="1:14" s="408" customFormat="1" ht="17.25">
      <c r="A1291" s="414"/>
      <c r="B1291" s="425" t="s">
        <v>1935</v>
      </c>
      <c r="C1291" s="296" t="s">
        <v>1930</v>
      </c>
      <c r="D1291" s="392">
        <v>1</v>
      </c>
      <c r="E1291" s="165">
        <v>2</v>
      </c>
      <c r="F1291" s="310">
        <v>7.4999999999999997E-2</v>
      </c>
      <c r="G1291" s="310">
        <v>7.4999999999999997E-2</v>
      </c>
      <c r="H1291" s="310">
        <v>47.1</v>
      </c>
      <c r="I1291" s="399">
        <f t="shared" si="117"/>
        <v>0.53</v>
      </c>
      <c r="J1291" s="478"/>
      <c r="K1291" s="367"/>
      <c r="L1291" s="407"/>
      <c r="M1291" s="407"/>
      <c r="N1291" s="407"/>
    </row>
    <row r="1292" spans="1:14" s="408" customFormat="1" ht="17.25">
      <c r="A1292" s="414"/>
      <c r="B1292" s="425" t="s">
        <v>1936</v>
      </c>
      <c r="C1292" s="296" t="s">
        <v>1930</v>
      </c>
      <c r="D1292" s="392">
        <v>1</v>
      </c>
      <c r="E1292" s="165">
        <v>4</v>
      </c>
      <c r="F1292" s="310">
        <v>0.1</v>
      </c>
      <c r="G1292" s="310"/>
      <c r="H1292" s="310">
        <v>3.06</v>
      </c>
      <c r="I1292" s="399">
        <f t="shared" si="117"/>
        <v>1.22</v>
      </c>
      <c r="J1292" s="478"/>
      <c r="K1292" s="367"/>
      <c r="L1292" s="407"/>
      <c r="M1292" s="407"/>
      <c r="N1292" s="407"/>
    </row>
    <row r="1293" spans="1:14" s="408" customFormat="1" ht="17.25">
      <c r="A1293" s="414"/>
      <c r="B1293" s="425"/>
      <c r="C1293" s="296"/>
      <c r="D1293" s="392"/>
      <c r="E1293" s="165"/>
      <c r="F1293" s="310"/>
      <c r="G1293" s="310"/>
      <c r="H1293" s="310"/>
      <c r="I1293" s="399" t="str">
        <f t="shared" si="117"/>
        <v/>
      </c>
      <c r="J1293" s="478"/>
      <c r="K1293" s="367"/>
      <c r="L1293" s="407"/>
      <c r="M1293" s="407"/>
      <c r="N1293" s="407"/>
    </row>
    <row r="1294" spans="1:14" s="408" customFormat="1" ht="34.5">
      <c r="A1294" s="414">
        <v>4</v>
      </c>
      <c r="B1294" s="425" t="s">
        <v>2099</v>
      </c>
      <c r="C1294" s="296"/>
      <c r="D1294" s="392"/>
      <c r="E1294" s="165"/>
      <c r="F1294" s="310" t="s">
        <v>48</v>
      </c>
      <c r="G1294" s="310" t="s">
        <v>33</v>
      </c>
      <c r="H1294" s="310" t="s">
        <v>1932</v>
      </c>
      <c r="I1294" s="399" t="str">
        <f t="shared" si="117"/>
        <v/>
      </c>
      <c r="J1294" s="478"/>
      <c r="K1294" s="367"/>
      <c r="L1294" s="407"/>
      <c r="M1294" s="407"/>
      <c r="N1294" s="407"/>
    </row>
    <row r="1295" spans="1:14" s="408" customFormat="1" ht="17.25">
      <c r="A1295" s="414"/>
      <c r="B1295" s="425" t="s">
        <v>1940</v>
      </c>
      <c r="C1295" s="296" t="s">
        <v>1930</v>
      </c>
      <c r="D1295" s="392">
        <v>1</v>
      </c>
      <c r="E1295" s="165">
        <v>4</v>
      </c>
      <c r="F1295" s="1069">
        <v>0.59399999999999997</v>
      </c>
      <c r="G1295" s="310"/>
      <c r="H1295" s="310">
        <v>3.06</v>
      </c>
      <c r="I1295" s="399">
        <f t="shared" si="117"/>
        <v>7.27</v>
      </c>
      <c r="J1295" s="478"/>
      <c r="K1295" s="367"/>
      <c r="L1295" s="407"/>
      <c r="M1295" s="407"/>
      <c r="N1295" s="407"/>
    </row>
    <row r="1296" spans="1:14" s="408" customFormat="1" ht="17.25">
      <c r="A1296" s="414"/>
      <c r="B1296" s="425" t="s">
        <v>1934</v>
      </c>
      <c r="C1296" s="296" t="s">
        <v>1930</v>
      </c>
      <c r="D1296" s="392">
        <v>1</v>
      </c>
      <c r="E1296" s="165">
        <v>1</v>
      </c>
      <c r="F1296" s="310">
        <v>0.6</v>
      </c>
      <c r="G1296" s="310">
        <v>0.6</v>
      </c>
      <c r="H1296" s="310">
        <v>47.1</v>
      </c>
      <c r="I1296" s="399">
        <f t="shared" si="117"/>
        <v>16.96</v>
      </c>
      <c r="J1296" s="478"/>
      <c r="K1296" s="367"/>
      <c r="L1296" s="407"/>
      <c r="M1296" s="407"/>
      <c r="N1296" s="407"/>
    </row>
    <row r="1297" spans="1:14" s="408" customFormat="1" ht="17.25">
      <c r="A1297" s="414"/>
      <c r="B1297" s="425" t="s">
        <v>1935</v>
      </c>
      <c r="C1297" s="296" t="s">
        <v>1930</v>
      </c>
      <c r="D1297" s="392">
        <v>1</v>
      </c>
      <c r="E1297" s="165">
        <v>2</v>
      </c>
      <c r="F1297" s="310">
        <v>7.4999999999999997E-2</v>
      </c>
      <c r="G1297" s="310">
        <v>7.4999999999999997E-2</v>
      </c>
      <c r="H1297" s="310">
        <v>47.1</v>
      </c>
      <c r="I1297" s="399">
        <f t="shared" si="117"/>
        <v>0.53</v>
      </c>
      <c r="J1297" s="478"/>
      <c r="K1297" s="367"/>
      <c r="L1297" s="407"/>
      <c r="M1297" s="407"/>
      <c r="N1297" s="407"/>
    </row>
    <row r="1298" spans="1:14" s="408" customFormat="1" ht="17.25">
      <c r="A1298" s="414"/>
      <c r="B1298" s="425" t="s">
        <v>1936</v>
      </c>
      <c r="C1298" s="296" t="s">
        <v>1930</v>
      </c>
      <c r="D1298" s="392">
        <v>1</v>
      </c>
      <c r="E1298" s="165">
        <v>4</v>
      </c>
      <c r="F1298" s="310">
        <v>0.1</v>
      </c>
      <c r="G1298" s="310"/>
      <c r="H1298" s="310">
        <v>3.06</v>
      </c>
      <c r="I1298" s="399">
        <f t="shared" si="117"/>
        <v>1.22</v>
      </c>
      <c r="J1298" s="478"/>
      <c r="K1298" s="367"/>
      <c r="L1298" s="407"/>
      <c r="M1298" s="407"/>
      <c r="N1298" s="407"/>
    </row>
    <row r="1299" spans="1:14" s="408" customFormat="1" ht="17.25">
      <c r="A1299" s="420"/>
      <c r="B1299" s="421" t="s">
        <v>1961</v>
      </c>
      <c r="C1299" s="422"/>
      <c r="D1299" s="422"/>
      <c r="E1299" s="436"/>
      <c r="F1299" s="436"/>
      <c r="G1299" s="436"/>
      <c r="H1299" s="436"/>
      <c r="I1299" s="436"/>
      <c r="J1299" s="423"/>
      <c r="K1299" s="424"/>
      <c r="L1299" s="407"/>
    </row>
    <row r="1300" spans="1:14" s="408" customFormat="1" ht="34.5">
      <c r="A1300" s="414"/>
      <c r="B1300" s="425" t="s">
        <v>2100</v>
      </c>
      <c r="C1300" s="296" t="s">
        <v>1821</v>
      </c>
      <c r="D1300" s="392">
        <v>2</v>
      </c>
      <c r="E1300" s="165"/>
      <c r="F1300" s="310"/>
      <c r="G1300" s="310"/>
      <c r="H1300" s="310"/>
      <c r="I1300" s="394">
        <f t="shared" ref="I1300:I1301" si="118">IF(D1300&lt;&gt;0,ROUND(PRODUCT(E1300:H1300)*D1300,2),"")</f>
        <v>0</v>
      </c>
      <c r="J1300" s="478"/>
      <c r="K1300" s="367"/>
      <c r="L1300" s="407"/>
      <c r="M1300" s="407"/>
      <c r="N1300" s="407"/>
    </row>
    <row r="1301" spans="1:14" s="408" customFormat="1" ht="17.25">
      <c r="A1301" s="414"/>
      <c r="B1301" s="425"/>
      <c r="C1301" s="296"/>
      <c r="D1301" s="392"/>
      <c r="E1301" s="165"/>
      <c r="F1301" s="310"/>
      <c r="G1301" s="310"/>
      <c r="H1301" s="310"/>
      <c r="I1301" s="394" t="str">
        <f t="shared" si="118"/>
        <v/>
      </c>
      <c r="J1301" s="478"/>
      <c r="K1301" s="367"/>
      <c r="L1301" s="407"/>
      <c r="M1301" s="407"/>
      <c r="N1301" s="407"/>
    </row>
    <row r="1302" spans="1:14" s="408" customFormat="1" ht="34.5">
      <c r="A1302" s="414">
        <v>1</v>
      </c>
      <c r="B1302" s="425" t="s">
        <v>1946</v>
      </c>
      <c r="C1302" s="296"/>
      <c r="D1302" s="392"/>
      <c r="E1302" s="165"/>
      <c r="F1302" s="310" t="s">
        <v>48</v>
      </c>
      <c r="G1302" s="310"/>
      <c r="H1302" s="310" t="s">
        <v>1932</v>
      </c>
      <c r="I1302" s="394"/>
      <c r="J1302" s="478"/>
      <c r="K1302" s="367"/>
      <c r="L1302" s="407"/>
      <c r="M1302" s="407"/>
      <c r="N1302" s="407"/>
    </row>
    <row r="1303" spans="1:14" s="408" customFormat="1" ht="17.25">
      <c r="A1303" s="414"/>
      <c r="B1303" s="425" t="s">
        <v>1942</v>
      </c>
      <c r="C1303" s="296" t="s">
        <v>1930</v>
      </c>
      <c r="D1303" s="392">
        <v>2</v>
      </c>
      <c r="E1303" s="165">
        <v>2</v>
      </c>
      <c r="F1303" s="310">
        <v>0.75</v>
      </c>
      <c r="G1303" s="310"/>
      <c r="H1303" s="310">
        <v>3.06</v>
      </c>
      <c r="I1303" s="399">
        <f t="shared" ref="I1303:I1308" si="119">IF(D1303&lt;&gt;0,ROUND(PRODUCT(E1303:H1303)*D1303,2),"")</f>
        <v>9.18</v>
      </c>
      <c r="J1303" s="478"/>
      <c r="K1303" s="367"/>
      <c r="L1303" s="407"/>
      <c r="M1303" s="407"/>
      <c r="N1303" s="407"/>
    </row>
    <row r="1304" spans="1:14" s="408" customFormat="1" ht="17.25">
      <c r="A1304" s="414"/>
      <c r="B1304" s="425"/>
      <c r="C1304" s="296" t="s">
        <v>1930</v>
      </c>
      <c r="D1304" s="392">
        <v>2</v>
      </c>
      <c r="E1304" s="165">
        <v>2</v>
      </c>
      <c r="F1304" s="310">
        <v>0.75</v>
      </c>
      <c r="G1304" s="310"/>
      <c r="H1304" s="310">
        <v>3.06</v>
      </c>
      <c r="I1304" s="399">
        <f t="shared" si="119"/>
        <v>9.18</v>
      </c>
      <c r="J1304" s="478"/>
      <c r="K1304" s="367"/>
      <c r="L1304" s="407"/>
      <c r="M1304" s="407"/>
      <c r="N1304" s="407"/>
    </row>
    <row r="1305" spans="1:14" s="408" customFormat="1" ht="17.25">
      <c r="A1305" s="414"/>
      <c r="B1305" s="425" t="s">
        <v>1956</v>
      </c>
      <c r="C1305" s="296" t="s">
        <v>1930</v>
      </c>
      <c r="D1305" s="392">
        <v>2</v>
      </c>
      <c r="E1305" s="165">
        <v>2</v>
      </c>
      <c r="F1305" s="1069">
        <v>0.73799999999999999</v>
      </c>
      <c r="G1305" s="310"/>
      <c r="H1305" s="310">
        <v>3.06</v>
      </c>
      <c r="I1305" s="399">
        <f t="shared" si="119"/>
        <v>9.0299999999999994</v>
      </c>
      <c r="J1305" s="478"/>
      <c r="K1305" s="367"/>
      <c r="L1305" s="407"/>
      <c r="M1305" s="407"/>
      <c r="N1305" s="407"/>
    </row>
    <row r="1306" spans="1:14" s="408" customFormat="1" ht="17.25">
      <c r="A1306" s="414"/>
      <c r="B1306" s="425" t="s">
        <v>1934</v>
      </c>
      <c r="C1306" s="296" t="s">
        <v>1930</v>
      </c>
      <c r="D1306" s="392">
        <v>2</v>
      </c>
      <c r="E1306" s="165">
        <v>1</v>
      </c>
      <c r="F1306" s="310">
        <v>0.75</v>
      </c>
      <c r="G1306" s="310">
        <v>0.75</v>
      </c>
      <c r="H1306" s="310">
        <v>47.1</v>
      </c>
      <c r="I1306" s="399">
        <f t="shared" si="119"/>
        <v>52.99</v>
      </c>
      <c r="J1306" s="478"/>
      <c r="K1306" s="367"/>
      <c r="L1306" s="407"/>
      <c r="M1306" s="407"/>
      <c r="N1306" s="407"/>
    </row>
    <row r="1307" spans="1:14" s="408" customFormat="1" ht="17.25">
      <c r="A1307" s="414"/>
      <c r="B1307" s="425" t="s">
        <v>1935</v>
      </c>
      <c r="C1307" s="296" t="s">
        <v>1930</v>
      </c>
      <c r="D1307" s="392">
        <v>2</v>
      </c>
      <c r="E1307" s="165">
        <v>2</v>
      </c>
      <c r="F1307" s="310">
        <v>7.4999999999999997E-2</v>
      </c>
      <c r="G1307" s="310">
        <v>7.4999999999999997E-2</v>
      </c>
      <c r="H1307" s="310">
        <v>47.1</v>
      </c>
      <c r="I1307" s="399">
        <f t="shared" si="119"/>
        <v>1.06</v>
      </c>
      <c r="J1307" s="478"/>
      <c r="K1307" s="367"/>
      <c r="L1307" s="407"/>
      <c r="M1307" s="407"/>
      <c r="N1307" s="407"/>
    </row>
    <row r="1308" spans="1:14" s="408" customFormat="1" ht="17.25">
      <c r="A1308" s="414"/>
      <c r="B1308" s="425" t="s">
        <v>1936</v>
      </c>
      <c r="C1308" s="296" t="s">
        <v>1930</v>
      </c>
      <c r="D1308" s="392">
        <v>2</v>
      </c>
      <c r="E1308" s="165">
        <v>4</v>
      </c>
      <c r="F1308" s="310">
        <v>0.1</v>
      </c>
      <c r="G1308" s="310"/>
      <c r="H1308" s="310">
        <v>3.06</v>
      </c>
      <c r="I1308" s="399">
        <f t="shared" si="119"/>
        <v>2.4500000000000002</v>
      </c>
      <c r="J1308" s="478"/>
      <c r="K1308" s="367"/>
      <c r="L1308" s="407"/>
      <c r="M1308" s="407"/>
      <c r="N1308" s="407"/>
    </row>
    <row r="1309" spans="1:14" s="408" customFormat="1" ht="17.25">
      <c r="A1309" s="414"/>
      <c r="B1309" s="425"/>
      <c r="C1309" s="296"/>
      <c r="D1309" s="392"/>
      <c r="E1309" s="165"/>
      <c r="F1309" s="310"/>
      <c r="G1309" s="310"/>
      <c r="H1309" s="310"/>
      <c r="I1309" s="394" t="str">
        <f t="shared" si="117"/>
        <v/>
      </c>
      <c r="J1309" s="478"/>
      <c r="K1309" s="367"/>
      <c r="L1309" s="407"/>
      <c r="M1309" s="407"/>
      <c r="N1309" s="407"/>
    </row>
    <row r="1310" spans="1:14" s="377" customFormat="1" ht="17.25">
      <c r="A1310" s="617"/>
      <c r="B1310" s="453" t="s">
        <v>928</v>
      </c>
      <c r="C1310" s="388" t="s">
        <v>1930</v>
      </c>
      <c r="D1310" s="392"/>
      <c r="E1310" s="165"/>
      <c r="F1310" s="310"/>
      <c r="G1310" s="310"/>
      <c r="H1310" s="310"/>
      <c r="I1310" s="394" t="str">
        <f t="shared" si="117"/>
        <v/>
      </c>
      <c r="J1310" s="403">
        <f>SUM(I1267:I1310)</f>
        <v>439.24999999999994</v>
      </c>
      <c r="K1310" s="454" t="s">
        <v>804</v>
      </c>
      <c r="L1310" s="376"/>
      <c r="M1310" s="376"/>
      <c r="N1310" s="376"/>
    </row>
    <row r="1311" spans="1:14" s="408" customFormat="1" ht="17.25">
      <c r="A1311" s="617"/>
      <c r="B1311" s="425"/>
      <c r="C1311" s="414"/>
      <c r="D1311" s="392"/>
      <c r="E1311" s="165"/>
      <c r="F1311" s="310"/>
      <c r="G1311" s="310"/>
      <c r="H1311" s="310"/>
      <c r="I1311" s="477"/>
      <c r="J1311" s="432">
        <f>SUM(J1266:J1310)</f>
        <v>439.24999999999994</v>
      </c>
      <c r="K1311" s="405"/>
      <c r="L1311" s="407"/>
      <c r="M1311" s="407"/>
      <c r="N1311" s="407"/>
    </row>
    <row r="1312" spans="1:14" s="408" customFormat="1" ht="110.25">
      <c r="A1312" s="420" t="s">
        <v>2101</v>
      </c>
      <c r="B1312" s="1421" t="s">
        <v>2102</v>
      </c>
      <c r="C1312" s="422"/>
      <c r="D1312" s="422"/>
      <c r="E1312" s="436"/>
      <c r="F1312" s="436"/>
      <c r="G1312" s="436"/>
      <c r="H1312" s="436"/>
      <c r="I1312" s="436"/>
      <c r="J1312" s="423"/>
      <c r="K1312" s="424"/>
      <c r="L1312" s="407"/>
    </row>
    <row r="1313" spans="1:14" s="384" customFormat="1" ht="17.25">
      <c r="A1313" s="378"/>
      <c r="B1313" s="429" t="s">
        <v>85</v>
      </c>
      <c r="C1313" s="465" t="s">
        <v>1821</v>
      </c>
      <c r="D1313" s="638"/>
      <c r="E1313" s="345"/>
      <c r="F1313" s="626"/>
      <c r="G1313" s="626"/>
      <c r="H1313" s="626"/>
      <c r="I1313" s="445" t="str">
        <f t="shared" ref="I1313:I1335" si="120">IF(D1313&lt;&gt;0,ROUND(PRODUCT(E1313:H1313)*D1313,2),"")</f>
        <v/>
      </c>
      <c r="J1313" s="482">
        <f>SUM(I1312:I1313)</f>
        <v>0</v>
      </c>
      <c r="K1313" s="435"/>
      <c r="L1313" s="383"/>
      <c r="M1313" s="383"/>
      <c r="N1313" s="383"/>
    </row>
    <row r="1314" spans="1:14" s="408" customFormat="1" ht="17.25">
      <c r="A1314" s="414"/>
      <c r="B1314" s="425"/>
      <c r="C1314" s="296" t="s">
        <v>1821</v>
      </c>
      <c r="D1314" s="392"/>
      <c r="E1314" s="165"/>
      <c r="F1314" s="310"/>
      <c r="G1314" s="310"/>
      <c r="H1314" s="310"/>
      <c r="I1314" s="394" t="str">
        <f t="shared" si="120"/>
        <v/>
      </c>
      <c r="J1314" s="478"/>
      <c r="K1314" s="367"/>
      <c r="L1314" s="407"/>
      <c r="M1314" s="407"/>
      <c r="N1314" s="407"/>
    </row>
    <row r="1315" spans="1:14" s="408" customFormat="1" ht="34.5">
      <c r="A1315" s="414"/>
      <c r="B1315" s="425" t="s">
        <v>2103</v>
      </c>
      <c r="C1315" s="296"/>
      <c r="D1315" s="392"/>
      <c r="E1315" s="165"/>
      <c r="F1315" s="310"/>
      <c r="G1315" s="310"/>
      <c r="H1315" s="310"/>
      <c r="I1315" s="394" t="str">
        <f t="shared" si="120"/>
        <v/>
      </c>
      <c r="J1315" s="478"/>
      <c r="K1315" s="367"/>
      <c r="L1315" s="407"/>
      <c r="M1315" s="407"/>
      <c r="N1315" s="407"/>
    </row>
    <row r="1316" spans="1:14" s="408" customFormat="1" ht="69">
      <c r="A1316" s="414"/>
      <c r="B1316" s="425" t="s">
        <v>2104</v>
      </c>
      <c r="C1316" s="296" t="s">
        <v>1821</v>
      </c>
      <c r="D1316" s="392">
        <v>2</v>
      </c>
      <c r="E1316" s="165">
        <v>91</v>
      </c>
      <c r="F1316" s="310"/>
      <c r="G1316" s="310"/>
      <c r="H1316" s="310"/>
      <c r="I1316" s="1018">
        <f t="shared" si="120"/>
        <v>182</v>
      </c>
      <c r="J1316" s="631"/>
      <c r="K1316" s="367"/>
      <c r="L1316" s="407"/>
      <c r="M1316" s="407"/>
      <c r="N1316" s="407"/>
    </row>
    <row r="1317" spans="1:14" s="408" customFormat="1" ht="34.5">
      <c r="A1317" s="414"/>
      <c r="B1317" s="425" t="s">
        <v>2105</v>
      </c>
      <c r="C1317" s="296" t="s">
        <v>1821</v>
      </c>
      <c r="D1317" s="392">
        <v>2</v>
      </c>
      <c r="E1317" s="165">
        <v>13</v>
      </c>
      <c r="F1317" s="310"/>
      <c r="G1317" s="310"/>
      <c r="H1317" s="310"/>
      <c r="I1317" s="1018">
        <f t="shared" si="120"/>
        <v>26</v>
      </c>
      <c r="J1317" s="631"/>
      <c r="K1317" s="367"/>
      <c r="L1317" s="407"/>
      <c r="M1317" s="407"/>
      <c r="N1317" s="407"/>
    </row>
    <row r="1318" spans="1:14" s="408" customFormat="1" ht="34.5">
      <c r="A1318" s="414"/>
      <c r="B1318" s="425" t="s">
        <v>2106</v>
      </c>
      <c r="C1318" s="296" t="s">
        <v>1821</v>
      </c>
      <c r="D1318" s="392">
        <v>2</v>
      </c>
      <c r="E1318" s="165">
        <v>18</v>
      </c>
      <c r="F1318" s="310"/>
      <c r="G1318" s="310"/>
      <c r="H1318" s="310"/>
      <c r="I1318" s="1018">
        <f t="shared" si="120"/>
        <v>36</v>
      </c>
      <c r="J1318" s="631"/>
      <c r="K1318" s="367"/>
      <c r="L1318" s="407"/>
      <c r="M1318" s="407"/>
      <c r="N1318" s="407"/>
    </row>
    <row r="1319" spans="1:14" s="408" customFormat="1" ht="17.25">
      <c r="A1319" s="414"/>
      <c r="B1319" s="425" t="s">
        <v>2107</v>
      </c>
      <c r="C1319" s="296" t="s">
        <v>1821</v>
      </c>
      <c r="D1319" s="392">
        <v>2</v>
      </c>
      <c r="E1319" s="165">
        <v>13</v>
      </c>
      <c r="F1319" s="310"/>
      <c r="G1319" s="310"/>
      <c r="H1319" s="310"/>
      <c r="I1319" s="1018">
        <f t="shared" si="120"/>
        <v>26</v>
      </c>
      <c r="J1319" s="631"/>
      <c r="K1319" s="367"/>
      <c r="L1319" s="407"/>
      <c r="M1319" s="407"/>
      <c r="N1319" s="407"/>
    </row>
    <row r="1320" spans="1:14" s="408" customFormat="1" ht="17.25">
      <c r="A1320" s="414"/>
      <c r="B1320" s="425" t="s">
        <v>2108</v>
      </c>
      <c r="C1320" s="296" t="s">
        <v>1821</v>
      </c>
      <c r="D1320" s="392">
        <v>2</v>
      </c>
      <c r="E1320" s="165">
        <v>6</v>
      </c>
      <c r="F1320" s="310"/>
      <c r="G1320" s="310"/>
      <c r="H1320" s="310"/>
      <c r="I1320" s="1018">
        <f t="shared" si="120"/>
        <v>12</v>
      </c>
      <c r="J1320" s="631"/>
      <c r="K1320" s="367"/>
      <c r="L1320" s="407"/>
      <c r="M1320" s="407"/>
      <c r="N1320" s="407"/>
    </row>
    <row r="1321" spans="1:14" s="408" customFormat="1" ht="17.25">
      <c r="A1321" s="414"/>
      <c r="B1321" s="425" t="s">
        <v>2109</v>
      </c>
      <c r="C1321" s="296" t="s">
        <v>1821</v>
      </c>
      <c r="D1321" s="392">
        <v>2</v>
      </c>
      <c r="E1321" s="165">
        <v>30</v>
      </c>
      <c r="F1321" s="310"/>
      <c r="G1321" s="310"/>
      <c r="H1321" s="310"/>
      <c r="I1321" s="1018">
        <f t="shared" si="120"/>
        <v>60</v>
      </c>
      <c r="J1321" s="631"/>
      <c r="K1321" s="367"/>
      <c r="L1321" s="407"/>
      <c r="M1321" s="407"/>
      <c r="N1321" s="407"/>
    </row>
    <row r="1322" spans="1:14" s="408" customFormat="1" ht="17.25">
      <c r="A1322" s="414"/>
      <c r="B1322" s="425" t="s">
        <v>2110</v>
      </c>
      <c r="C1322" s="296" t="s">
        <v>1821</v>
      </c>
      <c r="D1322" s="392">
        <v>8</v>
      </c>
      <c r="E1322" s="165">
        <v>3</v>
      </c>
      <c r="F1322" s="310"/>
      <c r="G1322" s="310"/>
      <c r="H1322" s="310"/>
      <c r="I1322" s="1018">
        <f t="shared" si="120"/>
        <v>24</v>
      </c>
      <c r="J1322" s="631"/>
      <c r="K1322" s="367"/>
      <c r="L1322" s="407"/>
      <c r="M1322" s="407"/>
      <c r="N1322" s="407"/>
    </row>
    <row r="1323" spans="1:14" s="408" customFormat="1" ht="17.25">
      <c r="A1323" s="414"/>
      <c r="B1323" s="425"/>
      <c r="C1323" s="296"/>
      <c r="D1323" s="392"/>
      <c r="E1323" s="165"/>
      <c r="F1323" s="310"/>
      <c r="G1323" s="310"/>
      <c r="H1323" s="310"/>
      <c r="I1323" s="1018" t="str">
        <f t="shared" si="120"/>
        <v/>
      </c>
      <c r="J1323" s="631"/>
      <c r="K1323" s="367"/>
      <c r="L1323" s="407"/>
      <c r="M1323" s="407"/>
      <c r="N1323" s="407"/>
    </row>
    <row r="1324" spans="1:14" s="408" customFormat="1" ht="34.5">
      <c r="A1324" s="414"/>
      <c r="B1324" s="425" t="s">
        <v>2111</v>
      </c>
      <c r="C1324" s="296" t="s">
        <v>1821</v>
      </c>
      <c r="D1324" s="392">
        <v>2</v>
      </c>
      <c r="E1324" s="165">
        <v>9</v>
      </c>
      <c r="F1324" s="310"/>
      <c r="G1324" s="310"/>
      <c r="H1324" s="310"/>
      <c r="I1324" s="1018">
        <f t="shared" si="120"/>
        <v>18</v>
      </c>
      <c r="J1324" s="631"/>
      <c r="K1324" s="367"/>
      <c r="L1324" s="407"/>
      <c r="M1324" s="407"/>
      <c r="N1324" s="407"/>
    </row>
    <row r="1325" spans="1:14" s="408" customFormat="1" ht="17.25">
      <c r="A1325" s="414"/>
      <c r="B1325" s="425"/>
      <c r="C1325" s="296"/>
      <c r="D1325" s="392"/>
      <c r="E1325" s="165"/>
      <c r="F1325" s="310"/>
      <c r="G1325" s="310"/>
      <c r="H1325" s="310"/>
      <c r="I1325" s="1018" t="str">
        <f t="shared" si="120"/>
        <v/>
      </c>
      <c r="J1325" s="631"/>
      <c r="K1325" s="367"/>
      <c r="L1325" s="407"/>
      <c r="M1325" s="407"/>
      <c r="N1325" s="407"/>
    </row>
    <row r="1326" spans="1:14" s="408" customFormat="1" ht="17.25">
      <c r="A1326" s="414"/>
      <c r="B1326" s="425" t="s">
        <v>2112</v>
      </c>
      <c r="C1326" s="296"/>
      <c r="D1326" s="392"/>
      <c r="E1326" s="165"/>
      <c r="F1326" s="310"/>
      <c r="G1326" s="310"/>
      <c r="H1326" s="310"/>
      <c r="I1326" s="1018" t="str">
        <f t="shared" si="120"/>
        <v/>
      </c>
      <c r="J1326" s="631"/>
      <c r="K1326" s="367"/>
      <c r="L1326" s="407"/>
      <c r="M1326" s="407"/>
      <c r="N1326" s="407"/>
    </row>
    <row r="1327" spans="1:14" s="408" customFormat="1" ht="51.75">
      <c r="A1327" s="414"/>
      <c r="B1327" s="425" t="s">
        <v>2113</v>
      </c>
      <c r="C1327" s="296" t="s">
        <v>1821</v>
      </c>
      <c r="D1327" s="392">
        <v>1</v>
      </c>
      <c r="E1327" s="165">
        <v>91</v>
      </c>
      <c r="F1327" s="310"/>
      <c r="G1327" s="310"/>
      <c r="H1327" s="310"/>
      <c r="I1327" s="1018">
        <f t="shared" si="120"/>
        <v>91</v>
      </c>
      <c r="J1327" s="631"/>
      <c r="K1327" s="367"/>
      <c r="L1327" s="407"/>
      <c r="M1327" s="407"/>
      <c r="N1327" s="407"/>
    </row>
    <row r="1328" spans="1:14" s="408" customFormat="1" ht="34.5">
      <c r="A1328" s="414"/>
      <c r="B1328" s="425" t="s">
        <v>2105</v>
      </c>
      <c r="C1328" s="296" t="s">
        <v>1821</v>
      </c>
      <c r="D1328" s="392">
        <v>1</v>
      </c>
      <c r="E1328" s="165">
        <v>13</v>
      </c>
      <c r="F1328" s="310"/>
      <c r="G1328" s="310"/>
      <c r="H1328" s="310"/>
      <c r="I1328" s="1018">
        <f t="shared" si="120"/>
        <v>13</v>
      </c>
      <c r="J1328" s="631"/>
      <c r="K1328" s="367"/>
      <c r="L1328" s="407"/>
      <c r="M1328" s="407"/>
      <c r="N1328" s="407"/>
    </row>
    <row r="1329" spans="1:16" s="408" customFormat="1" ht="34.5">
      <c r="A1329" s="414"/>
      <c r="B1329" s="425" t="s">
        <v>2106</v>
      </c>
      <c r="C1329" s="296" t="s">
        <v>1821</v>
      </c>
      <c r="D1329" s="392">
        <v>1</v>
      </c>
      <c r="E1329" s="165">
        <v>18</v>
      </c>
      <c r="F1329" s="310"/>
      <c r="G1329" s="310"/>
      <c r="H1329" s="310"/>
      <c r="I1329" s="1018">
        <f t="shared" si="120"/>
        <v>18</v>
      </c>
      <c r="J1329" s="631"/>
      <c r="K1329" s="367"/>
      <c r="L1329" s="407"/>
      <c r="M1329" s="407"/>
      <c r="N1329" s="407"/>
    </row>
    <row r="1330" spans="1:16" s="408" customFormat="1" ht="17.25">
      <c r="A1330" s="414"/>
      <c r="B1330" s="425" t="s">
        <v>2107</v>
      </c>
      <c r="C1330" s="296" t="s">
        <v>1821</v>
      </c>
      <c r="D1330" s="392">
        <v>1</v>
      </c>
      <c r="E1330" s="165">
        <v>13</v>
      </c>
      <c r="F1330" s="310"/>
      <c r="G1330" s="310"/>
      <c r="H1330" s="310"/>
      <c r="I1330" s="1018">
        <f t="shared" si="120"/>
        <v>13</v>
      </c>
      <c r="J1330" s="631"/>
      <c r="K1330" s="367"/>
      <c r="L1330" s="407"/>
      <c r="M1330" s="407"/>
      <c r="N1330" s="407"/>
    </row>
    <row r="1331" spans="1:16" s="408" customFormat="1" ht="17.25">
      <c r="A1331" s="414"/>
      <c r="B1331" s="425" t="s">
        <v>2108</v>
      </c>
      <c r="C1331" s="296" t="s">
        <v>1821</v>
      </c>
      <c r="D1331" s="392">
        <v>1</v>
      </c>
      <c r="E1331" s="165">
        <v>6</v>
      </c>
      <c r="F1331" s="310"/>
      <c r="G1331" s="310"/>
      <c r="H1331" s="310"/>
      <c r="I1331" s="1018">
        <f t="shared" si="120"/>
        <v>6</v>
      </c>
      <c r="J1331" s="631"/>
      <c r="K1331" s="367"/>
      <c r="L1331" s="407"/>
      <c r="M1331" s="407"/>
      <c r="N1331" s="407"/>
    </row>
    <row r="1332" spans="1:16" s="408" customFormat="1" ht="17.25">
      <c r="A1332" s="414"/>
      <c r="B1332" s="425" t="s">
        <v>2109</v>
      </c>
      <c r="C1332" s="296" t="s">
        <v>1821</v>
      </c>
      <c r="D1332" s="392">
        <v>1</v>
      </c>
      <c r="E1332" s="165">
        <v>30</v>
      </c>
      <c r="F1332" s="310"/>
      <c r="G1332" s="310"/>
      <c r="H1332" s="310"/>
      <c r="I1332" s="1018">
        <f t="shared" si="120"/>
        <v>30</v>
      </c>
      <c r="J1332" s="631"/>
      <c r="K1332" s="367"/>
      <c r="L1332" s="407"/>
      <c r="M1332" s="407"/>
      <c r="N1332" s="407"/>
    </row>
    <row r="1333" spans="1:16" s="408" customFormat="1" ht="17.25">
      <c r="A1333" s="414"/>
      <c r="B1333" s="425" t="s">
        <v>2110</v>
      </c>
      <c r="C1333" s="296" t="s">
        <v>1821</v>
      </c>
      <c r="D1333" s="392">
        <v>4</v>
      </c>
      <c r="E1333" s="165">
        <v>3</v>
      </c>
      <c r="F1333" s="310"/>
      <c r="G1333" s="310"/>
      <c r="H1333" s="310"/>
      <c r="I1333" s="1018">
        <f t="shared" si="120"/>
        <v>12</v>
      </c>
      <c r="J1333" s="631"/>
      <c r="K1333" s="367"/>
      <c r="L1333" s="407"/>
      <c r="M1333" s="407"/>
      <c r="N1333" s="407"/>
    </row>
    <row r="1334" spans="1:16" s="408" customFormat="1" ht="17.25">
      <c r="A1334" s="414"/>
      <c r="B1334" s="425"/>
      <c r="C1334" s="296"/>
      <c r="D1334" s="392"/>
      <c r="E1334" s="165"/>
      <c r="F1334" s="310"/>
      <c r="G1334" s="310"/>
      <c r="H1334" s="310"/>
      <c r="I1334" s="1018" t="str">
        <f t="shared" si="120"/>
        <v/>
      </c>
      <c r="J1334" s="631"/>
      <c r="K1334" s="367"/>
      <c r="L1334" s="407"/>
      <c r="M1334" s="407"/>
      <c r="N1334" s="407"/>
    </row>
    <row r="1335" spans="1:16" s="408" customFormat="1" ht="34.5">
      <c r="A1335" s="414"/>
      <c r="B1335" s="425" t="s">
        <v>2111</v>
      </c>
      <c r="C1335" s="296" t="s">
        <v>1821</v>
      </c>
      <c r="D1335" s="392">
        <v>1</v>
      </c>
      <c r="E1335" s="165">
        <v>9</v>
      </c>
      <c r="F1335" s="310"/>
      <c r="G1335" s="310"/>
      <c r="H1335" s="310"/>
      <c r="I1335" s="1018">
        <f t="shared" si="120"/>
        <v>9</v>
      </c>
      <c r="J1335" s="631"/>
      <c r="K1335" s="367"/>
      <c r="L1335" s="407"/>
      <c r="M1335" s="407"/>
      <c r="N1335" s="407"/>
    </row>
    <row r="1336" spans="1:16" s="408" customFormat="1" ht="17.25">
      <c r="A1336" s="414"/>
      <c r="B1336" s="425"/>
      <c r="C1336" s="296" t="s">
        <v>1821</v>
      </c>
      <c r="D1336" s="392"/>
      <c r="E1336" s="165"/>
      <c r="F1336" s="310"/>
      <c r="G1336" s="310"/>
      <c r="H1336" s="310"/>
      <c r="I1336" s="1018" t="str">
        <f t="shared" ref="I1336:I1337" si="121">IF(D1336&lt;&gt;0,ROUND(PRODUCT(E1336:H1336)*D1336,2),"")</f>
        <v/>
      </c>
      <c r="J1336" s="631"/>
      <c r="K1336" s="367"/>
      <c r="L1336" s="407"/>
      <c r="M1336" s="407"/>
      <c r="N1336" s="407"/>
    </row>
    <row r="1337" spans="1:16" s="377" customFormat="1" ht="17.25">
      <c r="A1337" s="617"/>
      <c r="B1337" s="453" t="s">
        <v>928</v>
      </c>
      <c r="C1337" s="388" t="s">
        <v>1821</v>
      </c>
      <c r="D1337" s="392"/>
      <c r="E1337" s="165"/>
      <c r="F1337" s="310"/>
      <c r="G1337" s="310"/>
      <c r="H1337" s="310"/>
      <c r="I1337" s="1018" t="str">
        <f t="shared" si="121"/>
        <v/>
      </c>
      <c r="J1337" s="1019">
        <f>SUM(I1314:I1337)</f>
        <v>576</v>
      </c>
      <c r="K1337" s="454" t="s">
        <v>804</v>
      </c>
      <c r="L1337" s="376"/>
      <c r="M1337" s="376"/>
      <c r="N1337" s="376"/>
    </row>
    <row r="1338" spans="1:16" s="408" customFormat="1" ht="17.25">
      <c r="A1338" s="617"/>
      <c r="B1338" s="425"/>
      <c r="C1338" s="414"/>
      <c r="D1338" s="392"/>
      <c r="E1338" s="165"/>
      <c r="F1338" s="310"/>
      <c r="G1338" s="310"/>
      <c r="H1338" s="310"/>
      <c r="I1338" s="631"/>
      <c r="J1338" s="1020">
        <f>SUM(J1313:J1337)</f>
        <v>576</v>
      </c>
      <c r="K1338" s="405"/>
      <c r="L1338" s="407"/>
      <c r="M1338" s="407"/>
      <c r="N1338" s="407"/>
    </row>
    <row r="1339" spans="1:16">
      <c r="A1339" s="10" t="s">
        <v>2152</v>
      </c>
      <c r="B1339" s="11" t="s">
        <v>725</v>
      </c>
      <c r="C1339" s="38"/>
      <c r="D1339" s="38"/>
      <c r="E1339" s="645"/>
      <c r="F1339" s="645"/>
      <c r="G1339" s="645"/>
      <c r="H1339" s="645"/>
      <c r="I1339" s="24"/>
      <c r="J1339" s="24"/>
      <c r="K1339" s="14"/>
      <c r="O1339" s="3"/>
      <c r="P1339" s="3"/>
    </row>
    <row r="1340" spans="1:16" s="42" customFormat="1">
      <c r="A1340" s="41"/>
      <c r="B1340" s="34" t="s">
        <v>85</v>
      </c>
      <c r="C1340" s="48" t="s">
        <v>2</v>
      </c>
      <c r="D1340" s="655"/>
      <c r="E1340" s="656"/>
      <c r="F1340" s="654"/>
      <c r="G1340" s="654"/>
      <c r="H1340" s="654"/>
      <c r="I1340" s="46" t="str">
        <f t="shared" ref="I1340:I1476" si="122">IF(D1340&lt;&gt;0,ROUND(PRODUCT(E1340:H1340)*D1340,2),"")</f>
        <v/>
      </c>
      <c r="J1340" s="232">
        <f>SUM(I1339:I1340)</f>
        <v>0</v>
      </c>
      <c r="K1340" s="43"/>
      <c r="L1340" s="44"/>
      <c r="M1340" s="44"/>
      <c r="N1340" s="44"/>
      <c r="O1340" s="44"/>
      <c r="P1340" s="44"/>
    </row>
    <row r="1341" spans="1:16">
      <c r="C1341" s="20"/>
      <c r="E1341" s="16"/>
      <c r="F1341" s="1"/>
      <c r="G1341" s="1"/>
      <c r="H1341" s="1"/>
      <c r="I1341" s="46" t="str">
        <f t="shared" ref="I1341" si="123">IF(D1341&lt;&gt;0,ROUND(PRODUCT(E1341:H1341)*D1341,2),"")</f>
        <v/>
      </c>
    </row>
    <row r="1342" spans="1:16">
      <c r="B1342" s="22" t="s">
        <v>656</v>
      </c>
      <c r="C1342" s="20"/>
      <c r="E1342" s="16"/>
      <c r="F1342" s="1"/>
      <c r="G1342" s="1"/>
      <c r="H1342" s="1"/>
      <c r="I1342" s="46" t="str">
        <f t="shared" ref="I1342:I1405" si="124">IF(D1342&lt;&gt;0,ROUND(PRODUCT(E1342:H1342)*D1342,2),"")</f>
        <v/>
      </c>
    </row>
    <row r="1343" spans="1:16">
      <c r="B1343" s="22" t="s">
        <v>761</v>
      </c>
      <c r="C1343" s="20" t="s">
        <v>167</v>
      </c>
      <c r="D1343" s="29">
        <v>1</v>
      </c>
      <c r="E1343" s="16">
        <v>1</v>
      </c>
      <c r="F1343" s="1">
        <v>23.97</v>
      </c>
      <c r="G1343" s="1">
        <v>0.23</v>
      </c>
      <c r="H1343" s="1">
        <v>0.54499999999999993</v>
      </c>
      <c r="I1343" s="1161">
        <f t="shared" si="124"/>
        <v>3</v>
      </c>
    </row>
    <row r="1344" spans="1:16">
      <c r="C1344" s="20"/>
      <c r="E1344" s="16"/>
      <c r="F1344" s="1"/>
      <c r="G1344" s="1"/>
      <c r="H1344" s="1"/>
      <c r="I1344" s="1161" t="str">
        <f t="shared" si="124"/>
        <v/>
      </c>
    </row>
    <row r="1345" spans="2:9">
      <c r="B1345" s="22" t="s">
        <v>762</v>
      </c>
      <c r="C1345" s="20" t="s">
        <v>167</v>
      </c>
      <c r="D1345" s="29">
        <v>1</v>
      </c>
      <c r="E1345" s="16">
        <v>1</v>
      </c>
      <c r="F1345" s="1">
        <v>67.037999999999997</v>
      </c>
      <c r="G1345" s="1">
        <v>0.46</v>
      </c>
      <c r="H1345" s="1">
        <v>0.3</v>
      </c>
      <c r="I1345" s="1161">
        <f t="shared" si="124"/>
        <v>9.25</v>
      </c>
    </row>
    <row r="1346" spans="2:9">
      <c r="C1346" s="20" t="s">
        <v>167</v>
      </c>
      <c r="D1346" s="29">
        <v>1</v>
      </c>
      <c r="E1346" s="16">
        <v>1</v>
      </c>
      <c r="F1346" s="1">
        <v>67.037999999999997</v>
      </c>
      <c r="G1346" s="1">
        <v>0.34499999999999997</v>
      </c>
      <c r="H1346" s="1">
        <v>0.3</v>
      </c>
      <c r="I1346" s="1161">
        <f t="shared" si="124"/>
        <v>6.94</v>
      </c>
    </row>
    <row r="1347" spans="2:9">
      <c r="C1347" s="20" t="s">
        <v>167</v>
      </c>
      <c r="D1347" s="29">
        <v>1</v>
      </c>
      <c r="E1347" s="16">
        <v>1</v>
      </c>
      <c r="F1347" s="1">
        <v>67.037999999999997</v>
      </c>
      <c r="G1347" s="1">
        <v>0.23</v>
      </c>
      <c r="H1347" s="1">
        <v>0.14000000000000001</v>
      </c>
      <c r="I1347" s="1161">
        <f t="shared" si="124"/>
        <v>2.16</v>
      </c>
    </row>
    <row r="1348" spans="2:9">
      <c r="B1348" s="22" t="s">
        <v>731</v>
      </c>
      <c r="C1348" s="20" t="s">
        <v>167</v>
      </c>
      <c r="D1348" s="29">
        <v>1</v>
      </c>
      <c r="E1348" s="16">
        <v>1</v>
      </c>
      <c r="F1348" s="1">
        <v>1.399</v>
      </c>
      <c r="G1348" s="1">
        <v>0.6</v>
      </c>
      <c r="H1348" s="1">
        <v>0.44</v>
      </c>
      <c r="I1348" s="1161">
        <f t="shared" si="124"/>
        <v>0.37</v>
      </c>
    </row>
    <row r="1349" spans="2:9">
      <c r="C1349" s="20" t="s">
        <v>167</v>
      </c>
      <c r="D1349" s="29">
        <v>1</v>
      </c>
      <c r="E1349" s="16">
        <v>1</v>
      </c>
      <c r="F1349" s="1">
        <v>1.7110000000000001</v>
      </c>
      <c r="G1349" s="1">
        <v>0.3</v>
      </c>
      <c r="H1349" s="1">
        <v>0.15</v>
      </c>
      <c r="I1349" s="1161">
        <f t="shared" si="124"/>
        <v>0.08</v>
      </c>
    </row>
    <row r="1350" spans="2:9">
      <c r="C1350" s="20"/>
      <c r="E1350" s="16"/>
      <c r="F1350" s="1"/>
      <c r="G1350" s="1"/>
      <c r="H1350" s="1"/>
      <c r="I1350" s="1161" t="str">
        <f t="shared" si="124"/>
        <v/>
      </c>
    </row>
    <row r="1351" spans="2:9">
      <c r="C1351" s="20" t="s">
        <v>167</v>
      </c>
      <c r="D1351" s="29">
        <v>1</v>
      </c>
      <c r="E1351" s="16">
        <v>1</v>
      </c>
      <c r="F1351" s="1">
        <v>1.319</v>
      </c>
      <c r="G1351" s="1">
        <v>0.6</v>
      </c>
      <c r="H1351" s="1">
        <v>0.44</v>
      </c>
      <c r="I1351" s="1161">
        <f t="shared" si="124"/>
        <v>0.35</v>
      </c>
    </row>
    <row r="1352" spans="2:9">
      <c r="C1352" s="20" t="s">
        <v>167</v>
      </c>
      <c r="D1352" s="29">
        <v>1</v>
      </c>
      <c r="E1352" s="16">
        <v>1</v>
      </c>
      <c r="F1352" s="1">
        <v>1.5940000000000001</v>
      </c>
      <c r="G1352" s="1">
        <v>0.3</v>
      </c>
      <c r="H1352" s="1">
        <v>0.15</v>
      </c>
      <c r="I1352" s="1161">
        <f t="shared" si="124"/>
        <v>7.0000000000000007E-2</v>
      </c>
    </row>
    <row r="1353" spans="2:9">
      <c r="C1353" s="20"/>
      <c r="E1353" s="16"/>
      <c r="F1353" s="1"/>
      <c r="G1353" s="1"/>
      <c r="H1353" s="1"/>
      <c r="I1353" s="1161" t="str">
        <f t="shared" si="124"/>
        <v/>
      </c>
    </row>
    <row r="1354" spans="2:9">
      <c r="C1354" s="20" t="s">
        <v>167</v>
      </c>
      <c r="D1354" s="29">
        <v>1</v>
      </c>
      <c r="E1354" s="16">
        <v>1</v>
      </c>
      <c r="F1354" s="1">
        <v>1.246</v>
      </c>
      <c r="G1354" s="1">
        <v>0.6</v>
      </c>
      <c r="H1354" s="1">
        <v>0.44</v>
      </c>
      <c r="I1354" s="1161">
        <f t="shared" si="124"/>
        <v>0.33</v>
      </c>
    </row>
    <row r="1355" spans="2:9">
      <c r="C1355" s="20" t="s">
        <v>167</v>
      </c>
      <c r="D1355" s="29">
        <v>1</v>
      </c>
      <c r="E1355" s="16">
        <v>1</v>
      </c>
      <c r="F1355" s="1">
        <v>1.2</v>
      </c>
      <c r="G1355" s="1">
        <v>0.3</v>
      </c>
      <c r="H1355" s="1">
        <v>0.15</v>
      </c>
      <c r="I1355" s="1161">
        <f t="shared" si="124"/>
        <v>0.05</v>
      </c>
    </row>
    <row r="1356" spans="2:9">
      <c r="C1356" s="20"/>
      <c r="E1356" s="16"/>
      <c r="F1356" s="1"/>
      <c r="G1356" s="1"/>
      <c r="H1356" s="1"/>
      <c r="I1356" s="1161" t="str">
        <f t="shared" si="124"/>
        <v/>
      </c>
    </row>
    <row r="1357" spans="2:9">
      <c r="C1357" s="20" t="s">
        <v>167</v>
      </c>
      <c r="D1357" s="29">
        <v>1</v>
      </c>
      <c r="E1357" s="16">
        <v>1</v>
      </c>
      <c r="F1357" s="1">
        <v>1.25</v>
      </c>
      <c r="G1357" s="1">
        <v>0.6</v>
      </c>
      <c r="H1357" s="1">
        <v>0.44</v>
      </c>
      <c r="I1357" s="1161">
        <f t="shared" si="124"/>
        <v>0.33</v>
      </c>
    </row>
    <row r="1358" spans="2:9">
      <c r="C1358" s="20" t="s">
        <v>167</v>
      </c>
      <c r="D1358" s="29">
        <v>1</v>
      </c>
      <c r="E1358" s="16">
        <v>1</v>
      </c>
      <c r="F1358" s="1">
        <v>1.3109999999999999</v>
      </c>
      <c r="G1358" s="1">
        <v>0.3</v>
      </c>
      <c r="H1358" s="1">
        <v>0.15</v>
      </c>
      <c r="I1358" s="1161">
        <f t="shared" si="124"/>
        <v>0.06</v>
      </c>
    </row>
    <row r="1359" spans="2:9">
      <c r="C1359" s="20"/>
      <c r="E1359" s="16"/>
      <c r="F1359" s="1"/>
      <c r="G1359" s="1"/>
      <c r="H1359" s="1"/>
      <c r="I1359" s="1161" t="str">
        <f t="shared" si="124"/>
        <v/>
      </c>
    </row>
    <row r="1360" spans="2:9" ht="31.5">
      <c r="B1360" s="22" t="s">
        <v>764</v>
      </c>
      <c r="C1360" s="20" t="s">
        <v>167</v>
      </c>
      <c r="D1360" s="29">
        <v>7</v>
      </c>
      <c r="E1360" s="16">
        <v>1</v>
      </c>
      <c r="F1360" s="1">
        <v>2.2309999999999999</v>
      </c>
      <c r="G1360" s="1">
        <v>0.23</v>
      </c>
      <c r="H1360" s="1">
        <v>0.75</v>
      </c>
      <c r="I1360" s="1161">
        <f t="shared" si="124"/>
        <v>2.69</v>
      </c>
    </row>
    <row r="1361" spans="1:9" ht="31.5">
      <c r="A1361" s="3"/>
      <c r="B1361" s="22" t="s">
        <v>1169</v>
      </c>
      <c r="C1361" s="20"/>
      <c r="E1361" s="16"/>
      <c r="F1361" s="1"/>
      <c r="G1361" s="1"/>
      <c r="H1361" s="1"/>
      <c r="I1361" s="1161" t="str">
        <f t="shared" si="124"/>
        <v/>
      </c>
    </row>
    <row r="1362" spans="1:9">
      <c r="C1362" s="20"/>
      <c r="E1362" s="16"/>
      <c r="F1362" s="1"/>
      <c r="G1362" s="1"/>
      <c r="H1362" s="1"/>
      <c r="I1362" s="1161" t="str">
        <f t="shared" si="124"/>
        <v/>
      </c>
    </row>
    <row r="1363" spans="1:9" ht="31.5">
      <c r="B1363" s="22" t="s">
        <v>1169</v>
      </c>
      <c r="C1363" s="20" t="s">
        <v>2</v>
      </c>
      <c r="E1363" s="16"/>
      <c r="F1363" s="1"/>
      <c r="G1363" s="1"/>
      <c r="H1363" s="1"/>
      <c r="I1363" s="1161" t="str">
        <f t="shared" si="124"/>
        <v/>
      </c>
    </row>
    <row r="1364" spans="1:9" ht="31.5">
      <c r="B1364" s="22" t="s">
        <v>1131</v>
      </c>
      <c r="C1364" s="20" t="s">
        <v>2</v>
      </c>
      <c r="D1364" s="29">
        <v>1</v>
      </c>
      <c r="E1364" s="16">
        <v>1</v>
      </c>
      <c r="F1364" s="1">
        <v>10.142200000000001</v>
      </c>
      <c r="G1364" s="1">
        <v>0.46</v>
      </c>
      <c r="H1364" s="1">
        <v>0.3</v>
      </c>
      <c r="I1364" s="1161">
        <f t="shared" si="124"/>
        <v>1.4</v>
      </c>
    </row>
    <row r="1365" spans="1:9">
      <c r="C1365" s="20" t="s">
        <v>2</v>
      </c>
      <c r="D1365" s="29">
        <v>1</v>
      </c>
      <c r="E1365" s="16">
        <v>1</v>
      </c>
      <c r="F1365" s="1">
        <v>10.142200000000001</v>
      </c>
      <c r="G1365" s="1">
        <v>0.34499999999999997</v>
      </c>
      <c r="H1365" s="1">
        <v>0.3</v>
      </c>
      <c r="I1365" s="1161">
        <f t="shared" si="124"/>
        <v>1.05</v>
      </c>
    </row>
    <row r="1366" spans="1:9">
      <c r="C1366" s="20" t="s">
        <v>2</v>
      </c>
      <c r="D1366" s="29">
        <v>1</v>
      </c>
      <c r="E1366" s="16">
        <v>1</v>
      </c>
      <c r="F1366" s="1">
        <v>10.142200000000001</v>
      </c>
      <c r="G1366" s="1">
        <v>0.23</v>
      </c>
      <c r="H1366" s="1">
        <v>0.19</v>
      </c>
      <c r="I1366" s="1161">
        <f t="shared" si="124"/>
        <v>0.44</v>
      </c>
    </row>
    <row r="1367" spans="1:9">
      <c r="C1367" s="20" t="s">
        <v>2</v>
      </c>
      <c r="E1367" s="16"/>
      <c r="F1367" s="1"/>
      <c r="G1367" s="1"/>
      <c r="H1367" s="1"/>
      <c r="I1367" s="1161" t="str">
        <f t="shared" si="124"/>
        <v/>
      </c>
    </row>
    <row r="1368" spans="1:9">
      <c r="B1368" s="22" t="s">
        <v>736</v>
      </c>
      <c r="C1368" s="20" t="s">
        <v>2</v>
      </c>
      <c r="D1368" s="29">
        <v>1</v>
      </c>
      <c r="E1368" s="16">
        <v>1</v>
      </c>
      <c r="F1368" s="1">
        <v>10.142200000000001</v>
      </c>
      <c r="G1368" s="1">
        <v>0.46</v>
      </c>
      <c r="H1368" s="1">
        <v>0.3</v>
      </c>
      <c r="I1368" s="1161">
        <f t="shared" si="124"/>
        <v>1.4</v>
      </c>
    </row>
    <row r="1369" spans="1:9">
      <c r="C1369" s="20" t="s">
        <v>2</v>
      </c>
      <c r="D1369" s="29">
        <v>1</v>
      </c>
      <c r="E1369" s="16">
        <v>1</v>
      </c>
      <c r="F1369" s="1">
        <v>10.142200000000001</v>
      </c>
      <c r="G1369" s="1">
        <v>0.34499999999999997</v>
      </c>
      <c r="H1369" s="1">
        <v>0.3</v>
      </c>
      <c r="I1369" s="1161">
        <f t="shared" si="124"/>
        <v>1.05</v>
      </c>
    </row>
    <row r="1370" spans="1:9">
      <c r="C1370" s="20" t="s">
        <v>2</v>
      </c>
      <c r="D1370" s="29">
        <v>1</v>
      </c>
      <c r="E1370" s="16">
        <v>1</v>
      </c>
      <c r="F1370" s="1">
        <v>10.142200000000001</v>
      </c>
      <c r="G1370" s="1">
        <v>0.23</v>
      </c>
      <c r="H1370" s="1">
        <v>0.19</v>
      </c>
      <c r="I1370" s="1161">
        <f t="shared" si="124"/>
        <v>0.44</v>
      </c>
    </row>
    <row r="1371" spans="1:9">
      <c r="C1371" s="20" t="s">
        <v>2</v>
      </c>
      <c r="E1371" s="16"/>
      <c r="F1371" s="1"/>
      <c r="G1371" s="1"/>
      <c r="H1371" s="1"/>
      <c r="I1371" s="1161" t="str">
        <f t="shared" si="124"/>
        <v/>
      </c>
    </row>
    <row r="1372" spans="1:9" ht="31.5">
      <c r="B1372" s="22" t="s">
        <v>1132</v>
      </c>
      <c r="C1372" s="20" t="s">
        <v>2</v>
      </c>
      <c r="D1372" s="29">
        <v>1</v>
      </c>
      <c r="E1372" s="16">
        <v>1</v>
      </c>
      <c r="F1372" s="1">
        <v>12.340200000000001</v>
      </c>
      <c r="G1372" s="1">
        <v>0.46</v>
      </c>
      <c r="H1372" s="1">
        <v>0.3</v>
      </c>
      <c r="I1372" s="1161">
        <f t="shared" si="124"/>
        <v>1.7</v>
      </c>
    </row>
    <row r="1373" spans="1:9">
      <c r="C1373" s="20" t="s">
        <v>2</v>
      </c>
      <c r="D1373" s="29">
        <v>1</v>
      </c>
      <c r="E1373" s="16">
        <v>1</v>
      </c>
      <c r="F1373" s="1">
        <v>12.340200000000001</v>
      </c>
      <c r="G1373" s="1">
        <v>0.34499999999999997</v>
      </c>
      <c r="H1373" s="1">
        <v>0.3</v>
      </c>
      <c r="I1373" s="1161">
        <f t="shared" si="124"/>
        <v>1.28</v>
      </c>
    </row>
    <row r="1374" spans="1:9">
      <c r="C1374" s="20" t="s">
        <v>2</v>
      </c>
      <c r="D1374" s="29">
        <v>1</v>
      </c>
      <c r="E1374" s="16">
        <v>1</v>
      </c>
      <c r="F1374" s="1">
        <v>12.340200000000001</v>
      </c>
      <c r="G1374" s="1">
        <v>0.23</v>
      </c>
      <c r="H1374" s="1">
        <v>0.19</v>
      </c>
      <c r="I1374" s="1161">
        <f t="shared" si="124"/>
        <v>0.54</v>
      </c>
    </row>
    <row r="1375" spans="1:9">
      <c r="C1375" s="20" t="s">
        <v>2</v>
      </c>
      <c r="E1375" s="16"/>
      <c r="F1375" s="1"/>
      <c r="G1375" s="1"/>
      <c r="H1375" s="1"/>
      <c r="I1375" s="1161" t="str">
        <f t="shared" si="124"/>
        <v/>
      </c>
    </row>
    <row r="1376" spans="1:9">
      <c r="B1376" s="22" t="s">
        <v>738</v>
      </c>
      <c r="C1376" s="20" t="s">
        <v>2</v>
      </c>
      <c r="D1376" s="29">
        <v>1</v>
      </c>
      <c r="E1376" s="16">
        <v>1</v>
      </c>
      <c r="F1376" s="1">
        <v>10.142200000000001</v>
      </c>
      <c r="G1376" s="1">
        <v>0.46</v>
      </c>
      <c r="H1376" s="1">
        <v>0.3</v>
      </c>
      <c r="I1376" s="1161">
        <f t="shared" si="124"/>
        <v>1.4</v>
      </c>
    </row>
    <row r="1377" spans="2:9">
      <c r="C1377" s="20" t="s">
        <v>2</v>
      </c>
      <c r="D1377" s="29">
        <v>1</v>
      </c>
      <c r="E1377" s="16">
        <v>1</v>
      </c>
      <c r="F1377" s="1">
        <v>10.142200000000001</v>
      </c>
      <c r="G1377" s="1">
        <v>0.34499999999999997</v>
      </c>
      <c r="H1377" s="1">
        <v>0.3</v>
      </c>
      <c r="I1377" s="1161">
        <f t="shared" si="124"/>
        <v>1.05</v>
      </c>
    </row>
    <row r="1378" spans="2:9">
      <c r="C1378" s="20" t="s">
        <v>2</v>
      </c>
      <c r="D1378" s="29">
        <v>1</v>
      </c>
      <c r="E1378" s="16">
        <v>1</v>
      </c>
      <c r="F1378" s="1">
        <v>10.142200000000001</v>
      </c>
      <c r="G1378" s="1">
        <v>0.23</v>
      </c>
      <c r="H1378" s="1">
        <v>0.19</v>
      </c>
      <c r="I1378" s="1161">
        <f t="shared" si="124"/>
        <v>0.44</v>
      </c>
    </row>
    <row r="1379" spans="2:9">
      <c r="C1379" s="20" t="s">
        <v>2</v>
      </c>
      <c r="E1379" s="16"/>
      <c r="F1379" s="1"/>
      <c r="G1379" s="1"/>
      <c r="H1379" s="1"/>
      <c r="I1379" s="1161" t="str">
        <f t="shared" si="124"/>
        <v/>
      </c>
    </row>
    <row r="1380" spans="2:9">
      <c r="B1380" s="22" t="s">
        <v>739</v>
      </c>
      <c r="C1380" s="20" t="s">
        <v>2</v>
      </c>
      <c r="D1380" s="29">
        <v>1</v>
      </c>
      <c r="E1380" s="16">
        <v>1</v>
      </c>
      <c r="F1380" s="1">
        <v>8.5660000000000007</v>
      </c>
      <c r="G1380" s="1">
        <v>0.46</v>
      </c>
      <c r="H1380" s="1">
        <v>0.3</v>
      </c>
      <c r="I1380" s="1161">
        <f t="shared" si="124"/>
        <v>1.18</v>
      </c>
    </row>
    <row r="1381" spans="2:9">
      <c r="C1381" s="20" t="s">
        <v>2</v>
      </c>
      <c r="D1381" s="29">
        <v>1</v>
      </c>
      <c r="E1381" s="16">
        <v>1</v>
      </c>
      <c r="F1381" s="1">
        <v>8.5660000000000007</v>
      </c>
      <c r="G1381" s="1">
        <v>0.34499999999999997</v>
      </c>
      <c r="H1381" s="1">
        <v>0.3</v>
      </c>
      <c r="I1381" s="1161">
        <f t="shared" si="124"/>
        <v>0.89</v>
      </c>
    </row>
    <row r="1382" spans="2:9">
      <c r="C1382" s="20" t="s">
        <v>2</v>
      </c>
      <c r="D1382" s="29">
        <v>1</v>
      </c>
      <c r="E1382" s="16">
        <v>1</v>
      </c>
      <c r="F1382" s="1">
        <v>8.5660000000000007</v>
      </c>
      <c r="G1382" s="1">
        <v>0.23</v>
      </c>
      <c r="H1382" s="1">
        <v>0.19</v>
      </c>
      <c r="I1382" s="1161">
        <f t="shared" si="124"/>
        <v>0.37</v>
      </c>
    </row>
    <row r="1383" spans="2:9">
      <c r="C1383" s="20" t="s">
        <v>2</v>
      </c>
      <c r="E1383" s="16"/>
      <c r="F1383" s="1"/>
      <c r="G1383" s="1"/>
      <c r="H1383" s="1"/>
      <c r="I1383" s="1161" t="str">
        <f t="shared" si="124"/>
        <v/>
      </c>
    </row>
    <row r="1384" spans="2:9">
      <c r="B1384" s="22" t="s">
        <v>740</v>
      </c>
      <c r="C1384" s="20" t="s">
        <v>2</v>
      </c>
      <c r="D1384" s="29">
        <v>1</v>
      </c>
      <c r="E1384" s="16">
        <v>1</v>
      </c>
      <c r="F1384" s="1">
        <v>9.2002000000000006</v>
      </c>
      <c r="G1384" s="1">
        <v>0.46</v>
      </c>
      <c r="H1384" s="1">
        <v>0.3</v>
      </c>
      <c r="I1384" s="1161">
        <f t="shared" si="124"/>
        <v>1.27</v>
      </c>
    </row>
    <row r="1385" spans="2:9">
      <c r="C1385" s="20" t="s">
        <v>2</v>
      </c>
      <c r="D1385" s="29">
        <v>1</v>
      </c>
      <c r="E1385" s="16">
        <v>1</v>
      </c>
      <c r="F1385" s="1">
        <v>9.2002000000000006</v>
      </c>
      <c r="G1385" s="1">
        <v>0.34499999999999997</v>
      </c>
      <c r="H1385" s="1">
        <v>0.3</v>
      </c>
      <c r="I1385" s="1161">
        <f t="shared" si="124"/>
        <v>0.95</v>
      </c>
    </row>
    <row r="1386" spans="2:9">
      <c r="C1386" s="20" t="s">
        <v>2</v>
      </c>
      <c r="D1386" s="29">
        <v>1</v>
      </c>
      <c r="E1386" s="16">
        <v>1</v>
      </c>
      <c r="F1386" s="1">
        <v>9.2002000000000006</v>
      </c>
      <c r="G1386" s="1">
        <v>0.23</v>
      </c>
      <c r="H1386" s="1">
        <v>0.19</v>
      </c>
      <c r="I1386" s="1161">
        <f t="shared" si="124"/>
        <v>0.4</v>
      </c>
    </row>
    <row r="1387" spans="2:9">
      <c r="C1387" s="20" t="s">
        <v>2</v>
      </c>
      <c r="E1387" s="16"/>
      <c r="F1387" s="1"/>
      <c r="G1387" s="1"/>
      <c r="H1387" s="1"/>
      <c r="I1387" s="1161" t="str">
        <f t="shared" si="124"/>
        <v/>
      </c>
    </row>
    <row r="1388" spans="2:9">
      <c r="B1388" s="22" t="s">
        <v>741</v>
      </c>
      <c r="C1388" s="20" t="s">
        <v>2</v>
      </c>
      <c r="D1388" s="29">
        <v>1</v>
      </c>
      <c r="E1388" s="16">
        <v>1</v>
      </c>
      <c r="F1388" s="1">
        <v>10.142200000000001</v>
      </c>
      <c r="G1388" s="1">
        <v>0.46</v>
      </c>
      <c r="H1388" s="1">
        <v>0.3</v>
      </c>
      <c r="I1388" s="1161">
        <f t="shared" si="124"/>
        <v>1.4</v>
      </c>
    </row>
    <row r="1389" spans="2:9">
      <c r="C1389" s="20" t="s">
        <v>2</v>
      </c>
      <c r="D1389" s="29">
        <v>1</v>
      </c>
      <c r="E1389" s="16">
        <v>1</v>
      </c>
      <c r="F1389" s="1">
        <v>10.142200000000001</v>
      </c>
      <c r="G1389" s="1">
        <v>0.34499999999999997</v>
      </c>
      <c r="H1389" s="1">
        <v>0.3</v>
      </c>
      <c r="I1389" s="1161">
        <f t="shared" si="124"/>
        <v>1.05</v>
      </c>
    </row>
    <row r="1390" spans="2:9">
      <c r="C1390" s="20" t="s">
        <v>2</v>
      </c>
      <c r="D1390" s="29">
        <v>1</v>
      </c>
      <c r="E1390" s="16">
        <v>1</v>
      </c>
      <c r="F1390" s="1">
        <v>10.142200000000001</v>
      </c>
      <c r="G1390" s="1">
        <v>0.23</v>
      </c>
      <c r="H1390" s="1">
        <v>0.19</v>
      </c>
      <c r="I1390" s="1161">
        <f t="shared" si="124"/>
        <v>0.44</v>
      </c>
    </row>
    <row r="1391" spans="2:9">
      <c r="C1391" s="20" t="s">
        <v>2</v>
      </c>
      <c r="E1391" s="16"/>
      <c r="F1391" s="1"/>
      <c r="G1391" s="1"/>
      <c r="H1391" s="1"/>
      <c r="I1391" s="1161" t="str">
        <f t="shared" si="124"/>
        <v/>
      </c>
    </row>
    <row r="1392" spans="2:9">
      <c r="B1392" s="22" t="s">
        <v>742</v>
      </c>
      <c r="C1392" s="20" t="s">
        <v>2</v>
      </c>
      <c r="D1392" s="29">
        <v>1</v>
      </c>
      <c r="E1392" s="16">
        <v>1</v>
      </c>
      <c r="F1392" s="1">
        <v>10.142200000000001</v>
      </c>
      <c r="G1392" s="1">
        <v>0.46</v>
      </c>
      <c r="H1392" s="1">
        <v>0.3</v>
      </c>
      <c r="I1392" s="1161">
        <f t="shared" si="124"/>
        <v>1.4</v>
      </c>
    </row>
    <row r="1393" spans="2:9">
      <c r="C1393" s="20" t="s">
        <v>2</v>
      </c>
      <c r="D1393" s="29">
        <v>1</v>
      </c>
      <c r="E1393" s="16">
        <v>1</v>
      </c>
      <c r="F1393" s="1">
        <v>10.142200000000001</v>
      </c>
      <c r="G1393" s="1">
        <v>0.34499999999999997</v>
      </c>
      <c r="H1393" s="1">
        <v>0.3</v>
      </c>
      <c r="I1393" s="1161">
        <f t="shared" si="124"/>
        <v>1.05</v>
      </c>
    </row>
    <row r="1394" spans="2:9">
      <c r="C1394" s="20" t="s">
        <v>2</v>
      </c>
      <c r="D1394" s="29">
        <v>1</v>
      </c>
      <c r="E1394" s="16">
        <v>1</v>
      </c>
      <c r="F1394" s="1">
        <v>10.142200000000001</v>
      </c>
      <c r="G1394" s="1">
        <v>0.23</v>
      </c>
      <c r="H1394" s="1">
        <v>0.19</v>
      </c>
      <c r="I1394" s="1161">
        <f t="shared" si="124"/>
        <v>0.44</v>
      </c>
    </row>
    <row r="1395" spans="2:9">
      <c r="C1395" s="20" t="s">
        <v>2</v>
      </c>
      <c r="E1395" s="16"/>
      <c r="F1395" s="1"/>
      <c r="G1395" s="1"/>
      <c r="H1395" s="1"/>
      <c r="I1395" s="1161" t="str">
        <f t="shared" si="124"/>
        <v/>
      </c>
    </row>
    <row r="1396" spans="2:9">
      <c r="B1396" s="22" t="s">
        <v>743</v>
      </c>
      <c r="C1396" s="20" t="s">
        <v>2</v>
      </c>
      <c r="D1396" s="29">
        <v>1</v>
      </c>
      <c r="E1396" s="16">
        <v>1</v>
      </c>
      <c r="F1396" s="1">
        <v>10.142200000000001</v>
      </c>
      <c r="G1396" s="1">
        <v>0.46</v>
      </c>
      <c r="H1396" s="1">
        <v>0.3</v>
      </c>
      <c r="I1396" s="1161">
        <f t="shared" si="124"/>
        <v>1.4</v>
      </c>
    </row>
    <row r="1397" spans="2:9">
      <c r="C1397" s="20" t="s">
        <v>2</v>
      </c>
      <c r="D1397" s="29">
        <v>1</v>
      </c>
      <c r="E1397" s="16">
        <v>1</v>
      </c>
      <c r="F1397" s="1">
        <v>10.142200000000001</v>
      </c>
      <c r="G1397" s="1">
        <v>0.34499999999999997</v>
      </c>
      <c r="H1397" s="1">
        <v>0.3</v>
      </c>
      <c r="I1397" s="1161">
        <f t="shared" si="124"/>
        <v>1.05</v>
      </c>
    </row>
    <row r="1398" spans="2:9">
      <c r="C1398" s="20" t="s">
        <v>2</v>
      </c>
      <c r="D1398" s="29">
        <v>1</v>
      </c>
      <c r="E1398" s="16">
        <v>1</v>
      </c>
      <c r="F1398" s="1">
        <v>10.142200000000001</v>
      </c>
      <c r="G1398" s="1">
        <v>0.23</v>
      </c>
      <c r="H1398" s="1">
        <v>0.19</v>
      </c>
      <c r="I1398" s="1161">
        <f t="shared" si="124"/>
        <v>0.44</v>
      </c>
    </row>
    <row r="1399" spans="2:9">
      <c r="C1399" s="20" t="s">
        <v>2</v>
      </c>
      <c r="E1399" s="16"/>
      <c r="F1399" s="1"/>
      <c r="G1399" s="1"/>
      <c r="H1399" s="1"/>
      <c r="I1399" s="1161" t="str">
        <f t="shared" si="124"/>
        <v/>
      </c>
    </row>
    <row r="1400" spans="2:9">
      <c r="B1400" s="22" t="s">
        <v>744</v>
      </c>
      <c r="C1400" s="20" t="s">
        <v>2</v>
      </c>
      <c r="D1400" s="29">
        <v>1</v>
      </c>
      <c r="E1400" s="16">
        <v>1</v>
      </c>
      <c r="F1400" s="1">
        <v>10.142200000000001</v>
      </c>
      <c r="G1400" s="1">
        <v>0.46</v>
      </c>
      <c r="H1400" s="1">
        <v>0.3</v>
      </c>
      <c r="I1400" s="1161">
        <f t="shared" si="124"/>
        <v>1.4</v>
      </c>
    </row>
    <row r="1401" spans="2:9">
      <c r="C1401" s="20" t="s">
        <v>2</v>
      </c>
      <c r="D1401" s="29">
        <v>1</v>
      </c>
      <c r="E1401" s="16">
        <v>1</v>
      </c>
      <c r="F1401" s="1">
        <v>10.142200000000001</v>
      </c>
      <c r="G1401" s="1">
        <v>0.34499999999999997</v>
      </c>
      <c r="H1401" s="1">
        <v>0.3</v>
      </c>
      <c r="I1401" s="1161">
        <f t="shared" si="124"/>
        <v>1.05</v>
      </c>
    </row>
    <row r="1402" spans="2:9">
      <c r="C1402" s="20" t="s">
        <v>2</v>
      </c>
      <c r="D1402" s="29">
        <v>1</v>
      </c>
      <c r="E1402" s="16">
        <v>1</v>
      </c>
      <c r="F1402" s="1">
        <v>10.142200000000001</v>
      </c>
      <c r="G1402" s="1">
        <v>0.23</v>
      </c>
      <c r="H1402" s="1">
        <v>0.19</v>
      </c>
      <c r="I1402" s="1161">
        <f t="shared" si="124"/>
        <v>0.44</v>
      </c>
    </row>
    <row r="1403" spans="2:9">
      <c r="C1403" s="20" t="s">
        <v>2</v>
      </c>
      <c r="E1403" s="16"/>
      <c r="F1403" s="1"/>
      <c r="G1403" s="1"/>
      <c r="H1403" s="1"/>
      <c r="I1403" s="1161" t="str">
        <f t="shared" si="124"/>
        <v/>
      </c>
    </row>
    <row r="1404" spans="2:9">
      <c r="B1404" s="22" t="s">
        <v>745</v>
      </c>
      <c r="C1404" s="20" t="s">
        <v>2</v>
      </c>
      <c r="D1404" s="29">
        <v>1</v>
      </c>
      <c r="E1404" s="16">
        <v>1</v>
      </c>
      <c r="F1404" s="1">
        <v>10.142200000000001</v>
      </c>
      <c r="G1404" s="1">
        <v>0.46</v>
      </c>
      <c r="H1404" s="1">
        <v>0.3</v>
      </c>
      <c r="I1404" s="1161">
        <f t="shared" si="124"/>
        <v>1.4</v>
      </c>
    </row>
    <row r="1405" spans="2:9">
      <c r="C1405" s="20" t="s">
        <v>2</v>
      </c>
      <c r="D1405" s="29">
        <v>1</v>
      </c>
      <c r="E1405" s="16">
        <v>1</v>
      </c>
      <c r="F1405" s="1">
        <v>10.142200000000001</v>
      </c>
      <c r="G1405" s="1">
        <v>0.34499999999999997</v>
      </c>
      <c r="H1405" s="1">
        <v>0.3</v>
      </c>
      <c r="I1405" s="1161">
        <f t="shared" si="124"/>
        <v>1.05</v>
      </c>
    </row>
    <row r="1406" spans="2:9">
      <c r="C1406" s="20" t="s">
        <v>2</v>
      </c>
      <c r="D1406" s="29">
        <v>1</v>
      </c>
      <c r="E1406" s="16">
        <v>1</v>
      </c>
      <c r="F1406" s="1">
        <v>10.142200000000001</v>
      </c>
      <c r="G1406" s="1">
        <v>0.23</v>
      </c>
      <c r="H1406" s="1">
        <v>0.19</v>
      </c>
      <c r="I1406" s="1161">
        <f t="shared" ref="I1406:I1469" si="125">IF(D1406&lt;&gt;0,ROUND(PRODUCT(E1406:H1406)*D1406,2),"")</f>
        <v>0.44</v>
      </c>
    </row>
    <row r="1407" spans="2:9">
      <c r="C1407" s="20" t="s">
        <v>2</v>
      </c>
      <c r="E1407" s="16"/>
      <c r="F1407" s="1"/>
      <c r="G1407" s="1"/>
      <c r="H1407" s="1"/>
      <c r="I1407" s="1161" t="str">
        <f t="shared" si="125"/>
        <v/>
      </c>
    </row>
    <row r="1408" spans="2:9">
      <c r="B1408" s="22" t="s">
        <v>746</v>
      </c>
      <c r="C1408" s="20" t="s">
        <v>2</v>
      </c>
      <c r="D1408" s="29">
        <v>1</v>
      </c>
      <c r="E1408" s="16">
        <v>1</v>
      </c>
      <c r="F1408" s="1">
        <v>10.142200000000001</v>
      </c>
      <c r="G1408" s="1">
        <v>0.46</v>
      </c>
      <c r="H1408" s="1">
        <v>0.3</v>
      </c>
      <c r="I1408" s="1161">
        <f t="shared" si="125"/>
        <v>1.4</v>
      </c>
    </row>
    <row r="1409" spans="2:9">
      <c r="C1409" s="20" t="s">
        <v>2</v>
      </c>
      <c r="D1409" s="29">
        <v>1</v>
      </c>
      <c r="E1409" s="16">
        <v>1</v>
      </c>
      <c r="F1409" s="1">
        <v>10.142200000000001</v>
      </c>
      <c r="G1409" s="1">
        <v>0.34499999999999997</v>
      </c>
      <c r="H1409" s="1">
        <v>0.3</v>
      </c>
      <c r="I1409" s="1161">
        <f t="shared" si="125"/>
        <v>1.05</v>
      </c>
    </row>
    <row r="1410" spans="2:9">
      <c r="C1410" s="20" t="s">
        <v>2</v>
      </c>
      <c r="D1410" s="29">
        <v>1</v>
      </c>
      <c r="E1410" s="16">
        <v>1</v>
      </c>
      <c r="F1410" s="1">
        <v>10.142200000000001</v>
      </c>
      <c r="G1410" s="1">
        <v>0.23</v>
      </c>
      <c r="H1410" s="1">
        <v>0.19</v>
      </c>
      <c r="I1410" s="1161">
        <f t="shared" si="125"/>
        <v>0.44</v>
      </c>
    </row>
    <row r="1411" spans="2:9">
      <c r="C1411" s="20" t="s">
        <v>2</v>
      </c>
      <c r="E1411" s="16"/>
      <c r="F1411" s="1"/>
      <c r="G1411" s="1"/>
      <c r="H1411" s="1"/>
      <c r="I1411" s="1161" t="str">
        <f t="shared" si="125"/>
        <v/>
      </c>
    </row>
    <row r="1412" spans="2:9">
      <c r="B1412" s="22" t="s">
        <v>747</v>
      </c>
      <c r="C1412" s="20" t="s">
        <v>2</v>
      </c>
      <c r="D1412" s="29">
        <v>1</v>
      </c>
      <c r="E1412" s="16">
        <v>1</v>
      </c>
      <c r="F1412" s="1">
        <v>10.142200000000001</v>
      </c>
      <c r="G1412" s="1">
        <v>0.46</v>
      </c>
      <c r="H1412" s="1">
        <v>0.3</v>
      </c>
      <c r="I1412" s="1161">
        <f t="shared" si="125"/>
        <v>1.4</v>
      </c>
    </row>
    <row r="1413" spans="2:9">
      <c r="C1413" s="20" t="s">
        <v>2</v>
      </c>
      <c r="D1413" s="29">
        <v>1</v>
      </c>
      <c r="E1413" s="16">
        <v>1</v>
      </c>
      <c r="F1413" s="1">
        <v>10.142200000000001</v>
      </c>
      <c r="G1413" s="1">
        <v>0.34499999999999997</v>
      </c>
      <c r="H1413" s="1">
        <v>0.3</v>
      </c>
      <c r="I1413" s="1161">
        <f t="shared" si="125"/>
        <v>1.05</v>
      </c>
    </row>
    <row r="1414" spans="2:9">
      <c r="C1414" s="20" t="s">
        <v>2</v>
      </c>
      <c r="D1414" s="29">
        <v>1</v>
      </c>
      <c r="E1414" s="16">
        <v>1</v>
      </c>
      <c r="F1414" s="1">
        <v>10.142200000000001</v>
      </c>
      <c r="G1414" s="1">
        <v>0.23</v>
      </c>
      <c r="H1414" s="1">
        <v>0.19</v>
      </c>
      <c r="I1414" s="1161">
        <f t="shared" si="125"/>
        <v>0.44</v>
      </c>
    </row>
    <row r="1415" spans="2:9">
      <c r="C1415" s="20" t="s">
        <v>2</v>
      </c>
      <c r="E1415" s="16"/>
      <c r="F1415" s="1"/>
      <c r="G1415" s="1"/>
      <c r="H1415" s="1"/>
      <c r="I1415" s="1161" t="str">
        <f t="shared" si="125"/>
        <v/>
      </c>
    </row>
    <row r="1416" spans="2:9">
      <c r="B1416" s="22" t="s">
        <v>748</v>
      </c>
      <c r="C1416" s="20" t="s">
        <v>2</v>
      </c>
      <c r="D1416" s="29">
        <v>1</v>
      </c>
      <c r="E1416" s="16">
        <v>1</v>
      </c>
      <c r="F1416" s="1">
        <v>10.142200000000001</v>
      </c>
      <c r="G1416" s="1">
        <v>0.46</v>
      </c>
      <c r="H1416" s="1">
        <v>0.3</v>
      </c>
      <c r="I1416" s="1161">
        <f t="shared" si="125"/>
        <v>1.4</v>
      </c>
    </row>
    <row r="1417" spans="2:9">
      <c r="C1417" s="20" t="s">
        <v>2</v>
      </c>
      <c r="D1417" s="29">
        <v>1</v>
      </c>
      <c r="E1417" s="16">
        <v>1</v>
      </c>
      <c r="F1417" s="1">
        <v>10.142200000000001</v>
      </c>
      <c r="G1417" s="1">
        <v>0.34499999999999997</v>
      </c>
      <c r="H1417" s="1">
        <v>0.3</v>
      </c>
      <c r="I1417" s="1161">
        <f t="shared" si="125"/>
        <v>1.05</v>
      </c>
    </row>
    <row r="1418" spans="2:9">
      <c r="C1418" s="20" t="s">
        <v>2</v>
      </c>
      <c r="D1418" s="29">
        <v>1</v>
      </c>
      <c r="E1418" s="16">
        <v>1</v>
      </c>
      <c r="F1418" s="1">
        <v>10.142200000000001</v>
      </c>
      <c r="G1418" s="1">
        <v>0.23</v>
      </c>
      <c r="H1418" s="1">
        <v>0.19</v>
      </c>
      <c r="I1418" s="1161">
        <f t="shared" si="125"/>
        <v>0.44</v>
      </c>
    </row>
    <row r="1419" spans="2:9">
      <c r="C1419" s="20"/>
      <c r="E1419" s="16"/>
      <c r="F1419" s="1"/>
      <c r="G1419" s="1"/>
      <c r="H1419" s="1"/>
      <c r="I1419" s="1161" t="str">
        <f t="shared" si="125"/>
        <v/>
      </c>
    </row>
    <row r="1420" spans="2:9" ht="31.5">
      <c r="B1420" s="22" t="s">
        <v>1165</v>
      </c>
      <c r="C1420" s="20" t="s">
        <v>2</v>
      </c>
      <c r="D1420" s="29">
        <v>1</v>
      </c>
      <c r="E1420" s="16">
        <v>1</v>
      </c>
      <c r="F1420" s="1">
        <v>10.142200000000001</v>
      </c>
      <c r="G1420" s="1">
        <v>0.46</v>
      </c>
      <c r="H1420" s="1">
        <v>0.3</v>
      </c>
      <c r="I1420" s="1161">
        <f t="shared" si="125"/>
        <v>1.4</v>
      </c>
    </row>
    <row r="1421" spans="2:9">
      <c r="C1421" s="20" t="s">
        <v>2</v>
      </c>
      <c r="D1421" s="29">
        <v>1</v>
      </c>
      <c r="E1421" s="16">
        <v>1</v>
      </c>
      <c r="F1421" s="1">
        <v>10.142200000000001</v>
      </c>
      <c r="G1421" s="1">
        <v>0.34499999999999997</v>
      </c>
      <c r="H1421" s="1">
        <v>0.3</v>
      </c>
      <c r="I1421" s="1161">
        <f t="shared" si="125"/>
        <v>1.05</v>
      </c>
    </row>
    <row r="1422" spans="2:9">
      <c r="C1422" s="20" t="s">
        <v>2</v>
      </c>
      <c r="D1422" s="29">
        <v>1</v>
      </c>
      <c r="E1422" s="16">
        <v>1</v>
      </c>
      <c r="F1422" s="1">
        <v>10.142200000000001</v>
      </c>
      <c r="G1422" s="1">
        <v>0.23</v>
      </c>
      <c r="H1422" s="1">
        <v>0.19</v>
      </c>
      <c r="I1422" s="1161">
        <f t="shared" si="125"/>
        <v>0.44</v>
      </c>
    </row>
    <row r="1423" spans="2:9">
      <c r="C1423" s="20" t="s">
        <v>2</v>
      </c>
      <c r="E1423" s="16"/>
      <c r="F1423" s="1"/>
      <c r="G1423" s="1"/>
      <c r="H1423" s="1"/>
      <c r="I1423" s="1161" t="str">
        <f t="shared" si="125"/>
        <v/>
      </c>
    </row>
    <row r="1424" spans="2:9">
      <c r="B1424" s="22" t="s">
        <v>750</v>
      </c>
      <c r="C1424" s="20" t="s">
        <v>2</v>
      </c>
      <c r="D1424" s="29">
        <v>1</v>
      </c>
      <c r="E1424" s="16">
        <v>1</v>
      </c>
      <c r="F1424" s="1">
        <v>10.142200000000001</v>
      </c>
      <c r="G1424" s="1">
        <v>0.46</v>
      </c>
      <c r="H1424" s="1">
        <v>0.3</v>
      </c>
      <c r="I1424" s="1161">
        <f t="shared" si="125"/>
        <v>1.4</v>
      </c>
    </row>
    <row r="1425" spans="1:9">
      <c r="C1425" s="20" t="s">
        <v>2</v>
      </c>
      <c r="D1425" s="29">
        <v>1</v>
      </c>
      <c r="E1425" s="16">
        <v>1</v>
      </c>
      <c r="F1425" s="1">
        <v>10.142200000000001</v>
      </c>
      <c r="G1425" s="1">
        <v>0.34499999999999997</v>
      </c>
      <c r="H1425" s="1">
        <v>0.3</v>
      </c>
      <c r="I1425" s="1161">
        <f t="shared" si="125"/>
        <v>1.05</v>
      </c>
    </row>
    <row r="1426" spans="1:9">
      <c r="C1426" s="20" t="s">
        <v>2</v>
      </c>
      <c r="D1426" s="29">
        <v>1</v>
      </c>
      <c r="E1426" s="16">
        <v>1</v>
      </c>
      <c r="F1426" s="1">
        <v>10.142200000000001</v>
      </c>
      <c r="G1426" s="1">
        <v>0.23</v>
      </c>
      <c r="H1426" s="1">
        <v>0.19</v>
      </c>
      <c r="I1426" s="1161">
        <f t="shared" si="125"/>
        <v>0.44</v>
      </c>
    </row>
    <row r="1427" spans="1:9">
      <c r="C1427" s="20" t="s">
        <v>2</v>
      </c>
      <c r="E1427" s="16"/>
      <c r="F1427" s="1"/>
      <c r="G1427" s="1"/>
      <c r="H1427" s="1"/>
      <c r="I1427" s="1161" t="str">
        <f t="shared" si="125"/>
        <v/>
      </c>
    </row>
    <row r="1428" spans="1:9">
      <c r="B1428" s="22" t="s">
        <v>751</v>
      </c>
      <c r="C1428" s="20" t="s">
        <v>2</v>
      </c>
      <c r="D1428" s="29">
        <v>1</v>
      </c>
      <c r="E1428" s="16">
        <v>1</v>
      </c>
      <c r="F1428" s="1">
        <v>10.142200000000001</v>
      </c>
      <c r="G1428" s="1">
        <v>0.46</v>
      </c>
      <c r="H1428" s="1">
        <v>0.3</v>
      </c>
      <c r="I1428" s="1161">
        <f t="shared" si="125"/>
        <v>1.4</v>
      </c>
    </row>
    <row r="1429" spans="1:9">
      <c r="C1429" s="20" t="s">
        <v>2</v>
      </c>
      <c r="D1429" s="29">
        <v>1</v>
      </c>
      <c r="E1429" s="16">
        <v>1</v>
      </c>
      <c r="F1429" s="1">
        <v>10.142200000000001</v>
      </c>
      <c r="G1429" s="1">
        <v>0.34499999999999997</v>
      </c>
      <c r="H1429" s="1">
        <v>0.3</v>
      </c>
      <c r="I1429" s="1161">
        <f t="shared" si="125"/>
        <v>1.05</v>
      </c>
    </row>
    <row r="1430" spans="1:9">
      <c r="C1430" s="20" t="s">
        <v>2</v>
      </c>
      <c r="D1430" s="29">
        <v>1</v>
      </c>
      <c r="E1430" s="16">
        <v>1</v>
      </c>
      <c r="F1430" s="1">
        <v>10.142200000000001</v>
      </c>
      <c r="G1430" s="1">
        <v>0.23</v>
      </c>
      <c r="H1430" s="1">
        <v>0.19</v>
      </c>
      <c r="I1430" s="1161">
        <f t="shared" si="125"/>
        <v>0.44</v>
      </c>
    </row>
    <row r="1431" spans="1:9">
      <c r="C1431" s="20" t="s">
        <v>2</v>
      </c>
      <c r="E1431" s="16"/>
      <c r="F1431" s="1"/>
      <c r="G1431" s="1"/>
      <c r="H1431" s="1"/>
      <c r="I1431" s="1161" t="str">
        <f t="shared" si="125"/>
        <v/>
      </c>
    </row>
    <row r="1432" spans="1:9">
      <c r="B1432" s="22" t="s">
        <v>752</v>
      </c>
      <c r="C1432" s="20" t="s">
        <v>2</v>
      </c>
      <c r="D1432" s="29">
        <v>1</v>
      </c>
      <c r="E1432" s="16">
        <v>1</v>
      </c>
      <c r="F1432" s="1">
        <v>10.142200000000001</v>
      </c>
      <c r="G1432" s="1">
        <v>0.46</v>
      </c>
      <c r="H1432" s="1">
        <v>0.3</v>
      </c>
      <c r="I1432" s="1161">
        <f t="shared" si="125"/>
        <v>1.4</v>
      </c>
    </row>
    <row r="1433" spans="1:9">
      <c r="C1433" s="20" t="s">
        <v>2</v>
      </c>
      <c r="D1433" s="29">
        <v>1</v>
      </c>
      <c r="E1433" s="16">
        <v>1</v>
      </c>
      <c r="F1433" s="1">
        <v>10.142200000000001</v>
      </c>
      <c r="G1433" s="1">
        <v>0.34499999999999997</v>
      </c>
      <c r="H1433" s="1">
        <v>0.3</v>
      </c>
      <c r="I1433" s="1161">
        <f t="shared" si="125"/>
        <v>1.05</v>
      </c>
    </row>
    <row r="1434" spans="1:9">
      <c r="C1434" s="20" t="s">
        <v>2</v>
      </c>
      <c r="D1434" s="29">
        <v>1</v>
      </c>
      <c r="E1434" s="16">
        <v>1</v>
      </c>
      <c r="F1434" s="1">
        <v>10.142200000000001</v>
      </c>
      <c r="G1434" s="1">
        <v>0.23</v>
      </c>
      <c r="H1434" s="1">
        <v>0.19</v>
      </c>
      <c r="I1434" s="1161">
        <f t="shared" si="125"/>
        <v>0.44</v>
      </c>
    </row>
    <row r="1435" spans="1:9">
      <c r="C1435" s="20"/>
      <c r="E1435" s="16"/>
      <c r="F1435" s="1"/>
      <c r="G1435" s="1"/>
      <c r="H1435" s="1"/>
      <c r="I1435" s="1161" t="str">
        <f t="shared" si="125"/>
        <v/>
      </c>
    </row>
    <row r="1436" spans="1:9" ht="31.5">
      <c r="A1436" s="9">
        <v>2</v>
      </c>
      <c r="B1436" s="22" t="s">
        <v>765</v>
      </c>
      <c r="C1436" s="20"/>
      <c r="E1436" s="16"/>
      <c r="F1436" s="1"/>
      <c r="G1436" s="1"/>
      <c r="H1436" s="1"/>
      <c r="I1436" s="1161" t="str">
        <f t="shared" si="125"/>
        <v/>
      </c>
    </row>
    <row r="1437" spans="1:9">
      <c r="C1437" s="20"/>
      <c r="E1437" s="16"/>
      <c r="F1437" s="1"/>
      <c r="G1437" s="1"/>
      <c r="H1437" s="1"/>
      <c r="I1437" s="1161" t="str">
        <f t="shared" si="125"/>
        <v/>
      </c>
    </row>
    <row r="1438" spans="1:9" ht="31.5">
      <c r="B1438" s="22" t="s">
        <v>765</v>
      </c>
      <c r="C1438" s="20"/>
      <c r="E1438" s="16"/>
      <c r="F1438" s="1"/>
      <c r="G1438" s="1"/>
      <c r="H1438" s="1"/>
      <c r="I1438" s="1161" t="str">
        <f t="shared" si="125"/>
        <v/>
      </c>
    </row>
    <row r="1439" spans="1:9">
      <c r="B1439" s="22" t="s">
        <v>754</v>
      </c>
      <c r="C1439" s="20" t="s">
        <v>167</v>
      </c>
      <c r="D1439" s="29">
        <v>1</v>
      </c>
      <c r="E1439" s="16">
        <v>1</v>
      </c>
      <c r="F1439" s="1">
        <v>8.2149999999999999</v>
      </c>
      <c r="G1439" s="1">
        <v>0.46</v>
      </c>
      <c r="H1439" s="1">
        <v>0.3</v>
      </c>
      <c r="I1439" s="1161">
        <f t="shared" si="125"/>
        <v>1.1299999999999999</v>
      </c>
    </row>
    <row r="1440" spans="1:9">
      <c r="C1440" s="20" t="s">
        <v>167</v>
      </c>
      <c r="D1440" s="29">
        <v>1</v>
      </c>
      <c r="E1440" s="16">
        <v>1</v>
      </c>
      <c r="F1440" s="1">
        <v>8.2149999999999999</v>
      </c>
      <c r="G1440" s="1">
        <v>0.34499999999999997</v>
      </c>
      <c r="H1440" s="1">
        <v>0.3</v>
      </c>
      <c r="I1440" s="1161">
        <f t="shared" si="125"/>
        <v>0.85</v>
      </c>
    </row>
    <row r="1441" spans="2:9">
      <c r="C1441" s="20" t="s">
        <v>167</v>
      </c>
      <c r="D1441" s="29">
        <v>1</v>
      </c>
      <c r="E1441" s="16">
        <v>1</v>
      </c>
      <c r="F1441" s="1">
        <v>8.2149999999999999</v>
      </c>
      <c r="G1441" s="1">
        <v>0.23</v>
      </c>
      <c r="H1441" s="1">
        <v>0.59000000000000008</v>
      </c>
      <c r="I1441" s="1161">
        <f t="shared" si="125"/>
        <v>1.1100000000000001</v>
      </c>
    </row>
    <row r="1442" spans="2:9">
      <c r="C1442" s="20"/>
      <c r="E1442" s="16"/>
      <c r="F1442" s="1"/>
      <c r="G1442" s="1"/>
      <c r="H1442" s="1"/>
      <c r="I1442" s="1161" t="str">
        <f t="shared" si="125"/>
        <v/>
      </c>
    </row>
    <row r="1443" spans="2:9">
      <c r="B1443" s="22" t="s">
        <v>755</v>
      </c>
      <c r="C1443" s="20" t="s">
        <v>167</v>
      </c>
      <c r="D1443" s="29">
        <v>1</v>
      </c>
      <c r="E1443" s="16">
        <v>1</v>
      </c>
      <c r="F1443" s="1">
        <v>2.343</v>
      </c>
      <c r="G1443" s="1">
        <v>0.46</v>
      </c>
      <c r="H1443" s="1">
        <v>0.3</v>
      </c>
      <c r="I1443" s="1161">
        <f t="shared" si="125"/>
        <v>0.32</v>
      </c>
    </row>
    <row r="1444" spans="2:9">
      <c r="C1444" s="20" t="s">
        <v>167</v>
      </c>
      <c r="D1444" s="29">
        <v>1</v>
      </c>
      <c r="E1444" s="16">
        <v>1</v>
      </c>
      <c r="F1444" s="1">
        <v>2.343</v>
      </c>
      <c r="G1444" s="1">
        <v>0.34499999999999997</v>
      </c>
      <c r="H1444" s="1">
        <v>0.3</v>
      </c>
      <c r="I1444" s="1161">
        <f t="shared" si="125"/>
        <v>0.24</v>
      </c>
    </row>
    <row r="1445" spans="2:9">
      <c r="C1445" s="20" t="s">
        <v>167</v>
      </c>
      <c r="D1445" s="29">
        <v>1</v>
      </c>
      <c r="E1445" s="16">
        <v>1</v>
      </c>
      <c r="F1445" s="1">
        <v>2.343</v>
      </c>
      <c r="G1445" s="1">
        <v>0.23</v>
      </c>
      <c r="H1445" s="1">
        <v>0.59000000000000008</v>
      </c>
      <c r="I1445" s="1161">
        <f t="shared" si="125"/>
        <v>0.32</v>
      </c>
    </row>
    <row r="1446" spans="2:9">
      <c r="C1446" s="20"/>
      <c r="E1446" s="16"/>
      <c r="F1446" s="1"/>
      <c r="G1446" s="1"/>
      <c r="H1446" s="1"/>
      <c r="I1446" s="1161" t="str">
        <f t="shared" si="125"/>
        <v/>
      </c>
    </row>
    <row r="1447" spans="2:9">
      <c r="B1447" s="22" t="s">
        <v>756</v>
      </c>
      <c r="C1447" s="20" t="s">
        <v>167</v>
      </c>
      <c r="D1447" s="29">
        <v>1</v>
      </c>
      <c r="E1447" s="16">
        <v>1</v>
      </c>
      <c r="F1447" s="1">
        <v>5.1429999999999998</v>
      </c>
      <c r="G1447" s="1">
        <v>0.46</v>
      </c>
      <c r="H1447" s="1">
        <v>0.3</v>
      </c>
      <c r="I1447" s="1161">
        <f t="shared" si="125"/>
        <v>0.71</v>
      </c>
    </row>
    <row r="1448" spans="2:9">
      <c r="C1448" s="20" t="s">
        <v>167</v>
      </c>
      <c r="D1448" s="29">
        <v>1</v>
      </c>
      <c r="E1448" s="16">
        <v>1</v>
      </c>
      <c r="F1448" s="1">
        <v>5.1429999999999998</v>
      </c>
      <c r="G1448" s="1">
        <v>0.34499999999999997</v>
      </c>
      <c r="H1448" s="1">
        <v>0.3</v>
      </c>
      <c r="I1448" s="1161">
        <f t="shared" si="125"/>
        <v>0.53</v>
      </c>
    </row>
    <row r="1449" spans="2:9">
      <c r="C1449" s="20" t="s">
        <v>167</v>
      </c>
      <c r="D1449" s="29">
        <v>1</v>
      </c>
      <c r="E1449" s="16">
        <v>1</v>
      </c>
      <c r="F1449" s="1">
        <v>5.1429999999999998</v>
      </c>
      <c r="G1449" s="1">
        <v>0.23</v>
      </c>
      <c r="H1449" s="1">
        <v>0.59000000000000008</v>
      </c>
      <c r="I1449" s="1161">
        <f t="shared" si="125"/>
        <v>0.7</v>
      </c>
    </row>
    <row r="1450" spans="2:9">
      <c r="C1450" s="20"/>
      <c r="E1450" s="16"/>
      <c r="F1450" s="1"/>
      <c r="G1450" s="1"/>
      <c r="H1450" s="1"/>
      <c r="I1450" s="1161" t="str">
        <f t="shared" si="125"/>
        <v/>
      </c>
    </row>
    <row r="1451" spans="2:9">
      <c r="B1451" s="22" t="s">
        <v>1142</v>
      </c>
      <c r="C1451" s="20" t="s">
        <v>2</v>
      </c>
      <c r="D1451" s="29">
        <v>1</v>
      </c>
      <c r="E1451" s="16">
        <v>1</v>
      </c>
      <c r="F1451" s="1">
        <v>4.5309999999999997</v>
      </c>
      <c r="G1451" s="1">
        <v>0.46</v>
      </c>
      <c r="H1451" s="1">
        <v>0.3</v>
      </c>
      <c r="I1451" s="1161">
        <f t="shared" si="125"/>
        <v>0.63</v>
      </c>
    </row>
    <row r="1452" spans="2:9">
      <c r="C1452" s="20" t="s">
        <v>2</v>
      </c>
      <c r="D1452" s="29">
        <v>1</v>
      </c>
      <c r="E1452" s="16">
        <v>1</v>
      </c>
      <c r="F1452" s="1">
        <v>4.5309999999999997</v>
      </c>
      <c r="G1452" s="1">
        <v>0.34499999999999997</v>
      </c>
      <c r="H1452" s="1">
        <v>0.3</v>
      </c>
      <c r="I1452" s="1161">
        <f t="shared" si="125"/>
        <v>0.47</v>
      </c>
    </row>
    <row r="1453" spans="2:9">
      <c r="C1453" s="20" t="s">
        <v>2</v>
      </c>
      <c r="D1453" s="29">
        <v>1</v>
      </c>
      <c r="E1453" s="16">
        <v>1</v>
      </c>
      <c r="F1453" s="1">
        <v>4.5309999999999997</v>
      </c>
      <c r="G1453" s="1">
        <v>0.23</v>
      </c>
      <c r="H1453" s="1">
        <v>0.59000000000000008</v>
      </c>
      <c r="I1453" s="1161">
        <f t="shared" si="125"/>
        <v>0.61</v>
      </c>
    </row>
    <row r="1454" spans="2:9">
      <c r="C1454" s="20"/>
      <c r="E1454" s="16"/>
      <c r="F1454" s="1"/>
      <c r="G1454" s="1"/>
      <c r="H1454" s="1"/>
      <c r="I1454" s="1161" t="str">
        <f t="shared" si="125"/>
        <v/>
      </c>
    </row>
    <row r="1455" spans="2:9">
      <c r="B1455" s="22" t="s">
        <v>1127</v>
      </c>
      <c r="C1455" s="20" t="s">
        <v>2</v>
      </c>
      <c r="D1455" s="29">
        <v>1</v>
      </c>
      <c r="E1455" s="16">
        <v>1</v>
      </c>
      <c r="F1455" s="1">
        <v>5.2889999999999997</v>
      </c>
      <c r="G1455" s="1">
        <v>0.46</v>
      </c>
      <c r="H1455" s="1">
        <v>0.3</v>
      </c>
      <c r="I1455" s="1161">
        <f t="shared" si="125"/>
        <v>0.73</v>
      </c>
    </row>
    <row r="1456" spans="2:9">
      <c r="C1456" s="20" t="s">
        <v>2</v>
      </c>
      <c r="D1456" s="29">
        <v>1</v>
      </c>
      <c r="E1456" s="16">
        <v>1</v>
      </c>
      <c r="F1456" s="1">
        <v>5.2889999999999997</v>
      </c>
      <c r="G1456" s="1">
        <v>0.34499999999999997</v>
      </c>
      <c r="H1456" s="1">
        <v>0.3</v>
      </c>
      <c r="I1456" s="1161">
        <f t="shared" si="125"/>
        <v>0.55000000000000004</v>
      </c>
    </row>
    <row r="1457" spans="1:9">
      <c r="C1457" s="20" t="s">
        <v>2</v>
      </c>
      <c r="D1457" s="29">
        <v>1</v>
      </c>
      <c r="E1457" s="16">
        <v>1</v>
      </c>
      <c r="F1457" s="1">
        <v>5.2889999999999997</v>
      </c>
      <c r="G1457" s="1">
        <v>0.23</v>
      </c>
      <c r="H1457" s="1">
        <v>0.59000000000000008</v>
      </c>
      <c r="I1457" s="1161">
        <f t="shared" si="125"/>
        <v>0.72</v>
      </c>
    </row>
    <row r="1458" spans="1:9">
      <c r="C1458" s="20"/>
      <c r="E1458" s="16"/>
      <c r="F1458" s="1"/>
      <c r="G1458" s="1"/>
      <c r="H1458" s="1"/>
      <c r="I1458" s="1161" t="str">
        <f t="shared" si="125"/>
        <v/>
      </c>
    </row>
    <row r="1459" spans="1:9">
      <c r="B1459" s="22" t="s">
        <v>1128</v>
      </c>
      <c r="C1459" s="20" t="s">
        <v>2</v>
      </c>
      <c r="D1459" s="29">
        <v>1</v>
      </c>
      <c r="E1459" s="16">
        <v>1</v>
      </c>
      <c r="F1459" s="1">
        <v>3.1429999999999998</v>
      </c>
      <c r="G1459" s="1">
        <v>0.46</v>
      </c>
      <c r="H1459" s="1">
        <v>0.3</v>
      </c>
      <c r="I1459" s="1161">
        <f t="shared" si="125"/>
        <v>0.43</v>
      </c>
    </row>
    <row r="1460" spans="1:9">
      <c r="C1460" s="20" t="s">
        <v>2</v>
      </c>
      <c r="D1460" s="29">
        <v>1</v>
      </c>
      <c r="E1460" s="16">
        <v>1</v>
      </c>
      <c r="F1460" s="1">
        <v>3.1429999999999998</v>
      </c>
      <c r="G1460" s="1">
        <v>0.34499999999999997</v>
      </c>
      <c r="H1460" s="1">
        <v>0.3</v>
      </c>
      <c r="I1460" s="1161">
        <f t="shared" si="125"/>
        <v>0.33</v>
      </c>
    </row>
    <row r="1461" spans="1:9">
      <c r="C1461" s="20" t="s">
        <v>2</v>
      </c>
      <c r="D1461" s="29">
        <v>1</v>
      </c>
      <c r="E1461" s="16">
        <v>1</v>
      </c>
      <c r="F1461" s="1">
        <v>3.1429999999999998</v>
      </c>
      <c r="G1461" s="1">
        <v>0.23</v>
      </c>
      <c r="H1461" s="1">
        <v>0.59000000000000008</v>
      </c>
      <c r="I1461" s="1161">
        <f t="shared" si="125"/>
        <v>0.43</v>
      </c>
    </row>
    <row r="1462" spans="1:9">
      <c r="C1462" s="20"/>
      <c r="E1462" s="16"/>
      <c r="F1462" s="1"/>
      <c r="G1462" s="1"/>
      <c r="H1462" s="1"/>
      <c r="I1462" s="1161" t="str">
        <f t="shared" si="125"/>
        <v/>
      </c>
    </row>
    <row r="1463" spans="1:9">
      <c r="B1463" s="22" t="s">
        <v>1128</v>
      </c>
      <c r="C1463" s="20" t="s">
        <v>2</v>
      </c>
      <c r="D1463" s="29">
        <v>1</v>
      </c>
      <c r="E1463" s="16">
        <v>1</v>
      </c>
      <c r="F1463" s="1">
        <v>3.121</v>
      </c>
      <c r="G1463" s="1">
        <v>0.46</v>
      </c>
      <c r="H1463" s="1">
        <v>0.3</v>
      </c>
      <c r="I1463" s="1161">
        <f t="shared" si="125"/>
        <v>0.43</v>
      </c>
    </row>
    <row r="1464" spans="1:9">
      <c r="C1464" s="20" t="s">
        <v>2</v>
      </c>
      <c r="D1464" s="29">
        <v>1</v>
      </c>
      <c r="E1464" s="16">
        <v>1</v>
      </c>
      <c r="F1464" s="1">
        <v>3.121</v>
      </c>
      <c r="G1464" s="1">
        <v>0.34499999999999997</v>
      </c>
      <c r="H1464" s="1">
        <v>0.3</v>
      </c>
      <c r="I1464" s="1161">
        <f t="shared" si="125"/>
        <v>0.32</v>
      </c>
    </row>
    <row r="1465" spans="1:9">
      <c r="C1465" s="20" t="s">
        <v>2</v>
      </c>
      <c r="D1465" s="29">
        <v>1</v>
      </c>
      <c r="E1465" s="16">
        <v>1</v>
      </c>
      <c r="F1465" s="1">
        <v>3.121</v>
      </c>
      <c r="G1465" s="1">
        <v>0.23</v>
      </c>
      <c r="H1465" s="1">
        <v>0.59000000000000008</v>
      </c>
      <c r="I1465" s="1161">
        <f t="shared" si="125"/>
        <v>0.42</v>
      </c>
    </row>
    <row r="1466" spans="1:9">
      <c r="C1466" s="20"/>
      <c r="E1466" s="16"/>
      <c r="F1466" s="1"/>
      <c r="G1466" s="1"/>
      <c r="H1466" s="1"/>
      <c r="I1466" s="1161" t="str">
        <f t="shared" si="125"/>
        <v/>
      </c>
    </row>
    <row r="1467" spans="1:9">
      <c r="A1467" s="9">
        <v>3</v>
      </c>
      <c r="B1467" s="22" t="s">
        <v>1166</v>
      </c>
      <c r="C1467" s="20"/>
      <c r="E1467" s="16"/>
      <c r="F1467" s="1"/>
      <c r="G1467" s="1"/>
      <c r="H1467" s="1"/>
      <c r="I1467" s="1161" t="str">
        <f t="shared" si="125"/>
        <v/>
      </c>
    </row>
    <row r="1468" spans="1:9">
      <c r="B1468" s="22" t="s">
        <v>1166</v>
      </c>
      <c r="C1468" s="20" t="s">
        <v>2</v>
      </c>
      <c r="D1468" s="29">
        <v>1</v>
      </c>
      <c r="E1468" s="16">
        <v>1</v>
      </c>
      <c r="F1468" s="1">
        <v>28.334999999999997</v>
      </c>
      <c r="G1468" s="1">
        <v>0.83899999999999997</v>
      </c>
      <c r="H1468" s="1">
        <v>0.6</v>
      </c>
      <c r="I1468" s="1161">
        <f t="shared" si="125"/>
        <v>14.26</v>
      </c>
    </row>
    <row r="1469" spans="1:9" ht="31.5">
      <c r="B1469" s="22" t="s">
        <v>1167</v>
      </c>
      <c r="C1469" s="20" t="s">
        <v>2</v>
      </c>
      <c r="D1469" s="29">
        <v>1</v>
      </c>
      <c r="E1469" s="16">
        <v>1</v>
      </c>
      <c r="F1469" s="1">
        <v>1.353</v>
      </c>
      <c r="G1469" s="1">
        <v>0.30499999999999999</v>
      </c>
      <c r="H1469" s="1">
        <v>0.4</v>
      </c>
      <c r="I1469" s="1161">
        <f t="shared" si="125"/>
        <v>0.17</v>
      </c>
    </row>
    <row r="1470" spans="1:9">
      <c r="C1470" s="20" t="s">
        <v>2</v>
      </c>
      <c r="D1470" s="29">
        <v>1</v>
      </c>
      <c r="E1470" s="16">
        <v>1</v>
      </c>
      <c r="F1470" s="1">
        <v>1.353</v>
      </c>
      <c r="G1470" s="1">
        <v>0.30399999999999999</v>
      </c>
      <c r="H1470" s="1">
        <v>0.55000000000000004</v>
      </c>
      <c r="I1470" s="1161">
        <f t="shared" ref="I1470:I1474" si="126">IF(D1470&lt;&gt;0,ROUND(PRODUCT(E1470:H1470)*D1470,2),"")</f>
        <v>0.23</v>
      </c>
    </row>
    <row r="1471" spans="1:9">
      <c r="C1471" s="20" t="s">
        <v>2</v>
      </c>
      <c r="D1471" s="29">
        <v>1</v>
      </c>
      <c r="E1471" s="16">
        <v>1</v>
      </c>
      <c r="F1471" s="1">
        <v>1.353</v>
      </c>
      <c r="G1471" s="1">
        <v>0.23</v>
      </c>
      <c r="H1471" s="1">
        <v>0.05</v>
      </c>
      <c r="I1471" s="1161">
        <f t="shared" si="126"/>
        <v>0.02</v>
      </c>
    </row>
    <row r="1472" spans="1:9" ht="31.5">
      <c r="B1472" s="22" t="s">
        <v>1167</v>
      </c>
      <c r="C1472" s="20" t="s">
        <v>2</v>
      </c>
      <c r="D1472" s="29">
        <v>1</v>
      </c>
      <c r="E1472" s="16">
        <v>1</v>
      </c>
      <c r="F1472" s="1">
        <v>4.4589999999999996</v>
      </c>
      <c r="G1472" s="1">
        <v>0.30499999999999999</v>
      </c>
      <c r="H1472" s="1">
        <v>0.4</v>
      </c>
      <c r="I1472" s="1161">
        <f t="shared" si="126"/>
        <v>0.54</v>
      </c>
    </row>
    <row r="1473" spans="1:16">
      <c r="C1473" s="20" t="s">
        <v>2</v>
      </c>
      <c r="D1473" s="29">
        <v>1</v>
      </c>
      <c r="E1473" s="16">
        <v>1</v>
      </c>
      <c r="F1473" s="1">
        <v>4.4589999999999996</v>
      </c>
      <c r="G1473" s="1">
        <v>0.30399999999999999</v>
      </c>
      <c r="H1473" s="1">
        <v>0.55000000000000004</v>
      </c>
      <c r="I1473" s="1161">
        <f t="shared" si="126"/>
        <v>0.75</v>
      </c>
    </row>
    <row r="1474" spans="1:16">
      <c r="C1474" s="20" t="s">
        <v>2</v>
      </c>
      <c r="D1474" s="29">
        <v>1</v>
      </c>
      <c r="E1474" s="16">
        <v>1</v>
      </c>
      <c r="F1474" s="1">
        <v>4.4589999999999996</v>
      </c>
      <c r="G1474" s="1">
        <v>0.23</v>
      </c>
      <c r="H1474" s="1">
        <v>0.05</v>
      </c>
      <c r="I1474" s="1161">
        <f t="shared" si="126"/>
        <v>0.05</v>
      </c>
    </row>
    <row r="1475" spans="1:16" s="1093" customFormat="1">
      <c r="A1475" s="1085"/>
      <c r="B1475" s="1086" t="s">
        <v>2135</v>
      </c>
      <c r="C1475" s="1086"/>
      <c r="D1475" s="1087">
        <v>-1</v>
      </c>
      <c r="E1475" s="1088"/>
      <c r="F1475" s="1089">
        <f>SUM(I1343:I1474)</f>
        <v>105.60999999999994</v>
      </c>
      <c r="G1475" s="1089"/>
      <c r="H1475" s="1089"/>
      <c r="I1475" s="1090">
        <f t="shared" ref="I1475" si="127">IF(D1475&lt;&gt;0,ROUND(PRODUCT(E1475:H1475)*D1475,2),"")</f>
        <v>-105.61</v>
      </c>
      <c r="J1475" s="1091"/>
      <c r="K1475" s="1084"/>
      <c r="L1475" s="1092"/>
      <c r="M1475" s="1092"/>
      <c r="N1475" s="1092"/>
      <c r="O1475" s="1092"/>
      <c r="P1475" s="1092"/>
    </row>
    <row r="1476" spans="1:16" s="39" customFormat="1">
      <c r="A1476" s="259"/>
      <c r="B1476" s="33" t="s">
        <v>86</v>
      </c>
      <c r="C1476" s="23" t="s">
        <v>2</v>
      </c>
      <c r="D1476" s="649"/>
      <c r="E1476" s="16"/>
      <c r="F1476" s="1"/>
      <c r="G1476" s="1"/>
      <c r="H1476" s="1"/>
      <c r="I1476" s="46" t="str">
        <f t="shared" si="122"/>
        <v/>
      </c>
      <c r="J1476" s="36">
        <f>SUM(I1341:I1476)</f>
        <v>0</v>
      </c>
      <c r="K1476" s="35" t="s">
        <v>1690</v>
      </c>
      <c r="L1476" s="40"/>
      <c r="M1476" s="40"/>
      <c r="N1476" s="40"/>
      <c r="O1476" s="40"/>
      <c r="P1476" s="40"/>
    </row>
    <row r="1477" spans="1:16">
      <c r="A1477" s="259"/>
      <c r="E1477" s="16"/>
      <c r="F1477" s="1"/>
      <c r="G1477" s="1"/>
      <c r="H1477" s="1"/>
      <c r="J1477" s="31">
        <f>SUM(J1340:J1476)</f>
        <v>0</v>
      </c>
      <c r="K1477" s="17"/>
    </row>
    <row r="1478" spans="1:16">
      <c r="A1478" s="10" t="s">
        <v>726</v>
      </c>
      <c r="B1478" s="11" t="s">
        <v>798</v>
      </c>
      <c r="C1478" s="11"/>
      <c r="D1478" s="11"/>
      <c r="E1478" s="650"/>
      <c r="F1478" s="650"/>
      <c r="G1478" s="650"/>
      <c r="H1478" s="650"/>
      <c r="I1478" s="24"/>
      <c r="J1478" s="24"/>
      <c r="K1478" s="14"/>
      <c r="O1478" s="3"/>
      <c r="P1478" s="3"/>
    </row>
    <row r="1479" spans="1:16" s="42" customFormat="1">
      <c r="A1479" s="41"/>
      <c r="B1479" s="34" t="s">
        <v>85</v>
      </c>
      <c r="C1479" s="48" t="s">
        <v>1</v>
      </c>
      <c r="D1479" s="655"/>
      <c r="E1479" s="656"/>
      <c r="F1479" s="654"/>
      <c r="G1479" s="654"/>
      <c r="H1479" s="654"/>
      <c r="I1479" s="46" t="str">
        <f t="shared" ref="I1479:I1546" si="128">IF(D1479&lt;&gt;0,ROUND(PRODUCT(E1479:H1479)*D1479,2),"")</f>
        <v/>
      </c>
      <c r="J1479" s="232">
        <f>SUM(I1478:I1479)</f>
        <v>0</v>
      </c>
      <c r="K1479" s="43"/>
      <c r="L1479" s="44"/>
      <c r="M1479" s="44"/>
      <c r="N1479" s="44"/>
      <c r="O1479" s="44"/>
      <c r="P1479" s="44"/>
    </row>
    <row r="1480" spans="1:16">
      <c r="C1480" s="20"/>
      <c r="E1480" s="16"/>
      <c r="F1480" s="1"/>
      <c r="G1480" s="1"/>
      <c r="H1480" s="1"/>
      <c r="I1480" s="46" t="str">
        <f t="shared" ref="I1480" si="129">IF(D1480&lt;&gt;0,ROUND(PRODUCT(E1480:H1480)*D1480,2),"")</f>
        <v/>
      </c>
    </row>
    <row r="1481" spans="1:16" ht="31.5">
      <c r="B1481" s="22" t="s">
        <v>535</v>
      </c>
      <c r="C1481" s="20"/>
      <c r="E1481" s="16"/>
      <c r="F1481" s="1"/>
      <c r="G1481" s="1"/>
      <c r="H1481" s="1"/>
      <c r="I1481" s="46" t="str">
        <f t="shared" ref="I1481:I1545" si="130">IF(D1481&lt;&gt;0,ROUND(PRODUCT(E1481:H1481)*D1481,2),"")</f>
        <v/>
      </c>
    </row>
    <row r="1482" spans="1:16">
      <c r="B1482" s="22" t="s">
        <v>784</v>
      </c>
      <c r="C1482" s="20"/>
      <c r="E1482" s="16"/>
      <c r="F1482" s="1"/>
      <c r="G1482" s="1"/>
      <c r="H1482" s="1"/>
      <c r="I1482" s="46" t="str">
        <f t="shared" si="130"/>
        <v/>
      </c>
    </row>
    <row r="1483" spans="1:16" ht="63">
      <c r="B1483" s="22" t="s">
        <v>785</v>
      </c>
      <c r="C1483" s="20"/>
      <c r="E1483" s="16"/>
      <c r="F1483" s="1" t="s">
        <v>786</v>
      </c>
      <c r="G1483" s="1"/>
      <c r="H1483" s="1"/>
      <c r="I1483" s="46" t="str">
        <f t="shared" si="130"/>
        <v/>
      </c>
    </row>
    <row r="1484" spans="1:16">
      <c r="B1484" s="22" t="s">
        <v>769</v>
      </c>
      <c r="C1484" s="20" t="s">
        <v>1</v>
      </c>
      <c r="D1484" s="29">
        <v>1</v>
      </c>
      <c r="E1484" s="16">
        <v>1</v>
      </c>
      <c r="F1484" s="1">
        <v>27.004000000000001</v>
      </c>
      <c r="G1484" s="1"/>
      <c r="H1484" s="1">
        <v>0.2</v>
      </c>
      <c r="I1484" s="1161">
        <f t="shared" si="130"/>
        <v>5.4</v>
      </c>
    </row>
    <row r="1485" spans="1:16" ht="31.5">
      <c r="B1485" s="22" t="s">
        <v>787</v>
      </c>
      <c r="C1485" s="20" t="s">
        <v>1</v>
      </c>
      <c r="D1485" s="29">
        <v>1</v>
      </c>
      <c r="E1485" s="16">
        <v>1</v>
      </c>
      <c r="F1485" s="1">
        <v>16.328000000000003</v>
      </c>
      <c r="G1485" s="1"/>
      <c r="H1485" s="1">
        <v>0.2</v>
      </c>
      <c r="I1485" s="1161">
        <f t="shared" si="130"/>
        <v>3.27</v>
      </c>
    </row>
    <row r="1486" spans="1:16" ht="31.5">
      <c r="B1486" s="22" t="s">
        <v>788</v>
      </c>
      <c r="C1486" s="20" t="s">
        <v>1</v>
      </c>
      <c r="D1486" s="29">
        <v>1</v>
      </c>
      <c r="E1486" s="16">
        <v>1</v>
      </c>
      <c r="F1486" s="1">
        <v>23.236000000000001</v>
      </c>
      <c r="G1486" s="1"/>
      <c r="H1486" s="1">
        <v>0.54499999999999993</v>
      </c>
      <c r="I1486" s="1161">
        <f t="shared" si="130"/>
        <v>12.66</v>
      </c>
    </row>
    <row r="1487" spans="1:16">
      <c r="B1487" s="22" t="s">
        <v>789</v>
      </c>
      <c r="C1487" s="20" t="s">
        <v>1</v>
      </c>
      <c r="D1487" s="29">
        <v>1</v>
      </c>
      <c r="E1487" s="16">
        <v>1</v>
      </c>
      <c r="F1487" s="1">
        <v>21.98</v>
      </c>
      <c r="G1487" s="1"/>
      <c r="H1487" s="1">
        <v>0.54499999999999993</v>
      </c>
      <c r="I1487" s="1161">
        <f t="shared" si="130"/>
        <v>11.98</v>
      </c>
    </row>
    <row r="1488" spans="1:16">
      <c r="B1488" s="22" t="s">
        <v>790</v>
      </c>
      <c r="C1488" s="20" t="s">
        <v>1</v>
      </c>
      <c r="D1488" s="29">
        <v>1</v>
      </c>
      <c r="E1488" s="16">
        <v>1</v>
      </c>
      <c r="F1488" s="1">
        <v>23.236000000000001</v>
      </c>
      <c r="G1488" s="1"/>
      <c r="H1488" s="1">
        <v>0.15</v>
      </c>
      <c r="I1488" s="1161">
        <f t="shared" si="130"/>
        <v>3.49</v>
      </c>
    </row>
    <row r="1489" spans="1:9">
      <c r="B1489" s="22" t="s">
        <v>724</v>
      </c>
      <c r="C1489" s="20" t="s">
        <v>1</v>
      </c>
      <c r="D1489" s="29">
        <v>1</v>
      </c>
      <c r="E1489" s="16">
        <v>1</v>
      </c>
      <c r="F1489" s="1">
        <v>21.98</v>
      </c>
      <c r="G1489" s="1"/>
      <c r="H1489" s="1">
        <v>0.33999999999999997</v>
      </c>
      <c r="I1489" s="1161">
        <f t="shared" si="130"/>
        <v>7.47</v>
      </c>
    </row>
    <row r="1490" spans="1:9">
      <c r="C1490" s="20"/>
      <c r="E1490" s="16"/>
      <c r="F1490" s="1"/>
      <c r="G1490" s="1"/>
      <c r="H1490" s="1"/>
      <c r="I1490" s="1161" t="str">
        <f t="shared" si="130"/>
        <v/>
      </c>
    </row>
    <row r="1491" spans="1:9" ht="31.5">
      <c r="A1491" s="9">
        <v>1</v>
      </c>
      <c r="B1491" s="22" t="s">
        <v>1266</v>
      </c>
      <c r="C1491" s="20"/>
      <c r="E1491" s="16"/>
      <c r="F1491" s="1"/>
      <c r="G1491" s="1"/>
      <c r="H1491" s="1"/>
      <c r="I1491" s="1161" t="str">
        <f t="shared" si="130"/>
        <v/>
      </c>
    </row>
    <row r="1492" spans="1:9">
      <c r="C1492" s="20"/>
      <c r="E1492" s="16"/>
      <c r="F1492" s="1"/>
      <c r="G1492" s="1"/>
      <c r="H1492" s="1"/>
      <c r="I1492" s="1161" t="str">
        <f t="shared" si="130"/>
        <v/>
      </c>
    </row>
    <row r="1493" spans="1:9" ht="31.5">
      <c r="B1493" s="22" t="s">
        <v>1266</v>
      </c>
      <c r="C1493" s="20" t="s">
        <v>1</v>
      </c>
      <c r="E1493" s="16"/>
      <c r="F1493" s="1"/>
      <c r="G1493" s="1"/>
      <c r="H1493" s="1"/>
      <c r="I1493" s="1161" t="str">
        <f t="shared" si="130"/>
        <v/>
      </c>
    </row>
    <row r="1494" spans="1:9" ht="31.5">
      <c r="B1494" s="22" t="s">
        <v>1131</v>
      </c>
      <c r="C1494" s="20" t="s">
        <v>1</v>
      </c>
      <c r="D1494" s="29">
        <v>1</v>
      </c>
      <c r="E1494" s="16">
        <v>2</v>
      </c>
      <c r="F1494" s="1">
        <v>10.142200000000001</v>
      </c>
      <c r="G1494" s="1"/>
      <c r="H1494" s="1">
        <v>0.2</v>
      </c>
      <c r="I1494" s="1161">
        <f t="shared" si="130"/>
        <v>4.0599999999999996</v>
      </c>
    </row>
    <row r="1495" spans="1:9">
      <c r="B1495" s="22" t="s">
        <v>736</v>
      </c>
      <c r="C1495" s="20" t="s">
        <v>1</v>
      </c>
      <c r="D1495" s="29">
        <v>1</v>
      </c>
      <c r="E1495" s="16">
        <v>2</v>
      </c>
      <c r="F1495" s="1">
        <v>10.142200000000001</v>
      </c>
      <c r="G1495" s="1"/>
      <c r="H1495" s="1">
        <v>0.2</v>
      </c>
      <c r="I1495" s="1161">
        <f t="shared" si="130"/>
        <v>4.0599999999999996</v>
      </c>
    </row>
    <row r="1496" spans="1:9" ht="31.5">
      <c r="B1496" s="22" t="s">
        <v>1132</v>
      </c>
      <c r="C1496" s="20" t="s">
        <v>1</v>
      </c>
      <c r="D1496" s="29">
        <v>1</v>
      </c>
      <c r="E1496" s="16">
        <v>2</v>
      </c>
      <c r="F1496" s="1">
        <v>12.340200000000001</v>
      </c>
      <c r="G1496" s="1"/>
      <c r="H1496" s="1">
        <v>0.2</v>
      </c>
      <c r="I1496" s="1161">
        <f t="shared" si="130"/>
        <v>4.9400000000000004</v>
      </c>
    </row>
    <row r="1497" spans="1:9">
      <c r="B1497" s="22" t="s">
        <v>738</v>
      </c>
      <c r="C1497" s="20" t="s">
        <v>1</v>
      </c>
      <c r="D1497" s="29">
        <v>1</v>
      </c>
      <c r="E1497" s="16">
        <v>2</v>
      </c>
      <c r="F1497" s="1">
        <v>10.142200000000001</v>
      </c>
      <c r="G1497" s="1"/>
      <c r="H1497" s="1">
        <v>0.2</v>
      </c>
      <c r="I1497" s="1161">
        <f t="shared" si="130"/>
        <v>4.0599999999999996</v>
      </c>
    </row>
    <row r="1498" spans="1:9">
      <c r="B1498" s="22" t="s">
        <v>739</v>
      </c>
      <c r="C1498" s="20" t="s">
        <v>1</v>
      </c>
      <c r="D1498" s="29">
        <v>1</v>
      </c>
      <c r="E1498" s="16">
        <v>2</v>
      </c>
      <c r="F1498" s="1">
        <v>8.5660000000000007</v>
      </c>
      <c r="G1498" s="1"/>
      <c r="H1498" s="1">
        <v>0.2</v>
      </c>
      <c r="I1498" s="1161">
        <f t="shared" si="130"/>
        <v>3.43</v>
      </c>
    </row>
    <row r="1499" spans="1:9">
      <c r="B1499" s="22" t="s">
        <v>740</v>
      </c>
      <c r="C1499" s="20" t="s">
        <v>1</v>
      </c>
      <c r="D1499" s="29">
        <v>1</v>
      </c>
      <c r="E1499" s="16">
        <v>2</v>
      </c>
      <c r="F1499" s="1">
        <v>9.2002000000000006</v>
      </c>
      <c r="G1499" s="1"/>
      <c r="H1499" s="1">
        <v>0.2</v>
      </c>
      <c r="I1499" s="1161">
        <f t="shared" si="130"/>
        <v>3.68</v>
      </c>
    </row>
    <row r="1500" spans="1:9">
      <c r="B1500" s="22" t="s">
        <v>741</v>
      </c>
      <c r="C1500" s="20" t="s">
        <v>1</v>
      </c>
      <c r="D1500" s="29">
        <v>1</v>
      </c>
      <c r="E1500" s="16">
        <v>2</v>
      </c>
      <c r="F1500" s="1">
        <v>10.142200000000001</v>
      </c>
      <c r="G1500" s="1"/>
      <c r="H1500" s="1">
        <v>0.2</v>
      </c>
      <c r="I1500" s="1161">
        <f t="shared" si="130"/>
        <v>4.0599999999999996</v>
      </c>
    </row>
    <row r="1501" spans="1:9">
      <c r="B1501" s="22" t="s">
        <v>742</v>
      </c>
      <c r="C1501" s="20" t="s">
        <v>1</v>
      </c>
      <c r="D1501" s="29">
        <v>1</v>
      </c>
      <c r="E1501" s="16">
        <v>2</v>
      </c>
      <c r="F1501" s="1">
        <v>10.142200000000001</v>
      </c>
      <c r="G1501" s="1"/>
      <c r="H1501" s="1">
        <v>0.2</v>
      </c>
      <c r="I1501" s="1161">
        <f t="shared" si="130"/>
        <v>4.0599999999999996</v>
      </c>
    </row>
    <row r="1502" spans="1:9">
      <c r="B1502" s="22" t="s">
        <v>743</v>
      </c>
      <c r="C1502" s="20" t="s">
        <v>1</v>
      </c>
      <c r="D1502" s="29">
        <v>1</v>
      </c>
      <c r="E1502" s="16">
        <v>2</v>
      </c>
      <c r="F1502" s="1">
        <v>10.142200000000001</v>
      </c>
      <c r="G1502" s="1"/>
      <c r="H1502" s="1">
        <v>0.2</v>
      </c>
      <c r="I1502" s="1161">
        <f t="shared" si="130"/>
        <v>4.0599999999999996</v>
      </c>
    </row>
    <row r="1503" spans="1:9">
      <c r="B1503" s="22" t="s">
        <v>744</v>
      </c>
      <c r="C1503" s="20" t="s">
        <v>1</v>
      </c>
      <c r="D1503" s="29">
        <v>1</v>
      </c>
      <c r="E1503" s="16">
        <v>2</v>
      </c>
      <c r="F1503" s="1">
        <v>10.142200000000001</v>
      </c>
      <c r="G1503" s="1"/>
      <c r="H1503" s="1">
        <v>0.2</v>
      </c>
      <c r="I1503" s="1161">
        <f t="shared" si="130"/>
        <v>4.0599999999999996</v>
      </c>
    </row>
    <row r="1504" spans="1:9">
      <c r="B1504" s="22" t="s">
        <v>745</v>
      </c>
      <c r="C1504" s="20" t="s">
        <v>1</v>
      </c>
      <c r="D1504" s="29">
        <v>1</v>
      </c>
      <c r="E1504" s="16">
        <v>2</v>
      </c>
      <c r="F1504" s="1">
        <v>10.142200000000001</v>
      </c>
      <c r="G1504" s="1"/>
      <c r="H1504" s="1">
        <v>0.2</v>
      </c>
      <c r="I1504" s="1161">
        <f t="shared" si="130"/>
        <v>4.0599999999999996</v>
      </c>
    </row>
    <row r="1505" spans="1:9">
      <c r="B1505" s="22" t="s">
        <v>746</v>
      </c>
      <c r="C1505" s="20" t="s">
        <v>1</v>
      </c>
      <c r="D1505" s="29">
        <v>1</v>
      </c>
      <c r="E1505" s="16">
        <v>2</v>
      </c>
      <c r="F1505" s="1">
        <v>10.142200000000001</v>
      </c>
      <c r="G1505" s="1"/>
      <c r="H1505" s="1">
        <v>0.2</v>
      </c>
      <c r="I1505" s="1161">
        <f t="shared" si="130"/>
        <v>4.0599999999999996</v>
      </c>
    </row>
    <row r="1506" spans="1:9">
      <c r="B1506" s="22" t="s">
        <v>747</v>
      </c>
      <c r="C1506" s="20" t="s">
        <v>1</v>
      </c>
      <c r="D1506" s="29">
        <v>1</v>
      </c>
      <c r="E1506" s="16">
        <v>2</v>
      </c>
      <c r="F1506" s="1">
        <v>10.142200000000001</v>
      </c>
      <c r="G1506" s="1"/>
      <c r="H1506" s="1">
        <v>0.2</v>
      </c>
      <c r="I1506" s="1161">
        <f t="shared" si="130"/>
        <v>4.0599999999999996</v>
      </c>
    </row>
    <row r="1507" spans="1:9">
      <c r="B1507" s="22" t="s">
        <v>748</v>
      </c>
      <c r="C1507" s="20" t="s">
        <v>1</v>
      </c>
      <c r="D1507" s="29">
        <v>1</v>
      </c>
      <c r="E1507" s="16">
        <v>2</v>
      </c>
      <c r="F1507" s="1">
        <v>10.142200000000001</v>
      </c>
      <c r="G1507" s="1"/>
      <c r="H1507" s="1">
        <v>0.2</v>
      </c>
      <c r="I1507" s="1161">
        <f t="shared" si="130"/>
        <v>4.0599999999999996</v>
      </c>
    </row>
    <row r="1508" spans="1:9">
      <c r="C1508" s="20"/>
      <c r="E1508" s="16"/>
      <c r="F1508" s="1"/>
      <c r="G1508" s="1"/>
      <c r="H1508" s="1"/>
      <c r="I1508" s="1161" t="str">
        <f t="shared" si="130"/>
        <v/>
      </c>
    </row>
    <row r="1509" spans="1:9">
      <c r="C1509" s="20"/>
      <c r="E1509" s="16"/>
      <c r="F1509" s="1"/>
      <c r="G1509" s="1"/>
      <c r="H1509" s="1"/>
      <c r="I1509" s="1161" t="str">
        <f t="shared" si="130"/>
        <v/>
      </c>
    </row>
    <row r="1510" spans="1:9">
      <c r="B1510" s="22" t="s">
        <v>749</v>
      </c>
      <c r="C1510" s="20" t="s">
        <v>1</v>
      </c>
      <c r="D1510" s="29">
        <v>1</v>
      </c>
      <c r="E1510" s="16">
        <v>1</v>
      </c>
      <c r="F1510" s="1">
        <v>10.8644</v>
      </c>
      <c r="G1510" s="1"/>
      <c r="H1510" s="1">
        <v>0.2</v>
      </c>
      <c r="I1510" s="1161">
        <f t="shared" si="130"/>
        <v>2.17</v>
      </c>
    </row>
    <row r="1511" spans="1:9">
      <c r="C1511" s="20" t="s">
        <v>1</v>
      </c>
      <c r="D1511" s="29">
        <v>1</v>
      </c>
      <c r="E1511" s="16">
        <v>1</v>
      </c>
      <c r="F1511" s="1">
        <v>9.42</v>
      </c>
      <c r="G1511" s="1"/>
      <c r="H1511" s="1">
        <v>0.2</v>
      </c>
      <c r="I1511" s="1161">
        <f t="shared" si="130"/>
        <v>1.88</v>
      </c>
    </row>
    <row r="1512" spans="1:9">
      <c r="B1512" s="22" t="s">
        <v>750</v>
      </c>
      <c r="C1512" s="20" t="s">
        <v>1</v>
      </c>
      <c r="D1512" s="29">
        <v>1</v>
      </c>
      <c r="E1512" s="16">
        <v>1</v>
      </c>
      <c r="F1512" s="1">
        <v>10.142200000000001</v>
      </c>
      <c r="G1512" s="1"/>
      <c r="H1512" s="1">
        <v>0.2</v>
      </c>
      <c r="I1512" s="1161">
        <f t="shared" si="130"/>
        <v>2.0299999999999998</v>
      </c>
    </row>
    <row r="1513" spans="1:9">
      <c r="C1513" s="20" t="s">
        <v>1</v>
      </c>
      <c r="D1513" s="29">
        <v>1</v>
      </c>
      <c r="E1513" s="16">
        <v>1</v>
      </c>
      <c r="F1513" s="1">
        <v>9.42</v>
      </c>
      <c r="G1513" s="1"/>
      <c r="H1513" s="1">
        <v>0.2</v>
      </c>
      <c r="I1513" s="1161">
        <f t="shared" si="130"/>
        <v>1.88</v>
      </c>
    </row>
    <row r="1514" spans="1:9">
      <c r="B1514" s="22" t="s">
        <v>751</v>
      </c>
      <c r="C1514" s="20" t="s">
        <v>1</v>
      </c>
      <c r="D1514" s="29">
        <v>1</v>
      </c>
      <c r="E1514" s="16">
        <v>1</v>
      </c>
      <c r="F1514" s="1">
        <v>10.142200000000001</v>
      </c>
      <c r="G1514" s="1"/>
      <c r="H1514" s="1">
        <v>0.2</v>
      </c>
      <c r="I1514" s="1161">
        <f t="shared" si="130"/>
        <v>2.0299999999999998</v>
      </c>
    </row>
    <row r="1515" spans="1:9">
      <c r="C1515" s="20" t="s">
        <v>1</v>
      </c>
      <c r="D1515" s="29">
        <v>1</v>
      </c>
      <c r="E1515" s="16">
        <v>1</v>
      </c>
      <c r="F1515" s="1">
        <v>9.42</v>
      </c>
      <c r="G1515" s="1"/>
      <c r="H1515" s="1">
        <v>0.2</v>
      </c>
      <c r="I1515" s="1161">
        <f t="shared" si="130"/>
        <v>1.88</v>
      </c>
    </row>
    <row r="1516" spans="1:9">
      <c r="B1516" s="22" t="s">
        <v>752</v>
      </c>
      <c r="C1516" s="20" t="s">
        <v>1</v>
      </c>
      <c r="D1516" s="29">
        <v>1</v>
      </c>
      <c r="E1516" s="16">
        <v>1</v>
      </c>
      <c r="F1516" s="1">
        <v>10.142200000000001</v>
      </c>
      <c r="G1516" s="1"/>
      <c r="H1516" s="1">
        <v>0.2</v>
      </c>
      <c r="I1516" s="1161">
        <f t="shared" si="130"/>
        <v>2.0299999999999998</v>
      </c>
    </row>
    <row r="1517" spans="1:9">
      <c r="C1517" s="20" t="s">
        <v>1</v>
      </c>
      <c r="D1517" s="29">
        <v>1</v>
      </c>
      <c r="E1517" s="16">
        <v>1</v>
      </c>
      <c r="F1517" s="1">
        <v>9.42</v>
      </c>
      <c r="G1517" s="1"/>
      <c r="H1517" s="1">
        <v>0.2</v>
      </c>
      <c r="I1517" s="1161">
        <f t="shared" si="130"/>
        <v>1.88</v>
      </c>
    </row>
    <row r="1518" spans="1:9">
      <c r="C1518" s="20"/>
      <c r="E1518" s="16"/>
      <c r="F1518" s="1"/>
      <c r="G1518" s="1"/>
      <c r="H1518" s="1"/>
      <c r="I1518" s="1161" t="str">
        <f t="shared" si="130"/>
        <v/>
      </c>
    </row>
    <row r="1519" spans="1:9" ht="47.25">
      <c r="A1519" s="9">
        <v>2</v>
      </c>
      <c r="B1519" s="22" t="s">
        <v>1263</v>
      </c>
      <c r="C1519" s="20"/>
      <c r="E1519" s="16"/>
      <c r="F1519" s="1"/>
      <c r="G1519" s="1"/>
      <c r="H1519" s="1"/>
      <c r="I1519" s="1161" t="str">
        <f t="shared" si="130"/>
        <v/>
      </c>
    </row>
    <row r="1520" spans="1:9">
      <c r="C1520" s="20"/>
      <c r="E1520" s="16"/>
      <c r="F1520" s="1"/>
      <c r="G1520" s="1"/>
      <c r="H1520" s="1"/>
      <c r="I1520" s="1161" t="str">
        <f t="shared" si="130"/>
        <v/>
      </c>
    </row>
    <row r="1521" spans="2:9" ht="31.5">
      <c r="B1521" s="22" t="s">
        <v>795</v>
      </c>
      <c r="C1521" s="20"/>
      <c r="E1521" s="16"/>
      <c r="F1521" s="1"/>
      <c r="G1521" s="1"/>
      <c r="H1521" s="1"/>
      <c r="I1521" s="1161" t="str">
        <f t="shared" si="130"/>
        <v/>
      </c>
    </row>
    <row r="1522" spans="2:9">
      <c r="B1522" s="22" t="s">
        <v>754</v>
      </c>
      <c r="C1522" s="20" t="s">
        <v>1</v>
      </c>
      <c r="D1522" s="29">
        <v>1</v>
      </c>
      <c r="E1522" s="16">
        <v>2</v>
      </c>
      <c r="F1522" s="1">
        <v>8.5139999999999993</v>
      </c>
      <c r="G1522" s="1"/>
      <c r="H1522" s="1">
        <v>0.2</v>
      </c>
      <c r="I1522" s="1161">
        <f t="shared" si="130"/>
        <v>3.41</v>
      </c>
    </row>
    <row r="1523" spans="2:9">
      <c r="C1523" s="20" t="s">
        <v>1</v>
      </c>
      <c r="D1523" s="29">
        <v>0</v>
      </c>
      <c r="E1523" s="16">
        <v>1</v>
      </c>
      <c r="F1523" s="1">
        <v>7.8540000000000001</v>
      </c>
      <c r="G1523" s="1"/>
      <c r="H1523" s="1">
        <v>0.2</v>
      </c>
      <c r="I1523" s="1161" t="str">
        <f t="shared" si="130"/>
        <v/>
      </c>
    </row>
    <row r="1524" spans="2:9">
      <c r="B1524" s="22" t="s">
        <v>796</v>
      </c>
      <c r="C1524" s="20" t="s">
        <v>1</v>
      </c>
      <c r="D1524" s="29">
        <v>1</v>
      </c>
      <c r="E1524" s="16">
        <v>1</v>
      </c>
      <c r="F1524" s="1">
        <v>8.1820000000000004</v>
      </c>
      <c r="G1524" s="1">
        <v>0.21</v>
      </c>
      <c r="H1524" s="1"/>
      <c r="I1524" s="1161">
        <f t="shared" si="130"/>
        <v>1.72</v>
      </c>
    </row>
    <row r="1525" spans="2:9">
      <c r="B1525" s="22" t="s">
        <v>755</v>
      </c>
      <c r="C1525" s="20" t="s">
        <v>1</v>
      </c>
      <c r="D1525" s="29">
        <v>1</v>
      </c>
      <c r="E1525" s="16">
        <v>2</v>
      </c>
      <c r="F1525" s="1">
        <v>2.343</v>
      </c>
      <c r="G1525" s="1"/>
      <c r="H1525" s="1">
        <v>0.2</v>
      </c>
      <c r="I1525" s="1161">
        <f t="shared" si="130"/>
        <v>0.94</v>
      </c>
    </row>
    <row r="1526" spans="2:9">
      <c r="C1526" s="20" t="s">
        <v>1</v>
      </c>
      <c r="D1526" s="29">
        <v>0</v>
      </c>
      <c r="E1526" s="16">
        <v>1</v>
      </c>
      <c r="F1526" s="1">
        <v>1.8089999999999999</v>
      </c>
      <c r="G1526" s="1"/>
      <c r="H1526" s="1">
        <v>0.2</v>
      </c>
      <c r="I1526" s="1161" t="str">
        <f t="shared" si="130"/>
        <v/>
      </c>
    </row>
    <row r="1527" spans="2:9">
      <c r="B1527" s="22" t="s">
        <v>796</v>
      </c>
      <c r="C1527" s="20" t="s">
        <v>1</v>
      </c>
      <c r="D1527" s="29">
        <v>1</v>
      </c>
      <c r="E1527" s="16">
        <v>1</v>
      </c>
      <c r="F1527" s="1">
        <v>1.8089999999999999</v>
      </c>
      <c r="G1527" s="1">
        <v>0.21</v>
      </c>
      <c r="H1527" s="1"/>
      <c r="I1527" s="1161">
        <f t="shared" si="130"/>
        <v>0.38</v>
      </c>
    </row>
    <row r="1528" spans="2:9">
      <c r="B1528" s="22" t="s">
        <v>756</v>
      </c>
      <c r="C1528" s="20" t="s">
        <v>1</v>
      </c>
      <c r="D1528" s="29">
        <v>1</v>
      </c>
      <c r="E1528" s="16">
        <v>2</v>
      </c>
      <c r="F1528" s="1">
        <v>5.43</v>
      </c>
      <c r="G1528" s="1"/>
      <c r="H1528" s="1">
        <v>0.2</v>
      </c>
      <c r="I1528" s="1161">
        <f t="shared" si="130"/>
        <v>2.17</v>
      </c>
    </row>
    <row r="1529" spans="2:9">
      <c r="C1529" s="20" t="s">
        <v>1</v>
      </c>
      <c r="D1529" s="29">
        <v>0</v>
      </c>
      <c r="E1529" s="16">
        <v>1</v>
      </c>
      <c r="F1529" s="1">
        <v>4.4809999999999999</v>
      </c>
      <c r="G1529" s="1"/>
      <c r="H1529" s="1">
        <v>0.2</v>
      </c>
      <c r="I1529" s="1161" t="str">
        <f t="shared" si="130"/>
        <v/>
      </c>
    </row>
    <row r="1530" spans="2:9">
      <c r="B1530" s="22" t="s">
        <v>796</v>
      </c>
      <c r="C1530" s="20" t="s">
        <v>1</v>
      </c>
      <c r="D1530" s="29">
        <v>1</v>
      </c>
      <c r="E1530" s="16">
        <v>1</v>
      </c>
      <c r="F1530" s="1">
        <v>4.4809999999999999</v>
      </c>
      <c r="G1530" s="1">
        <v>0.21</v>
      </c>
      <c r="H1530" s="1"/>
      <c r="I1530" s="1161">
        <f t="shared" si="130"/>
        <v>0.94</v>
      </c>
    </row>
    <row r="1531" spans="2:9">
      <c r="C1531" s="20"/>
      <c r="E1531" s="16"/>
      <c r="F1531" s="1"/>
      <c r="G1531" s="1"/>
      <c r="H1531" s="1"/>
      <c r="I1531" s="1161" t="str">
        <f t="shared" si="130"/>
        <v/>
      </c>
    </row>
    <row r="1532" spans="2:9">
      <c r="C1532" s="20"/>
      <c r="E1532" s="16"/>
      <c r="F1532" s="1"/>
      <c r="G1532" s="1"/>
      <c r="H1532" s="1"/>
      <c r="I1532" s="1161" t="str">
        <f t="shared" si="130"/>
        <v/>
      </c>
    </row>
    <row r="1533" spans="2:9">
      <c r="B1533" s="22" t="s">
        <v>1126</v>
      </c>
      <c r="C1533" s="20" t="s">
        <v>1</v>
      </c>
      <c r="D1533" s="29">
        <v>1</v>
      </c>
      <c r="E1533" s="16">
        <v>2</v>
      </c>
      <c r="F1533" s="1">
        <v>4.5309999999999997</v>
      </c>
      <c r="G1533" s="1"/>
      <c r="H1533" s="1">
        <v>0.2</v>
      </c>
      <c r="I1533" s="1161">
        <f t="shared" si="130"/>
        <v>1.81</v>
      </c>
    </row>
    <row r="1534" spans="2:9">
      <c r="B1534" s="22" t="s">
        <v>1264</v>
      </c>
      <c r="C1534" s="20" t="s">
        <v>1</v>
      </c>
      <c r="D1534" s="29">
        <v>1</v>
      </c>
      <c r="E1534" s="16">
        <v>1</v>
      </c>
      <c r="F1534" s="1">
        <v>4.0019999999999998</v>
      </c>
      <c r="G1534" s="1">
        <v>0.21</v>
      </c>
      <c r="H1534" s="1"/>
      <c r="I1534" s="1161">
        <f t="shared" si="130"/>
        <v>0.84</v>
      </c>
    </row>
    <row r="1535" spans="2:9">
      <c r="C1535" s="20"/>
      <c r="E1535" s="16"/>
      <c r="F1535" s="1"/>
      <c r="G1535" s="1"/>
      <c r="H1535" s="1"/>
      <c r="I1535" s="1161" t="str">
        <f t="shared" si="130"/>
        <v/>
      </c>
    </row>
    <row r="1536" spans="2:9">
      <c r="B1536" s="22" t="s">
        <v>1127</v>
      </c>
      <c r="C1536" s="20" t="s">
        <v>1</v>
      </c>
      <c r="D1536" s="29">
        <v>1</v>
      </c>
      <c r="E1536" s="16">
        <v>2</v>
      </c>
      <c r="F1536" s="1">
        <v>5.2889999999999997</v>
      </c>
      <c r="G1536" s="1"/>
      <c r="H1536" s="1">
        <v>0.2</v>
      </c>
      <c r="I1536" s="1161">
        <f t="shared" si="130"/>
        <v>2.12</v>
      </c>
    </row>
    <row r="1537" spans="1:16">
      <c r="B1537" s="22" t="s">
        <v>1264</v>
      </c>
      <c r="C1537" s="20" t="s">
        <v>1</v>
      </c>
      <c r="D1537" s="29">
        <v>1</v>
      </c>
      <c r="E1537" s="16">
        <v>1</v>
      </c>
      <c r="F1537" s="1">
        <v>4.8099999999999996</v>
      </c>
      <c r="G1537" s="1">
        <v>0.21</v>
      </c>
      <c r="H1537" s="1">
        <v>0.1</v>
      </c>
      <c r="I1537" s="1161">
        <f t="shared" si="130"/>
        <v>0.1</v>
      </c>
    </row>
    <row r="1538" spans="1:16">
      <c r="C1538" s="20"/>
      <c r="E1538" s="16"/>
      <c r="F1538" s="1"/>
      <c r="G1538" s="1"/>
      <c r="H1538" s="1"/>
      <c r="I1538" s="1161" t="str">
        <f t="shared" si="130"/>
        <v/>
      </c>
    </row>
    <row r="1539" spans="1:16">
      <c r="B1539" s="22" t="s">
        <v>1128</v>
      </c>
      <c r="C1539" s="20" t="s">
        <v>1</v>
      </c>
      <c r="D1539" s="29">
        <v>1</v>
      </c>
      <c r="E1539" s="16">
        <v>2</v>
      </c>
      <c r="F1539" s="1">
        <v>3.1429999999999998</v>
      </c>
      <c r="G1539" s="1"/>
      <c r="H1539" s="1">
        <v>0.2</v>
      </c>
      <c r="I1539" s="1161">
        <f t="shared" si="130"/>
        <v>1.26</v>
      </c>
    </row>
    <row r="1540" spans="1:16">
      <c r="B1540" s="22" t="s">
        <v>1264</v>
      </c>
      <c r="C1540" s="20" t="s">
        <v>1</v>
      </c>
      <c r="D1540" s="29">
        <v>1</v>
      </c>
      <c r="E1540" s="16">
        <v>1</v>
      </c>
      <c r="F1540" s="1">
        <v>2.8530000000000002</v>
      </c>
      <c r="G1540" s="1">
        <v>0.21</v>
      </c>
      <c r="H1540" s="1">
        <v>0.1</v>
      </c>
      <c r="I1540" s="1161">
        <f t="shared" si="130"/>
        <v>0.06</v>
      </c>
    </row>
    <row r="1541" spans="1:16">
      <c r="C1541" s="20"/>
      <c r="E1541" s="16"/>
      <c r="F1541" s="1"/>
      <c r="G1541" s="1"/>
      <c r="H1541" s="1"/>
      <c r="I1541" s="1161" t="str">
        <f t="shared" si="130"/>
        <v/>
      </c>
    </row>
    <row r="1542" spans="1:16">
      <c r="B1542" s="22" t="s">
        <v>1128</v>
      </c>
      <c r="C1542" s="20" t="s">
        <v>1</v>
      </c>
      <c r="D1542" s="29">
        <v>1</v>
      </c>
      <c r="E1542" s="16">
        <v>2</v>
      </c>
      <c r="F1542" s="1">
        <v>3.121</v>
      </c>
      <c r="G1542" s="1"/>
      <c r="H1542" s="1">
        <v>0.2</v>
      </c>
      <c r="I1542" s="1161">
        <f t="shared" si="130"/>
        <v>1.25</v>
      </c>
    </row>
    <row r="1543" spans="1:16">
      <c r="B1543" s="22" t="s">
        <v>1264</v>
      </c>
      <c r="C1543" s="20" t="s">
        <v>1</v>
      </c>
      <c r="D1543" s="29">
        <v>1</v>
      </c>
      <c r="E1543" s="16">
        <v>1</v>
      </c>
      <c r="F1543" s="1">
        <v>2.8330000000000002</v>
      </c>
      <c r="G1543" s="1">
        <v>0.21</v>
      </c>
      <c r="H1543" s="1">
        <v>0.1</v>
      </c>
      <c r="I1543" s="1161">
        <f t="shared" si="130"/>
        <v>0.06</v>
      </c>
    </row>
    <row r="1544" spans="1:16" s="1093" customFormat="1">
      <c r="A1544" s="1085"/>
      <c r="B1544" s="1086" t="s">
        <v>2135</v>
      </c>
      <c r="C1544" s="1086"/>
      <c r="D1544" s="1087">
        <v>-1</v>
      </c>
      <c r="E1544" s="1088"/>
      <c r="F1544" s="1089">
        <f>SUM(I1484:I1543)</f>
        <v>133.82</v>
      </c>
      <c r="G1544" s="1089"/>
      <c r="H1544" s="1089"/>
      <c r="I1544" s="1090">
        <f t="shared" ref="I1544" si="131">IF(D1544&lt;&gt;0,ROUND(PRODUCT(E1544:H1544)*D1544,2),"")</f>
        <v>-133.82</v>
      </c>
      <c r="J1544" s="1091"/>
      <c r="K1544" s="1084"/>
      <c r="L1544" s="1092"/>
      <c r="M1544" s="1092"/>
      <c r="N1544" s="1092"/>
      <c r="O1544" s="1092"/>
      <c r="P1544" s="1092"/>
    </row>
    <row r="1545" spans="1:16">
      <c r="C1545" s="20"/>
      <c r="E1545" s="16"/>
      <c r="F1545" s="1"/>
      <c r="G1545" s="1"/>
      <c r="H1545" s="1"/>
      <c r="I1545" s="46" t="str">
        <f t="shared" si="130"/>
        <v/>
      </c>
    </row>
    <row r="1546" spans="1:16" s="39" customFormat="1">
      <c r="A1546" s="259"/>
      <c r="B1546" s="33" t="s">
        <v>86</v>
      </c>
      <c r="C1546" s="23" t="s">
        <v>1</v>
      </c>
      <c r="D1546" s="649"/>
      <c r="E1546" s="16"/>
      <c r="F1546" s="1"/>
      <c r="G1546" s="1"/>
      <c r="H1546" s="1"/>
      <c r="I1546" s="46" t="str">
        <f t="shared" si="128"/>
        <v/>
      </c>
      <c r="J1546" s="36">
        <f>SUM(I1480:I1546)</f>
        <v>0</v>
      </c>
      <c r="K1546" s="35" t="s">
        <v>1690</v>
      </c>
      <c r="L1546" s="40"/>
      <c r="M1546" s="40"/>
      <c r="N1546" s="40"/>
      <c r="O1546" s="40"/>
      <c r="P1546" s="40"/>
    </row>
    <row r="1547" spans="1:16">
      <c r="A1547" s="259"/>
      <c r="E1547" s="16"/>
      <c r="F1547" s="1"/>
      <c r="G1547" s="1"/>
      <c r="H1547" s="1"/>
      <c r="J1547" s="31">
        <f>SUM(J1479:J1546)</f>
        <v>0</v>
      </c>
      <c r="K1547" s="17"/>
    </row>
    <row r="1548" spans="1:16" s="408" customFormat="1" ht="17.25">
      <c r="A1548" s="420" t="s">
        <v>2157</v>
      </c>
      <c r="B1548" s="421" t="s">
        <v>1270</v>
      </c>
      <c r="C1548" s="422"/>
      <c r="D1548" s="422"/>
      <c r="E1548" s="436"/>
      <c r="F1548" s="436"/>
      <c r="G1548" s="436"/>
      <c r="H1548" s="436"/>
      <c r="I1548" s="436"/>
      <c r="J1548" s="423"/>
      <c r="K1548" s="424"/>
      <c r="L1548" s="407"/>
    </row>
    <row r="1549" spans="1:16" s="384" customFormat="1" ht="17.25">
      <c r="A1549" s="378"/>
      <c r="B1549" s="429" t="s">
        <v>85</v>
      </c>
      <c r="C1549" s="465" t="s">
        <v>1</v>
      </c>
      <c r="D1549" s="638"/>
      <c r="E1549" s="345"/>
      <c r="F1549" s="626"/>
      <c r="G1549" s="626"/>
      <c r="H1549" s="626"/>
      <c r="I1549" s="445" t="str">
        <f t="shared" ref="I1549" si="132">IF(D1549&lt;&gt;0,ROUND(PRODUCT(E1549:H1549)*D1549,2),"")</f>
        <v/>
      </c>
      <c r="J1549" s="482">
        <f>SUM(I1548:I1549)</f>
        <v>0</v>
      </c>
      <c r="K1549" s="435"/>
      <c r="L1549" s="383"/>
      <c r="M1549" s="383"/>
      <c r="N1549" s="383"/>
    </row>
    <row r="1550" spans="1:16" s="408" customFormat="1" ht="17.25">
      <c r="A1550" s="414"/>
      <c r="B1550" s="425"/>
      <c r="C1550" s="296"/>
      <c r="D1550" s="392"/>
      <c r="E1550" s="165"/>
      <c r="F1550" s="310"/>
      <c r="G1550" s="310"/>
      <c r="H1550" s="310"/>
      <c r="I1550" s="394" t="str">
        <f t="shared" ref="I1550" si="133">IF(D1550&lt;&gt;0,ROUND(PRODUCT(E1550:H1550)*D1550,2),"")</f>
        <v/>
      </c>
      <c r="J1550" s="478"/>
      <c r="K1550" s="367"/>
      <c r="L1550" s="407"/>
      <c r="M1550" s="407"/>
      <c r="N1550" s="407"/>
    </row>
    <row r="1551" spans="1:16" s="377" customFormat="1" ht="17.25">
      <c r="A1551" s="406"/>
      <c r="B1551" s="453" t="s">
        <v>928</v>
      </c>
      <c r="C1551" s="388" t="s">
        <v>1</v>
      </c>
      <c r="D1551" s="392"/>
      <c r="E1551" s="165"/>
      <c r="F1551" s="310"/>
      <c r="G1551" s="310"/>
      <c r="H1551" s="310"/>
      <c r="I1551" s="394" t="str">
        <f t="shared" ref="I1551" si="134">IF(D1551&lt;&gt;0,ROUND(PRODUCT(E1551:H1551)*D1551,2),"")</f>
        <v/>
      </c>
      <c r="J1551" s="403">
        <f>SUM(I1550:I1551)*0</f>
        <v>0</v>
      </c>
      <c r="K1551" s="454" t="s">
        <v>804</v>
      </c>
      <c r="L1551" s="376"/>
      <c r="M1551" s="376"/>
      <c r="N1551" s="376"/>
    </row>
    <row r="1552" spans="1:16" s="408" customFormat="1" ht="17.25">
      <c r="A1552" s="406"/>
      <c r="B1552" s="425"/>
      <c r="C1552" s="414"/>
      <c r="D1552" s="392"/>
      <c r="E1552" s="165"/>
      <c r="F1552" s="310"/>
      <c r="G1552" s="310"/>
      <c r="H1552" s="310"/>
      <c r="I1552" s="477"/>
      <c r="J1552" s="432">
        <f>SUM(J1549:J1551)</f>
        <v>0</v>
      </c>
      <c r="K1552" s="405"/>
      <c r="L1552" s="407"/>
      <c r="M1552" s="407"/>
      <c r="N1552" s="407"/>
    </row>
    <row r="1553" spans="1:14" s="408" customFormat="1" ht="17.25">
      <c r="A1553" s="420" t="s">
        <v>2125</v>
      </c>
      <c r="B1553" s="421" t="s">
        <v>2093</v>
      </c>
      <c r="C1553" s="422"/>
      <c r="D1553" s="422"/>
      <c r="E1553" s="436"/>
      <c r="F1553" s="436"/>
      <c r="G1553" s="436"/>
      <c r="H1553" s="436"/>
      <c r="I1553" s="436"/>
      <c r="J1553" s="423"/>
      <c r="K1553" s="424"/>
      <c r="L1553" s="407"/>
    </row>
    <row r="1554" spans="1:14" s="384" customFormat="1" ht="17.25">
      <c r="A1554" s="378"/>
      <c r="B1554" s="429" t="s">
        <v>85</v>
      </c>
      <c r="C1554" s="465" t="s">
        <v>1</v>
      </c>
      <c r="D1554" s="638"/>
      <c r="E1554" s="345"/>
      <c r="F1554" s="626"/>
      <c r="G1554" s="626"/>
      <c r="H1554" s="626"/>
      <c r="I1554" s="445" t="str">
        <f t="shared" ref="I1554:I1558" si="135">IF(D1554&lt;&gt;0,ROUND(PRODUCT(E1554:H1554)*D1554,2),"")</f>
        <v/>
      </c>
      <c r="J1554" s="482">
        <f>SUM(I1553:I1554)</f>
        <v>0</v>
      </c>
      <c r="K1554" s="435"/>
      <c r="L1554" s="383"/>
      <c r="M1554" s="383"/>
      <c r="N1554" s="383"/>
    </row>
    <row r="1555" spans="1:14" s="408" customFormat="1" ht="17.25">
      <c r="A1555" s="414"/>
      <c r="B1555" s="425" t="s">
        <v>2094</v>
      </c>
      <c r="C1555" s="296" t="s">
        <v>1</v>
      </c>
      <c r="D1555" s="392">
        <v>1</v>
      </c>
      <c r="E1555" s="165">
        <v>1</v>
      </c>
      <c r="F1555" s="310">
        <v>38.465000000000003</v>
      </c>
      <c r="G1555" s="310"/>
      <c r="H1555" s="310"/>
      <c r="I1555" s="399">
        <f t="shared" si="135"/>
        <v>38.47</v>
      </c>
      <c r="J1555" s="478"/>
      <c r="K1555" s="1096"/>
      <c r="L1555" s="407"/>
      <c r="M1555" s="407"/>
      <c r="N1555" s="407"/>
    </row>
    <row r="1556" spans="1:14" s="408" customFormat="1" ht="17.25">
      <c r="A1556" s="414"/>
      <c r="B1556" s="425" t="s">
        <v>1522</v>
      </c>
      <c r="C1556" s="296" t="s">
        <v>1</v>
      </c>
      <c r="D1556" s="392">
        <v>1</v>
      </c>
      <c r="E1556" s="165">
        <v>1</v>
      </c>
      <c r="F1556" s="310">
        <v>21.98</v>
      </c>
      <c r="G1556" s="310"/>
      <c r="H1556" s="310">
        <v>0.66599999999999993</v>
      </c>
      <c r="I1556" s="399">
        <f t="shared" si="135"/>
        <v>14.64</v>
      </c>
      <c r="J1556" s="478"/>
      <c r="K1556" s="367"/>
      <c r="L1556" s="407"/>
      <c r="M1556" s="407"/>
      <c r="N1556" s="407"/>
    </row>
    <row r="1557" spans="1:14" s="408" customFormat="1" ht="17.25">
      <c r="A1557" s="414"/>
      <c r="B1557" s="425"/>
      <c r="C1557" s="296"/>
      <c r="D1557" s="392"/>
      <c r="E1557" s="165"/>
      <c r="F1557" s="310"/>
      <c r="G1557" s="310"/>
      <c r="H1557" s="310"/>
      <c r="I1557" s="399" t="str">
        <f t="shared" si="135"/>
        <v/>
      </c>
      <c r="J1557" s="478"/>
      <c r="K1557" s="367"/>
      <c r="L1557" s="407"/>
      <c r="M1557" s="407"/>
      <c r="N1557" s="407"/>
    </row>
    <row r="1558" spans="1:14" s="377" customFormat="1" ht="17.25">
      <c r="A1558" s="617"/>
      <c r="B1558" s="453" t="s">
        <v>928</v>
      </c>
      <c r="C1558" s="388" t="s">
        <v>1</v>
      </c>
      <c r="D1558" s="392"/>
      <c r="E1558" s="165"/>
      <c r="F1558" s="310"/>
      <c r="G1558" s="310"/>
      <c r="H1558" s="310"/>
      <c r="I1558" s="394" t="str">
        <f t="shared" si="135"/>
        <v/>
      </c>
      <c r="J1558" s="403">
        <f>SUM(I1555:I1558)</f>
        <v>53.11</v>
      </c>
      <c r="K1558" s="454" t="s">
        <v>804</v>
      </c>
      <c r="L1558" s="376"/>
      <c r="M1558" s="376"/>
      <c r="N1558" s="376"/>
    </row>
    <row r="1559" spans="1:14" s="408" customFormat="1" ht="17.25">
      <c r="A1559" s="617"/>
      <c r="B1559" s="425"/>
      <c r="C1559" s="414"/>
      <c r="D1559" s="392"/>
      <c r="E1559" s="165"/>
      <c r="F1559" s="310"/>
      <c r="G1559" s="310"/>
      <c r="H1559" s="310"/>
      <c r="I1559" s="477"/>
      <c r="J1559" s="432">
        <f>SUM(J1554:J1558)</f>
        <v>53.11</v>
      </c>
      <c r="K1559" s="405"/>
      <c r="L1559" s="407"/>
      <c r="M1559" s="407"/>
      <c r="N1559" s="407"/>
    </row>
    <row r="1560" spans="1:14" s="408" customFormat="1" ht="17.25">
      <c r="A1560" s="420" t="s">
        <v>2153</v>
      </c>
      <c r="B1560" s="421" t="s">
        <v>1989</v>
      </c>
      <c r="C1560" s="422"/>
      <c r="D1560" s="422"/>
      <c r="E1560" s="436"/>
      <c r="F1560" s="436"/>
      <c r="G1560" s="436"/>
      <c r="H1560" s="436"/>
      <c r="I1560" s="436"/>
      <c r="J1560" s="423"/>
      <c r="K1560" s="424"/>
      <c r="L1560" s="407"/>
    </row>
    <row r="1561" spans="1:14" s="384" customFormat="1" ht="17.25">
      <c r="A1561" s="378"/>
      <c r="B1561" s="429" t="s">
        <v>85</v>
      </c>
      <c r="C1561" s="465" t="s">
        <v>1990</v>
      </c>
      <c r="D1561" s="638"/>
      <c r="E1561" s="345"/>
      <c r="F1561" s="626"/>
      <c r="G1561" s="626"/>
      <c r="H1561" s="626"/>
      <c r="I1561" s="445" t="str">
        <f t="shared" ref="I1561:I1625" si="136">IF(D1561&lt;&gt;0,ROUND(PRODUCT(E1561:H1561)*D1561,2),"")</f>
        <v/>
      </c>
      <c r="J1561" s="482">
        <f>SUM(I1560:I1561)</f>
        <v>0</v>
      </c>
      <c r="K1561" s="435"/>
      <c r="L1561" s="383"/>
      <c r="M1561" s="383"/>
      <c r="N1561" s="383"/>
    </row>
    <row r="1562" spans="1:14" s="408" customFormat="1" ht="17.25">
      <c r="A1562" s="414"/>
      <c r="B1562" s="425"/>
      <c r="C1562" s="296" t="s">
        <v>1990</v>
      </c>
      <c r="D1562" s="392"/>
      <c r="E1562" s="165"/>
      <c r="F1562" s="310"/>
      <c r="G1562" s="310"/>
      <c r="H1562" s="310"/>
      <c r="I1562" s="394" t="str">
        <f t="shared" si="136"/>
        <v/>
      </c>
      <c r="J1562" s="478"/>
      <c r="K1562" s="367"/>
      <c r="L1562" s="407"/>
      <c r="M1562" s="407"/>
      <c r="N1562" s="407"/>
    </row>
    <row r="1563" spans="1:14" s="408" customFormat="1" ht="34.5">
      <c r="A1563" s="414" t="s">
        <v>457</v>
      </c>
      <c r="B1563" s="425" t="s">
        <v>2114</v>
      </c>
      <c r="C1563" s="296"/>
      <c r="D1563" s="392"/>
      <c r="E1563" s="165"/>
      <c r="F1563" s="310"/>
      <c r="G1563" s="310"/>
      <c r="H1563" s="310"/>
      <c r="I1563" s="394" t="str">
        <f t="shared" si="136"/>
        <v/>
      </c>
      <c r="J1563" s="478"/>
      <c r="K1563" s="367"/>
      <c r="L1563" s="407"/>
      <c r="M1563" s="407"/>
      <c r="N1563" s="407"/>
    </row>
    <row r="1564" spans="1:14" s="408" customFormat="1" ht="17.25">
      <c r="A1564" s="414"/>
      <c r="B1564" s="425" t="s">
        <v>2115</v>
      </c>
      <c r="C1564" s="296" t="s">
        <v>1990</v>
      </c>
      <c r="D1564" s="392">
        <v>1</v>
      </c>
      <c r="E1564" s="165">
        <v>2</v>
      </c>
      <c r="F1564" s="310">
        <v>1.4550000000000001</v>
      </c>
      <c r="G1564" s="310"/>
      <c r="H1564" s="310"/>
      <c r="I1564" s="1162">
        <f t="shared" si="136"/>
        <v>2.91</v>
      </c>
      <c r="J1564" s="478"/>
      <c r="K1564" s="367"/>
      <c r="L1564" s="407"/>
      <c r="M1564" s="407"/>
      <c r="N1564" s="407"/>
    </row>
    <row r="1565" spans="1:14" s="408" customFormat="1" ht="17.25">
      <c r="A1565" s="414"/>
      <c r="B1565" s="425"/>
      <c r="C1565" s="296"/>
      <c r="D1565" s="392"/>
      <c r="E1565" s="165"/>
      <c r="F1565" s="310"/>
      <c r="G1565" s="310"/>
      <c r="H1565" s="310"/>
      <c r="I1565" s="1162" t="str">
        <f t="shared" si="136"/>
        <v/>
      </c>
      <c r="J1565" s="478"/>
      <c r="K1565" s="367"/>
      <c r="L1565" s="407"/>
      <c r="M1565" s="407"/>
      <c r="N1565" s="407"/>
    </row>
    <row r="1566" spans="1:14" s="408" customFormat="1" ht="17.25">
      <c r="A1566" s="414"/>
      <c r="B1566" s="425" t="s">
        <v>2115</v>
      </c>
      <c r="C1566" s="296" t="s">
        <v>1990</v>
      </c>
      <c r="D1566" s="392">
        <v>1</v>
      </c>
      <c r="E1566" s="165">
        <v>2</v>
      </c>
      <c r="F1566" s="310">
        <v>4.4749999999999996</v>
      </c>
      <c r="G1566" s="310"/>
      <c r="H1566" s="310"/>
      <c r="I1566" s="1162">
        <f t="shared" si="136"/>
        <v>8.9499999999999993</v>
      </c>
      <c r="J1566" s="478"/>
      <c r="K1566" s="367"/>
      <c r="L1566" s="407"/>
      <c r="M1566" s="407"/>
      <c r="N1566" s="407"/>
    </row>
    <row r="1567" spans="1:14" s="408" customFormat="1" ht="17.25">
      <c r="A1567" s="414"/>
      <c r="B1567" s="425" t="s">
        <v>2116</v>
      </c>
      <c r="C1567" s="296" t="s">
        <v>1990</v>
      </c>
      <c r="D1567" s="392">
        <v>1</v>
      </c>
      <c r="E1567" s="165">
        <v>1</v>
      </c>
      <c r="F1567" s="310">
        <v>33.519753999999999</v>
      </c>
      <c r="G1567" s="310"/>
      <c r="H1567" s="310"/>
      <c r="I1567" s="1162">
        <f t="shared" si="136"/>
        <v>33.520000000000003</v>
      </c>
      <c r="J1567" s="478"/>
      <c r="K1567" s="367"/>
      <c r="L1567" s="407"/>
      <c r="M1567" s="407"/>
      <c r="N1567" s="407"/>
    </row>
    <row r="1568" spans="1:14" s="408" customFormat="1" ht="17.25">
      <c r="A1568" s="414"/>
      <c r="B1568" s="425"/>
      <c r="C1568" s="296"/>
      <c r="D1568" s="392"/>
      <c r="E1568" s="165"/>
      <c r="F1568" s="310"/>
      <c r="G1568" s="310"/>
      <c r="H1568" s="310"/>
      <c r="I1568" s="1162" t="str">
        <f t="shared" si="136"/>
        <v/>
      </c>
      <c r="J1568" s="478"/>
      <c r="K1568" s="367"/>
      <c r="L1568" s="407"/>
      <c r="M1568" s="407"/>
      <c r="N1568" s="407"/>
    </row>
    <row r="1569" spans="1:14" s="408" customFormat="1" ht="17.25">
      <c r="A1569" s="414" t="s">
        <v>459</v>
      </c>
      <c r="B1569" s="425" t="s">
        <v>1512</v>
      </c>
      <c r="C1569" s="296"/>
      <c r="D1569" s="392"/>
      <c r="E1569" s="165"/>
      <c r="F1569" s="310"/>
      <c r="G1569" s="310"/>
      <c r="H1569" s="310"/>
      <c r="I1569" s="1162" t="str">
        <f t="shared" si="136"/>
        <v/>
      </c>
      <c r="J1569" s="478"/>
      <c r="K1569" s="367"/>
      <c r="L1569" s="407"/>
      <c r="M1569" s="407"/>
      <c r="N1569" s="407"/>
    </row>
    <row r="1570" spans="1:14" s="408" customFormat="1" ht="17.25">
      <c r="A1570" s="414"/>
      <c r="B1570" s="425" t="s">
        <v>1513</v>
      </c>
      <c r="C1570" s="296" t="s">
        <v>1990</v>
      </c>
      <c r="D1570" s="392">
        <v>24</v>
      </c>
      <c r="E1570" s="165">
        <v>2</v>
      </c>
      <c r="F1570" s="310">
        <v>2</v>
      </c>
      <c r="G1570" s="310"/>
      <c r="H1570" s="310"/>
      <c r="I1570" s="1162">
        <f t="shared" si="136"/>
        <v>96</v>
      </c>
      <c r="J1570" s="478"/>
      <c r="K1570" s="367"/>
      <c r="L1570" s="407"/>
      <c r="M1570" s="407"/>
      <c r="N1570" s="407"/>
    </row>
    <row r="1571" spans="1:14" s="408" customFormat="1" ht="17.25">
      <c r="A1571" s="414"/>
      <c r="B1571" s="425"/>
      <c r="C1571" s="296" t="s">
        <v>1990</v>
      </c>
      <c r="D1571" s="392">
        <v>24</v>
      </c>
      <c r="E1571" s="165">
        <v>2</v>
      </c>
      <c r="F1571" s="310">
        <v>0.5</v>
      </c>
      <c r="G1571" s="310"/>
      <c r="H1571" s="310"/>
      <c r="I1571" s="1162">
        <f t="shared" si="136"/>
        <v>24</v>
      </c>
      <c r="J1571" s="478"/>
      <c r="K1571" s="367"/>
      <c r="L1571" s="407"/>
      <c r="M1571" s="407"/>
      <c r="N1571" s="407"/>
    </row>
    <row r="1572" spans="1:14" s="408" customFormat="1" ht="17.25">
      <c r="A1572" s="414"/>
      <c r="B1572" s="425" t="s">
        <v>2117</v>
      </c>
      <c r="C1572" s="296" t="s">
        <v>1990</v>
      </c>
      <c r="D1572" s="392">
        <v>24</v>
      </c>
      <c r="E1572" s="165">
        <v>2</v>
      </c>
      <c r="F1572" s="310">
        <v>0.36499999999999999</v>
      </c>
      <c r="G1572" s="310"/>
      <c r="H1572" s="310"/>
      <c r="I1572" s="1162">
        <f t="shared" si="136"/>
        <v>17.52</v>
      </c>
      <c r="J1572" s="478"/>
      <c r="K1572" s="367"/>
      <c r="L1572" s="407"/>
      <c r="M1572" s="407"/>
      <c r="N1572" s="407"/>
    </row>
    <row r="1573" spans="1:14" s="408" customFormat="1" ht="17.25">
      <c r="A1573" s="414"/>
      <c r="B1573" s="425"/>
      <c r="C1573" s="296"/>
      <c r="D1573" s="392"/>
      <c r="E1573" s="165"/>
      <c r="F1573" s="310"/>
      <c r="G1573" s="310"/>
      <c r="H1573" s="310"/>
      <c r="I1573" s="1162" t="str">
        <f t="shared" si="136"/>
        <v/>
      </c>
      <c r="J1573" s="478"/>
      <c r="K1573" s="367"/>
      <c r="L1573" s="407"/>
      <c r="M1573" s="407"/>
      <c r="N1573" s="407"/>
    </row>
    <row r="1574" spans="1:14" s="408" customFormat="1" ht="17.25">
      <c r="A1574" s="414" t="s">
        <v>1511</v>
      </c>
      <c r="B1574" s="425" t="s">
        <v>1516</v>
      </c>
      <c r="C1574" s="296"/>
      <c r="D1574" s="392"/>
      <c r="E1574" s="165"/>
      <c r="F1574" s="310"/>
      <c r="G1574" s="310"/>
      <c r="H1574" s="310"/>
      <c r="I1574" s="1162" t="str">
        <f t="shared" si="136"/>
        <v/>
      </c>
      <c r="J1574" s="478"/>
      <c r="K1574" s="367"/>
      <c r="L1574" s="407"/>
      <c r="M1574" s="407"/>
      <c r="N1574" s="407"/>
    </row>
    <row r="1575" spans="1:14" s="408" customFormat="1" ht="34.5">
      <c r="A1575" s="414"/>
      <c r="B1575" s="425" t="s">
        <v>1517</v>
      </c>
      <c r="C1575" s="296" t="s">
        <v>1990</v>
      </c>
      <c r="D1575" s="392">
        <v>7</v>
      </c>
      <c r="E1575" s="165">
        <v>1</v>
      </c>
      <c r="F1575" s="310">
        <v>3.14</v>
      </c>
      <c r="G1575" s="310"/>
      <c r="H1575" s="310"/>
      <c r="I1575" s="1162">
        <f t="shared" si="136"/>
        <v>21.98</v>
      </c>
      <c r="J1575" s="478"/>
      <c r="K1575" s="367"/>
      <c r="L1575" s="407"/>
      <c r="M1575" s="407"/>
      <c r="N1575" s="407"/>
    </row>
    <row r="1576" spans="1:14" s="408" customFormat="1" ht="17.25">
      <c r="A1576" s="414"/>
      <c r="B1576" s="425"/>
      <c r="C1576" s="296"/>
      <c r="D1576" s="392"/>
      <c r="E1576" s="165"/>
      <c r="F1576" s="310"/>
      <c r="G1576" s="310"/>
      <c r="H1576" s="310"/>
      <c r="I1576" s="1162" t="str">
        <f t="shared" si="136"/>
        <v/>
      </c>
      <c r="J1576" s="478"/>
      <c r="K1576" s="367"/>
      <c r="L1576" s="407"/>
      <c r="M1576" s="407"/>
      <c r="N1576" s="407"/>
    </row>
    <row r="1577" spans="1:14" s="408" customFormat="1" ht="17.25">
      <c r="A1577" s="414" t="s">
        <v>1515</v>
      </c>
      <c r="B1577" s="425" t="s">
        <v>1519</v>
      </c>
      <c r="C1577" s="296"/>
      <c r="D1577" s="392"/>
      <c r="E1577" s="165"/>
      <c r="F1577" s="310"/>
      <c r="G1577" s="310"/>
      <c r="H1577" s="310"/>
      <c r="I1577" s="1162" t="str">
        <f t="shared" si="136"/>
        <v/>
      </c>
      <c r="J1577" s="478"/>
      <c r="K1577" s="367"/>
      <c r="L1577" s="407"/>
      <c r="M1577" s="407"/>
      <c r="N1577" s="407"/>
    </row>
    <row r="1578" spans="1:14" s="408" customFormat="1" ht="17.25">
      <c r="A1578" s="414"/>
      <c r="B1578" s="425" t="s">
        <v>1520</v>
      </c>
      <c r="C1578" s="296"/>
      <c r="D1578" s="392"/>
      <c r="E1578" s="165"/>
      <c r="F1578" s="310"/>
      <c r="G1578" s="310"/>
      <c r="H1578" s="310"/>
      <c r="I1578" s="1162" t="str">
        <f t="shared" si="136"/>
        <v/>
      </c>
      <c r="J1578" s="478"/>
      <c r="K1578" s="367"/>
      <c r="L1578" s="407"/>
      <c r="M1578" s="407"/>
      <c r="N1578" s="407"/>
    </row>
    <row r="1579" spans="1:14" s="408" customFormat="1" ht="17.25">
      <c r="A1579" s="414"/>
      <c r="B1579" s="425" t="s">
        <v>2118</v>
      </c>
      <c r="C1579" s="296" t="s">
        <v>1990</v>
      </c>
      <c r="D1579" s="392">
        <v>1</v>
      </c>
      <c r="E1579" s="165">
        <v>1</v>
      </c>
      <c r="F1579" s="310">
        <v>9.4250000000000007</v>
      </c>
      <c r="G1579" s="310"/>
      <c r="H1579" s="310"/>
      <c r="I1579" s="1162">
        <f t="shared" si="136"/>
        <v>9.43</v>
      </c>
      <c r="J1579" s="478"/>
      <c r="K1579" s="367"/>
      <c r="L1579" s="407"/>
      <c r="M1579" s="407"/>
      <c r="N1579" s="407"/>
    </row>
    <row r="1580" spans="1:14" s="408" customFormat="1" ht="17.25">
      <c r="A1580" s="414"/>
      <c r="B1580" s="425" t="s">
        <v>1402</v>
      </c>
      <c r="C1580" s="296" t="s">
        <v>1990</v>
      </c>
      <c r="D1580" s="392">
        <v>1</v>
      </c>
      <c r="E1580" s="165">
        <v>1</v>
      </c>
      <c r="F1580" s="310">
        <v>7.8550000000000004</v>
      </c>
      <c r="G1580" s="310"/>
      <c r="H1580" s="310"/>
      <c r="I1580" s="1162">
        <f t="shared" si="136"/>
        <v>7.86</v>
      </c>
      <c r="J1580" s="478"/>
      <c r="K1580" s="367"/>
      <c r="L1580" s="407"/>
      <c r="M1580" s="407"/>
      <c r="N1580" s="407"/>
    </row>
    <row r="1581" spans="1:14" s="408" customFormat="1" ht="17.25">
      <c r="A1581" s="414"/>
      <c r="B1581" s="425" t="s">
        <v>1416</v>
      </c>
      <c r="C1581" s="296" t="s">
        <v>1990</v>
      </c>
      <c r="D1581" s="392">
        <v>1</v>
      </c>
      <c r="E1581" s="165">
        <v>2</v>
      </c>
      <c r="F1581" s="310">
        <v>0.5</v>
      </c>
      <c r="G1581" s="310"/>
      <c r="H1581" s="310"/>
      <c r="I1581" s="1162">
        <f t="shared" si="136"/>
        <v>1</v>
      </c>
      <c r="J1581" s="478"/>
      <c r="K1581" s="367"/>
      <c r="L1581" s="407"/>
      <c r="M1581" s="407"/>
      <c r="N1581" s="407"/>
    </row>
    <row r="1582" spans="1:14" s="408" customFormat="1" ht="17.25">
      <c r="A1582" s="414"/>
      <c r="B1582" s="425" t="s">
        <v>2119</v>
      </c>
      <c r="C1582" s="296" t="s">
        <v>1990</v>
      </c>
      <c r="D1582" s="392">
        <v>1</v>
      </c>
      <c r="E1582" s="165">
        <v>4</v>
      </c>
      <c r="F1582" s="310">
        <v>0.45</v>
      </c>
      <c r="G1582" s="310"/>
      <c r="H1582" s="310"/>
      <c r="I1582" s="1162">
        <f t="shared" si="136"/>
        <v>1.8</v>
      </c>
      <c r="J1582" s="478"/>
      <c r="K1582" s="367"/>
      <c r="L1582" s="407"/>
      <c r="M1582" s="407"/>
      <c r="N1582" s="407"/>
    </row>
    <row r="1583" spans="1:14" s="408" customFormat="1" ht="17.25">
      <c r="A1583" s="414"/>
      <c r="B1583" s="425"/>
      <c r="C1583" s="296"/>
      <c r="D1583" s="392"/>
      <c r="E1583" s="165"/>
      <c r="F1583" s="310"/>
      <c r="G1583" s="310"/>
      <c r="H1583" s="310"/>
      <c r="I1583" s="1162" t="str">
        <f t="shared" si="136"/>
        <v/>
      </c>
      <c r="J1583" s="478"/>
      <c r="K1583" s="367"/>
      <c r="L1583" s="407"/>
      <c r="M1583" s="407"/>
      <c r="N1583" s="407"/>
    </row>
    <row r="1584" spans="1:14" s="408" customFormat="1" ht="17.25">
      <c r="A1584" s="414"/>
      <c r="B1584" s="425" t="s">
        <v>1524</v>
      </c>
      <c r="C1584" s="296"/>
      <c r="D1584" s="392"/>
      <c r="E1584" s="165"/>
      <c r="F1584" s="310"/>
      <c r="G1584" s="310"/>
      <c r="H1584" s="310"/>
      <c r="I1584" s="1162" t="str">
        <f t="shared" si="136"/>
        <v/>
      </c>
      <c r="J1584" s="478"/>
      <c r="K1584" s="367"/>
      <c r="L1584" s="407"/>
      <c r="M1584" s="407"/>
      <c r="N1584" s="407"/>
    </row>
    <row r="1585" spans="1:14" s="408" customFormat="1" ht="17.25">
      <c r="A1585" s="414"/>
      <c r="B1585" s="425" t="s">
        <v>2118</v>
      </c>
      <c r="C1585" s="296" t="s">
        <v>1990</v>
      </c>
      <c r="D1585" s="392">
        <v>1</v>
      </c>
      <c r="E1585" s="165">
        <v>1</v>
      </c>
      <c r="F1585" s="310">
        <v>5.5</v>
      </c>
      <c r="G1585" s="310"/>
      <c r="H1585" s="310"/>
      <c r="I1585" s="1162">
        <f t="shared" si="136"/>
        <v>5.5</v>
      </c>
      <c r="J1585" s="478"/>
      <c r="K1585" s="367"/>
      <c r="L1585" s="407"/>
      <c r="M1585" s="407"/>
      <c r="N1585" s="407"/>
    </row>
    <row r="1586" spans="1:14" s="408" customFormat="1" ht="17.25">
      <c r="A1586" s="414"/>
      <c r="B1586" s="425" t="s">
        <v>1402</v>
      </c>
      <c r="C1586" s="296" t="s">
        <v>1990</v>
      </c>
      <c r="D1586" s="392">
        <v>1</v>
      </c>
      <c r="E1586" s="165">
        <v>1</v>
      </c>
      <c r="F1586" s="310">
        <v>4.4800000000000004</v>
      </c>
      <c r="G1586" s="310"/>
      <c r="H1586" s="310"/>
      <c r="I1586" s="1162">
        <f t="shared" si="136"/>
        <v>4.4800000000000004</v>
      </c>
      <c r="J1586" s="478"/>
      <c r="K1586" s="367"/>
      <c r="L1586" s="407"/>
      <c r="M1586" s="407"/>
      <c r="N1586" s="407"/>
    </row>
    <row r="1587" spans="1:14" s="408" customFormat="1" ht="17.25">
      <c r="A1587" s="414"/>
      <c r="B1587" s="425" t="s">
        <v>1416</v>
      </c>
      <c r="C1587" s="296" t="s">
        <v>1990</v>
      </c>
      <c r="D1587" s="392">
        <v>1</v>
      </c>
      <c r="E1587" s="165">
        <v>2</v>
      </c>
      <c r="F1587" s="310">
        <v>0.5</v>
      </c>
      <c r="G1587" s="310"/>
      <c r="H1587" s="310"/>
      <c r="I1587" s="1162">
        <f t="shared" si="136"/>
        <v>1</v>
      </c>
      <c r="J1587" s="478"/>
      <c r="K1587" s="367"/>
      <c r="L1587" s="407"/>
      <c r="M1587" s="407"/>
      <c r="N1587" s="407"/>
    </row>
    <row r="1588" spans="1:14" s="408" customFormat="1" ht="17.25">
      <c r="A1588" s="414"/>
      <c r="B1588" s="425" t="s">
        <v>2119</v>
      </c>
      <c r="C1588" s="296" t="s">
        <v>1990</v>
      </c>
      <c r="D1588" s="392">
        <v>1</v>
      </c>
      <c r="E1588" s="165">
        <v>4</v>
      </c>
      <c r="F1588" s="310">
        <v>0.45</v>
      </c>
      <c r="G1588" s="310"/>
      <c r="H1588" s="310"/>
      <c r="I1588" s="1162">
        <f t="shared" si="136"/>
        <v>1.8</v>
      </c>
      <c r="J1588" s="478"/>
      <c r="K1588" s="367"/>
      <c r="L1588" s="407"/>
      <c r="M1588" s="407"/>
      <c r="N1588" s="407"/>
    </row>
    <row r="1589" spans="1:14" s="408" customFormat="1" ht="17.25">
      <c r="A1589" s="414"/>
      <c r="B1589" s="425" t="s">
        <v>1525</v>
      </c>
      <c r="C1589" s="296"/>
      <c r="D1589" s="392"/>
      <c r="E1589" s="165"/>
      <c r="F1589" s="310"/>
      <c r="G1589" s="310"/>
      <c r="H1589" s="310"/>
      <c r="I1589" s="1162" t="str">
        <f t="shared" si="136"/>
        <v/>
      </c>
      <c r="J1589" s="478"/>
      <c r="K1589" s="367"/>
      <c r="L1589" s="407"/>
      <c r="M1589" s="407"/>
      <c r="N1589" s="407"/>
    </row>
    <row r="1590" spans="1:14" s="408" customFormat="1" ht="17.25">
      <c r="A1590" s="414"/>
      <c r="B1590" s="425" t="s">
        <v>2120</v>
      </c>
      <c r="C1590" s="296" t="s">
        <v>1990</v>
      </c>
      <c r="D1590" s="392">
        <v>1</v>
      </c>
      <c r="E1590" s="165">
        <v>1</v>
      </c>
      <c r="F1590" s="310">
        <v>2.63</v>
      </c>
      <c r="G1590" s="310"/>
      <c r="H1590" s="310"/>
      <c r="I1590" s="1162">
        <f t="shared" si="136"/>
        <v>2.63</v>
      </c>
      <c r="J1590" s="478"/>
      <c r="K1590" s="367"/>
      <c r="L1590" s="407"/>
      <c r="M1590" s="407"/>
      <c r="N1590" s="407"/>
    </row>
    <row r="1591" spans="1:14" s="408" customFormat="1" ht="17.25">
      <c r="A1591" s="414"/>
      <c r="B1591" s="425" t="s">
        <v>1402</v>
      </c>
      <c r="C1591" s="296" t="s">
        <v>1990</v>
      </c>
      <c r="D1591" s="392">
        <v>1</v>
      </c>
      <c r="E1591" s="165">
        <v>1</v>
      </c>
      <c r="F1591" s="310">
        <v>1.81</v>
      </c>
      <c r="G1591" s="310"/>
      <c r="H1591" s="310"/>
      <c r="I1591" s="1162">
        <f t="shared" si="136"/>
        <v>1.81</v>
      </c>
      <c r="J1591" s="478"/>
      <c r="K1591" s="367"/>
      <c r="L1591" s="407"/>
      <c r="M1591" s="407"/>
      <c r="N1591" s="407"/>
    </row>
    <row r="1592" spans="1:14" s="408" customFormat="1" ht="17.25">
      <c r="A1592" s="414"/>
      <c r="B1592" s="425" t="s">
        <v>1416</v>
      </c>
      <c r="C1592" s="296" t="s">
        <v>1990</v>
      </c>
      <c r="D1592" s="392">
        <v>1</v>
      </c>
      <c r="E1592" s="165">
        <v>2</v>
      </c>
      <c r="F1592" s="310">
        <v>0.5</v>
      </c>
      <c r="G1592" s="310"/>
      <c r="H1592" s="310"/>
      <c r="I1592" s="1162">
        <f t="shared" si="136"/>
        <v>1</v>
      </c>
      <c r="J1592" s="478"/>
      <c r="K1592" s="367"/>
      <c r="L1592" s="407"/>
      <c r="M1592" s="407"/>
      <c r="N1592" s="407"/>
    </row>
    <row r="1593" spans="1:14" s="408" customFormat="1" ht="17.25">
      <c r="A1593" s="414"/>
      <c r="B1593" s="425" t="s">
        <v>2119</v>
      </c>
      <c r="C1593" s="296" t="s">
        <v>1990</v>
      </c>
      <c r="D1593" s="392">
        <v>1</v>
      </c>
      <c r="E1593" s="165">
        <v>4</v>
      </c>
      <c r="F1593" s="310">
        <v>0.45</v>
      </c>
      <c r="G1593" s="310"/>
      <c r="H1593" s="310"/>
      <c r="I1593" s="1162">
        <f t="shared" si="136"/>
        <v>1.8</v>
      </c>
      <c r="J1593" s="478"/>
      <c r="K1593" s="367"/>
      <c r="L1593" s="407"/>
      <c r="M1593" s="407"/>
      <c r="N1593" s="407"/>
    </row>
    <row r="1594" spans="1:14" s="408" customFormat="1" ht="17.25">
      <c r="A1594" s="414"/>
      <c r="B1594" s="425" t="s">
        <v>1526</v>
      </c>
      <c r="C1594" s="296"/>
      <c r="D1594" s="392"/>
      <c r="E1594" s="165"/>
      <c r="F1594" s="310"/>
      <c r="G1594" s="310"/>
      <c r="H1594" s="310"/>
      <c r="I1594" s="1162" t="str">
        <f t="shared" si="136"/>
        <v/>
      </c>
      <c r="J1594" s="478"/>
      <c r="K1594" s="367"/>
      <c r="L1594" s="407"/>
      <c r="M1594" s="407"/>
      <c r="N1594" s="407"/>
    </row>
    <row r="1595" spans="1:14" s="408" customFormat="1" ht="17.25">
      <c r="A1595" s="414"/>
      <c r="B1595" s="425" t="s">
        <v>1521</v>
      </c>
      <c r="C1595" s="296" t="s">
        <v>1990</v>
      </c>
      <c r="D1595" s="392">
        <v>1</v>
      </c>
      <c r="E1595" s="165">
        <v>1</v>
      </c>
      <c r="F1595" s="310">
        <v>4.8099999999999996</v>
      </c>
      <c r="G1595" s="310"/>
      <c r="H1595" s="310"/>
      <c r="I1595" s="1162">
        <f t="shared" si="136"/>
        <v>4.8099999999999996</v>
      </c>
      <c r="J1595" s="478"/>
      <c r="K1595" s="367"/>
      <c r="L1595" s="407"/>
      <c r="M1595" s="407"/>
      <c r="N1595" s="407"/>
    </row>
    <row r="1596" spans="1:14" s="408" customFormat="1" ht="17.25">
      <c r="A1596" s="414"/>
      <c r="B1596" s="425" t="s">
        <v>1402</v>
      </c>
      <c r="C1596" s="296" t="s">
        <v>1990</v>
      </c>
      <c r="D1596" s="392">
        <v>1</v>
      </c>
      <c r="E1596" s="165">
        <v>1</v>
      </c>
      <c r="F1596" s="310">
        <v>3.605</v>
      </c>
      <c r="G1596" s="310"/>
      <c r="H1596" s="310"/>
      <c r="I1596" s="1162">
        <f t="shared" si="136"/>
        <v>3.61</v>
      </c>
      <c r="J1596" s="478"/>
      <c r="K1596" s="367"/>
      <c r="L1596" s="407"/>
      <c r="M1596" s="407"/>
      <c r="N1596" s="407"/>
    </row>
    <row r="1597" spans="1:14" s="408" customFormat="1" ht="17.25">
      <c r="A1597" s="414"/>
      <c r="B1597" s="425" t="s">
        <v>1416</v>
      </c>
      <c r="C1597" s="296" t="s">
        <v>1990</v>
      </c>
      <c r="D1597" s="392">
        <v>1</v>
      </c>
      <c r="E1597" s="165">
        <v>2</v>
      </c>
      <c r="F1597" s="310">
        <v>0.5</v>
      </c>
      <c r="G1597" s="310"/>
      <c r="H1597" s="310"/>
      <c r="I1597" s="1162">
        <f t="shared" si="136"/>
        <v>1</v>
      </c>
      <c r="J1597" s="478"/>
      <c r="K1597" s="367"/>
      <c r="L1597" s="407"/>
      <c r="M1597" s="407"/>
      <c r="N1597" s="407"/>
    </row>
    <row r="1598" spans="1:14" s="408" customFormat="1" ht="17.25">
      <c r="A1598" s="414"/>
      <c r="B1598" s="425" t="s">
        <v>2119</v>
      </c>
      <c r="C1598" s="296" t="s">
        <v>1990</v>
      </c>
      <c r="D1598" s="392">
        <v>1</v>
      </c>
      <c r="E1598" s="165">
        <v>4</v>
      </c>
      <c r="F1598" s="310">
        <v>0.45</v>
      </c>
      <c r="G1598" s="310"/>
      <c r="H1598" s="310"/>
      <c r="I1598" s="1162">
        <f t="shared" si="136"/>
        <v>1.8</v>
      </c>
      <c r="J1598" s="478"/>
      <c r="K1598" s="367"/>
      <c r="L1598" s="407"/>
      <c r="M1598" s="407"/>
      <c r="N1598" s="407"/>
    </row>
    <row r="1599" spans="1:14" s="408" customFormat="1" ht="17.25">
      <c r="A1599" s="414"/>
      <c r="B1599" s="425" t="s">
        <v>1527</v>
      </c>
      <c r="C1599" s="296"/>
      <c r="D1599" s="392"/>
      <c r="E1599" s="165"/>
      <c r="F1599" s="310"/>
      <c r="G1599" s="310"/>
      <c r="H1599" s="310"/>
      <c r="I1599" s="1162" t="str">
        <f t="shared" si="136"/>
        <v/>
      </c>
      <c r="J1599" s="478"/>
      <c r="K1599" s="367"/>
      <c r="L1599" s="407"/>
      <c r="M1599" s="407"/>
      <c r="N1599" s="407"/>
    </row>
    <row r="1600" spans="1:14" s="408" customFormat="1" ht="17.25">
      <c r="A1600" s="414"/>
      <c r="B1600" s="425" t="s">
        <v>1521</v>
      </c>
      <c r="C1600" s="296" t="s">
        <v>1990</v>
      </c>
      <c r="D1600" s="392">
        <v>1</v>
      </c>
      <c r="E1600" s="165">
        <v>1</v>
      </c>
      <c r="F1600" s="310">
        <v>5.5350000000000001</v>
      </c>
      <c r="G1600" s="310"/>
      <c r="H1600" s="310"/>
      <c r="I1600" s="1162">
        <f t="shared" si="136"/>
        <v>5.54</v>
      </c>
      <c r="J1600" s="478"/>
      <c r="K1600" s="367"/>
      <c r="L1600" s="407"/>
      <c r="M1600" s="407"/>
      <c r="N1600" s="407"/>
    </row>
    <row r="1601" spans="1:14" s="408" customFormat="1" ht="17.25">
      <c r="A1601" s="414"/>
      <c r="B1601" s="425" t="s">
        <v>1402</v>
      </c>
      <c r="C1601" s="296" t="s">
        <v>1990</v>
      </c>
      <c r="D1601" s="392">
        <v>1</v>
      </c>
      <c r="E1601" s="165">
        <v>1</v>
      </c>
      <c r="F1601" s="310">
        <v>4.45</v>
      </c>
      <c r="G1601" s="310"/>
      <c r="H1601" s="310"/>
      <c r="I1601" s="1162">
        <f t="shared" si="136"/>
        <v>4.45</v>
      </c>
      <c r="J1601" s="478"/>
      <c r="K1601" s="367"/>
      <c r="L1601" s="407"/>
      <c r="M1601" s="407"/>
      <c r="N1601" s="407"/>
    </row>
    <row r="1602" spans="1:14" s="408" customFormat="1" ht="17.25">
      <c r="A1602" s="414"/>
      <c r="B1602" s="425" t="s">
        <v>1416</v>
      </c>
      <c r="C1602" s="296" t="s">
        <v>1990</v>
      </c>
      <c r="D1602" s="392">
        <v>1</v>
      </c>
      <c r="E1602" s="165">
        <v>2</v>
      </c>
      <c r="F1602" s="310">
        <v>0.5</v>
      </c>
      <c r="G1602" s="310"/>
      <c r="H1602" s="310"/>
      <c r="I1602" s="1162">
        <f t="shared" si="136"/>
        <v>1</v>
      </c>
      <c r="J1602" s="478"/>
      <c r="K1602" s="367"/>
      <c r="L1602" s="407"/>
      <c r="M1602" s="407"/>
      <c r="N1602" s="407"/>
    </row>
    <row r="1603" spans="1:14" s="408" customFormat="1" ht="17.25">
      <c r="A1603" s="414"/>
      <c r="B1603" s="425" t="s">
        <v>2119</v>
      </c>
      <c r="C1603" s="296" t="s">
        <v>1990</v>
      </c>
      <c r="D1603" s="392">
        <v>1</v>
      </c>
      <c r="E1603" s="165">
        <v>4</v>
      </c>
      <c r="F1603" s="310">
        <v>0.45</v>
      </c>
      <c r="G1603" s="310"/>
      <c r="H1603" s="310"/>
      <c r="I1603" s="1162">
        <f t="shared" si="136"/>
        <v>1.8</v>
      </c>
      <c r="J1603" s="478"/>
      <c r="K1603" s="367"/>
      <c r="L1603" s="407"/>
      <c r="M1603" s="407"/>
      <c r="N1603" s="407"/>
    </row>
    <row r="1604" spans="1:14" s="408" customFormat="1" ht="17.25">
      <c r="A1604" s="414"/>
      <c r="B1604" s="425" t="s">
        <v>1528</v>
      </c>
      <c r="C1604" s="296"/>
      <c r="D1604" s="392"/>
      <c r="E1604" s="165"/>
      <c r="F1604" s="310"/>
      <c r="G1604" s="310"/>
      <c r="H1604" s="310"/>
      <c r="I1604" s="1162" t="str">
        <f t="shared" si="136"/>
        <v/>
      </c>
      <c r="J1604" s="478"/>
      <c r="K1604" s="367"/>
      <c r="L1604" s="407"/>
      <c r="M1604" s="407"/>
      <c r="N1604" s="407"/>
    </row>
    <row r="1605" spans="1:14" s="408" customFormat="1" ht="17.25">
      <c r="A1605" s="414"/>
      <c r="B1605" s="425" t="s">
        <v>1521</v>
      </c>
      <c r="C1605" s="296" t="s">
        <v>1990</v>
      </c>
      <c r="D1605" s="392">
        <v>1</v>
      </c>
      <c r="E1605" s="165">
        <v>1</v>
      </c>
      <c r="F1605" s="310">
        <v>3.2549999999999999</v>
      </c>
      <c r="G1605" s="310"/>
      <c r="H1605" s="310"/>
      <c r="I1605" s="1162">
        <f t="shared" si="136"/>
        <v>3.26</v>
      </c>
      <c r="J1605" s="478"/>
      <c r="K1605" s="367"/>
      <c r="L1605" s="407"/>
      <c r="M1605" s="407"/>
      <c r="N1605" s="407"/>
    </row>
    <row r="1606" spans="1:14" s="408" customFormat="1" ht="17.25">
      <c r="A1606" s="414"/>
      <c r="B1606" s="425" t="s">
        <v>1402</v>
      </c>
      <c r="C1606" s="296" t="s">
        <v>1990</v>
      </c>
      <c r="D1606" s="392">
        <v>1</v>
      </c>
      <c r="E1606" s="165">
        <v>1</v>
      </c>
      <c r="F1606" s="310">
        <v>2.6349999999999998</v>
      </c>
      <c r="G1606" s="310"/>
      <c r="H1606" s="310"/>
      <c r="I1606" s="1162">
        <f t="shared" si="136"/>
        <v>2.64</v>
      </c>
      <c r="J1606" s="478"/>
      <c r="K1606" s="367"/>
      <c r="L1606" s="407"/>
      <c r="M1606" s="407"/>
      <c r="N1606" s="407"/>
    </row>
    <row r="1607" spans="1:14" s="408" customFormat="1" ht="17.25">
      <c r="A1607" s="414"/>
      <c r="B1607" s="425" t="s">
        <v>1416</v>
      </c>
      <c r="C1607" s="296" t="s">
        <v>1990</v>
      </c>
      <c r="D1607" s="392">
        <v>1</v>
      </c>
      <c r="E1607" s="165">
        <v>2</v>
      </c>
      <c r="F1607" s="310">
        <v>0.5</v>
      </c>
      <c r="G1607" s="310"/>
      <c r="H1607" s="310"/>
      <c r="I1607" s="1162">
        <f t="shared" si="136"/>
        <v>1</v>
      </c>
      <c r="J1607" s="478"/>
      <c r="K1607" s="367"/>
      <c r="L1607" s="407"/>
      <c r="M1607" s="407"/>
      <c r="N1607" s="407"/>
    </row>
    <row r="1608" spans="1:14" s="408" customFormat="1" ht="17.25">
      <c r="A1608" s="414"/>
      <c r="B1608" s="425" t="s">
        <v>2119</v>
      </c>
      <c r="C1608" s="296" t="s">
        <v>1990</v>
      </c>
      <c r="D1608" s="392">
        <v>1</v>
      </c>
      <c r="E1608" s="165">
        <v>4</v>
      </c>
      <c r="F1608" s="310">
        <v>0.45</v>
      </c>
      <c r="G1608" s="310"/>
      <c r="H1608" s="310"/>
      <c r="I1608" s="1162">
        <f t="shared" si="136"/>
        <v>1.8</v>
      </c>
      <c r="J1608" s="478"/>
      <c r="K1608" s="367"/>
      <c r="L1608" s="407"/>
      <c r="M1608" s="407"/>
      <c r="N1608" s="407"/>
    </row>
    <row r="1609" spans="1:14" s="408" customFormat="1" ht="17.25">
      <c r="A1609" s="414"/>
      <c r="B1609" s="425" t="s">
        <v>1529</v>
      </c>
      <c r="C1609" s="296"/>
      <c r="D1609" s="392"/>
      <c r="E1609" s="165"/>
      <c r="F1609" s="310"/>
      <c r="G1609" s="310"/>
      <c r="H1609" s="310"/>
      <c r="I1609" s="1162" t="str">
        <f t="shared" si="136"/>
        <v/>
      </c>
      <c r="J1609" s="478"/>
      <c r="K1609" s="367"/>
      <c r="L1609" s="407"/>
      <c r="M1609" s="407"/>
      <c r="N1609" s="407"/>
    </row>
    <row r="1610" spans="1:14" s="408" customFormat="1" ht="17.25">
      <c r="A1610" s="414"/>
      <c r="B1610" s="425" t="s">
        <v>1521</v>
      </c>
      <c r="C1610" s="296" t="s">
        <v>1990</v>
      </c>
      <c r="D1610" s="392">
        <v>1</v>
      </c>
      <c r="E1610" s="165">
        <v>1</v>
      </c>
      <c r="F1610" s="310">
        <v>3.27</v>
      </c>
      <c r="G1610" s="310"/>
      <c r="H1610" s="310"/>
      <c r="I1610" s="1162">
        <f t="shared" si="136"/>
        <v>3.27</v>
      </c>
      <c r="J1610" s="478"/>
      <c r="K1610" s="367"/>
      <c r="L1610" s="407"/>
      <c r="M1610" s="407"/>
      <c r="N1610" s="407"/>
    </row>
    <row r="1611" spans="1:14" s="408" customFormat="1" ht="17.25">
      <c r="A1611" s="414"/>
      <c r="B1611" s="425" t="s">
        <v>1402</v>
      </c>
      <c r="C1611" s="296" t="s">
        <v>1990</v>
      </c>
      <c r="D1611" s="392">
        <v>1</v>
      </c>
      <c r="E1611" s="165">
        <v>1</v>
      </c>
      <c r="F1611" s="310">
        <v>2.6150000000000002</v>
      </c>
      <c r="G1611" s="310"/>
      <c r="H1611" s="310"/>
      <c r="I1611" s="1162">
        <f t="shared" si="136"/>
        <v>2.62</v>
      </c>
      <c r="J1611" s="478"/>
      <c r="K1611" s="367"/>
      <c r="L1611" s="407"/>
      <c r="M1611" s="407"/>
      <c r="N1611" s="407"/>
    </row>
    <row r="1612" spans="1:14" s="408" customFormat="1" ht="17.25">
      <c r="A1612" s="414"/>
      <c r="B1612" s="425" t="s">
        <v>1416</v>
      </c>
      <c r="C1612" s="296" t="s">
        <v>1990</v>
      </c>
      <c r="D1612" s="392">
        <v>1</v>
      </c>
      <c r="E1612" s="165">
        <v>2</v>
      </c>
      <c r="F1612" s="310">
        <v>0.5</v>
      </c>
      <c r="G1612" s="310"/>
      <c r="H1612" s="310"/>
      <c r="I1612" s="1162">
        <f t="shared" si="136"/>
        <v>1</v>
      </c>
      <c r="J1612" s="478"/>
      <c r="K1612" s="367"/>
      <c r="L1612" s="407"/>
      <c r="M1612" s="407"/>
      <c r="N1612" s="407"/>
    </row>
    <row r="1613" spans="1:14" s="408" customFormat="1" ht="17.25">
      <c r="A1613" s="414"/>
      <c r="B1613" s="425" t="s">
        <v>2119</v>
      </c>
      <c r="C1613" s="296" t="s">
        <v>1990</v>
      </c>
      <c r="D1613" s="392">
        <v>1</v>
      </c>
      <c r="E1613" s="165">
        <v>4</v>
      </c>
      <c r="F1613" s="310">
        <v>0.45</v>
      </c>
      <c r="G1613" s="310"/>
      <c r="H1613" s="310"/>
      <c r="I1613" s="1162">
        <f t="shared" si="136"/>
        <v>1.8</v>
      </c>
      <c r="J1613" s="478"/>
      <c r="K1613" s="367"/>
      <c r="L1613" s="407"/>
      <c r="M1613" s="407"/>
      <c r="N1613" s="407"/>
    </row>
    <row r="1614" spans="1:14" s="408" customFormat="1" ht="51.75">
      <c r="A1614" s="414" t="s">
        <v>1518</v>
      </c>
      <c r="B1614" s="425" t="s">
        <v>1531</v>
      </c>
      <c r="C1614" s="296"/>
      <c r="D1614" s="392"/>
      <c r="E1614" s="165"/>
      <c r="F1614" s="310"/>
      <c r="G1614" s="310"/>
      <c r="H1614" s="310"/>
      <c r="I1614" s="1162" t="str">
        <f t="shared" si="136"/>
        <v/>
      </c>
      <c r="J1614" s="478"/>
      <c r="K1614" s="367"/>
      <c r="L1614" s="407"/>
      <c r="M1614" s="407"/>
      <c r="N1614" s="407"/>
    </row>
    <row r="1615" spans="1:14" s="408" customFormat="1" ht="17.25">
      <c r="A1615" s="414"/>
      <c r="B1615" s="425" t="s">
        <v>2121</v>
      </c>
      <c r="C1615" s="296" t="s">
        <v>1990</v>
      </c>
      <c r="D1615" s="392">
        <v>1</v>
      </c>
      <c r="E1615" s="165">
        <v>1</v>
      </c>
      <c r="F1615" s="310">
        <v>25.434000000000001</v>
      </c>
      <c r="G1615" s="310"/>
      <c r="H1615" s="310"/>
      <c r="I1615" s="1162">
        <f t="shared" si="136"/>
        <v>25.43</v>
      </c>
      <c r="J1615" s="478"/>
      <c r="K1615" s="367"/>
      <c r="L1615" s="407"/>
      <c r="M1615" s="407"/>
      <c r="N1615" s="407"/>
    </row>
    <row r="1616" spans="1:14" s="408" customFormat="1" ht="17.25">
      <c r="A1616" s="414"/>
      <c r="B1616" s="425" t="s">
        <v>2122</v>
      </c>
      <c r="C1616" s="296" t="s">
        <v>1990</v>
      </c>
      <c r="D1616" s="392">
        <v>1</v>
      </c>
      <c r="E1616" s="165">
        <v>1</v>
      </c>
      <c r="F1616" s="310">
        <v>21.98</v>
      </c>
      <c r="G1616" s="310"/>
      <c r="H1616" s="310"/>
      <c r="I1616" s="1162">
        <f t="shared" si="136"/>
        <v>21.98</v>
      </c>
      <c r="J1616" s="478"/>
      <c r="K1616" s="367"/>
      <c r="L1616" s="407"/>
      <c r="M1616" s="407"/>
      <c r="N1616" s="407"/>
    </row>
    <row r="1617" spans="1:14" s="408" customFormat="1" ht="17.25">
      <c r="A1617" s="414"/>
      <c r="B1617" s="425"/>
      <c r="C1617" s="296"/>
      <c r="D1617" s="392"/>
      <c r="E1617" s="165"/>
      <c r="F1617" s="310"/>
      <c r="G1617" s="310"/>
      <c r="H1617" s="310"/>
      <c r="I1617" s="1162" t="str">
        <f t="shared" si="136"/>
        <v/>
      </c>
      <c r="J1617" s="478"/>
      <c r="K1617" s="367"/>
      <c r="L1617" s="407"/>
      <c r="M1617" s="407"/>
      <c r="N1617" s="407"/>
    </row>
    <row r="1618" spans="1:14" s="408" customFormat="1" ht="17.25">
      <c r="A1618" s="414" t="s">
        <v>1530</v>
      </c>
      <c r="B1618" s="425" t="s">
        <v>2123</v>
      </c>
      <c r="C1618" s="296" t="s">
        <v>1990</v>
      </c>
      <c r="D1618" s="392">
        <v>1</v>
      </c>
      <c r="E1618" s="165">
        <v>1</v>
      </c>
      <c r="F1618" s="310">
        <v>67.365956999999995</v>
      </c>
      <c r="G1618" s="310"/>
      <c r="H1618" s="310"/>
      <c r="I1618" s="1162">
        <f t="shared" si="136"/>
        <v>67.37</v>
      </c>
      <c r="J1618" s="478"/>
      <c r="K1618" s="367"/>
      <c r="L1618" s="407"/>
      <c r="M1618" s="407"/>
      <c r="N1618" s="407"/>
    </row>
    <row r="1619" spans="1:14" s="408" customFormat="1" ht="17.25">
      <c r="A1619" s="414"/>
      <c r="B1619" s="425" t="s">
        <v>2124</v>
      </c>
      <c r="C1619" s="296" t="s">
        <v>1990</v>
      </c>
      <c r="D1619" s="392">
        <v>1</v>
      </c>
      <c r="E1619" s="165">
        <v>2</v>
      </c>
      <c r="F1619" s="310">
        <v>1.37</v>
      </c>
      <c r="G1619" s="310"/>
      <c r="H1619" s="310"/>
      <c r="I1619" s="1162">
        <f t="shared" si="136"/>
        <v>2.74</v>
      </c>
      <c r="J1619" s="478"/>
      <c r="K1619" s="367"/>
      <c r="L1619" s="407"/>
      <c r="M1619" s="407"/>
      <c r="N1619" s="407"/>
    </row>
    <row r="1620" spans="1:14" s="408" customFormat="1" ht="17.25">
      <c r="A1620" s="414"/>
      <c r="B1620" s="425"/>
      <c r="C1620" s="296" t="s">
        <v>1990</v>
      </c>
      <c r="D1620" s="392">
        <v>1</v>
      </c>
      <c r="E1620" s="165">
        <v>2</v>
      </c>
      <c r="F1620" s="310">
        <v>1.2</v>
      </c>
      <c r="G1620" s="310"/>
      <c r="H1620" s="310"/>
      <c r="I1620" s="1162">
        <f t="shared" si="136"/>
        <v>2.4</v>
      </c>
      <c r="J1620" s="478"/>
      <c r="K1620" s="367"/>
      <c r="L1620" s="407"/>
      <c r="M1620" s="407"/>
      <c r="N1620" s="407"/>
    </row>
    <row r="1621" spans="1:14" s="408" customFormat="1" ht="17.25">
      <c r="A1621" s="414"/>
      <c r="B1621" s="425"/>
      <c r="C1621" s="296" t="s">
        <v>1990</v>
      </c>
      <c r="D1621" s="392">
        <v>1</v>
      </c>
      <c r="E1621" s="165">
        <v>2</v>
      </c>
      <c r="F1621" s="310">
        <v>1.355</v>
      </c>
      <c r="G1621" s="310"/>
      <c r="H1621" s="310"/>
      <c r="I1621" s="1162">
        <f t="shared" si="136"/>
        <v>2.71</v>
      </c>
      <c r="J1621" s="478"/>
      <c r="K1621" s="367"/>
      <c r="L1621" s="407"/>
      <c r="M1621" s="407"/>
      <c r="N1621" s="407"/>
    </row>
    <row r="1622" spans="1:14" s="408" customFormat="1" ht="17.25">
      <c r="A1622" s="414"/>
      <c r="B1622" s="425"/>
      <c r="C1622" s="296" t="s">
        <v>1990</v>
      </c>
      <c r="D1622" s="392">
        <v>1</v>
      </c>
      <c r="E1622" s="165">
        <v>2</v>
      </c>
      <c r="F1622" s="310">
        <v>1.45</v>
      </c>
      <c r="G1622" s="310"/>
      <c r="H1622" s="310"/>
      <c r="I1622" s="1162">
        <f t="shared" si="136"/>
        <v>2.9</v>
      </c>
      <c r="J1622" s="478"/>
      <c r="K1622" s="367"/>
      <c r="L1622" s="407"/>
      <c r="M1622" s="407"/>
      <c r="N1622" s="407"/>
    </row>
    <row r="1623" spans="1:14" s="1078" customFormat="1" ht="17.25">
      <c r="A1623" s="1066"/>
      <c r="B1623" s="1071" t="s">
        <v>2135</v>
      </c>
      <c r="C1623" s="1072" t="s">
        <v>1</v>
      </c>
      <c r="D1623" s="1073">
        <v>-1</v>
      </c>
      <c r="E1623" s="1066"/>
      <c r="F1623" s="1067">
        <f>SUM(I1564:I1622)</f>
        <v>411.92</v>
      </c>
      <c r="G1623" s="1067"/>
      <c r="H1623" s="1067"/>
      <c r="I1623" s="1074">
        <f t="shared" ref="I1623" si="137">IF(D1623&lt;&gt;0,ROUND(PRODUCT(E1623:H1623)*D1623,2),"")</f>
        <v>-411.92</v>
      </c>
      <c r="J1623" s="1075"/>
      <c r="K1623" s="1076"/>
      <c r="L1623" s="1077"/>
      <c r="M1623" s="1077"/>
      <c r="N1623" s="1077"/>
    </row>
    <row r="1624" spans="1:14" s="408" customFormat="1" ht="17.25">
      <c r="A1624" s="414"/>
      <c r="B1624" s="425"/>
      <c r="C1624" s="296" t="s">
        <v>1990</v>
      </c>
      <c r="D1624" s="392"/>
      <c r="E1624" s="165"/>
      <c r="F1624" s="310"/>
      <c r="G1624" s="310"/>
      <c r="H1624" s="310"/>
      <c r="I1624" s="1034" t="str">
        <f t="shared" si="136"/>
        <v/>
      </c>
      <c r="J1624" s="478"/>
      <c r="K1624" s="367"/>
      <c r="L1624" s="407"/>
      <c r="M1624" s="407"/>
      <c r="N1624" s="407"/>
    </row>
    <row r="1625" spans="1:14" s="377" customFormat="1" ht="17.25">
      <c r="A1625" s="617"/>
      <c r="B1625" s="453" t="s">
        <v>928</v>
      </c>
      <c r="C1625" s="388" t="s">
        <v>1990</v>
      </c>
      <c r="D1625" s="392"/>
      <c r="E1625" s="165"/>
      <c r="F1625" s="310"/>
      <c r="G1625" s="310"/>
      <c r="H1625" s="310"/>
      <c r="I1625" s="1034" t="str">
        <f t="shared" si="136"/>
        <v/>
      </c>
      <c r="J1625" s="162">
        <f>SUM(I1562:I1625)</f>
        <v>0</v>
      </c>
      <c r="K1625" s="454" t="s">
        <v>1690</v>
      </c>
      <c r="L1625" s="376"/>
      <c r="M1625" s="376"/>
      <c r="N1625" s="376"/>
    </row>
    <row r="1626" spans="1:14" s="408" customFormat="1" ht="17.25">
      <c r="A1626" s="617"/>
      <c r="B1626" s="425"/>
      <c r="C1626" s="414"/>
      <c r="D1626" s="392"/>
      <c r="E1626" s="165"/>
      <c r="F1626" s="310"/>
      <c r="G1626" s="310"/>
      <c r="H1626" s="310"/>
      <c r="I1626" s="478"/>
      <c r="J1626" s="432">
        <f>SUM(J1561:J1625)</f>
        <v>0</v>
      </c>
      <c r="K1626" s="405"/>
      <c r="L1626" s="407"/>
      <c r="M1626" s="407"/>
      <c r="N1626" s="407"/>
    </row>
    <row r="1627" spans="1:14" s="408" customFormat="1" ht="17.25">
      <c r="A1627" s="420" t="s">
        <v>2129</v>
      </c>
      <c r="B1627" s="421" t="s">
        <v>2127</v>
      </c>
      <c r="C1627" s="422"/>
      <c r="D1627" s="422"/>
      <c r="E1627" s="436"/>
      <c r="F1627" s="436"/>
      <c r="G1627" s="436"/>
      <c r="H1627" s="436"/>
      <c r="I1627" s="436"/>
      <c r="J1627" s="423"/>
      <c r="K1627" s="424"/>
      <c r="L1627" s="407"/>
    </row>
    <row r="1628" spans="1:14" s="384" customFormat="1" ht="17.25">
      <c r="A1628" s="378"/>
      <c r="B1628" s="429" t="s">
        <v>85</v>
      </c>
      <c r="C1628" s="465" t="s">
        <v>1</v>
      </c>
      <c r="D1628" s="638"/>
      <c r="E1628" s="345"/>
      <c r="F1628" s="626"/>
      <c r="G1628" s="626"/>
      <c r="H1628" s="626"/>
      <c r="I1628" s="445" t="str">
        <f t="shared" ref="I1628:I1787" si="138">IF(D1628&lt;&gt;0,ROUND(PRODUCT(E1628:H1628)*D1628,2),"")</f>
        <v/>
      </c>
      <c r="J1628" s="482">
        <f>SUM(I1627:I1628)</f>
        <v>0</v>
      </c>
      <c r="K1628" s="435"/>
      <c r="L1628" s="383"/>
      <c r="M1628" s="383"/>
      <c r="N1628" s="383"/>
    </row>
    <row r="1629" spans="1:14" s="408" customFormat="1" ht="17.25">
      <c r="A1629" s="414"/>
      <c r="B1629" s="425"/>
      <c r="C1629" s="296" t="s">
        <v>1</v>
      </c>
      <c r="D1629" s="392"/>
      <c r="E1629" s="165"/>
      <c r="F1629" s="310"/>
      <c r="G1629" s="310"/>
      <c r="H1629" s="310"/>
      <c r="I1629" s="1034" t="str">
        <f t="shared" si="138"/>
        <v/>
      </c>
      <c r="J1629" s="478"/>
      <c r="K1629" s="367"/>
      <c r="L1629" s="407"/>
      <c r="M1629" s="407"/>
      <c r="N1629" s="407"/>
    </row>
    <row r="1630" spans="1:14" s="408" customFormat="1" ht="34.5">
      <c r="A1630" s="414" t="s">
        <v>457</v>
      </c>
      <c r="B1630" s="425" t="s">
        <v>1178</v>
      </c>
      <c r="C1630" s="296"/>
      <c r="D1630" s="392"/>
      <c r="E1630" s="165"/>
      <c r="F1630" s="310"/>
      <c r="G1630" s="310"/>
      <c r="H1630" s="310"/>
      <c r="I1630" s="1034" t="str">
        <f t="shared" ref="I1630:I1726" si="139">IF(D1630&lt;&gt;0,ROUND(PRODUCT(E1630:H1630)*D1630,2),"")</f>
        <v/>
      </c>
      <c r="J1630" s="478"/>
      <c r="K1630" s="367"/>
      <c r="L1630" s="407"/>
      <c r="M1630" s="407"/>
      <c r="N1630" s="407"/>
    </row>
    <row r="1631" spans="1:14" s="408" customFormat="1" ht="34.5">
      <c r="A1631" s="414"/>
      <c r="B1631" s="425" t="s">
        <v>1179</v>
      </c>
      <c r="C1631" s="296" t="s">
        <v>1</v>
      </c>
      <c r="D1631" s="392">
        <v>1</v>
      </c>
      <c r="E1631" s="165">
        <v>1</v>
      </c>
      <c r="F1631" s="310">
        <v>0.28260000000000002</v>
      </c>
      <c r="G1631" s="310"/>
      <c r="H1631" s="310"/>
      <c r="I1631" s="1034">
        <f t="shared" si="139"/>
        <v>0.28000000000000003</v>
      </c>
      <c r="J1631" s="478"/>
      <c r="K1631" s="1096"/>
      <c r="L1631" s="407"/>
      <c r="M1631" s="407"/>
      <c r="N1631" s="407"/>
    </row>
    <row r="1632" spans="1:14" s="408" customFormat="1" ht="17.25">
      <c r="A1632" s="414"/>
      <c r="B1632" s="425"/>
      <c r="C1632" s="296"/>
      <c r="D1632" s="392"/>
      <c r="E1632" s="165"/>
      <c r="F1632" s="310"/>
      <c r="G1632" s="310"/>
      <c r="H1632" s="310"/>
      <c r="I1632" s="1034" t="str">
        <f t="shared" si="139"/>
        <v/>
      </c>
      <c r="J1632" s="478"/>
      <c r="K1632" s="367"/>
      <c r="L1632" s="407"/>
      <c r="M1632" s="407"/>
      <c r="N1632" s="407"/>
    </row>
    <row r="1633" spans="1:14" s="408" customFormat="1" ht="34.5">
      <c r="A1633" s="414"/>
      <c r="B1633" s="425" t="s">
        <v>1181</v>
      </c>
      <c r="C1633" s="296" t="s">
        <v>1</v>
      </c>
      <c r="D1633" s="392">
        <v>1</v>
      </c>
      <c r="E1633" s="165">
        <v>1</v>
      </c>
      <c r="F1633" s="310">
        <v>0.28260000000000002</v>
      </c>
      <c r="G1633" s="310"/>
      <c r="H1633" s="310"/>
      <c r="I1633" s="1034">
        <f t="shared" si="139"/>
        <v>0.28000000000000003</v>
      </c>
      <c r="J1633" s="478"/>
      <c r="K1633" s="367"/>
      <c r="L1633" s="407"/>
      <c r="M1633" s="407"/>
      <c r="N1633" s="407"/>
    </row>
    <row r="1634" spans="1:14" s="408" customFormat="1" ht="34.5">
      <c r="A1634" s="414"/>
      <c r="B1634" s="425" t="s">
        <v>1182</v>
      </c>
      <c r="C1634" s="296" t="s">
        <v>1</v>
      </c>
      <c r="D1634" s="392">
        <v>1</v>
      </c>
      <c r="E1634" s="165">
        <v>1</v>
      </c>
      <c r="F1634" s="310">
        <v>0.28260000000000002</v>
      </c>
      <c r="G1634" s="310"/>
      <c r="H1634" s="310"/>
      <c r="I1634" s="1034">
        <f t="shared" si="139"/>
        <v>0.28000000000000003</v>
      </c>
      <c r="J1634" s="478"/>
      <c r="K1634" s="367"/>
      <c r="L1634" s="407"/>
      <c r="M1634" s="407"/>
      <c r="N1634" s="407"/>
    </row>
    <row r="1635" spans="1:14" s="408" customFormat="1" ht="34.5">
      <c r="A1635" s="414"/>
      <c r="B1635" s="425" t="s">
        <v>1183</v>
      </c>
      <c r="C1635" s="296" t="s">
        <v>1</v>
      </c>
      <c r="D1635" s="392">
        <v>1</v>
      </c>
      <c r="E1635" s="165">
        <v>1</v>
      </c>
      <c r="F1635" s="310">
        <v>0.28260000000000002</v>
      </c>
      <c r="G1635" s="310"/>
      <c r="H1635" s="310"/>
      <c r="I1635" s="1034">
        <f t="shared" si="139"/>
        <v>0.28000000000000003</v>
      </c>
      <c r="J1635" s="478"/>
      <c r="K1635" s="367"/>
      <c r="L1635" s="407"/>
      <c r="M1635" s="407"/>
      <c r="N1635" s="407"/>
    </row>
    <row r="1636" spans="1:14" s="408" customFormat="1" ht="34.5">
      <c r="A1636" s="414"/>
      <c r="B1636" s="425" t="s">
        <v>1184</v>
      </c>
      <c r="C1636" s="296" t="s">
        <v>1</v>
      </c>
      <c r="D1636" s="392">
        <v>1</v>
      </c>
      <c r="E1636" s="165">
        <v>1</v>
      </c>
      <c r="F1636" s="310">
        <v>3.14</v>
      </c>
      <c r="G1636" s="310"/>
      <c r="H1636" s="310"/>
      <c r="I1636" s="1034">
        <f t="shared" si="139"/>
        <v>3.14</v>
      </c>
      <c r="J1636" s="478"/>
      <c r="K1636" s="367"/>
      <c r="L1636" s="407"/>
      <c r="M1636" s="407"/>
      <c r="N1636" s="407"/>
    </row>
    <row r="1637" spans="1:14" s="408" customFormat="1" ht="34.5">
      <c r="A1637" s="414"/>
      <c r="B1637" s="425" t="s">
        <v>1185</v>
      </c>
      <c r="C1637" s="296" t="s">
        <v>1</v>
      </c>
      <c r="D1637" s="392">
        <v>1</v>
      </c>
      <c r="E1637" s="165">
        <v>1</v>
      </c>
      <c r="F1637" s="310">
        <v>0.28260000000000002</v>
      </c>
      <c r="G1637" s="310"/>
      <c r="H1637" s="310"/>
      <c r="I1637" s="1034">
        <f t="shared" si="139"/>
        <v>0.28000000000000003</v>
      </c>
      <c r="J1637" s="478"/>
      <c r="K1637" s="367"/>
      <c r="L1637" s="407"/>
      <c r="M1637" s="407"/>
      <c r="N1637" s="407"/>
    </row>
    <row r="1638" spans="1:14" s="408" customFormat="1" ht="17.25">
      <c r="A1638" s="414"/>
      <c r="B1638" s="425"/>
      <c r="C1638" s="296"/>
      <c r="D1638" s="392"/>
      <c r="E1638" s="165"/>
      <c r="F1638" s="310"/>
      <c r="G1638" s="310"/>
      <c r="H1638" s="310"/>
      <c r="I1638" s="1034" t="str">
        <f t="shared" si="139"/>
        <v/>
      </c>
      <c r="J1638" s="478"/>
      <c r="K1638" s="367"/>
      <c r="L1638" s="407"/>
      <c r="M1638" s="407"/>
      <c r="N1638" s="407"/>
    </row>
    <row r="1639" spans="1:14" s="408" customFormat="1" ht="34.5">
      <c r="A1639" s="414"/>
      <c r="B1639" s="425" t="s">
        <v>1187</v>
      </c>
      <c r="C1639" s="296" t="s">
        <v>1</v>
      </c>
      <c r="D1639" s="392">
        <v>1</v>
      </c>
      <c r="E1639" s="165">
        <v>1</v>
      </c>
      <c r="F1639" s="310">
        <v>0.28260000000000002</v>
      </c>
      <c r="G1639" s="310"/>
      <c r="H1639" s="310"/>
      <c r="I1639" s="1034">
        <f t="shared" si="139"/>
        <v>0.28000000000000003</v>
      </c>
      <c r="J1639" s="478"/>
      <c r="K1639" s="367"/>
      <c r="L1639" s="407"/>
      <c r="M1639" s="407"/>
      <c r="N1639" s="407"/>
    </row>
    <row r="1640" spans="1:14" s="408" customFormat="1" ht="34.5">
      <c r="A1640" s="414"/>
      <c r="B1640" s="425" t="s">
        <v>1188</v>
      </c>
      <c r="C1640" s="296" t="s">
        <v>1</v>
      </c>
      <c r="D1640" s="392">
        <v>1</v>
      </c>
      <c r="E1640" s="165">
        <v>1</v>
      </c>
      <c r="F1640" s="310">
        <v>1.7662500000000001</v>
      </c>
      <c r="G1640" s="310"/>
      <c r="H1640" s="310"/>
      <c r="I1640" s="1034">
        <f t="shared" si="139"/>
        <v>1.77</v>
      </c>
      <c r="J1640" s="478"/>
      <c r="K1640" s="367"/>
      <c r="L1640" s="407"/>
      <c r="M1640" s="407"/>
      <c r="N1640" s="407"/>
    </row>
    <row r="1641" spans="1:14" s="408" customFormat="1" ht="34.5">
      <c r="A1641" s="414"/>
      <c r="B1641" s="425" t="s">
        <v>1189</v>
      </c>
      <c r="C1641" s="296" t="s">
        <v>1</v>
      </c>
      <c r="D1641" s="392">
        <v>1</v>
      </c>
      <c r="E1641" s="165">
        <v>1</v>
      </c>
      <c r="F1641" s="310">
        <v>1.7662500000000001</v>
      </c>
      <c r="G1641" s="310"/>
      <c r="H1641" s="310"/>
      <c r="I1641" s="1034">
        <f t="shared" si="139"/>
        <v>1.77</v>
      </c>
      <c r="J1641" s="478"/>
      <c r="K1641" s="367"/>
      <c r="L1641" s="407"/>
      <c r="M1641" s="407"/>
      <c r="N1641" s="407"/>
    </row>
    <row r="1642" spans="1:14" s="408" customFormat="1" ht="34.5">
      <c r="A1642" s="414"/>
      <c r="B1642" s="425" t="s">
        <v>1190</v>
      </c>
      <c r="C1642" s="296" t="s">
        <v>1</v>
      </c>
      <c r="D1642" s="392">
        <v>1</v>
      </c>
      <c r="E1642" s="165">
        <v>1</v>
      </c>
      <c r="F1642" s="310">
        <v>0.28260000000000002</v>
      </c>
      <c r="G1642" s="310"/>
      <c r="H1642" s="310"/>
      <c r="I1642" s="1034">
        <f t="shared" si="139"/>
        <v>0.28000000000000003</v>
      </c>
      <c r="J1642" s="478"/>
      <c r="K1642" s="367"/>
      <c r="L1642" s="407"/>
      <c r="M1642" s="407"/>
      <c r="N1642" s="407"/>
    </row>
    <row r="1643" spans="1:14" s="408" customFormat="1" ht="17.25">
      <c r="A1643" s="414"/>
      <c r="B1643" s="425"/>
      <c r="C1643" s="296"/>
      <c r="D1643" s="392"/>
      <c r="E1643" s="165"/>
      <c r="F1643" s="310"/>
      <c r="G1643" s="310"/>
      <c r="H1643" s="310"/>
      <c r="I1643" s="1034" t="str">
        <f t="shared" si="139"/>
        <v/>
      </c>
      <c r="J1643" s="478"/>
      <c r="K1643" s="367"/>
      <c r="L1643" s="407"/>
      <c r="M1643" s="407"/>
      <c r="N1643" s="407"/>
    </row>
    <row r="1644" spans="1:14" s="408" customFormat="1" ht="34.5">
      <c r="A1644" s="414"/>
      <c r="B1644" s="425" t="s">
        <v>1191</v>
      </c>
      <c r="C1644" s="296" t="s">
        <v>1</v>
      </c>
      <c r="D1644" s="392">
        <v>1</v>
      </c>
      <c r="E1644" s="165">
        <v>1</v>
      </c>
      <c r="F1644" s="310">
        <v>0.28260000000000002</v>
      </c>
      <c r="G1644" s="310"/>
      <c r="H1644" s="310"/>
      <c r="I1644" s="1034">
        <f t="shared" si="139"/>
        <v>0.28000000000000003</v>
      </c>
      <c r="J1644" s="478"/>
      <c r="K1644" s="367"/>
      <c r="L1644" s="407"/>
      <c r="M1644" s="407"/>
      <c r="N1644" s="407"/>
    </row>
    <row r="1645" spans="1:14" s="408" customFormat="1" ht="17.25">
      <c r="A1645" s="414"/>
      <c r="B1645" s="425"/>
      <c r="C1645" s="296"/>
      <c r="D1645" s="392"/>
      <c r="E1645" s="165"/>
      <c r="F1645" s="310"/>
      <c r="G1645" s="310"/>
      <c r="H1645" s="310"/>
      <c r="I1645" s="1034" t="str">
        <f t="shared" si="139"/>
        <v/>
      </c>
      <c r="J1645" s="478"/>
      <c r="K1645" s="367"/>
      <c r="L1645" s="407"/>
      <c r="M1645" s="407"/>
      <c r="N1645" s="407"/>
    </row>
    <row r="1646" spans="1:14" s="408" customFormat="1" ht="34.5">
      <c r="A1646" s="414"/>
      <c r="B1646" s="425" t="s">
        <v>1192</v>
      </c>
      <c r="C1646" s="296" t="s">
        <v>1</v>
      </c>
      <c r="D1646" s="392">
        <v>1</v>
      </c>
      <c r="E1646" s="165">
        <v>1</v>
      </c>
      <c r="F1646" s="310">
        <v>0.28260000000000002</v>
      </c>
      <c r="G1646" s="310"/>
      <c r="H1646" s="310"/>
      <c r="I1646" s="1034">
        <f t="shared" si="139"/>
        <v>0.28000000000000003</v>
      </c>
      <c r="J1646" s="478"/>
      <c r="K1646" s="367"/>
      <c r="L1646" s="407"/>
      <c r="M1646" s="407"/>
      <c r="N1646" s="407"/>
    </row>
    <row r="1647" spans="1:14" s="408" customFormat="1" ht="17.25">
      <c r="A1647" s="414"/>
      <c r="B1647" s="425"/>
      <c r="C1647" s="296"/>
      <c r="D1647" s="392"/>
      <c r="E1647" s="165"/>
      <c r="F1647" s="310"/>
      <c r="G1647" s="310"/>
      <c r="H1647" s="310"/>
      <c r="I1647" s="1034" t="str">
        <f t="shared" si="139"/>
        <v/>
      </c>
      <c r="J1647" s="478"/>
      <c r="K1647" s="367"/>
      <c r="L1647" s="407"/>
      <c r="M1647" s="407"/>
      <c r="N1647" s="407"/>
    </row>
    <row r="1648" spans="1:14" s="408" customFormat="1" ht="34.5">
      <c r="A1648" s="414"/>
      <c r="B1648" s="425" t="s">
        <v>1193</v>
      </c>
      <c r="C1648" s="296" t="s">
        <v>1</v>
      </c>
      <c r="D1648" s="392">
        <v>1</v>
      </c>
      <c r="E1648" s="165">
        <v>1</v>
      </c>
      <c r="F1648" s="310">
        <v>0.28260000000000002</v>
      </c>
      <c r="G1648" s="310"/>
      <c r="H1648" s="310"/>
      <c r="I1648" s="1034">
        <f t="shared" si="139"/>
        <v>0.28000000000000003</v>
      </c>
      <c r="J1648" s="478"/>
      <c r="K1648" s="367"/>
      <c r="L1648" s="407"/>
      <c r="M1648" s="407"/>
      <c r="N1648" s="407"/>
    </row>
    <row r="1649" spans="1:14" s="408" customFormat="1" ht="17.25">
      <c r="A1649" s="414"/>
      <c r="B1649" s="425"/>
      <c r="C1649" s="296"/>
      <c r="D1649" s="392"/>
      <c r="E1649" s="165"/>
      <c r="F1649" s="310"/>
      <c r="G1649" s="310"/>
      <c r="H1649" s="310"/>
      <c r="I1649" s="1034" t="str">
        <f t="shared" si="139"/>
        <v/>
      </c>
      <c r="J1649" s="478"/>
      <c r="K1649" s="367"/>
      <c r="L1649" s="407"/>
      <c r="M1649" s="407"/>
      <c r="N1649" s="407"/>
    </row>
    <row r="1650" spans="1:14" s="408" customFormat="1" ht="34.5">
      <c r="A1650" s="414"/>
      <c r="B1650" s="425" t="s">
        <v>1194</v>
      </c>
      <c r="C1650" s="296" t="s">
        <v>1</v>
      </c>
      <c r="D1650" s="392">
        <v>1</v>
      </c>
      <c r="E1650" s="165">
        <v>1</v>
      </c>
      <c r="F1650" s="310">
        <v>0.28260000000000002</v>
      </c>
      <c r="G1650" s="310"/>
      <c r="H1650" s="310"/>
      <c r="I1650" s="1034">
        <f t="shared" si="139"/>
        <v>0.28000000000000003</v>
      </c>
      <c r="J1650" s="478"/>
      <c r="K1650" s="367"/>
      <c r="L1650" s="407"/>
      <c r="M1650" s="407"/>
      <c r="N1650" s="407"/>
    </row>
    <row r="1651" spans="1:14" s="408" customFormat="1" ht="34.5">
      <c r="A1651" s="414"/>
      <c r="B1651" s="425" t="s">
        <v>1195</v>
      </c>
      <c r="C1651" s="296" t="s">
        <v>1</v>
      </c>
      <c r="D1651" s="392">
        <v>1</v>
      </c>
      <c r="E1651" s="165">
        <v>1</v>
      </c>
      <c r="F1651" s="310">
        <v>0.28260000000000002</v>
      </c>
      <c r="G1651" s="310"/>
      <c r="H1651" s="310"/>
      <c r="I1651" s="1034">
        <f t="shared" si="139"/>
        <v>0.28000000000000003</v>
      </c>
      <c r="J1651" s="478"/>
      <c r="K1651" s="367"/>
      <c r="L1651" s="407"/>
      <c r="M1651" s="407"/>
      <c r="N1651" s="407"/>
    </row>
    <row r="1652" spans="1:14" s="408" customFormat="1" ht="17.25">
      <c r="A1652" s="414"/>
      <c r="B1652" s="425"/>
      <c r="C1652" s="296"/>
      <c r="D1652" s="392"/>
      <c r="E1652" s="165"/>
      <c r="F1652" s="310"/>
      <c r="G1652" s="310"/>
      <c r="H1652" s="310"/>
      <c r="I1652" s="1034" t="str">
        <f t="shared" si="139"/>
        <v/>
      </c>
      <c r="J1652" s="478"/>
      <c r="K1652" s="367"/>
      <c r="L1652" s="407"/>
      <c r="M1652" s="407"/>
      <c r="N1652" s="407"/>
    </row>
    <row r="1653" spans="1:14" s="408" customFormat="1" ht="34.5">
      <c r="A1653" s="414"/>
      <c r="B1653" s="425" t="s">
        <v>1202</v>
      </c>
      <c r="C1653" s="296" t="s">
        <v>1</v>
      </c>
      <c r="D1653" s="392">
        <v>1</v>
      </c>
      <c r="E1653" s="165">
        <v>1</v>
      </c>
      <c r="F1653" s="310">
        <v>0.28260000000000002</v>
      </c>
      <c r="G1653" s="310"/>
      <c r="H1653" s="310"/>
      <c r="I1653" s="1034">
        <f t="shared" si="139"/>
        <v>0.28000000000000003</v>
      </c>
      <c r="J1653" s="478"/>
      <c r="K1653" s="367"/>
      <c r="L1653" s="407"/>
      <c r="M1653" s="407"/>
      <c r="N1653" s="407"/>
    </row>
    <row r="1654" spans="1:14" s="408" customFormat="1" ht="34.5">
      <c r="A1654" s="414"/>
      <c r="B1654" s="425" t="s">
        <v>1203</v>
      </c>
      <c r="C1654" s="296" t="s">
        <v>1</v>
      </c>
      <c r="D1654" s="392">
        <v>1</v>
      </c>
      <c r="E1654" s="165">
        <v>1</v>
      </c>
      <c r="F1654" s="310">
        <v>0.78500000000000003</v>
      </c>
      <c r="G1654" s="310"/>
      <c r="H1654" s="310"/>
      <c r="I1654" s="1034">
        <f t="shared" si="139"/>
        <v>0.79</v>
      </c>
      <c r="J1654" s="478"/>
      <c r="K1654" s="367"/>
      <c r="L1654" s="407"/>
      <c r="M1654" s="407"/>
      <c r="N1654" s="407"/>
    </row>
    <row r="1655" spans="1:14" s="408" customFormat="1" ht="34.5">
      <c r="A1655" s="414"/>
      <c r="B1655" s="425" t="s">
        <v>1204</v>
      </c>
      <c r="C1655" s="296" t="s">
        <v>1</v>
      </c>
      <c r="D1655" s="392">
        <v>1</v>
      </c>
      <c r="E1655" s="165">
        <v>1</v>
      </c>
      <c r="F1655" s="310">
        <v>0.28260000000000002</v>
      </c>
      <c r="G1655" s="310"/>
      <c r="H1655" s="310"/>
      <c r="I1655" s="1034">
        <f t="shared" si="139"/>
        <v>0.28000000000000003</v>
      </c>
      <c r="J1655" s="478"/>
      <c r="K1655" s="367"/>
      <c r="L1655" s="407"/>
      <c r="M1655" s="407"/>
      <c r="N1655" s="407"/>
    </row>
    <row r="1656" spans="1:14" s="408" customFormat="1" ht="34.5">
      <c r="A1656" s="414"/>
      <c r="B1656" s="425" t="s">
        <v>1206</v>
      </c>
      <c r="C1656" s="296" t="s">
        <v>1</v>
      </c>
      <c r="D1656" s="392">
        <v>1</v>
      </c>
      <c r="E1656" s="165">
        <v>1</v>
      </c>
      <c r="F1656" s="310">
        <v>2.5434000000000001</v>
      </c>
      <c r="G1656" s="310"/>
      <c r="H1656" s="310"/>
      <c r="I1656" s="1034">
        <f t="shared" si="139"/>
        <v>2.54</v>
      </c>
      <c r="J1656" s="478"/>
      <c r="K1656" s="367"/>
      <c r="L1656" s="407"/>
      <c r="M1656" s="407"/>
      <c r="N1656" s="407"/>
    </row>
    <row r="1657" spans="1:14" s="408" customFormat="1" ht="34.5">
      <c r="A1657" s="414"/>
      <c r="B1657" s="425" t="s">
        <v>1207</v>
      </c>
      <c r="C1657" s="296" t="s">
        <v>1</v>
      </c>
      <c r="D1657" s="392">
        <v>1</v>
      </c>
      <c r="E1657" s="165">
        <v>1</v>
      </c>
      <c r="F1657" s="310">
        <v>0.28260000000000002</v>
      </c>
      <c r="G1657" s="310"/>
      <c r="H1657" s="310"/>
      <c r="I1657" s="1034">
        <f t="shared" si="139"/>
        <v>0.28000000000000003</v>
      </c>
      <c r="J1657" s="478"/>
      <c r="K1657" s="367"/>
      <c r="L1657" s="407"/>
      <c r="M1657" s="407"/>
      <c r="N1657" s="407"/>
    </row>
    <row r="1658" spans="1:14" s="408" customFormat="1" ht="34.5">
      <c r="A1658" s="414"/>
      <c r="B1658" s="425" t="s">
        <v>1208</v>
      </c>
      <c r="C1658" s="296" t="s">
        <v>1</v>
      </c>
      <c r="D1658" s="392">
        <v>1</v>
      </c>
      <c r="E1658" s="165">
        <v>1</v>
      </c>
      <c r="F1658" s="310">
        <v>0.28260000000000002</v>
      </c>
      <c r="G1658" s="310"/>
      <c r="H1658" s="310"/>
      <c r="I1658" s="1034">
        <f t="shared" si="139"/>
        <v>0.28000000000000003</v>
      </c>
      <c r="J1658" s="478"/>
      <c r="K1658" s="367"/>
      <c r="L1658" s="407"/>
      <c r="M1658" s="407"/>
      <c r="N1658" s="407"/>
    </row>
    <row r="1659" spans="1:14" s="408" customFormat="1" ht="34.5">
      <c r="A1659" s="414"/>
      <c r="B1659" s="425" t="s">
        <v>1209</v>
      </c>
      <c r="C1659" s="296" t="s">
        <v>1</v>
      </c>
      <c r="D1659" s="392">
        <v>1</v>
      </c>
      <c r="E1659" s="165">
        <v>1</v>
      </c>
      <c r="F1659" s="310">
        <v>1.7662500000000001</v>
      </c>
      <c r="G1659" s="310"/>
      <c r="H1659" s="310"/>
      <c r="I1659" s="1034">
        <f t="shared" si="139"/>
        <v>1.77</v>
      </c>
      <c r="J1659" s="478"/>
      <c r="K1659" s="367"/>
      <c r="L1659" s="407"/>
      <c r="M1659" s="407"/>
      <c r="N1659" s="407"/>
    </row>
    <row r="1660" spans="1:14" s="408" customFormat="1" ht="34.5">
      <c r="A1660" s="414"/>
      <c r="B1660" s="425" t="s">
        <v>1210</v>
      </c>
      <c r="C1660" s="296" t="s">
        <v>1</v>
      </c>
      <c r="D1660" s="392">
        <v>1</v>
      </c>
      <c r="E1660" s="165">
        <v>1</v>
      </c>
      <c r="F1660" s="310">
        <v>1.7662500000000001</v>
      </c>
      <c r="G1660" s="310"/>
      <c r="H1660" s="310"/>
      <c r="I1660" s="1034">
        <f t="shared" si="139"/>
        <v>1.77</v>
      </c>
      <c r="J1660" s="478"/>
      <c r="K1660" s="367"/>
      <c r="L1660" s="407"/>
      <c r="M1660" s="407"/>
      <c r="N1660" s="407"/>
    </row>
    <row r="1661" spans="1:14" s="408" customFormat="1" ht="34.5">
      <c r="A1661" s="414"/>
      <c r="B1661" s="425" t="s">
        <v>1212</v>
      </c>
      <c r="C1661" s="296" t="s">
        <v>1</v>
      </c>
      <c r="D1661" s="392">
        <v>1</v>
      </c>
      <c r="E1661" s="165">
        <v>1</v>
      </c>
      <c r="F1661" s="310">
        <v>0.28260000000000002</v>
      </c>
      <c r="G1661" s="310"/>
      <c r="H1661" s="310"/>
      <c r="I1661" s="1034">
        <f t="shared" si="139"/>
        <v>0.28000000000000003</v>
      </c>
      <c r="J1661" s="478"/>
      <c r="K1661" s="367"/>
      <c r="L1661" s="407"/>
      <c r="M1661" s="407"/>
      <c r="N1661" s="407"/>
    </row>
    <row r="1662" spans="1:14" s="408" customFormat="1" ht="34.5">
      <c r="A1662" s="414"/>
      <c r="B1662" s="425" t="s">
        <v>1213</v>
      </c>
      <c r="C1662" s="296" t="s">
        <v>1</v>
      </c>
      <c r="D1662" s="392">
        <v>1</v>
      </c>
      <c r="E1662" s="165">
        <v>1</v>
      </c>
      <c r="F1662" s="310">
        <v>0.28260000000000002</v>
      </c>
      <c r="G1662" s="310"/>
      <c r="H1662" s="310"/>
      <c r="I1662" s="1034">
        <f t="shared" si="139"/>
        <v>0.28000000000000003</v>
      </c>
      <c r="J1662" s="478"/>
      <c r="K1662" s="367"/>
      <c r="L1662" s="407"/>
      <c r="M1662" s="407"/>
      <c r="N1662" s="407"/>
    </row>
    <row r="1663" spans="1:14" s="408" customFormat="1" ht="34.5">
      <c r="A1663" s="414"/>
      <c r="B1663" s="425" t="s">
        <v>1214</v>
      </c>
      <c r="C1663" s="296" t="s">
        <v>1</v>
      </c>
      <c r="D1663" s="392">
        <v>1</v>
      </c>
      <c r="E1663" s="165">
        <v>1</v>
      </c>
      <c r="F1663" s="310">
        <v>0.28260000000000002</v>
      </c>
      <c r="G1663" s="310"/>
      <c r="H1663" s="310"/>
      <c r="I1663" s="1034">
        <f t="shared" si="139"/>
        <v>0.28000000000000003</v>
      </c>
      <c r="J1663" s="478"/>
      <c r="K1663" s="367"/>
      <c r="L1663" s="407"/>
      <c r="M1663" s="407"/>
      <c r="N1663" s="407"/>
    </row>
    <row r="1664" spans="1:14" s="408" customFormat="1" ht="34.5">
      <c r="A1664" s="414"/>
      <c r="B1664" s="425" t="s">
        <v>1215</v>
      </c>
      <c r="C1664" s="296" t="s">
        <v>1</v>
      </c>
      <c r="D1664" s="392">
        <v>1</v>
      </c>
      <c r="E1664" s="165">
        <v>1</v>
      </c>
      <c r="F1664" s="310">
        <v>0.28260000000000002</v>
      </c>
      <c r="G1664" s="310"/>
      <c r="H1664" s="310"/>
      <c r="I1664" s="1034">
        <f t="shared" si="139"/>
        <v>0.28000000000000003</v>
      </c>
      <c r="J1664" s="478"/>
      <c r="K1664" s="367"/>
      <c r="L1664" s="407"/>
      <c r="M1664" s="407"/>
      <c r="N1664" s="407"/>
    </row>
    <row r="1665" spans="1:14" s="408" customFormat="1" ht="34.5">
      <c r="A1665" s="414"/>
      <c r="B1665" s="425" t="s">
        <v>1217</v>
      </c>
      <c r="C1665" s="296" t="s">
        <v>1</v>
      </c>
      <c r="D1665" s="392">
        <v>1</v>
      </c>
      <c r="E1665" s="165">
        <v>1</v>
      </c>
      <c r="F1665" s="310">
        <v>0.28260000000000002</v>
      </c>
      <c r="G1665" s="310"/>
      <c r="H1665" s="310"/>
      <c r="I1665" s="1034">
        <f t="shared" si="139"/>
        <v>0.28000000000000003</v>
      </c>
      <c r="J1665" s="478"/>
      <c r="K1665" s="367"/>
      <c r="L1665" s="407"/>
      <c r="M1665" s="407"/>
      <c r="N1665" s="407"/>
    </row>
    <row r="1666" spans="1:14" s="408" customFormat="1" ht="34.5">
      <c r="A1666" s="414"/>
      <c r="B1666" s="425" t="s">
        <v>1218</v>
      </c>
      <c r="C1666" s="296" t="s">
        <v>1</v>
      </c>
      <c r="D1666" s="392">
        <v>1</v>
      </c>
      <c r="E1666" s="165">
        <v>1</v>
      </c>
      <c r="F1666" s="310">
        <v>0.28260000000000002</v>
      </c>
      <c r="G1666" s="310"/>
      <c r="H1666" s="310"/>
      <c r="I1666" s="1034">
        <f t="shared" si="139"/>
        <v>0.28000000000000003</v>
      </c>
      <c r="J1666" s="478"/>
      <c r="K1666" s="367"/>
      <c r="L1666" s="407"/>
      <c r="M1666" s="407"/>
      <c r="N1666" s="407"/>
    </row>
    <row r="1667" spans="1:14" s="408" customFormat="1" ht="34.5">
      <c r="A1667" s="414"/>
      <c r="B1667" s="425" t="s">
        <v>1219</v>
      </c>
      <c r="C1667" s="296" t="s">
        <v>1</v>
      </c>
      <c r="D1667" s="392">
        <v>1</v>
      </c>
      <c r="E1667" s="165">
        <v>1</v>
      </c>
      <c r="F1667" s="310">
        <v>0.28260000000000002</v>
      </c>
      <c r="G1667" s="310"/>
      <c r="H1667" s="310"/>
      <c r="I1667" s="1034">
        <f t="shared" si="139"/>
        <v>0.28000000000000003</v>
      </c>
      <c r="J1667" s="478"/>
      <c r="K1667" s="367"/>
      <c r="L1667" s="407"/>
      <c r="M1667" s="407"/>
      <c r="N1667" s="407"/>
    </row>
    <row r="1668" spans="1:14" s="408" customFormat="1" ht="34.5">
      <c r="A1668" s="414"/>
      <c r="B1668" s="425" t="s">
        <v>1220</v>
      </c>
      <c r="C1668" s="296" t="s">
        <v>1</v>
      </c>
      <c r="D1668" s="392">
        <v>1</v>
      </c>
      <c r="E1668" s="165">
        <v>1</v>
      </c>
      <c r="F1668" s="310">
        <v>0.28260000000000002</v>
      </c>
      <c r="G1668" s="310"/>
      <c r="H1668" s="310"/>
      <c r="I1668" s="1034">
        <f t="shared" si="139"/>
        <v>0.28000000000000003</v>
      </c>
      <c r="J1668" s="478"/>
      <c r="K1668" s="367"/>
      <c r="L1668" s="407"/>
      <c r="M1668" s="407"/>
      <c r="N1668" s="407"/>
    </row>
    <row r="1669" spans="1:14" s="408" customFormat="1" ht="34.5">
      <c r="A1669" s="414"/>
      <c r="B1669" s="425" t="s">
        <v>1221</v>
      </c>
      <c r="C1669" s="296" t="s">
        <v>1</v>
      </c>
      <c r="D1669" s="392">
        <v>1</v>
      </c>
      <c r="E1669" s="165">
        <v>1</v>
      </c>
      <c r="F1669" s="310">
        <v>0.28260000000000002</v>
      </c>
      <c r="G1669" s="310"/>
      <c r="H1669" s="310"/>
      <c r="I1669" s="1034">
        <f t="shared" si="139"/>
        <v>0.28000000000000003</v>
      </c>
      <c r="J1669" s="478"/>
      <c r="K1669" s="367"/>
      <c r="L1669" s="407"/>
      <c r="M1669" s="407"/>
      <c r="N1669" s="407"/>
    </row>
    <row r="1670" spans="1:14" s="408" customFormat="1" ht="34.5">
      <c r="A1670" s="414"/>
      <c r="B1670" s="425" t="s">
        <v>1222</v>
      </c>
      <c r="C1670" s="296" t="s">
        <v>1</v>
      </c>
      <c r="D1670" s="392">
        <v>1</v>
      </c>
      <c r="E1670" s="165">
        <v>1</v>
      </c>
      <c r="F1670" s="310">
        <v>0.28260000000000002</v>
      </c>
      <c r="G1670" s="310"/>
      <c r="H1670" s="310"/>
      <c r="I1670" s="1034">
        <f t="shared" si="139"/>
        <v>0.28000000000000003</v>
      </c>
      <c r="J1670" s="478"/>
      <c r="K1670" s="367"/>
      <c r="L1670" s="407"/>
      <c r="M1670" s="407"/>
      <c r="N1670" s="407"/>
    </row>
    <row r="1671" spans="1:14" s="408" customFormat="1" ht="34.5">
      <c r="A1671" s="414"/>
      <c r="B1671" s="425" t="s">
        <v>1223</v>
      </c>
      <c r="C1671" s="296" t="s">
        <v>1</v>
      </c>
      <c r="D1671" s="392">
        <v>1</v>
      </c>
      <c r="E1671" s="165">
        <v>1</v>
      </c>
      <c r="F1671" s="310">
        <v>0.28260000000000002</v>
      </c>
      <c r="G1671" s="310"/>
      <c r="H1671" s="310"/>
      <c r="I1671" s="1034">
        <f t="shared" si="139"/>
        <v>0.28000000000000003</v>
      </c>
      <c r="J1671" s="478"/>
      <c r="K1671" s="367"/>
      <c r="L1671" s="407"/>
      <c r="M1671" s="407"/>
      <c r="N1671" s="407"/>
    </row>
    <row r="1672" spans="1:14" s="408" customFormat="1" ht="34.5">
      <c r="A1672" s="414"/>
      <c r="B1672" s="425" t="s">
        <v>1225</v>
      </c>
      <c r="C1672" s="296" t="s">
        <v>1</v>
      </c>
      <c r="D1672" s="392">
        <v>1</v>
      </c>
      <c r="E1672" s="165">
        <v>1</v>
      </c>
      <c r="F1672" s="310">
        <v>0.28260000000000002</v>
      </c>
      <c r="G1672" s="310"/>
      <c r="H1672" s="310"/>
      <c r="I1672" s="1034">
        <f t="shared" si="139"/>
        <v>0.28000000000000003</v>
      </c>
      <c r="J1672" s="478"/>
      <c r="K1672" s="367"/>
      <c r="L1672" s="407"/>
      <c r="M1672" s="407"/>
      <c r="N1672" s="407"/>
    </row>
    <row r="1673" spans="1:14" s="408" customFormat="1" ht="34.5">
      <c r="A1673" s="414"/>
      <c r="B1673" s="425" t="s">
        <v>1226</v>
      </c>
      <c r="C1673" s="296" t="s">
        <v>1</v>
      </c>
      <c r="D1673" s="392">
        <v>1</v>
      </c>
      <c r="E1673" s="165">
        <v>1</v>
      </c>
      <c r="F1673" s="310">
        <v>0.28260000000000002</v>
      </c>
      <c r="G1673" s="310"/>
      <c r="H1673" s="310"/>
      <c r="I1673" s="1034">
        <f t="shared" si="139"/>
        <v>0.28000000000000003</v>
      </c>
      <c r="J1673" s="478"/>
      <c r="K1673" s="367"/>
      <c r="L1673" s="407"/>
      <c r="M1673" s="407"/>
      <c r="N1673" s="407"/>
    </row>
    <row r="1674" spans="1:14" s="408" customFormat="1" ht="34.5">
      <c r="A1674" s="414"/>
      <c r="B1674" s="425" t="s">
        <v>1227</v>
      </c>
      <c r="C1674" s="296" t="s">
        <v>1</v>
      </c>
      <c r="D1674" s="392">
        <v>1</v>
      </c>
      <c r="E1674" s="165">
        <v>1</v>
      </c>
      <c r="F1674" s="310">
        <v>1.1304000000000001</v>
      </c>
      <c r="G1674" s="310"/>
      <c r="H1674" s="310"/>
      <c r="I1674" s="1034">
        <f t="shared" si="139"/>
        <v>1.1299999999999999</v>
      </c>
      <c r="J1674" s="478"/>
      <c r="K1674" s="367"/>
      <c r="L1674" s="407"/>
      <c r="M1674" s="407"/>
      <c r="N1674" s="407"/>
    </row>
    <row r="1675" spans="1:14" s="408" customFormat="1" ht="34.5">
      <c r="A1675" s="414"/>
      <c r="B1675" s="425" t="s">
        <v>1228</v>
      </c>
      <c r="C1675" s="296" t="s">
        <v>1</v>
      </c>
      <c r="D1675" s="392">
        <v>1</v>
      </c>
      <c r="E1675" s="165">
        <v>1</v>
      </c>
      <c r="F1675" s="310">
        <v>0.28260000000000002</v>
      </c>
      <c r="G1675" s="310"/>
      <c r="H1675" s="310"/>
      <c r="I1675" s="1034">
        <f t="shared" si="139"/>
        <v>0.28000000000000003</v>
      </c>
      <c r="J1675" s="478"/>
      <c r="K1675" s="367"/>
      <c r="L1675" s="407"/>
      <c r="M1675" s="407"/>
      <c r="N1675" s="407"/>
    </row>
    <row r="1676" spans="1:14" s="408" customFormat="1" ht="34.5">
      <c r="A1676" s="414"/>
      <c r="B1676" s="425" t="s">
        <v>1230</v>
      </c>
      <c r="C1676" s="296" t="s">
        <v>1</v>
      </c>
      <c r="D1676" s="392">
        <v>1</v>
      </c>
      <c r="E1676" s="165">
        <v>1</v>
      </c>
      <c r="F1676" s="310">
        <v>0.28260000000000002</v>
      </c>
      <c r="G1676" s="310"/>
      <c r="H1676" s="310"/>
      <c r="I1676" s="1034">
        <f t="shared" si="139"/>
        <v>0.28000000000000003</v>
      </c>
      <c r="J1676" s="478"/>
      <c r="K1676" s="367"/>
      <c r="L1676" s="407"/>
      <c r="M1676" s="407"/>
      <c r="N1676" s="407"/>
    </row>
    <row r="1677" spans="1:14" s="408" customFormat="1" ht="34.5">
      <c r="A1677" s="414"/>
      <c r="B1677" s="425" t="s">
        <v>1231</v>
      </c>
      <c r="C1677" s="296" t="s">
        <v>1</v>
      </c>
      <c r="D1677" s="392">
        <v>1</v>
      </c>
      <c r="E1677" s="165">
        <v>1</v>
      </c>
      <c r="F1677" s="310">
        <v>0.28260000000000002</v>
      </c>
      <c r="G1677" s="310"/>
      <c r="H1677" s="310"/>
      <c r="I1677" s="1034">
        <f t="shared" si="139"/>
        <v>0.28000000000000003</v>
      </c>
      <c r="J1677" s="478"/>
      <c r="K1677" s="367"/>
      <c r="L1677" s="407"/>
      <c r="M1677" s="407"/>
      <c r="N1677" s="407"/>
    </row>
    <row r="1678" spans="1:14" s="408" customFormat="1" ht="34.5">
      <c r="A1678" s="414"/>
      <c r="B1678" s="425" t="s">
        <v>1232</v>
      </c>
      <c r="C1678" s="296" t="s">
        <v>1</v>
      </c>
      <c r="D1678" s="392">
        <v>1</v>
      </c>
      <c r="E1678" s="165">
        <v>2</v>
      </c>
      <c r="F1678" s="310">
        <v>1.7662500000000001</v>
      </c>
      <c r="G1678" s="310"/>
      <c r="H1678" s="310"/>
      <c r="I1678" s="1034">
        <f t="shared" si="139"/>
        <v>3.53</v>
      </c>
      <c r="J1678" s="478"/>
      <c r="K1678" s="367"/>
      <c r="L1678" s="407"/>
      <c r="M1678" s="407"/>
      <c r="N1678" s="407"/>
    </row>
    <row r="1679" spans="1:14" s="408" customFormat="1" ht="17.25">
      <c r="A1679" s="414"/>
      <c r="B1679" s="425" t="s">
        <v>1233</v>
      </c>
      <c r="C1679" s="296" t="s">
        <v>1</v>
      </c>
      <c r="D1679" s="392">
        <v>1</v>
      </c>
      <c r="E1679" s="165">
        <v>1</v>
      </c>
      <c r="F1679" s="310">
        <v>0.28260000000000002</v>
      </c>
      <c r="G1679" s="310"/>
      <c r="H1679" s="310"/>
      <c r="I1679" s="1034">
        <f t="shared" si="139"/>
        <v>0.28000000000000003</v>
      </c>
      <c r="J1679" s="478"/>
      <c r="K1679" s="367"/>
      <c r="L1679" s="407"/>
      <c r="M1679" s="407"/>
      <c r="N1679" s="407"/>
    </row>
    <row r="1680" spans="1:14" s="408" customFormat="1" ht="34.5">
      <c r="A1680" s="414"/>
      <c r="B1680" s="425" t="s">
        <v>1235</v>
      </c>
      <c r="C1680" s="296" t="s">
        <v>1</v>
      </c>
      <c r="D1680" s="392">
        <v>1</v>
      </c>
      <c r="E1680" s="165">
        <v>1</v>
      </c>
      <c r="F1680" s="310">
        <v>0.28260000000000002</v>
      </c>
      <c r="G1680" s="310"/>
      <c r="H1680" s="310"/>
      <c r="I1680" s="1034">
        <f t="shared" si="139"/>
        <v>0.28000000000000003</v>
      </c>
      <c r="J1680" s="478"/>
      <c r="K1680" s="367"/>
      <c r="L1680" s="407"/>
      <c r="M1680" s="407"/>
      <c r="N1680" s="407"/>
    </row>
    <row r="1681" spans="1:14" s="408" customFormat="1" ht="34.5">
      <c r="A1681" s="414"/>
      <c r="B1681" s="425" t="s">
        <v>1236</v>
      </c>
      <c r="C1681" s="296" t="s">
        <v>1</v>
      </c>
      <c r="D1681" s="392">
        <v>1</v>
      </c>
      <c r="E1681" s="165">
        <v>1</v>
      </c>
      <c r="F1681" s="310">
        <v>0.28260000000000002</v>
      </c>
      <c r="G1681" s="310"/>
      <c r="H1681" s="310"/>
      <c r="I1681" s="1034">
        <f t="shared" si="139"/>
        <v>0.28000000000000003</v>
      </c>
      <c r="J1681" s="478"/>
      <c r="K1681" s="367"/>
      <c r="L1681" s="407"/>
      <c r="M1681" s="407"/>
      <c r="N1681" s="407"/>
    </row>
    <row r="1682" spans="1:14" s="408" customFormat="1" ht="34.5">
      <c r="A1682" s="414"/>
      <c r="B1682" s="425" t="s">
        <v>1237</v>
      </c>
      <c r="C1682" s="296" t="s">
        <v>1</v>
      </c>
      <c r="D1682" s="392">
        <v>1</v>
      </c>
      <c r="E1682" s="165">
        <v>1</v>
      </c>
      <c r="F1682" s="310">
        <v>3.14</v>
      </c>
      <c r="G1682" s="310"/>
      <c r="H1682" s="310"/>
      <c r="I1682" s="1034">
        <f t="shared" si="139"/>
        <v>3.14</v>
      </c>
      <c r="J1682" s="478"/>
      <c r="K1682" s="367"/>
      <c r="L1682" s="407"/>
      <c r="M1682" s="407"/>
      <c r="N1682" s="407"/>
    </row>
    <row r="1683" spans="1:14" s="408" customFormat="1" ht="34.5">
      <c r="A1683" s="414"/>
      <c r="B1683" s="425" t="s">
        <v>1238</v>
      </c>
      <c r="C1683" s="296" t="s">
        <v>1</v>
      </c>
      <c r="D1683" s="392">
        <v>1</v>
      </c>
      <c r="E1683" s="165">
        <v>1</v>
      </c>
      <c r="F1683" s="310">
        <v>0.28260000000000002</v>
      </c>
      <c r="G1683" s="310"/>
      <c r="H1683" s="310"/>
      <c r="I1683" s="1034">
        <f t="shared" si="139"/>
        <v>0.28000000000000003</v>
      </c>
      <c r="J1683" s="478"/>
      <c r="K1683" s="367"/>
      <c r="L1683" s="407"/>
      <c r="M1683" s="407"/>
      <c r="N1683" s="407"/>
    </row>
    <row r="1684" spans="1:14" s="408" customFormat="1" ht="34.5">
      <c r="A1684" s="414"/>
      <c r="B1684" s="425" t="s">
        <v>1240</v>
      </c>
      <c r="C1684" s="296" t="s">
        <v>1</v>
      </c>
      <c r="D1684" s="392">
        <v>1</v>
      </c>
      <c r="E1684" s="165">
        <v>1</v>
      </c>
      <c r="F1684" s="310">
        <v>0.28260000000000002</v>
      </c>
      <c r="G1684" s="310"/>
      <c r="H1684" s="310"/>
      <c r="I1684" s="1034">
        <f t="shared" si="139"/>
        <v>0.28000000000000003</v>
      </c>
      <c r="J1684" s="478"/>
      <c r="K1684" s="367"/>
      <c r="L1684" s="407"/>
      <c r="M1684" s="407"/>
      <c r="N1684" s="407"/>
    </row>
    <row r="1685" spans="1:14" s="408" customFormat="1" ht="34.5">
      <c r="A1685" s="414"/>
      <c r="B1685" s="425" t="s">
        <v>1242</v>
      </c>
      <c r="C1685" s="296" t="s">
        <v>1</v>
      </c>
      <c r="D1685" s="392">
        <v>1</v>
      </c>
      <c r="E1685" s="165">
        <v>1</v>
      </c>
      <c r="F1685" s="310">
        <v>1.7662500000000001</v>
      </c>
      <c r="G1685" s="310"/>
      <c r="H1685" s="310"/>
      <c r="I1685" s="1034">
        <f t="shared" si="139"/>
        <v>1.77</v>
      </c>
      <c r="J1685" s="478"/>
      <c r="K1685" s="367"/>
      <c r="L1685" s="407"/>
      <c r="M1685" s="407"/>
      <c r="N1685" s="407"/>
    </row>
    <row r="1686" spans="1:14" s="408" customFormat="1" ht="34.5">
      <c r="A1686" s="414"/>
      <c r="B1686" s="425" t="s">
        <v>1243</v>
      </c>
      <c r="C1686" s="296" t="s">
        <v>1</v>
      </c>
      <c r="D1686" s="392">
        <v>1</v>
      </c>
      <c r="E1686" s="165">
        <v>1</v>
      </c>
      <c r="F1686" s="310">
        <v>0.28260000000000002</v>
      </c>
      <c r="G1686" s="310"/>
      <c r="H1686" s="310"/>
      <c r="I1686" s="1034">
        <f t="shared" si="139"/>
        <v>0.28000000000000003</v>
      </c>
      <c r="J1686" s="478"/>
      <c r="K1686" s="367"/>
      <c r="L1686" s="407"/>
      <c r="M1686" s="407"/>
      <c r="N1686" s="407"/>
    </row>
    <row r="1687" spans="1:14" s="408" customFormat="1" ht="34.5">
      <c r="A1687" s="414"/>
      <c r="B1687" s="425" t="s">
        <v>1244</v>
      </c>
      <c r="C1687" s="296" t="s">
        <v>1</v>
      </c>
      <c r="D1687" s="392">
        <v>1</v>
      </c>
      <c r="E1687" s="165">
        <v>1</v>
      </c>
      <c r="F1687" s="310">
        <v>0.28260000000000002</v>
      </c>
      <c r="G1687" s="310"/>
      <c r="H1687" s="310"/>
      <c r="I1687" s="1034">
        <f t="shared" si="139"/>
        <v>0.28000000000000003</v>
      </c>
      <c r="J1687" s="478"/>
      <c r="K1687" s="367"/>
      <c r="L1687" s="407"/>
      <c r="M1687" s="407"/>
      <c r="N1687" s="407"/>
    </row>
    <row r="1688" spans="1:14" s="408" customFormat="1" ht="17.25">
      <c r="A1688" s="414"/>
      <c r="B1688" s="425"/>
      <c r="C1688" s="296"/>
      <c r="D1688" s="392"/>
      <c r="E1688" s="165"/>
      <c r="F1688" s="310"/>
      <c r="G1688" s="310"/>
      <c r="H1688" s="310"/>
      <c r="I1688" s="1034" t="str">
        <f t="shared" si="139"/>
        <v/>
      </c>
      <c r="J1688" s="478"/>
      <c r="K1688" s="367"/>
      <c r="L1688" s="407"/>
      <c r="M1688" s="407"/>
      <c r="N1688" s="407"/>
    </row>
    <row r="1689" spans="1:14" s="408" customFormat="1" ht="34.5">
      <c r="A1689" s="414"/>
      <c r="B1689" s="425" t="s">
        <v>1486</v>
      </c>
      <c r="C1689" s="296" t="s">
        <v>1</v>
      </c>
      <c r="D1689" s="392">
        <v>1</v>
      </c>
      <c r="E1689" s="165">
        <v>1</v>
      </c>
      <c r="F1689" s="310">
        <v>0.28260000000000002</v>
      </c>
      <c r="G1689" s="310"/>
      <c r="H1689" s="310"/>
      <c r="I1689" s="1034">
        <f t="shared" si="139"/>
        <v>0.28000000000000003</v>
      </c>
      <c r="J1689" s="478"/>
      <c r="K1689" s="367"/>
      <c r="L1689" s="407"/>
      <c r="M1689" s="407"/>
      <c r="N1689" s="407"/>
    </row>
    <row r="1690" spans="1:14" s="408" customFormat="1" ht="34.5">
      <c r="A1690" s="414"/>
      <c r="B1690" s="425" t="s">
        <v>1487</v>
      </c>
      <c r="C1690" s="296" t="s">
        <v>1</v>
      </c>
      <c r="D1690" s="392">
        <v>1</v>
      </c>
      <c r="E1690" s="165">
        <v>1</v>
      </c>
      <c r="F1690" s="310">
        <v>0.28260000000000002</v>
      </c>
      <c r="G1690" s="310"/>
      <c r="H1690" s="310"/>
      <c r="I1690" s="1034">
        <f t="shared" si="139"/>
        <v>0.28000000000000003</v>
      </c>
      <c r="J1690" s="478"/>
      <c r="K1690" s="367"/>
      <c r="L1690" s="407"/>
      <c r="M1690" s="407"/>
      <c r="N1690" s="407"/>
    </row>
    <row r="1691" spans="1:14" s="408" customFormat="1" ht="34.5">
      <c r="A1691" s="414"/>
      <c r="B1691" s="425" t="s">
        <v>1488</v>
      </c>
      <c r="C1691" s="296" t="s">
        <v>1</v>
      </c>
      <c r="D1691" s="392">
        <v>1</v>
      </c>
      <c r="E1691" s="165">
        <v>1</v>
      </c>
      <c r="F1691" s="310">
        <v>0.28260000000000002</v>
      </c>
      <c r="G1691" s="310"/>
      <c r="H1691" s="310"/>
      <c r="I1691" s="1034">
        <f t="shared" si="139"/>
        <v>0.28000000000000003</v>
      </c>
      <c r="J1691" s="478"/>
      <c r="K1691" s="367"/>
      <c r="L1691" s="407"/>
      <c r="M1691" s="407"/>
      <c r="N1691" s="407"/>
    </row>
    <row r="1692" spans="1:14" s="408" customFormat="1" ht="34.5">
      <c r="A1692" s="414"/>
      <c r="B1692" s="425" t="s">
        <v>1489</v>
      </c>
      <c r="C1692" s="296" t="s">
        <v>1</v>
      </c>
      <c r="D1692" s="392">
        <v>1</v>
      </c>
      <c r="E1692" s="165">
        <v>1</v>
      </c>
      <c r="F1692" s="310">
        <v>0.28260000000000002</v>
      </c>
      <c r="G1692" s="310"/>
      <c r="H1692" s="310"/>
      <c r="I1692" s="1034">
        <f t="shared" si="139"/>
        <v>0.28000000000000003</v>
      </c>
      <c r="J1692" s="478"/>
      <c r="K1692" s="367"/>
      <c r="L1692" s="407"/>
      <c r="M1692" s="407"/>
      <c r="N1692" s="407"/>
    </row>
    <row r="1693" spans="1:14" s="408" customFormat="1" ht="34.5">
      <c r="A1693" s="414"/>
      <c r="B1693" s="425" t="s">
        <v>1490</v>
      </c>
      <c r="C1693" s="296" t="s">
        <v>1</v>
      </c>
      <c r="D1693" s="392">
        <v>1</v>
      </c>
      <c r="E1693" s="165">
        <v>1</v>
      </c>
      <c r="F1693" s="310">
        <v>1.7671458680000001</v>
      </c>
      <c r="G1693" s="310"/>
      <c r="H1693" s="310"/>
      <c r="I1693" s="1034">
        <f t="shared" si="139"/>
        <v>1.77</v>
      </c>
      <c r="J1693" s="478"/>
      <c r="K1693" s="367"/>
      <c r="L1693" s="407"/>
      <c r="M1693" s="407"/>
      <c r="N1693" s="407"/>
    </row>
    <row r="1694" spans="1:14" s="408" customFormat="1" ht="34.5">
      <c r="A1694" s="414"/>
      <c r="B1694" s="425" t="s">
        <v>1491</v>
      </c>
      <c r="C1694" s="296" t="s">
        <v>1</v>
      </c>
      <c r="D1694" s="392">
        <v>1</v>
      </c>
      <c r="E1694" s="165">
        <v>1</v>
      </c>
      <c r="F1694" s="310">
        <v>0.28260000000000002</v>
      </c>
      <c r="G1694" s="310"/>
      <c r="H1694" s="310"/>
      <c r="I1694" s="1034">
        <f t="shared" si="139"/>
        <v>0.28000000000000003</v>
      </c>
      <c r="J1694" s="478"/>
      <c r="K1694" s="367"/>
      <c r="L1694" s="407"/>
      <c r="M1694" s="407"/>
      <c r="N1694" s="407"/>
    </row>
    <row r="1695" spans="1:14" s="408" customFormat="1" ht="34.5">
      <c r="A1695" s="414"/>
      <c r="B1695" s="425" t="s">
        <v>1492</v>
      </c>
      <c r="C1695" s="296" t="s">
        <v>1</v>
      </c>
      <c r="D1695" s="392">
        <v>1</v>
      </c>
      <c r="E1695" s="165">
        <v>1</v>
      </c>
      <c r="F1695" s="310">
        <v>0.28260000000000002</v>
      </c>
      <c r="G1695" s="310"/>
      <c r="H1695" s="310"/>
      <c r="I1695" s="1034">
        <f t="shared" si="139"/>
        <v>0.28000000000000003</v>
      </c>
      <c r="J1695" s="478"/>
      <c r="K1695" s="367"/>
      <c r="L1695" s="407"/>
      <c r="M1695" s="407"/>
      <c r="N1695" s="407"/>
    </row>
    <row r="1696" spans="1:14" s="408" customFormat="1" ht="34.5">
      <c r="A1696" s="414"/>
      <c r="B1696" s="425" t="s">
        <v>1493</v>
      </c>
      <c r="C1696" s="296" t="s">
        <v>1</v>
      </c>
      <c r="D1696" s="392">
        <v>1</v>
      </c>
      <c r="E1696" s="165">
        <v>1</v>
      </c>
      <c r="F1696" s="310">
        <v>0.28260000000000002</v>
      </c>
      <c r="G1696" s="310"/>
      <c r="H1696" s="310"/>
      <c r="I1696" s="1034">
        <f t="shared" si="139"/>
        <v>0.28000000000000003</v>
      </c>
      <c r="J1696" s="478"/>
      <c r="K1696" s="367"/>
      <c r="L1696" s="407"/>
      <c r="M1696" s="407"/>
      <c r="N1696" s="407"/>
    </row>
    <row r="1697" spans="1:14" s="408" customFormat="1" ht="34.5">
      <c r="A1697" s="414"/>
      <c r="B1697" s="425" t="s">
        <v>1494</v>
      </c>
      <c r="C1697" s="296" t="s">
        <v>1</v>
      </c>
      <c r="D1697" s="392">
        <v>1</v>
      </c>
      <c r="E1697" s="165">
        <v>1</v>
      </c>
      <c r="F1697" s="310">
        <v>0.28260000000000002</v>
      </c>
      <c r="G1697" s="310"/>
      <c r="H1697" s="310"/>
      <c r="I1697" s="1034">
        <f t="shared" si="139"/>
        <v>0.28000000000000003</v>
      </c>
      <c r="J1697" s="478"/>
      <c r="K1697" s="367"/>
      <c r="L1697" s="407"/>
      <c r="M1697" s="407"/>
      <c r="N1697" s="407"/>
    </row>
    <row r="1698" spans="1:14" s="408" customFormat="1" ht="34.5">
      <c r="A1698" s="414"/>
      <c r="B1698" s="425" t="s">
        <v>1495</v>
      </c>
      <c r="C1698" s="296" t="s">
        <v>1</v>
      </c>
      <c r="D1698" s="392">
        <v>1</v>
      </c>
      <c r="E1698" s="165">
        <v>1</v>
      </c>
      <c r="F1698" s="310">
        <v>0.28260000000000002</v>
      </c>
      <c r="G1698" s="310"/>
      <c r="H1698" s="310"/>
      <c r="I1698" s="1034">
        <f t="shared" si="139"/>
        <v>0.28000000000000003</v>
      </c>
      <c r="J1698" s="478"/>
      <c r="K1698" s="367"/>
      <c r="L1698" s="407"/>
      <c r="M1698" s="407"/>
      <c r="N1698" s="407"/>
    </row>
    <row r="1699" spans="1:14" s="408" customFormat="1" ht="34.5">
      <c r="A1699" s="414"/>
      <c r="B1699" s="425" t="s">
        <v>1496</v>
      </c>
      <c r="C1699" s="296" t="s">
        <v>1</v>
      </c>
      <c r="D1699" s="392">
        <v>1</v>
      </c>
      <c r="E1699" s="165">
        <v>1</v>
      </c>
      <c r="F1699" s="310">
        <v>0.28260000000000002</v>
      </c>
      <c r="G1699" s="310"/>
      <c r="H1699" s="310"/>
      <c r="I1699" s="1034">
        <f t="shared" si="139"/>
        <v>0.28000000000000003</v>
      </c>
      <c r="J1699" s="478"/>
      <c r="K1699" s="367"/>
      <c r="L1699" s="407"/>
      <c r="M1699" s="407"/>
      <c r="N1699" s="407"/>
    </row>
    <row r="1700" spans="1:14" s="408" customFormat="1" ht="34.5">
      <c r="A1700" s="414"/>
      <c r="B1700" s="425" t="s">
        <v>1497</v>
      </c>
      <c r="C1700" s="296" t="s">
        <v>1</v>
      </c>
      <c r="D1700" s="392">
        <v>1</v>
      </c>
      <c r="E1700" s="165">
        <v>1</v>
      </c>
      <c r="F1700" s="310">
        <v>0.28260000000000002</v>
      </c>
      <c r="G1700" s="310"/>
      <c r="H1700" s="310"/>
      <c r="I1700" s="1034">
        <f t="shared" si="139"/>
        <v>0.28000000000000003</v>
      </c>
      <c r="J1700" s="478"/>
      <c r="K1700" s="367"/>
      <c r="L1700" s="407"/>
      <c r="M1700" s="407"/>
      <c r="N1700" s="407"/>
    </row>
    <row r="1701" spans="1:14" s="408" customFormat="1" ht="17.25">
      <c r="A1701" s="414"/>
      <c r="B1701" s="425"/>
      <c r="C1701" s="296"/>
      <c r="D1701" s="392"/>
      <c r="E1701" s="165"/>
      <c r="F1701" s="310"/>
      <c r="G1701" s="310"/>
      <c r="H1701" s="310"/>
      <c r="I1701" s="1034" t="str">
        <f t="shared" si="139"/>
        <v/>
      </c>
      <c r="J1701" s="478"/>
      <c r="K1701" s="367"/>
      <c r="L1701" s="407"/>
      <c r="M1701" s="407"/>
      <c r="N1701" s="407"/>
    </row>
    <row r="1702" spans="1:14" s="408" customFormat="1" ht="34.5">
      <c r="A1702" s="414"/>
      <c r="B1702" s="425" t="s">
        <v>1498</v>
      </c>
      <c r="C1702" s="296" t="s">
        <v>1</v>
      </c>
      <c r="D1702" s="392">
        <v>1</v>
      </c>
      <c r="E1702" s="165">
        <v>1</v>
      </c>
      <c r="F1702" s="310">
        <v>0.28260000000000002</v>
      </c>
      <c r="G1702" s="310"/>
      <c r="H1702" s="310"/>
      <c r="I1702" s="1034">
        <f t="shared" si="139"/>
        <v>0.28000000000000003</v>
      </c>
      <c r="J1702" s="478"/>
      <c r="K1702" s="367"/>
      <c r="L1702" s="407"/>
      <c r="M1702" s="407"/>
      <c r="N1702" s="407"/>
    </row>
    <row r="1703" spans="1:14" s="408" customFormat="1" ht="34.5">
      <c r="A1703" s="414"/>
      <c r="B1703" s="425" t="s">
        <v>1499</v>
      </c>
      <c r="C1703" s="296" t="s">
        <v>1</v>
      </c>
      <c r="D1703" s="392">
        <v>1</v>
      </c>
      <c r="E1703" s="165">
        <v>1</v>
      </c>
      <c r="F1703" s="310">
        <v>0.28260000000000002</v>
      </c>
      <c r="G1703" s="310"/>
      <c r="H1703" s="310"/>
      <c r="I1703" s="1034">
        <f t="shared" si="139"/>
        <v>0.28000000000000003</v>
      </c>
      <c r="J1703" s="478"/>
      <c r="K1703" s="367"/>
      <c r="L1703" s="407"/>
      <c r="M1703" s="407"/>
      <c r="N1703" s="407"/>
    </row>
    <row r="1704" spans="1:14" s="408" customFormat="1" ht="34.5">
      <c r="A1704" s="414"/>
      <c r="B1704" s="425" t="s">
        <v>1500</v>
      </c>
      <c r="C1704" s="296" t="s">
        <v>1</v>
      </c>
      <c r="D1704" s="392">
        <v>1</v>
      </c>
      <c r="E1704" s="165">
        <v>1</v>
      </c>
      <c r="F1704" s="310">
        <v>1.7671458680000001</v>
      </c>
      <c r="G1704" s="310"/>
      <c r="H1704" s="310"/>
      <c r="I1704" s="1034">
        <f t="shared" si="139"/>
        <v>1.77</v>
      </c>
      <c r="J1704" s="478"/>
      <c r="K1704" s="367"/>
      <c r="L1704" s="407"/>
      <c r="M1704" s="407"/>
      <c r="N1704" s="407"/>
    </row>
    <row r="1705" spans="1:14" s="408" customFormat="1" ht="34.5">
      <c r="A1705" s="414"/>
      <c r="B1705" s="425" t="s">
        <v>1501</v>
      </c>
      <c r="C1705" s="296" t="s">
        <v>1</v>
      </c>
      <c r="D1705" s="392">
        <v>1</v>
      </c>
      <c r="E1705" s="165">
        <v>1</v>
      </c>
      <c r="F1705" s="310">
        <v>0.28260000000000002</v>
      </c>
      <c r="G1705" s="310"/>
      <c r="H1705" s="310"/>
      <c r="I1705" s="1034">
        <f t="shared" si="139"/>
        <v>0.28000000000000003</v>
      </c>
      <c r="J1705" s="478"/>
      <c r="K1705" s="367"/>
      <c r="L1705" s="407"/>
      <c r="M1705" s="407"/>
      <c r="N1705" s="407"/>
    </row>
    <row r="1706" spans="1:14" s="408" customFormat="1" ht="34.5">
      <c r="A1706" s="414"/>
      <c r="B1706" s="425" t="s">
        <v>1502</v>
      </c>
      <c r="C1706" s="296" t="s">
        <v>1</v>
      </c>
      <c r="D1706" s="392">
        <v>1</v>
      </c>
      <c r="E1706" s="165">
        <v>1</v>
      </c>
      <c r="F1706" s="310">
        <v>0.28260000000000002</v>
      </c>
      <c r="G1706" s="310"/>
      <c r="H1706" s="310"/>
      <c r="I1706" s="1034">
        <f t="shared" si="139"/>
        <v>0.28000000000000003</v>
      </c>
      <c r="J1706" s="478"/>
      <c r="K1706" s="367"/>
      <c r="L1706" s="407"/>
      <c r="M1706" s="407"/>
      <c r="N1706" s="407"/>
    </row>
    <row r="1707" spans="1:14" s="408" customFormat="1" ht="17.25">
      <c r="A1707" s="414"/>
      <c r="B1707" s="425" t="s">
        <v>1503</v>
      </c>
      <c r="C1707" s="296" t="s">
        <v>1</v>
      </c>
      <c r="D1707" s="392">
        <v>1</v>
      </c>
      <c r="E1707" s="165">
        <v>1</v>
      </c>
      <c r="F1707" s="310">
        <v>3.14</v>
      </c>
      <c r="G1707" s="310"/>
      <c r="H1707" s="310"/>
      <c r="I1707" s="1034">
        <f t="shared" si="139"/>
        <v>3.14</v>
      </c>
      <c r="J1707" s="478"/>
      <c r="K1707" s="367"/>
      <c r="L1707" s="407"/>
      <c r="M1707" s="407"/>
      <c r="N1707" s="407"/>
    </row>
    <row r="1708" spans="1:14" s="408" customFormat="1" ht="34.5">
      <c r="A1708" s="414"/>
      <c r="B1708" s="425" t="s">
        <v>1504</v>
      </c>
      <c r="C1708" s="296" t="s">
        <v>1</v>
      </c>
      <c r="D1708" s="392">
        <v>1</v>
      </c>
      <c r="E1708" s="165">
        <v>1</v>
      </c>
      <c r="F1708" s="310">
        <v>1.7671458680000001</v>
      </c>
      <c r="G1708" s="310"/>
      <c r="H1708" s="310"/>
      <c r="I1708" s="1034">
        <f t="shared" si="139"/>
        <v>1.77</v>
      </c>
      <c r="J1708" s="478"/>
      <c r="K1708" s="367"/>
      <c r="L1708" s="407"/>
      <c r="M1708" s="407"/>
      <c r="N1708" s="407"/>
    </row>
    <row r="1709" spans="1:14" s="408" customFormat="1" ht="34.5">
      <c r="A1709" s="414"/>
      <c r="B1709" s="425" t="s">
        <v>1505</v>
      </c>
      <c r="C1709" s="296" t="s">
        <v>1</v>
      </c>
      <c r="D1709" s="392">
        <v>1</v>
      </c>
      <c r="E1709" s="165">
        <v>1</v>
      </c>
      <c r="F1709" s="310">
        <v>3.14</v>
      </c>
      <c r="G1709" s="310"/>
      <c r="H1709" s="310"/>
      <c r="I1709" s="1034">
        <f t="shared" si="139"/>
        <v>3.14</v>
      </c>
      <c r="J1709" s="478"/>
      <c r="K1709" s="367"/>
      <c r="L1709" s="407"/>
      <c r="M1709" s="407"/>
      <c r="N1709" s="407"/>
    </row>
    <row r="1710" spans="1:14" s="408" customFormat="1" ht="34.5">
      <c r="A1710" s="414"/>
      <c r="B1710" s="425" t="s">
        <v>1506</v>
      </c>
      <c r="C1710" s="296" t="s">
        <v>1</v>
      </c>
      <c r="D1710" s="392">
        <v>1</v>
      </c>
      <c r="E1710" s="165">
        <v>1</v>
      </c>
      <c r="F1710" s="310">
        <v>0.28260000000000002</v>
      </c>
      <c r="G1710" s="310"/>
      <c r="H1710" s="310"/>
      <c r="I1710" s="1034">
        <f t="shared" si="139"/>
        <v>0.28000000000000003</v>
      </c>
      <c r="J1710" s="478"/>
      <c r="K1710" s="367"/>
      <c r="L1710" s="407"/>
      <c r="M1710" s="407"/>
      <c r="N1710" s="407"/>
    </row>
    <row r="1711" spans="1:14" s="408" customFormat="1" ht="17.25">
      <c r="A1711" s="414"/>
      <c r="B1711" s="425"/>
      <c r="C1711" s="296"/>
      <c r="D1711" s="392"/>
      <c r="E1711" s="165"/>
      <c r="F1711" s="310"/>
      <c r="G1711" s="310"/>
      <c r="H1711" s="310"/>
      <c r="I1711" s="1034" t="str">
        <f t="shared" si="139"/>
        <v/>
      </c>
      <c r="J1711" s="478"/>
      <c r="K1711" s="367"/>
      <c r="L1711" s="407"/>
      <c r="M1711" s="407"/>
      <c r="N1711" s="407"/>
    </row>
    <row r="1712" spans="1:14" s="408" customFormat="1" ht="17.25">
      <c r="A1712" s="414" t="s">
        <v>459</v>
      </c>
      <c r="B1712" s="425" t="s">
        <v>2128</v>
      </c>
      <c r="C1712" s="296"/>
      <c r="D1712" s="392"/>
      <c r="E1712" s="165"/>
      <c r="F1712" s="310"/>
      <c r="G1712" s="310"/>
      <c r="H1712" s="310"/>
      <c r="I1712" s="1034" t="str">
        <f t="shared" si="139"/>
        <v/>
      </c>
      <c r="J1712" s="478"/>
      <c r="K1712" s="367"/>
      <c r="L1712" s="407"/>
      <c r="M1712" s="407"/>
      <c r="N1712" s="407"/>
    </row>
    <row r="1713" spans="1:14" s="408" customFormat="1" ht="17.25">
      <c r="A1713" s="414"/>
      <c r="B1713" s="425" t="s">
        <v>1508</v>
      </c>
      <c r="C1713" s="296" t="s">
        <v>1</v>
      </c>
      <c r="D1713" s="392">
        <v>1</v>
      </c>
      <c r="E1713" s="165">
        <v>2</v>
      </c>
      <c r="F1713" s="310">
        <v>1.4550000000000001</v>
      </c>
      <c r="G1713" s="310">
        <v>0.32</v>
      </c>
      <c r="H1713" s="310"/>
      <c r="I1713" s="1034">
        <f t="shared" si="139"/>
        <v>0.93</v>
      </c>
      <c r="J1713" s="478"/>
      <c r="K1713" s="367"/>
      <c r="L1713" s="407"/>
      <c r="M1713" s="407"/>
      <c r="N1713" s="407"/>
    </row>
    <row r="1714" spans="1:14" s="408" customFormat="1" ht="17.25">
      <c r="A1714" s="414"/>
      <c r="B1714" s="425" t="s">
        <v>1509</v>
      </c>
      <c r="C1714" s="296" t="s">
        <v>1</v>
      </c>
      <c r="D1714" s="392">
        <v>1</v>
      </c>
      <c r="E1714" s="165">
        <v>3</v>
      </c>
      <c r="F1714" s="310">
        <v>1.4550000000000001</v>
      </c>
      <c r="G1714" s="310"/>
      <c r="H1714" s="310">
        <v>0.15</v>
      </c>
      <c r="I1714" s="1034">
        <f t="shared" si="139"/>
        <v>0.65</v>
      </c>
      <c r="J1714" s="478"/>
      <c r="K1714" s="367"/>
      <c r="L1714" s="407"/>
      <c r="M1714" s="407"/>
      <c r="N1714" s="407"/>
    </row>
    <row r="1715" spans="1:14" s="408" customFormat="1" ht="17.25">
      <c r="A1715" s="414"/>
      <c r="B1715" s="425"/>
      <c r="C1715" s="296"/>
      <c r="D1715" s="392"/>
      <c r="E1715" s="165"/>
      <c r="F1715" s="310"/>
      <c r="G1715" s="310"/>
      <c r="H1715" s="310"/>
      <c r="I1715" s="1034" t="str">
        <f t="shared" si="139"/>
        <v/>
      </c>
      <c r="J1715" s="478"/>
      <c r="K1715" s="367"/>
      <c r="L1715" s="407"/>
      <c r="M1715" s="407"/>
      <c r="N1715" s="407"/>
    </row>
    <row r="1716" spans="1:14" s="408" customFormat="1" ht="17.25">
      <c r="A1716" s="414"/>
      <c r="B1716" s="425" t="s">
        <v>1510</v>
      </c>
      <c r="C1716" s="296" t="s">
        <v>1</v>
      </c>
      <c r="D1716" s="392">
        <v>1</v>
      </c>
      <c r="E1716" s="165">
        <v>2</v>
      </c>
      <c r="F1716" s="310">
        <v>4.4749999999999996</v>
      </c>
      <c r="G1716" s="310">
        <v>0.32</v>
      </c>
      <c r="H1716" s="310"/>
      <c r="I1716" s="1034">
        <f t="shared" si="139"/>
        <v>2.86</v>
      </c>
      <c r="J1716" s="478"/>
      <c r="K1716" s="367"/>
      <c r="L1716" s="407"/>
      <c r="M1716" s="407"/>
      <c r="N1716" s="407"/>
    </row>
    <row r="1717" spans="1:14" s="408" customFormat="1" ht="17.25">
      <c r="A1717" s="414"/>
      <c r="B1717" s="425" t="s">
        <v>1509</v>
      </c>
      <c r="C1717" s="296" t="s">
        <v>1</v>
      </c>
      <c r="D1717" s="392">
        <v>1</v>
      </c>
      <c r="E1717" s="165">
        <v>3</v>
      </c>
      <c r="F1717" s="310">
        <v>4.4749999999999996</v>
      </c>
      <c r="G1717" s="310"/>
      <c r="H1717" s="310">
        <v>0.15</v>
      </c>
      <c r="I1717" s="1034">
        <f t="shared" si="139"/>
        <v>2.0099999999999998</v>
      </c>
      <c r="J1717" s="478"/>
      <c r="K1717" s="367"/>
      <c r="L1717" s="407"/>
      <c r="M1717" s="407"/>
      <c r="N1717" s="407"/>
    </row>
    <row r="1718" spans="1:14" s="408" customFormat="1" ht="17.25">
      <c r="A1718" s="414"/>
      <c r="B1718" s="425"/>
      <c r="C1718" s="296"/>
      <c r="D1718" s="392"/>
      <c r="E1718" s="165"/>
      <c r="F1718" s="310"/>
      <c r="G1718" s="310"/>
      <c r="H1718" s="310"/>
      <c r="I1718" s="1034" t="str">
        <f t="shared" si="139"/>
        <v/>
      </c>
      <c r="J1718" s="478"/>
      <c r="K1718" s="367"/>
      <c r="L1718" s="407"/>
      <c r="M1718" s="407"/>
      <c r="N1718" s="407"/>
    </row>
    <row r="1719" spans="1:14" s="408" customFormat="1" ht="17.25">
      <c r="A1719" s="414" t="s">
        <v>1511</v>
      </c>
      <c r="B1719" s="425" t="s">
        <v>1512</v>
      </c>
      <c r="C1719" s="296"/>
      <c r="D1719" s="392"/>
      <c r="E1719" s="165"/>
      <c r="F1719" s="310"/>
      <c r="G1719" s="310"/>
      <c r="H1719" s="310"/>
      <c r="I1719" s="1034" t="str">
        <f t="shared" si="139"/>
        <v/>
      </c>
      <c r="J1719" s="478"/>
      <c r="K1719" s="367"/>
      <c r="L1719" s="407"/>
      <c r="M1719" s="407"/>
      <c r="N1719" s="407"/>
    </row>
    <row r="1720" spans="1:14" s="408" customFormat="1" ht="17.25">
      <c r="A1720" s="414"/>
      <c r="B1720" s="425" t="s">
        <v>1513</v>
      </c>
      <c r="C1720" s="296" t="s">
        <v>1</v>
      </c>
      <c r="D1720" s="392">
        <v>24</v>
      </c>
      <c r="E1720" s="165">
        <v>2</v>
      </c>
      <c r="F1720" s="310">
        <v>2</v>
      </c>
      <c r="G1720" s="310"/>
      <c r="H1720" s="310">
        <v>0.32500000000000001</v>
      </c>
      <c r="I1720" s="1034">
        <f t="shared" si="139"/>
        <v>31.2</v>
      </c>
      <c r="J1720" s="478"/>
      <c r="K1720" s="367"/>
      <c r="L1720" s="407"/>
      <c r="M1720" s="407"/>
      <c r="N1720" s="407"/>
    </row>
    <row r="1721" spans="1:14" s="408" customFormat="1" ht="17.25">
      <c r="A1721" s="414"/>
      <c r="B1721" s="425"/>
      <c r="C1721" s="296" t="s">
        <v>1</v>
      </c>
      <c r="D1721" s="392">
        <v>24</v>
      </c>
      <c r="E1721" s="165">
        <v>2</v>
      </c>
      <c r="F1721" s="310">
        <v>1.91</v>
      </c>
      <c r="G1721" s="310"/>
      <c r="H1721" s="310">
        <v>0.1</v>
      </c>
      <c r="I1721" s="1034">
        <f t="shared" si="139"/>
        <v>9.17</v>
      </c>
      <c r="J1721" s="478"/>
      <c r="K1721" s="367"/>
      <c r="L1721" s="407"/>
      <c r="M1721" s="407"/>
      <c r="N1721" s="407"/>
    </row>
    <row r="1722" spans="1:14" s="408" customFormat="1" ht="17.25">
      <c r="A1722" s="414"/>
      <c r="B1722" s="425"/>
      <c r="C1722" s="296" t="s">
        <v>1</v>
      </c>
      <c r="D1722" s="392">
        <v>24</v>
      </c>
      <c r="E1722" s="165">
        <v>2</v>
      </c>
      <c r="F1722" s="310">
        <v>0.5</v>
      </c>
      <c r="G1722" s="310"/>
      <c r="H1722" s="310">
        <v>0.32500000000000001</v>
      </c>
      <c r="I1722" s="1034">
        <f t="shared" si="139"/>
        <v>7.8</v>
      </c>
      <c r="J1722" s="478"/>
      <c r="K1722" s="367"/>
      <c r="L1722" s="407"/>
      <c r="M1722" s="407"/>
      <c r="N1722" s="407"/>
    </row>
    <row r="1723" spans="1:14" s="408" customFormat="1" ht="17.25">
      <c r="A1723" s="414"/>
      <c r="B1723" s="425"/>
      <c r="C1723" s="296" t="s">
        <v>1</v>
      </c>
      <c r="D1723" s="392">
        <v>24</v>
      </c>
      <c r="E1723" s="165">
        <v>2</v>
      </c>
      <c r="F1723" s="310">
        <v>0.41000000000000003</v>
      </c>
      <c r="G1723" s="310"/>
      <c r="H1723" s="310">
        <v>0.1</v>
      </c>
      <c r="I1723" s="1034">
        <f t="shared" si="139"/>
        <v>1.97</v>
      </c>
      <c r="J1723" s="478"/>
      <c r="K1723" s="367"/>
      <c r="L1723" s="407"/>
      <c r="M1723" s="407"/>
      <c r="N1723" s="407"/>
    </row>
    <row r="1724" spans="1:14" s="408" customFormat="1" ht="17.25">
      <c r="A1724" s="414"/>
      <c r="B1724" s="425" t="s">
        <v>1514</v>
      </c>
      <c r="C1724" s="296" t="s">
        <v>1</v>
      </c>
      <c r="D1724" s="392">
        <v>24</v>
      </c>
      <c r="E1724" s="165">
        <v>2</v>
      </c>
      <c r="F1724" s="310">
        <v>0.32000000000000006</v>
      </c>
      <c r="G1724" s="310">
        <v>0.5</v>
      </c>
      <c r="H1724" s="310"/>
      <c r="I1724" s="1034">
        <f t="shared" si="139"/>
        <v>7.68</v>
      </c>
      <c r="J1724" s="478"/>
      <c r="K1724" s="367"/>
      <c r="L1724" s="407"/>
      <c r="M1724" s="407"/>
      <c r="N1724" s="407"/>
    </row>
    <row r="1725" spans="1:14" s="408" customFormat="1" ht="17.25">
      <c r="A1725" s="414"/>
      <c r="B1725" s="425"/>
      <c r="C1725" s="296"/>
      <c r="D1725" s="392"/>
      <c r="E1725" s="165"/>
      <c r="F1725" s="310"/>
      <c r="G1725" s="310"/>
      <c r="H1725" s="310"/>
      <c r="I1725" s="1034" t="str">
        <f t="shared" si="139"/>
        <v/>
      </c>
      <c r="J1725" s="478"/>
      <c r="K1725" s="367"/>
      <c r="L1725" s="407"/>
      <c r="M1725" s="407"/>
      <c r="N1725" s="407"/>
    </row>
    <row r="1726" spans="1:14" s="408" customFormat="1" ht="17.25">
      <c r="A1726" s="414" t="s">
        <v>1515</v>
      </c>
      <c r="B1726" s="425" t="s">
        <v>1516</v>
      </c>
      <c r="C1726" s="296"/>
      <c r="D1726" s="392"/>
      <c r="E1726" s="165"/>
      <c r="F1726" s="310"/>
      <c r="G1726" s="310"/>
      <c r="H1726" s="310"/>
      <c r="I1726" s="1034" t="str">
        <f t="shared" si="139"/>
        <v/>
      </c>
      <c r="J1726" s="478"/>
      <c r="K1726" s="367"/>
      <c r="L1726" s="407"/>
      <c r="M1726" s="407"/>
      <c r="N1726" s="407"/>
    </row>
    <row r="1727" spans="1:14" s="408" customFormat="1" ht="17.25">
      <c r="A1727" s="414"/>
      <c r="B1727" s="425" t="s">
        <v>1350</v>
      </c>
      <c r="C1727" s="296" t="s">
        <v>1</v>
      </c>
      <c r="D1727" s="392">
        <v>7</v>
      </c>
      <c r="E1727" s="165">
        <v>1</v>
      </c>
      <c r="F1727" s="310">
        <v>3.14</v>
      </c>
      <c r="G1727" s="310"/>
      <c r="H1727" s="310">
        <v>0.33500000000000002</v>
      </c>
      <c r="I1727" s="1034">
        <f t="shared" ref="I1727:I1783" si="140">IF(D1727&lt;&gt;0,ROUND(PRODUCT(E1727:H1727)*D1727,2),"")</f>
        <v>7.36</v>
      </c>
      <c r="J1727" s="478"/>
      <c r="K1727" s="367"/>
      <c r="L1727" s="407"/>
      <c r="M1727" s="407"/>
      <c r="N1727" s="407"/>
    </row>
    <row r="1728" spans="1:14" s="408" customFormat="1" ht="17.25">
      <c r="A1728" s="414"/>
      <c r="B1728" s="425"/>
      <c r="C1728" s="296" t="s">
        <v>1</v>
      </c>
      <c r="D1728" s="392">
        <v>7</v>
      </c>
      <c r="E1728" s="165">
        <v>1</v>
      </c>
      <c r="F1728" s="310">
        <v>2.7946</v>
      </c>
      <c r="G1728" s="310"/>
      <c r="H1728" s="310">
        <v>0.1</v>
      </c>
      <c r="I1728" s="1034">
        <f t="shared" si="140"/>
        <v>1.96</v>
      </c>
      <c r="J1728" s="478"/>
      <c r="K1728" s="367"/>
      <c r="L1728" s="407"/>
      <c r="M1728" s="407"/>
      <c r="N1728" s="407"/>
    </row>
    <row r="1729" spans="1:14" s="408" customFormat="1" ht="34.5">
      <c r="A1729" s="414"/>
      <c r="B1729" s="425" t="s">
        <v>1517</v>
      </c>
      <c r="C1729" s="296" t="s">
        <v>1</v>
      </c>
      <c r="D1729" s="392">
        <v>7</v>
      </c>
      <c r="E1729" s="165">
        <v>2</v>
      </c>
      <c r="F1729" s="310">
        <v>0.78500000000000003</v>
      </c>
      <c r="G1729" s="310"/>
      <c r="H1729" s="310"/>
      <c r="I1729" s="1034">
        <f t="shared" si="140"/>
        <v>10.99</v>
      </c>
      <c r="J1729" s="478"/>
      <c r="K1729" s="367"/>
      <c r="L1729" s="407"/>
      <c r="M1729" s="407"/>
      <c r="N1729" s="407"/>
    </row>
    <row r="1730" spans="1:14" s="408" customFormat="1" ht="17.25">
      <c r="A1730" s="414"/>
      <c r="B1730" s="425"/>
      <c r="C1730" s="296"/>
      <c r="D1730" s="392"/>
      <c r="E1730" s="165"/>
      <c r="F1730" s="310"/>
      <c r="G1730" s="310"/>
      <c r="H1730" s="310"/>
      <c r="I1730" s="1034" t="str">
        <f t="shared" si="140"/>
        <v/>
      </c>
      <c r="J1730" s="478"/>
      <c r="K1730" s="367"/>
      <c r="L1730" s="407"/>
      <c r="M1730" s="407"/>
      <c r="N1730" s="407"/>
    </row>
    <row r="1731" spans="1:14" s="408" customFormat="1" ht="17.25">
      <c r="A1731" s="414" t="s">
        <v>1518</v>
      </c>
      <c r="B1731" s="425" t="s">
        <v>1519</v>
      </c>
      <c r="C1731" s="296"/>
      <c r="D1731" s="392"/>
      <c r="E1731" s="165"/>
      <c r="F1731" s="310"/>
      <c r="G1731" s="310"/>
      <c r="H1731" s="310"/>
      <c r="I1731" s="1034" t="str">
        <f t="shared" si="140"/>
        <v/>
      </c>
      <c r="J1731" s="478"/>
      <c r="K1731" s="367"/>
      <c r="L1731" s="407"/>
      <c r="M1731" s="407"/>
      <c r="N1731" s="407"/>
    </row>
    <row r="1732" spans="1:14" s="408" customFormat="1" ht="17.25">
      <c r="A1732" s="414"/>
      <c r="B1732" s="425" t="s">
        <v>1520</v>
      </c>
      <c r="C1732" s="296"/>
      <c r="D1732" s="392"/>
      <c r="E1732" s="165"/>
      <c r="F1732" s="310"/>
      <c r="G1732" s="310"/>
      <c r="H1732" s="310"/>
      <c r="I1732" s="1034" t="str">
        <f t="shared" si="140"/>
        <v/>
      </c>
      <c r="J1732" s="478"/>
      <c r="K1732" s="367"/>
      <c r="L1732" s="407"/>
      <c r="M1732" s="407"/>
      <c r="N1732" s="407"/>
    </row>
    <row r="1733" spans="1:14" s="408" customFormat="1" ht="17.25">
      <c r="A1733" s="414"/>
      <c r="B1733" s="425" t="s">
        <v>1521</v>
      </c>
      <c r="C1733" s="296" t="s">
        <v>1</v>
      </c>
      <c r="D1733" s="392">
        <v>1</v>
      </c>
      <c r="E1733" s="165">
        <v>1</v>
      </c>
      <c r="F1733" s="310">
        <v>9.4250000000000007</v>
      </c>
      <c r="G1733" s="310"/>
      <c r="H1733" s="310">
        <v>0.41000000000000003</v>
      </c>
      <c r="I1733" s="1034">
        <f t="shared" si="140"/>
        <v>3.86</v>
      </c>
      <c r="J1733" s="478"/>
      <c r="K1733" s="367"/>
      <c r="L1733" s="407"/>
      <c r="M1733" s="407"/>
      <c r="N1733" s="407"/>
    </row>
    <row r="1734" spans="1:14" s="408" customFormat="1" ht="17.25">
      <c r="A1734" s="414"/>
      <c r="B1734" s="425" t="s">
        <v>1522</v>
      </c>
      <c r="C1734" s="296" t="s">
        <v>1</v>
      </c>
      <c r="D1734" s="392">
        <v>1</v>
      </c>
      <c r="E1734" s="165">
        <v>1</v>
      </c>
      <c r="F1734" s="310">
        <v>8.7050000000000001</v>
      </c>
      <c r="G1734" s="310"/>
      <c r="H1734" s="310">
        <v>0.3</v>
      </c>
      <c r="I1734" s="1034">
        <f t="shared" si="140"/>
        <v>2.61</v>
      </c>
      <c r="J1734" s="478"/>
      <c r="K1734" s="367"/>
      <c r="L1734" s="407"/>
      <c r="M1734" s="407"/>
      <c r="N1734" s="407"/>
    </row>
    <row r="1735" spans="1:14" s="408" customFormat="1" ht="17.25">
      <c r="A1735" s="414"/>
      <c r="B1735" s="425" t="s">
        <v>1402</v>
      </c>
      <c r="C1735" s="296" t="s">
        <v>1</v>
      </c>
      <c r="D1735" s="392">
        <v>1</v>
      </c>
      <c r="E1735" s="165">
        <v>1</v>
      </c>
      <c r="F1735" s="310">
        <v>7.8550000000000004</v>
      </c>
      <c r="G1735" s="310"/>
      <c r="H1735" s="310">
        <v>0.14499999999999999</v>
      </c>
      <c r="I1735" s="1034">
        <f t="shared" si="140"/>
        <v>1.1399999999999999</v>
      </c>
      <c r="J1735" s="478"/>
      <c r="K1735" s="367"/>
      <c r="L1735" s="407"/>
      <c r="M1735" s="407"/>
      <c r="N1735" s="407"/>
    </row>
    <row r="1736" spans="1:14" s="408" customFormat="1" ht="17.25">
      <c r="A1736" s="414"/>
      <c r="B1736" s="425" t="s">
        <v>1523</v>
      </c>
      <c r="C1736" s="296" t="s">
        <v>1</v>
      </c>
      <c r="D1736" s="392">
        <v>1</v>
      </c>
      <c r="E1736" s="165">
        <v>2</v>
      </c>
      <c r="F1736" s="310">
        <v>8.64</v>
      </c>
      <c r="G1736" s="310">
        <v>0.5</v>
      </c>
      <c r="H1736" s="310"/>
      <c r="I1736" s="1034">
        <f t="shared" si="140"/>
        <v>8.64</v>
      </c>
      <c r="J1736" s="478"/>
      <c r="K1736" s="367"/>
      <c r="L1736" s="407"/>
      <c r="M1736" s="407"/>
      <c r="N1736" s="407"/>
    </row>
    <row r="1737" spans="1:14" s="408" customFormat="1" ht="17.25">
      <c r="A1737" s="414"/>
      <c r="B1737" s="425" t="s">
        <v>1416</v>
      </c>
      <c r="C1737" s="296" t="s">
        <v>1</v>
      </c>
      <c r="D1737" s="392">
        <v>1</v>
      </c>
      <c r="E1737" s="165">
        <v>2</v>
      </c>
      <c r="F1737" s="310">
        <v>0.28999999999999998</v>
      </c>
      <c r="G1737" s="310"/>
      <c r="H1737" s="310">
        <v>0.41000000000000003</v>
      </c>
      <c r="I1737" s="1034">
        <f t="shared" si="140"/>
        <v>0.24</v>
      </c>
      <c r="J1737" s="478"/>
      <c r="K1737" s="367"/>
      <c r="L1737" s="407"/>
      <c r="M1737" s="407"/>
      <c r="N1737" s="407"/>
    </row>
    <row r="1738" spans="1:14" s="408" customFormat="1" ht="17.25">
      <c r="A1738" s="414"/>
      <c r="B1738" s="425"/>
      <c r="C1738" s="296" t="s">
        <v>1</v>
      </c>
      <c r="D1738" s="392">
        <v>1</v>
      </c>
      <c r="E1738" s="165">
        <v>2</v>
      </c>
      <c r="F1738" s="310">
        <v>0.21</v>
      </c>
      <c r="G1738" s="310"/>
      <c r="H1738" s="310">
        <v>0.14499999999999999</v>
      </c>
      <c r="I1738" s="1034">
        <f t="shared" si="140"/>
        <v>0.06</v>
      </c>
      <c r="J1738" s="478"/>
      <c r="K1738" s="367"/>
      <c r="L1738" s="407"/>
      <c r="M1738" s="407"/>
      <c r="N1738" s="407"/>
    </row>
    <row r="1739" spans="1:14" s="408" customFormat="1" ht="17.25">
      <c r="A1739" s="414"/>
      <c r="B1739" s="425" t="s">
        <v>1524</v>
      </c>
      <c r="C1739" s="296"/>
      <c r="D1739" s="392"/>
      <c r="E1739" s="165"/>
      <c r="F1739" s="310"/>
      <c r="G1739" s="310"/>
      <c r="H1739" s="310"/>
      <c r="I1739" s="1034" t="str">
        <f t="shared" si="140"/>
        <v/>
      </c>
      <c r="J1739" s="478"/>
      <c r="K1739" s="367"/>
      <c r="L1739" s="407"/>
      <c r="M1739" s="407"/>
      <c r="N1739" s="407"/>
    </row>
    <row r="1740" spans="1:14" s="408" customFormat="1" ht="17.25">
      <c r="A1740" s="414"/>
      <c r="B1740" s="425" t="s">
        <v>1521</v>
      </c>
      <c r="C1740" s="296" t="s">
        <v>1</v>
      </c>
      <c r="D1740" s="392">
        <v>1</v>
      </c>
      <c r="E1740" s="165">
        <v>1</v>
      </c>
      <c r="F1740" s="310">
        <v>5.5</v>
      </c>
      <c r="G1740" s="310"/>
      <c r="H1740" s="310">
        <v>0.41000000000000003</v>
      </c>
      <c r="I1740" s="1034">
        <f t="shared" si="140"/>
        <v>2.2599999999999998</v>
      </c>
      <c r="J1740" s="478"/>
      <c r="K1740" s="367"/>
      <c r="L1740" s="407"/>
      <c r="M1740" s="407"/>
      <c r="N1740" s="407"/>
    </row>
    <row r="1741" spans="1:14" s="408" customFormat="1" ht="17.25">
      <c r="A1741" s="414"/>
      <c r="B1741" s="425" t="s">
        <v>1522</v>
      </c>
      <c r="C1741" s="296" t="s">
        <v>1</v>
      </c>
      <c r="D1741" s="392">
        <v>1</v>
      </c>
      <c r="E1741" s="165">
        <v>1</v>
      </c>
      <c r="F1741" s="310">
        <v>5.03</v>
      </c>
      <c r="G1741" s="310"/>
      <c r="H1741" s="310">
        <v>0.3</v>
      </c>
      <c r="I1741" s="1034">
        <f t="shared" si="140"/>
        <v>1.51</v>
      </c>
      <c r="J1741" s="478"/>
      <c r="K1741" s="367"/>
      <c r="L1741" s="407"/>
      <c r="M1741" s="407"/>
      <c r="N1741" s="407"/>
    </row>
    <row r="1742" spans="1:14" s="408" customFormat="1" ht="17.25">
      <c r="A1742" s="414"/>
      <c r="B1742" s="425" t="s">
        <v>1402</v>
      </c>
      <c r="C1742" s="296" t="s">
        <v>1</v>
      </c>
      <c r="D1742" s="392">
        <v>1</v>
      </c>
      <c r="E1742" s="165">
        <v>1</v>
      </c>
      <c r="F1742" s="310">
        <v>4.4800000000000004</v>
      </c>
      <c r="G1742" s="310"/>
      <c r="H1742" s="310">
        <v>0.14499999999999999</v>
      </c>
      <c r="I1742" s="1034">
        <f t="shared" si="140"/>
        <v>0.65</v>
      </c>
      <c r="J1742" s="478"/>
      <c r="K1742" s="367"/>
      <c r="L1742" s="407"/>
      <c r="M1742" s="407"/>
      <c r="N1742" s="407"/>
    </row>
    <row r="1743" spans="1:14" s="408" customFormat="1" ht="17.25">
      <c r="A1743" s="414"/>
      <c r="B1743" s="425" t="s">
        <v>1523</v>
      </c>
      <c r="C1743" s="296" t="s">
        <v>1</v>
      </c>
      <c r="D1743" s="392">
        <v>1</v>
      </c>
      <c r="E1743" s="165">
        <v>2</v>
      </c>
      <c r="F1743" s="310">
        <v>4.99</v>
      </c>
      <c r="G1743" s="310">
        <v>0.5</v>
      </c>
      <c r="H1743" s="310"/>
      <c r="I1743" s="1034">
        <f t="shared" si="140"/>
        <v>4.99</v>
      </c>
      <c r="J1743" s="478"/>
      <c r="K1743" s="367"/>
      <c r="L1743" s="407"/>
      <c r="M1743" s="407"/>
      <c r="N1743" s="407"/>
    </row>
    <row r="1744" spans="1:14" s="408" customFormat="1" ht="17.25">
      <c r="A1744" s="414"/>
      <c r="B1744" s="425" t="s">
        <v>1416</v>
      </c>
      <c r="C1744" s="296" t="s">
        <v>1</v>
      </c>
      <c r="D1744" s="392">
        <v>1</v>
      </c>
      <c r="E1744" s="165">
        <v>2</v>
      </c>
      <c r="F1744" s="310">
        <v>0.28999999999999998</v>
      </c>
      <c r="G1744" s="310"/>
      <c r="H1744" s="310">
        <v>0.41000000000000003</v>
      </c>
      <c r="I1744" s="1034">
        <f t="shared" si="140"/>
        <v>0.24</v>
      </c>
      <c r="J1744" s="478"/>
      <c r="K1744" s="367"/>
      <c r="L1744" s="407"/>
      <c r="M1744" s="407"/>
      <c r="N1744" s="407"/>
    </row>
    <row r="1745" spans="1:14" s="408" customFormat="1" ht="17.25">
      <c r="A1745" s="414"/>
      <c r="B1745" s="425"/>
      <c r="C1745" s="296" t="s">
        <v>1</v>
      </c>
      <c r="D1745" s="392">
        <v>1</v>
      </c>
      <c r="E1745" s="165">
        <v>2</v>
      </c>
      <c r="F1745" s="310">
        <v>0.21</v>
      </c>
      <c r="G1745" s="310"/>
      <c r="H1745" s="310">
        <v>0.14499999999999999</v>
      </c>
      <c r="I1745" s="1034">
        <f t="shared" si="140"/>
        <v>0.06</v>
      </c>
      <c r="J1745" s="478"/>
      <c r="K1745" s="367"/>
      <c r="L1745" s="407"/>
      <c r="M1745" s="407"/>
      <c r="N1745" s="407"/>
    </row>
    <row r="1746" spans="1:14" s="408" customFormat="1" ht="17.25">
      <c r="A1746" s="414"/>
      <c r="B1746" s="425" t="s">
        <v>1525</v>
      </c>
      <c r="C1746" s="296"/>
      <c r="D1746" s="392"/>
      <c r="E1746" s="165"/>
      <c r="F1746" s="310"/>
      <c r="G1746" s="310"/>
      <c r="H1746" s="310"/>
      <c r="I1746" s="1034" t="str">
        <f t="shared" si="140"/>
        <v/>
      </c>
      <c r="J1746" s="478"/>
      <c r="K1746" s="367"/>
      <c r="L1746" s="407"/>
      <c r="M1746" s="407"/>
      <c r="N1746" s="407"/>
    </row>
    <row r="1747" spans="1:14" s="408" customFormat="1" ht="17.25">
      <c r="A1747" s="414"/>
      <c r="B1747" s="425" t="s">
        <v>1521</v>
      </c>
      <c r="C1747" s="296" t="s">
        <v>1</v>
      </c>
      <c r="D1747" s="392">
        <v>1</v>
      </c>
      <c r="E1747" s="165">
        <v>1</v>
      </c>
      <c r="F1747" s="310">
        <v>2.63</v>
      </c>
      <c r="G1747" s="310"/>
      <c r="H1747" s="310">
        <v>0.41000000000000003</v>
      </c>
      <c r="I1747" s="1034">
        <f t="shared" si="140"/>
        <v>1.08</v>
      </c>
      <c r="J1747" s="478"/>
      <c r="K1747" s="367"/>
      <c r="L1747" s="407"/>
      <c r="M1747" s="407"/>
      <c r="N1747" s="407"/>
    </row>
    <row r="1748" spans="1:14" s="408" customFormat="1" ht="17.25">
      <c r="A1748" s="414"/>
      <c r="B1748" s="425" t="s">
        <v>1522</v>
      </c>
      <c r="C1748" s="296" t="s">
        <v>1</v>
      </c>
      <c r="D1748" s="392">
        <v>1</v>
      </c>
      <c r="E1748" s="165">
        <v>1</v>
      </c>
      <c r="F1748" s="310">
        <v>2.2549999999999999</v>
      </c>
      <c r="G1748" s="310"/>
      <c r="H1748" s="310">
        <v>0.3</v>
      </c>
      <c r="I1748" s="1034">
        <f t="shared" si="140"/>
        <v>0.68</v>
      </c>
      <c r="J1748" s="478"/>
      <c r="K1748" s="367"/>
      <c r="L1748" s="407"/>
      <c r="M1748" s="407"/>
      <c r="N1748" s="407"/>
    </row>
    <row r="1749" spans="1:14" s="408" customFormat="1" ht="17.25">
      <c r="A1749" s="414"/>
      <c r="B1749" s="425" t="s">
        <v>1402</v>
      </c>
      <c r="C1749" s="296" t="s">
        <v>1</v>
      </c>
      <c r="D1749" s="392">
        <v>1</v>
      </c>
      <c r="E1749" s="165">
        <v>1</v>
      </c>
      <c r="F1749" s="310">
        <v>1.81</v>
      </c>
      <c r="G1749" s="310"/>
      <c r="H1749" s="310">
        <v>0.14499999999999999</v>
      </c>
      <c r="I1749" s="1034">
        <f t="shared" si="140"/>
        <v>0.26</v>
      </c>
      <c r="J1749" s="478"/>
      <c r="K1749" s="367"/>
      <c r="L1749" s="407"/>
      <c r="M1749" s="407"/>
      <c r="N1749" s="407"/>
    </row>
    <row r="1750" spans="1:14" s="408" customFormat="1" ht="17.25">
      <c r="A1750" s="414"/>
      <c r="B1750" s="425" t="s">
        <v>1523</v>
      </c>
      <c r="C1750" s="296" t="s">
        <v>1</v>
      </c>
      <c r="D1750" s="392">
        <v>1</v>
      </c>
      <c r="E1750" s="165">
        <v>2</v>
      </c>
      <c r="F1750" s="310">
        <v>2.2200000000000002</v>
      </c>
      <c r="G1750" s="310">
        <v>0.5</v>
      </c>
      <c r="H1750" s="310"/>
      <c r="I1750" s="1034">
        <f t="shared" si="140"/>
        <v>2.2200000000000002</v>
      </c>
      <c r="J1750" s="478"/>
      <c r="K1750" s="367"/>
      <c r="L1750" s="407"/>
      <c r="M1750" s="407"/>
      <c r="N1750" s="407"/>
    </row>
    <row r="1751" spans="1:14" s="408" customFormat="1" ht="17.25">
      <c r="A1751" s="414"/>
      <c r="B1751" s="425" t="s">
        <v>1416</v>
      </c>
      <c r="C1751" s="296" t="s">
        <v>1</v>
      </c>
      <c r="D1751" s="392">
        <v>1</v>
      </c>
      <c r="E1751" s="165">
        <v>2</v>
      </c>
      <c r="F1751" s="310">
        <v>0.28999999999999998</v>
      </c>
      <c r="G1751" s="310"/>
      <c r="H1751" s="310">
        <v>0.41000000000000003</v>
      </c>
      <c r="I1751" s="1034">
        <f t="shared" si="140"/>
        <v>0.24</v>
      </c>
      <c r="J1751" s="478"/>
      <c r="K1751" s="367"/>
      <c r="L1751" s="407"/>
      <c r="M1751" s="407"/>
      <c r="N1751" s="407"/>
    </row>
    <row r="1752" spans="1:14" s="408" customFormat="1" ht="17.25">
      <c r="A1752" s="414"/>
      <c r="B1752" s="425"/>
      <c r="C1752" s="296" t="s">
        <v>1</v>
      </c>
      <c r="D1752" s="392">
        <v>1</v>
      </c>
      <c r="E1752" s="165">
        <v>2</v>
      </c>
      <c r="F1752" s="310">
        <v>0.21</v>
      </c>
      <c r="G1752" s="310"/>
      <c r="H1752" s="310">
        <v>0.14499999999999999</v>
      </c>
      <c r="I1752" s="1034">
        <f t="shared" si="140"/>
        <v>0.06</v>
      </c>
      <c r="J1752" s="478"/>
      <c r="K1752" s="367"/>
      <c r="L1752" s="407"/>
      <c r="M1752" s="407"/>
      <c r="N1752" s="407"/>
    </row>
    <row r="1753" spans="1:14" s="408" customFormat="1" ht="17.25">
      <c r="A1753" s="414"/>
      <c r="B1753" s="425" t="s">
        <v>1526</v>
      </c>
      <c r="C1753" s="296"/>
      <c r="D1753" s="392"/>
      <c r="E1753" s="165"/>
      <c r="F1753" s="310"/>
      <c r="G1753" s="310"/>
      <c r="H1753" s="310"/>
      <c r="I1753" s="1034" t="str">
        <f t="shared" si="140"/>
        <v/>
      </c>
      <c r="J1753" s="478"/>
      <c r="K1753" s="367"/>
      <c r="L1753" s="407"/>
      <c r="M1753" s="407"/>
      <c r="N1753" s="407"/>
    </row>
    <row r="1754" spans="1:14" s="408" customFormat="1" ht="17.25">
      <c r="A1754" s="414"/>
      <c r="B1754" s="425" t="s">
        <v>1521</v>
      </c>
      <c r="C1754" s="296" t="s">
        <v>1</v>
      </c>
      <c r="D1754" s="392">
        <v>1</v>
      </c>
      <c r="E1754" s="165">
        <v>1</v>
      </c>
      <c r="F1754" s="310">
        <v>4.8099999999999996</v>
      </c>
      <c r="G1754" s="310"/>
      <c r="H1754" s="310">
        <v>0.41000000000000003</v>
      </c>
      <c r="I1754" s="1034">
        <f t="shared" si="140"/>
        <v>1.97</v>
      </c>
      <c r="J1754" s="478"/>
      <c r="K1754" s="367"/>
      <c r="L1754" s="407"/>
      <c r="M1754" s="407"/>
      <c r="N1754" s="407"/>
    </row>
    <row r="1755" spans="1:14" s="408" customFormat="1" ht="17.25">
      <c r="A1755" s="414"/>
      <c r="B1755" s="425" t="s">
        <v>1522</v>
      </c>
      <c r="C1755" s="296" t="s">
        <v>1</v>
      </c>
      <c r="D1755" s="392">
        <v>1</v>
      </c>
      <c r="E1755" s="165">
        <v>1</v>
      </c>
      <c r="F1755" s="310">
        <v>4.2549999999999999</v>
      </c>
      <c r="G1755" s="310"/>
      <c r="H1755" s="310">
        <v>0.3</v>
      </c>
      <c r="I1755" s="1034">
        <f t="shared" si="140"/>
        <v>1.28</v>
      </c>
      <c r="J1755" s="478"/>
      <c r="K1755" s="367"/>
      <c r="L1755" s="407"/>
      <c r="M1755" s="407"/>
      <c r="N1755" s="407"/>
    </row>
    <row r="1756" spans="1:14" s="408" customFormat="1" ht="17.25">
      <c r="A1756" s="414"/>
      <c r="B1756" s="425" t="s">
        <v>1402</v>
      </c>
      <c r="C1756" s="296" t="s">
        <v>1</v>
      </c>
      <c r="D1756" s="392">
        <v>1</v>
      </c>
      <c r="E1756" s="165">
        <v>1</v>
      </c>
      <c r="F1756" s="310">
        <v>3.605</v>
      </c>
      <c r="G1756" s="310"/>
      <c r="H1756" s="310">
        <v>0.14499999999999999</v>
      </c>
      <c r="I1756" s="1034">
        <f t="shared" si="140"/>
        <v>0.52</v>
      </c>
      <c r="J1756" s="478"/>
      <c r="K1756" s="367"/>
      <c r="L1756" s="407"/>
      <c r="M1756" s="407"/>
      <c r="N1756" s="407"/>
    </row>
    <row r="1757" spans="1:14" s="408" customFormat="1" ht="17.25">
      <c r="A1757" s="414"/>
      <c r="B1757" s="425" t="s">
        <v>1523</v>
      </c>
      <c r="C1757" s="296" t="s">
        <v>1</v>
      </c>
      <c r="D1757" s="392">
        <v>1</v>
      </c>
      <c r="E1757" s="165">
        <v>2</v>
      </c>
      <c r="F1757" s="310">
        <v>4.2050000000000001</v>
      </c>
      <c r="G1757" s="310">
        <v>0.5</v>
      </c>
      <c r="H1757" s="310"/>
      <c r="I1757" s="1034">
        <f t="shared" si="140"/>
        <v>4.21</v>
      </c>
      <c r="J1757" s="478"/>
      <c r="K1757" s="367"/>
      <c r="L1757" s="407"/>
      <c r="M1757" s="407"/>
      <c r="N1757" s="407"/>
    </row>
    <row r="1758" spans="1:14" s="408" customFormat="1" ht="17.25">
      <c r="A1758" s="414"/>
      <c r="B1758" s="425" t="s">
        <v>1416</v>
      </c>
      <c r="C1758" s="296" t="s">
        <v>1</v>
      </c>
      <c r="D1758" s="392">
        <v>1</v>
      </c>
      <c r="E1758" s="165">
        <v>2</v>
      </c>
      <c r="F1758" s="310">
        <v>0.28999999999999998</v>
      </c>
      <c r="G1758" s="310"/>
      <c r="H1758" s="310">
        <v>0.41000000000000003</v>
      </c>
      <c r="I1758" s="1034">
        <f t="shared" si="140"/>
        <v>0.24</v>
      </c>
      <c r="J1758" s="478"/>
      <c r="K1758" s="367"/>
      <c r="L1758" s="407"/>
      <c r="M1758" s="407"/>
      <c r="N1758" s="407"/>
    </row>
    <row r="1759" spans="1:14" s="408" customFormat="1" ht="17.25">
      <c r="A1759" s="414"/>
      <c r="B1759" s="425"/>
      <c r="C1759" s="296" t="s">
        <v>1</v>
      </c>
      <c r="D1759" s="392">
        <v>1</v>
      </c>
      <c r="E1759" s="165">
        <v>2</v>
      </c>
      <c r="F1759" s="310">
        <v>0.21</v>
      </c>
      <c r="G1759" s="310"/>
      <c r="H1759" s="310">
        <v>0.14499999999999999</v>
      </c>
      <c r="I1759" s="1034">
        <f t="shared" si="140"/>
        <v>0.06</v>
      </c>
      <c r="J1759" s="478"/>
      <c r="K1759" s="367"/>
      <c r="L1759" s="407"/>
      <c r="M1759" s="407"/>
      <c r="N1759" s="407"/>
    </row>
    <row r="1760" spans="1:14" s="408" customFormat="1" ht="17.25">
      <c r="A1760" s="414"/>
      <c r="B1760" s="425" t="s">
        <v>1527</v>
      </c>
      <c r="C1760" s="296"/>
      <c r="D1760" s="392"/>
      <c r="E1760" s="165"/>
      <c r="F1760" s="310"/>
      <c r="G1760" s="310"/>
      <c r="H1760" s="310"/>
      <c r="I1760" s="1034" t="str">
        <f t="shared" si="140"/>
        <v/>
      </c>
      <c r="J1760" s="478"/>
      <c r="K1760" s="367"/>
      <c r="L1760" s="407"/>
      <c r="M1760" s="407"/>
      <c r="N1760" s="407"/>
    </row>
    <row r="1761" spans="1:14" s="408" customFormat="1" ht="17.25">
      <c r="A1761" s="414"/>
      <c r="B1761" s="425" t="s">
        <v>1521</v>
      </c>
      <c r="C1761" s="296" t="s">
        <v>1</v>
      </c>
      <c r="D1761" s="392">
        <v>1</v>
      </c>
      <c r="E1761" s="165">
        <v>1</v>
      </c>
      <c r="F1761" s="310">
        <v>5.5350000000000001</v>
      </c>
      <c r="G1761" s="310"/>
      <c r="H1761" s="310">
        <v>0.41000000000000003</v>
      </c>
      <c r="I1761" s="1034">
        <f t="shared" si="140"/>
        <v>2.27</v>
      </c>
      <c r="J1761" s="478"/>
      <c r="K1761" s="367"/>
      <c r="L1761" s="407"/>
      <c r="M1761" s="407"/>
      <c r="N1761" s="407"/>
    </row>
    <row r="1762" spans="1:14" s="408" customFormat="1" ht="17.25">
      <c r="A1762" s="414"/>
      <c r="B1762" s="425" t="s">
        <v>1522</v>
      </c>
      <c r="C1762" s="296" t="s">
        <v>1</v>
      </c>
      <c r="D1762" s="392">
        <v>1</v>
      </c>
      <c r="E1762" s="165">
        <v>1</v>
      </c>
      <c r="F1762" s="310">
        <v>5.0350000000000001</v>
      </c>
      <c r="G1762" s="310"/>
      <c r="H1762" s="310">
        <v>0.3</v>
      </c>
      <c r="I1762" s="1034">
        <f t="shared" si="140"/>
        <v>1.51</v>
      </c>
      <c r="J1762" s="478"/>
      <c r="K1762" s="367"/>
      <c r="L1762" s="407"/>
      <c r="M1762" s="407"/>
      <c r="N1762" s="407"/>
    </row>
    <row r="1763" spans="1:14" s="408" customFormat="1" ht="17.25">
      <c r="A1763" s="414"/>
      <c r="B1763" s="425" t="s">
        <v>1402</v>
      </c>
      <c r="C1763" s="296" t="s">
        <v>1</v>
      </c>
      <c r="D1763" s="392">
        <v>1</v>
      </c>
      <c r="E1763" s="165">
        <v>1</v>
      </c>
      <c r="F1763" s="310">
        <v>4.45</v>
      </c>
      <c r="G1763" s="310"/>
      <c r="H1763" s="310">
        <v>0.14499999999999999</v>
      </c>
      <c r="I1763" s="1034">
        <f t="shared" si="140"/>
        <v>0.65</v>
      </c>
      <c r="J1763" s="478"/>
      <c r="K1763" s="367"/>
      <c r="L1763" s="407"/>
      <c r="M1763" s="407"/>
      <c r="N1763" s="407"/>
    </row>
    <row r="1764" spans="1:14" s="408" customFormat="1" ht="17.25">
      <c r="A1764" s="414"/>
      <c r="B1764" s="425" t="s">
        <v>1523</v>
      </c>
      <c r="C1764" s="296" t="s">
        <v>1</v>
      </c>
      <c r="D1764" s="392">
        <v>1</v>
      </c>
      <c r="E1764" s="165">
        <v>2</v>
      </c>
      <c r="F1764" s="310">
        <v>4.99</v>
      </c>
      <c r="G1764" s="310">
        <v>0.5</v>
      </c>
      <c r="H1764" s="310"/>
      <c r="I1764" s="1034">
        <f t="shared" si="140"/>
        <v>4.99</v>
      </c>
      <c r="J1764" s="478"/>
      <c r="K1764" s="367"/>
      <c r="L1764" s="407"/>
      <c r="M1764" s="407"/>
      <c r="N1764" s="407"/>
    </row>
    <row r="1765" spans="1:14" s="408" customFormat="1" ht="17.25">
      <c r="A1765" s="414"/>
      <c r="B1765" s="425" t="s">
        <v>1416</v>
      </c>
      <c r="C1765" s="296" t="s">
        <v>1</v>
      </c>
      <c r="D1765" s="392">
        <v>1</v>
      </c>
      <c r="E1765" s="165">
        <v>2</v>
      </c>
      <c r="F1765" s="310">
        <v>0.28999999999999998</v>
      </c>
      <c r="G1765" s="310"/>
      <c r="H1765" s="310">
        <v>0.41000000000000003</v>
      </c>
      <c r="I1765" s="1034">
        <f t="shared" si="140"/>
        <v>0.24</v>
      </c>
      <c r="J1765" s="478"/>
      <c r="K1765" s="367"/>
      <c r="L1765" s="407"/>
      <c r="M1765" s="407"/>
      <c r="N1765" s="407"/>
    </row>
    <row r="1766" spans="1:14" s="408" customFormat="1" ht="17.25">
      <c r="A1766" s="414"/>
      <c r="B1766" s="425"/>
      <c r="C1766" s="296" t="s">
        <v>1</v>
      </c>
      <c r="D1766" s="392">
        <v>1</v>
      </c>
      <c r="E1766" s="165">
        <v>2</v>
      </c>
      <c r="F1766" s="310">
        <v>0.21</v>
      </c>
      <c r="G1766" s="310"/>
      <c r="H1766" s="310">
        <v>0.14499999999999999</v>
      </c>
      <c r="I1766" s="1034">
        <f t="shared" si="140"/>
        <v>0.06</v>
      </c>
      <c r="J1766" s="478"/>
      <c r="K1766" s="367"/>
      <c r="L1766" s="407"/>
      <c r="M1766" s="407"/>
      <c r="N1766" s="407"/>
    </row>
    <row r="1767" spans="1:14" s="408" customFormat="1" ht="17.25">
      <c r="A1767" s="414"/>
      <c r="B1767" s="425" t="s">
        <v>1528</v>
      </c>
      <c r="C1767" s="296"/>
      <c r="D1767" s="392"/>
      <c r="E1767" s="165"/>
      <c r="F1767" s="310"/>
      <c r="G1767" s="310"/>
      <c r="H1767" s="310"/>
      <c r="I1767" s="1034" t="str">
        <f t="shared" si="140"/>
        <v/>
      </c>
      <c r="J1767" s="478"/>
      <c r="K1767" s="367"/>
      <c r="L1767" s="407"/>
      <c r="M1767" s="407"/>
      <c r="N1767" s="407"/>
    </row>
    <row r="1768" spans="1:14" s="408" customFormat="1" ht="17.25">
      <c r="A1768" s="414"/>
      <c r="B1768" s="425" t="s">
        <v>1521</v>
      </c>
      <c r="C1768" s="296" t="s">
        <v>1</v>
      </c>
      <c r="D1768" s="392">
        <v>1</v>
      </c>
      <c r="E1768" s="165">
        <v>1</v>
      </c>
      <c r="F1768" s="310">
        <v>3.2549999999999999</v>
      </c>
      <c r="G1768" s="310"/>
      <c r="H1768" s="310">
        <v>0.41000000000000003</v>
      </c>
      <c r="I1768" s="1034">
        <f t="shared" si="140"/>
        <v>1.33</v>
      </c>
      <c r="J1768" s="478"/>
      <c r="K1768" s="367"/>
      <c r="L1768" s="407"/>
      <c r="M1768" s="407"/>
      <c r="N1768" s="407"/>
    </row>
    <row r="1769" spans="1:14" s="408" customFormat="1" ht="17.25">
      <c r="A1769" s="414"/>
      <c r="B1769" s="425" t="s">
        <v>1522</v>
      </c>
      <c r="C1769" s="296" t="s">
        <v>1</v>
      </c>
      <c r="D1769" s="392">
        <v>1</v>
      </c>
      <c r="E1769" s="165">
        <v>1</v>
      </c>
      <c r="F1769" s="310">
        <v>2.99</v>
      </c>
      <c r="G1769" s="310"/>
      <c r="H1769" s="310">
        <v>0.3</v>
      </c>
      <c r="I1769" s="1034">
        <f t="shared" si="140"/>
        <v>0.9</v>
      </c>
      <c r="J1769" s="478"/>
      <c r="K1769" s="367"/>
      <c r="L1769" s="407"/>
      <c r="M1769" s="407"/>
      <c r="N1769" s="407"/>
    </row>
    <row r="1770" spans="1:14" s="408" customFormat="1" ht="17.25">
      <c r="A1770" s="414"/>
      <c r="B1770" s="425" t="s">
        <v>1402</v>
      </c>
      <c r="C1770" s="296" t="s">
        <v>1</v>
      </c>
      <c r="D1770" s="392">
        <v>1</v>
      </c>
      <c r="E1770" s="165">
        <v>1</v>
      </c>
      <c r="F1770" s="310">
        <v>2.6349999999999998</v>
      </c>
      <c r="G1770" s="310"/>
      <c r="H1770" s="310">
        <v>0.14499999999999999</v>
      </c>
      <c r="I1770" s="1034">
        <f t="shared" si="140"/>
        <v>0.38</v>
      </c>
      <c r="J1770" s="478"/>
      <c r="K1770" s="367"/>
      <c r="L1770" s="407"/>
      <c r="M1770" s="407"/>
      <c r="N1770" s="407"/>
    </row>
    <row r="1771" spans="1:14" s="408" customFormat="1" ht="17.25">
      <c r="A1771" s="414"/>
      <c r="B1771" s="425" t="s">
        <v>1523</v>
      </c>
      <c r="C1771" s="296" t="s">
        <v>1</v>
      </c>
      <c r="D1771" s="392">
        <v>1</v>
      </c>
      <c r="E1771" s="165">
        <v>2</v>
      </c>
      <c r="F1771" s="310">
        <v>2.9649999999999999</v>
      </c>
      <c r="G1771" s="310">
        <v>0.5</v>
      </c>
      <c r="H1771" s="310"/>
      <c r="I1771" s="1034">
        <f t="shared" si="140"/>
        <v>2.97</v>
      </c>
      <c r="J1771" s="478"/>
      <c r="K1771" s="367"/>
      <c r="L1771" s="407"/>
      <c r="M1771" s="407"/>
      <c r="N1771" s="407"/>
    </row>
    <row r="1772" spans="1:14" s="408" customFormat="1" ht="17.25">
      <c r="A1772" s="414"/>
      <c r="B1772" s="425" t="s">
        <v>1416</v>
      </c>
      <c r="C1772" s="296" t="s">
        <v>1</v>
      </c>
      <c r="D1772" s="392">
        <v>1</v>
      </c>
      <c r="E1772" s="165">
        <v>2</v>
      </c>
      <c r="F1772" s="310">
        <v>0.28999999999999998</v>
      </c>
      <c r="G1772" s="310"/>
      <c r="H1772" s="310">
        <v>0.41000000000000003</v>
      </c>
      <c r="I1772" s="1034">
        <f t="shared" si="140"/>
        <v>0.24</v>
      </c>
      <c r="J1772" s="478"/>
      <c r="K1772" s="367"/>
      <c r="L1772" s="407"/>
      <c r="M1772" s="407"/>
      <c r="N1772" s="407"/>
    </row>
    <row r="1773" spans="1:14" s="408" customFormat="1" ht="17.25">
      <c r="A1773" s="414"/>
      <c r="B1773" s="425"/>
      <c r="C1773" s="296" t="s">
        <v>1</v>
      </c>
      <c r="D1773" s="392">
        <v>1</v>
      </c>
      <c r="E1773" s="165">
        <v>2</v>
      </c>
      <c r="F1773" s="310">
        <v>0.21</v>
      </c>
      <c r="G1773" s="310"/>
      <c r="H1773" s="310">
        <v>0.14499999999999999</v>
      </c>
      <c r="I1773" s="1034">
        <f t="shared" si="140"/>
        <v>0.06</v>
      </c>
      <c r="J1773" s="478"/>
      <c r="K1773" s="367"/>
      <c r="L1773" s="407"/>
      <c r="M1773" s="407"/>
      <c r="N1773" s="407"/>
    </row>
    <row r="1774" spans="1:14" s="408" customFormat="1" ht="17.25">
      <c r="A1774" s="414"/>
      <c r="B1774" s="425" t="s">
        <v>1529</v>
      </c>
      <c r="C1774" s="296"/>
      <c r="D1774" s="392"/>
      <c r="E1774" s="165"/>
      <c r="F1774" s="310"/>
      <c r="G1774" s="310"/>
      <c r="H1774" s="310"/>
      <c r="I1774" s="1034" t="str">
        <f t="shared" si="140"/>
        <v/>
      </c>
      <c r="J1774" s="478"/>
      <c r="K1774" s="367"/>
      <c r="L1774" s="407"/>
      <c r="M1774" s="407"/>
      <c r="N1774" s="407"/>
    </row>
    <row r="1775" spans="1:14" s="408" customFormat="1" ht="17.25">
      <c r="A1775" s="414"/>
      <c r="B1775" s="425" t="s">
        <v>1521</v>
      </c>
      <c r="C1775" s="296" t="s">
        <v>1</v>
      </c>
      <c r="D1775" s="392">
        <v>1</v>
      </c>
      <c r="E1775" s="165">
        <v>1</v>
      </c>
      <c r="F1775" s="310">
        <v>3.27</v>
      </c>
      <c r="G1775" s="310"/>
      <c r="H1775" s="310">
        <v>0.41000000000000003</v>
      </c>
      <c r="I1775" s="1034">
        <f t="shared" si="140"/>
        <v>1.34</v>
      </c>
      <c r="J1775" s="478"/>
      <c r="K1775" s="367"/>
      <c r="L1775" s="407"/>
      <c r="M1775" s="407"/>
      <c r="N1775" s="407"/>
    </row>
    <row r="1776" spans="1:14" s="408" customFormat="1" ht="17.25">
      <c r="A1776" s="414"/>
      <c r="B1776" s="425" t="s">
        <v>1522</v>
      </c>
      <c r="C1776" s="296" t="s">
        <v>1</v>
      </c>
      <c r="D1776" s="392">
        <v>1</v>
      </c>
      <c r="E1776" s="165">
        <v>1</v>
      </c>
      <c r="F1776" s="310">
        <v>2.97</v>
      </c>
      <c r="G1776" s="310"/>
      <c r="H1776" s="310">
        <v>0.3</v>
      </c>
      <c r="I1776" s="1034">
        <f t="shared" si="140"/>
        <v>0.89</v>
      </c>
      <c r="J1776" s="478"/>
      <c r="K1776" s="367"/>
      <c r="L1776" s="407"/>
      <c r="M1776" s="407"/>
      <c r="N1776" s="407"/>
    </row>
    <row r="1777" spans="1:16" s="408" customFormat="1" ht="17.25">
      <c r="A1777" s="414"/>
      <c r="B1777" s="425" t="s">
        <v>1402</v>
      </c>
      <c r="C1777" s="296" t="s">
        <v>1</v>
      </c>
      <c r="D1777" s="392">
        <v>1</v>
      </c>
      <c r="E1777" s="165">
        <v>1</v>
      </c>
      <c r="F1777" s="310">
        <v>2.6150000000000002</v>
      </c>
      <c r="G1777" s="310"/>
      <c r="H1777" s="310">
        <v>0.14499999999999999</v>
      </c>
      <c r="I1777" s="1034">
        <f t="shared" si="140"/>
        <v>0.38</v>
      </c>
      <c r="J1777" s="478"/>
      <c r="K1777" s="367"/>
      <c r="L1777" s="407"/>
      <c r="M1777" s="407"/>
      <c r="N1777" s="407"/>
    </row>
    <row r="1778" spans="1:16" s="408" customFormat="1" ht="17.25">
      <c r="A1778" s="414"/>
      <c r="B1778" s="425" t="s">
        <v>1523</v>
      </c>
      <c r="C1778" s="296" t="s">
        <v>1</v>
      </c>
      <c r="D1778" s="392">
        <v>1</v>
      </c>
      <c r="E1778" s="165">
        <v>2</v>
      </c>
      <c r="F1778" s="310">
        <v>2.9449999999999998</v>
      </c>
      <c r="G1778" s="310">
        <v>0.5</v>
      </c>
      <c r="H1778" s="310"/>
      <c r="I1778" s="1034">
        <f t="shared" si="140"/>
        <v>2.95</v>
      </c>
      <c r="J1778" s="478"/>
      <c r="K1778" s="367"/>
      <c r="L1778" s="407"/>
      <c r="M1778" s="407"/>
      <c r="N1778" s="407"/>
    </row>
    <row r="1779" spans="1:16" s="408" customFormat="1" ht="17.25">
      <c r="A1779" s="414"/>
      <c r="B1779" s="425" t="s">
        <v>1416</v>
      </c>
      <c r="C1779" s="296" t="s">
        <v>1</v>
      </c>
      <c r="D1779" s="392">
        <v>1</v>
      </c>
      <c r="E1779" s="165">
        <v>2</v>
      </c>
      <c r="F1779" s="310">
        <v>0.28999999999999998</v>
      </c>
      <c r="G1779" s="310"/>
      <c r="H1779" s="310">
        <v>0.41000000000000003</v>
      </c>
      <c r="I1779" s="1034">
        <f t="shared" si="140"/>
        <v>0.24</v>
      </c>
      <c r="J1779" s="478"/>
      <c r="K1779" s="367"/>
      <c r="L1779" s="407"/>
      <c r="M1779" s="407"/>
      <c r="N1779" s="407"/>
    </row>
    <row r="1780" spans="1:16" s="408" customFormat="1" ht="17.25">
      <c r="A1780" s="414"/>
      <c r="B1780" s="425"/>
      <c r="C1780" s="296" t="s">
        <v>1</v>
      </c>
      <c r="D1780" s="392">
        <v>1</v>
      </c>
      <c r="E1780" s="165">
        <v>2</v>
      </c>
      <c r="F1780" s="310">
        <v>0.21</v>
      </c>
      <c r="G1780" s="310"/>
      <c r="H1780" s="310">
        <v>0.14499999999999999</v>
      </c>
      <c r="I1780" s="1034">
        <f t="shared" si="140"/>
        <v>0.06</v>
      </c>
      <c r="J1780" s="478"/>
      <c r="K1780" s="367"/>
      <c r="L1780" s="407"/>
      <c r="M1780" s="407"/>
      <c r="N1780" s="407"/>
    </row>
    <row r="1781" spans="1:16" s="408" customFormat="1" ht="51.75">
      <c r="A1781" s="414" t="s">
        <v>1530</v>
      </c>
      <c r="B1781" s="425" t="s">
        <v>1531</v>
      </c>
      <c r="C1781" s="296"/>
      <c r="D1781" s="392"/>
      <c r="E1781" s="165"/>
      <c r="F1781" s="310"/>
      <c r="G1781" s="310"/>
      <c r="H1781" s="310"/>
      <c r="I1781" s="1034" t="str">
        <f t="shared" si="140"/>
        <v/>
      </c>
      <c r="J1781" s="478"/>
      <c r="K1781" s="367"/>
      <c r="L1781" s="407"/>
      <c r="M1781" s="407"/>
      <c r="N1781" s="407"/>
    </row>
    <row r="1782" spans="1:16" s="408" customFormat="1" ht="17.25">
      <c r="A1782" s="414"/>
      <c r="B1782" s="425" t="s">
        <v>2121</v>
      </c>
      <c r="C1782" s="296" t="s">
        <v>1</v>
      </c>
      <c r="D1782" s="392">
        <v>1</v>
      </c>
      <c r="E1782" s="165">
        <v>2</v>
      </c>
      <c r="F1782" s="310">
        <v>51.50385</v>
      </c>
      <c r="G1782" s="310"/>
      <c r="H1782" s="310"/>
      <c r="I1782" s="1034">
        <f t="shared" si="140"/>
        <v>103.01</v>
      </c>
      <c r="J1782" s="478"/>
      <c r="K1782" s="367"/>
      <c r="L1782" s="407"/>
      <c r="M1782" s="407"/>
      <c r="N1782" s="407"/>
    </row>
    <row r="1783" spans="1:16" s="408" customFormat="1" ht="17.25">
      <c r="A1783" s="414"/>
      <c r="B1783" s="425" t="s">
        <v>1533</v>
      </c>
      <c r="C1783" s="296" t="s">
        <v>1</v>
      </c>
      <c r="D1783" s="392">
        <v>-1</v>
      </c>
      <c r="E1783" s="165">
        <v>2</v>
      </c>
      <c r="F1783" s="310">
        <v>38.484510006000001</v>
      </c>
      <c r="G1783" s="310"/>
      <c r="H1783" s="310"/>
      <c r="I1783" s="1034">
        <f t="shared" si="140"/>
        <v>-76.97</v>
      </c>
      <c r="J1783" s="478"/>
      <c r="K1783" s="367"/>
      <c r="L1783" s="407"/>
      <c r="M1783" s="407"/>
      <c r="N1783" s="407"/>
    </row>
    <row r="1784" spans="1:16" s="1078" customFormat="1" ht="17.25">
      <c r="A1784" s="1066"/>
      <c r="B1784" s="1071" t="s">
        <v>2135</v>
      </c>
      <c r="C1784" s="1072" t="s">
        <v>1</v>
      </c>
      <c r="D1784" s="1073">
        <v>-1</v>
      </c>
      <c r="E1784" s="1066"/>
      <c r="F1784" s="1067">
        <f>SUM(I1631:I1783)</f>
        <v>221.27000000000018</v>
      </c>
      <c r="G1784" s="1067"/>
      <c r="H1784" s="1067"/>
      <c r="I1784" s="1074">
        <f t="shared" si="138"/>
        <v>-221.27</v>
      </c>
      <c r="J1784" s="1075"/>
      <c r="K1784" s="1076"/>
      <c r="L1784" s="1077"/>
      <c r="M1784" s="1077"/>
      <c r="N1784" s="1077"/>
    </row>
    <row r="1785" spans="1:16" s="408" customFormat="1" ht="17.25">
      <c r="A1785" s="414"/>
      <c r="B1785" s="425"/>
      <c r="C1785" s="296" t="s">
        <v>1</v>
      </c>
      <c r="D1785" s="392"/>
      <c r="E1785" s="165"/>
      <c r="F1785" s="310"/>
      <c r="G1785" s="310"/>
      <c r="H1785" s="310"/>
      <c r="I1785" s="1034" t="str">
        <f t="shared" ref="I1785" si="141">IF(D1785&lt;&gt;0,ROUND(PRODUCT(E1785:H1785)*D1785,2),"")</f>
        <v/>
      </c>
      <c r="J1785" s="478"/>
      <c r="K1785" s="367"/>
      <c r="L1785" s="407"/>
      <c r="M1785" s="407"/>
      <c r="N1785" s="407"/>
    </row>
    <row r="1786" spans="1:16" s="408" customFormat="1" ht="17.25">
      <c r="A1786" s="414"/>
      <c r="B1786" s="425"/>
      <c r="C1786" s="296" t="s">
        <v>1</v>
      </c>
      <c r="D1786" s="392"/>
      <c r="E1786" s="165"/>
      <c r="F1786" s="310"/>
      <c r="G1786" s="310"/>
      <c r="H1786" s="310"/>
      <c r="I1786" s="1034" t="str">
        <f t="shared" si="138"/>
        <v/>
      </c>
      <c r="J1786" s="478"/>
      <c r="K1786" s="367"/>
      <c r="L1786" s="407"/>
      <c r="M1786" s="407"/>
      <c r="N1786" s="407"/>
    </row>
    <row r="1787" spans="1:16" s="377" customFormat="1" ht="17.25">
      <c r="A1787" s="617"/>
      <c r="B1787" s="453" t="s">
        <v>928</v>
      </c>
      <c r="C1787" s="388" t="s">
        <v>1</v>
      </c>
      <c r="D1787" s="392"/>
      <c r="E1787" s="165"/>
      <c r="F1787" s="310"/>
      <c r="G1787" s="310"/>
      <c r="H1787" s="310"/>
      <c r="I1787" s="1034" t="str">
        <f t="shared" si="138"/>
        <v/>
      </c>
      <c r="J1787" s="162">
        <f>SUM(I1629:I1787)</f>
        <v>0</v>
      </c>
      <c r="K1787" s="454" t="s">
        <v>1690</v>
      </c>
      <c r="L1787" s="376"/>
      <c r="M1787" s="376"/>
      <c r="N1787" s="376"/>
    </row>
    <row r="1788" spans="1:16" s="408" customFormat="1" ht="17.25">
      <c r="A1788" s="617"/>
      <c r="B1788" s="425"/>
      <c r="C1788" s="414"/>
      <c r="D1788" s="392"/>
      <c r="E1788" s="165"/>
      <c r="F1788" s="310"/>
      <c r="G1788" s="310"/>
      <c r="H1788" s="310"/>
      <c r="I1788" s="478"/>
      <c r="J1788" s="432">
        <f>SUM(J1627:J1787)</f>
        <v>0</v>
      </c>
      <c r="K1788" s="405"/>
      <c r="L1788" s="407"/>
      <c r="M1788" s="407"/>
      <c r="N1788" s="407"/>
    </row>
    <row r="1789" spans="1:16">
      <c r="A1789" s="316" t="s">
        <v>2155</v>
      </c>
      <c r="B1789" s="372" t="s">
        <v>2018</v>
      </c>
      <c r="C1789" s="38"/>
      <c r="D1789" s="38"/>
      <c r="E1789" s="650"/>
      <c r="F1789" s="650"/>
      <c r="G1789" s="650"/>
      <c r="H1789" s="650"/>
      <c r="I1789" s="11"/>
      <c r="J1789" s="24"/>
      <c r="K1789" s="14"/>
    </row>
    <row r="1790" spans="1:16" s="49" customFormat="1" collapsed="1">
      <c r="A1790" s="157"/>
      <c r="B1790" s="158" t="s">
        <v>85</v>
      </c>
      <c r="C1790" s="159" t="s">
        <v>1990</v>
      </c>
      <c r="D1790" s="646"/>
      <c r="E1790" s="647"/>
      <c r="F1790" s="648"/>
      <c r="G1790" s="648"/>
      <c r="H1790" s="648"/>
      <c r="I1790" s="30" t="s">
        <v>313</v>
      </c>
      <c r="J1790" s="227">
        <f>SUM(I1789:I1790)</f>
        <v>0</v>
      </c>
      <c r="K1790" s="43"/>
      <c r="L1790" s="233"/>
      <c r="M1790" s="233"/>
      <c r="N1790" s="233"/>
      <c r="O1790" s="233"/>
      <c r="P1790" s="233"/>
    </row>
    <row r="1791" spans="1:16" s="165" customFormat="1" ht="17.25">
      <c r="A1791" s="160"/>
      <c r="B1791" s="366"/>
      <c r="C1791" s="323"/>
      <c r="D1791" s="306"/>
      <c r="E1791" s="319"/>
      <c r="F1791" s="851"/>
      <c r="G1791" s="851"/>
      <c r="H1791" s="851"/>
      <c r="I1791" s="294" t="str">
        <f t="shared" ref="I1791" si="142">IF(D1791&lt;&gt;0,ROUND(PRODUCT(E1791:H1791)*D1791,2),"")</f>
        <v/>
      </c>
      <c r="J1791" s="162"/>
      <c r="K1791" s="163"/>
      <c r="L1791" s="164"/>
      <c r="M1791" s="164"/>
      <c r="N1791" s="164"/>
      <c r="O1791" s="164"/>
      <c r="P1791" s="164"/>
    </row>
    <row r="1792" spans="1:16" s="165" customFormat="1" ht="34.5">
      <c r="A1792" s="497" t="s">
        <v>457</v>
      </c>
      <c r="B1792" s="1035" t="s">
        <v>2130</v>
      </c>
      <c r="C1792" s="323"/>
      <c r="D1792" s="306"/>
      <c r="E1792" s="319"/>
      <c r="F1792" s="851"/>
      <c r="G1792" s="851"/>
      <c r="H1792" s="851"/>
      <c r="I1792" s="294" t="str">
        <f t="shared" ref="I1792:I1853" si="143">IF(D1792&lt;&gt;0,ROUND(PRODUCT(E1792:H1792)*D1792,2),"")</f>
        <v/>
      </c>
      <c r="J1792" s="162"/>
      <c r="K1792" s="163"/>
      <c r="L1792" s="164"/>
      <c r="M1792" s="164"/>
      <c r="N1792" s="164"/>
      <c r="O1792" s="164"/>
      <c r="P1792" s="164"/>
    </row>
    <row r="1793" spans="1:16" s="165" customFormat="1" ht="17.25">
      <c r="A1793" s="497"/>
      <c r="B1793" s="1035" t="s">
        <v>2115</v>
      </c>
      <c r="C1793" s="323" t="s">
        <v>1990</v>
      </c>
      <c r="D1793" s="306">
        <v>1</v>
      </c>
      <c r="E1793" s="319">
        <v>2</v>
      </c>
      <c r="F1793" s="851">
        <v>1.4550000000000001</v>
      </c>
      <c r="G1793" s="851"/>
      <c r="H1793" s="851"/>
      <c r="I1793" s="399">
        <f t="shared" ref="I1793:I1851" si="144">IF(D1793&lt;&gt;0,ROUND(PRODUCT(E1793:H1793)*D1793,2),"")</f>
        <v>2.91</v>
      </c>
      <c r="J1793" s="162"/>
      <c r="K1793" s="163"/>
      <c r="L1793" s="164"/>
      <c r="M1793" s="164"/>
      <c r="N1793" s="164"/>
      <c r="O1793" s="164"/>
      <c r="P1793" s="164"/>
    </row>
    <row r="1794" spans="1:16" s="165" customFormat="1" ht="17.25">
      <c r="A1794" s="497"/>
      <c r="B1794" s="1035"/>
      <c r="C1794" s="323"/>
      <c r="D1794" s="306"/>
      <c r="E1794" s="319"/>
      <c r="F1794" s="851"/>
      <c r="G1794" s="851"/>
      <c r="H1794" s="851"/>
      <c r="I1794" s="399" t="str">
        <f t="shared" si="144"/>
        <v/>
      </c>
      <c r="J1794" s="162"/>
      <c r="K1794" s="163"/>
      <c r="L1794" s="164"/>
      <c r="M1794" s="164"/>
      <c r="N1794" s="164"/>
      <c r="O1794" s="164"/>
      <c r="P1794" s="164"/>
    </row>
    <row r="1795" spans="1:16" s="165" customFormat="1" ht="17.25">
      <c r="A1795" s="497"/>
      <c r="B1795" s="1035" t="s">
        <v>2115</v>
      </c>
      <c r="C1795" s="323" t="s">
        <v>1990</v>
      </c>
      <c r="D1795" s="306">
        <v>1</v>
      </c>
      <c r="E1795" s="319">
        <v>2</v>
      </c>
      <c r="F1795" s="851">
        <v>4.4749999999999996</v>
      </c>
      <c r="G1795" s="851"/>
      <c r="H1795" s="851"/>
      <c r="I1795" s="399">
        <f t="shared" si="144"/>
        <v>8.9499999999999993</v>
      </c>
      <c r="J1795" s="162"/>
      <c r="K1795" s="163"/>
      <c r="L1795" s="164"/>
      <c r="M1795" s="164"/>
      <c r="N1795" s="164"/>
      <c r="O1795" s="164"/>
      <c r="P1795" s="164"/>
    </row>
    <row r="1796" spans="1:16" s="165" customFormat="1" ht="17.25">
      <c r="A1796" s="497"/>
      <c r="B1796" s="1035" t="s">
        <v>2116</v>
      </c>
      <c r="C1796" s="323" t="s">
        <v>1990</v>
      </c>
      <c r="D1796" s="306">
        <v>1</v>
      </c>
      <c r="E1796" s="319">
        <v>1</v>
      </c>
      <c r="F1796" s="851">
        <v>33.519753999999999</v>
      </c>
      <c r="G1796" s="851"/>
      <c r="H1796" s="851"/>
      <c r="I1796" s="399">
        <f t="shared" si="144"/>
        <v>33.520000000000003</v>
      </c>
      <c r="J1796" s="162"/>
      <c r="K1796" s="163"/>
      <c r="L1796" s="164"/>
      <c r="M1796" s="164"/>
      <c r="N1796" s="164"/>
      <c r="O1796" s="164"/>
      <c r="P1796" s="164"/>
    </row>
    <row r="1797" spans="1:16" s="165" customFormat="1" ht="17.25">
      <c r="A1797" s="497"/>
      <c r="B1797" s="1035"/>
      <c r="C1797" s="323"/>
      <c r="D1797" s="306"/>
      <c r="E1797" s="319"/>
      <c r="F1797" s="851"/>
      <c r="G1797" s="851"/>
      <c r="H1797" s="851"/>
      <c r="I1797" s="399" t="str">
        <f t="shared" si="144"/>
        <v/>
      </c>
      <c r="J1797" s="162"/>
      <c r="K1797" s="163"/>
      <c r="L1797" s="164"/>
      <c r="M1797" s="164"/>
      <c r="N1797" s="164"/>
      <c r="O1797" s="164"/>
      <c r="P1797" s="164"/>
    </row>
    <row r="1798" spans="1:16" s="165" customFormat="1" ht="34.5">
      <c r="A1798" s="497" t="s">
        <v>459</v>
      </c>
      <c r="B1798" s="1035" t="s">
        <v>2131</v>
      </c>
      <c r="C1798" s="323"/>
      <c r="D1798" s="306"/>
      <c r="E1798" s="319"/>
      <c r="F1798" s="851"/>
      <c r="G1798" s="851"/>
      <c r="H1798" s="851"/>
      <c r="I1798" s="399" t="str">
        <f t="shared" si="144"/>
        <v/>
      </c>
      <c r="J1798" s="162"/>
      <c r="K1798" s="163"/>
      <c r="L1798" s="164"/>
      <c r="M1798" s="164"/>
      <c r="N1798" s="164"/>
      <c r="O1798" s="164"/>
      <c r="P1798" s="164"/>
    </row>
    <row r="1799" spans="1:16" s="165" customFormat="1" ht="17.25">
      <c r="A1799" s="497"/>
      <c r="B1799" s="1035" t="s">
        <v>1513</v>
      </c>
      <c r="C1799" s="323" t="s">
        <v>1990</v>
      </c>
      <c r="D1799" s="306">
        <v>24</v>
      </c>
      <c r="E1799" s="319">
        <v>2</v>
      </c>
      <c r="F1799" s="851">
        <v>2</v>
      </c>
      <c r="G1799" s="851"/>
      <c r="H1799" s="851"/>
      <c r="I1799" s="399">
        <f t="shared" si="144"/>
        <v>96</v>
      </c>
      <c r="J1799" s="162"/>
      <c r="K1799" s="163"/>
      <c r="L1799" s="164"/>
      <c r="M1799" s="164"/>
      <c r="N1799" s="164"/>
      <c r="O1799" s="164"/>
      <c r="P1799" s="164"/>
    </row>
    <row r="1800" spans="1:16" s="165" customFormat="1" ht="17.25">
      <c r="A1800" s="497"/>
      <c r="B1800" s="1035"/>
      <c r="C1800" s="323" t="s">
        <v>1990</v>
      </c>
      <c r="D1800" s="306">
        <v>24</v>
      </c>
      <c r="E1800" s="319">
        <v>2</v>
      </c>
      <c r="F1800" s="851">
        <v>0.5</v>
      </c>
      <c r="G1800" s="851"/>
      <c r="H1800" s="851"/>
      <c r="I1800" s="399">
        <f t="shared" si="144"/>
        <v>24</v>
      </c>
      <c r="J1800" s="162"/>
      <c r="K1800" s="163"/>
      <c r="L1800" s="164"/>
      <c r="M1800" s="164"/>
      <c r="N1800" s="164"/>
      <c r="O1800" s="164"/>
      <c r="P1800" s="164"/>
    </row>
    <row r="1801" spans="1:16" s="165" customFormat="1" ht="17.25">
      <c r="A1801" s="497"/>
      <c r="B1801" s="1035" t="s">
        <v>2117</v>
      </c>
      <c r="C1801" s="323" t="s">
        <v>1990</v>
      </c>
      <c r="D1801" s="306">
        <v>24</v>
      </c>
      <c r="E1801" s="319">
        <v>2</v>
      </c>
      <c r="F1801" s="851">
        <v>0.36499999999999999</v>
      </c>
      <c r="G1801" s="851"/>
      <c r="H1801" s="851"/>
      <c r="I1801" s="399">
        <f t="shared" si="144"/>
        <v>17.52</v>
      </c>
      <c r="J1801" s="162"/>
      <c r="K1801" s="163"/>
      <c r="L1801" s="164"/>
      <c r="M1801" s="164"/>
      <c r="N1801" s="164"/>
      <c r="O1801" s="164"/>
      <c r="P1801" s="164"/>
    </row>
    <row r="1802" spans="1:16" s="165" customFormat="1" ht="17.25">
      <c r="A1802" s="497"/>
      <c r="B1802" s="1035"/>
      <c r="C1802" s="323"/>
      <c r="D1802" s="306"/>
      <c r="E1802" s="319"/>
      <c r="F1802" s="851"/>
      <c r="G1802" s="851"/>
      <c r="H1802" s="851"/>
      <c r="I1802" s="399" t="str">
        <f t="shared" si="144"/>
        <v/>
      </c>
      <c r="J1802" s="162"/>
      <c r="K1802" s="163"/>
      <c r="L1802" s="164"/>
      <c r="M1802" s="164"/>
      <c r="N1802" s="164"/>
      <c r="O1802" s="164"/>
      <c r="P1802" s="164"/>
    </row>
    <row r="1803" spans="1:16" s="165" customFormat="1" ht="17.25">
      <c r="A1803" s="497" t="s">
        <v>1511</v>
      </c>
      <c r="B1803" s="1035" t="s">
        <v>1516</v>
      </c>
      <c r="C1803" s="323"/>
      <c r="D1803" s="306"/>
      <c r="E1803" s="319"/>
      <c r="F1803" s="851"/>
      <c r="G1803" s="851"/>
      <c r="H1803" s="851"/>
      <c r="I1803" s="399" t="str">
        <f t="shared" si="144"/>
        <v/>
      </c>
      <c r="J1803" s="162"/>
      <c r="K1803" s="163"/>
      <c r="L1803" s="164"/>
      <c r="M1803" s="164"/>
      <c r="N1803" s="164"/>
      <c r="O1803" s="164"/>
      <c r="P1803" s="164"/>
    </row>
    <row r="1804" spans="1:16" s="165" customFormat="1" ht="34.5">
      <c r="A1804" s="497"/>
      <c r="B1804" s="1035" t="s">
        <v>1517</v>
      </c>
      <c r="C1804" s="323" t="s">
        <v>1990</v>
      </c>
      <c r="D1804" s="306">
        <v>7</v>
      </c>
      <c r="E1804" s="319">
        <v>1</v>
      </c>
      <c r="F1804" s="851">
        <v>3.14</v>
      </c>
      <c r="G1804" s="851"/>
      <c r="H1804" s="851"/>
      <c r="I1804" s="399">
        <f t="shared" si="144"/>
        <v>21.98</v>
      </c>
      <c r="J1804" s="162"/>
      <c r="K1804" s="163"/>
      <c r="L1804" s="164"/>
      <c r="M1804" s="164"/>
      <c r="N1804" s="164"/>
      <c r="O1804" s="164"/>
      <c r="P1804" s="164"/>
    </row>
    <row r="1805" spans="1:16" s="165" customFormat="1" ht="17.25">
      <c r="A1805" s="497"/>
      <c r="B1805" s="1035"/>
      <c r="C1805" s="323"/>
      <c r="D1805" s="306"/>
      <c r="E1805" s="319"/>
      <c r="F1805" s="851"/>
      <c r="G1805" s="851"/>
      <c r="H1805" s="851"/>
      <c r="I1805" s="399" t="str">
        <f t="shared" si="144"/>
        <v/>
      </c>
      <c r="J1805" s="162"/>
      <c r="K1805" s="163"/>
      <c r="L1805" s="164"/>
      <c r="M1805" s="164"/>
      <c r="N1805" s="164"/>
      <c r="O1805" s="164"/>
      <c r="P1805" s="164"/>
    </row>
    <row r="1806" spans="1:16" s="165" customFormat="1" ht="17.25">
      <c r="A1806" s="497" t="s">
        <v>1515</v>
      </c>
      <c r="B1806" s="1035" t="s">
        <v>1519</v>
      </c>
      <c r="C1806" s="323"/>
      <c r="D1806" s="306"/>
      <c r="E1806" s="319"/>
      <c r="F1806" s="851"/>
      <c r="G1806" s="851"/>
      <c r="H1806" s="851"/>
      <c r="I1806" s="399" t="str">
        <f t="shared" si="144"/>
        <v/>
      </c>
      <c r="J1806" s="162"/>
      <c r="K1806" s="163"/>
      <c r="L1806" s="164"/>
      <c r="M1806" s="164"/>
      <c r="N1806" s="164"/>
      <c r="O1806" s="164"/>
      <c r="P1806" s="164"/>
    </row>
    <row r="1807" spans="1:16" s="165" customFormat="1" ht="17.25">
      <c r="A1807" s="497"/>
      <c r="B1807" s="1035" t="s">
        <v>1520</v>
      </c>
      <c r="C1807" s="323"/>
      <c r="D1807" s="306"/>
      <c r="E1807" s="319"/>
      <c r="F1807" s="851"/>
      <c r="G1807" s="851"/>
      <c r="H1807" s="851"/>
      <c r="I1807" s="399" t="str">
        <f t="shared" si="144"/>
        <v/>
      </c>
      <c r="J1807" s="162"/>
      <c r="K1807" s="163"/>
      <c r="L1807" s="164"/>
      <c r="M1807" s="164"/>
      <c r="N1807" s="164"/>
      <c r="O1807" s="164"/>
      <c r="P1807" s="164"/>
    </row>
    <row r="1808" spans="1:16" s="165" customFormat="1" ht="17.25">
      <c r="A1808" s="497"/>
      <c r="B1808" s="1035" t="s">
        <v>2118</v>
      </c>
      <c r="C1808" s="323" t="s">
        <v>1990</v>
      </c>
      <c r="D1808" s="306">
        <v>1</v>
      </c>
      <c r="E1808" s="319">
        <v>1</v>
      </c>
      <c r="F1808" s="851">
        <v>9.4250000000000007</v>
      </c>
      <c r="G1808" s="851"/>
      <c r="H1808" s="851"/>
      <c r="I1808" s="399">
        <f t="shared" si="144"/>
        <v>9.43</v>
      </c>
      <c r="J1808" s="162"/>
      <c r="K1808" s="163"/>
      <c r="L1808" s="164"/>
      <c r="M1808" s="164"/>
      <c r="N1808" s="164"/>
      <c r="O1808" s="164"/>
      <c r="P1808" s="164"/>
    </row>
    <row r="1809" spans="1:16" s="165" customFormat="1" ht="17.25">
      <c r="A1809" s="497"/>
      <c r="B1809" s="1035" t="s">
        <v>1402</v>
      </c>
      <c r="C1809" s="323" t="s">
        <v>1990</v>
      </c>
      <c r="D1809" s="306">
        <v>1</v>
      </c>
      <c r="E1809" s="319">
        <v>1</v>
      </c>
      <c r="F1809" s="851">
        <v>7.8550000000000004</v>
      </c>
      <c r="G1809" s="851"/>
      <c r="H1809" s="851"/>
      <c r="I1809" s="399">
        <f t="shared" si="144"/>
        <v>7.86</v>
      </c>
      <c r="J1809" s="162"/>
      <c r="K1809" s="163"/>
      <c r="L1809" s="164"/>
      <c r="M1809" s="164"/>
      <c r="N1809" s="164"/>
      <c r="O1809" s="164"/>
      <c r="P1809" s="164"/>
    </row>
    <row r="1810" spans="1:16" s="165" customFormat="1" ht="17.25">
      <c r="A1810" s="497"/>
      <c r="B1810" s="1035" t="s">
        <v>1416</v>
      </c>
      <c r="C1810" s="323" t="s">
        <v>1990</v>
      </c>
      <c r="D1810" s="306">
        <v>1</v>
      </c>
      <c r="E1810" s="319">
        <v>2</v>
      </c>
      <c r="F1810" s="851">
        <v>0.5</v>
      </c>
      <c r="G1810" s="851"/>
      <c r="H1810" s="851"/>
      <c r="I1810" s="399">
        <f t="shared" si="144"/>
        <v>1</v>
      </c>
      <c r="J1810" s="162"/>
      <c r="K1810" s="163"/>
      <c r="L1810" s="164"/>
      <c r="M1810" s="164"/>
      <c r="N1810" s="164"/>
      <c r="O1810" s="164"/>
      <c r="P1810" s="164"/>
    </row>
    <row r="1811" spans="1:16" s="165" customFormat="1" ht="17.25">
      <c r="A1811" s="497"/>
      <c r="B1811" s="1035" t="s">
        <v>2119</v>
      </c>
      <c r="C1811" s="323" t="s">
        <v>1990</v>
      </c>
      <c r="D1811" s="306">
        <v>1</v>
      </c>
      <c r="E1811" s="319">
        <v>4</v>
      </c>
      <c r="F1811" s="851">
        <v>0.45</v>
      </c>
      <c r="G1811" s="851"/>
      <c r="H1811" s="851"/>
      <c r="I1811" s="399">
        <f t="shared" si="144"/>
        <v>1.8</v>
      </c>
      <c r="J1811" s="162"/>
      <c r="K1811" s="163"/>
      <c r="L1811" s="164"/>
      <c r="M1811" s="164"/>
      <c r="N1811" s="164"/>
      <c r="O1811" s="164"/>
      <c r="P1811" s="164"/>
    </row>
    <row r="1812" spans="1:16" s="165" customFormat="1" ht="17.25">
      <c r="A1812" s="497"/>
      <c r="B1812" s="1035"/>
      <c r="C1812" s="323"/>
      <c r="D1812" s="306"/>
      <c r="E1812" s="319"/>
      <c r="F1812" s="851"/>
      <c r="G1812" s="851"/>
      <c r="H1812" s="851"/>
      <c r="I1812" s="399" t="str">
        <f t="shared" si="144"/>
        <v/>
      </c>
      <c r="J1812" s="162"/>
      <c r="K1812" s="163"/>
      <c r="L1812" s="164"/>
      <c r="M1812" s="164"/>
      <c r="N1812" s="164"/>
      <c r="O1812" s="164"/>
      <c r="P1812" s="164"/>
    </row>
    <row r="1813" spans="1:16" s="165" customFormat="1" ht="17.25">
      <c r="A1813" s="497"/>
      <c r="B1813" s="1035" t="s">
        <v>1524</v>
      </c>
      <c r="C1813" s="323"/>
      <c r="D1813" s="306"/>
      <c r="E1813" s="319"/>
      <c r="F1813" s="851"/>
      <c r="G1813" s="851"/>
      <c r="H1813" s="851"/>
      <c r="I1813" s="399" t="str">
        <f t="shared" si="144"/>
        <v/>
      </c>
      <c r="J1813" s="162"/>
      <c r="K1813" s="163"/>
      <c r="L1813" s="164"/>
      <c r="M1813" s="164"/>
      <c r="N1813" s="164"/>
      <c r="O1813" s="164"/>
      <c r="P1813" s="164"/>
    </row>
    <row r="1814" spans="1:16" s="165" customFormat="1" ht="17.25">
      <c r="A1814" s="497"/>
      <c r="B1814" s="1035" t="s">
        <v>2118</v>
      </c>
      <c r="C1814" s="323" t="s">
        <v>1990</v>
      </c>
      <c r="D1814" s="306">
        <v>1</v>
      </c>
      <c r="E1814" s="319">
        <v>1</v>
      </c>
      <c r="F1814" s="851">
        <v>5.5</v>
      </c>
      <c r="G1814" s="851"/>
      <c r="H1814" s="851"/>
      <c r="I1814" s="399">
        <f t="shared" si="144"/>
        <v>5.5</v>
      </c>
      <c r="J1814" s="162"/>
      <c r="K1814" s="163"/>
      <c r="L1814" s="164"/>
      <c r="M1814" s="164"/>
      <c r="N1814" s="164"/>
      <c r="O1814" s="164"/>
      <c r="P1814" s="164"/>
    </row>
    <row r="1815" spans="1:16" s="165" customFormat="1" ht="17.25">
      <c r="A1815" s="497"/>
      <c r="B1815" s="1035" t="s">
        <v>1402</v>
      </c>
      <c r="C1815" s="323" t="s">
        <v>1990</v>
      </c>
      <c r="D1815" s="306">
        <v>1</v>
      </c>
      <c r="E1815" s="319">
        <v>1</v>
      </c>
      <c r="F1815" s="851">
        <v>4.4800000000000004</v>
      </c>
      <c r="G1815" s="851"/>
      <c r="H1815" s="851"/>
      <c r="I1815" s="399">
        <f t="shared" si="144"/>
        <v>4.4800000000000004</v>
      </c>
      <c r="J1815" s="162"/>
      <c r="K1815" s="163"/>
      <c r="L1815" s="164"/>
      <c r="M1815" s="164"/>
      <c r="N1815" s="164"/>
      <c r="O1815" s="164"/>
      <c r="P1815" s="164"/>
    </row>
    <row r="1816" spans="1:16" s="165" customFormat="1" ht="17.25">
      <c r="A1816" s="497"/>
      <c r="B1816" s="1035" t="s">
        <v>1416</v>
      </c>
      <c r="C1816" s="323" t="s">
        <v>1990</v>
      </c>
      <c r="D1816" s="306">
        <v>1</v>
      </c>
      <c r="E1816" s="319">
        <v>2</v>
      </c>
      <c r="F1816" s="851">
        <v>0.5</v>
      </c>
      <c r="G1816" s="851"/>
      <c r="H1816" s="851"/>
      <c r="I1816" s="399">
        <f t="shared" si="144"/>
        <v>1</v>
      </c>
      <c r="J1816" s="162"/>
      <c r="K1816" s="163"/>
      <c r="L1816" s="164"/>
      <c r="M1816" s="164"/>
      <c r="N1816" s="164"/>
      <c r="O1816" s="164"/>
      <c r="P1816" s="164"/>
    </row>
    <row r="1817" spans="1:16" s="165" customFormat="1" ht="17.25">
      <c r="A1817" s="497"/>
      <c r="B1817" s="1035" t="s">
        <v>2119</v>
      </c>
      <c r="C1817" s="323" t="s">
        <v>1990</v>
      </c>
      <c r="D1817" s="306">
        <v>1</v>
      </c>
      <c r="E1817" s="319">
        <v>4</v>
      </c>
      <c r="F1817" s="851">
        <v>0.45</v>
      </c>
      <c r="G1817" s="851"/>
      <c r="H1817" s="851"/>
      <c r="I1817" s="399">
        <f t="shared" si="144"/>
        <v>1.8</v>
      </c>
      <c r="J1817" s="162"/>
      <c r="K1817" s="163"/>
      <c r="L1817" s="164"/>
      <c r="M1817" s="164"/>
      <c r="N1817" s="164"/>
      <c r="O1817" s="164"/>
      <c r="P1817" s="164"/>
    </row>
    <row r="1818" spans="1:16" s="165" customFormat="1" ht="17.25">
      <c r="A1818" s="497"/>
      <c r="B1818" s="1035" t="s">
        <v>1525</v>
      </c>
      <c r="C1818" s="323"/>
      <c r="D1818" s="306"/>
      <c r="E1818" s="319"/>
      <c r="F1818" s="851"/>
      <c r="G1818" s="851"/>
      <c r="H1818" s="851"/>
      <c r="I1818" s="399" t="str">
        <f t="shared" si="144"/>
        <v/>
      </c>
      <c r="J1818" s="162"/>
      <c r="K1818" s="163"/>
      <c r="L1818" s="164"/>
      <c r="M1818" s="164"/>
      <c r="N1818" s="164"/>
      <c r="O1818" s="164"/>
      <c r="P1818" s="164"/>
    </row>
    <row r="1819" spans="1:16" s="165" customFormat="1" ht="17.25">
      <c r="A1819" s="497"/>
      <c r="B1819" s="1035" t="s">
        <v>2120</v>
      </c>
      <c r="C1819" s="323" t="s">
        <v>1990</v>
      </c>
      <c r="D1819" s="306">
        <v>1</v>
      </c>
      <c r="E1819" s="319">
        <v>1</v>
      </c>
      <c r="F1819" s="851">
        <v>2.63</v>
      </c>
      <c r="G1819" s="851"/>
      <c r="H1819" s="851"/>
      <c r="I1819" s="399">
        <f t="shared" si="144"/>
        <v>2.63</v>
      </c>
      <c r="J1819" s="162"/>
      <c r="K1819" s="163"/>
      <c r="L1819" s="164"/>
      <c r="M1819" s="164"/>
      <c r="N1819" s="164"/>
      <c r="O1819" s="164"/>
      <c r="P1819" s="164"/>
    </row>
    <row r="1820" spans="1:16" s="165" customFormat="1" ht="17.25">
      <c r="A1820" s="497"/>
      <c r="B1820" s="1035" t="s">
        <v>1402</v>
      </c>
      <c r="C1820" s="323" t="s">
        <v>1990</v>
      </c>
      <c r="D1820" s="306">
        <v>1</v>
      </c>
      <c r="E1820" s="319">
        <v>1</v>
      </c>
      <c r="F1820" s="851">
        <v>1.81</v>
      </c>
      <c r="G1820" s="851"/>
      <c r="H1820" s="851"/>
      <c r="I1820" s="399">
        <f t="shared" si="144"/>
        <v>1.81</v>
      </c>
      <c r="J1820" s="162"/>
      <c r="K1820" s="163"/>
      <c r="L1820" s="164"/>
      <c r="M1820" s="164"/>
      <c r="N1820" s="164"/>
      <c r="O1820" s="164"/>
      <c r="P1820" s="164"/>
    </row>
    <row r="1821" spans="1:16" s="165" customFormat="1" ht="17.25">
      <c r="A1821" s="497"/>
      <c r="B1821" s="1035" t="s">
        <v>1416</v>
      </c>
      <c r="C1821" s="323" t="s">
        <v>1990</v>
      </c>
      <c r="D1821" s="306">
        <v>1</v>
      </c>
      <c r="E1821" s="319">
        <v>2</v>
      </c>
      <c r="F1821" s="851">
        <v>0.5</v>
      </c>
      <c r="G1821" s="851"/>
      <c r="H1821" s="851"/>
      <c r="I1821" s="399">
        <f t="shared" si="144"/>
        <v>1</v>
      </c>
      <c r="J1821" s="162"/>
      <c r="K1821" s="163"/>
      <c r="L1821" s="164"/>
      <c r="M1821" s="164"/>
      <c r="N1821" s="164"/>
      <c r="O1821" s="164"/>
      <c r="P1821" s="164"/>
    </row>
    <row r="1822" spans="1:16" s="165" customFormat="1" ht="17.25">
      <c r="A1822" s="497"/>
      <c r="B1822" s="1035" t="s">
        <v>2119</v>
      </c>
      <c r="C1822" s="323" t="s">
        <v>1990</v>
      </c>
      <c r="D1822" s="306">
        <v>1</v>
      </c>
      <c r="E1822" s="319">
        <v>4</v>
      </c>
      <c r="F1822" s="851">
        <v>0.45</v>
      </c>
      <c r="G1822" s="851"/>
      <c r="H1822" s="851"/>
      <c r="I1822" s="399">
        <f t="shared" si="144"/>
        <v>1.8</v>
      </c>
      <c r="J1822" s="162"/>
      <c r="K1822" s="163"/>
      <c r="L1822" s="164"/>
      <c r="M1822" s="164"/>
      <c r="N1822" s="164"/>
      <c r="O1822" s="164"/>
      <c r="P1822" s="164"/>
    </row>
    <row r="1823" spans="1:16" s="165" customFormat="1" ht="17.25">
      <c r="A1823" s="497"/>
      <c r="B1823" s="1035" t="s">
        <v>1526</v>
      </c>
      <c r="C1823" s="323"/>
      <c r="D1823" s="306"/>
      <c r="E1823" s="319"/>
      <c r="F1823" s="851"/>
      <c r="G1823" s="851"/>
      <c r="H1823" s="851"/>
      <c r="I1823" s="399" t="str">
        <f t="shared" si="144"/>
        <v/>
      </c>
      <c r="J1823" s="162"/>
      <c r="K1823" s="163"/>
      <c r="L1823" s="164"/>
      <c r="M1823" s="164"/>
      <c r="N1823" s="164"/>
      <c r="O1823" s="164"/>
      <c r="P1823" s="164"/>
    </row>
    <row r="1824" spans="1:16" s="165" customFormat="1" ht="17.25">
      <c r="A1824" s="497"/>
      <c r="B1824" s="1035" t="s">
        <v>1521</v>
      </c>
      <c r="C1824" s="323" t="s">
        <v>1990</v>
      </c>
      <c r="D1824" s="306">
        <v>1</v>
      </c>
      <c r="E1824" s="319">
        <v>1</v>
      </c>
      <c r="F1824" s="851">
        <v>4.8099999999999996</v>
      </c>
      <c r="G1824" s="851"/>
      <c r="H1824" s="851"/>
      <c r="I1824" s="399">
        <f t="shared" si="144"/>
        <v>4.8099999999999996</v>
      </c>
      <c r="J1824" s="162"/>
      <c r="K1824" s="163"/>
      <c r="L1824" s="164"/>
      <c r="M1824" s="164"/>
      <c r="N1824" s="164"/>
      <c r="O1824" s="164"/>
      <c r="P1824" s="164"/>
    </row>
    <row r="1825" spans="1:16" s="165" customFormat="1" ht="17.25">
      <c r="A1825" s="497"/>
      <c r="B1825" s="1035" t="s">
        <v>1402</v>
      </c>
      <c r="C1825" s="323" t="s">
        <v>1990</v>
      </c>
      <c r="D1825" s="306">
        <v>1</v>
      </c>
      <c r="E1825" s="319">
        <v>1</v>
      </c>
      <c r="F1825" s="851">
        <v>3.605</v>
      </c>
      <c r="G1825" s="851"/>
      <c r="H1825" s="851"/>
      <c r="I1825" s="399">
        <f t="shared" si="144"/>
        <v>3.61</v>
      </c>
      <c r="J1825" s="162"/>
      <c r="K1825" s="163"/>
      <c r="L1825" s="164"/>
      <c r="M1825" s="164"/>
      <c r="N1825" s="164"/>
      <c r="O1825" s="164"/>
      <c r="P1825" s="164"/>
    </row>
    <row r="1826" spans="1:16" s="165" customFormat="1" ht="17.25">
      <c r="A1826" s="497"/>
      <c r="B1826" s="1035" t="s">
        <v>1416</v>
      </c>
      <c r="C1826" s="323" t="s">
        <v>1990</v>
      </c>
      <c r="D1826" s="306">
        <v>1</v>
      </c>
      <c r="E1826" s="319">
        <v>2</v>
      </c>
      <c r="F1826" s="851">
        <v>0.5</v>
      </c>
      <c r="G1826" s="851"/>
      <c r="H1826" s="851"/>
      <c r="I1826" s="399">
        <f t="shared" si="144"/>
        <v>1</v>
      </c>
      <c r="J1826" s="162"/>
      <c r="K1826" s="163"/>
      <c r="L1826" s="164"/>
      <c r="M1826" s="164"/>
      <c r="N1826" s="164"/>
      <c r="O1826" s="164"/>
      <c r="P1826" s="164"/>
    </row>
    <row r="1827" spans="1:16" s="165" customFormat="1" ht="17.25">
      <c r="A1827" s="497"/>
      <c r="B1827" s="1035" t="s">
        <v>2119</v>
      </c>
      <c r="C1827" s="323" t="s">
        <v>1990</v>
      </c>
      <c r="D1827" s="306">
        <v>1</v>
      </c>
      <c r="E1827" s="319">
        <v>4</v>
      </c>
      <c r="F1827" s="851">
        <v>0.45</v>
      </c>
      <c r="G1827" s="851"/>
      <c r="H1827" s="851"/>
      <c r="I1827" s="399">
        <f t="shared" si="144"/>
        <v>1.8</v>
      </c>
      <c r="J1827" s="162"/>
      <c r="K1827" s="163"/>
      <c r="L1827" s="164"/>
      <c r="M1827" s="164"/>
      <c r="N1827" s="164"/>
      <c r="O1827" s="164"/>
      <c r="P1827" s="164"/>
    </row>
    <row r="1828" spans="1:16" s="165" customFormat="1" ht="17.25">
      <c r="A1828" s="497"/>
      <c r="B1828" s="1035" t="s">
        <v>1527</v>
      </c>
      <c r="C1828" s="323"/>
      <c r="D1828" s="306"/>
      <c r="E1828" s="319"/>
      <c r="F1828" s="851"/>
      <c r="G1828" s="851"/>
      <c r="H1828" s="851"/>
      <c r="I1828" s="399" t="str">
        <f t="shared" si="144"/>
        <v/>
      </c>
      <c r="J1828" s="162"/>
      <c r="K1828" s="163"/>
      <c r="L1828" s="164"/>
      <c r="M1828" s="164"/>
      <c r="N1828" s="164"/>
      <c r="O1828" s="164"/>
      <c r="P1828" s="164"/>
    </row>
    <row r="1829" spans="1:16" s="165" customFormat="1" ht="17.25">
      <c r="A1829" s="497"/>
      <c r="B1829" s="1035" t="s">
        <v>1521</v>
      </c>
      <c r="C1829" s="323" t="s">
        <v>1990</v>
      </c>
      <c r="D1829" s="306">
        <v>1</v>
      </c>
      <c r="E1829" s="319">
        <v>1</v>
      </c>
      <c r="F1829" s="851">
        <v>5.5350000000000001</v>
      </c>
      <c r="G1829" s="851"/>
      <c r="H1829" s="851"/>
      <c r="I1829" s="399">
        <f t="shared" si="144"/>
        <v>5.54</v>
      </c>
      <c r="J1829" s="162"/>
      <c r="K1829" s="163"/>
      <c r="L1829" s="164"/>
      <c r="M1829" s="164"/>
      <c r="N1829" s="164"/>
      <c r="O1829" s="164"/>
      <c r="P1829" s="164"/>
    </row>
    <row r="1830" spans="1:16" s="165" customFormat="1" ht="17.25">
      <c r="A1830" s="497"/>
      <c r="B1830" s="1035" t="s">
        <v>1402</v>
      </c>
      <c r="C1830" s="323" t="s">
        <v>1990</v>
      </c>
      <c r="D1830" s="306">
        <v>1</v>
      </c>
      <c r="E1830" s="319">
        <v>1</v>
      </c>
      <c r="F1830" s="851">
        <v>4.45</v>
      </c>
      <c r="G1830" s="851"/>
      <c r="H1830" s="851"/>
      <c r="I1830" s="399">
        <f t="shared" si="144"/>
        <v>4.45</v>
      </c>
      <c r="J1830" s="162"/>
      <c r="K1830" s="163"/>
      <c r="L1830" s="164"/>
      <c r="M1830" s="164"/>
      <c r="N1830" s="164"/>
      <c r="O1830" s="164"/>
      <c r="P1830" s="164"/>
    </row>
    <row r="1831" spans="1:16" s="165" customFormat="1" ht="17.25">
      <c r="A1831" s="497"/>
      <c r="B1831" s="1035" t="s">
        <v>1416</v>
      </c>
      <c r="C1831" s="323" t="s">
        <v>1990</v>
      </c>
      <c r="D1831" s="306">
        <v>1</v>
      </c>
      <c r="E1831" s="319">
        <v>2</v>
      </c>
      <c r="F1831" s="851">
        <v>0.5</v>
      </c>
      <c r="G1831" s="851"/>
      <c r="H1831" s="851"/>
      <c r="I1831" s="399">
        <f t="shared" si="144"/>
        <v>1</v>
      </c>
      <c r="J1831" s="162"/>
      <c r="K1831" s="163"/>
      <c r="L1831" s="164"/>
      <c r="M1831" s="164"/>
      <c r="N1831" s="164"/>
      <c r="O1831" s="164"/>
      <c r="P1831" s="164"/>
    </row>
    <row r="1832" spans="1:16" s="165" customFormat="1" ht="17.25">
      <c r="A1832" s="497"/>
      <c r="B1832" s="1035" t="s">
        <v>2119</v>
      </c>
      <c r="C1832" s="323" t="s">
        <v>1990</v>
      </c>
      <c r="D1832" s="306">
        <v>1</v>
      </c>
      <c r="E1832" s="319">
        <v>4</v>
      </c>
      <c r="F1832" s="851">
        <v>0.45</v>
      </c>
      <c r="G1832" s="851"/>
      <c r="H1832" s="851"/>
      <c r="I1832" s="399">
        <f t="shared" si="144"/>
        <v>1.8</v>
      </c>
      <c r="J1832" s="162"/>
      <c r="K1832" s="163"/>
      <c r="L1832" s="164"/>
      <c r="M1832" s="164"/>
      <c r="N1832" s="164"/>
      <c r="O1832" s="164"/>
      <c r="P1832" s="164"/>
    </row>
    <row r="1833" spans="1:16" s="165" customFormat="1" ht="17.25">
      <c r="A1833" s="497"/>
      <c r="B1833" s="1035" t="s">
        <v>1528</v>
      </c>
      <c r="C1833" s="323"/>
      <c r="D1833" s="306"/>
      <c r="E1833" s="319"/>
      <c r="F1833" s="851"/>
      <c r="G1833" s="851"/>
      <c r="H1833" s="851"/>
      <c r="I1833" s="399" t="str">
        <f t="shared" si="144"/>
        <v/>
      </c>
      <c r="J1833" s="162"/>
      <c r="K1833" s="163"/>
      <c r="L1833" s="164"/>
      <c r="M1833" s="164"/>
      <c r="N1833" s="164"/>
      <c r="O1833" s="164"/>
      <c r="P1833" s="164"/>
    </row>
    <row r="1834" spans="1:16" s="165" customFormat="1" ht="17.25">
      <c r="A1834" s="497"/>
      <c r="B1834" s="1035" t="s">
        <v>1521</v>
      </c>
      <c r="C1834" s="323" t="s">
        <v>1990</v>
      </c>
      <c r="D1834" s="306">
        <v>1</v>
      </c>
      <c r="E1834" s="319">
        <v>1</v>
      </c>
      <c r="F1834" s="851">
        <v>3.2549999999999999</v>
      </c>
      <c r="G1834" s="851"/>
      <c r="H1834" s="851"/>
      <c r="I1834" s="399">
        <f t="shared" si="144"/>
        <v>3.26</v>
      </c>
      <c r="J1834" s="162"/>
      <c r="K1834" s="163"/>
      <c r="L1834" s="164"/>
      <c r="M1834" s="164"/>
      <c r="N1834" s="164"/>
      <c r="O1834" s="164"/>
      <c r="P1834" s="164"/>
    </row>
    <row r="1835" spans="1:16" s="165" customFormat="1" ht="17.25">
      <c r="A1835" s="497"/>
      <c r="B1835" s="1035" t="s">
        <v>1402</v>
      </c>
      <c r="C1835" s="323" t="s">
        <v>1990</v>
      </c>
      <c r="D1835" s="306">
        <v>1</v>
      </c>
      <c r="E1835" s="319">
        <v>1</v>
      </c>
      <c r="F1835" s="851">
        <v>2.6349999999999998</v>
      </c>
      <c r="G1835" s="851"/>
      <c r="H1835" s="851"/>
      <c r="I1835" s="399">
        <f t="shared" si="144"/>
        <v>2.64</v>
      </c>
      <c r="J1835" s="162"/>
      <c r="K1835" s="163"/>
      <c r="L1835" s="164"/>
      <c r="M1835" s="164"/>
      <c r="N1835" s="164"/>
      <c r="O1835" s="164"/>
      <c r="P1835" s="164"/>
    </row>
    <row r="1836" spans="1:16" s="165" customFormat="1" ht="17.25">
      <c r="A1836" s="497"/>
      <c r="B1836" s="1035" t="s">
        <v>1416</v>
      </c>
      <c r="C1836" s="323" t="s">
        <v>1990</v>
      </c>
      <c r="D1836" s="306">
        <v>1</v>
      </c>
      <c r="E1836" s="319">
        <v>2</v>
      </c>
      <c r="F1836" s="851">
        <v>0.5</v>
      </c>
      <c r="G1836" s="851"/>
      <c r="H1836" s="851"/>
      <c r="I1836" s="399">
        <f t="shared" si="144"/>
        <v>1</v>
      </c>
      <c r="J1836" s="162"/>
      <c r="K1836" s="163"/>
      <c r="L1836" s="164"/>
      <c r="M1836" s="164"/>
      <c r="N1836" s="164"/>
      <c r="O1836" s="164"/>
      <c r="P1836" s="164"/>
    </row>
    <row r="1837" spans="1:16" s="165" customFormat="1" ht="17.25">
      <c r="A1837" s="497"/>
      <c r="B1837" s="1035" t="s">
        <v>2119</v>
      </c>
      <c r="C1837" s="323" t="s">
        <v>1990</v>
      </c>
      <c r="D1837" s="306">
        <v>1</v>
      </c>
      <c r="E1837" s="319">
        <v>4</v>
      </c>
      <c r="F1837" s="851">
        <v>0.45</v>
      </c>
      <c r="G1837" s="851"/>
      <c r="H1837" s="851"/>
      <c r="I1837" s="399">
        <f t="shared" si="144"/>
        <v>1.8</v>
      </c>
      <c r="J1837" s="162"/>
      <c r="K1837" s="163"/>
      <c r="L1837" s="164"/>
      <c r="M1837" s="164"/>
      <c r="N1837" s="164"/>
      <c r="O1837" s="164"/>
      <c r="P1837" s="164"/>
    </row>
    <row r="1838" spans="1:16" s="165" customFormat="1" ht="17.25">
      <c r="A1838" s="497"/>
      <c r="B1838" s="1035" t="s">
        <v>1529</v>
      </c>
      <c r="C1838" s="323"/>
      <c r="D1838" s="306"/>
      <c r="E1838" s="319"/>
      <c r="F1838" s="851"/>
      <c r="G1838" s="851"/>
      <c r="H1838" s="851"/>
      <c r="I1838" s="399" t="str">
        <f t="shared" si="144"/>
        <v/>
      </c>
      <c r="J1838" s="162"/>
      <c r="K1838" s="163"/>
      <c r="L1838" s="164"/>
      <c r="M1838" s="164"/>
      <c r="N1838" s="164"/>
      <c r="O1838" s="164"/>
      <c r="P1838" s="164"/>
    </row>
    <row r="1839" spans="1:16" s="165" customFormat="1" ht="17.25">
      <c r="A1839" s="497"/>
      <c r="B1839" s="1035" t="s">
        <v>1521</v>
      </c>
      <c r="C1839" s="323" t="s">
        <v>1990</v>
      </c>
      <c r="D1839" s="306">
        <v>1</v>
      </c>
      <c r="E1839" s="319">
        <v>1</v>
      </c>
      <c r="F1839" s="851">
        <v>3.27</v>
      </c>
      <c r="G1839" s="851"/>
      <c r="H1839" s="851"/>
      <c r="I1839" s="399">
        <f t="shared" si="144"/>
        <v>3.27</v>
      </c>
      <c r="J1839" s="162"/>
      <c r="K1839" s="163"/>
      <c r="L1839" s="164"/>
      <c r="M1839" s="164"/>
      <c r="N1839" s="164"/>
      <c r="O1839" s="164"/>
      <c r="P1839" s="164"/>
    </row>
    <row r="1840" spans="1:16" s="165" customFormat="1" ht="17.25">
      <c r="A1840" s="497"/>
      <c r="B1840" s="1035" t="s">
        <v>1402</v>
      </c>
      <c r="C1840" s="323" t="s">
        <v>1990</v>
      </c>
      <c r="D1840" s="306">
        <v>1</v>
      </c>
      <c r="E1840" s="319">
        <v>1</v>
      </c>
      <c r="F1840" s="851">
        <v>2.6150000000000002</v>
      </c>
      <c r="G1840" s="851"/>
      <c r="H1840" s="851"/>
      <c r="I1840" s="399">
        <f t="shared" si="144"/>
        <v>2.62</v>
      </c>
      <c r="J1840" s="162"/>
      <c r="K1840" s="163"/>
      <c r="L1840" s="164"/>
      <c r="M1840" s="164"/>
      <c r="N1840" s="164"/>
      <c r="O1840" s="164"/>
      <c r="P1840" s="164"/>
    </row>
    <row r="1841" spans="1:16" s="165" customFormat="1" ht="17.25">
      <c r="A1841" s="497"/>
      <c r="B1841" s="1035" t="s">
        <v>1416</v>
      </c>
      <c r="C1841" s="323" t="s">
        <v>1990</v>
      </c>
      <c r="D1841" s="306">
        <v>1</v>
      </c>
      <c r="E1841" s="319">
        <v>2</v>
      </c>
      <c r="F1841" s="851">
        <v>0.5</v>
      </c>
      <c r="G1841" s="851"/>
      <c r="H1841" s="851"/>
      <c r="I1841" s="399">
        <f t="shared" si="144"/>
        <v>1</v>
      </c>
      <c r="J1841" s="162"/>
      <c r="K1841" s="163"/>
      <c r="L1841" s="164"/>
      <c r="M1841" s="164"/>
      <c r="N1841" s="164"/>
      <c r="O1841" s="164"/>
      <c r="P1841" s="164"/>
    </row>
    <row r="1842" spans="1:16" s="165" customFormat="1" ht="17.25">
      <c r="A1842" s="497"/>
      <c r="B1842" s="1035" t="s">
        <v>2119</v>
      </c>
      <c r="C1842" s="323" t="s">
        <v>1990</v>
      </c>
      <c r="D1842" s="306">
        <v>1</v>
      </c>
      <c r="E1842" s="319">
        <v>4</v>
      </c>
      <c r="F1842" s="851">
        <v>0.45</v>
      </c>
      <c r="G1842" s="851"/>
      <c r="H1842" s="851"/>
      <c r="I1842" s="399">
        <f t="shared" si="144"/>
        <v>1.8</v>
      </c>
      <c r="J1842" s="162"/>
      <c r="K1842" s="163"/>
      <c r="L1842" s="164"/>
      <c r="M1842" s="164"/>
      <c r="N1842" s="164"/>
      <c r="O1842" s="164"/>
      <c r="P1842" s="164"/>
    </row>
    <row r="1843" spans="1:16" s="165" customFormat="1" ht="51.75">
      <c r="A1843" s="497" t="s">
        <v>1518</v>
      </c>
      <c r="B1843" s="1035" t="s">
        <v>1531</v>
      </c>
      <c r="C1843" s="323"/>
      <c r="D1843" s="306"/>
      <c r="E1843" s="319"/>
      <c r="F1843" s="851"/>
      <c r="G1843" s="851"/>
      <c r="H1843" s="851"/>
      <c r="I1843" s="399" t="str">
        <f t="shared" si="144"/>
        <v/>
      </c>
      <c r="J1843" s="162"/>
      <c r="K1843" s="163"/>
      <c r="L1843" s="164"/>
      <c r="M1843" s="164"/>
      <c r="N1843" s="164"/>
      <c r="O1843" s="164"/>
      <c r="P1843" s="164"/>
    </row>
    <row r="1844" spans="1:16" s="165" customFormat="1" ht="17.25">
      <c r="A1844" s="497"/>
      <c r="B1844" s="1035" t="s">
        <v>2121</v>
      </c>
      <c r="C1844" s="323" t="s">
        <v>1990</v>
      </c>
      <c r="D1844" s="306">
        <v>1</v>
      </c>
      <c r="E1844" s="319">
        <v>1</v>
      </c>
      <c r="F1844" s="851">
        <v>25.434000000000001</v>
      </c>
      <c r="G1844" s="851"/>
      <c r="H1844" s="851"/>
      <c r="I1844" s="399">
        <f t="shared" si="144"/>
        <v>25.43</v>
      </c>
      <c r="J1844" s="162"/>
      <c r="K1844" s="163"/>
      <c r="L1844" s="164"/>
      <c r="M1844" s="164"/>
      <c r="N1844" s="164"/>
      <c r="O1844" s="164"/>
      <c r="P1844" s="164"/>
    </row>
    <row r="1845" spans="1:16" s="165" customFormat="1" ht="17.25">
      <c r="A1845" s="497"/>
      <c r="B1845" s="1035" t="s">
        <v>2122</v>
      </c>
      <c r="C1845" s="323" t="s">
        <v>1990</v>
      </c>
      <c r="D1845" s="306">
        <v>1</v>
      </c>
      <c r="E1845" s="319">
        <v>1</v>
      </c>
      <c r="F1845" s="851">
        <v>21.98</v>
      </c>
      <c r="G1845" s="851"/>
      <c r="H1845" s="851"/>
      <c r="I1845" s="399">
        <f t="shared" si="144"/>
        <v>21.98</v>
      </c>
      <c r="J1845" s="162"/>
      <c r="K1845" s="163"/>
      <c r="L1845" s="164"/>
      <c r="M1845" s="164"/>
      <c r="N1845" s="164"/>
      <c r="O1845" s="164"/>
      <c r="P1845" s="164"/>
    </row>
    <row r="1846" spans="1:16" s="165" customFormat="1" ht="17.25">
      <c r="A1846" s="497"/>
      <c r="B1846" s="1035"/>
      <c r="C1846" s="323"/>
      <c r="D1846" s="306"/>
      <c r="E1846" s="319"/>
      <c r="F1846" s="851"/>
      <c r="G1846" s="851"/>
      <c r="H1846" s="851"/>
      <c r="I1846" s="399" t="str">
        <f t="shared" si="144"/>
        <v/>
      </c>
      <c r="J1846" s="162"/>
      <c r="K1846" s="163"/>
      <c r="L1846" s="164"/>
      <c r="M1846" s="164"/>
      <c r="N1846" s="164"/>
      <c r="O1846" s="164"/>
      <c r="P1846" s="164"/>
    </row>
    <row r="1847" spans="1:16" s="165" customFormat="1" ht="17.25">
      <c r="A1847" s="497" t="s">
        <v>1530</v>
      </c>
      <c r="B1847" s="1035" t="s">
        <v>2123</v>
      </c>
      <c r="C1847" s="323" t="s">
        <v>1990</v>
      </c>
      <c r="D1847" s="306">
        <v>1</v>
      </c>
      <c r="E1847" s="319">
        <v>1</v>
      </c>
      <c r="F1847" s="851">
        <v>67.365956999999995</v>
      </c>
      <c r="G1847" s="851"/>
      <c r="H1847" s="851"/>
      <c r="I1847" s="399">
        <f t="shared" si="144"/>
        <v>67.37</v>
      </c>
      <c r="J1847" s="162"/>
      <c r="K1847" s="163"/>
      <c r="L1847" s="164"/>
      <c r="M1847" s="164"/>
      <c r="N1847" s="164"/>
      <c r="O1847" s="164"/>
      <c r="P1847" s="164"/>
    </row>
    <row r="1848" spans="1:16" s="165" customFormat="1" ht="17.25">
      <c r="A1848" s="497"/>
      <c r="B1848" s="1035" t="s">
        <v>2124</v>
      </c>
      <c r="C1848" s="323" t="s">
        <v>1990</v>
      </c>
      <c r="D1848" s="306">
        <v>1</v>
      </c>
      <c r="E1848" s="319">
        <v>2</v>
      </c>
      <c r="F1848" s="851">
        <v>1.37</v>
      </c>
      <c r="G1848" s="851"/>
      <c r="H1848" s="851"/>
      <c r="I1848" s="399">
        <f t="shared" si="144"/>
        <v>2.74</v>
      </c>
      <c r="J1848" s="162"/>
      <c r="K1848" s="163"/>
      <c r="L1848" s="164"/>
      <c r="M1848" s="164"/>
      <c r="N1848" s="164"/>
      <c r="O1848" s="164"/>
      <c r="P1848" s="164"/>
    </row>
    <row r="1849" spans="1:16" s="165" customFormat="1" ht="17.25">
      <c r="A1849" s="497"/>
      <c r="B1849" s="1035"/>
      <c r="C1849" s="323" t="s">
        <v>1990</v>
      </c>
      <c r="D1849" s="306">
        <v>1</v>
      </c>
      <c r="E1849" s="319">
        <v>2</v>
      </c>
      <c r="F1849" s="851">
        <v>1.2</v>
      </c>
      <c r="G1849" s="851"/>
      <c r="H1849" s="851"/>
      <c r="I1849" s="399">
        <f t="shared" si="144"/>
        <v>2.4</v>
      </c>
      <c r="J1849" s="162"/>
      <c r="K1849" s="163"/>
      <c r="L1849" s="164"/>
      <c r="M1849" s="164"/>
      <c r="N1849" s="164"/>
      <c r="O1849" s="164"/>
      <c r="P1849" s="164"/>
    </row>
    <row r="1850" spans="1:16" s="165" customFormat="1" ht="17.25">
      <c r="A1850" s="497"/>
      <c r="B1850" s="1035"/>
      <c r="C1850" s="323" t="s">
        <v>1990</v>
      </c>
      <c r="D1850" s="306">
        <v>1</v>
      </c>
      <c r="E1850" s="319">
        <v>2</v>
      </c>
      <c r="F1850" s="851">
        <v>1.355</v>
      </c>
      <c r="G1850" s="851"/>
      <c r="H1850" s="851"/>
      <c r="I1850" s="399">
        <f t="shared" si="144"/>
        <v>2.71</v>
      </c>
      <c r="J1850" s="162"/>
      <c r="K1850" s="163"/>
      <c r="L1850" s="164"/>
      <c r="M1850" s="164"/>
      <c r="N1850" s="164"/>
      <c r="O1850" s="164"/>
      <c r="P1850" s="164"/>
    </row>
    <row r="1851" spans="1:16" s="165" customFormat="1" ht="17.25">
      <c r="A1851" s="497"/>
      <c r="B1851" s="1035"/>
      <c r="C1851" s="323" t="s">
        <v>1990</v>
      </c>
      <c r="D1851" s="306">
        <v>1</v>
      </c>
      <c r="E1851" s="319">
        <v>2</v>
      </c>
      <c r="F1851" s="851">
        <v>1.45</v>
      </c>
      <c r="G1851" s="851"/>
      <c r="H1851" s="851"/>
      <c r="I1851" s="399">
        <f t="shared" si="144"/>
        <v>2.9</v>
      </c>
      <c r="J1851" s="162"/>
      <c r="K1851" s="163"/>
      <c r="L1851" s="164"/>
      <c r="M1851" s="164"/>
      <c r="N1851" s="164"/>
      <c r="O1851" s="164"/>
      <c r="P1851" s="164"/>
    </row>
    <row r="1852" spans="1:16" s="1078" customFormat="1" ht="17.25">
      <c r="A1852" s="1066"/>
      <c r="B1852" s="1071" t="s">
        <v>2135</v>
      </c>
      <c r="C1852" s="1072" t="s">
        <v>1</v>
      </c>
      <c r="D1852" s="1073">
        <v>-1</v>
      </c>
      <c r="E1852" s="1066"/>
      <c r="F1852" s="1067">
        <f>SUM(I1793:I1851)</f>
        <v>411.92</v>
      </c>
      <c r="G1852" s="1067"/>
      <c r="H1852" s="1067"/>
      <c r="I1852" s="1074">
        <f t="shared" ref="I1852" si="145">IF(D1852&lt;&gt;0,ROUND(PRODUCT(E1852:H1852)*D1852,2),"")</f>
        <v>-411.92</v>
      </c>
      <c r="J1852" s="1075"/>
      <c r="K1852" s="1076"/>
      <c r="L1852" s="1077"/>
      <c r="M1852" s="1077"/>
      <c r="N1852" s="1077"/>
    </row>
    <row r="1853" spans="1:16" s="165" customFormat="1" ht="17.25">
      <c r="A1853" s="160"/>
      <c r="B1853" s="366"/>
      <c r="C1853" s="323"/>
      <c r="D1853" s="306"/>
      <c r="E1853" s="319"/>
      <c r="F1853" s="851"/>
      <c r="G1853" s="851"/>
      <c r="H1853" s="851"/>
      <c r="I1853" s="294" t="str">
        <f t="shared" si="143"/>
        <v/>
      </c>
      <c r="J1853" s="162"/>
      <c r="K1853" s="163"/>
      <c r="L1853" s="164"/>
      <c r="M1853" s="164"/>
      <c r="N1853" s="164"/>
      <c r="O1853" s="164"/>
      <c r="P1853" s="164"/>
    </row>
    <row r="1854" spans="1:16" s="15" customFormat="1" ht="17.25">
      <c r="A1854" s="155"/>
      <c r="B1854" s="33" t="s">
        <v>86</v>
      </c>
      <c r="C1854" s="23" t="s">
        <v>1990</v>
      </c>
      <c r="D1854" s="649"/>
      <c r="E1854" s="16"/>
      <c r="F1854" s="1"/>
      <c r="G1854" s="1"/>
      <c r="H1854" s="1"/>
      <c r="I1854" s="166" t="str">
        <f>IF(D1854&lt;&gt;0,ROUND(PRODUCT(E1854:H1854)*D1854,2),"")</f>
        <v/>
      </c>
      <c r="J1854" s="36">
        <f>SUM(I1791:I1854)</f>
        <v>0</v>
      </c>
      <c r="K1854" s="35" t="s">
        <v>1690</v>
      </c>
      <c r="L1854" s="156"/>
      <c r="M1854" s="156"/>
      <c r="N1854" s="156"/>
      <c r="O1854" s="156"/>
      <c r="P1854" s="156"/>
    </row>
    <row r="1855" spans="1:16" s="15" customFormat="1">
      <c r="A1855" s="155"/>
      <c r="B1855" s="22"/>
      <c r="C1855" s="9"/>
      <c r="D1855" s="29"/>
      <c r="E1855" s="16"/>
      <c r="F1855" s="1"/>
      <c r="G1855" s="1"/>
      <c r="H1855" s="1"/>
      <c r="I1855" s="46" t="str">
        <f>IF(D1855&lt;&gt;0,ROUND(PRODUCT(E1855:H1855)*D1855,2),"")</f>
        <v/>
      </c>
      <c r="J1855" s="31">
        <f>SUM(J1790:J1854)</f>
        <v>0</v>
      </c>
      <c r="K1855" s="27"/>
      <c r="L1855" s="156"/>
      <c r="M1855" s="156"/>
      <c r="N1855" s="156"/>
      <c r="O1855" s="156"/>
      <c r="P1855" s="156"/>
    </row>
    <row r="1856" spans="1:16" ht="18">
      <c r="A1856" s="321" t="s">
        <v>778</v>
      </c>
      <c r="E1856" s="16"/>
      <c r="F1856" s="1"/>
      <c r="G1856" s="1"/>
      <c r="H1856" s="1"/>
      <c r="I1856" s="46"/>
      <c r="J1856" s="30"/>
      <c r="K1856" s="17"/>
    </row>
    <row r="1857" spans="1:16">
      <c r="A1857" s="316">
        <v>6</v>
      </c>
      <c r="B1857" s="372" t="s">
        <v>317</v>
      </c>
      <c r="C1857" s="38"/>
      <c r="D1857" s="38"/>
      <c r="E1857" s="650"/>
      <c r="F1857" s="650"/>
      <c r="G1857" s="650"/>
      <c r="H1857" s="650"/>
      <c r="I1857" s="11"/>
      <c r="J1857" s="24"/>
      <c r="K1857" s="14"/>
    </row>
    <row r="1858" spans="1:16" s="165" customFormat="1" ht="17.25" outlineLevel="1">
      <c r="A1858" s="160"/>
      <c r="B1858" s="295" t="s">
        <v>774</v>
      </c>
      <c r="C1858" s="322"/>
      <c r="D1858" s="323"/>
      <c r="E1858" s="298"/>
      <c r="F1858" s="298" t="s">
        <v>624</v>
      </c>
      <c r="G1858" s="298"/>
      <c r="H1858" s="298"/>
      <c r="I1858" s="294" t="str">
        <f t="shared" ref="I1858:I1881" si="146">IF(D1858&lt;&gt;0,ROUND(PRODUCT(E1858:H1858)*D1858,2),"")</f>
        <v/>
      </c>
      <c r="J1858" s="162"/>
      <c r="K1858" s="163"/>
      <c r="L1858" s="164"/>
      <c r="M1858" s="164"/>
      <c r="N1858" s="164"/>
      <c r="O1858" s="164"/>
      <c r="P1858" s="164"/>
    </row>
    <row r="1859" spans="1:16" s="165" customFormat="1" ht="17.25" outlineLevel="1">
      <c r="A1859" s="160"/>
      <c r="B1859" s="297" t="s">
        <v>732</v>
      </c>
      <c r="C1859" s="322" t="s">
        <v>2</v>
      </c>
      <c r="D1859" s="323">
        <v>1</v>
      </c>
      <c r="E1859" s="298">
        <v>1</v>
      </c>
      <c r="F1859" s="329">
        <v>136.65</v>
      </c>
      <c r="G1859" s="298"/>
      <c r="H1859" s="298">
        <v>0.15</v>
      </c>
      <c r="I1859" s="399">
        <f t="shared" si="146"/>
        <v>20.5</v>
      </c>
      <c r="J1859" s="162"/>
      <c r="K1859" s="163"/>
      <c r="L1859" s="164"/>
      <c r="M1859" s="164"/>
      <c r="N1859" s="164"/>
      <c r="O1859" s="164"/>
      <c r="P1859" s="164"/>
    </row>
    <row r="1860" spans="1:16" s="345" customFormat="1" ht="17.25" outlineLevel="1">
      <c r="A1860" s="353"/>
      <c r="B1860" s="348" t="s">
        <v>775</v>
      </c>
      <c r="C1860" s="362" t="s">
        <v>2</v>
      </c>
      <c r="D1860" s="363">
        <f>-1*0</f>
        <v>0</v>
      </c>
      <c r="E1860" s="337">
        <v>1</v>
      </c>
      <c r="F1860" s="337">
        <f>67.363*0.46</f>
        <v>30.986980000000003</v>
      </c>
      <c r="G1860" s="337"/>
      <c r="H1860" s="337">
        <v>0.15</v>
      </c>
      <c r="I1860" s="399" t="str">
        <f t="shared" si="146"/>
        <v/>
      </c>
      <c r="J1860" s="339"/>
      <c r="K1860" s="354"/>
      <c r="L1860" s="355"/>
      <c r="M1860" s="355"/>
      <c r="N1860" s="355"/>
      <c r="O1860" s="355"/>
      <c r="P1860" s="355"/>
    </row>
    <row r="1861" spans="1:16" s="165" customFormat="1" ht="17.25" outlineLevel="1">
      <c r="A1861" s="160"/>
      <c r="B1861" s="295"/>
      <c r="C1861" s="322" t="s">
        <v>2</v>
      </c>
      <c r="D1861" s="323"/>
      <c r="E1861" s="295"/>
      <c r="F1861" s="295"/>
      <c r="G1861" s="295"/>
      <c r="H1861" s="295"/>
      <c r="I1861" s="399" t="str">
        <f t="shared" si="146"/>
        <v/>
      </c>
      <c r="J1861" s="162"/>
      <c r="K1861" s="163"/>
      <c r="L1861" s="164"/>
      <c r="M1861" s="164"/>
      <c r="N1861" s="164"/>
      <c r="O1861" s="164"/>
      <c r="P1861" s="164"/>
    </row>
    <row r="1862" spans="1:16" s="165" customFormat="1" ht="69" outlineLevel="1">
      <c r="A1862" s="160"/>
      <c r="B1862" s="297" t="s">
        <v>776</v>
      </c>
      <c r="C1862" s="322" t="s">
        <v>2</v>
      </c>
      <c r="D1862" s="323"/>
      <c r="E1862" s="298"/>
      <c r="F1862" s="298" t="s">
        <v>624</v>
      </c>
      <c r="G1862" s="298"/>
      <c r="H1862" s="298"/>
      <c r="I1862" s="399" t="str">
        <f t="shared" si="146"/>
        <v/>
      </c>
      <c r="J1862" s="162"/>
      <c r="K1862" s="163"/>
      <c r="L1862" s="164"/>
      <c r="M1862" s="164"/>
      <c r="N1862" s="164"/>
      <c r="O1862" s="164"/>
      <c r="P1862" s="164"/>
    </row>
    <row r="1863" spans="1:16" s="165" customFormat="1" ht="17.25" outlineLevel="1">
      <c r="A1863" s="160"/>
      <c r="B1863" s="295" t="s">
        <v>777</v>
      </c>
      <c r="C1863" s="322" t="s">
        <v>2</v>
      </c>
      <c r="D1863" s="323">
        <v>1</v>
      </c>
      <c r="E1863" s="298">
        <v>1</v>
      </c>
      <c r="F1863" s="298">
        <f>3.14*4.5^2</f>
        <v>63.585000000000001</v>
      </c>
      <c r="G1863" s="298"/>
      <c r="H1863" s="298">
        <v>0.15</v>
      </c>
      <c r="I1863" s="399">
        <f t="shared" si="146"/>
        <v>9.5399999999999991</v>
      </c>
      <c r="J1863" s="162"/>
      <c r="K1863" s="163"/>
      <c r="L1863" s="164"/>
      <c r="M1863" s="164"/>
      <c r="N1863" s="164"/>
      <c r="O1863" s="164"/>
      <c r="P1863" s="164"/>
    </row>
    <row r="1864" spans="1:16" s="377" customFormat="1" ht="17.25" outlineLevel="1">
      <c r="A1864" s="555"/>
      <c r="B1864" s="531" t="s">
        <v>1172</v>
      </c>
      <c r="C1864" s="165"/>
      <c r="D1864" s="548"/>
      <c r="E1864" s="307"/>
      <c r="F1864" s="540"/>
      <c r="G1864" s="540"/>
      <c r="H1864" s="540"/>
      <c r="I1864" s="399" t="str">
        <f t="shared" si="146"/>
        <v/>
      </c>
      <c r="J1864" s="394"/>
      <c r="K1864" s="394"/>
      <c r="L1864" s="376"/>
      <c r="M1864" s="376"/>
      <c r="N1864" s="376"/>
      <c r="O1864" s="376"/>
      <c r="P1864" s="376"/>
    </row>
    <row r="1865" spans="1:16" s="377" customFormat="1" ht="17.25" outlineLevel="1">
      <c r="A1865" s="165"/>
      <c r="B1865" s="165" t="s">
        <v>1173</v>
      </c>
      <c r="C1865" s="165"/>
      <c r="D1865" s="548"/>
      <c r="E1865" s="307"/>
      <c r="F1865" s="540"/>
      <c r="G1865" s="540"/>
      <c r="H1865" s="540"/>
      <c r="I1865" s="399" t="str">
        <f t="shared" si="146"/>
        <v/>
      </c>
      <c r="J1865" s="394"/>
      <c r="K1865" s="394"/>
      <c r="L1865" s="376"/>
      <c r="M1865" s="376"/>
      <c r="N1865" s="376"/>
      <c r="O1865" s="376"/>
      <c r="P1865" s="376"/>
    </row>
    <row r="1866" spans="1:16" s="377" customFormat="1" ht="17.25" outlineLevel="1">
      <c r="A1866" s="414"/>
      <c r="B1866" s="425"/>
      <c r="C1866" s="165"/>
      <c r="D1866" s="548"/>
      <c r="E1866" s="307"/>
      <c r="F1866" s="540"/>
      <c r="G1866" s="540"/>
      <c r="H1866" s="540"/>
      <c r="I1866" s="399" t="str">
        <f t="shared" si="146"/>
        <v/>
      </c>
      <c r="J1866" s="394"/>
      <c r="K1866" s="394"/>
      <c r="L1866" s="376"/>
      <c r="M1866" s="376"/>
      <c r="N1866" s="376"/>
      <c r="O1866" s="376"/>
      <c r="P1866" s="376"/>
    </row>
    <row r="1867" spans="1:16" s="377" customFormat="1" ht="34.5" outlineLevel="1">
      <c r="A1867" s="414"/>
      <c r="B1867" s="425" t="s">
        <v>1174</v>
      </c>
      <c r="C1867" s="313" t="s">
        <v>2</v>
      </c>
      <c r="D1867" s="323">
        <v>1</v>
      </c>
      <c r="E1867" s="298">
        <v>1</v>
      </c>
      <c r="F1867" s="1103">
        <v>46.524999999999999</v>
      </c>
      <c r="G1867" s="540"/>
      <c r="H1867" s="540">
        <v>0.15</v>
      </c>
      <c r="I1867" s="399">
        <f t="shared" si="146"/>
        <v>6.98</v>
      </c>
      <c r="J1867" s="394"/>
      <c r="K1867" s="394" t="s">
        <v>860</v>
      </c>
      <c r="L1867" s="376"/>
      <c r="M1867" s="376"/>
      <c r="N1867" s="376"/>
      <c r="O1867" s="376"/>
      <c r="P1867" s="376"/>
    </row>
    <row r="1868" spans="1:16" s="377" customFormat="1" ht="17.25" outlineLevel="1">
      <c r="A1868" s="414"/>
      <c r="B1868" s="425"/>
      <c r="C1868" s="165"/>
      <c r="D1868" s="548"/>
      <c r="E1868" s="307"/>
      <c r="F1868" s="540"/>
      <c r="G1868" s="540"/>
      <c r="H1868" s="540"/>
      <c r="I1868" s="399" t="str">
        <f t="shared" si="146"/>
        <v/>
      </c>
      <c r="J1868" s="394"/>
      <c r="K1868" s="394"/>
      <c r="L1868" s="376"/>
      <c r="M1868" s="376"/>
      <c r="N1868" s="376"/>
      <c r="O1868" s="376"/>
      <c r="P1868" s="376"/>
    </row>
    <row r="1869" spans="1:16" s="377" customFormat="1" ht="34.5" outlineLevel="1">
      <c r="A1869" s="414"/>
      <c r="B1869" s="425" t="s">
        <v>1175</v>
      </c>
      <c r="C1869" s="165"/>
      <c r="D1869" s="548"/>
      <c r="E1869" s="307"/>
      <c r="F1869" s="540"/>
      <c r="G1869" s="540"/>
      <c r="H1869" s="540"/>
      <c r="I1869" s="399" t="str">
        <f t="shared" si="146"/>
        <v/>
      </c>
      <c r="J1869" s="394"/>
      <c r="K1869" s="394"/>
      <c r="L1869" s="376"/>
      <c r="M1869" s="376"/>
      <c r="N1869" s="376"/>
      <c r="O1869" s="376"/>
      <c r="P1869" s="376"/>
    </row>
    <row r="1870" spans="1:16" s="377" customFormat="1" ht="17.25" outlineLevel="1">
      <c r="A1870" s="414"/>
      <c r="B1870" s="425" t="s">
        <v>1150</v>
      </c>
      <c r="C1870" s="165" t="s">
        <v>2</v>
      </c>
      <c r="D1870" s="548">
        <v>1</v>
      </c>
      <c r="E1870" s="307">
        <v>1</v>
      </c>
      <c r="F1870" s="556">
        <f>1577556000/1000000</f>
        <v>1577.556</v>
      </c>
      <c r="G1870" s="540"/>
      <c r="H1870" s="540">
        <v>0.15</v>
      </c>
      <c r="I1870" s="399">
        <f t="shared" si="146"/>
        <v>236.63</v>
      </c>
      <c r="J1870" s="394"/>
      <c r="K1870" s="394" t="s">
        <v>860</v>
      </c>
      <c r="L1870" s="376"/>
      <c r="M1870" s="376"/>
      <c r="N1870" s="376"/>
      <c r="O1870" s="376"/>
      <c r="P1870" s="376"/>
    </row>
    <row r="1871" spans="1:16" s="377" customFormat="1" ht="17.25" outlineLevel="1">
      <c r="A1871" s="414"/>
      <c r="B1871" s="425" t="s">
        <v>1151</v>
      </c>
      <c r="C1871" s="165"/>
      <c r="D1871" s="548"/>
      <c r="E1871" s="307"/>
      <c r="F1871" s="540"/>
      <c r="G1871" s="540"/>
      <c r="H1871" s="540"/>
      <c r="I1871" s="399" t="str">
        <f t="shared" si="146"/>
        <v/>
      </c>
      <c r="J1871" s="394"/>
      <c r="K1871" s="394"/>
      <c r="L1871" s="376"/>
      <c r="M1871" s="376"/>
      <c r="N1871" s="376"/>
      <c r="O1871" s="376"/>
      <c r="P1871" s="376"/>
    </row>
    <row r="1872" spans="1:16" s="377" customFormat="1" ht="17.25" outlineLevel="1">
      <c r="A1872" s="414"/>
      <c r="B1872" s="425" t="s">
        <v>1152</v>
      </c>
      <c r="C1872" s="165" t="s">
        <v>2</v>
      </c>
      <c r="D1872" s="548">
        <v>-1</v>
      </c>
      <c r="E1872" s="307">
        <v>15</v>
      </c>
      <c r="F1872" s="540">
        <f>3.14*1.5^2</f>
        <v>7.0650000000000004</v>
      </c>
      <c r="G1872" s="540"/>
      <c r="H1872" s="540">
        <v>0.15</v>
      </c>
      <c r="I1872" s="399">
        <f t="shared" si="146"/>
        <v>-15.9</v>
      </c>
      <c r="J1872" s="394"/>
      <c r="K1872" s="394" t="s">
        <v>860</v>
      </c>
      <c r="L1872" s="376"/>
      <c r="M1872" s="376"/>
      <c r="N1872" s="376"/>
      <c r="O1872" s="376"/>
      <c r="P1872" s="376"/>
    </row>
    <row r="1873" spans="1:16" s="377" customFormat="1" ht="17.25" outlineLevel="1">
      <c r="A1873" s="414"/>
      <c r="B1873" s="425" t="s">
        <v>1153</v>
      </c>
      <c r="C1873" s="165" t="s">
        <v>2</v>
      </c>
      <c r="D1873" s="548">
        <v>-1</v>
      </c>
      <c r="E1873" s="307">
        <v>1</v>
      </c>
      <c r="F1873" s="540">
        <f>3.14*1.85^2</f>
        <v>10.746650000000001</v>
      </c>
      <c r="G1873" s="540"/>
      <c r="H1873" s="540">
        <v>0.15</v>
      </c>
      <c r="I1873" s="399">
        <f t="shared" si="146"/>
        <v>-1.61</v>
      </c>
      <c r="J1873" s="394"/>
      <c r="K1873" s="394" t="s">
        <v>860</v>
      </c>
      <c r="L1873" s="376"/>
      <c r="M1873" s="376"/>
      <c r="N1873" s="376"/>
      <c r="O1873" s="376"/>
      <c r="P1873" s="376"/>
    </row>
    <row r="1874" spans="1:16" s="377" customFormat="1" ht="17.25" outlineLevel="1">
      <c r="A1874" s="414"/>
      <c r="B1874" s="425" t="s">
        <v>1154</v>
      </c>
      <c r="C1874" s="165" t="s">
        <v>2</v>
      </c>
      <c r="D1874" s="548">
        <v>-1</v>
      </c>
      <c r="E1874" s="307">
        <v>1</v>
      </c>
      <c r="F1874" s="540">
        <f>3.14*1.35^2</f>
        <v>5.7226500000000007</v>
      </c>
      <c r="G1874" s="540"/>
      <c r="H1874" s="540">
        <v>0.15</v>
      </c>
      <c r="I1874" s="399">
        <f t="shared" si="146"/>
        <v>-0.86</v>
      </c>
      <c r="J1874" s="394"/>
      <c r="K1874" s="394" t="s">
        <v>860</v>
      </c>
      <c r="L1874" s="376"/>
      <c r="M1874" s="376"/>
      <c r="N1874" s="376"/>
      <c r="O1874" s="376"/>
      <c r="P1874" s="376"/>
    </row>
    <row r="1875" spans="1:16" s="377" customFormat="1" ht="17.25" outlineLevel="1">
      <c r="A1875" s="414"/>
      <c r="B1875" s="425" t="s">
        <v>1155</v>
      </c>
      <c r="C1875" s="165" t="s">
        <v>2</v>
      </c>
      <c r="D1875" s="548">
        <v>-1</v>
      </c>
      <c r="E1875" s="307">
        <v>1</v>
      </c>
      <c r="F1875" s="540">
        <f>5016786/1000000</f>
        <v>5.0167859999999997</v>
      </c>
      <c r="G1875" s="540"/>
      <c r="H1875" s="540">
        <v>0.15</v>
      </c>
      <c r="I1875" s="399">
        <f t="shared" si="146"/>
        <v>-0.75</v>
      </c>
      <c r="J1875" s="394"/>
      <c r="K1875" s="394" t="s">
        <v>860</v>
      </c>
      <c r="L1875" s="376"/>
      <c r="M1875" s="376"/>
      <c r="N1875" s="376"/>
      <c r="O1875" s="376"/>
      <c r="P1875" s="376"/>
    </row>
    <row r="1876" spans="1:16" s="377" customFormat="1" ht="17.25" outlineLevel="1">
      <c r="A1876" s="414"/>
      <c r="B1876" s="425" t="s">
        <v>1156</v>
      </c>
      <c r="C1876" s="165" t="s">
        <v>2</v>
      </c>
      <c r="D1876" s="548">
        <v>-1</v>
      </c>
      <c r="E1876" s="307">
        <v>1</v>
      </c>
      <c r="F1876" s="540">
        <f>152084709/1000000</f>
        <v>152.084709</v>
      </c>
      <c r="G1876" s="540"/>
      <c r="H1876" s="540">
        <v>0.15</v>
      </c>
      <c r="I1876" s="399">
        <f t="shared" si="146"/>
        <v>-22.81</v>
      </c>
      <c r="J1876" s="394"/>
      <c r="K1876" s="394" t="s">
        <v>860</v>
      </c>
      <c r="L1876" s="376"/>
      <c r="M1876" s="376"/>
      <c r="N1876" s="376"/>
      <c r="O1876" s="376"/>
      <c r="P1876" s="376"/>
    </row>
    <row r="1877" spans="1:16" s="377" customFormat="1" ht="17.25" outlineLevel="1">
      <c r="A1877" s="414"/>
      <c r="B1877" s="425" t="s">
        <v>1157</v>
      </c>
      <c r="C1877" s="165" t="s">
        <v>2</v>
      </c>
      <c r="D1877" s="548">
        <v>-1</v>
      </c>
      <c r="E1877" s="307">
        <v>1</v>
      </c>
      <c r="F1877" s="540">
        <f>50265482/1000000</f>
        <v>50.265481999999999</v>
      </c>
      <c r="G1877" s="540"/>
      <c r="H1877" s="540">
        <v>0.15</v>
      </c>
      <c r="I1877" s="399">
        <f t="shared" si="146"/>
        <v>-7.54</v>
      </c>
      <c r="J1877" s="394"/>
      <c r="K1877" s="394" t="s">
        <v>860</v>
      </c>
      <c r="L1877" s="376"/>
      <c r="M1877" s="376"/>
      <c r="N1877" s="376"/>
      <c r="O1877" s="376"/>
      <c r="P1877" s="376"/>
    </row>
    <row r="1878" spans="1:16" s="377" customFormat="1" ht="17.25" outlineLevel="1">
      <c r="A1878" s="414"/>
      <c r="B1878" s="425" t="s">
        <v>1158</v>
      </c>
      <c r="C1878" s="165" t="s">
        <v>2</v>
      </c>
      <c r="D1878" s="548">
        <v>-1</v>
      </c>
      <c r="E1878" s="307">
        <v>1</v>
      </c>
      <c r="F1878" s="540">
        <f>66970710/1000000</f>
        <v>66.970709999999997</v>
      </c>
      <c r="G1878" s="540"/>
      <c r="H1878" s="540">
        <v>0.15</v>
      </c>
      <c r="I1878" s="399">
        <f t="shared" si="146"/>
        <v>-10.050000000000001</v>
      </c>
      <c r="J1878" s="394"/>
      <c r="K1878" s="394" t="s">
        <v>860</v>
      </c>
      <c r="L1878" s="376"/>
      <c r="M1878" s="376"/>
      <c r="N1878" s="376"/>
      <c r="O1878" s="376"/>
      <c r="P1878" s="376"/>
    </row>
    <row r="1879" spans="1:16" s="377" customFormat="1" ht="17.25" outlineLevel="1">
      <c r="A1879" s="414"/>
      <c r="B1879" s="425" t="s">
        <v>1159</v>
      </c>
      <c r="C1879" s="165" t="s">
        <v>2</v>
      </c>
      <c r="D1879" s="548">
        <v>-1</v>
      </c>
      <c r="E1879" s="307">
        <v>6</v>
      </c>
      <c r="F1879" s="540">
        <v>4.1749999999999998</v>
      </c>
      <c r="G1879" s="540">
        <v>0.45</v>
      </c>
      <c r="H1879" s="540">
        <v>0.15</v>
      </c>
      <c r="I1879" s="399">
        <f t="shared" si="146"/>
        <v>-1.69</v>
      </c>
      <c r="J1879" s="394"/>
      <c r="K1879" s="394"/>
      <c r="L1879" s="376"/>
      <c r="M1879" s="376"/>
      <c r="N1879" s="376"/>
      <c r="O1879" s="376"/>
      <c r="P1879" s="376"/>
    </row>
    <row r="1880" spans="1:16" s="377" customFormat="1" ht="17.25" outlineLevel="1">
      <c r="A1880" s="414"/>
      <c r="B1880" s="425" t="s">
        <v>1160</v>
      </c>
      <c r="C1880" s="165" t="s">
        <v>2</v>
      </c>
      <c r="D1880" s="548">
        <v>-1</v>
      </c>
      <c r="E1880" s="307">
        <v>24</v>
      </c>
      <c r="F1880" s="540">
        <f>2-0.155</f>
        <v>1.845</v>
      </c>
      <c r="G1880" s="540">
        <v>0.34499999999999997</v>
      </c>
      <c r="H1880" s="540">
        <v>0.15</v>
      </c>
      <c r="I1880" s="399">
        <f t="shared" si="146"/>
        <v>-2.29</v>
      </c>
      <c r="J1880" s="394"/>
      <c r="K1880" s="394"/>
      <c r="L1880" s="376"/>
      <c r="M1880" s="376"/>
      <c r="N1880" s="376"/>
      <c r="O1880" s="376"/>
      <c r="P1880" s="376"/>
    </row>
    <row r="1881" spans="1:16" s="377" customFormat="1" ht="17.25" outlineLevel="1">
      <c r="A1881" s="414"/>
      <c r="B1881" s="425" t="s">
        <v>1161</v>
      </c>
      <c r="C1881" s="165" t="s">
        <v>2</v>
      </c>
      <c r="D1881" s="548">
        <v>-1</v>
      </c>
      <c r="E1881" s="307">
        <v>7</v>
      </c>
      <c r="F1881" s="1103">
        <v>0.58099999999999996</v>
      </c>
      <c r="G1881" s="540"/>
      <c r="H1881" s="540">
        <v>0.15</v>
      </c>
      <c r="I1881" s="399">
        <f t="shared" si="146"/>
        <v>-0.61</v>
      </c>
      <c r="J1881" s="394"/>
      <c r="K1881" s="394" t="s">
        <v>860</v>
      </c>
      <c r="L1881" s="376"/>
      <c r="M1881" s="376"/>
      <c r="N1881" s="376"/>
      <c r="O1881" s="376"/>
      <c r="P1881" s="376"/>
    </row>
    <row r="1882" spans="1:16" s="49" customFormat="1">
      <c r="A1882" s="157"/>
      <c r="B1882" s="158" t="s">
        <v>85</v>
      </c>
      <c r="C1882" s="159" t="s">
        <v>2</v>
      </c>
      <c r="D1882" s="646"/>
      <c r="E1882" s="647"/>
      <c r="F1882" s="648"/>
      <c r="G1882" s="648"/>
      <c r="H1882" s="648"/>
      <c r="I1882" s="30" t="s">
        <v>313</v>
      </c>
      <c r="J1882" s="227">
        <f>SUM(I1857:I1882)</f>
        <v>209.53999999999996</v>
      </c>
      <c r="K1882" s="43"/>
      <c r="L1882" s="233"/>
      <c r="M1882" s="233"/>
      <c r="N1882" s="233"/>
      <c r="O1882" s="233"/>
      <c r="P1882" s="233"/>
    </row>
    <row r="1883" spans="1:16" s="165" customFormat="1" ht="17.25">
      <c r="A1883" s="160"/>
      <c r="B1883" s="366"/>
      <c r="C1883" s="323"/>
      <c r="D1883" s="306"/>
      <c r="E1883" s="319"/>
      <c r="F1883" s="640"/>
      <c r="G1883" s="640"/>
      <c r="H1883" s="640"/>
      <c r="I1883" s="294" t="str">
        <f t="shared" ref="I1883" si="147">IF(D1883&lt;&gt;0,ROUND(PRODUCT(E1883:H1883)*D1883,2),"")</f>
        <v/>
      </c>
      <c r="J1883" s="162"/>
      <c r="K1883" s="163"/>
      <c r="L1883" s="164"/>
      <c r="M1883" s="164"/>
      <c r="N1883" s="164"/>
      <c r="O1883" s="164"/>
      <c r="P1883" s="164"/>
    </row>
    <row r="1884" spans="1:16" s="15" customFormat="1" ht="17.25">
      <c r="A1884" s="155"/>
      <c r="B1884" s="33" t="s">
        <v>86</v>
      </c>
      <c r="C1884" s="23" t="s">
        <v>2</v>
      </c>
      <c r="D1884" s="649"/>
      <c r="E1884" s="16"/>
      <c r="F1884" s="1"/>
      <c r="G1884" s="1"/>
      <c r="H1884" s="1"/>
      <c r="I1884" s="166" t="str">
        <f>IF(D1884&lt;&gt;0,ROUND(PRODUCT(E1884:H1884)*D1884,2),"")</f>
        <v/>
      </c>
      <c r="J1884" s="36">
        <f>SUM(I1883:I1884)</f>
        <v>0</v>
      </c>
      <c r="K1884" s="35" t="s">
        <v>1690</v>
      </c>
      <c r="L1884" s="156"/>
      <c r="M1884" s="156"/>
      <c r="N1884" s="156"/>
      <c r="O1884" s="156"/>
      <c r="P1884" s="156"/>
    </row>
    <row r="1885" spans="1:16" s="15" customFormat="1">
      <c r="A1885" s="155"/>
      <c r="B1885" s="22"/>
      <c r="C1885" s="9"/>
      <c r="D1885" s="29"/>
      <c r="E1885" s="16"/>
      <c r="F1885" s="1"/>
      <c r="G1885" s="1"/>
      <c r="H1885" s="1"/>
      <c r="I1885" s="46" t="str">
        <f>IF(D1885&lt;&gt;0,ROUND(PRODUCT(E1885:H1885)*D1885,2),"")</f>
        <v/>
      </c>
      <c r="J1885" s="31">
        <f>SUM(J1882:J1884)</f>
        <v>209.53999999999996</v>
      </c>
      <c r="K1885" s="27"/>
      <c r="L1885" s="156"/>
      <c r="M1885" s="156"/>
      <c r="N1885" s="156"/>
      <c r="O1885" s="156"/>
      <c r="P1885" s="156"/>
    </row>
  </sheetData>
  <mergeCells count="4">
    <mergeCell ref="A1:K1"/>
    <mergeCell ref="A2:K2"/>
    <mergeCell ref="A3:K3"/>
    <mergeCell ref="A4:K4"/>
  </mergeCells>
  <conditionalFormatting sqref="B7:B116">
    <cfRule type="containsText" dxfId="6" priority="6" operator="containsText" text="SEAT">
      <formula>NOT(ISERROR(SEARCH("SEAT",B7)))</formula>
    </cfRule>
  </conditionalFormatting>
  <conditionalFormatting sqref="B1263:B1264">
    <cfRule type="containsText" dxfId="5" priority="2" operator="containsText" text="BASE">
      <formula>NOT(ISERROR(SEARCH("BASE",B1263)))</formula>
    </cfRule>
    <cfRule type="containsText" dxfId="4" priority="3" operator="containsText" text="BASE FOOTING">
      <formula>NOT(ISERROR(SEARCH("BASE FOOTING",B1263)))</formula>
    </cfRule>
    <cfRule type="containsText" dxfId="3" priority="4" operator="containsText" text="RCC PLANTER">
      <formula>NOT(ISERROR(SEARCH("RCC PLANTER",B1263)))</formula>
    </cfRule>
  </conditionalFormatting>
  <conditionalFormatting sqref="B1263:B1264">
    <cfRule type="containsText" dxfId="2" priority="1" operator="containsText" text=" R.C.C.">
      <formula>NOT(ISERROR(SEARCH(" R.C.C.",B1263)))</formula>
    </cfRule>
  </conditionalFormatting>
  <printOptions horizontalCentered="1" gridLines="1"/>
  <pageMargins left="0.7" right="0" top="0.54" bottom="0.93" header="0.3" footer="0.3"/>
  <pageSetup paperSize="9" scale="56" fitToHeight="0" orientation="portrait" r:id="rId1"/>
  <headerFooter>
    <oddFooter>&amp;R&amp;P/&amp;N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17</vt:i4>
      </vt:variant>
    </vt:vector>
  </HeadingPairs>
  <TitlesOfParts>
    <vt:vector size="28" baseType="lpstr">
      <vt:lpstr>Invoice-</vt:lpstr>
      <vt:lpstr>SUMMARY</vt:lpstr>
      <vt:lpstr> ABS BH (2)</vt:lpstr>
      <vt:lpstr> ABS BH</vt:lpstr>
      <vt:lpstr>ABS GH (2)</vt:lpstr>
      <vt:lpstr>ABS GH</vt:lpstr>
      <vt:lpstr>MB BH</vt:lpstr>
      <vt:lpstr>ROAD SAND FILLING</vt:lpstr>
      <vt:lpstr>MB GIRLS HOSTEL</vt:lpstr>
      <vt:lpstr>BBS-Boys Hostel</vt:lpstr>
      <vt:lpstr>BBS RA2</vt:lpstr>
      <vt:lpstr>' ABS BH'!Print_Area</vt:lpstr>
      <vt:lpstr>' ABS BH (2)'!Print_Area</vt:lpstr>
      <vt:lpstr>'ABS GH'!Print_Area</vt:lpstr>
      <vt:lpstr>'ABS GH (2)'!Print_Area</vt:lpstr>
      <vt:lpstr>'BBS RA2'!Print_Area</vt:lpstr>
      <vt:lpstr>'BBS-Boys Hostel'!Print_Area</vt:lpstr>
      <vt:lpstr>'Invoice-'!Print_Area</vt:lpstr>
      <vt:lpstr>'MB BH'!Print_Area</vt:lpstr>
      <vt:lpstr>'MB GIRLS HOSTEL'!Print_Area</vt:lpstr>
      <vt:lpstr>SUMMARY!Print_Area</vt:lpstr>
      <vt:lpstr>' ABS BH'!Print_Titles</vt:lpstr>
      <vt:lpstr>'ABS GH'!Print_Titles</vt:lpstr>
      <vt:lpstr>'ABS GH (2)'!Print_Titles</vt:lpstr>
      <vt:lpstr>'BBS RA2'!Print_Titles</vt:lpstr>
      <vt:lpstr>'BBS-Boys Hostel'!Print_Titles</vt:lpstr>
      <vt:lpstr>'MB BH'!Print_Titles</vt:lpstr>
      <vt:lpstr>'MB GIRLS HOSTEL'!Print_Titles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Apu</dc:creator>
  <cp:lastModifiedBy>Sanjeev</cp:lastModifiedBy>
  <cp:lastPrinted>2017-11-15T12:14:00Z</cp:lastPrinted>
  <dcterms:created xsi:type="dcterms:W3CDTF">2015-09-14T07:22:01Z</dcterms:created>
  <dcterms:modified xsi:type="dcterms:W3CDTF">2020-08-08T06:16:05Z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2m" linkTarget="Prop_2m">
    <vt:lpwstr>#REF!</vt:lpwstr>
  </property>
</Properties>
</file>